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c81ba0506b980580/Desktop/"/>
    </mc:Choice>
  </mc:AlternateContent>
  <xr:revisionPtr revIDLastSave="0" documentId="8_{FAD52B66-965E-4C8C-9D9D-F97013DACE0C}" xr6:coauthVersionLast="47" xr6:coauthVersionMax="47" xr10:uidLastSave="{00000000-0000-0000-0000-000000000000}"/>
  <bookViews>
    <workbookView xWindow="-120" yWindow="-120" windowWidth="20730" windowHeight="11040" xr2:uid="{A2BD86F7-6D9D-44BA-B5DA-CABEEBCB823E}"/>
  </bookViews>
  <sheets>
    <sheet name="Dashboard" sheetId="9" r:id="rId1"/>
    <sheet name="Payers" sheetId="4" r:id="rId2"/>
    <sheet name="Contract" sheetId="5" r:id="rId3"/>
    <sheet name="CPT" sheetId="3" r:id="rId4"/>
    <sheet name="Pivot_Payer" sheetId="6" r:id="rId5"/>
    <sheet name="Pivot_CPT" sheetId="7" r:id="rId6"/>
    <sheet name="Pivot_month" sheetId="8" r:id="rId7"/>
    <sheet name="Claims" sheetId="2" r:id="rId8"/>
    <sheet name="Checks" sheetId="1" r:id="rId9"/>
  </sheets>
  <definedNames>
    <definedName name="ExternalData_1" localSheetId="7" hidden="1">Claims!$A$1:$P$6095</definedName>
    <definedName name="ExternalData_2" localSheetId="3" hidden="1">CPT!$A$1:$D$13</definedName>
    <definedName name="ExternalData_3" localSheetId="1" hidden="1">Payers!$A$1:$D$9</definedName>
    <definedName name="Slicer_clinic_id">#N/A</definedName>
    <definedName name="Slicer_payer_name">#N/A</definedName>
  </definedNames>
  <calcPr calcId="191029"/>
  <pivotCaches>
    <pivotCache cacheId="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1" i="9" l="1"/>
  <c r="B4" i="9"/>
  <c r="B10" i="9" s="1"/>
  <c r="B9" i="9"/>
  <c r="B8" i="9"/>
  <c r="B7" i="9"/>
  <c r="B6" i="9"/>
  <c r="B5" i="9"/>
  <c r="B3" i="9"/>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U4" i="2"/>
  <c r="U8" i="2"/>
  <c r="U15" i="2"/>
  <c r="U16" i="2"/>
  <c r="U20" i="2"/>
  <c r="U25" i="2"/>
  <c r="U28" i="2"/>
  <c r="U40" i="2"/>
  <c r="U44" i="2"/>
  <c r="U46" i="2"/>
  <c r="U50" i="2"/>
  <c r="U57" i="2"/>
  <c r="U61" i="2"/>
  <c r="U63" i="2"/>
  <c r="U66" i="2"/>
  <c r="U67" i="2"/>
  <c r="U69" i="2"/>
  <c r="U80" i="2"/>
  <c r="U84" i="2"/>
  <c r="U85" i="2"/>
  <c r="U89" i="2"/>
  <c r="U90" i="2"/>
  <c r="U98" i="2"/>
  <c r="U99" i="2"/>
  <c r="U106" i="2"/>
  <c r="U109" i="2"/>
  <c r="U111" i="2"/>
  <c r="U117" i="2"/>
  <c r="U120" i="2"/>
  <c r="U122" i="2"/>
  <c r="U125" i="2"/>
  <c r="U126" i="2"/>
  <c r="U130" i="2"/>
  <c r="U134" i="2"/>
  <c r="U137" i="2"/>
  <c r="U145" i="2"/>
  <c r="U153" i="2"/>
  <c r="U155" i="2"/>
  <c r="U156" i="2"/>
  <c r="U157" i="2"/>
  <c r="U164" i="2"/>
  <c r="U165" i="2"/>
  <c r="U166" i="2"/>
  <c r="U167" i="2"/>
  <c r="U168" i="2"/>
  <c r="U176" i="2"/>
  <c r="U177" i="2"/>
  <c r="U180" i="2"/>
  <c r="U182" i="2"/>
  <c r="U185" i="2"/>
  <c r="U186" i="2"/>
  <c r="U188" i="2"/>
  <c r="U198" i="2"/>
  <c r="U199" i="2"/>
  <c r="U200" i="2"/>
  <c r="U204" i="2"/>
  <c r="U210" i="2"/>
  <c r="U212" i="2"/>
  <c r="U213" i="2"/>
  <c r="U214" i="2"/>
  <c r="U215" i="2"/>
  <c r="U216" i="2"/>
  <c r="U218" i="2"/>
  <c r="U224" i="2"/>
  <c r="U230" i="2"/>
  <c r="U236" i="2"/>
  <c r="U240" i="2"/>
  <c r="U241" i="2"/>
  <c r="U242" i="2"/>
  <c r="U243" i="2"/>
  <c r="U244" i="2"/>
  <c r="U245" i="2"/>
  <c r="U246" i="2"/>
  <c r="U248" i="2"/>
  <c r="U251" i="2"/>
  <c r="U257" i="2"/>
  <c r="U266" i="2"/>
  <c r="U270" i="2"/>
  <c r="U275" i="2"/>
  <c r="U289" i="2"/>
  <c r="U303" i="2"/>
  <c r="U306" i="2"/>
  <c r="U307" i="2"/>
  <c r="U315" i="2"/>
  <c r="U316" i="2"/>
  <c r="U318" i="2"/>
  <c r="U322" i="2"/>
  <c r="U323" i="2"/>
  <c r="U324" i="2"/>
  <c r="U325" i="2"/>
  <c r="U326" i="2"/>
  <c r="U334" i="2"/>
  <c r="U336" i="2"/>
  <c r="U340" i="2"/>
  <c r="U341" i="2"/>
  <c r="U342" i="2"/>
  <c r="U350" i="2"/>
  <c r="U352" i="2"/>
  <c r="U356" i="2"/>
  <c r="U358" i="2"/>
  <c r="U359" i="2"/>
  <c r="U367" i="2"/>
  <c r="U372" i="2"/>
  <c r="U373" i="2"/>
  <c r="U380" i="2"/>
  <c r="U381" i="2"/>
  <c r="U384" i="2"/>
  <c r="U385" i="2"/>
  <c r="U386" i="2"/>
  <c r="U387" i="2"/>
  <c r="U397" i="2"/>
  <c r="U404" i="2"/>
  <c r="U408" i="2"/>
  <c r="U410" i="2"/>
  <c r="U412" i="2"/>
  <c r="U415" i="2"/>
  <c r="U416" i="2"/>
  <c r="U417" i="2"/>
  <c r="U420" i="2"/>
  <c r="U423" i="2"/>
  <c r="U424" i="2"/>
  <c r="U425" i="2"/>
  <c r="U427" i="2"/>
  <c r="U431" i="2"/>
  <c r="U435" i="2"/>
  <c r="U436" i="2"/>
  <c r="U438" i="2"/>
  <c r="U441" i="2"/>
  <c r="U446" i="2"/>
  <c r="U447" i="2"/>
  <c r="U459" i="2"/>
  <c r="U465" i="2"/>
  <c r="U467" i="2"/>
  <c r="U469" i="2"/>
  <c r="U472" i="2"/>
  <c r="U475" i="2"/>
  <c r="U477" i="2"/>
  <c r="U478" i="2"/>
  <c r="U480" i="2"/>
  <c r="U482" i="2"/>
  <c r="U489" i="2"/>
  <c r="U492" i="2"/>
  <c r="U499" i="2"/>
  <c r="U500" i="2"/>
  <c r="U504" i="2"/>
  <c r="U506" i="2"/>
  <c r="U509" i="2"/>
  <c r="U518" i="2"/>
  <c r="U520" i="2"/>
  <c r="U523" i="2"/>
  <c r="U527" i="2"/>
  <c r="U537" i="2"/>
  <c r="U543" i="2"/>
  <c r="U545" i="2"/>
  <c r="U551" i="2"/>
  <c r="U559" i="2"/>
  <c r="U561" i="2"/>
  <c r="U563" i="2"/>
  <c r="U568" i="2"/>
  <c r="U570" i="2"/>
  <c r="U571" i="2"/>
  <c r="U574" i="2"/>
  <c r="U578" i="2"/>
  <c r="U580" i="2"/>
  <c r="U582" i="2"/>
  <c r="U583" i="2"/>
  <c r="U595" i="2"/>
  <c r="U596" i="2"/>
  <c r="U598" i="2"/>
  <c r="U600" i="2"/>
  <c r="U601" i="2"/>
  <c r="U606" i="2"/>
  <c r="U609" i="2"/>
  <c r="U611" i="2"/>
  <c r="U612" i="2"/>
  <c r="U617" i="2"/>
  <c r="U618" i="2"/>
  <c r="U623" i="2"/>
  <c r="U625" i="2"/>
  <c r="U627" i="2"/>
  <c r="U629" i="2"/>
  <c r="U631" i="2"/>
  <c r="U632" i="2"/>
  <c r="U633" i="2"/>
  <c r="U634" i="2"/>
  <c r="U640" i="2"/>
  <c r="U643" i="2"/>
  <c r="U648" i="2"/>
  <c r="U650" i="2"/>
  <c r="U653" i="2"/>
  <c r="U654" i="2"/>
  <c r="U657" i="2"/>
  <c r="U667" i="2"/>
  <c r="U671" i="2"/>
  <c r="U674" i="2"/>
  <c r="U676" i="2"/>
  <c r="U677" i="2"/>
  <c r="U678" i="2"/>
  <c r="U679" i="2"/>
  <c r="U682" i="2"/>
  <c r="U684" i="2"/>
  <c r="U687" i="2"/>
  <c r="U693" i="2"/>
  <c r="U694" i="2"/>
  <c r="U695" i="2"/>
  <c r="U697" i="2"/>
  <c r="U698" i="2"/>
  <c r="U699" i="2"/>
  <c r="U701" i="2"/>
  <c r="U702" i="2"/>
  <c r="U706" i="2"/>
  <c r="U709" i="2"/>
  <c r="U714" i="2"/>
  <c r="U716" i="2"/>
  <c r="U717" i="2"/>
  <c r="U720" i="2"/>
  <c r="U721" i="2"/>
  <c r="U722" i="2"/>
  <c r="U723" i="2"/>
  <c r="U731" i="2"/>
  <c r="U738" i="2"/>
  <c r="U746" i="2"/>
  <c r="U748" i="2"/>
  <c r="U750" i="2"/>
  <c r="U754" i="2"/>
  <c r="U756" i="2"/>
  <c r="U769" i="2"/>
  <c r="U772" i="2"/>
  <c r="U776" i="2"/>
  <c r="U779" i="2"/>
  <c r="U780" i="2"/>
  <c r="U784" i="2"/>
  <c r="U785" i="2"/>
  <c r="U786" i="2"/>
  <c r="U788" i="2"/>
  <c r="U789" i="2"/>
  <c r="U791" i="2"/>
  <c r="U793" i="2"/>
  <c r="U798" i="2"/>
  <c r="U804" i="2"/>
  <c r="U808" i="2"/>
  <c r="U811" i="2"/>
  <c r="U813" i="2"/>
  <c r="U814" i="2"/>
  <c r="U819" i="2"/>
  <c r="U820" i="2"/>
  <c r="U823" i="2"/>
  <c r="U824" i="2"/>
  <c r="U829" i="2"/>
  <c r="U831" i="2"/>
  <c r="U833" i="2"/>
  <c r="U834" i="2"/>
  <c r="U836" i="2"/>
  <c r="U837" i="2"/>
  <c r="U843" i="2"/>
  <c r="U848" i="2"/>
  <c r="U852" i="2"/>
  <c r="U853" i="2"/>
  <c r="U863" i="2"/>
  <c r="U868" i="2"/>
  <c r="U870" i="2"/>
  <c r="U873" i="2"/>
  <c r="U874" i="2"/>
  <c r="U875" i="2"/>
  <c r="U881" i="2"/>
  <c r="U883" i="2"/>
  <c r="U884" i="2"/>
  <c r="U888" i="2"/>
  <c r="U889" i="2"/>
  <c r="U892" i="2"/>
  <c r="U893" i="2"/>
  <c r="U894" i="2"/>
  <c r="U898" i="2"/>
  <c r="U906" i="2"/>
  <c r="U910" i="2"/>
  <c r="U912" i="2"/>
  <c r="U915" i="2"/>
  <c r="U916" i="2"/>
  <c r="U921" i="2"/>
  <c r="U925" i="2"/>
  <c r="U928" i="2"/>
  <c r="U929" i="2"/>
  <c r="U933" i="2"/>
  <c r="U934" i="2"/>
  <c r="U939" i="2"/>
  <c r="U956" i="2"/>
  <c r="U960" i="2"/>
  <c r="U966" i="2"/>
  <c r="U967" i="2"/>
  <c r="U970" i="2"/>
  <c r="U977" i="2"/>
  <c r="U982" i="2"/>
  <c r="U984" i="2"/>
  <c r="U985" i="2"/>
  <c r="U986" i="2"/>
  <c r="U992" i="2"/>
  <c r="U996" i="2"/>
  <c r="U1002" i="2"/>
  <c r="U1004" i="2"/>
  <c r="U1014" i="2"/>
  <c r="U1015" i="2"/>
  <c r="U1020" i="2"/>
  <c r="U1023" i="2"/>
  <c r="U1024" i="2"/>
  <c r="U1025" i="2"/>
  <c r="U1026" i="2"/>
  <c r="U1029" i="2"/>
  <c r="U1033" i="2"/>
  <c r="U1034" i="2"/>
  <c r="U1037" i="2"/>
  <c r="U1039" i="2"/>
  <c r="U1040" i="2"/>
  <c r="U1042" i="2"/>
  <c r="U1050" i="2"/>
  <c r="U1052" i="2"/>
  <c r="U1053" i="2"/>
  <c r="U1058" i="2"/>
  <c r="U1063" i="2"/>
  <c r="U1064" i="2"/>
  <c r="U1066" i="2"/>
  <c r="U1067" i="2"/>
  <c r="U1071" i="2"/>
  <c r="U1074" i="2"/>
  <c r="U1075" i="2"/>
  <c r="U1081" i="2"/>
  <c r="U1086" i="2"/>
  <c r="U1087" i="2"/>
  <c r="U1091" i="2"/>
  <c r="U1092" i="2"/>
  <c r="U1095" i="2"/>
  <c r="U1097" i="2"/>
  <c r="U1103" i="2"/>
  <c r="U1109" i="2"/>
  <c r="U1111" i="2"/>
  <c r="U1112" i="2"/>
  <c r="U1114" i="2"/>
  <c r="U1117" i="2"/>
  <c r="U1119" i="2"/>
  <c r="U1122" i="2"/>
  <c r="U1123" i="2"/>
  <c r="U1125" i="2"/>
  <c r="U1130" i="2"/>
  <c r="U1133" i="2"/>
  <c r="U1136" i="2"/>
  <c r="U1144" i="2"/>
  <c r="U1145" i="2"/>
  <c r="U1153" i="2"/>
  <c r="U1154" i="2"/>
  <c r="U1159" i="2"/>
  <c r="U1164" i="2"/>
  <c r="U1166" i="2"/>
  <c r="U1176" i="2"/>
  <c r="U1178" i="2"/>
  <c r="U1190" i="2"/>
  <c r="U1193" i="2"/>
  <c r="U1194" i="2"/>
  <c r="U1195" i="2"/>
  <c r="U1198" i="2"/>
  <c r="U1199" i="2"/>
  <c r="U1201" i="2"/>
  <c r="U1202" i="2"/>
  <c r="U1203" i="2"/>
  <c r="U1209" i="2"/>
  <c r="U1217" i="2"/>
  <c r="U1218" i="2"/>
  <c r="U1219" i="2"/>
  <c r="U1223" i="2"/>
  <c r="U1225" i="2"/>
  <c r="U1229" i="2"/>
  <c r="U1233" i="2"/>
  <c r="U1235" i="2"/>
  <c r="U1243" i="2"/>
  <c r="U1244" i="2"/>
  <c r="U1247" i="2"/>
  <c r="U1255" i="2"/>
  <c r="U1258" i="2"/>
  <c r="U1260" i="2"/>
  <c r="U1261" i="2"/>
  <c r="U1262" i="2"/>
  <c r="U1265" i="2"/>
  <c r="U1266" i="2"/>
  <c r="U1270" i="2"/>
  <c r="U1271" i="2"/>
  <c r="U1273" i="2"/>
  <c r="U1275" i="2"/>
  <c r="U1276" i="2"/>
  <c r="U1277" i="2"/>
  <c r="U1282" i="2"/>
  <c r="U1298" i="2"/>
  <c r="U1299" i="2"/>
  <c r="U1301" i="2"/>
  <c r="U1306" i="2"/>
  <c r="U1308" i="2"/>
  <c r="U1310" i="2"/>
  <c r="U1311" i="2"/>
  <c r="U1312" i="2"/>
  <c r="U1316" i="2"/>
  <c r="U1317" i="2"/>
  <c r="U1318" i="2"/>
  <c r="U1322" i="2"/>
  <c r="U1326" i="2"/>
  <c r="U1331" i="2"/>
  <c r="U1334" i="2"/>
  <c r="U1342" i="2"/>
  <c r="U1355" i="2"/>
  <c r="U1358" i="2"/>
  <c r="U1361" i="2"/>
  <c r="U1368" i="2"/>
  <c r="U1370" i="2"/>
  <c r="U1371" i="2"/>
  <c r="U1372" i="2"/>
  <c r="U1380" i="2"/>
  <c r="U1382" i="2"/>
  <c r="U1383" i="2"/>
  <c r="U1388" i="2"/>
  <c r="U1390" i="2"/>
  <c r="U1391" i="2"/>
  <c r="U1399" i="2"/>
  <c r="U1405" i="2"/>
  <c r="U1409" i="2"/>
  <c r="U1411" i="2"/>
  <c r="U1412" i="2"/>
  <c r="U1415" i="2"/>
  <c r="U1416" i="2"/>
  <c r="U1418" i="2"/>
  <c r="U1420" i="2"/>
  <c r="U1438" i="2"/>
  <c r="U1439" i="2"/>
  <c r="U1443" i="2"/>
  <c r="U1450" i="2"/>
  <c r="U1452" i="2"/>
  <c r="U1455" i="2"/>
  <c r="U1459" i="2"/>
  <c r="U1460" i="2"/>
  <c r="U1467" i="2"/>
  <c r="U1469" i="2"/>
  <c r="U1471" i="2"/>
  <c r="U1472" i="2"/>
  <c r="U1473" i="2"/>
  <c r="U1475" i="2"/>
  <c r="U1478" i="2"/>
  <c r="U1479" i="2"/>
  <c r="U1480" i="2"/>
  <c r="U1481" i="2"/>
  <c r="U1484" i="2"/>
  <c r="U1491" i="2"/>
  <c r="U1492" i="2"/>
  <c r="U1493" i="2"/>
  <c r="U1497" i="2"/>
  <c r="U1498" i="2"/>
  <c r="U1500" i="2"/>
  <c r="U1502" i="2"/>
  <c r="U1507" i="2"/>
  <c r="U1512" i="2"/>
  <c r="U1521" i="2"/>
  <c r="U1535" i="2"/>
  <c r="U1536" i="2"/>
  <c r="U1542" i="2"/>
  <c r="U1545" i="2"/>
  <c r="U1546" i="2"/>
  <c r="U1547" i="2"/>
  <c r="U1552" i="2"/>
  <c r="U1553" i="2"/>
  <c r="U1556" i="2"/>
  <c r="U1565" i="2"/>
  <c r="U1570" i="2"/>
  <c r="U1572" i="2"/>
  <c r="U1579" i="2"/>
  <c r="U1580" i="2"/>
  <c r="U1583" i="2"/>
  <c r="U1584" i="2"/>
  <c r="U1587" i="2"/>
  <c r="U1588" i="2"/>
  <c r="U1593" i="2"/>
  <c r="U1594" i="2"/>
  <c r="U1595" i="2"/>
  <c r="U1600" i="2"/>
  <c r="U1612" i="2"/>
  <c r="U1613" i="2"/>
  <c r="U1616" i="2"/>
  <c r="U1620" i="2"/>
  <c r="U1626" i="2"/>
  <c r="U1627" i="2"/>
  <c r="U1628" i="2"/>
  <c r="U1630" i="2"/>
  <c r="U1637" i="2"/>
  <c r="U1639" i="2"/>
  <c r="U1641" i="2"/>
  <c r="U1644" i="2"/>
  <c r="U1646" i="2"/>
  <c r="U1649" i="2"/>
  <c r="U1653" i="2"/>
  <c r="U1654" i="2"/>
  <c r="U1655" i="2"/>
  <c r="U1656" i="2"/>
  <c r="U1659" i="2"/>
  <c r="U1664" i="2"/>
  <c r="U1667" i="2"/>
  <c r="U1668" i="2"/>
  <c r="U1674" i="2"/>
  <c r="U1675" i="2"/>
  <c r="U1676" i="2"/>
  <c r="U1678" i="2"/>
  <c r="U1693" i="2"/>
  <c r="U1698" i="2"/>
  <c r="U1709" i="2"/>
  <c r="U1710" i="2"/>
  <c r="U1711" i="2"/>
  <c r="U1713" i="2"/>
  <c r="U1714" i="2"/>
  <c r="U1716" i="2"/>
  <c r="U1720" i="2"/>
  <c r="U1724" i="2"/>
  <c r="U1725" i="2"/>
  <c r="U1735" i="2"/>
  <c r="U1736" i="2"/>
  <c r="U1740" i="2"/>
  <c r="U1741" i="2"/>
  <c r="U1752" i="2"/>
  <c r="U1754" i="2"/>
  <c r="U1757" i="2"/>
  <c r="U1761" i="2"/>
  <c r="U1764" i="2"/>
  <c r="U1769" i="2"/>
  <c r="U1770" i="2"/>
  <c r="U1771" i="2"/>
  <c r="U1775" i="2"/>
  <c r="U1782" i="2"/>
  <c r="U1783" i="2"/>
  <c r="U1786" i="2"/>
  <c r="U1787" i="2"/>
  <c r="U1792" i="2"/>
  <c r="U1793" i="2"/>
  <c r="U1796" i="2"/>
  <c r="U1797" i="2"/>
  <c r="U1800" i="2"/>
  <c r="U1803" i="2"/>
  <c r="U1804" i="2"/>
  <c r="U1820" i="2"/>
  <c r="U1821" i="2"/>
  <c r="U1823" i="2"/>
  <c r="U1825" i="2"/>
  <c r="U1828" i="2"/>
  <c r="U1831" i="2"/>
  <c r="U1835" i="2"/>
  <c r="U1836" i="2"/>
  <c r="U1837" i="2"/>
  <c r="U1839" i="2"/>
  <c r="U1841" i="2"/>
  <c r="U1842" i="2"/>
  <c r="U1850" i="2"/>
  <c r="U1852" i="2"/>
  <c r="U1854" i="2"/>
  <c r="U1856" i="2"/>
  <c r="U1858" i="2"/>
  <c r="U1860" i="2"/>
  <c r="U1863" i="2"/>
  <c r="U1865" i="2"/>
  <c r="U1866" i="2"/>
  <c r="U1868" i="2"/>
  <c r="U1872" i="2"/>
  <c r="U1873" i="2"/>
  <c r="U1874" i="2"/>
  <c r="U1880" i="2"/>
  <c r="U1882" i="2"/>
  <c r="U1883" i="2"/>
  <c r="U1887" i="2"/>
  <c r="U1889" i="2"/>
  <c r="U1890" i="2"/>
  <c r="U1893" i="2"/>
  <c r="U1898" i="2"/>
  <c r="U1900" i="2"/>
  <c r="U1906" i="2"/>
  <c r="U1917" i="2"/>
  <c r="U1918" i="2"/>
  <c r="U1919" i="2"/>
  <c r="U1920" i="2"/>
  <c r="U1921" i="2"/>
  <c r="U1924" i="2"/>
  <c r="U1930" i="2"/>
  <c r="U1932" i="2"/>
  <c r="U1933" i="2"/>
  <c r="U1934" i="2"/>
  <c r="U1940" i="2"/>
  <c r="U1941" i="2"/>
  <c r="U1943" i="2"/>
  <c r="U1948" i="2"/>
  <c r="U1949" i="2"/>
  <c r="U1964" i="2"/>
  <c r="U1967" i="2"/>
  <c r="U1969" i="2"/>
  <c r="U1974" i="2"/>
  <c r="U1975" i="2"/>
  <c r="U1978" i="2"/>
  <c r="U1979" i="2"/>
  <c r="U1982" i="2"/>
  <c r="U1990" i="2"/>
  <c r="U1992" i="2"/>
  <c r="U1998" i="2"/>
  <c r="U1999" i="2"/>
  <c r="U2007" i="2"/>
  <c r="U2012" i="2"/>
  <c r="U2014" i="2"/>
  <c r="U2016" i="2"/>
  <c r="U2017" i="2"/>
  <c r="U2019" i="2"/>
  <c r="U2020" i="2"/>
  <c r="U2021" i="2"/>
  <c r="U2023" i="2"/>
  <c r="U2027" i="2"/>
  <c r="U2030" i="2"/>
  <c r="U2032" i="2"/>
  <c r="U2040" i="2"/>
  <c r="U2066" i="2"/>
  <c r="U2068" i="2"/>
  <c r="U2075" i="2"/>
  <c r="U2077" i="2"/>
  <c r="U2079" i="2"/>
  <c r="U2083" i="2"/>
  <c r="U2084" i="2"/>
  <c r="U2087" i="2"/>
  <c r="U2088" i="2"/>
  <c r="U2105" i="2"/>
  <c r="U2107" i="2"/>
  <c r="U2108" i="2"/>
  <c r="U2110" i="2"/>
  <c r="U2111" i="2"/>
  <c r="U2113" i="2"/>
  <c r="U2115" i="2"/>
  <c r="U2124" i="2"/>
  <c r="U2125" i="2"/>
  <c r="U2128" i="2"/>
  <c r="U2130" i="2"/>
  <c r="U2146" i="2"/>
  <c r="U2147" i="2"/>
  <c r="U2149" i="2"/>
  <c r="U2151" i="2"/>
  <c r="U2152" i="2"/>
  <c r="U2168" i="2"/>
  <c r="U2174" i="2"/>
  <c r="U2176" i="2"/>
  <c r="U2177" i="2"/>
  <c r="U2178" i="2"/>
  <c r="U2181" i="2"/>
  <c r="U2185" i="2"/>
  <c r="U2187" i="2"/>
  <c r="U2190" i="2"/>
  <c r="U2191" i="2"/>
  <c r="U2192" i="2"/>
  <c r="U2194" i="2"/>
  <c r="U2199" i="2"/>
  <c r="U2200" i="2"/>
  <c r="U2203" i="2"/>
  <c r="U2204" i="2"/>
  <c r="U2209" i="2"/>
  <c r="U2211" i="2"/>
  <c r="U2212" i="2"/>
  <c r="U2215" i="2"/>
  <c r="U2217" i="2"/>
  <c r="U2218" i="2"/>
  <c r="U2221" i="2"/>
  <c r="U2222" i="2"/>
  <c r="U2227" i="2"/>
  <c r="U2229" i="2"/>
  <c r="U2230" i="2"/>
  <c r="U2237" i="2"/>
  <c r="U2239" i="2"/>
  <c r="U2240" i="2"/>
  <c r="U2245" i="2"/>
  <c r="U2247" i="2"/>
  <c r="U2249" i="2"/>
  <c r="U2250" i="2"/>
  <c r="U2251" i="2"/>
  <c r="U2253" i="2"/>
  <c r="U2255" i="2"/>
  <c r="U2256" i="2"/>
  <c r="U2258" i="2"/>
  <c r="U2259" i="2"/>
  <c r="U2263" i="2"/>
  <c r="U2264" i="2"/>
  <c r="U2265" i="2"/>
  <c r="U2266" i="2"/>
  <c r="U2274" i="2"/>
  <c r="U2275" i="2"/>
  <c r="U2277" i="2"/>
  <c r="U2279" i="2"/>
  <c r="U2280" i="2"/>
  <c r="U2283" i="2"/>
  <c r="U2289" i="2"/>
  <c r="U2291" i="2"/>
  <c r="U2298" i="2"/>
  <c r="U2299" i="2"/>
  <c r="U2301" i="2"/>
  <c r="U2303" i="2"/>
  <c r="U2307" i="2"/>
  <c r="U2314" i="2"/>
  <c r="U2315" i="2"/>
  <c r="U2317" i="2"/>
  <c r="U2321" i="2"/>
  <c r="U2322" i="2"/>
  <c r="U2323" i="2"/>
  <c r="U2325" i="2"/>
  <c r="U2328" i="2"/>
  <c r="U2331" i="2"/>
  <c r="U2334" i="2"/>
  <c r="U2338" i="2"/>
  <c r="U2340" i="2"/>
  <c r="U2341" i="2"/>
  <c r="U2343" i="2"/>
  <c r="U2345" i="2"/>
  <c r="U2349" i="2"/>
  <c r="U2374" i="2"/>
  <c r="U2377" i="2"/>
  <c r="U2378" i="2"/>
  <c r="U2380" i="2"/>
  <c r="U2383" i="2"/>
  <c r="U2384" i="2"/>
  <c r="U2386" i="2"/>
  <c r="U2387" i="2"/>
  <c r="U2391" i="2"/>
  <c r="U2393" i="2"/>
  <c r="U2396" i="2"/>
  <c r="U2405" i="2"/>
  <c r="U2408" i="2"/>
  <c r="U2410" i="2"/>
  <c r="U2416" i="2"/>
  <c r="U2419" i="2"/>
  <c r="U2421" i="2"/>
  <c r="U2423" i="2"/>
  <c r="U2428" i="2"/>
  <c r="U2430" i="2"/>
  <c r="U2431" i="2"/>
  <c r="U2435" i="2"/>
  <c r="U2439" i="2"/>
  <c r="U2440" i="2"/>
  <c r="U2442" i="2"/>
  <c r="U2451" i="2"/>
  <c r="U2452" i="2"/>
  <c r="U2457" i="2"/>
  <c r="U2460" i="2"/>
  <c r="U2466" i="2"/>
  <c r="U2474" i="2"/>
  <c r="U2475" i="2"/>
  <c r="U2476" i="2"/>
  <c r="U2478" i="2"/>
  <c r="U2485" i="2"/>
  <c r="U2486" i="2"/>
  <c r="U2489" i="2"/>
  <c r="U2490" i="2"/>
  <c r="U2497" i="2"/>
  <c r="U2499" i="2"/>
  <c r="U2500" i="2"/>
  <c r="U2508" i="2"/>
  <c r="U2514" i="2"/>
  <c r="U2516" i="2"/>
  <c r="U2519" i="2"/>
  <c r="U2522" i="2"/>
  <c r="U2523" i="2"/>
  <c r="U2530" i="2"/>
  <c r="U2531" i="2"/>
  <c r="U2533" i="2"/>
  <c r="U2536" i="2"/>
  <c r="U2545" i="2"/>
  <c r="U2547" i="2"/>
  <c r="U2548" i="2"/>
  <c r="U2550" i="2"/>
  <c r="U2552" i="2"/>
  <c r="U2554" i="2"/>
  <c r="U2555" i="2"/>
  <c r="U2561" i="2"/>
  <c r="U2562" i="2"/>
  <c r="U2564" i="2"/>
  <c r="U2565" i="2"/>
  <c r="U2570" i="2"/>
  <c r="U2572" i="2"/>
  <c r="U2574" i="2"/>
  <c r="U2575" i="2"/>
  <c r="U2577" i="2"/>
  <c r="U2585" i="2"/>
  <c r="U2587" i="2"/>
  <c r="U2592" i="2"/>
  <c r="U2601" i="2"/>
  <c r="U2602" i="2"/>
  <c r="U2607" i="2"/>
  <c r="U2609" i="2"/>
  <c r="U2611" i="2"/>
  <c r="U2612" i="2"/>
  <c r="U2624" i="2"/>
  <c r="U2625" i="2"/>
  <c r="U2629" i="2"/>
  <c r="U2630" i="2"/>
  <c r="U2633" i="2"/>
  <c r="U2637" i="2"/>
  <c r="U2639" i="2"/>
  <c r="U2640" i="2"/>
  <c r="U2641" i="2"/>
  <c r="U2647" i="2"/>
  <c r="U2650" i="2"/>
  <c r="U2651" i="2"/>
  <c r="U2662" i="2"/>
  <c r="U2673" i="2"/>
  <c r="U2674" i="2"/>
  <c r="U2679" i="2"/>
  <c r="U2681" i="2"/>
  <c r="U2687" i="2"/>
  <c r="U2689" i="2"/>
  <c r="U2690" i="2"/>
  <c r="U2694" i="2"/>
  <c r="U2696" i="2"/>
  <c r="U2697" i="2"/>
  <c r="U2702" i="2"/>
  <c r="U2706" i="2"/>
  <c r="U2711" i="2"/>
  <c r="U2712" i="2"/>
  <c r="U2714" i="2"/>
  <c r="U2725" i="2"/>
  <c r="U2727" i="2"/>
  <c r="U2729" i="2"/>
  <c r="U2733" i="2"/>
  <c r="U2734" i="2"/>
  <c r="U2735" i="2"/>
  <c r="U2738" i="2"/>
  <c r="U2746" i="2"/>
  <c r="U2747" i="2"/>
  <c r="U2749" i="2"/>
  <c r="U2750" i="2"/>
  <c r="U2759" i="2"/>
  <c r="U2776" i="2"/>
  <c r="U2777" i="2"/>
  <c r="U2779" i="2"/>
  <c r="U2780" i="2"/>
  <c r="U2782" i="2"/>
  <c r="U2784" i="2"/>
  <c r="U2786" i="2"/>
  <c r="U2788" i="2"/>
  <c r="U2789" i="2"/>
  <c r="U2800" i="2"/>
  <c r="U2803" i="2"/>
  <c r="U2808" i="2"/>
  <c r="U2810" i="2"/>
  <c r="U2813" i="2"/>
  <c r="U2814" i="2"/>
  <c r="U2826" i="2"/>
  <c r="U2827" i="2"/>
  <c r="U2835" i="2"/>
  <c r="U2836" i="2"/>
  <c r="U2838" i="2"/>
  <c r="U2840" i="2"/>
  <c r="U2844" i="2"/>
  <c r="U2854" i="2"/>
  <c r="U2856" i="2"/>
  <c r="U2858" i="2"/>
  <c r="U2861" i="2"/>
  <c r="U2864" i="2"/>
  <c r="U2866" i="2"/>
  <c r="U2867" i="2"/>
  <c r="U2872" i="2"/>
  <c r="U2873" i="2"/>
  <c r="U2879" i="2"/>
  <c r="U2882" i="2"/>
  <c r="U2883" i="2"/>
  <c r="U2890" i="2"/>
  <c r="U2892" i="2"/>
  <c r="U2894" i="2"/>
  <c r="U2895" i="2"/>
  <c r="U2896" i="2"/>
  <c r="U2899" i="2"/>
  <c r="U2901" i="2"/>
  <c r="U2902" i="2"/>
  <c r="U2907" i="2"/>
  <c r="U2909" i="2"/>
  <c r="U2911" i="2"/>
  <c r="U2912" i="2"/>
  <c r="U2920" i="2"/>
  <c r="U2921" i="2"/>
  <c r="U2926" i="2"/>
  <c r="U2927" i="2"/>
  <c r="U2933" i="2"/>
  <c r="U2935" i="2"/>
  <c r="U2937" i="2"/>
  <c r="U2938" i="2"/>
  <c r="U2940" i="2"/>
  <c r="U2948" i="2"/>
  <c r="U2949" i="2"/>
  <c r="U2951" i="2"/>
  <c r="U2952" i="2"/>
  <c r="U2954" i="2"/>
  <c r="U2963" i="2"/>
  <c r="U2964" i="2"/>
  <c r="U2965" i="2"/>
  <c r="U2971" i="2"/>
  <c r="U2974" i="2"/>
  <c r="U2979" i="2"/>
  <c r="U2982" i="2"/>
  <c r="U2983" i="2"/>
  <c r="U2990" i="2"/>
  <c r="U2991" i="2"/>
  <c r="U2992" i="2"/>
  <c r="U2996" i="2"/>
  <c r="U2997" i="2"/>
  <c r="U2999" i="2"/>
  <c r="U3002" i="2"/>
  <c r="U3011" i="2"/>
  <c r="U3013" i="2"/>
  <c r="U3014" i="2"/>
  <c r="U3016" i="2"/>
  <c r="U3017" i="2"/>
  <c r="U3020" i="2"/>
  <c r="U3022" i="2"/>
  <c r="U3024" i="2"/>
  <c r="U3028" i="2"/>
  <c r="U3029" i="2"/>
  <c r="U3032" i="2"/>
  <c r="U3036" i="2"/>
  <c r="U3040" i="2"/>
  <c r="U3043" i="2"/>
  <c r="U3044" i="2"/>
  <c r="U3048" i="2"/>
  <c r="U3051" i="2"/>
  <c r="U3053" i="2"/>
  <c r="U3055" i="2"/>
  <c r="U3058" i="2"/>
  <c r="U3060" i="2"/>
  <c r="U3061" i="2"/>
  <c r="U3065" i="2"/>
  <c r="U3071" i="2"/>
  <c r="U3082" i="2"/>
  <c r="U3083" i="2"/>
  <c r="U3084" i="2"/>
  <c r="U3089" i="2"/>
  <c r="U3091" i="2"/>
  <c r="U3099" i="2"/>
  <c r="U3104" i="2"/>
  <c r="U3105" i="2"/>
  <c r="U3107" i="2"/>
  <c r="U3108" i="2"/>
  <c r="U3113" i="2"/>
  <c r="U3116" i="2"/>
  <c r="U3118" i="2"/>
  <c r="U3121" i="2"/>
  <c r="U3122" i="2"/>
  <c r="U3124" i="2"/>
  <c r="U3130" i="2"/>
  <c r="U3132" i="2"/>
  <c r="U3133" i="2"/>
  <c r="U3136" i="2"/>
  <c r="U3137" i="2"/>
  <c r="U3139" i="2"/>
  <c r="U3141" i="2"/>
  <c r="U3146" i="2"/>
  <c r="U3150" i="2"/>
  <c r="U3153" i="2"/>
  <c r="U3163" i="2"/>
  <c r="U3168" i="2"/>
  <c r="U3170" i="2"/>
  <c r="U3175" i="2"/>
  <c r="U3179" i="2"/>
  <c r="U3193" i="2"/>
  <c r="U3197" i="2"/>
  <c r="U3202" i="2"/>
  <c r="U3203" i="2"/>
  <c r="U3207" i="2"/>
  <c r="U3211" i="2"/>
  <c r="U3215" i="2"/>
  <c r="U3216" i="2"/>
  <c r="U3217" i="2"/>
  <c r="U3218" i="2"/>
  <c r="U3223" i="2"/>
  <c r="U3226" i="2"/>
  <c r="U3227" i="2"/>
  <c r="U3232" i="2"/>
  <c r="U3233" i="2"/>
  <c r="U3235" i="2"/>
  <c r="U3236" i="2"/>
  <c r="U3237" i="2"/>
  <c r="U3238" i="2"/>
  <c r="U3239" i="2"/>
  <c r="U3241" i="2"/>
  <c r="U3243" i="2"/>
  <c r="U3244" i="2"/>
  <c r="U3247" i="2"/>
  <c r="U3248" i="2"/>
  <c r="U3249" i="2"/>
  <c r="U3257" i="2"/>
  <c r="U3267" i="2"/>
  <c r="U3273" i="2"/>
  <c r="U3275" i="2"/>
  <c r="U3276" i="2"/>
  <c r="U3278" i="2"/>
  <c r="U3282" i="2"/>
  <c r="U3284" i="2"/>
  <c r="U3290" i="2"/>
  <c r="U3291" i="2"/>
  <c r="U3293" i="2"/>
  <c r="U3294" i="2"/>
  <c r="U3301" i="2"/>
  <c r="U3305" i="2"/>
  <c r="U3306" i="2"/>
  <c r="U3311" i="2"/>
  <c r="U3323" i="2"/>
  <c r="U3328" i="2"/>
  <c r="U3330" i="2"/>
  <c r="U3337" i="2"/>
  <c r="U3338" i="2"/>
  <c r="U3341" i="2"/>
  <c r="U3342" i="2"/>
  <c r="U3343" i="2"/>
  <c r="U3344" i="2"/>
  <c r="U3347" i="2"/>
  <c r="U3349" i="2"/>
  <c r="U3350" i="2"/>
  <c r="U3354" i="2"/>
  <c r="U3356" i="2"/>
  <c r="U3357" i="2"/>
  <c r="U3364" i="2"/>
  <c r="U3366" i="2"/>
  <c r="U3373" i="2"/>
  <c r="U3376" i="2"/>
  <c r="U3378" i="2"/>
  <c r="U3384" i="2"/>
  <c r="U3393" i="2"/>
  <c r="U3395" i="2"/>
  <c r="U3402" i="2"/>
  <c r="U3410" i="2"/>
  <c r="U3411" i="2"/>
  <c r="U3415" i="2"/>
  <c r="U3429" i="2"/>
  <c r="U3434" i="2"/>
  <c r="U3437" i="2"/>
  <c r="U3442" i="2"/>
  <c r="U3455" i="2"/>
  <c r="U3462" i="2"/>
  <c r="U3472" i="2"/>
  <c r="U3473" i="2"/>
  <c r="U3479" i="2"/>
  <c r="U3480" i="2"/>
  <c r="U3482" i="2"/>
  <c r="U3483" i="2"/>
  <c r="U3493" i="2"/>
  <c r="U3496" i="2"/>
  <c r="U3502" i="2"/>
  <c r="U3505" i="2"/>
  <c r="U3508" i="2"/>
  <c r="U3513" i="2"/>
  <c r="U3516" i="2"/>
  <c r="U3519" i="2"/>
  <c r="U3520" i="2"/>
  <c r="U3521" i="2"/>
  <c r="U3524" i="2"/>
  <c r="U3526" i="2"/>
  <c r="U3529" i="2"/>
  <c r="U3530" i="2"/>
  <c r="U3531" i="2"/>
  <c r="U3532" i="2"/>
  <c r="U3538" i="2"/>
  <c r="U3539" i="2"/>
  <c r="U3542" i="2"/>
  <c r="U3545" i="2"/>
  <c r="U3546" i="2"/>
  <c r="U3547" i="2"/>
  <c r="U3553" i="2"/>
  <c r="U3557" i="2"/>
  <c r="U3563" i="2"/>
  <c r="U3566" i="2"/>
  <c r="U3568" i="2"/>
  <c r="U3569" i="2"/>
  <c r="U3570" i="2"/>
  <c r="U3572" i="2"/>
  <c r="U3578" i="2"/>
  <c r="U3579" i="2"/>
  <c r="U3585" i="2"/>
  <c r="U3595" i="2"/>
  <c r="U3596" i="2"/>
  <c r="U3604" i="2"/>
  <c r="U3605" i="2"/>
  <c r="U3607" i="2"/>
  <c r="U3608" i="2"/>
  <c r="U3610" i="2"/>
  <c r="U3612" i="2"/>
  <c r="U3619" i="2"/>
  <c r="U3623" i="2"/>
  <c r="U3625" i="2"/>
  <c r="U3626" i="2"/>
  <c r="U3629" i="2"/>
  <c r="U3633" i="2"/>
  <c r="U3637" i="2"/>
  <c r="U3638" i="2"/>
  <c r="U3639" i="2"/>
  <c r="U3641" i="2"/>
  <c r="U3642" i="2"/>
  <c r="U3645" i="2"/>
  <c r="U3647" i="2"/>
  <c r="U3648" i="2"/>
  <c r="U3655" i="2"/>
  <c r="U3657" i="2"/>
  <c r="U3659" i="2"/>
  <c r="U3662" i="2"/>
  <c r="U3665" i="2"/>
  <c r="U3668" i="2"/>
  <c r="U3671" i="2"/>
  <c r="U3673" i="2"/>
  <c r="U3676" i="2"/>
  <c r="U3677" i="2"/>
  <c r="U3683" i="2"/>
  <c r="U3687" i="2"/>
  <c r="U3689" i="2"/>
  <c r="U3693" i="2"/>
  <c r="U3698" i="2"/>
  <c r="U3700" i="2"/>
  <c r="U3701" i="2"/>
  <c r="U3703" i="2"/>
  <c r="U3708" i="2"/>
  <c r="U3709" i="2"/>
  <c r="U3710" i="2"/>
  <c r="U3711" i="2"/>
  <c r="U3722" i="2"/>
  <c r="U3728" i="2"/>
  <c r="U3730" i="2"/>
  <c r="U3735" i="2"/>
  <c r="U3736" i="2"/>
  <c r="U3737" i="2"/>
  <c r="U3741" i="2"/>
  <c r="U3746" i="2"/>
  <c r="U3749" i="2"/>
  <c r="U3751" i="2"/>
  <c r="U3753" i="2"/>
  <c r="U3760" i="2"/>
  <c r="U3766" i="2"/>
  <c r="U3767" i="2"/>
  <c r="U3768" i="2"/>
  <c r="U3774" i="2"/>
  <c r="U3777" i="2"/>
  <c r="U3780" i="2"/>
  <c r="U3781" i="2"/>
  <c r="U3786" i="2"/>
  <c r="U3789" i="2"/>
  <c r="U3791" i="2"/>
  <c r="U3793" i="2"/>
  <c r="U3795" i="2"/>
  <c r="U3797" i="2"/>
  <c r="U3802" i="2"/>
  <c r="U3804" i="2"/>
  <c r="U3815" i="2"/>
  <c r="U3821" i="2"/>
  <c r="U3825" i="2"/>
  <c r="U3828" i="2"/>
  <c r="U3837" i="2"/>
  <c r="U3839" i="2"/>
  <c r="U3848" i="2"/>
  <c r="U3850" i="2"/>
  <c r="U3857" i="2"/>
  <c r="U3858" i="2"/>
  <c r="U3863" i="2"/>
  <c r="U3864" i="2"/>
  <c r="U3867" i="2"/>
  <c r="U3870" i="2"/>
  <c r="U3871" i="2"/>
  <c r="U3873" i="2"/>
  <c r="U3874" i="2"/>
  <c r="U3895" i="2"/>
  <c r="U3899" i="2"/>
  <c r="U3901" i="2"/>
  <c r="U3905" i="2"/>
  <c r="U3912" i="2"/>
  <c r="U3913" i="2"/>
  <c r="U3915" i="2"/>
  <c r="U3918" i="2"/>
  <c r="U3926" i="2"/>
  <c r="U3927" i="2"/>
  <c r="U3928" i="2"/>
  <c r="U3931" i="2"/>
  <c r="U3935" i="2"/>
  <c r="U3937" i="2"/>
  <c r="U3941" i="2"/>
  <c r="U3945" i="2"/>
  <c r="U3946" i="2"/>
  <c r="U3948" i="2"/>
  <c r="U3952" i="2"/>
  <c r="U3960" i="2"/>
  <c r="U3979" i="2"/>
  <c r="U3984" i="2"/>
  <c r="U3992" i="2"/>
  <c r="U3993" i="2"/>
  <c r="U3997" i="2"/>
  <c r="U4001" i="2"/>
  <c r="U4002" i="2"/>
  <c r="U4004" i="2"/>
  <c r="U4009" i="2"/>
  <c r="U4010" i="2"/>
  <c r="U4011" i="2"/>
  <c r="U4015" i="2"/>
  <c r="U4018" i="2"/>
  <c r="U4019" i="2"/>
  <c r="U4025" i="2"/>
  <c r="U4026" i="2"/>
  <c r="U4030" i="2"/>
  <c r="U4031" i="2"/>
  <c r="U4032" i="2"/>
  <c r="U4036" i="2"/>
  <c r="U4038" i="2"/>
  <c r="U4040" i="2"/>
  <c r="U4044" i="2"/>
  <c r="U4059" i="2"/>
  <c r="U4067" i="2"/>
  <c r="U4069" i="2"/>
  <c r="U4071" i="2"/>
  <c r="U4081" i="2"/>
  <c r="U4083" i="2"/>
  <c r="U4086" i="2"/>
  <c r="U4087" i="2"/>
  <c r="U4095" i="2"/>
  <c r="U4106" i="2"/>
  <c r="U4108" i="2"/>
  <c r="U4109" i="2"/>
  <c r="U4130" i="2"/>
  <c r="U4136" i="2"/>
  <c r="U4138" i="2"/>
  <c r="U4140" i="2"/>
  <c r="U4152" i="2"/>
  <c r="U4156" i="2"/>
  <c r="U4165" i="2"/>
  <c r="U4168" i="2"/>
  <c r="U4172" i="2"/>
  <c r="U4175" i="2"/>
  <c r="U4178" i="2"/>
  <c r="U4182" i="2"/>
  <c r="U4189" i="2"/>
  <c r="U4197" i="2"/>
  <c r="U4201" i="2"/>
  <c r="U4204" i="2"/>
  <c r="U4205" i="2"/>
  <c r="U4214" i="2"/>
  <c r="U4219" i="2"/>
  <c r="U4222" i="2"/>
  <c r="U4223" i="2"/>
  <c r="U4230" i="2"/>
  <c r="U4232" i="2"/>
  <c r="U4233" i="2"/>
  <c r="U4234" i="2"/>
  <c r="U4237" i="2"/>
  <c r="U4239" i="2"/>
  <c r="U4240" i="2"/>
  <c r="U4243" i="2"/>
  <c r="U4253" i="2"/>
  <c r="U4254" i="2"/>
  <c r="U4255" i="2"/>
  <c r="U4256" i="2"/>
  <c r="U4260" i="2"/>
  <c r="U4263" i="2"/>
  <c r="U4266" i="2"/>
  <c r="U4267" i="2"/>
  <c r="U4270" i="2"/>
  <c r="U4274" i="2"/>
  <c r="U4279" i="2"/>
  <c r="U4282" i="2"/>
  <c r="U4285" i="2"/>
  <c r="U4289" i="2"/>
  <c r="U4291" i="2"/>
  <c r="U4294" i="2"/>
  <c r="U4299" i="2"/>
  <c r="U4300" i="2"/>
  <c r="U4304" i="2"/>
  <c r="U4306" i="2"/>
  <c r="U4308" i="2"/>
  <c r="U4311" i="2"/>
  <c r="U4314" i="2"/>
  <c r="U4315" i="2"/>
  <c r="U4319" i="2"/>
  <c r="U4321" i="2"/>
  <c r="U4324" i="2"/>
  <c r="U4336" i="2"/>
  <c r="U4337" i="2"/>
  <c r="U4338" i="2"/>
  <c r="U4340" i="2"/>
  <c r="U4342" i="2"/>
  <c r="U4348" i="2"/>
  <c r="U4351" i="2"/>
  <c r="U4352" i="2"/>
  <c r="U4353" i="2"/>
  <c r="U4354" i="2"/>
  <c r="U4361" i="2"/>
  <c r="U4374" i="2"/>
  <c r="U4375" i="2"/>
  <c r="U4377" i="2"/>
  <c r="U4379" i="2"/>
  <c r="U4380" i="2"/>
  <c r="U4391" i="2"/>
  <c r="U4395" i="2"/>
  <c r="U4397" i="2"/>
  <c r="U4404" i="2"/>
  <c r="U4408" i="2"/>
  <c r="U4410" i="2"/>
  <c r="U4414" i="2"/>
  <c r="U4415" i="2"/>
  <c r="U4419" i="2"/>
  <c r="U4420" i="2"/>
  <c r="U4423" i="2"/>
  <c r="U4429" i="2"/>
  <c r="U4433" i="2"/>
  <c r="U4434" i="2"/>
  <c r="U4435" i="2"/>
  <c r="U4437" i="2"/>
  <c r="U4444" i="2"/>
  <c r="U4445" i="2"/>
  <c r="U4448" i="2"/>
  <c r="U4449" i="2"/>
  <c r="U4450" i="2"/>
  <c r="U4458" i="2"/>
  <c r="U4459" i="2"/>
  <c r="U4460" i="2"/>
  <c r="U4464" i="2"/>
  <c r="U4469" i="2"/>
  <c r="U4471" i="2"/>
  <c r="U4472" i="2"/>
  <c r="U4475" i="2"/>
  <c r="U4476" i="2"/>
  <c r="U4477" i="2"/>
  <c r="U4479" i="2"/>
  <c r="U4480" i="2"/>
  <c r="U4482" i="2"/>
  <c r="U4484" i="2"/>
  <c r="U4486" i="2"/>
  <c r="U4489" i="2"/>
  <c r="U4494" i="2"/>
  <c r="U4497" i="2"/>
  <c r="U4498" i="2"/>
  <c r="U4502" i="2"/>
  <c r="U4519" i="2"/>
  <c r="U4523" i="2"/>
  <c r="U4527" i="2"/>
  <c r="U4529" i="2"/>
  <c r="U4531" i="2"/>
  <c r="U4534" i="2"/>
  <c r="U4537" i="2"/>
  <c r="U4538" i="2"/>
  <c r="U4547" i="2"/>
  <c r="U4549" i="2"/>
  <c r="U4560" i="2"/>
  <c r="U4563" i="2"/>
  <c r="U4572" i="2"/>
  <c r="U4573" i="2"/>
  <c r="U4575" i="2"/>
  <c r="U4576" i="2"/>
  <c r="U4577" i="2"/>
  <c r="U4579" i="2"/>
  <c r="U4600" i="2"/>
  <c r="U4602" i="2"/>
  <c r="U4605" i="2"/>
  <c r="U4614" i="2"/>
  <c r="U4618" i="2"/>
  <c r="U4619" i="2"/>
  <c r="U4622" i="2"/>
  <c r="U4626" i="2"/>
  <c r="U4629" i="2"/>
  <c r="U4630" i="2"/>
  <c r="U4636" i="2"/>
  <c r="U4637" i="2"/>
  <c r="U4645" i="2"/>
  <c r="U4648" i="2"/>
  <c r="U4649" i="2"/>
  <c r="U4652" i="2"/>
  <c r="U4655" i="2"/>
  <c r="U4669" i="2"/>
  <c r="U4683" i="2"/>
  <c r="U4688" i="2"/>
  <c r="U4689" i="2"/>
  <c r="U4691" i="2"/>
  <c r="U4700" i="2"/>
  <c r="U4703" i="2"/>
  <c r="U4704" i="2"/>
  <c r="U4713" i="2"/>
  <c r="U4716" i="2"/>
  <c r="U4727" i="2"/>
  <c r="U4732" i="2"/>
  <c r="U4740" i="2"/>
  <c r="U4746" i="2"/>
  <c r="U4747" i="2"/>
  <c r="U4749" i="2"/>
  <c r="U4753" i="2"/>
  <c r="U4757" i="2"/>
  <c r="U4770" i="2"/>
  <c r="U4775" i="2"/>
  <c r="U4777" i="2"/>
  <c r="U4780" i="2"/>
  <c r="U4783" i="2"/>
  <c r="U4790" i="2"/>
  <c r="U4792" i="2"/>
  <c r="U4794" i="2"/>
  <c r="U4798" i="2"/>
  <c r="U4799" i="2"/>
  <c r="U4800" i="2"/>
  <c r="U4801" i="2"/>
  <c r="U4805" i="2"/>
  <c r="U4806" i="2"/>
  <c r="U4808" i="2"/>
  <c r="U4812" i="2"/>
  <c r="U4821" i="2"/>
  <c r="U4822" i="2"/>
  <c r="U4828" i="2"/>
  <c r="U4832" i="2"/>
  <c r="U4835" i="2"/>
  <c r="U4837" i="2"/>
  <c r="U4843" i="2"/>
  <c r="U4845" i="2"/>
  <c r="U4846" i="2"/>
  <c r="U4849" i="2"/>
  <c r="U4852" i="2"/>
  <c r="U4857" i="2"/>
  <c r="U4867" i="2"/>
  <c r="U4870" i="2"/>
  <c r="U4878" i="2"/>
  <c r="U4879" i="2"/>
  <c r="U4881" i="2"/>
  <c r="U4883" i="2"/>
  <c r="U4884" i="2"/>
  <c r="U4900" i="2"/>
  <c r="U4902" i="2"/>
  <c r="U4904" i="2"/>
  <c r="U4907" i="2"/>
  <c r="U4909" i="2"/>
  <c r="U4913" i="2"/>
  <c r="U4915" i="2"/>
  <c r="U4925" i="2"/>
  <c r="U4926" i="2"/>
  <c r="U4928" i="2"/>
  <c r="U4930" i="2"/>
  <c r="U4932" i="2"/>
  <c r="U4933" i="2"/>
  <c r="U4938" i="2"/>
  <c r="U4941" i="2"/>
  <c r="U4953" i="2"/>
  <c r="U4954" i="2"/>
  <c r="U4957" i="2"/>
  <c r="U4961" i="2"/>
  <c r="U4966" i="2"/>
  <c r="U4967" i="2"/>
  <c r="U4973" i="2"/>
  <c r="U4975" i="2"/>
  <c r="U4979" i="2"/>
  <c r="U4980" i="2"/>
  <c r="U4982" i="2"/>
  <c r="U4983" i="2"/>
  <c r="U4988" i="2"/>
  <c r="U4989" i="2"/>
  <c r="U5001" i="2"/>
  <c r="U5007" i="2"/>
  <c r="U5013" i="2"/>
  <c r="U5019" i="2"/>
  <c r="U5021" i="2"/>
  <c r="U5027" i="2"/>
  <c r="U5029" i="2"/>
  <c r="U5031" i="2"/>
  <c r="U5032" i="2"/>
  <c r="U5033" i="2"/>
  <c r="U5035" i="2"/>
  <c r="U5036" i="2"/>
  <c r="U5044" i="2"/>
  <c r="U5046" i="2"/>
  <c r="U5048" i="2"/>
  <c r="U5050" i="2"/>
  <c r="U5052" i="2"/>
  <c r="U5053" i="2"/>
  <c r="U5057" i="2"/>
  <c r="U5059" i="2"/>
  <c r="U5061" i="2"/>
  <c r="U5072" i="2"/>
  <c r="U5074" i="2"/>
  <c r="U5076" i="2"/>
  <c r="U5078" i="2"/>
  <c r="U5079" i="2"/>
  <c r="U5082" i="2"/>
  <c r="U5085" i="2"/>
  <c r="U5094" i="2"/>
  <c r="U5095" i="2"/>
  <c r="U5098" i="2"/>
  <c r="U5101" i="2"/>
  <c r="U5103" i="2"/>
  <c r="U5109" i="2"/>
  <c r="U5111" i="2"/>
  <c r="U5112" i="2"/>
  <c r="U5118" i="2"/>
  <c r="U5119" i="2"/>
  <c r="U5120" i="2"/>
  <c r="U5121" i="2"/>
  <c r="U5122" i="2"/>
  <c r="U5123" i="2"/>
  <c r="U5129" i="2"/>
  <c r="U5133" i="2"/>
  <c r="U5139" i="2"/>
  <c r="U5141" i="2"/>
  <c r="U5149" i="2"/>
  <c r="U5152" i="2"/>
  <c r="U5153" i="2"/>
  <c r="U5154" i="2"/>
  <c r="U5156" i="2"/>
  <c r="U5159" i="2"/>
  <c r="U5168" i="2"/>
  <c r="U5175" i="2"/>
  <c r="U5176" i="2"/>
  <c r="U5177" i="2"/>
  <c r="U5186" i="2"/>
  <c r="U5187" i="2"/>
  <c r="U5190" i="2"/>
  <c r="U5191" i="2"/>
  <c r="U5194" i="2"/>
  <c r="U5203" i="2"/>
  <c r="U5217" i="2"/>
  <c r="U5221" i="2"/>
  <c r="U5227" i="2"/>
  <c r="U5228" i="2"/>
  <c r="U5232" i="2"/>
  <c r="U5234" i="2"/>
  <c r="U5240" i="2"/>
  <c r="U5244" i="2"/>
  <c r="U5248" i="2"/>
  <c r="U5249" i="2"/>
  <c r="U5250" i="2"/>
  <c r="U5252" i="2"/>
  <c r="U5258" i="2"/>
  <c r="U5260" i="2"/>
  <c r="U5261" i="2"/>
  <c r="U5263" i="2"/>
  <c r="U5269" i="2"/>
  <c r="U5273" i="2"/>
  <c r="U5274" i="2"/>
  <c r="U5276" i="2"/>
  <c r="U5281" i="2"/>
  <c r="U5285" i="2"/>
  <c r="U5290" i="2"/>
  <c r="U5292" i="2"/>
  <c r="U5297" i="2"/>
  <c r="U5299" i="2"/>
  <c r="U5302" i="2"/>
  <c r="U5306" i="2"/>
  <c r="U5323" i="2"/>
  <c r="U5329" i="2"/>
  <c r="U5332" i="2"/>
  <c r="U5335" i="2"/>
  <c r="U5338" i="2"/>
  <c r="U5343" i="2"/>
  <c r="U5344" i="2"/>
  <c r="U5346" i="2"/>
  <c r="U5347" i="2"/>
  <c r="U5348" i="2"/>
  <c r="U5350" i="2"/>
  <c r="U5351" i="2"/>
  <c r="U5352" i="2"/>
  <c r="U5353" i="2"/>
  <c r="U5362" i="2"/>
  <c r="U5364" i="2"/>
  <c r="U5368" i="2"/>
  <c r="U5369" i="2"/>
  <c r="U5371" i="2"/>
  <c r="U5373" i="2"/>
  <c r="U5378" i="2"/>
  <c r="U5380" i="2"/>
  <c r="U5384" i="2"/>
  <c r="U5386" i="2"/>
  <c r="U5388" i="2"/>
  <c r="U5389" i="2"/>
  <c r="U5396" i="2"/>
  <c r="U5397" i="2"/>
  <c r="U5398" i="2"/>
  <c r="U5399" i="2"/>
  <c r="U5400" i="2"/>
  <c r="U5402" i="2"/>
  <c r="U5403" i="2"/>
  <c r="U5404" i="2"/>
  <c r="U5408" i="2"/>
  <c r="U5409" i="2"/>
  <c r="U5410" i="2"/>
  <c r="U5411" i="2"/>
  <c r="U5416" i="2"/>
  <c r="U5419" i="2"/>
  <c r="U5421" i="2"/>
  <c r="U5433" i="2"/>
  <c r="U5434" i="2"/>
  <c r="U5436" i="2"/>
  <c r="U5441" i="2"/>
  <c r="U5443" i="2"/>
  <c r="U5445" i="2"/>
  <c r="U5447" i="2"/>
  <c r="U5449" i="2"/>
  <c r="U5457" i="2"/>
  <c r="U5459" i="2"/>
  <c r="U5461" i="2"/>
  <c r="U5462" i="2"/>
  <c r="U5463" i="2"/>
  <c r="U5465" i="2"/>
  <c r="U5467" i="2"/>
  <c r="U5468" i="2"/>
  <c r="U5470" i="2"/>
  <c r="U5477" i="2"/>
  <c r="U5480" i="2"/>
  <c r="U5481" i="2"/>
  <c r="U5487" i="2"/>
  <c r="U5488" i="2"/>
  <c r="U5490" i="2"/>
  <c r="U5491" i="2"/>
  <c r="U5492" i="2"/>
  <c r="U5493" i="2"/>
  <c r="U5494" i="2"/>
  <c r="U5505" i="2"/>
  <c r="U5506" i="2"/>
  <c r="U5507" i="2"/>
  <c r="U5509" i="2"/>
  <c r="U5516" i="2"/>
  <c r="U5518" i="2"/>
  <c r="U5523" i="2"/>
  <c r="U5527" i="2"/>
  <c r="U5529" i="2"/>
  <c r="U5531" i="2"/>
  <c r="U5532" i="2"/>
  <c r="U5534" i="2"/>
  <c r="U5539" i="2"/>
  <c r="U5541" i="2"/>
  <c r="U5543" i="2"/>
  <c r="U5546" i="2"/>
  <c r="U5547" i="2"/>
  <c r="U5550" i="2"/>
  <c r="U5551" i="2"/>
  <c r="U5555" i="2"/>
  <c r="U5557" i="2"/>
  <c r="U5559" i="2"/>
  <c r="U5564" i="2"/>
  <c r="U5569" i="2"/>
  <c r="U5571" i="2"/>
  <c r="U5584" i="2"/>
  <c r="U5585" i="2"/>
  <c r="U5591" i="2"/>
  <c r="U5598" i="2"/>
  <c r="U5601" i="2"/>
  <c r="U5609" i="2"/>
  <c r="U5612" i="2"/>
  <c r="U5613" i="2"/>
  <c r="U5621" i="2"/>
  <c r="U5622" i="2"/>
  <c r="U5623" i="2"/>
  <c r="U5626" i="2"/>
  <c r="U5627" i="2"/>
  <c r="U5629" i="2"/>
  <c r="U5641" i="2"/>
  <c r="U5642" i="2"/>
  <c r="U5643" i="2"/>
  <c r="U5644" i="2"/>
  <c r="U5653" i="2"/>
  <c r="U5659" i="2"/>
  <c r="U5661" i="2"/>
  <c r="U5669" i="2"/>
  <c r="U5672" i="2"/>
  <c r="U5673" i="2"/>
  <c r="U5678" i="2"/>
  <c r="U5680" i="2"/>
  <c r="U5681" i="2"/>
  <c r="U5684" i="2"/>
  <c r="U5686" i="2"/>
  <c r="U5687" i="2"/>
  <c r="U5693" i="2"/>
  <c r="U5697" i="2"/>
  <c r="U5698" i="2"/>
  <c r="U5702" i="2"/>
  <c r="U5708" i="2"/>
  <c r="U5710" i="2"/>
  <c r="U5715" i="2"/>
  <c r="U5716" i="2"/>
  <c r="U5722" i="2"/>
  <c r="U5726" i="2"/>
  <c r="U5728" i="2"/>
  <c r="U5741" i="2"/>
  <c r="U5743" i="2"/>
  <c r="U5756" i="2"/>
  <c r="U5759" i="2"/>
  <c r="U5767" i="2"/>
  <c r="U5768" i="2"/>
  <c r="U5769" i="2"/>
  <c r="U5772" i="2"/>
  <c r="U5775" i="2"/>
  <c r="U5776" i="2"/>
  <c r="U5778" i="2"/>
  <c r="U5782" i="2"/>
  <c r="U5785" i="2"/>
  <c r="U5791" i="2"/>
  <c r="U5797" i="2"/>
  <c r="U5801" i="2"/>
  <c r="U5803" i="2"/>
  <c r="U5805" i="2"/>
  <c r="U5807" i="2"/>
  <c r="U5812" i="2"/>
  <c r="U5816" i="2"/>
  <c r="U5818" i="2"/>
  <c r="U5820" i="2"/>
  <c r="U5822" i="2"/>
  <c r="U5825" i="2"/>
  <c r="U5830" i="2"/>
  <c r="U5832" i="2"/>
  <c r="U5835" i="2"/>
  <c r="U5840" i="2"/>
  <c r="U5841" i="2"/>
  <c r="U5843" i="2"/>
  <c r="U5844" i="2"/>
  <c r="U5852" i="2"/>
  <c r="U5858" i="2"/>
  <c r="U5861" i="2"/>
  <c r="U5862" i="2"/>
  <c r="U5865" i="2"/>
  <c r="U5867" i="2"/>
  <c r="U5873" i="2"/>
  <c r="U5876" i="2"/>
  <c r="U5877" i="2"/>
  <c r="U5880" i="2"/>
  <c r="U5883" i="2"/>
  <c r="U5884" i="2"/>
  <c r="U5886" i="2"/>
  <c r="U5889" i="2"/>
  <c r="U5890" i="2"/>
  <c r="U5893" i="2"/>
  <c r="U5898" i="2"/>
  <c r="U5901" i="2"/>
  <c r="U5905" i="2"/>
  <c r="U5909" i="2"/>
  <c r="U5910" i="2"/>
  <c r="U5913" i="2"/>
  <c r="U5918" i="2"/>
  <c r="U5919" i="2"/>
  <c r="U5924" i="2"/>
  <c r="U5933" i="2"/>
  <c r="U5938" i="2"/>
  <c r="U5939" i="2"/>
  <c r="U5944" i="2"/>
  <c r="U5946" i="2"/>
  <c r="U5947" i="2"/>
  <c r="U5955" i="2"/>
  <c r="U5956" i="2"/>
  <c r="U5964" i="2"/>
  <c r="U5966" i="2"/>
  <c r="U5969" i="2"/>
  <c r="U5970" i="2"/>
  <c r="U5971" i="2"/>
  <c r="U5973" i="2"/>
  <c r="U5985" i="2"/>
  <c r="U5987" i="2"/>
  <c r="U5988" i="2"/>
  <c r="U5989" i="2"/>
  <c r="U5993" i="2"/>
  <c r="U5994" i="2"/>
  <c r="U6000" i="2"/>
  <c r="U6013" i="2"/>
  <c r="U6015" i="2"/>
  <c r="U6018" i="2"/>
  <c r="U6019" i="2"/>
  <c r="U6027" i="2"/>
  <c r="U6030" i="2"/>
  <c r="U6031" i="2"/>
  <c r="U6032" i="2"/>
  <c r="U6040" i="2"/>
  <c r="U6041" i="2"/>
  <c r="U6046" i="2"/>
  <c r="U6049" i="2"/>
  <c r="U6050" i="2"/>
  <c r="U6057" i="2"/>
  <c r="U6059" i="2"/>
  <c r="U6062" i="2"/>
  <c r="U6068" i="2"/>
  <c r="U6072" i="2"/>
  <c r="U6073" i="2"/>
  <c r="U6074" i="2"/>
  <c r="U6077" i="2"/>
  <c r="U6078" i="2"/>
  <c r="U6080" i="2"/>
  <c r="U6083" i="2"/>
  <c r="U6084" i="2"/>
  <c r="U6089" i="2"/>
  <c r="U6091" i="2"/>
  <c r="T4" i="2"/>
  <c r="T8" i="2"/>
  <c r="T15" i="2"/>
  <c r="T16" i="2"/>
  <c r="T20" i="2"/>
  <c r="T25" i="2"/>
  <c r="T28" i="2"/>
  <c r="T40" i="2"/>
  <c r="T44" i="2"/>
  <c r="T46" i="2"/>
  <c r="T50" i="2"/>
  <c r="T57" i="2"/>
  <c r="T61" i="2"/>
  <c r="T63" i="2"/>
  <c r="T66" i="2"/>
  <c r="T67" i="2"/>
  <c r="T69" i="2"/>
  <c r="T80" i="2"/>
  <c r="T84" i="2"/>
  <c r="T85" i="2"/>
  <c r="T89" i="2"/>
  <c r="T90" i="2"/>
  <c r="T98" i="2"/>
  <c r="T99" i="2"/>
  <c r="T106" i="2"/>
  <c r="T109" i="2"/>
  <c r="T111" i="2"/>
  <c r="T117" i="2"/>
  <c r="T120" i="2"/>
  <c r="T122" i="2"/>
  <c r="T125" i="2"/>
  <c r="T126" i="2"/>
  <c r="T130" i="2"/>
  <c r="T134" i="2"/>
  <c r="T137" i="2"/>
  <c r="T145" i="2"/>
  <c r="T153" i="2"/>
  <c r="T155" i="2"/>
  <c r="T156" i="2"/>
  <c r="T157" i="2"/>
  <c r="T164" i="2"/>
  <c r="T165" i="2"/>
  <c r="T166" i="2"/>
  <c r="T167" i="2"/>
  <c r="T168" i="2"/>
  <c r="T176" i="2"/>
  <c r="T177" i="2"/>
  <c r="T180" i="2"/>
  <c r="T182" i="2"/>
  <c r="T185" i="2"/>
  <c r="T186" i="2"/>
  <c r="T188" i="2"/>
  <c r="T198" i="2"/>
  <c r="T199" i="2"/>
  <c r="T200" i="2"/>
  <c r="T204" i="2"/>
  <c r="T210" i="2"/>
  <c r="T212" i="2"/>
  <c r="T213" i="2"/>
  <c r="T214" i="2"/>
  <c r="T215" i="2"/>
  <c r="T216" i="2"/>
  <c r="T218" i="2"/>
  <c r="T224" i="2"/>
  <c r="T230" i="2"/>
  <c r="T236" i="2"/>
  <c r="T240" i="2"/>
  <c r="T241" i="2"/>
  <c r="T242" i="2"/>
  <c r="T243" i="2"/>
  <c r="T244" i="2"/>
  <c r="T245" i="2"/>
  <c r="T246" i="2"/>
  <c r="T248" i="2"/>
  <c r="T251" i="2"/>
  <c r="T257" i="2"/>
  <c r="T266" i="2"/>
  <c r="T270" i="2"/>
  <c r="T275" i="2"/>
  <c r="T289" i="2"/>
  <c r="T303" i="2"/>
  <c r="T306" i="2"/>
  <c r="T307" i="2"/>
  <c r="T315" i="2"/>
  <c r="T316" i="2"/>
  <c r="T318" i="2"/>
  <c r="T322" i="2"/>
  <c r="T323" i="2"/>
  <c r="T324" i="2"/>
  <c r="T325" i="2"/>
  <c r="T326" i="2"/>
  <c r="T334" i="2"/>
  <c r="T336" i="2"/>
  <c r="T340" i="2"/>
  <c r="T341" i="2"/>
  <c r="T342" i="2"/>
  <c r="T350" i="2"/>
  <c r="T352" i="2"/>
  <c r="T356" i="2"/>
  <c r="T358" i="2"/>
  <c r="T359" i="2"/>
  <c r="T367" i="2"/>
  <c r="T372" i="2"/>
  <c r="T373" i="2"/>
  <c r="T380" i="2"/>
  <c r="T381" i="2"/>
  <c r="T384" i="2"/>
  <c r="T385" i="2"/>
  <c r="T386" i="2"/>
  <c r="T387" i="2"/>
  <c r="T397" i="2"/>
  <c r="T404" i="2"/>
  <c r="T408" i="2"/>
  <c r="T410" i="2"/>
  <c r="T412" i="2"/>
  <c r="T415" i="2"/>
  <c r="T416" i="2"/>
  <c r="T417" i="2"/>
  <c r="T420" i="2"/>
  <c r="T423" i="2"/>
  <c r="T424" i="2"/>
  <c r="T425" i="2"/>
  <c r="T427" i="2"/>
  <c r="T431" i="2"/>
  <c r="T435" i="2"/>
  <c r="T436" i="2"/>
  <c r="T438" i="2"/>
  <c r="T441" i="2"/>
  <c r="T446" i="2"/>
  <c r="T447" i="2"/>
  <c r="T459" i="2"/>
  <c r="T465" i="2"/>
  <c r="T467" i="2"/>
  <c r="T469" i="2"/>
  <c r="T472" i="2"/>
  <c r="T475" i="2"/>
  <c r="T477" i="2"/>
  <c r="T478" i="2"/>
  <c r="T480" i="2"/>
  <c r="T482" i="2"/>
  <c r="T489" i="2"/>
  <c r="T492" i="2"/>
  <c r="T499" i="2"/>
  <c r="T500" i="2"/>
  <c r="T504" i="2"/>
  <c r="T506" i="2"/>
  <c r="T509" i="2"/>
  <c r="T518" i="2"/>
  <c r="T520" i="2"/>
  <c r="T523" i="2"/>
  <c r="T527" i="2"/>
  <c r="T537" i="2"/>
  <c r="T543" i="2"/>
  <c r="T545" i="2"/>
  <c r="T551" i="2"/>
  <c r="T559" i="2"/>
  <c r="T561" i="2"/>
  <c r="T563" i="2"/>
  <c r="T568" i="2"/>
  <c r="T570" i="2"/>
  <c r="T571" i="2"/>
  <c r="T574" i="2"/>
  <c r="T578" i="2"/>
  <c r="T580" i="2"/>
  <c r="T582" i="2"/>
  <c r="T583" i="2"/>
  <c r="T595" i="2"/>
  <c r="T596" i="2"/>
  <c r="T598" i="2"/>
  <c r="T600" i="2"/>
  <c r="T601" i="2"/>
  <c r="T606" i="2"/>
  <c r="T609" i="2"/>
  <c r="T611" i="2"/>
  <c r="T612" i="2"/>
  <c r="T617" i="2"/>
  <c r="T618" i="2"/>
  <c r="T623" i="2"/>
  <c r="T625" i="2"/>
  <c r="T627" i="2"/>
  <c r="T629" i="2"/>
  <c r="T631" i="2"/>
  <c r="T632" i="2"/>
  <c r="T633" i="2"/>
  <c r="T634" i="2"/>
  <c r="T640" i="2"/>
  <c r="T643" i="2"/>
  <c r="T648" i="2"/>
  <c r="T650" i="2"/>
  <c r="T653" i="2"/>
  <c r="T654" i="2"/>
  <c r="T657" i="2"/>
  <c r="T667" i="2"/>
  <c r="T671" i="2"/>
  <c r="T674" i="2"/>
  <c r="T676" i="2"/>
  <c r="T677" i="2"/>
  <c r="T678" i="2"/>
  <c r="T679" i="2"/>
  <c r="T682" i="2"/>
  <c r="T684" i="2"/>
  <c r="T687" i="2"/>
  <c r="T693" i="2"/>
  <c r="T694" i="2"/>
  <c r="T695" i="2"/>
  <c r="T697" i="2"/>
  <c r="T698" i="2"/>
  <c r="T699" i="2"/>
  <c r="T701" i="2"/>
  <c r="T702" i="2"/>
  <c r="T706" i="2"/>
  <c r="T709" i="2"/>
  <c r="T714" i="2"/>
  <c r="T716" i="2"/>
  <c r="T717" i="2"/>
  <c r="T720" i="2"/>
  <c r="T721" i="2"/>
  <c r="T722" i="2"/>
  <c r="T723" i="2"/>
  <c r="T731" i="2"/>
  <c r="T738" i="2"/>
  <c r="T746" i="2"/>
  <c r="T748" i="2"/>
  <c r="T750" i="2"/>
  <c r="T754" i="2"/>
  <c r="T756" i="2"/>
  <c r="T769" i="2"/>
  <c r="T772" i="2"/>
  <c r="T776" i="2"/>
  <c r="T779" i="2"/>
  <c r="T780" i="2"/>
  <c r="T784" i="2"/>
  <c r="T785" i="2"/>
  <c r="T786" i="2"/>
  <c r="T788" i="2"/>
  <c r="T789" i="2"/>
  <c r="T791" i="2"/>
  <c r="T793" i="2"/>
  <c r="T798" i="2"/>
  <c r="T804" i="2"/>
  <c r="T808" i="2"/>
  <c r="T811" i="2"/>
  <c r="T813" i="2"/>
  <c r="T814" i="2"/>
  <c r="T819" i="2"/>
  <c r="T820" i="2"/>
  <c r="T823" i="2"/>
  <c r="T824" i="2"/>
  <c r="T829" i="2"/>
  <c r="T831" i="2"/>
  <c r="T833" i="2"/>
  <c r="T834" i="2"/>
  <c r="T836" i="2"/>
  <c r="T837" i="2"/>
  <c r="T843" i="2"/>
  <c r="T848" i="2"/>
  <c r="T852" i="2"/>
  <c r="T853" i="2"/>
  <c r="T863" i="2"/>
  <c r="T868" i="2"/>
  <c r="T870" i="2"/>
  <c r="T873" i="2"/>
  <c r="T874" i="2"/>
  <c r="T875" i="2"/>
  <c r="T881" i="2"/>
  <c r="T883" i="2"/>
  <c r="T884" i="2"/>
  <c r="T888" i="2"/>
  <c r="T889" i="2"/>
  <c r="T892" i="2"/>
  <c r="T893" i="2"/>
  <c r="T894" i="2"/>
  <c r="T898" i="2"/>
  <c r="T906" i="2"/>
  <c r="T910" i="2"/>
  <c r="T912" i="2"/>
  <c r="T915" i="2"/>
  <c r="T916" i="2"/>
  <c r="T921" i="2"/>
  <c r="T925" i="2"/>
  <c r="T928" i="2"/>
  <c r="T929" i="2"/>
  <c r="T933" i="2"/>
  <c r="T934" i="2"/>
  <c r="T939" i="2"/>
  <c r="T956" i="2"/>
  <c r="T960" i="2"/>
  <c r="T966" i="2"/>
  <c r="T967" i="2"/>
  <c r="T970" i="2"/>
  <c r="T977" i="2"/>
  <c r="T982" i="2"/>
  <c r="T984" i="2"/>
  <c r="T985" i="2"/>
  <c r="T986" i="2"/>
  <c r="T992" i="2"/>
  <c r="T996" i="2"/>
  <c r="T1002" i="2"/>
  <c r="T1004" i="2"/>
  <c r="T1014" i="2"/>
  <c r="T1015" i="2"/>
  <c r="T1020" i="2"/>
  <c r="T1023" i="2"/>
  <c r="T1024" i="2"/>
  <c r="T1025" i="2"/>
  <c r="T1026" i="2"/>
  <c r="T1029" i="2"/>
  <c r="T1033" i="2"/>
  <c r="T1034" i="2"/>
  <c r="T1037" i="2"/>
  <c r="T1039" i="2"/>
  <c r="T1040" i="2"/>
  <c r="T1042" i="2"/>
  <c r="T1050" i="2"/>
  <c r="T1052" i="2"/>
  <c r="T1053" i="2"/>
  <c r="T1058" i="2"/>
  <c r="T1063" i="2"/>
  <c r="T1064" i="2"/>
  <c r="T1066" i="2"/>
  <c r="T1067" i="2"/>
  <c r="T1071" i="2"/>
  <c r="T1074" i="2"/>
  <c r="T1075" i="2"/>
  <c r="T1081" i="2"/>
  <c r="T1086" i="2"/>
  <c r="T1087" i="2"/>
  <c r="T1091" i="2"/>
  <c r="T1092" i="2"/>
  <c r="T1095" i="2"/>
  <c r="T1097" i="2"/>
  <c r="T1103" i="2"/>
  <c r="T1109" i="2"/>
  <c r="T1111" i="2"/>
  <c r="T1112" i="2"/>
  <c r="T1114" i="2"/>
  <c r="T1117" i="2"/>
  <c r="T1119" i="2"/>
  <c r="T1122" i="2"/>
  <c r="T1123" i="2"/>
  <c r="T1125" i="2"/>
  <c r="T1130" i="2"/>
  <c r="T1133" i="2"/>
  <c r="T1136" i="2"/>
  <c r="T1144" i="2"/>
  <c r="T1145" i="2"/>
  <c r="T1153" i="2"/>
  <c r="T1154" i="2"/>
  <c r="T1159" i="2"/>
  <c r="T1164" i="2"/>
  <c r="T1166" i="2"/>
  <c r="T1176" i="2"/>
  <c r="T1178" i="2"/>
  <c r="T1190" i="2"/>
  <c r="T1193" i="2"/>
  <c r="T1194" i="2"/>
  <c r="T1195" i="2"/>
  <c r="T1198" i="2"/>
  <c r="T1199" i="2"/>
  <c r="T1201" i="2"/>
  <c r="T1202" i="2"/>
  <c r="T1203" i="2"/>
  <c r="T1209" i="2"/>
  <c r="T1217" i="2"/>
  <c r="T1218" i="2"/>
  <c r="T1219" i="2"/>
  <c r="T1223" i="2"/>
  <c r="T1225" i="2"/>
  <c r="T1229" i="2"/>
  <c r="T1233" i="2"/>
  <c r="T1235" i="2"/>
  <c r="T1243" i="2"/>
  <c r="T1244" i="2"/>
  <c r="T1247" i="2"/>
  <c r="T1255" i="2"/>
  <c r="T1258" i="2"/>
  <c r="T1260" i="2"/>
  <c r="T1261" i="2"/>
  <c r="T1262" i="2"/>
  <c r="T1265" i="2"/>
  <c r="T1266" i="2"/>
  <c r="T1270" i="2"/>
  <c r="T1271" i="2"/>
  <c r="T1273" i="2"/>
  <c r="T1275" i="2"/>
  <c r="T1276" i="2"/>
  <c r="T1277" i="2"/>
  <c r="T1282" i="2"/>
  <c r="T1298" i="2"/>
  <c r="T1299" i="2"/>
  <c r="T1301" i="2"/>
  <c r="T1306" i="2"/>
  <c r="T1308" i="2"/>
  <c r="T1310" i="2"/>
  <c r="T1311" i="2"/>
  <c r="T1312" i="2"/>
  <c r="T1316" i="2"/>
  <c r="T1317" i="2"/>
  <c r="T1318" i="2"/>
  <c r="T1322" i="2"/>
  <c r="T1326" i="2"/>
  <c r="T1331" i="2"/>
  <c r="T1334" i="2"/>
  <c r="T1342" i="2"/>
  <c r="T1355" i="2"/>
  <c r="T1358" i="2"/>
  <c r="T1361" i="2"/>
  <c r="T1368" i="2"/>
  <c r="T1370" i="2"/>
  <c r="T1371" i="2"/>
  <c r="T1372" i="2"/>
  <c r="T1380" i="2"/>
  <c r="T1382" i="2"/>
  <c r="T1383" i="2"/>
  <c r="T1388" i="2"/>
  <c r="T1390" i="2"/>
  <c r="T1391" i="2"/>
  <c r="T1399" i="2"/>
  <c r="T1405" i="2"/>
  <c r="T1409" i="2"/>
  <c r="T1411" i="2"/>
  <c r="T1412" i="2"/>
  <c r="T1415" i="2"/>
  <c r="T1416" i="2"/>
  <c r="T1418" i="2"/>
  <c r="T1420" i="2"/>
  <c r="T1438" i="2"/>
  <c r="T1439" i="2"/>
  <c r="T1443" i="2"/>
  <c r="T1450" i="2"/>
  <c r="T1452" i="2"/>
  <c r="T1455" i="2"/>
  <c r="T1459" i="2"/>
  <c r="T1460" i="2"/>
  <c r="T1467" i="2"/>
  <c r="T1469" i="2"/>
  <c r="T1471" i="2"/>
  <c r="T1472" i="2"/>
  <c r="T1473" i="2"/>
  <c r="T1475" i="2"/>
  <c r="T1478" i="2"/>
  <c r="T1479" i="2"/>
  <c r="T1480" i="2"/>
  <c r="T1481" i="2"/>
  <c r="T1484" i="2"/>
  <c r="T1491" i="2"/>
  <c r="T1492" i="2"/>
  <c r="T1493" i="2"/>
  <c r="T1497" i="2"/>
  <c r="T1498" i="2"/>
  <c r="T1500" i="2"/>
  <c r="T1502" i="2"/>
  <c r="T1507" i="2"/>
  <c r="T1512" i="2"/>
  <c r="T1521" i="2"/>
  <c r="T1535" i="2"/>
  <c r="T1536" i="2"/>
  <c r="T1542" i="2"/>
  <c r="T1545" i="2"/>
  <c r="T1546" i="2"/>
  <c r="T1547" i="2"/>
  <c r="T1552" i="2"/>
  <c r="T1553" i="2"/>
  <c r="T1556" i="2"/>
  <c r="T1565" i="2"/>
  <c r="T1570" i="2"/>
  <c r="T1572" i="2"/>
  <c r="T1579" i="2"/>
  <c r="T1580" i="2"/>
  <c r="T1583" i="2"/>
  <c r="T1584" i="2"/>
  <c r="T1587" i="2"/>
  <c r="T1588" i="2"/>
  <c r="T1593" i="2"/>
  <c r="T1594" i="2"/>
  <c r="T1595" i="2"/>
  <c r="T1600" i="2"/>
  <c r="T1612" i="2"/>
  <c r="T1613" i="2"/>
  <c r="T1616" i="2"/>
  <c r="T1620" i="2"/>
  <c r="T1626" i="2"/>
  <c r="T1627" i="2"/>
  <c r="T1628" i="2"/>
  <c r="T1630" i="2"/>
  <c r="T1637" i="2"/>
  <c r="T1639" i="2"/>
  <c r="T1641" i="2"/>
  <c r="T1644" i="2"/>
  <c r="T1646" i="2"/>
  <c r="T1649" i="2"/>
  <c r="T1653" i="2"/>
  <c r="T1654" i="2"/>
  <c r="T1655" i="2"/>
  <c r="T1656" i="2"/>
  <c r="T1659" i="2"/>
  <c r="T1664" i="2"/>
  <c r="T1667" i="2"/>
  <c r="T1668" i="2"/>
  <c r="T1674" i="2"/>
  <c r="T1675" i="2"/>
  <c r="T1676" i="2"/>
  <c r="T1678" i="2"/>
  <c r="T1693" i="2"/>
  <c r="T1698" i="2"/>
  <c r="T1709" i="2"/>
  <c r="T1710" i="2"/>
  <c r="T1711" i="2"/>
  <c r="T1713" i="2"/>
  <c r="T1714" i="2"/>
  <c r="T1716" i="2"/>
  <c r="T1720" i="2"/>
  <c r="T1724" i="2"/>
  <c r="T1725" i="2"/>
  <c r="T1735" i="2"/>
  <c r="T1736" i="2"/>
  <c r="T1740" i="2"/>
  <c r="T1741" i="2"/>
  <c r="T1752" i="2"/>
  <c r="T1754" i="2"/>
  <c r="T1757" i="2"/>
  <c r="T1761" i="2"/>
  <c r="T1764" i="2"/>
  <c r="T1769" i="2"/>
  <c r="T1770" i="2"/>
  <c r="T1771" i="2"/>
  <c r="T1775" i="2"/>
  <c r="T1782" i="2"/>
  <c r="T1783" i="2"/>
  <c r="T1786" i="2"/>
  <c r="T1787" i="2"/>
  <c r="T1792" i="2"/>
  <c r="T1793" i="2"/>
  <c r="T1796" i="2"/>
  <c r="T1797" i="2"/>
  <c r="T1800" i="2"/>
  <c r="T1803" i="2"/>
  <c r="T1804" i="2"/>
  <c r="T1820" i="2"/>
  <c r="T1821" i="2"/>
  <c r="T1823" i="2"/>
  <c r="T1825" i="2"/>
  <c r="T1828" i="2"/>
  <c r="T1831" i="2"/>
  <c r="T1835" i="2"/>
  <c r="T1836" i="2"/>
  <c r="T1837" i="2"/>
  <c r="T1839" i="2"/>
  <c r="T1841" i="2"/>
  <c r="T1842" i="2"/>
  <c r="T1850" i="2"/>
  <c r="T1852" i="2"/>
  <c r="T1854" i="2"/>
  <c r="T1856" i="2"/>
  <c r="T1858" i="2"/>
  <c r="T1860" i="2"/>
  <c r="T1863" i="2"/>
  <c r="T1865" i="2"/>
  <c r="T1866" i="2"/>
  <c r="T1868" i="2"/>
  <c r="T1872" i="2"/>
  <c r="T1873" i="2"/>
  <c r="T1874" i="2"/>
  <c r="T1880" i="2"/>
  <c r="T1882" i="2"/>
  <c r="T1883" i="2"/>
  <c r="T1887" i="2"/>
  <c r="T1889" i="2"/>
  <c r="T1890" i="2"/>
  <c r="T1893" i="2"/>
  <c r="T1898" i="2"/>
  <c r="T1900" i="2"/>
  <c r="T1906" i="2"/>
  <c r="T1917" i="2"/>
  <c r="T1918" i="2"/>
  <c r="T1919" i="2"/>
  <c r="T1920" i="2"/>
  <c r="T1921" i="2"/>
  <c r="T1924" i="2"/>
  <c r="T1930" i="2"/>
  <c r="T1932" i="2"/>
  <c r="T1933" i="2"/>
  <c r="T1934" i="2"/>
  <c r="T1940" i="2"/>
  <c r="T1941" i="2"/>
  <c r="T1943" i="2"/>
  <c r="T1948" i="2"/>
  <c r="T1949" i="2"/>
  <c r="T1964" i="2"/>
  <c r="T1967" i="2"/>
  <c r="T1969" i="2"/>
  <c r="T1974" i="2"/>
  <c r="T1975" i="2"/>
  <c r="T1978" i="2"/>
  <c r="T1979" i="2"/>
  <c r="T1982" i="2"/>
  <c r="T1990" i="2"/>
  <c r="T1992" i="2"/>
  <c r="T1998" i="2"/>
  <c r="T1999" i="2"/>
  <c r="T2007" i="2"/>
  <c r="T2012" i="2"/>
  <c r="T2014" i="2"/>
  <c r="T2016" i="2"/>
  <c r="T2017" i="2"/>
  <c r="T2019" i="2"/>
  <c r="T2020" i="2"/>
  <c r="T2021" i="2"/>
  <c r="T2023" i="2"/>
  <c r="T2027" i="2"/>
  <c r="T2030" i="2"/>
  <c r="T2032" i="2"/>
  <c r="T2040" i="2"/>
  <c r="T2066" i="2"/>
  <c r="T2068" i="2"/>
  <c r="T2075" i="2"/>
  <c r="T2077" i="2"/>
  <c r="T2079" i="2"/>
  <c r="T2083" i="2"/>
  <c r="T2084" i="2"/>
  <c r="T2087" i="2"/>
  <c r="T2088" i="2"/>
  <c r="T2105" i="2"/>
  <c r="T2107" i="2"/>
  <c r="T2108" i="2"/>
  <c r="T2110" i="2"/>
  <c r="T2111" i="2"/>
  <c r="T2113" i="2"/>
  <c r="T2115" i="2"/>
  <c r="T2124" i="2"/>
  <c r="T2125" i="2"/>
  <c r="T2128" i="2"/>
  <c r="T2130" i="2"/>
  <c r="T2146" i="2"/>
  <c r="T2147" i="2"/>
  <c r="T2149" i="2"/>
  <c r="T2151" i="2"/>
  <c r="T2152" i="2"/>
  <c r="T2168" i="2"/>
  <c r="T2174" i="2"/>
  <c r="T2176" i="2"/>
  <c r="T2177" i="2"/>
  <c r="T2178" i="2"/>
  <c r="T2181" i="2"/>
  <c r="T2185" i="2"/>
  <c r="T2187" i="2"/>
  <c r="T2190" i="2"/>
  <c r="T2191" i="2"/>
  <c r="T2192" i="2"/>
  <c r="T2194" i="2"/>
  <c r="T2199" i="2"/>
  <c r="T2200" i="2"/>
  <c r="T2203" i="2"/>
  <c r="T2204" i="2"/>
  <c r="T2209" i="2"/>
  <c r="T2211" i="2"/>
  <c r="T2212" i="2"/>
  <c r="T2215" i="2"/>
  <c r="T2217" i="2"/>
  <c r="T2218" i="2"/>
  <c r="T2221" i="2"/>
  <c r="T2222" i="2"/>
  <c r="T2227" i="2"/>
  <c r="T2229" i="2"/>
  <c r="T2230" i="2"/>
  <c r="T2237" i="2"/>
  <c r="T2239" i="2"/>
  <c r="T2240" i="2"/>
  <c r="T2245" i="2"/>
  <c r="T2247" i="2"/>
  <c r="T2249" i="2"/>
  <c r="T2250" i="2"/>
  <c r="T2251" i="2"/>
  <c r="T2253" i="2"/>
  <c r="T2255" i="2"/>
  <c r="T2256" i="2"/>
  <c r="T2258" i="2"/>
  <c r="T2259" i="2"/>
  <c r="T2263" i="2"/>
  <c r="T2264" i="2"/>
  <c r="T2265" i="2"/>
  <c r="T2266" i="2"/>
  <c r="T2274" i="2"/>
  <c r="T2275" i="2"/>
  <c r="T2277" i="2"/>
  <c r="T2279" i="2"/>
  <c r="T2280" i="2"/>
  <c r="T2283" i="2"/>
  <c r="T2289" i="2"/>
  <c r="T2291" i="2"/>
  <c r="T2298" i="2"/>
  <c r="T2299" i="2"/>
  <c r="T2301" i="2"/>
  <c r="T2303" i="2"/>
  <c r="T2307" i="2"/>
  <c r="T2314" i="2"/>
  <c r="T2315" i="2"/>
  <c r="T2317" i="2"/>
  <c r="T2321" i="2"/>
  <c r="T2322" i="2"/>
  <c r="T2323" i="2"/>
  <c r="T2325" i="2"/>
  <c r="T2328" i="2"/>
  <c r="T2331" i="2"/>
  <c r="T2334" i="2"/>
  <c r="T2338" i="2"/>
  <c r="T2340" i="2"/>
  <c r="T2341" i="2"/>
  <c r="T2343" i="2"/>
  <c r="T2345" i="2"/>
  <c r="T2349" i="2"/>
  <c r="T2374" i="2"/>
  <c r="T2377" i="2"/>
  <c r="T2378" i="2"/>
  <c r="T2380" i="2"/>
  <c r="T2383" i="2"/>
  <c r="T2384" i="2"/>
  <c r="T2386" i="2"/>
  <c r="T2387" i="2"/>
  <c r="T2391" i="2"/>
  <c r="T2393" i="2"/>
  <c r="T2396" i="2"/>
  <c r="T2405" i="2"/>
  <c r="T2408" i="2"/>
  <c r="T2410" i="2"/>
  <c r="T2416" i="2"/>
  <c r="T2419" i="2"/>
  <c r="T2421" i="2"/>
  <c r="T2423" i="2"/>
  <c r="T2428" i="2"/>
  <c r="T2430" i="2"/>
  <c r="T2431" i="2"/>
  <c r="T2435" i="2"/>
  <c r="T2439" i="2"/>
  <c r="T2440" i="2"/>
  <c r="T2442" i="2"/>
  <c r="T2451" i="2"/>
  <c r="T2452" i="2"/>
  <c r="T2457" i="2"/>
  <c r="T2460" i="2"/>
  <c r="T2466" i="2"/>
  <c r="T2474" i="2"/>
  <c r="T2475" i="2"/>
  <c r="T2476" i="2"/>
  <c r="T2478" i="2"/>
  <c r="T2485" i="2"/>
  <c r="T2486" i="2"/>
  <c r="T2489" i="2"/>
  <c r="T2490" i="2"/>
  <c r="T2497" i="2"/>
  <c r="T2499" i="2"/>
  <c r="T2500" i="2"/>
  <c r="T2508" i="2"/>
  <c r="T2514" i="2"/>
  <c r="T2516" i="2"/>
  <c r="T2519" i="2"/>
  <c r="T2522" i="2"/>
  <c r="T2523" i="2"/>
  <c r="T2530" i="2"/>
  <c r="T2531" i="2"/>
  <c r="T2533" i="2"/>
  <c r="T2536" i="2"/>
  <c r="T2545" i="2"/>
  <c r="T2547" i="2"/>
  <c r="T2548" i="2"/>
  <c r="T2550" i="2"/>
  <c r="T2552" i="2"/>
  <c r="T2554" i="2"/>
  <c r="T2555" i="2"/>
  <c r="T2561" i="2"/>
  <c r="T2562" i="2"/>
  <c r="T2564" i="2"/>
  <c r="T2565" i="2"/>
  <c r="T2570" i="2"/>
  <c r="T2572" i="2"/>
  <c r="T2574" i="2"/>
  <c r="T2575" i="2"/>
  <c r="T2577" i="2"/>
  <c r="T2585" i="2"/>
  <c r="T2587" i="2"/>
  <c r="T2592" i="2"/>
  <c r="T2601" i="2"/>
  <c r="T2602" i="2"/>
  <c r="T2607" i="2"/>
  <c r="T2609" i="2"/>
  <c r="T2611" i="2"/>
  <c r="T2612" i="2"/>
  <c r="T2624" i="2"/>
  <c r="T2625" i="2"/>
  <c r="T2629" i="2"/>
  <c r="T2630" i="2"/>
  <c r="T2633" i="2"/>
  <c r="T2637" i="2"/>
  <c r="T2639" i="2"/>
  <c r="T2640" i="2"/>
  <c r="T2641" i="2"/>
  <c r="T2647" i="2"/>
  <c r="T2650" i="2"/>
  <c r="T2651" i="2"/>
  <c r="T2662" i="2"/>
  <c r="T2673" i="2"/>
  <c r="T2674" i="2"/>
  <c r="T2679" i="2"/>
  <c r="T2681" i="2"/>
  <c r="T2687" i="2"/>
  <c r="T2689" i="2"/>
  <c r="T2690" i="2"/>
  <c r="T2694" i="2"/>
  <c r="T2696" i="2"/>
  <c r="T2697" i="2"/>
  <c r="T2702" i="2"/>
  <c r="T2706" i="2"/>
  <c r="T2711" i="2"/>
  <c r="T2712" i="2"/>
  <c r="T2714" i="2"/>
  <c r="T2725" i="2"/>
  <c r="T2727" i="2"/>
  <c r="T2729" i="2"/>
  <c r="T2733" i="2"/>
  <c r="T2734" i="2"/>
  <c r="T2735" i="2"/>
  <c r="T2738" i="2"/>
  <c r="T2746" i="2"/>
  <c r="T2747" i="2"/>
  <c r="T2749" i="2"/>
  <c r="T2750" i="2"/>
  <c r="T2759" i="2"/>
  <c r="T2776" i="2"/>
  <c r="T2777" i="2"/>
  <c r="T2779" i="2"/>
  <c r="T2780" i="2"/>
  <c r="T2782" i="2"/>
  <c r="T2784" i="2"/>
  <c r="T2786" i="2"/>
  <c r="T2788" i="2"/>
  <c r="T2789" i="2"/>
  <c r="T2800" i="2"/>
  <c r="T2803" i="2"/>
  <c r="T2808" i="2"/>
  <c r="T2810" i="2"/>
  <c r="T2813" i="2"/>
  <c r="T2814" i="2"/>
  <c r="T2826" i="2"/>
  <c r="T2827" i="2"/>
  <c r="T2835" i="2"/>
  <c r="T2836" i="2"/>
  <c r="T2838" i="2"/>
  <c r="T2840" i="2"/>
  <c r="T2844" i="2"/>
  <c r="T2854" i="2"/>
  <c r="T2856" i="2"/>
  <c r="T2858" i="2"/>
  <c r="T2861" i="2"/>
  <c r="T2864" i="2"/>
  <c r="T2866" i="2"/>
  <c r="T2867" i="2"/>
  <c r="T2872" i="2"/>
  <c r="T2873" i="2"/>
  <c r="T2879" i="2"/>
  <c r="T2882" i="2"/>
  <c r="T2883" i="2"/>
  <c r="T2890" i="2"/>
  <c r="T2892" i="2"/>
  <c r="T2894" i="2"/>
  <c r="T2895" i="2"/>
  <c r="T2896" i="2"/>
  <c r="T2899" i="2"/>
  <c r="T2901" i="2"/>
  <c r="T2902" i="2"/>
  <c r="T2907" i="2"/>
  <c r="T2909" i="2"/>
  <c r="T2911" i="2"/>
  <c r="T2912" i="2"/>
  <c r="T2920" i="2"/>
  <c r="T2921" i="2"/>
  <c r="T2926" i="2"/>
  <c r="T2927" i="2"/>
  <c r="T2933" i="2"/>
  <c r="T2935" i="2"/>
  <c r="T2937" i="2"/>
  <c r="T2938" i="2"/>
  <c r="T2940" i="2"/>
  <c r="T2948" i="2"/>
  <c r="T2949" i="2"/>
  <c r="T2951" i="2"/>
  <c r="T2952" i="2"/>
  <c r="T2954" i="2"/>
  <c r="T2963" i="2"/>
  <c r="T2964" i="2"/>
  <c r="T2965" i="2"/>
  <c r="T2971" i="2"/>
  <c r="T2974" i="2"/>
  <c r="T2979" i="2"/>
  <c r="T2982" i="2"/>
  <c r="T2983" i="2"/>
  <c r="T2990" i="2"/>
  <c r="T2991" i="2"/>
  <c r="T2992" i="2"/>
  <c r="T2996" i="2"/>
  <c r="T2997" i="2"/>
  <c r="T2999" i="2"/>
  <c r="T3002" i="2"/>
  <c r="T3011" i="2"/>
  <c r="T3013" i="2"/>
  <c r="T3014" i="2"/>
  <c r="T3016" i="2"/>
  <c r="T3017" i="2"/>
  <c r="T3020" i="2"/>
  <c r="T3022" i="2"/>
  <c r="T3024" i="2"/>
  <c r="T3028" i="2"/>
  <c r="T3029" i="2"/>
  <c r="T3032" i="2"/>
  <c r="T3036" i="2"/>
  <c r="T3040" i="2"/>
  <c r="T3043" i="2"/>
  <c r="T3044" i="2"/>
  <c r="T3048" i="2"/>
  <c r="T3051" i="2"/>
  <c r="T3053" i="2"/>
  <c r="T3055" i="2"/>
  <c r="T3058" i="2"/>
  <c r="T3060" i="2"/>
  <c r="T3061" i="2"/>
  <c r="T3065" i="2"/>
  <c r="T3071" i="2"/>
  <c r="T3082" i="2"/>
  <c r="T3083" i="2"/>
  <c r="T3084" i="2"/>
  <c r="T3089" i="2"/>
  <c r="T3091" i="2"/>
  <c r="T3099" i="2"/>
  <c r="T3104" i="2"/>
  <c r="T3105" i="2"/>
  <c r="T3107" i="2"/>
  <c r="T3108" i="2"/>
  <c r="T3113" i="2"/>
  <c r="T3116" i="2"/>
  <c r="T3118" i="2"/>
  <c r="T3121" i="2"/>
  <c r="T3122" i="2"/>
  <c r="T3124" i="2"/>
  <c r="T3130" i="2"/>
  <c r="T3132" i="2"/>
  <c r="T3133" i="2"/>
  <c r="T3136" i="2"/>
  <c r="T3137" i="2"/>
  <c r="T3139" i="2"/>
  <c r="T3141" i="2"/>
  <c r="T3146" i="2"/>
  <c r="T3150" i="2"/>
  <c r="T3153" i="2"/>
  <c r="T3163" i="2"/>
  <c r="T3168" i="2"/>
  <c r="T3170" i="2"/>
  <c r="T3175" i="2"/>
  <c r="T3179" i="2"/>
  <c r="T3193" i="2"/>
  <c r="T3197" i="2"/>
  <c r="T3202" i="2"/>
  <c r="T3203" i="2"/>
  <c r="T3207" i="2"/>
  <c r="T3211" i="2"/>
  <c r="T3215" i="2"/>
  <c r="T3216" i="2"/>
  <c r="T3217" i="2"/>
  <c r="T3218" i="2"/>
  <c r="T3223" i="2"/>
  <c r="T3226" i="2"/>
  <c r="T3227" i="2"/>
  <c r="T3232" i="2"/>
  <c r="T3233" i="2"/>
  <c r="T3235" i="2"/>
  <c r="T3236" i="2"/>
  <c r="T3237" i="2"/>
  <c r="T3238" i="2"/>
  <c r="T3239" i="2"/>
  <c r="T3241" i="2"/>
  <c r="T3243" i="2"/>
  <c r="T3244" i="2"/>
  <c r="T3247" i="2"/>
  <c r="T3248" i="2"/>
  <c r="T3249" i="2"/>
  <c r="T3257" i="2"/>
  <c r="T3267" i="2"/>
  <c r="T3273" i="2"/>
  <c r="T3275" i="2"/>
  <c r="T3276" i="2"/>
  <c r="T3278" i="2"/>
  <c r="T3282" i="2"/>
  <c r="T3284" i="2"/>
  <c r="T3290" i="2"/>
  <c r="T3291" i="2"/>
  <c r="T3293" i="2"/>
  <c r="T3294" i="2"/>
  <c r="T3301" i="2"/>
  <c r="T3305" i="2"/>
  <c r="T3306" i="2"/>
  <c r="T3311" i="2"/>
  <c r="T3323" i="2"/>
  <c r="T3328" i="2"/>
  <c r="T3330" i="2"/>
  <c r="T3337" i="2"/>
  <c r="T3338" i="2"/>
  <c r="T3341" i="2"/>
  <c r="T3342" i="2"/>
  <c r="T3343" i="2"/>
  <c r="T3344" i="2"/>
  <c r="T3347" i="2"/>
  <c r="T3349" i="2"/>
  <c r="T3350" i="2"/>
  <c r="T3354" i="2"/>
  <c r="T3356" i="2"/>
  <c r="T3357" i="2"/>
  <c r="T3364" i="2"/>
  <c r="T3366" i="2"/>
  <c r="T3373" i="2"/>
  <c r="T3376" i="2"/>
  <c r="T3378" i="2"/>
  <c r="T3384" i="2"/>
  <c r="T3393" i="2"/>
  <c r="T3395" i="2"/>
  <c r="T3402" i="2"/>
  <c r="T3410" i="2"/>
  <c r="T3411" i="2"/>
  <c r="T3415" i="2"/>
  <c r="T3429" i="2"/>
  <c r="T3434" i="2"/>
  <c r="T3437" i="2"/>
  <c r="T3442" i="2"/>
  <c r="T3455" i="2"/>
  <c r="T3462" i="2"/>
  <c r="T3472" i="2"/>
  <c r="T3473" i="2"/>
  <c r="T3479" i="2"/>
  <c r="T3480" i="2"/>
  <c r="T3482" i="2"/>
  <c r="T3483" i="2"/>
  <c r="T3493" i="2"/>
  <c r="T3496" i="2"/>
  <c r="T3502" i="2"/>
  <c r="T3505" i="2"/>
  <c r="T3508" i="2"/>
  <c r="T3513" i="2"/>
  <c r="T3516" i="2"/>
  <c r="T3519" i="2"/>
  <c r="T3520" i="2"/>
  <c r="T3521" i="2"/>
  <c r="T3524" i="2"/>
  <c r="T3526" i="2"/>
  <c r="T3529" i="2"/>
  <c r="T3530" i="2"/>
  <c r="T3531" i="2"/>
  <c r="T3532" i="2"/>
  <c r="T3538" i="2"/>
  <c r="T3539" i="2"/>
  <c r="T3542" i="2"/>
  <c r="T3545" i="2"/>
  <c r="T3546" i="2"/>
  <c r="T3547" i="2"/>
  <c r="T3553" i="2"/>
  <c r="T3557" i="2"/>
  <c r="T3563" i="2"/>
  <c r="T3566" i="2"/>
  <c r="T3568" i="2"/>
  <c r="T3569" i="2"/>
  <c r="T3570" i="2"/>
  <c r="T3572" i="2"/>
  <c r="T3578" i="2"/>
  <c r="T3579" i="2"/>
  <c r="T3585" i="2"/>
  <c r="T3595" i="2"/>
  <c r="T3596" i="2"/>
  <c r="T3604" i="2"/>
  <c r="T3605" i="2"/>
  <c r="T3607" i="2"/>
  <c r="T3608" i="2"/>
  <c r="T3610" i="2"/>
  <c r="T3612" i="2"/>
  <c r="T3619" i="2"/>
  <c r="T3623" i="2"/>
  <c r="T3625" i="2"/>
  <c r="T3626" i="2"/>
  <c r="T3629" i="2"/>
  <c r="T3633" i="2"/>
  <c r="T3637" i="2"/>
  <c r="T3638" i="2"/>
  <c r="T3639" i="2"/>
  <c r="T3641" i="2"/>
  <c r="T3642" i="2"/>
  <c r="T3645" i="2"/>
  <c r="T3647" i="2"/>
  <c r="T3648" i="2"/>
  <c r="T3655" i="2"/>
  <c r="T3657" i="2"/>
  <c r="T3659" i="2"/>
  <c r="T3662" i="2"/>
  <c r="T3665" i="2"/>
  <c r="T3668" i="2"/>
  <c r="T3671" i="2"/>
  <c r="T3673" i="2"/>
  <c r="T3676" i="2"/>
  <c r="T3677" i="2"/>
  <c r="T3683" i="2"/>
  <c r="T3687" i="2"/>
  <c r="T3689" i="2"/>
  <c r="T3693" i="2"/>
  <c r="T3698" i="2"/>
  <c r="T3700" i="2"/>
  <c r="T3701" i="2"/>
  <c r="T3703" i="2"/>
  <c r="T3708" i="2"/>
  <c r="T3709" i="2"/>
  <c r="T3710" i="2"/>
  <c r="T3711" i="2"/>
  <c r="T3722" i="2"/>
  <c r="T3728" i="2"/>
  <c r="T3730" i="2"/>
  <c r="T3735" i="2"/>
  <c r="T3736" i="2"/>
  <c r="T3737" i="2"/>
  <c r="T3741" i="2"/>
  <c r="T3746" i="2"/>
  <c r="T3749" i="2"/>
  <c r="T3751" i="2"/>
  <c r="T3753" i="2"/>
  <c r="T3760" i="2"/>
  <c r="T3766" i="2"/>
  <c r="T3767" i="2"/>
  <c r="T3768" i="2"/>
  <c r="T3774" i="2"/>
  <c r="T3777" i="2"/>
  <c r="T3780" i="2"/>
  <c r="T3781" i="2"/>
  <c r="T3786" i="2"/>
  <c r="T3789" i="2"/>
  <c r="T3791" i="2"/>
  <c r="T3793" i="2"/>
  <c r="T3795" i="2"/>
  <c r="T3797" i="2"/>
  <c r="T3802" i="2"/>
  <c r="T3804" i="2"/>
  <c r="T3815" i="2"/>
  <c r="T3821" i="2"/>
  <c r="T3825" i="2"/>
  <c r="T3828" i="2"/>
  <c r="T3837" i="2"/>
  <c r="T3839" i="2"/>
  <c r="T3848" i="2"/>
  <c r="T3850" i="2"/>
  <c r="T3857" i="2"/>
  <c r="T3858" i="2"/>
  <c r="T3863" i="2"/>
  <c r="T3864" i="2"/>
  <c r="T3867" i="2"/>
  <c r="T3870" i="2"/>
  <c r="T3871" i="2"/>
  <c r="T3873" i="2"/>
  <c r="T3874" i="2"/>
  <c r="T3895" i="2"/>
  <c r="T3899" i="2"/>
  <c r="T3901" i="2"/>
  <c r="T3905" i="2"/>
  <c r="T3912" i="2"/>
  <c r="T3913" i="2"/>
  <c r="T3915" i="2"/>
  <c r="T3918" i="2"/>
  <c r="T3926" i="2"/>
  <c r="T3927" i="2"/>
  <c r="T3928" i="2"/>
  <c r="T3931" i="2"/>
  <c r="T3935" i="2"/>
  <c r="T3937" i="2"/>
  <c r="T3941" i="2"/>
  <c r="T3945" i="2"/>
  <c r="T3946" i="2"/>
  <c r="T3948" i="2"/>
  <c r="T3952" i="2"/>
  <c r="T3960" i="2"/>
  <c r="T3979" i="2"/>
  <c r="T3984" i="2"/>
  <c r="T3992" i="2"/>
  <c r="T3993" i="2"/>
  <c r="T3997" i="2"/>
  <c r="T4001" i="2"/>
  <c r="T4002" i="2"/>
  <c r="T4004" i="2"/>
  <c r="T4009" i="2"/>
  <c r="T4010" i="2"/>
  <c r="T4011" i="2"/>
  <c r="T4015" i="2"/>
  <c r="T4018" i="2"/>
  <c r="T4019" i="2"/>
  <c r="T4025" i="2"/>
  <c r="T4026" i="2"/>
  <c r="T4030" i="2"/>
  <c r="T4031" i="2"/>
  <c r="T4032" i="2"/>
  <c r="T4036" i="2"/>
  <c r="T4038" i="2"/>
  <c r="T4040" i="2"/>
  <c r="T4044" i="2"/>
  <c r="T4059" i="2"/>
  <c r="T4067" i="2"/>
  <c r="T4069" i="2"/>
  <c r="T4071" i="2"/>
  <c r="T4081" i="2"/>
  <c r="T4083" i="2"/>
  <c r="T4086" i="2"/>
  <c r="T4087" i="2"/>
  <c r="T4095" i="2"/>
  <c r="T4106" i="2"/>
  <c r="T4108" i="2"/>
  <c r="T4109" i="2"/>
  <c r="T4130" i="2"/>
  <c r="T4136" i="2"/>
  <c r="T4138" i="2"/>
  <c r="T4140" i="2"/>
  <c r="T4152" i="2"/>
  <c r="T4156" i="2"/>
  <c r="T4165" i="2"/>
  <c r="T4168" i="2"/>
  <c r="T4172" i="2"/>
  <c r="T4175" i="2"/>
  <c r="T4178" i="2"/>
  <c r="T4182" i="2"/>
  <c r="T4189" i="2"/>
  <c r="T4197" i="2"/>
  <c r="T4201" i="2"/>
  <c r="T4204" i="2"/>
  <c r="T4205" i="2"/>
  <c r="T4214" i="2"/>
  <c r="T4219" i="2"/>
  <c r="T4222" i="2"/>
  <c r="T4223" i="2"/>
  <c r="T4230" i="2"/>
  <c r="T4232" i="2"/>
  <c r="T4233" i="2"/>
  <c r="T4234" i="2"/>
  <c r="T4237" i="2"/>
  <c r="T4239" i="2"/>
  <c r="T4240" i="2"/>
  <c r="T4243" i="2"/>
  <c r="T4253" i="2"/>
  <c r="T4254" i="2"/>
  <c r="T4255" i="2"/>
  <c r="T4256" i="2"/>
  <c r="T4260" i="2"/>
  <c r="T4263" i="2"/>
  <c r="T4266" i="2"/>
  <c r="T4267" i="2"/>
  <c r="T4270" i="2"/>
  <c r="T4274" i="2"/>
  <c r="T4279" i="2"/>
  <c r="T4282" i="2"/>
  <c r="T4285" i="2"/>
  <c r="T4289" i="2"/>
  <c r="T4291" i="2"/>
  <c r="T4294" i="2"/>
  <c r="T4299" i="2"/>
  <c r="T4300" i="2"/>
  <c r="T4304" i="2"/>
  <c r="T4306" i="2"/>
  <c r="T4308" i="2"/>
  <c r="T4311" i="2"/>
  <c r="T4314" i="2"/>
  <c r="T4315" i="2"/>
  <c r="T4319" i="2"/>
  <c r="T4321" i="2"/>
  <c r="T4324" i="2"/>
  <c r="T4336" i="2"/>
  <c r="T4337" i="2"/>
  <c r="T4338" i="2"/>
  <c r="T4340" i="2"/>
  <c r="T4342" i="2"/>
  <c r="T4348" i="2"/>
  <c r="T4351" i="2"/>
  <c r="T4352" i="2"/>
  <c r="T4353" i="2"/>
  <c r="T4354" i="2"/>
  <c r="T4361" i="2"/>
  <c r="T4374" i="2"/>
  <c r="T4375" i="2"/>
  <c r="T4377" i="2"/>
  <c r="T4379" i="2"/>
  <c r="T4380" i="2"/>
  <c r="T4391" i="2"/>
  <c r="T4395" i="2"/>
  <c r="T4397" i="2"/>
  <c r="T4404" i="2"/>
  <c r="T4408" i="2"/>
  <c r="T4410" i="2"/>
  <c r="T4414" i="2"/>
  <c r="T4415" i="2"/>
  <c r="T4419" i="2"/>
  <c r="T4420" i="2"/>
  <c r="T4423" i="2"/>
  <c r="T4429" i="2"/>
  <c r="T4433" i="2"/>
  <c r="T4434" i="2"/>
  <c r="T4435" i="2"/>
  <c r="T4437" i="2"/>
  <c r="T4444" i="2"/>
  <c r="T4445" i="2"/>
  <c r="T4448" i="2"/>
  <c r="T4449" i="2"/>
  <c r="T4450" i="2"/>
  <c r="T4458" i="2"/>
  <c r="T4459" i="2"/>
  <c r="T4460" i="2"/>
  <c r="T4464" i="2"/>
  <c r="T4469" i="2"/>
  <c r="T4471" i="2"/>
  <c r="T4472" i="2"/>
  <c r="T4475" i="2"/>
  <c r="T4476" i="2"/>
  <c r="T4477" i="2"/>
  <c r="T4479" i="2"/>
  <c r="T4480" i="2"/>
  <c r="T4482" i="2"/>
  <c r="T4484" i="2"/>
  <c r="T4486" i="2"/>
  <c r="T4489" i="2"/>
  <c r="T4494" i="2"/>
  <c r="T4497" i="2"/>
  <c r="T4498" i="2"/>
  <c r="T4502" i="2"/>
  <c r="T4519" i="2"/>
  <c r="T4523" i="2"/>
  <c r="T4527" i="2"/>
  <c r="T4529" i="2"/>
  <c r="T4531" i="2"/>
  <c r="T4534" i="2"/>
  <c r="T4537" i="2"/>
  <c r="T4538" i="2"/>
  <c r="T4547" i="2"/>
  <c r="T4549" i="2"/>
  <c r="T4560" i="2"/>
  <c r="T4563" i="2"/>
  <c r="T4572" i="2"/>
  <c r="T4573" i="2"/>
  <c r="T4575" i="2"/>
  <c r="T4576" i="2"/>
  <c r="T4577" i="2"/>
  <c r="T4579" i="2"/>
  <c r="T4600" i="2"/>
  <c r="T4602" i="2"/>
  <c r="T4605" i="2"/>
  <c r="T4614" i="2"/>
  <c r="T4618" i="2"/>
  <c r="T4619" i="2"/>
  <c r="T4622" i="2"/>
  <c r="T4626" i="2"/>
  <c r="T4629" i="2"/>
  <c r="T4630" i="2"/>
  <c r="T4636" i="2"/>
  <c r="T4637" i="2"/>
  <c r="T4645" i="2"/>
  <c r="T4648" i="2"/>
  <c r="T4649" i="2"/>
  <c r="T4652" i="2"/>
  <c r="T4655" i="2"/>
  <c r="T4669" i="2"/>
  <c r="T4683" i="2"/>
  <c r="T4688" i="2"/>
  <c r="T4689" i="2"/>
  <c r="T4691" i="2"/>
  <c r="T4700" i="2"/>
  <c r="T4703" i="2"/>
  <c r="T4704" i="2"/>
  <c r="T4713" i="2"/>
  <c r="T4716" i="2"/>
  <c r="T4727" i="2"/>
  <c r="T4732" i="2"/>
  <c r="T4740" i="2"/>
  <c r="T4746" i="2"/>
  <c r="T4747" i="2"/>
  <c r="T4749" i="2"/>
  <c r="T4753" i="2"/>
  <c r="T4757" i="2"/>
  <c r="T4770" i="2"/>
  <c r="T4775" i="2"/>
  <c r="T4777" i="2"/>
  <c r="T4780" i="2"/>
  <c r="T4783" i="2"/>
  <c r="T4790" i="2"/>
  <c r="T4792" i="2"/>
  <c r="T4794" i="2"/>
  <c r="T4798" i="2"/>
  <c r="T4799" i="2"/>
  <c r="T4800" i="2"/>
  <c r="T4801" i="2"/>
  <c r="T4805" i="2"/>
  <c r="T4806" i="2"/>
  <c r="T4808" i="2"/>
  <c r="T4812" i="2"/>
  <c r="T4821" i="2"/>
  <c r="T4822" i="2"/>
  <c r="T4828" i="2"/>
  <c r="T4832" i="2"/>
  <c r="T4835" i="2"/>
  <c r="T4837" i="2"/>
  <c r="T4843" i="2"/>
  <c r="T4845" i="2"/>
  <c r="T4846" i="2"/>
  <c r="T4849" i="2"/>
  <c r="T4852" i="2"/>
  <c r="T4857" i="2"/>
  <c r="T4867" i="2"/>
  <c r="T4870" i="2"/>
  <c r="T4878" i="2"/>
  <c r="T4879" i="2"/>
  <c r="T4881" i="2"/>
  <c r="T4883" i="2"/>
  <c r="T4884" i="2"/>
  <c r="T4900" i="2"/>
  <c r="T4902" i="2"/>
  <c r="T4904" i="2"/>
  <c r="T4907" i="2"/>
  <c r="T4909" i="2"/>
  <c r="T4913" i="2"/>
  <c r="T4915" i="2"/>
  <c r="T4925" i="2"/>
  <c r="T4926" i="2"/>
  <c r="T4928" i="2"/>
  <c r="T4930" i="2"/>
  <c r="T4932" i="2"/>
  <c r="T4933" i="2"/>
  <c r="T4938" i="2"/>
  <c r="T4941" i="2"/>
  <c r="T4953" i="2"/>
  <c r="T4954" i="2"/>
  <c r="T4957" i="2"/>
  <c r="T4961" i="2"/>
  <c r="T4966" i="2"/>
  <c r="T4967" i="2"/>
  <c r="T4973" i="2"/>
  <c r="T4975" i="2"/>
  <c r="T4979" i="2"/>
  <c r="T4980" i="2"/>
  <c r="T4982" i="2"/>
  <c r="T4983" i="2"/>
  <c r="T4988" i="2"/>
  <c r="T4989" i="2"/>
  <c r="T5001" i="2"/>
  <c r="T5007" i="2"/>
  <c r="T5013" i="2"/>
  <c r="T5019" i="2"/>
  <c r="T5021" i="2"/>
  <c r="T5027" i="2"/>
  <c r="T5029" i="2"/>
  <c r="T5031" i="2"/>
  <c r="T5032" i="2"/>
  <c r="T5033" i="2"/>
  <c r="T5035" i="2"/>
  <c r="T5036" i="2"/>
  <c r="T5044" i="2"/>
  <c r="T5046" i="2"/>
  <c r="T5048" i="2"/>
  <c r="T5050" i="2"/>
  <c r="T5052" i="2"/>
  <c r="T5053" i="2"/>
  <c r="T5057" i="2"/>
  <c r="T5059" i="2"/>
  <c r="T5061" i="2"/>
  <c r="T5072" i="2"/>
  <c r="T5074" i="2"/>
  <c r="T5076" i="2"/>
  <c r="T5078" i="2"/>
  <c r="T5079" i="2"/>
  <c r="T5082" i="2"/>
  <c r="T5085" i="2"/>
  <c r="T5094" i="2"/>
  <c r="T5095" i="2"/>
  <c r="T5098" i="2"/>
  <c r="T5101" i="2"/>
  <c r="T5103" i="2"/>
  <c r="T5109" i="2"/>
  <c r="T5111" i="2"/>
  <c r="T5112" i="2"/>
  <c r="T5118" i="2"/>
  <c r="T5119" i="2"/>
  <c r="T5120" i="2"/>
  <c r="T5121" i="2"/>
  <c r="T5122" i="2"/>
  <c r="T5123" i="2"/>
  <c r="T5129" i="2"/>
  <c r="T5133" i="2"/>
  <c r="T5139" i="2"/>
  <c r="T5141" i="2"/>
  <c r="T5149" i="2"/>
  <c r="T5152" i="2"/>
  <c r="T5153" i="2"/>
  <c r="T5154" i="2"/>
  <c r="T5156" i="2"/>
  <c r="T5159" i="2"/>
  <c r="T5168" i="2"/>
  <c r="T5175" i="2"/>
  <c r="T5176" i="2"/>
  <c r="T5177" i="2"/>
  <c r="T5186" i="2"/>
  <c r="T5187" i="2"/>
  <c r="T5190" i="2"/>
  <c r="T5191" i="2"/>
  <c r="T5194" i="2"/>
  <c r="T5203" i="2"/>
  <c r="T5217" i="2"/>
  <c r="T5221" i="2"/>
  <c r="T5227" i="2"/>
  <c r="T5228" i="2"/>
  <c r="T5232" i="2"/>
  <c r="T5234" i="2"/>
  <c r="T5240" i="2"/>
  <c r="T5244" i="2"/>
  <c r="T5248" i="2"/>
  <c r="T5249" i="2"/>
  <c r="T5250" i="2"/>
  <c r="T5252" i="2"/>
  <c r="T5258" i="2"/>
  <c r="T5260" i="2"/>
  <c r="T5261" i="2"/>
  <c r="T5263" i="2"/>
  <c r="T5269" i="2"/>
  <c r="T5273" i="2"/>
  <c r="T5274" i="2"/>
  <c r="T5276" i="2"/>
  <c r="T5281" i="2"/>
  <c r="T5285" i="2"/>
  <c r="T5290" i="2"/>
  <c r="T5292" i="2"/>
  <c r="T5297" i="2"/>
  <c r="T5299" i="2"/>
  <c r="T5302" i="2"/>
  <c r="T5306" i="2"/>
  <c r="T5323" i="2"/>
  <c r="T5329" i="2"/>
  <c r="T5332" i="2"/>
  <c r="T5335" i="2"/>
  <c r="T5338" i="2"/>
  <c r="T5343" i="2"/>
  <c r="T5344" i="2"/>
  <c r="T5346" i="2"/>
  <c r="T5347" i="2"/>
  <c r="T5348" i="2"/>
  <c r="T5350" i="2"/>
  <c r="T5351" i="2"/>
  <c r="T5352" i="2"/>
  <c r="T5353" i="2"/>
  <c r="T5362" i="2"/>
  <c r="T5364" i="2"/>
  <c r="T5368" i="2"/>
  <c r="T5369" i="2"/>
  <c r="T5371" i="2"/>
  <c r="T5373" i="2"/>
  <c r="T5378" i="2"/>
  <c r="T5380" i="2"/>
  <c r="T5384" i="2"/>
  <c r="T5386" i="2"/>
  <c r="T5388" i="2"/>
  <c r="T5389" i="2"/>
  <c r="T5396" i="2"/>
  <c r="T5397" i="2"/>
  <c r="T5398" i="2"/>
  <c r="T5399" i="2"/>
  <c r="T5400" i="2"/>
  <c r="T5402" i="2"/>
  <c r="T5403" i="2"/>
  <c r="T5404" i="2"/>
  <c r="T5408" i="2"/>
  <c r="T5409" i="2"/>
  <c r="T5410" i="2"/>
  <c r="T5411" i="2"/>
  <c r="T5416" i="2"/>
  <c r="T5419" i="2"/>
  <c r="T5421" i="2"/>
  <c r="T5433" i="2"/>
  <c r="T5434" i="2"/>
  <c r="T5436" i="2"/>
  <c r="T5441" i="2"/>
  <c r="T5443" i="2"/>
  <c r="T5445" i="2"/>
  <c r="T5447" i="2"/>
  <c r="T5449" i="2"/>
  <c r="T5457" i="2"/>
  <c r="T5459" i="2"/>
  <c r="T5461" i="2"/>
  <c r="T5462" i="2"/>
  <c r="T5463" i="2"/>
  <c r="T5465" i="2"/>
  <c r="T5467" i="2"/>
  <c r="T5468" i="2"/>
  <c r="T5470" i="2"/>
  <c r="T5477" i="2"/>
  <c r="T5480" i="2"/>
  <c r="T5481" i="2"/>
  <c r="T5487" i="2"/>
  <c r="T5488" i="2"/>
  <c r="T5490" i="2"/>
  <c r="T5491" i="2"/>
  <c r="T5492" i="2"/>
  <c r="T5493" i="2"/>
  <c r="T5494" i="2"/>
  <c r="T5505" i="2"/>
  <c r="T5506" i="2"/>
  <c r="T5507" i="2"/>
  <c r="T5509" i="2"/>
  <c r="T5516" i="2"/>
  <c r="T5518" i="2"/>
  <c r="T5523" i="2"/>
  <c r="T5527" i="2"/>
  <c r="T5529" i="2"/>
  <c r="T5531" i="2"/>
  <c r="T5532" i="2"/>
  <c r="T5534" i="2"/>
  <c r="T5539" i="2"/>
  <c r="T5541" i="2"/>
  <c r="T5543" i="2"/>
  <c r="T5546" i="2"/>
  <c r="T5547" i="2"/>
  <c r="T5550" i="2"/>
  <c r="T5551" i="2"/>
  <c r="T5555" i="2"/>
  <c r="T5557" i="2"/>
  <c r="T5559" i="2"/>
  <c r="T5564" i="2"/>
  <c r="T5569" i="2"/>
  <c r="T5571" i="2"/>
  <c r="T5584" i="2"/>
  <c r="T5585" i="2"/>
  <c r="T5591" i="2"/>
  <c r="T5598" i="2"/>
  <c r="T5601" i="2"/>
  <c r="T5609" i="2"/>
  <c r="T5612" i="2"/>
  <c r="T5613" i="2"/>
  <c r="T5621" i="2"/>
  <c r="T5622" i="2"/>
  <c r="T5623" i="2"/>
  <c r="T5626" i="2"/>
  <c r="T5627" i="2"/>
  <c r="T5629" i="2"/>
  <c r="T5641" i="2"/>
  <c r="T5642" i="2"/>
  <c r="T5643" i="2"/>
  <c r="T5644" i="2"/>
  <c r="T5653" i="2"/>
  <c r="T5659" i="2"/>
  <c r="T5661" i="2"/>
  <c r="T5669" i="2"/>
  <c r="T5672" i="2"/>
  <c r="T5673" i="2"/>
  <c r="T5678" i="2"/>
  <c r="T5680" i="2"/>
  <c r="T5681" i="2"/>
  <c r="T5684" i="2"/>
  <c r="T5686" i="2"/>
  <c r="T5687" i="2"/>
  <c r="T5693" i="2"/>
  <c r="T5697" i="2"/>
  <c r="T5698" i="2"/>
  <c r="T5702" i="2"/>
  <c r="T5708" i="2"/>
  <c r="T5710" i="2"/>
  <c r="T5715" i="2"/>
  <c r="T5716" i="2"/>
  <c r="T5722" i="2"/>
  <c r="T5726" i="2"/>
  <c r="T5728" i="2"/>
  <c r="T5741" i="2"/>
  <c r="T5743" i="2"/>
  <c r="T5756" i="2"/>
  <c r="T5759" i="2"/>
  <c r="T5767" i="2"/>
  <c r="T5768" i="2"/>
  <c r="T5769" i="2"/>
  <c r="T5772" i="2"/>
  <c r="T5775" i="2"/>
  <c r="T5776" i="2"/>
  <c r="T5778" i="2"/>
  <c r="T5782" i="2"/>
  <c r="T5785" i="2"/>
  <c r="T5791" i="2"/>
  <c r="T5797" i="2"/>
  <c r="T5801" i="2"/>
  <c r="T5803" i="2"/>
  <c r="T5805" i="2"/>
  <c r="T5807" i="2"/>
  <c r="T5812" i="2"/>
  <c r="T5816" i="2"/>
  <c r="T5818" i="2"/>
  <c r="T5820" i="2"/>
  <c r="T5822" i="2"/>
  <c r="T5825" i="2"/>
  <c r="T5830" i="2"/>
  <c r="T5832" i="2"/>
  <c r="T5835" i="2"/>
  <c r="T5840" i="2"/>
  <c r="T5841" i="2"/>
  <c r="T5843" i="2"/>
  <c r="T5844" i="2"/>
  <c r="T5852" i="2"/>
  <c r="T5858" i="2"/>
  <c r="T5861" i="2"/>
  <c r="T5862" i="2"/>
  <c r="T5865" i="2"/>
  <c r="T5867" i="2"/>
  <c r="T5873" i="2"/>
  <c r="T5876" i="2"/>
  <c r="T5877" i="2"/>
  <c r="T5880" i="2"/>
  <c r="T5883" i="2"/>
  <c r="T5884" i="2"/>
  <c r="T5886" i="2"/>
  <c r="T5889" i="2"/>
  <c r="T5890" i="2"/>
  <c r="T5893" i="2"/>
  <c r="T5898" i="2"/>
  <c r="T5901" i="2"/>
  <c r="T5905" i="2"/>
  <c r="T5909" i="2"/>
  <c r="T5910" i="2"/>
  <c r="T5913" i="2"/>
  <c r="T5918" i="2"/>
  <c r="T5919" i="2"/>
  <c r="T5924" i="2"/>
  <c r="T5933" i="2"/>
  <c r="T5938" i="2"/>
  <c r="T5939" i="2"/>
  <c r="T5944" i="2"/>
  <c r="T5946" i="2"/>
  <c r="T5947" i="2"/>
  <c r="T5955" i="2"/>
  <c r="T5956" i="2"/>
  <c r="T5964" i="2"/>
  <c r="T5966" i="2"/>
  <c r="T5969" i="2"/>
  <c r="T5970" i="2"/>
  <c r="T5971" i="2"/>
  <c r="T5973" i="2"/>
  <c r="T5985" i="2"/>
  <c r="T5987" i="2"/>
  <c r="T5988" i="2"/>
  <c r="T5989" i="2"/>
  <c r="T5993" i="2"/>
  <c r="T5994" i="2"/>
  <c r="T6000" i="2"/>
  <c r="T6013" i="2"/>
  <c r="T6015" i="2"/>
  <c r="T6018" i="2"/>
  <c r="T6019" i="2"/>
  <c r="T6027" i="2"/>
  <c r="T6030" i="2"/>
  <c r="T6031" i="2"/>
  <c r="T6032" i="2"/>
  <c r="T6040" i="2"/>
  <c r="T6041" i="2"/>
  <c r="T6046" i="2"/>
  <c r="T6049" i="2"/>
  <c r="T6050" i="2"/>
  <c r="T6057" i="2"/>
  <c r="T6059" i="2"/>
  <c r="T6062" i="2"/>
  <c r="T6068" i="2"/>
  <c r="T6072" i="2"/>
  <c r="T6073" i="2"/>
  <c r="T6074" i="2"/>
  <c r="T6077" i="2"/>
  <c r="T6078" i="2"/>
  <c r="T6080" i="2"/>
  <c r="T6083" i="2"/>
  <c r="T6084" i="2"/>
  <c r="T6089" i="2"/>
  <c r="T609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Q2" i="2"/>
  <c r="S2" i="2" s="1"/>
  <c r="Q3" i="2"/>
  <c r="S3" i="2" s="1"/>
  <c r="T3" i="2" s="1"/>
  <c r="U3" i="2" s="1"/>
  <c r="Q4" i="2"/>
  <c r="S4" i="2" s="1"/>
  <c r="Q5" i="2"/>
  <c r="S5" i="2" s="1"/>
  <c r="T5" i="2" s="1"/>
  <c r="U5" i="2" s="1"/>
  <c r="Q6" i="2"/>
  <c r="S6" i="2" s="1"/>
  <c r="T6" i="2" s="1"/>
  <c r="U6" i="2" s="1"/>
  <c r="Q7" i="2"/>
  <c r="S7" i="2" s="1"/>
  <c r="T7" i="2" s="1"/>
  <c r="U7" i="2" s="1"/>
  <c r="Q8" i="2"/>
  <c r="S8" i="2" s="1"/>
  <c r="Q9" i="2"/>
  <c r="S9" i="2" s="1"/>
  <c r="T9" i="2" s="1"/>
  <c r="U9" i="2" s="1"/>
  <c r="Q10" i="2"/>
  <c r="S10" i="2" s="1"/>
  <c r="T10" i="2" s="1"/>
  <c r="U10" i="2" s="1"/>
  <c r="Q11" i="2"/>
  <c r="S11" i="2" s="1"/>
  <c r="T11" i="2" s="1"/>
  <c r="U11" i="2" s="1"/>
  <c r="Q12" i="2"/>
  <c r="S12" i="2" s="1"/>
  <c r="T12" i="2" s="1"/>
  <c r="U12" i="2" s="1"/>
  <c r="Q13" i="2"/>
  <c r="S13" i="2" s="1"/>
  <c r="T13" i="2" s="1"/>
  <c r="U13" i="2" s="1"/>
  <c r="Q14" i="2"/>
  <c r="S14" i="2" s="1"/>
  <c r="T14" i="2" s="1"/>
  <c r="U14" i="2" s="1"/>
  <c r="Q15" i="2"/>
  <c r="S15" i="2" s="1"/>
  <c r="Q16" i="2"/>
  <c r="S16" i="2" s="1"/>
  <c r="Q17" i="2"/>
  <c r="S17" i="2" s="1"/>
  <c r="T17" i="2" s="1"/>
  <c r="U17" i="2" s="1"/>
  <c r="Q18" i="2"/>
  <c r="S18" i="2" s="1"/>
  <c r="T18" i="2" s="1"/>
  <c r="U18" i="2" s="1"/>
  <c r="Q19" i="2"/>
  <c r="S19" i="2" s="1"/>
  <c r="T19" i="2" s="1"/>
  <c r="U19" i="2" s="1"/>
  <c r="Q20" i="2"/>
  <c r="S20" i="2" s="1"/>
  <c r="Q21" i="2"/>
  <c r="S21" i="2" s="1"/>
  <c r="T21" i="2" s="1"/>
  <c r="U21" i="2" s="1"/>
  <c r="Q22" i="2"/>
  <c r="S22" i="2" s="1"/>
  <c r="T22" i="2" s="1"/>
  <c r="U22" i="2" s="1"/>
  <c r="Q23" i="2"/>
  <c r="S23" i="2" s="1"/>
  <c r="T23" i="2" s="1"/>
  <c r="U23" i="2" s="1"/>
  <c r="Q24" i="2"/>
  <c r="S24" i="2" s="1"/>
  <c r="T24" i="2" s="1"/>
  <c r="U24" i="2" s="1"/>
  <c r="Q25" i="2"/>
  <c r="S25" i="2" s="1"/>
  <c r="Q26" i="2"/>
  <c r="S26" i="2" s="1"/>
  <c r="T26" i="2" s="1"/>
  <c r="U26" i="2" s="1"/>
  <c r="Q27" i="2"/>
  <c r="S27" i="2" s="1"/>
  <c r="T27" i="2" s="1"/>
  <c r="U27" i="2" s="1"/>
  <c r="Q28" i="2"/>
  <c r="S28" i="2" s="1"/>
  <c r="Q29" i="2"/>
  <c r="S29" i="2" s="1"/>
  <c r="T29" i="2" s="1"/>
  <c r="U29" i="2" s="1"/>
  <c r="Q30" i="2"/>
  <c r="S30" i="2" s="1"/>
  <c r="T30" i="2" s="1"/>
  <c r="U30" i="2" s="1"/>
  <c r="Q31" i="2"/>
  <c r="S31" i="2" s="1"/>
  <c r="T31" i="2" s="1"/>
  <c r="U31" i="2" s="1"/>
  <c r="Q32" i="2"/>
  <c r="S32" i="2" s="1"/>
  <c r="T32" i="2" s="1"/>
  <c r="U32" i="2" s="1"/>
  <c r="Q33" i="2"/>
  <c r="S33" i="2" s="1"/>
  <c r="T33" i="2" s="1"/>
  <c r="U33" i="2" s="1"/>
  <c r="Q34" i="2"/>
  <c r="S34" i="2" s="1"/>
  <c r="T34" i="2" s="1"/>
  <c r="U34" i="2" s="1"/>
  <c r="Q35" i="2"/>
  <c r="S35" i="2" s="1"/>
  <c r="T35" i="2" s="1"/>
  <c r="U35" i="2" s="1"/>
  <c r="Q36" i="2"/>
  <c r="S36" i="2" s="1"/>
  <c r="T36" i="2" s="1"/>
  <c r="U36" i="2" s="1"/>
  <c r="Q37" i="2"/>
  <c r="S37" i="2" s="1"/>
  <c r="T37" i="2" s="1"/>
  <c r="U37" i="2" s="1"/>
  <c r="Q38" i="2"/>
  <c r="S38" i="2" s="1"/>
  <c r="T38" i="2" s="1"/>
  <c r="U38" i="2" s="1"/>
  <c r="Q39" i="2"/>
  <c r="S39" i="2" s="1"/>
  <c r="T39" i="2" s="1"/>
  <c r="U39" i="2" s="1"/>
  <c r="Q40" i="2"/>
  <c r="S40" i="2" s="1"/>
  <c r="Q41" i="2"/>
  <c r="S41" i="2" s="1"/>
  <c r="T41" i="2" s="1"/>
  <c r="U41" i="2" s="1"/>
  <c r="Q42" i="2"/>
  <c r="S42" i="2" s="1"/>
  <c r="T42" i="2" s="1"/>
  <c r="U42" i="2" s="1"/>
  <c r="Q43" i="2"/>
  <c r="S43" i="2" s="1"/>
  <c r="T43" i="2" s="1"/>
  <c r="U43" i="2" s="1"/>
  <c r="Q44" i="2"/>
  <c r="S44" i="2" s="1"/>
  <c r="Q45" i="2"/>
  <c r="S45" i="2" s="1"/>
  <c r="T45" i="2" s="1"/>
  <c r="U45" i="2" s="1"/>
  <c r="Q46" i="2"/>
  <c r="S46" i="2" s="1"/>
  <c r="Q47" i="2"/>
  <c r="S47" i="2" s="1"/>
  <c r="T47" i="2" s="1"/>
  <c r="U47" i="2" s="1"/>
  <c r="Q48" i="2"/>
  <c r="S48" i="2" s="1"/>
  <c r="T48" i="2" s="1"/>
  <c r="U48" i="2" s="1"/>
  <c r="Q49" i="2"/>
  <c r="S49" i="2" s="1"/>
  <c r="T49" i="2" s="1"/>
  <c r="U49" i="2" s="1"/>
  <c r="Q50" i="2"/>
  <c r="S50" i="2" s="1"/>
  <c r="Q51" i="2"/>
  <c r="S51" i="2" s="1"/>
  <c r="T51" i="2" s="1"/>
  <c r="U51" i="2" s="1"/>
  <c r="Q52" i="2"/>
  <c r="S52" i="2" s="1"/>
  <c r="T52" i="2" s="1"/>
  <c r="U52" i="2" s="1"/>
  <c r="Q53" i="2"/>
  <c r="S53" i="2" s="1"/>
  <c r="T53" i="2" s="1"/>
  <c r="U53" i="2" s="1"/>
  <c r="Q54" i="2"/>
  <c r="S54" i="2" s="1"/>
  <c r="T54" i="2" s="1"/>
  <c r="U54" i="2" s="1"/>
  <c r="Q55" i="2"/>
  <c r="S55" i="2" s="1"/>
  <c r="T55" i="2" s="1"/>
  <c r="U55" i="2" s="1"/>
  <c r="Q56" i="2"/>
  <c r="S56" i="2" s="1"/>
  <c r="T56" i="2" s="1"/>
  <c r="U56" i="2" s="1"/>
  <c r="Q57" i="2"/>
  <c r="S57" i="2" s="1"/>
  <c r="Q58" i="2"/>
  <c r="S58" i="2" s="1"/>
  <c r="T58" i="2" s="1"/>
  <c r="U58" i="2" s="1"/>
  <c r="Q59" i="2"/>
  <c r="S59" i="2" s="1"/>
  <c r="T59" i="2" s="1"/>
  <c r="U59" i="2" s="1"/>
  <c r="Q60" i="2"/>
  <c r="S60" i="2" s="1"/>
  <c r="T60" i="2" s="1"/>
  <c r="U60" i="2" s="1"/>
  <c r="Q61" i="2"/>
  <c r="S61" i="2" s="1"/>
  <c r="Q62" i="2"/>
  <c r="S62" i="2" s="1"/>
  <c r="T62" i="2" s="1"/>
  <c r="U62" i="2" s="1"/>
  <c r="Q63" i="2"/>
  <c r="S63" i="2" s="1"/>
  <c r="Q64" i="2"/>
  <c r="S64" i="2" s="1"/>
  <c r="T64" i="2" s="1"/>
  <c r="U64" i="2" s="1"/>
  <c r="Q65" i="2"/>
  <c r="S65" i="2" s="1"/>
  <c r="T65" i="2" s="1"/>
  <c r="U65" i="2" s="1"/>
  <c r="Q66" i="2"/>
  <c r="S66" i="2" s="1"/>
  <c r="Q67" i="2"/>
  <c r="S67" i="2" s="1"/>
  <c r="Q68" i="2"/>
  <c r="S68" i="2" s="1"/>
  <c r="T68" i="2" s="1"/>
  <c r="U68" i="2" s="1"/>
  <c r="Q69" i="2"/>
  <c r="S69" i="2" s="1"/>
  <c r="Q70" i="2"/>
  <c r="S70" i="2" s="1"/>
  <c r="T70" i="2" s="1"/>
  <c r="U70" i="2" s="1"/>
  <c r="Q71" i="2"/>
  <c r="S71" i="2" s="1"/>
  <c r="T71" i="2" s="1"/>
  <c r="U71" i="2" s="1"/>
  <c r="Q72" i="2"/>
  <c r="S72" i="2" s="1"/>
  <c r="T72" i="2" s="1"/>
  <c r="U72" i="2" s="1"/>
  <c r="Q73" i="2"/>
  <c r="S73" i="2" s="1"/>
  <c r="T73" i="2" s="1"/>
  <c r="U73" i="2" s="1"/>
  <c r="Q74" i="2"/>
  <c r="S74" i="2" s="1"/>
  <c r="T74" i="2" s="1"/>
  <c r="U74" i="2" s="1"/>
  <c r="Q75" i="2"/>
  <c r="S75" i="2" s="1"/>
  <c r="T75" i="2" s="1"/>
  <c r="U75" i="2" s="1"/>
  <c r="Q76" i="2"/>
  <c r="S76" i="2" s="1"/>
  <c r="T76" i="2" s="1"/>
  <c r="U76" i="2" s="1"/>
  <c r="Q77" i="2"/>
  <c r="S77" i="2" s="1"/>
  <c r="T77" i="2" s="1"/>
  <c r="U77" i="2" s="1"/>
  <c r="Q78" i="2"/>
  <c r="S78" i="2" s="1"/>
  <c r="T78" i="2" s="1"/>
  <c r="U78" i="2" s="1"/>
  <c r="Q79" i="2"/>
  <c r="S79" i="2" s="1"/>
  <c r="T79" i="2" s="1"/>
  <c r="U79" i="2" s="1"/>
  <c r="Q80" i="2"/>
  <c r="S80" i="2" s="1"/>
  <c r="Q81" i="2"/>
  <c r="S81" i="2" s="1"/>
  <c r="T81" i="2" s="1"/>
  <c r="U81" i="2" s="1"/>
  <c r="Q82" i="2"/>
  <c r="S82" i="2" s="1"/>
  <c r="T82" i="2" s="1"/>
  <c r="U82" i="2" s="1"/>
  <c r="Q83" i="2"/>
  <c r="S83" i="2" s="1"/>
  <c r="T83" i="2" s="1"/>
  <c r="U83" i="2" s="1"/>
  <c r="Q84" i="2"/>
  <c r="S84" i="2" s="1"/>
  <c r="Q85" i="2"/>
  <c r="S85" i="2" s="1"/>
  <c r="Q86" i="2"/>
  <c r="S86" i="2" s="1"/>
  <c r="T86" i="2" s="1"/>
  <c r="U86" i="2" s="1"/>
  <c r="Q87" i="2"/>
  <c r="S87" i="2" s="1"/>
  <c r="T87" i="2" s="1"/>
  <c r="U87" i="2" s="1"/>
  <c r="Q88" i="2"/>
  <c r="S88" i="2" s="1"/>
  <c r="T88" i="2" s="1"/>
  <c r="U88" i="2" s="1"/>
  <c r="Q89" i="2"/>
  <c r="S89" i="2" s="1"/>
  <c r="Q90" i="2"/>
  <c r="S90" i="2" s="1"/>
  <c r="Q91" i="2"/>
  <c r="S91" i="2" s="1"/>
  <c r="T91" i="2" s="1"/>
  <c r="U91" i="2" s="1"/>
  <c r="Q92" i="2"/>
  <c r="S92" i="2" s="1"/>
  <c r="T92" i="2" s="1"/>
  <c r="U92" i="2" s="1"/>
  <c r="Q93" i="2"/>
  <c r="S93" i="2" s="1"/>
  <c r="T93" i="2" s="1"/>
  <c r="U93" i="2" s="1"/>
  <c r="Q94" i="2"/>
  <c r="S94" i="2" s="1"/>
  <c r="T94" i="2" s="1"/>
  <c r="U94" i="2" s="1"/>
  <c r="Q95" i="2"/>
  <c r="S95" i="2" s="1"/>
  <c r="T95" i="2" s="1"/>
  <c r="U95" i="2" s="1"/>
  <c r="Q96" i="2"/>
  <c r="S96" i="2" s="1"/>
  <c r="T96" i="2" s="1"/>
  <c r="U96" i="2" s="1"/>
  <c r="Q97" i="2"/>
  <c r="S97" i="2" s="1"/>
  <c r="T97" i="2" s="1"/>
  <c r="U97" i="2" s="1"/>
  <c r="Q98" i="2"/>
  <c r="S98" i="2" s="1"/>
  <c r="Q99" i="2"/>
  <c r="S99" i="2" s="1"/>
  <c r="Q100" i="2"/>
  <c r="S100" i="2" s="1"/>
  <c r="T100" i="2" s="1"/>
  <c r="U100" i="2" s="1"/>
  <c r="Q101" i="2"/>
  <c r="S101" i="2" s="1"/>
  <c r="T101" i="2" s="1"/>
  <c r="U101" i="2" s="1"/>
  <c r="Q102" i="2"/>
  <c r="S102" i="2" s="1"/>
  <c r="T102" i="2" s="1"/>
  <c r="U102" i="2" s="1"/>
  <c r="Q103" i="2"/>
  <c r="S103" i="2" s="1"/>
  <c r="T103" i="2" s="1"/>
  <c r="U103" i="2" s="1"/>
  <c r="Q104" i="2"/>
  <c r="S104" i="2" s="1"/>
  <c r="T104" i="2" s="1"/>
  <c r="U104" i="2" s="1"/>
  <c r="Q105" i="2"/>
  <c r="S105" i="2" s="1"/>
  <c r="T105" i="2" s="1"/>
  <c r="U105" i="2" s="1"/>
  <c r="Q106" i="2"/>
  <c r="S106" i="2" s="1"/>
  <c r="Q107" i="2"/>
  <c r="S107" i="2" s="1"/>
  <c r="T107" i="2" s="1"/>
  <c r="U107" i="2" s="1"/>
  <c r="Q108" i="2"/>
  <c r="S108" i="2" s="1"/>
  <c r="T108" i="2" s="1"/>
  <c r="U108" i="2" s="1"/>
  <c r="Q109" i="2"/>
  <c r="S109" i="2" s="1"/>
  <c r="Q110" i="2"/>
  <c r="S110" i="2" s="1"/>
  <c r="T110" i="2" s="1"/>
  <c r="U110" i="2" s="1"/>
  <c r="Q111" i="2"/>
  <c r="S111" i="2" s="1"/>
  <c r="Q112" i="2"/>
  <c r="S112" i="2" s="1"/>
  <c r="T112" i="2" s="1"/>
  <c r="U112" i="2" s="1"/>
  <c r="Q113" i="2"/>
  <c r="S113" i="2" s="1"/>
  <c r="T113" i="2" s="1"/>
  <c r="U113" i="2" s="1"/>
  <c r="Q114" i="2"/>
  <c r="S114" i="2" s="1"/>
  <c r="T114" i="2" s="1"/>
  <c r="U114" i="2" s="1"/>
  <c r="Q115" i="2"/>
  <c r="S115" i="2" s="1"/>
  <c r="T115" i="2" s="1"/>
  <c r="U115" i="2" s="1"/>
  <c r="Q116" i="2"/>
  <c r="S116" i="2" s="1"/>
  <c r="T116" i="2" s="1"/>
  <c r="U116" i="2" s="1"/>
  <c r="Q117" i="2"/>
  <c r="S117" i="2" s="1"/>
  <c r="Q118" i="2"/>
  <c r="S118" i="2" s="1"/>
  <c r="T118" i="2" s="1"/>
  <c r="U118" i="2" s="1"/>
  <c r="Q119" i="2"/>
  <c r="S119" i="2" s="1"/>
  <c r="T119" i="2" s="1"/>
  <c r="U119" i="2" s="1"/>
  <c r="Q120" i="2"/>
  <c r="S120" i="2" s="1"/>
  <c r="Q121" i="2"/>
  <c r="S121" i="2" s="1"/>
  <c r="T121" i="2" s="1"/>
  <c r="U121" i="2" s="1"/>
  <c r="Q122" i="2"/>
  <c r="S122" i="2" s="1"/>
  <c r="Q123" i="2"/>
  <c r="S123" i="2" s="1"/>
  <c r="T123" i="2" s="1"/>
  <c r="U123" i="2" s="1"/>
  <c r="Q124" i="2"/>
  <c r="S124" i="2" s="1"/>
  <c r="T124" i="2" s="1"/>
  <c r="U124" i="2" s="1"/>
  <c r="Q125" i="2"/>
  <c r="S125" i="2" s="1"/>
  <c r="Q126" i="2"/>
  <c r="S126" i="2" s="1"/>
  <c r="Q127" i="2"/>
  <c r="S127" i="2" s="1"/>
  <c r="T127" i="2" s="1"/>
  <c r="U127" i="2" s="1"/>
  <c r="Q128" i="2"/>
  <c r="S128" i="2" s="1"/>
  <c r="T128" i="2" s="1"/>
  <c r="U128" i="2" s="1"/>
  <c r="Q129" i="2"/>
  <c r="S129" i="2" s="1"/>
  <c r="T129" i="2" s="1"/>
  <c r="U129" i="2" s="1"/>
  <c r="Q130" i="2"/>
  <c r="S130" i="2" s="1"/>
  <c r="Q131" i="2"/>
  <c r="S131" i="2" s="1"/>
  <c r="T131" i="2" s="1"/>
  <c r="U131" i="2" s="1"/>
  <c r="Q132" i="2"/>
  <c r="S132" i="2" s="1"/>
  <c r="T132" i="2" s="1"/>
  <c r="U132" i="2" s="1"/>
  <c r="Q133" i="2"/>
  <c r="S133" i="2" s="1"/>
  <c r="T133" i="2" s="1"/>
  <c r="U133" i="2" s="1"/>
  <c r="Q134" i="2"/>
  <c r="S134" i="2" s="1"/>
  <c r="Q135" i="2"/>
  <c r="S135" i="2" s="1"/>
  <c r="T135" i="2" s="1"/>
  <c r="U135" i="2" s="1"/>
  <c r="Q136" i="2"/>
  <c r="S136" i="2" s="1"/>
  <c r="T136" i="2" s="1"/>
  <c r="U136" i="2" s="1"/>
  <c r="Q137" i="2"/>
  <c r="S137" i="2" s="1"/>
  <c r="Q138" i="2"/>
  <c r="S138" i="2" s="1"/>
  <c r="T138" i="2" s="1"/>
  <c r="U138" i="2" s="1"/>
  <c r="Q139" i="2"/>
  <c r="S139" i="2" s="1"/>
  <c r="T139" i="2" s="1"/>
  <c r="U139" i="2" s="1"/>
  <c r="Q140" i="2"/>
  <c r="S140" i="2" s="1"/>
  <c r="T140" i="2" s="1"/>
  <c r="U140" i="2" s="1"/>
  <c r="Q141" i="2"/>
  <c r="S141" i="2" s="1"/>
  <c r="T141" i="2" s="1"/>
  <c r="U141" i="2" s="1"/>
  <c r="Q142" i="2"/>
  <c r="S142" i="2" s="1"/>
  <c r="T142" i="2" s="1"/>
  <c r="U142" i="2" s="1"/>
  <c r="Q143" i="2"/>
  <c r="S143" i="2" s="1"/>
  <c r="T143" i="2" s="1"/>
  <c r="U143" i="2" s="1"/>
  <c r="Q144" i="2"/>
  <c r="S144" i="2" s="1"/>
  <c r="T144" i="2" s="1"/>
  <c r="U144" i="2" s="1"/>
  <c r="Q145" i="2"/>
  <c r="S145" i="2" s="1"/>
  <c r="Q146" i="2"/>
  <c r="S146" i="2" s="1"/>
  <c r="T146" i="2" s="1"/>
  <c r="U146" i="2" s="1"/>
  <c r="Q147" i="2"/>
  <c r="S147" i="2" s="1"/>
  <c r="T147" i="2" s="1"/>
  <c r="U147" i="2" s="1"/>
  <c r="Q148" i="2"/>
  <c r="S148" i="2" s="1"/>
  <c r="T148" i="2" s="1"/>
  <c r="U148" i="2" s="1"/>
  <c r="Q149" i="2"/>
  <c r="S149" i="2" s="1"/>
  <c r="T149" i="2" s="1"/>
  <c r="U149" i="2" s="1"/>
  <c r="Q150" i="2"/>
  <c r="S150" i="2" s="1"/>
  <c r="T150" i="2" s="1"/>
  <c r="U150" i="2" s="1"/>
  <c r="Q151" i="2"/>
  <c r="S151" i="2" s="1"/>
  <c r="T151" i="2" s="1"/>
  <c r="U151" i="2" s="1"/>
  <c r="Q152" i="2"/>
  <c r="S152" i="2" s="1"/>
  <c r="T152" i="2" s="1"/>
  <c r="U152" i="2" s="1"/>
  <c r="Q153" i="2"/>
  <c r="S153" i="2" s="1"/>
  <c r="Q154" i="2"/>
  <c r="S154" i="2" s="1"/>
  <c r="T154" i="2" s="1"/>
  <c r="U154" i="2" s="1"/>
  <c r="Q155" i="2"/>
  <c r="S155" i="2" s="1"/>
  <c r="Q156" i="2"/>
  <c r="S156" i="2" s="1"/>
  <c r="Q157" i="2"/>
  <c r="S157" i="2" s="1"/>
  <c r="Q158" i="2"/>
  <c r="S158" i="2" s="1"/>
  <c r="T158" i="2" s="1"/>
  <c r="U158" i="2" s="1"/>
  <c r="Q159" i="2"/>
  <c r="S159" i="2" s="1"/>
  <c r="T159" i="2" s="1"/>
  <c r="U159" i="2" s="1"/>
  <c r="Q160" i="2"/>
  <c r="S160" i="2" s="1"/>
  <c r="T160" i="2" s="1"/>
  <c r="U160" i="2" s="1"/>
  <c r="Q161" i="2"/>
  <c r="S161" i="2" s="1"/>
  <c r="T161" i="2" s="1"/>
  <c r="U161" i="2" s="1"/>
  <c r="Q162" i="2"/>
  <c r="S162" i="2" s="1"/>
  <c r="T162" i="2" s="1"/>
  <c r="U162" i="2" s="1"/>
  <c r="Q163" i="2"/>
  <c r="S163" i="2" s="1"/>
  <c r="T163" i="2" s="1"/>
  <c r="U163" i="2" s="1"/>
  <c r="Q164" i="2"/>
  <c r="S164" i="2" s="1"/>
  <c r="Q165" i="2"/>
  <c r="S165" i="2" s="1"/>
  <c r="Q166" i="2"/>
  <c r="S166" i="2" s="1"/>
  <c r="Q167" i="2"/>
  <c r="S167" i="2" s="1"/>
  <c r="Q168" i="2"/>
  <c r="S168" i="2" s="1"/>
  <c r="Q169" i="2"/>
  <c r="S169" i="2" s="1"/>
  <c r="T169" i="2" s="1"/>
  <c r="U169" i="2" s="1"/>
  <c r="Q170" i="2"/>
  <c r="S170" i="2" s="1"/>
  <c r="T170" i="2" s="1"/>
  <c r="U170" i="2" s="1"/>
  <c r="Q171" i="2"/>
  <c r="S171" i="2" s="1"/>
  <c r="T171" i="2" s="1"/>
  <c r="U171" i="2" s="1"/>
  <c r="Q172" i="2"/>
  <c r="S172" i="2" s="1"/>
  <c r="T172" i="2" s="1"/>
  <c r="U172" i="2" s="1"/>
  <c r="Q173" i="2"/>
  <c r="S173" i="2" s="1"/>
  <c r="T173" i="2" s="1"/>
  <c r="U173" i="2" s="1"/>
  <c r="Q174" i="2"/>
  <c r="S174" i="2" s="1"/>
  <c r="T174" i="2" s="1"/>
  <c r="U174" i="2" s="1"/>
  <c r="Q175" i="2"/>
  <c r="S175" i="2" s="1"/>
  <c r="T175" i="2" s="1"/>
  <c r="U175" i="2" s="1"/>
  <c r="Q176" i="2"/>
  <c r="S176" i="2" s="1"/>
  <c r="Q177" i="2"/>
  <c r="S177" i="2" s="1"/>
  <c r="Q178" i="2"/>
  <c r="S178" i="2" s="1"/>
  <c r="T178" i="2" s="1"/>
  <c r="U178" i="2" s="1"/>
  <c r="Q179" i="2"/>
  <c r="S179" i="2" s="1"/>
  <c r="T179" i="2" s="1"/>
  <c r="U179" i="2" s="1"/>
  <c r="Q180" i="2"/>
  <c r="S180" i="2" s="1"/>
  <c r="Q181" i="2"/>
  <c r="S181" i="2" s="1"/>
  <c r="T181" i="2" s="1"/>
  <c r="U181" i="2" s="1"/>
  <c r="Q182" i="2"/>
  <c r="S182" i="2" s="1"/>
  <c r="Q183" i="2"/>
  <c r="S183" i="2" s="1"/>
  <c r="T183" i="2" s="1"/>
  <c r="U183" i="2" s="1"/>
  <c r="Q184" i="2"/>
  <c r="S184" i="2" s="1"/>
  <c r="T184" i="2" s="1"/>
  <c r="U184" i="2" s="1"/>
  <c r="Q185" i="2"/>
  <c r="S185" i="2" s="1"/>
  <c r="Q186" i="2"/>
  <c r="S186" i="2" s="1"/>
  <c r="Q187" i="2"/>
  <c r="S187" i="2" s="1"/>
  <c r="T187" i="2" s="1"/>
  <c r="U187" i="2" s="1"/>
  <c r="Q188" i="2"/>
  <c r="S188" i="2" s="1"/>
  <c r="Q189" i="2"/>
  <c r="S189" i="2" s="1"/>
  <c r="T189" i="2" s="1"/>
  <c r="U189" i="2" s="1"/>
  <c r="Q190" i="2"/>
  <c r="S190" i="2" s="1"/>
  <c r="T190" i="2" s="1"/>
  <c r="U190" i="2" s="1"/>
  <c r="Q191" i="2"/>
  <c r="S191" i="2" s="1"/>
  <c r="T191" i="2" s="1"/>
  <c r="U191" i="2" s="1"/>
  <c r="Q192" i="2"/>
  <c r="S192" i="2" s="1"/>
  <c r="T192" i="2" s="1"/>
  <c r="U192" i="2" s="1"/>
  <c r="Q193" i="2"/>
  <c r="S193" i="2" s="1"/>
  <c r="T193" i="2" s="1"/>
  <c r="U193" i="2" s="1"/>
  <c r="Q194" i="2"/>
  <c r="S194" i="2" s="1"/>
  <c r="T194" i="2" s="1"/>
  <c r="U194" i="2" s="1"/>
  <c r="Q195" i="2"/>
  <c r="S195" i="2" s="1"/>
  <c r="T195" i="2" s="1"/>
  <c r="U195" i="2" s="1"/>
  <c r="Q196" i="2"/>
  <c r="S196" i="2" s="1"/>
  <c r="T196" i="2" s="1"/>
  <c r="U196" i="2" s="1"/>
  <c r="Q197" i="2"/>
  <c r="S197" i="2" s="1"/>
  <c r="T197" i="2" s="1"/>
  <c r="U197" i="2" s="1"/>
  <c r="Q198" i="2"/>
  <c r="S198" i="2" s="1"/>
  <c r="Q199" i="2"/>
  <c r="S199" i="2" s="1"/>
  <c r="Q200" i="2"/>
  <c r="S200" i="2" s="1"/>
  <c r="Q201" i="2"/>
  <c r="S201" i="2" s="1"/>
  <c r="T201" i="2" s="1"/>
  <c r="U201" i="2" s="1"/>
  <c r="Q202" i="2"/>
  <c r="S202" i="2" s="1"/>
  <c r="T202" i="2" s="1"/>
  <c r="U202" i="2" s="1"/>
  <c r="Q203" i="2"/>
  <c r="S203" i="2" s="1"/>
  <c r="T203" i="2" s="1"/>
  <c r="U203" i="2" s="1"/>
  <c r="Q204" i="2"/>
  <c r="S204" i="2" s="1"/>
  <c r="Q205" i="2"/>
  <c r="S205" i="2" s="1"/>
  <c r="T205" i="2" s="1"/>
  <c r="U205" i="2" s="1"/>
  <c r="Q206" i="2"/>
  <c r="S206" i="2" s="1"/>
  <c r="T206" i="2" s="1"/>
  <c r="U206" i="2" s="1"/>
  <c r="Q207" i="2"/>
  <c r="S207" i="2" s="1"/>
  <c r="T207" i="2" s="1"/>
  <c r="U207" i="2" s="1"/>
  <c r="Q208" i="2"/>
  <c r="S208" i="2" s="1"/>
  <c r="T208" i="2" s="1"/>
  <c r="U208" i="2" s="1"/>
  <c r="Q209" i="2"/>
  <c r="S209" i="2" s="1"/>
  <c r="T209" i="2" s="1"/>
  <c r="U209" i="2" s="1"/>
  <c r="Q210" i="2"/>
  <c r="S210" i="2" s="1"/>
  <c r="Q211" i="2"/>
  <c r="S211" i="2" s="1"/>
  <c r="T211" i="2" s="1"/>
  <c r="U211" i="2" s="1"/>
  <c r="Q212" i="2"/>
  <c r="S212" i="2" s="1"/>
  <c r="Q213" i="2"/>
  <c r="S213" i="2" s="1"/>
  <c r="Q214" i="2"/>
  <c r="S214" i="2" s="1"/>
  <c r="Q215" i="2"/>
  <c r="S215" i="2" s="1"/>
  <c r="Q216" i="2"/>
  <c r="S216" i="2" s="1"/>
  <c r="Q217" i="2"/>
  <c r="S217" i="2" s="1"/>
  <c r="T217" i="2" s="1"/>
  <c r="U217" i="2" s="1"/>
  <c r="Q218" i="2"/>
  <c r="S218" i="2" s="1"/>
  <c r="Q219" i="2"/>
  <c r="S219" i="2" s="1"/>
  <c r="T219" i="2" s="1"/>
  <c r="U219" i="2" s="1"/>
  <c r="Q220" i="2"/>
  <c r="S220" i="2" s="1"/>
  <c r="T220" i="2" s="1"/>
  <c r="U220" i="2" s="1"/>
  <c r="Q221" i="2"/>
  <c r="S221" i="2" s="1"/>
  <c r="T221" i="2" s="1"/>
  <c r="U221" i="2" s="1"/>
  <c r="Q222" i="2"/>
  <c r="S222" i="2" s="1"/>
  <c r="T222" i="2" s="1"/>
  <c r="U222" i="2" s="1"/>
  <c r="Q223" i="2"/>
  <c r="S223" i="2" s="1"/>
  <c r="T223" i="2" s="1"/>
  <c r="U223" i="2" s="1"/>
  <c r="Q224" i="2"/>
  <c r="S224" i="2" s="1"/>
  <c r="Q225" i="2"/>
  <c r="S225" i="2" s="1"/>
  <c r="T225" i="2" s="1"/>
  <c r="U225" i="2" s="1"/>
  <c r="Q226" i="2"/>
  <c r="S226" i="2" s="1"/>
  <c r="T226" i="2" s="1"/>
  <c r="U226" i="2" s="1"/>
  <c r="Q227" i="2"/>
  <c r="S227" i="2" s="1"/>
  <c r="T227" i="2" s="1"/>
  <c r="U227" i="2" s="1"/>
  <c r="Q228" i="2"/>
  <c r="S228" i="2" s="1"/>
  <c r="T228" i="2" s="1"/>
  <c r="U228" i="2" s="1"/>
  <c r="Q229" i="2"/>
  <c r="S229" i="2" s="1"/>
  <c r="T229" i="2" s="1"/>
  <c r="U229" i="2" s="1"/>
  <c r="Q230" i="2"/>
  <c r="S230" i="2" s="1"/>
  <c r="Q231" i="2"/>
  <c r="S231" i="2" s="1"/>
  <c r="T231" i="2" s="1"/>
  <c r="U231" i="2" s="1"/>
  <c r="Q232" i="2"/>
  <c r="S232" i="2" s="1"/>
  <c r="T232" i="2" s="1"/>
  <c r="U232" i="2" s="1"/>
  <c r="Q233" i="2"/>
  <c r="S233" i="2" s="1"/>
  <c r="T233" i="2" s="1"/>
  <c r="U233" i="2" s="1"/>
  <c r="Q234" i="2"/>
  <c r="S234" i="2" s="1"/>
  <c r="T234" i="2" s="1"/>
  <c r="U234" i="2" s="1"/>
  <c r="Q235" i="2"/>
  <c r="S235" i="2" s="1"/>
  <c r="T235" i="2" s="1"/>
  <c r="U235" i="2" s="1"/>
  <c r="Q236" i="2"/>
  <c r="S236" i="2" s="1"/>
  <c r="Q237" i="2"/>
  <c r="S237" i="2" s="1"/>
  <c r="T237" i="2" s="1"/>
  <c r="U237" i="2" s="1"/>
  <c r="Q238" i="2"/>
  <c r="S238" i="2" s="1"/>
  <c r="T238" i="2" s="1"/>
  <c r="U238" i="2" s="1"/>
  <c r="Q239" i="2"/>
  <c r="S239" i="2" s="1"/>
  <c r="T239" i="2" s="1"/>
  <c r="U239" i="2" s="1"/>
  <c r="Q240" i="2"/>
  <c r="S240" i="2" s="1"/>
  <c r="Q241" i="2"/>
  <c r="S241" i="2" s="1"/>
  <c r="Q242" i="2"/>
  <c r="S242" i="2" s="1"/>
  <c r="Q243" i="2"/>
  <c r="S243" i="2" s="1"/>
  <c r="Q244" i="2"/>
  <c r="S244" i="2" s="1"/>
  <c r="Q245" i="2"/>
  <c r="S245" i="2" s="1"/>
  <c r="Q246" i="2"/>
  <c r="S246" i="2" s="1"/>
  <c r="Q247" i="2"/>
  <c r="S247" i="2" s="1"/>
  <c r="T247" i="2" s="1"/>
  <c r="U247" i="2" s="1"/>
  <c r="Q248" i="2"/>
  <c r="S248" i="2" s="1"/>
  <c r="Q249" i="2"/>
  <c r="S249" i="2" s="1"/>
  <c r="T249" i="2" s="1"/>
  <c r="U249" i="2" s="1"/>
  <c r="Q250" i="2"/>
  <c r="S250" i="2" s="1"/>
  <c r="T250" i="2" s="1"/>
  <c r="U250" i="2" s="1"/>
  <c r="Q251" i="2"/>
  <c r="S251" i="2" s="1"/>
  <c r="Q252" i="2"/>
  <c r="S252" i="2" s="1"/>
  <c r="T252" i="2" s="1"/>
  <c r="U252" i="2" s="1"/>
  <c r="Q253" i="2"/>
  <c r="S253" i="2" s="1"/>
  <c r="T253" i="2" s="1"/>
  <c r="U253" i="2" s="1"/>
  <c r="Q254" i="2"/>
  <c r="S254" i="2" s="1"/>
  <c r="T254" i="2" s="1"/>
  <c r="U254" i="2" s="1"/>
  <c r="Q255" i="2"/>
  <c r="S255" i="2" s="1"/>
  <c r="T255" i="2" s="1"/>
  <c r="U255" i="2" s="1"/>
  <c r="Q256" i="2"/>
  <c r="S256" i="2" s="1"/>
  <c r="T256" i="2" s="1"/>
  <c r="U256" i="2" s="1"/>
  <c r="Q257" i="2"/>
  <c r="S257" i="2" s="1"/>
  <c r="Q258" i="2"/>
  <c r="S258" i="2" s="1"/>
  <c r="T258" i="2" s="1"/>
  <c r="U258" i="2" s="1"/>
  <c r="Q259" i="2"/>
  <c r="S259" i="2" s="1"/>
  <c r="T259" i="2" s="1"/>
  <c r="U259" i="2" s="1"/>
  <c r="Q260" i="2"/>
  <c r="S260" i="2" s="1"/>
  <c r="T260" i="2" s="1"/>
  <c r="U260" i="2" s="1"/>
  <c r="Q261" i="2"/>
  <c r="S261" i="2" s="1"/>
  <c r="T261" i="2" s="1"/>
  <c r="U261" i="2" s="1"/>
  <c r="Q262" i="2"/>
  <c r="S262" i="2" s="1"/>
  <c r="T262" i="2" s="1"/>
  <c r="U262" i="2" s="1"/>
  <c r="Q263" i="2"/>
  <c r="S263" i="2" s="1"/>
  <c r="T263" i="2" s="1"/>
  <c r="U263" i="2" s="1"/>
  <c r="Q264" i="2"/>
  <c r="S264" i="2" s="1"/>
  <c r="T264" i="2" s="1"/>
  <c r="U264" i="2" s="1"/>
  <c r="Q265" i="2"/>
  <c r="S265" i="2" s="1"/>
  <c r="T265" i="2" s="1"/>
  <c r="U265" i="2" s="1"/>
  <c r="Q266" i="2"/>
  <c r="S266" i="2" s="1"/>
  <c r="Q267" i="2"/>
  <c r="S267" i="2" s="1"/>
  <c r="T267" i="2" s="1"/>
  <c r="U267" i="2" s="1"/>
  <c r="Q268" i="2"/>
  <c r="S268" i="2" s="1"/>
  <c r="T268" i="2" s="1"/>
  <c r="U268" i="2" s="1"/>
  <c r="Q269" i="2"/>
  <c r="S269" i="2" s="1"/>
  <c r="T269" i="2" s="1"/>
  <c r="U269" i="2" s="1"/>
  <c r="Q270" i="2"/>
  <c r="S270" i="2" s="1"/>
  <c r="Q271" i="2"/>
  <c r="S271" i="2" s="1"/>
  <c r="T271" i="2" s="1"/>
  <c r="U271" i="2" s="1"/>
  <c r="Q272" i="2"/>
  <c r="S272" i="2" s="1"/>
  <c r="T272" i="2" s="1"/>
  <c r="U272" i="2" s="1"/>
  <c r="Q273" i="2"/>
  <c r="S273" i="2" s="1"/>
  <c r="T273" i="2" s="1"/>
  <c r="U273" i="2" s="1"/>
  <c r="Q274" i="2"/>
  <c r="S274" i="2" s="1"/>
  <c r="T274" i="2" s="1"/>
  <c r="U274" i="2" s="1"/>
  <c r="Q275" i="2"/>
  <c r="S275" i="2" s="1"/>
  <c r="Q276" i="2"/>
  <c r="S276" i="2" s="1"/>
  <c r="T276" i="2" s="1"/>
  <c r="U276" i="2" s="1"/>
  <c r="Q277" i="2"/>
  <c r="S277" i="2" s="1"/>
  <c r="T277" i="2" s="1"/>
  <c r="U277" i="2" s="1"/>
  <c r="Q278" i="2"/>
  <c r="S278" i="2" s="1"/>
  <c r="T278" i="2" s="1"/>
  <c r="U278" i="2" s="1"/>
  <c r="Q279" i="2"/>
  <c r="S279" i="2" s="1"/>
  <c r="T279" i="2" s="1"/>
  <c r="U279" i="2" s="1"/>
  <c r="Q280" i="2"/>
  <c r="S280" i="2" s="1"/>
  <c r="T280" i="2" s="1"/>
  <c r="U280" i="2" s="1"/>
  <c r="Q281" i="2"/>
  <c r="S281" i="2" s="1"/>
  <c r="T281" i="2" s="1"/>
  <c r="U281" i="2" s="1"/>
  <c r="Q282" i="2"/>
  <c r="S282" i="2" s="1"/>
  <c r="T282" i="2" s="1"/>
  <c r="U282" i="2" s="1"/>
  <c r="Q283" i="2"/>
  <c r="S283" i="2" s="1"/>
  <c r="T283" i="2" s="1"/>
  <c r="U283" i="2" s="1"/>
  <c r="Q284" i="2"/>
  <c r="S284" i="2" s="1"/>
  <c r="T284" i="2" s="1"/>
  <c r="U284" i="2" s="1"/>
  <c r="Q285" i="2"/>
  <c r="S285" i="2" s="1"/>
  <c r="T285" i="2" s="1"/>
  <c r="U285" i="2" s="1"/>
  <c r="Q286" i="2"/>
  <c r="S286" i="2" s="1"/>
  <c r="T286" i="2" s="1"/>
  <c r="U286" i="2" s="1"/>
  <c r="Q287" i="2"/>
  <c r="S287" i="2" s="1"/>
  <c r="T287" i="2" s="1"/>
  <c r="U287" i="2" s="1"/>
  <c r="Q288" i="2"/>
  <c r="S288" i="2" s="1"/>
  <c r="T288" i="2" s="1"/>
  <c r="U288" i="2" s="1"/>
  <c r="Q289" i="2"/>
  <c r="S289" i="2" s="1"/>
  <c r="Q290" i="2"/>
  <c r="S290" i="2" s="1"/>
  <c r="T290" i="2" s="1"/>
  <c r="U290" i="2" s="1"/>
  <c r="Q291" i="2"/>
  <c r="S291" i="2" s="1"/>
  <c r="T291" i="2" s="1"/>
  <c r="U291" i="2" s="1"/>
  <c r="Q292" i="2"/>
  <c r="S292" i="2" s="1"/>
  <c r="T292" i="2" s="1"/>
  <c r="U292" i="2" s="1"/>
  <c r="Q293" i="2"/>
  <c r="S293" i="2" s="1"/>
  <c r="T293" i="2" s="1"/>
  <c r="U293" i="2" s="1"/>
  <c r="Q294" i="2"/>
  <c r="S294" i="2" s="1"/>
  <c r="T294" i="2" s="1"/>
  <c r="U294" i="2" s="1"/>
  <c r="Q295" i="2"/>
  <c r="S295" i="2" s="1"/>
  <c r="T295" i="2" s="1"/>
  <c r="U295" i="2" s="1"/>
  <c r="Q296" i="2"/>
  <c r="S296" i="2" s="1"/>
  <c r="T296" i="2" s="1"/>
  <c r="U296" i="2" s="1"/>
  <c r="Q297" i="2"/>
  <c r="S297" i="2" s="1"/>
  <c r="T297" i="2" s="1"/>
  <c r="U297" i="2" s="1"/>
  <c r="Q298" i="2"/>
  <c r="S298" i="2" s="1"/>
  <c r="T298" i="2" s="1"/>
  <c r="U298" i="2" s="1"/>
  <c r="Q299" i="2"/>
  <c r="S299" i="2" s="1"/>
  <c r="T299" i="2" s="1"/>
  <c r="U299" i="2" s="1"/>
  <c r="Q300" i="2"/>
  <c r="S300" i="2" s="1"/>
  <c r="T300" i="2" s="1"/>
  <c r="U300" i="2" s="1"/>
  <c r="Q301" i="2"/>
  <c r="S301" i="2" s="1"/>
  <c r="T301" i="2" s="1"/>
  <c r="U301" i="2" s="1"/>
  <c r="Q302" i="2"/>
  <c r="S302" i="2" s="1"/>
  <c r="T302" i="2" s="1"/>
  <c r="U302" i="2" s="1"/>
  <c r="Q303" i="2"/>
  <c r="S303" i="2" s="1"/>
  <c r="Q304" i="2"/>
  <c r="S304" i="2" s="1"/>
  <c r="T304" i="2" s="1"/>
  <c r="U304" i="2" s="1"/>
  <c r="Q305" i="2"/>
  <c r="S305" i="2" s="1"/>
  <c r="T305" i="2" s="1"/>
  <c r="U305" i="2" s="1"/>
  <c r="Q306" i="2"/>
  <c r="S306" i="2" s="1"/>
  <c r="Q307" i="2"/>
  <c r="S307" i="2" s="1"/>
  <c r="Q308" i="2"/>
  <c r="S308" i="2" s="1"/>
  <c r="T308" i="2" s="1"/>
  <c r="U308" i="2" s="1"/>
  <c r="Q309" i="2"/>
  <c r="S309" i="2" s="1"/>
  <c r="T309" i="2" s="1"/>
  <c r="U309" i="2" s="1"/>
  <c r="Q310" i="2"/>
  <c r="S310" i="2" s="1"/>
  <c r="T310" i="2" s="1"/>
  <c r="U310" i="2" s="1"/>
  <c r="Q311" i="2"/>
  <c r="S311" i="2" s="1"/>
  <c r="T311" i="2" s="1"/>
  <c r="U311" i="2" s="1"/>
  <c r="Q312" i="2"/>
  <c r="S312" i="2" s="1"/>
  <c r="T312" i="2" s="1"/>
  <c r="U312" i="2" s="1"/>
  <c r="Q313" i="2"/>
  <c r="S313" i="2" s="1"/>
  <c r="T313" i="2" s="1"/>
  <c r="U313" i="2" s="1"/>
  <c r="Q314" i="2"/>
  <c r="S314" i="2" s="1"/>
  <c r="T314" i="2" s="1"/>
  <c r="U314" i="2" s="1"/>
  <c r="Q315" i="2"/>
  <c r="S315" i="2" s="1"/>
  <c r="Q316" i="2"/>
  <c r="S316" i="2" s="1"/>
  <c r="Q317" i="2"/>
  <c r="S317" i="2" s="1"/>
  <c r="T317" i="2" s="1"/>
  <c r="U317" i="2" s="1"/>
  <c r="Q318" i="2"/>
  <c r="S318" i="2" s="1"/>
  <c r="Q319" i="2"/>
  <c r="S319" i="2" s="1"/>
  <c r="T319" i="2" s="1"/>
  <c r="U319" i="2" s="1"/>
  <c r="Q320" i="2"/>
  <c r="S320" i="2" s="1"/>
  <c r="T320" i="2" s="1"/>
  <c r="U320" i="2" s="1"/>
  <c r="Q321" i="2"/>
  <c r="S321" i="2" s="1"/>
  <c r="T321" i="2" s="1"/>
  <c r="U321" i="2" s="1"/>
  <c r="Q322" i="2"/>
  <c r="S322" i="2" s="1"/>
  <c r="Q323" i="2"/>
  <c r="S323" i="2" s="1"/>
  <c r="Q324" i="2"/>
  <c r="S324" i="2" s="1"/>
  <c r="Q325" i="2"/>
  <c r="S325" i="2" s="1"/>
  <c r="Q326" i="2"/>
  <c r="S326" i="2" s="1"/>
  <c r="Q327" i="2"/>
  <c r="S327" i="2" s="1"/>
  <c r="T327" i="2" s="1"/>
  <c r="U327" i="2" s="1"/>
  <c r="Q328" i="2"/>
  <c r="S328" i="2" s="1"/>
  <c r="T328" i="2" s="1"/>
  <c r="U328" i="2" s="1"/>
  <c r="Q329" i="2"/>
  <c r="S329" i="2" s="1"/>
  <c r="T329" i="2" s="1"/>
  <c r="U329" i="2" s="1"/>
  <c r="Q330" i="2"/>
  <c r="S330" i="2" s="1"/>
  <c r="T330" i="2" s="1"/>
  <c r="U330" i="2" s="1"/>
  <c r="Q331" i="2"/>
  <c r="S331" i="2" s="1"/>
  <c r="T331" i="2" s="1"/>
  <c r="U331" i="2" s="1"/>
  <c r="Q332" i="2"/>
  <c r="S332" i="2" s="1"/>
  <c r="T332" i="2" s="1"/>
  <c r="U332" i="2" s="1"/>
  <c r="Q333" i="2"/>
  <c r="S333" i="2" s="1"/>
  <c r="T333" i="2" s="1"/>
  <c r="U333" i="2" s="1"/>
  <c r="Q334" i="2"/>
  <c r="S334" i="2" s="1"/>
  <c r="Q335" i="2"/>
  <c r="S335" i="2" s="1"/>
  <c r="T335" i="2" s="1"/>
  <c r="U335" i="2" s="1"/>
  <c r="Q336" i="2"/>
  <c r="S336" i="2" s="1"/>
  <c r="Q337" i="2"/>
  <c r="S337" i="2" s="1"/>
  <c r="T337" i="2" s="1"/>
  <c r="U337" i="2" s="1"/>
  <c r="Q338" i="2"/>
  <c r="S338" i="2" s="1"/>
  <c r="T338" i="2" s="1"/>
  <c r="U338" i="2" s="1"/>
  <c r="Q339" i="2"/>
  <c r="S339" i="2" s="1"/>
  <c r="T339" i="2" s="1"/>
  <c r="U339" i="2" s="1"/>
  <c r="Q340" i="2"/>
  <c r="S340" i="2" s="1"/>
  <c r="Q341" i="2"/>
  <c r="S341" i="2" s="1"/>
  <c r="Q342" i="2"/>
  <c r="S342" i="2" s="1"/>
  <c r="Q343" i="2"/>
  <c r="S343" i="2" s="1"/>
  <c r="T343" i="2" s="1"/>
  <c r="U343" i="2" s="1"/>
  <c r="Q344" i="2"/>
  <c r="S344" i="2" s="1"/>
  <c r="T344" i="2" s="1"/>
  <c r="U344" i="2" s="1"/>
  <c r="Q345" i="2"/>
  <c r="S345" i="2" s="1"/>
  <c r="T345" i="2" s="1"/>
  <c r="U345" i="2" s="1"/>
  <c r="Q346" i="2"/>
  <c r="S346" i="2" s="1"/>
  <c r="T346" i="2" s="1"/>
  <c r="U346" i="2" s="1"/>
  <c r="Q347" i="2"/>
  <c r="S347" i="2" s="1"/>
  <c r="T347" i="2" s="1"/>
  <c r="U347" i="2" s="1"/>
  <c r="Q348" i="2"/>
  <c r="S348" i="2" s="1"/>
  <c r="T348" i="2" s="1"/>
  <c r="U348" i="2" s="1"/>
  <c r="Q349" i="2"/>
  <c r="S349" i="2" s="1"/>
  <c r="T349" i="2" s="1"/>
  <c r="U349" i="2" s="1"/>
  <c r="Q350" i="2"/>
  <c r="S350" i="2" s="1"/>
  <c r="Q351" i="2"/>
  <c r="S351" i="2" s="1"/>
  <c r="T351" i="2" s="1"/>
  <c r="U351" i="2" s="1"/>
  <c r="Q352" i="2"/>
  <c r="S352" i="2" s="1"/>
  <c r="Q353" i="2"/>
  <c r="S353" i="2" s="1"/>
  <c r="T353" i="2" s="1"/>
  <c r="U353" i="2" s="1"/>
  <c r="Q354" i="2"/>
  <c r="S354" i="2" s="1"/>
  <c r="T354" i="2" s="1"/>
  <c r="U354" i="2" s="1"/>
  <c r="Q355" i="2"/>
  <c r="S355" i="2" s="1"/>
  <c r="T355" i="2" s="1"/>
  <c r="U355" i="2" s="1"/>
  <c r="Q356" i="2"/>
  <c r="S356" i="2" s="1"/>
  <c r="Q357" i="2"/>
  <c r="S357" i="2" s="1"/>
  <c r="T357" i="2" s="1"/>
  <c r="U357" i="2" s="1"/>
  <c r="Q358" i="2"/>
  <c r="S358" i="2" s="1"/>
  <c r="Q359" i="2"/>
  <c r="S359" i="2" s="1"/>
  <c r="Q360" i="2"/>
  <c r="S360" i="2" s="1"/>
  <c r="T360" i="2" s="1"/>
  <c r="U360" i="2" s="1"/>
  <c r="Q361" i="2"/>
  <c r="S361" i="2" s="1"/>
  <c r="T361" i="2" s="1"/>
  <c r="U361" i="2" s="1"/>
  <c r="Q362" i="2"/>
  <c r="S362" i="2" s="1"/>
  <c r="T362" i="2" s="1"/>
  <c r="U362" i="2" s="1"/>
  <c r="Q363" i="2"/>
  <c r="S363" i="2" s="1"/>
  <c r="T363" i="2" s="1"/>
  <c r="U363" i="2" s="1"/>
  <c r="Q364" i="2"/>
  <c r="S364" i="2" s="1"/>
  <c r="T364" i="2" s="1"/>
  <c r="U364" i="2" s="1"/>
  <c r="Q365" i="2"/>
  <c r="S365" i="2" s="1"/>
  <c r="T365" i="2" s="1"/>
  <c r="U365" i="2" s="1"/>
  <c r="Q366" i="2"/>
  <c r="S366" i="2" s="1"/>
  <c r="T366" i="2" s="1"/>
  <c r="U366" i="2" s="1"/>
  <c r="Q367" i="2"/>
  <c r="S367" i="2" s="1"/>
  <c r="Q368" i="2"/>
  <c r="S368" i="2" s="1"/>
  <c r="T368" i="2" s="1"/>
  <c r="U368" i="2" s="1"/>
  <c r="Q369" i="2"/>
  <c r="S369" i="2" s="1"/>
  <c r="T369" i="2" s="1"/>
  <c r="U369" i="2" s="1"/>
  <c r="Q370" i="2"/>
  <c r="S370" i="2" s="1"/>
  <c r="T370" i="2" s="1"/>
  <c r="U370" i="2" s="1"/>
  <c r="Q371" i="2"/>
  <c r="S371" i="2" s="1"/>
  <c r="T371" i="2" s="1"/>
  <c r="U371" i="2" s="1"/>
  <c r="Q372" i="2"/>
  <c r="S372" i="2" s="1"/>
  <c r="Q373" i="2"/>
  <c r="S373" i="2" s="1"/>
  <c r="Q374" i="2"/>
  <c r="S374" i="2" s="1"/>
  <c r="T374" i="2" s="1"/>
  <c r="U374" i="2" s="1"/>
  <c r="Q375" i="2"/>
  <c r="S375" i="2" s="1"/>
  <c r="T375" i="2" s="1"/>
  <c r="U375" i="2" s="1"/>
  <c r="Q376" i="2"/>
  <c r="S376" i="2" s="1"/>
  <c r="T376" i="2" s="1"/>
  <c r="U376" i="2" s="1"/>
  <c r="Q377" i="2"/>
  <c r="S377" i="2" s="1"/>
  <c r="T377" i="2" s="1"/>
  <c r="U377" i="2" s="1"/>
  <c r="Q378" i="2"/>
  <c r="S378" i="2" s="1"/>
  <c r="T378" i="2" s="1"/>
  <c r="U378" i="2" s="1"/>
  <c r="Q379" i="2"/>
  <c r="S379" i="2" s="1"/>
  <c r="T379" i="2" s="1"/>
  <c r="U379" i="2" s="1"/>
  <c r="Q380" i="2"/>
  <c r="S380" i="2" s="1"/>
  <c r="Q381" i="2"/>
  <c r="S381" i="2" s="1"/>
  <c r="Q382" i="2"/>
  <c r="S382" i="2" s="1"/>
  <c r="T382" i="2" s="1"/>
  <c r="U382" i="2" s="1"/>
  <c r="Q383" i="2"/>
  <c r="S383" i="2" s="1"/>
  <c r="T383" i="2" s="1"/>
  <c r="U383" i="2" s="1"/>
  <c r="Q384" i="2"/>
  <c r="S384" i="2" s="1"/>
  <c r="Q385" i="2"/>
  <c r="S385" i="2" s="1"/>
  <c r="Q386" i="2"/>
  <c r="S386" i="2" s="1"/>
  <c r="Q387" i="2"/>
  <c r="S387" i="2" s="1"/>
  <c r="Q388" i="2"/>
  <c r="S388" i="2" s="1"/>
  <c r="T388" i="2" s="1"/>
  <c r="U388" i="2" s="1"/>
  <c r="Q389" i="2"/>
  <c r="S389" i="2" s="1"/>
  <c r="T389" i="2" s="1"/>
  <c r="U389" i="2" s="1"/>
  <c r="Q390" i="2"/>
  <c r="S390" i="2" s="1"/>
  <c r="T390" i="2" s="1"/>
  <c r="U390" i="2" s="1"/>
  <c r="Q391" i="2"/>
  <c r="S391" i="2" s="1"/>
  <c r="T391" i="2" s="1"/>
  <c r="U391" i="2" s="1"/>
  <c r="Q392" i="2"/>
  <c r="S392" i="2" s="1"/>
  <c r="T392" i="2" s="1"/>
  <c r="U392" i="2" s="1"/>
  <c r="Q393" i="2"/>
  <c r="S393" i="2" s="1"/>
  <c r="T393" i="2" s="1"/>
  <c r="U393" i="2" s="1"/>
  <c r="Q394" i="2"/>
  <c r="S394" i="2" s="1"/>
  <c r="T394" i="2" s="1"/>
  <c r="U394" i="2" s="1"/>
  <c r="Q395" i="2"/>
  <c r="S395" i="2" s="1"/>
  <c r="T395" i="2" s="1"/>
  <c r="U395" i="2" s="1"/>
  <c r="Q396" i="2"/>
  <c r="S396" i="2" s="1"/>
  <c r="T396" i="2" s="1"/>
  <c r="U396" i="2" s="1"/>
  <c r="Q397" i="2"/>
  <c r="S397" i="2" s="1"/>
  <c r="Q398" i="2"/>
  <c r="S398" i="2" s="1"/>
  <c r="T398" i="2" s="1"/>
  <c r="U398" i="2" s="1"/>
  <c r="Q399" i="2"/>
  <c r="S399" i="2" s="1"/>
  <c r="T399" i="2" s="1"/>
  <c r="U399" i="2" s="1"/>
  <c r="Q400" i="2"/>
  <c r="S400" i="2" s="1"/>
  <c r="T400" i="2" s="1"/>
  <c r="U400" i="2" s="1"/>
  <c r="Q401" i="2"/>
  <c r="S401" i="2" s="1"/>
  <c r="T401" i="2" s="1"/>
  <c r="U401" i="2" s="1"/>
  <c r="Q402" i="2"/>
  <c r="S402" i="2" s="1"/>
  <c r="T402" i="2" s="1"/>
  <c r="U402" i="2" s="1"/>
  <c r="Q403" i="2"/>
  <c r="S403" i="2" s="1"/>
  <c r="T403" i="2" s="1"/>
  <c r="U403" i="2" s="1"/>
  <c r="Q404" i="2"/>
  <c r="S404" i="2" s="1"/>
  <c r="Q405" i="2"/>
  <c r="S405" i="2" s="1"/>
  <c r="T405" i="2" s="1"/>
  <c r="U405" i="2" s="1"/>
  <c r="Q406" i="2"/>
  <c r="S406" i="2" s="1"/>
  <c r="T406" i="2" s="1"/>
  <c r="U406" i="2" s="1"/>
  <c r="Q407" i="2"/>
  <c r="S407" i="2" s="1"/>
  <c r="T407" i="2" s="1"/>
  <c r="U407" i="2" s="1"/>
  <c r="Q408" i="2"/>
  <c r="S408" i="2" s="1"/>
  <c r="Q409" i="2"/>
  <c r="S409" i="2" s="1"/>
  <c r="T409" i="2" s="1"/>
  <c r="U409" i="2" s="1"/>
  <c r="Q410" i="2"/>
  <c r="S410" i="2" s="1"/>
  <c r="Q411" i="2"/>
  <c r="S411" i="2" s="1"/>
  <c r="T411" i="2" s="1"/>
  <c r="U411" i="2" s="1"/>
  <c r="Q412" i="2"/>
  <c r="S412" i="2" s="1"/>
  <c r="Q413" i="2"/>
  <c r="S413" i="2" s="1"/>
  <c r="T413" i="2" s="1"/>
  <c r="U413" i="2" s="1"/>
  <c r="Q414" i="2"/>
  <c r="S414" i="2" s="1"/>
  <c r="T414" i="2" s="1"/>
  <c r="U414" i="2" s="1"/>
  <c r="Q415" i="2"/>
  <c r="S415" i="2" s="1"/>
  <c r="Q416" i="2"/>
  <c r="S416" i="2" s="1"/>
  <c r="Q417" i="2"/>
  <c r="S417" i="2" s="1"/>
  <c r="Q418" i="2"/>
  <c r="S418" i="2" s="1"/>
  <c r="T418" i="2" s="1"/>
  <c r="U418" i="2" s="1"/>
  <c r="Q419" i="2"/>
  <c r="S419" i="2" s="1"/>
  <c r="T419" i="2" s="1"/>
  <c r="U419" i="2" s="1"/>
  <c r="Q420" i="2"/>
  <c r="S420" i="2" s="1"/>
  <c r="Q421" i="2"/>
  <c r="S421" i="2" s="1"/>
  <c r="T421" i="2" s="1"/>
  <c r="U421" i="2" s="1"/>
  <c r="Q422" i="2"/>
  <c r="S422" i="2" s="1"/>
  <c r="T422" i="2" s="1"/>
  <c r="U422" i="2" s="1"/>
  <c r="Q423" i="2"/>
  <c r="S423" i="2" s="1"/>
  <c r="Q424" i="2"/>
  <c r="S424" i="2" s="1"/>
  <c r="Q425" i="2"/>
  <c r="S425" i="2" s="1"/>
  <c r="Q426" i="2"/>
  <c r="S426" i="2" s="1"/>
  <c r="T426" i="2" s="1"/>
  <c r="U426" i="2" s="1"/>
  <c r="Q427" i="2"/>
  <c r="S427" i="2" s="1"/>
  <c r="Q428" i="2"/>
  <c r="S428" i="2" s="1"/>
  <c r="T428" i="2" s="1"/>
  <c r="U428" i="2" s="1"/>
  <c r="Q429" i="2"/>
  <c r="S429" i="2" s="1"/>
  <c r="T429" i="2" s="1"/>
  <c r="U429" i="2" s="1"/>
  <c r="Q430" i="2"/>
  <c r="S430" i="2" s="1"/>
  <c r="T430" i="2" s="1"/>
  <c r="U430" i="2" s="1"/>
  <c r="Q431" i="2"/>
  <c r="S431" i="2" s="1"/>
  <c r="Q432" i="2"/>
  <c r="S432" i="2" s="1"/>
  <c r="T432" i="2" s="1"/>
  <c r="U432" i="2" s="1"/>
  <c r="Q433" i="2"/>
  <c r="S433" i="2" s="1"/>
  <c r="T433" i="2" s="1"/>
  <c r="U433" i="2" s="1"/>
  <c r="Q434" i="2"/>
  <c r="S434" i="2" s="1"/>
  <c r="T434" i="2" s="1"/>
  <c r="U434" i="2" s="1"/>
  <c r="Q435" i="2"/>
  <c r="S435" i="2" s="1"/>
  <c r="Q436" i="2"/>
  <c r="S436" i="2" s="1"/>
  <c r="Q437" i="2"/>
  <c r="S437" i="2" s="1"/>
  <c r="T437" i="2" s="1"/>
  <c r="U437" i="2" s="1"/>
  <c r="Q438" i="2"/>
  <c r="S438" i="2" s="1"/>
  <c r="Q439" i="2"/>
  <c r="S439" i="2" s="1"/>
  <c r="T439" i="2" s="1"/>
  <c r="U439" i="2" s="1"/>
  <c r="Q440" i="2"/>
  <c r="S440" i="2" s="1"/>
  <c r="T440" i="2" s="1"/>
  <c r="U440" i="2" s="1"/>
  <c r="Q441" i="2"/>
  <c r="S441" i="2" s="1"/>
  <c r="Q442" i="2"/>
  <c r="S442" i="2" s="1"/>
  <c r="T442" i="2" s="1"/>
  <c r="U442" i="2" s="1"/>
  <c r="Q443" i="2"/>
  <c r="S443" i="2" s="1"/>
  <c r="T443" i="2" s="1"/>
  <c r="U443" i="2" s="1"/>
  <c r="Q444" i="2"/>
  <c r="S444" i="2" s="1"/>
  <c r="T444" i="2" s="1"/>
  <c r="U444" i="2" s="1"/>
  <c r="Q445" i="2"/>
  <c r="S445" i="2" s="1"/>
  <c r="T445" i="2" s="1"/>
  <c r="U445" i="2" s="1"/>
  <c r="Q446" i="2"/>
  <c r="S446" i="2" s="1"/>
  <c r="Q447" i="2"/>
  <c r="S447" i="2" s="1"/>
  <c r="Q448" i="2"/>
  <c r="S448" i="2" s="1"/>
  <c r="T448" i="2" s="1"/>
  <c r="U448" i="2" s="1"/>
  <c r="Q449" i="2"/>
  <c r="S449" i="2" s="1"/>
  <c r="T449" i="2" s="1"/>
  <c r="U449" i="2" s="1"/>
  <c r="Q450" i="2"/>
  <c r="S450" i="2" s="1"/>
  <c r="T450" i="2" s="1"/>
  <c r="U450" i="2" s="1"/>
  <c r="Q451" i="2"/>
  <c r="S451" i="2" s="1"/>
  <c r="T451" i="2" s="1"/>
  <c r="U451" i="2" s="1"/>
  <c r="Q452" i="2"/>
  <c r="S452" i="2" s="1"/>
  <c r="T452" i="2" s="1"/>
  <c r="U452" i="2" s="1"/>
  <c r="Q453" i="2"/>
  <c r="S453" i="2" s="1"/>
  <c r="T453" i="2" s="1"/>
  <c r="U453" i="2" s="1"/>
  <c r="Q454" i="2"/>
  <c r="S454" i="2" s="1"/>
  <c r="T454" i="2" s="1"/>
  <c r="U454" i="2" s="1"/>
  <c r="Q455" i="2"/>
  <c r="S455" i="2" s="1"/>
  <c r="T455" i="2" s="1"/>
  <c r="U455" i="2" s="1"/>
  <c r="Q456" i="2"/>
  <c r="S456" i="2" s="1"/>
  <c r="T456" i="2" s="1"/>
  <c r="U456" i="2" s="1"/>
  <c r="Q457" i="2"/>
  <c r="S457" i="2" s="1"/>
  <c r="T457" i="2" s="1"/>
  <c r="U457" i="2" s="1"/>
  <c r="Q458" i="2"/>
  <c r="S458" i="2" s="1"/>
  <c r="T458" i="2" s="1"/>
  <c r="U458" i="2" s="1"/>
  <c r="Q459" i="2"/>
  <c r="S459" i="2" s="1"/>
  <c r="Q460" i="2"/>
  <c r="S460" i="2" s="1"/>
  <c r="T460" i="2" s="1"/>
  <c r="U460" i="2" s="1"/>
  <c r="Q461" i="2"/>
  <c r="S461" i="2" s="1"/>
  <c r="T461" i="2" s="1"/>
  <c r="U461" i="2" s="1"/>
  <c r="Q462" i="2"/>
  <c r="S462" i="2" s="1"/>
  <c r="T462" i="2" s="1"/>
  <c r="U462" i="2" s="1"/>
  <c r="Q463" i="2"/>
  <c r="S463" i="2" s="1"/>
  <c r="T463" i="2" s="1"/>
  <c r="U463" i="2" s="1"/>
  <c r="Q464" i="2"/>
  <c r="S464" i="2" s="1"/>
  <c r="T464" i="2" s="1"/>
  <c r="U464" i="2" s="1"/>
  <c r="Q465" i="2"/>
  <c r="S465" i="2" s="1"/>
  <c r="Q466" i="2"/>
  <c r="S466" i="2" s="1"/>
  <c r="T466" i="2" s="1"/>
  <c r="U466" i="2" s="1"/>
  <c r="Q467" i="2"/>
  <c r="S467" i="2" s="1"/>
  <c r="Q468" i="2"/>
  <c r="S468" i="2" s="1"/>
  <c r="T468" i="2" s="1"/>
  <c r="U468" i="2" s="1"/>
  <c r="Q469" i="2"/>
  <c r="S469" i="2" s="1"/>
  <c r="Q470" i="2"/>
  <c r="S470" i="2" s="1"/>
  <c r="T470" i="2" s="1"/>
  <c r="U470" i="2" s="1"/>
  <c r="Q471" i="2"/>
  <c r="S471" i="2" s="1"/>
  <c r="T471" i="2" s="1"/>
  <c r="U471" i="2" s="1"/>
  <c r="Q472" i="2"/>
  <c r="S472" i="2" s="1"/>
  <c r="Q473" i="2"/>
  <c r="S473" i="2" s="1"/>
  <c r="T473" i="2" s="1"/>
  <c r="U473" i="2" s="1"/>
  <c r="Q474" i="2"/>
  <c r="S474" i="2" s="1"/>
  <c r="T474" i="2" s="1"/>
  <c r="U474" i="2" s="1"/>
  <c r="Q475" i="2"/>
  <c r="S475" i="2" s="1"/>
  <c r="Q476" i="2"/>
  <c r="S476" i="2" s="1"/>
  <c r="T476" i="2" s="1"/>
  <c r="U476" i="2" s="1"/>
  <c r="Q477" i="2"/>
  <c r="S477" i="2" s="1"/>
  <c r="Q478" i="2"/>
  <c r="S478" i="2" s="1"/>
  <c r="Q479" i="2"/>
  <c r="S479" i="2" s="1"/>
  <c r="T479" i="2" s="1"/>
  <c r="U479" i="2" s="1"/>
  <c r="Q480" i="2"/>
  <c r="S480" i="2" s="1"/>
  <c r="Q481" i="2"/>
  <c r="S481" i="2" s="1"/>
  <c r="T481" i="2" s="1"/>
  <c r="U481" i="2" s="1"/>
  <c r="Q482" i="2"/>
  <c r="S482" i="2" s="1"/>
  <c r="Q483" i="2"/>
  <c r="S483" i="2" s="1"/>
  <c r="T483" i="2" s="1"/>
  <c r="U483" i="2" s="1"/>
  <c r="Q484" i="2"/>
  <c r="S484" i="2" s="1"/>
  <c r="T484" i="2" s="1"/>
  <c r="U484" i="2" s="1"/>
  <c r="Q485" i="2"/>
  <c r="S485" i="2" s="1"/>
  <c r="T485" i="2" s="1"/>
  <c r="U485" i="2" s="1"/>
  <c r="Q486" i="2"/>
  <c r="S486" i="2" s="1"/>
  <c r="T486" i="2" s="1"/>
  <c r="U486" i="2" s="1"/>
  <c r="Q487" i="2"/>
  <c r="S487" i="2" s="1"/>
  <c r="T487" i="2" s="1"/>
  <c r="U487" i="2" s="1"/>
  <c r="Q488" i="2"/>
  <c r="S488" i="2" s="1"/>
  <c r="T488" i="2" s="1"/>
  <c r="U488" i="2" s="1"/>
  <c r="Q489" i="2"/>
  <c r="S489" i="2" s="1"/>
  <c r="Q490" i="2"/>
  <c r="S490" i="2" s="1"/>
  <c r="T490" i="2" s="1"/>
  <c r="U490" i="2" s="1"/>
  <c r="Q491" i="2"/>
  <c r="S491" i="2" s="1"/>
  <c r="T491" i="2" s="1"/>
  <c r="U491" i="2" s="1"/>
  <c r="Q492" i="2"/>
  <c r="S492" i="2" s="1"/>
  <c r="Q493" i="2"/>
  <c r="S493" i="2" s="1"/>
  <c r="T493" i="2" s="1"/>
  <c r="U493" i="2" s="1"/>
  <c r="Q494" i="2"/>
  <c r="S494" i="2" s="1"/>
  <c r="T494" i="2" s="1"/>
  <c r="U494" i="2" s="1"/>
  <c r="Q495" i="2"/>
  <c r="S495" i="2" s="1"/>
  <c r="T495" i="2" s="1"/>
  <c r="U495" i="2" s="1"/>
  <c r="Q496" i="2"/>
  <c r="S496" i="2" s="1"/>
  <c r="T496" i="2" s="1"/>
  <c r="U496" i="2" s="1"/>
  <c r="Q497" i="2"/>
  <c r="S497" i="2" s="1"/>
  <c r="T497" i="2" s="1"/>
  <c r="U497" i="2" s="1"/>
  <c r="Q498" i="2"/>
  <c r="S498" i="2" s="1"/>
  <c r="T498" i="2" s="1"/>
  <c r="U498" i="2" s="1"/>
  <c r="Q499" i="2"/>
  <c r="S499" i="2" s="1"/>
  <c r="Q500" i="2"/>
  <c r="S500" i="2" s="1"/>
  <c r="Q501" i="2"/>
  <c r="S501" i="2" s="1"/>
  <c r="T501" i="2" s="1"/>
  <c r="U501" i="2" s="1"/>
  <c r="Q502" i="2"/>
  <c r="S502" i="2" s="1"/>
  <c r="T502" i="2" s="1"/>
  <c r="U502" i="2" s="1"/>
  <c r="Q503" i="2"/>
  <c r="S503" i="2" s="1"/>
  <c r="T503" i="2" s="1"/>
  <c r="U503" i="2" s="1"/>
  <c r="Q504" i="2"/>
  <c r="S504" i="2" s="1"/>
  <c r="Q505" i="2"/>
  <c r="S505" i="2" s="1"/>
  <c r="T505" i="2" s="1"/>
  <c r="U505" i="2" s="1"/>
  <c r="Q506" i="2"/>
  <c r="S506" i="2" s="1"/>
  <c r="Q507" i="2"/>
  <c r="S507" i="2" s="1"/>
  <c r="T507" i="2" s="1"/>
  <c r="U507" i="2" s="1"/>
  <c r="Q508" i="2"/>
  <c r="S508" i="2" s="1"/>
  <c r="T508" i="2" s="1"/>
  <c r="U508" i="2" s="1"/>
  <c r="Q509" i="2"/>
  <c r="S509" i="2" s="1"/>
  <c r="Q510" i="2"/>
  <c r="S510" i="2" s="1"/>
  <c r="T510" i="2" s="1"/>
  <c r="U510" i="2" s="1"/>
  <c r="Q511" i="2"/>
  <c r="S511" i="2" s="1"/>
  <c r="T511" i="2" s="1"/>
  <c r="U511" i="2" s="1"/>
  <c r="Q512" i="2"/>
  <c r="S512" i="2" s="1"/>
  <c r="T512" i="2" s="1"/>
  <c r="U512" i="2" s="1"/>
  <c r="Q513" i="2"/>
  <c r="S513" i="2" s="1"/>
  <c r="T513" i="2" s="1"/>
  <c r="U513" i="2" s="1"/>
  <c r="Q514" i="2"/>
  <c r="S514" i="2" s="1"/>
  <c r="T514" i="2" s="1"/>
  <c r="U514" i="2" s="1"/>
  <c r="Q515" i="2"/>
  <c r="S515" i="2" s="1"/>
  <c r="T515" i="2" s="1"/>
  <c r="U515" i="2" s="1"/>
  <c r="Q516" i="2"/>
  <c r="S516" i="2" s="1"/>
  <c r="T516" i="2" s="1"/>
  <c r="U516" i="2" s="1"/>
  <c r="Q517" i="2"/>
  <c r="S517" i="2" s="1"/>
  <c r="T517" i="2" s="1"/>
  <c r="U517" i="2" s="1"/>
  <c r="Q518" i="2"/>
  <c r="S518" i="2" s="1"/>
  <c r="Q519" i="2"/>
  <c r="S519" i="2" s="1"/>
  <c r="T519" i="2" s="1"/>
  <c r="U519" i="2" s="1"/>
  <c r="Q520" i="2"/>
  <c r="S520" i="2" s="1"/>
  <c r="Q521" i="2"/>
  <c r="S521" i="2" s="1"/>
  <c r="T521" i="2" s="1"/>
  <c r="U521" i="2" s="1"/>
  <c r="Q522" i="2"/>
  <c r="S522" i="2" s="1"/>
  <c r="T522" i="2" s="1"/>
  <c r="U522" i="2" s="1"/>
  <c r="Q523" i="2"/>
  <c r="S523" i="2" s="1"/>
  <c r="Q524" i="2"/>
  <c r="S524" i="2" s="1"/>
  <c r="T524" i="2" s="1"/>
  <c r="U524" i="2" s="1"/>
  <c r="Q525" i="2"/>
  <c r="S525" i="2" s="1"/>
  <c r="T525" i="2" s="1"/>
  <c r="U525" i="2" s="1"/>
  <c r="Q526" i="2"/>
  <c r="S526" i="2" s="1"/>
  <c r="T526" i="2" s="1"/>
  <c r="U526" i="2" s="1"/>
  <c r="Q527" i="2"/>
  <c r="S527" i="2" s="1"/>
  <c r="Q528" i="2"/>
  <c r="S528" i="2" s="1"/>
  <c r="T528" i="2" s="1"/>
  <c r="U528" i="2" s="1"/>
  <c r="Q529" i="2"/>
  <c r="S529" i="2" s="1"/>
  <c r="T529" i="2" s="1"/>
  <c r="U529" i="2" s="1"/>
  <c r="Q530" i="2"/>
  <c r="S530" i="2" s="1"/>
  <c r="T530" i="2" s="1"/>
  <c r="U530" i="2" s="1"/>
  <c r="Q531" i="2"/>
  <c r="S531" i="2" s="1"/>
  <c r="T531" i="2" s="1"/>
  <c r="U531" i="2" s="1"/>
  <c r="Q532" i="2"/>
  <c r="S532" i="2" s="1"/>
  <c r="T532" i="2" s="1"/>
  <c r="U532" i="2" s="1"/>
  <c r="Q533" i="2"/>
  <c r="S533" i="2" s="1"/>
  <c r="T533" i="2" s="1"/>
  <c r="U533" i="2" s="1"/>
  <c r="Q534" i="2"/>
  <c r="S534" i="2" s="1"/>
  <c r="T534" i="2" s="1"/>
  <c r="U534" i="2" s="1"/>
  <c r="Q535" i="2"/>
  <c r="S535" i="2" s="1"/>
  <c r="T535" i="2" s="1"/>
  <c r="U535" i="2" s="1"/>
  <c r="Q536" i="2"/>
  <c r="S536" i="2" s="1"/>
  <c r="T536" i="2" s="1"/>
  <c r="U536" i="2" s="1"/>
  <c r="Q537" i="2"/>
  <c r="S537" i="2" s="1"/>
  <c r="Q538" i="2"/>
  <c r="S538" i="2" s="1"/>
  <c r="T538" i="2" s="1"/>
  <c r="U538" i="2" s="1"/>
  <c r="Q539" i="2"/>
  <c r="S539" i="2" s="1"/>
  <c r="T539" i="2" s="1"/>
  <c r="U539" i="2" s="1"/>
  <c r="Q540" i="2"/>
  <c r="S540" i="2" s="1"/>
  <c r="T540" i="2" s="1"/>
  <c r="U540" i="2" s="1"/>
  <c r="Q541" i="2"/>
  <c r="S541" i="2" s="1"/>
  <c r="T541" i="2" s="1"/>
  <c r="U541" i="2" s="1"/>
  <c r="Q542" i="2"/>
  <c r="S542" i="2" s="1"/>
  <c r="T542" i="2" s="1"/>
  <c r="U542" i="2" s="1"/>
  <c r="Q543" i="2"/>
  <c r="S543" i="2" s="1"/>
  <c r="Q544" i="2"/>
  <c r="S544" i="2" s="1"/>
  <c r="T544" i="2" s="1"/>
  <c r="U544" i="2" s="1"/>
  <c r="Q545" i="2"/>
  <c r="S545" i="2" s="1"/>
  <c r="Q546" i="2"/>
  <c r="S546" i="2" s="1"/>
  <c r="T546" i="2" s="1"/>
  <c r="U546" i="2" s="1"/>
  <c r="Q547" i="2"/>
  <c r="S547" i="2" s="1"/>
  <c r="T547" i="2" s="1"/>
  <c r="U547" i="2" s="1"/>
  <c r="Q548" i="2"/>
  <c r="S548" i="2" s="1"/>
  <c r="T548" i="2" s="1"/>
  <c r="U548" i="2" s="1"/>
  <c r="Q549" i="2"/>
  <c r="S549" i="2" s="1"/>
  <c r="T549" i="2" s="1"/>
  <c r="U549" i="2" s="1"/>
  <c r="Q550" i="2"/>
  <c r="S550" i="2" s="1"/>
  <c r="T550" i="2" s="1"/>
  <c r="U550" i="2" s="1"/>
  <c r="Q551" i="2"/>
  <c r="S551" i="2" s="1"/>
  <c r="Q552" i="2"/>
  <c r="S552" i="2" s="1"/>
  <c r="T552" i="2" s="1"/>
  <c r="U552" i="2" s="1"/>
  <c r="Q553" i="2"/>
  <c r="S553" i="2" s="1"/>
  <c r="T553" i="2" s="1"/>
  <c r="U553" i="2" s="1"/>
  <c r="Q554" i="2"/>
  <c r="S554" i="2" s="1"/>
  <c r="T554" i="2" s="1"/>
  <c r="U554" i="2" s="1"/>
  <c r="Q555" i="2"/>
  <c r="S555" i="2" s="1"/>
  <c r="T555" i="2" s="1"/>
  <c r="U555" i="2" s="1"/>
  <c r="Q556" i="2"/>
  <c r="S556" i="2" s="1"/>
  <c r="T556" i="2" s="1"/>
  <c r="U556" i="2" s="1"/>
  <c r="Q557" i="2"/>
  <c r="S557" i="2" s="1"/>
  <c r="T557" i="2" s="1"/>
  <c r="U557" i="2" s="1"/>
  <c r="Q558" i="2"/>
  <c r="S558" i="2" s="1"/>
  <c r="T558" i="2" s="1"/>
  <c r="U558" i="2" s="1"/>
  <c r="Q559" i="2"/>
  <c r="S559" i="2" s="1"/>
  <c r="Q560" i="2"/>
  <c r="S560" i="2" s="1"/>
  <c r="T560" i="2" s="1"/>
  <c r="U560" i="2" s="1"/>
  <c r="Q561" i="2"/>
  <c r="S561" i="2" s="1"/>
  <c r="Q562" i="2"/>
  <c r="S562" i="2" s="1"/>
  <c r="T562" i="2" s="1"/>
  <c r="U562" i="2" s="1"/>
  <c r="Q563" i="2"/>
  <c r="S563" i="2" s="1"/>
  <c r="Q564" i="2"/>
  <c r="S564" i="2" s="1"/>
  <c r="T564" i="2" s="1"/>
  <c r="U564" i="2" s="1"/>
  <c r="Q565" i="2"/>
  <c r="S565" i="2" s="1"/>
  <c r="T565" i="2" s="1"/>
  <c r="U565" i="2" s="1"/>
  <c r="Q566" i="2"/>
  <c r="S566" i="2" s="1"/>
  <c r="T566" i="2" s="1"/>
  <c r="U566" i="2" s="1"/>
  <c r="Q567" i="2"/>
  <c r="S567" i="2" s="1"/>
  <c r="T567" i="2" s="1"/>
  <c r="U567" i="2" s="1"/>
  <c r="Q568" i="2"/>
  <c r="S568" i="2" s="1"/>
  <c r="Q569" i="2"/>
  <c r="S569" i="2" s="1"/>
  <c r="T569" i="2" s="1"/>
  <c r="U569" i="2" s="1"/>
  <c r="Q570" i="2"/>
  <c r="S570" i="2" s="1"/>
  <c r="Q571" i="2"/>
  <c r="S571" i="2" s="1"/>
  <c r="Q572" i="2"/>
  <c r="S572" i="2" s="1"/>
  <c r="T572" i="2" s="1"/>
  <c r="U572" i="2" s="1"/>
  <c r="Q573" i="2"/>
  <c r="S573" i="2" s="1"/>
  <c r="T573" i="2" s="1"/>
  <c r="U573" i="2" s="1"/>
  <c r="Q574" i="2"/>
  <c r="S574" i="2" s="1"/>
  <c r="Q575" i="2"/>
  <c r="S575" i="2" s="1"/>
  <c r="T575" i="2" s="1"/>
  <c r="U575" i="2" s="1"/>
  <c r="Q576" i="2"/>
  <c r="S576" i="2" s="1"/>
  <c r="T576" i="2" s="1"/>
  <c r="U576" i="2" s="1"/>
  <c r="Q577" i="2"/>
  <c r="S577" i="2" s="1"/>
  <c r="T577" i="2" s="1"/>
  <c r="U577" i="2" s="1"/>
  <c r="Q578" i="2"/>
  <c r="S578" i="2" s="1"/>
  <c r="Q579" i="2"/>
  <c r="S579" i="2" s="1"/>
  <c r="T579" i="2" s="1"/>
  <c r="U579" i="2" s="1"/>
  <c r="Q580" i="2"/>
  <c r="S580" i="2" s="1"/>
  <c r="Q581" i="2"/>
  <c r="S581" i="2" s="1"/>
  <c r="T581" i="2" s="1"/>
  <c r="U581" i="2" s="1"/>
  <c r="Q582" i="2"/>
  <c r="S582" i="2" s="1"/>
  <c r="Q583" i="2"/>
  <c r="S583" i="2" s="1"/>
  <c r="Q584" i="2"/>
  <c r="S584" i="2" s="1"/>
  <c r="T584" i="2" s="1"/>
  <c r="U584" i="2" s="1"/>
  <c r="Q585" i="2"/>
  <c r="S585" i="2" s="1"/>
  <c r="T585" i="2" s="1"/>
  <c r="U585" i="2" s="1"/>
  <c r="Q586" i="2"/>
  <c r="S586" i="2" s="1"/>
  <c r="T586" i="2" s="1"/>
  <c r="U586" i="2" s="1"/>
  <c r="Q587" i="2"/>
  <c r="S587" i="2" s="1"/>
  <c r="T587" i="2" s="1"/>
  <c r="U587" i="2" s="1"/>
  <c r="Q588" i="2"/>
  <c r="S588" i="2" s="1"/>
  <c r="T588" i="2" s="1"/>
  <c r="U588" i="2" s="1"/>
  <c r="Q589" i="2"/>
  <c r="S589" i="2" s="1"/>
  <c r="T589" i="2" s="1"/>
  <c r="U589" i="2" s="1"/>
  <c r="Q590" i="2"/>
  <c r="S590" i="2" s="1"/>
  <c r="T590" i="2" s="1"/>
  <c r="U590" i="2" s="1"/>
  <c r="Q591" i="2"/>
  <c r="S591" i="2" s="1"/>
  <c r="T591" i="2" s="1"/>
  <c r="U591" i="2" s="1"/>
  <c r="Q592" i="2"/>
  <c r="S592" i="2" s="1"/>
  <c r="T592" i="2" s="1"/>
  <c r="U592" i="2" s="1"/>
  <c r="Q593" i="2"/>
  <c r="S593" i="2" s="1"/>
  <c r="T593" i="2" s="1"/>
  <c r="U593" i="2" s="1"/>
  <c r="Q594" i="2"/>
  <c r="S594" i="2" s="1"/>
  <c r="T594" i="2" s="1"/>
  <c r="U594" i="2" s="1"/>
  <c r="Q595" i="2"/>
  <c r="S595" i="2" s="1"/>
  <c r="Q596" i="2"/>
  <c r="S596" i="2" s="1"/>
  <c r="Q597" i="2"/>
  <c r="S597" i="2" s="1"/>
  <c r="T597" i="2" s="1"/>
  <c r="U597" i="2" s="1"/>
  <c r="Q598" i="2"/>
  <c r="S598" i="2" s="1"/>
  <c r="Q599" i="2"/>
  <c r="S599" i="2" s="1"/>
  <c r="T599" i="2" s="1"/>
  <c r="U599" i="2" s="1"/>
  <c r="Q600" i="2"/>
  <c r="S600" i="2" s="1"/>
  <c r="Q601" i="2"/>
  <c r="S601" i="2" s="1"/>
  <c r="Q602" i="2"/>
  <c r="S602" i="2" s="1"/>
  <c r="T602" i="2" s="1"/>
  <c r="U602" i="2" s="1"/>
  <c r="Q603" i="2"/>
  <c r="S603" i="2" s="1"/>
  <c r="T603" i="2" s="1"/>
  <c r="U603" i="2" s="1"/>
  <c r="Q604" i="2"/>
  <c r="S604" i="2" s="1"/>
  <c r="T604" i="2" s="1"/>
  <c r="U604" i="2" s="1"/>
  <c r="Q605" i="2"/>
  <c r="S605" i="2" s="1"/>
  <c r="T605" i="2" s="1"/>
  <c r="U605" i="2" s="1"/>
  <c r="Q606" i="2"/>
  <c r="S606" i="2" s="1"/>
  <c r="Q607" i="2"/>
  <c r="S607" i="2" s="1"/>
  <c r="T607" i="2" s="1"/>
  <c r="U607" i="2" s="1"/>
  <c r="Q608" i="2"/>
  <c r="S608" i="2" s="1"/>
  <c r="T608" i="2" s="1"/>
  <c r="U608" i="2" s="1"/>
  <c r="Q609" i="2"/>
  <c r="S609" i="2" s="1"/>
  <c r="Q610" i="2"/>
  <c r="S610" i="2" s="1"/>
  <c r="T610" i="2" s="1"/>
  <c r="U610" i="2" s="1"/>
  <c r="Q611" i="2"/>
  <c r="S611" i="2" s="1"/>
  <c r="Q612" i="2"/>
  <c r="S612" i="2" s="1"/>
  <c r="Q613" i="2"/>
  <c r="S613" i="2" s="1"/>
  <c r="T613" i="2" s="1"/>
  <c r="U613" i="2" s="1"/>
  <c r="Q614" i="2"/>
  <c r="S614" i="2" s="1"/>
  <c r="T614" i="2" s="1"/>
  <c r="U614" i="2" s="1"/>
  <c r="Q615" i="2"/>
  <c r="S615" i="2" s="1"/>
  <c r="T615" i="2" s="1"/>
  <c r="U615" i="2" s="1"/>
  <c r="Q616" i="2"/>
  <c r="S616" i="2" s="1"/>
  <c r="T616" i="2" s="1"/>
  <c r="U616" i="2" s="1"/>
  <c r="Q617" i="2"/>
  <c r="S617" i="2" s="1"/>
  <c r="Q618" i="2"/>
  <c r="S618" i="2" s="1"/>
  <c r="Q619" i="2"/>
  <c r="S619" i="2" s="1"/>
  <c r="T619" i="2" s="1"/>
  <c r="U619" i="2" s="1"/>
  <c r="Q620" i="2"/>
  <c r="S620" i="2" s="1"/>
  <c r="T620" i="2" s="1"/>
  <c r="U620" i="2" s="1"/>
  <c r="Q621" i="2"/>
  <c r="S621" i="2" s="1"/>
  <c r="T621" i="2" s="1"/>
  <c r="U621" i="2" s="1"/>
  <c r="Q622" i="2"/>
  <c r="S622" i="2" s="1"/>
  <c r="T622" i="2" s="1"/>
  <c r="U622" i="2" s="1"/>
  <c r="Q623" i="2"/>
  <c r="S623" i="2" s="1"/>
  <c r="Q624" i="2"/>
  <c r="S624" i="2" s="1"/>
  <c r="T624" i="2" s="1"/>
  <c r="U624" i="2" s="1"/>
  <c r="Q625" i="2"/>
  <c r="S625" i="2" s="1"/>
  <c r="Q626" i="2"/>
  <c r="S626" i="2" s="1"/>
  <c r="T626" i="2" s="1"/>
  <c r="U626" i="2" s="1"/>
  <c r="Q627" i="2"/>
  <c r="S627" i="2" s="1"/>
  <c r="Q628" i="2"/>
  <c r="S628" i="2" s="1"/>
  <c r="T628" i="2" s="1"/>
  <c r="U628" i="2" s="1"/>
  <c r="Q629" i="2"/>
  <c r="S629" i="2" s="1"/>
  <c r="Q630" i="2"/>
  <c r="S630" i="2" s="1"/>
  <c r="T630" i="2" s="1"/>
  <c r="U630" i="2" s="1"/>
  <c r="Q631" i="2"/>
  <c r="S631" i="2" s="1"/>
  <c r="Q632" i="2"/>
  <c r="S632" i="2" s="1"/>
  <c r="Q633" i="2"/>
  <c r="S633" i="2" s="1"/>
  <c r="Q634" i="2"/>
  <c r="S634" i="2" s="1"/>
  <c r="Q635" i="2"/>
  <c r="S635" i="2" s="1"/>
  <c r="T635" i="2" s="1"/>
  <c r="U635" i="2" s="1"/>
  <c r="Q636" i="2"/>
  <c r="S636" i="2" s="1"/>
  <c r="T636" i="2" s="1"/>
  <c r="U636" i="2" s="1"/>
  <c r="Q637" i="2"/>
  <c r="S637" i="2" s="1"/>
  <c r="T637" i="2" s="1"/>
  <c r="U637" i="2" s="1"/>
  <c r="Q638" i="2"/>
  <c r="S638" i="2" s="1"/>
  <c r="T638" i="2" s="1"/>
  <c r="U638" i="2" s="1"/>
  <c r="Q639" i="2"/>
  <c r="S639" i="2" s="1"/>
  <c r="T639" i="2" s="1"/>
  <c r="U639" i="2" s="1"/>
  <c r="Q640" i="2"/>
  <c r="S640" i="2" s="1"/>
  <c r="Q641" i="2"/>
  <c r="S641" i="2" s="1"/>
  <c r="T641" i="2" s="1"/>
  <c r="U641" i="2" s="1"/>
  <c r="Q642" i="2"/>
  <c r="S642" i="2" s="1"/>
  <c r="T642" i="2" s="1"/>
  <c r="U642" i="2" s="1"/>
  <c r="Q643" i="2"/>
  <c r="S643" i="2" s="1"/>
  <c r="Q644" i="2"/>
  <c r="S644" i="2" s="1"/>
  <c r="T644" i="2" s="1"/>
  <c r="U644" i="2" s="1"/>
  <c r="Q645" i="2"/>
  <c r="S645" i="2" s="1"/>
  <c r="T645" i="2" s="1"/>
  <c r="U645" i="2" s="1"/>
  <c r="Q646" i="2"/>
  <c r="S646" i="2" s="1"/>
  <c r="T646" i="2" s="1"/>
  <c r="U646" i="2" s="1"/>
  <c r="Q647" i="2"/>
  <c r="S647" i="2" s="1"/>
  <c r="T647" i="2" s="1"/>
  <c r="U647" i="2" s="1"/>
  <c r="Q648" i="2"/>
  <c r="S648" i="2" s="1"/>
  <c r="Q649" i="2"/>
  <c r="S649" i="2" s="1"/>
  <c r="T649" i="2" s="1"/>
  <c r="U649" i="2" s="1"/>
  <c r="Q650" i="2"/>
  <c r="S650" i="2" s="1"/>
  <c r="Q651" i="2"/>
  <c r="S651" i="2" s="1"/>
  <c r="T651" i="2" s="1"/>
  <c r="U651" i="2" s="1"/>
  <c r="Q652" i="2"/>
  <c r="S652" i="2" s="1"/>
  <c r="T652" i="2" s="1"/>
  <c r="U652" i="2" s="1"/>
  <c r="Q653" i="2"/>
  <c r="S653" i="2" s="1"/>
  <c r="Q654" i="2"/>
  <c r="S654" i="2" s="1"/>
  <c r="Q655" i="2"/>
  <c r="S655" i="2" s="1"/>
  <c r="T655" i="2" s="1"/>
  <c r="U655" i="2" s="1"/>
  <c r="Q656" i="2"/>
  <c r="S656" i="2" s="1"/>
  <c r="T656" i="2" s="1"/>
  <c r="U656" i="2" s="1"/>
  <c r="Q657" i="2"/>
  <c r="S657" i="2" s="1"/>
  <c r="Q658" i="2"/>
  <c r="S658" i="2" s="1"/>
  <c r="T658" i="2" s="1"/>
  <c r="U658" i="2" s="1"/>
  <c r="Q659" i="2"/>
  <c r="S659" i="2" s="1"/>
  <c r="T659" i="2" s="1"/>
  <c r="U659" i="2" s="1"/>
  <c r="Q660" i="2"/>
  <c r="S660" i="2" s="1"/>
  <c r="T660" i="2" s="1"/>
  <c r="U660" i="2" s="1"/>
  <c r="Q661" i="2"/>
  <c r="S661" i="2" s="1"/>
  <c r="T661" i="2" s="1"/>
  <c r="U661" i="2" s="1"/>
  <c r="Q662" i="2"/>
  <c r="S662" i="2" s="1"/>
  <c r="T662" i="2" s="1"/>
  <c r="U662" i="2" s="1"/>
  <c r="Q663" i="2"/>
  <c r="S663" i="2" s="1"/>
  <c r="T663" i="2" s="1"/>
  <c r="U663" i="2" s="1"/>
  <c r="Q664" i="2"/>
  <c r="S664" i="2" s="1"/>
  <c r="T664" i="2" s="1"/>
  <c r="U664" i="2" s="1"/>
  <c r="Q665" i="2"/>
  <c r="S665" i="2" s="1"/>
  <c r="T665" i="2" s="1"/>
  <c r="U665" i="2" s="1"/>
  <c r="Q666" i="2"/>
  <c r="S666" i="2" s="1"/>
  <c r="T666" i="2" s="1"/>
  <c r="U666" i="2" s="1"/>
  <c r="Q667" i="2"/>
  <c r="S667" i="2" s="1"/>
  <c r="Q668" i="2"/>
  <c r="S668" i="2" s="1"/>
  <c r="T668" i="2" s="1"/>
  <c r="U668" i="2" s="1"/>
  <c r="Q669" i="2"/>
  <c r="S669" i="2" s="1"/>
  <c r="T669" i="2" s="1"/>
  <c r="U669" i="2" s="1"/>
  <c r="Q670" i="2"/>
  <c r="S670" i="2" s="1"/>
  <c r="T670" i="2" s="1"/>
  <c r="U670" i="2" s="1"/>
  <c r="Q671" i="2"/>
  <c r="S671" i="2" s="1"/>
  <c r="Q672" i="2"/>
  <c r="S672" i="2" s="1"/>
  <c r="T672" i="2" s="1"/>
  <c r="U672" i="2" s="1"/>
  <c r="Q673" i="2"/>
  <c r="S673" i="2" s="1"/>
  <c r="T673" i="2" s="1"/>
  <c r="U673" i="2" s="1"/>
  <c r="Q674" i="2"/>
  <c r="S674" i="2" s="1"/>
  <c r="Q675" i="2"/>
  <c r="S675" i="2" s="1"/>
  <c r="T675" i="2" s="1"/>
  <c r="U675" i="2" s="1"/>
  <c r="Q676" i="2"/>
  <c r="S676" i="2" s="1"/>
  <c r="Q677" i="2"/>
  <c r="S677" i="2" s="1"/>
  <c r="Q678" i="2"/>
  <c r="S678" i="2" s="1"/>
  <c r="Q679" i="2"/>
  <c r="S679" i="2" s="1"/>
  <c r="Q680" i="2"/>
  <c r="S680" i="2" s="1"/>
  <c r="T680" i="2" s="1"/>
  <c r="U680" i="2" s="1"/>
  <c r="Q681" i="2"/>
  <c r="S681" i="2" s="1"/>
  <c r="T681" i="2" s="1"/>
  <c r="U681" i="2" s="1"/>
  <c r="Q682" i="2"/>
  <c r="S682" i="2" s="1"/>
  <c r="Q683" i="2"/>
  <c r="S683" i="2" s="1"/>
  <c r="T683" i="2" s="1"/>
  <c r="U683" i="2" s="1"/>
  <c r="Q684" i="2"/>
  <c r="S684" i="2" s="1"/>
  <c r="Q685" i="2"/>
  <c r="S685" i="2" s="1"/>
  <c r="T685" i="2" s="1"/>
  <c r="U685" i="2" s="1"/>
  <c r="Q686" i="2"/>
  <c r="S686" i="2" s="1"/>
  <c r="T686" i="2" s="1"/>
  <c r="U686" i="2" s="1"/>
  <c r="Q687" i="2"/>
  <c r="S687" i="2" s="1"/>
  <c r="Q688" i="2"/>
  <c r="S688" i="2" s="1"/>
  <c r="T688" i="2" s="1"/>
  <c r="U688" i="2" s="1"/>
  <c r="Q689" i="2"/>
  <c r="S689" i="2" s="1"/>
  <c r="T689" i="2" s="1"/>
  <c r="U689" i="2" s="1"/>
  <c r="Q690" i="2"/>
  <c r="S690" i="2" s="1"/>
  <c r="T690" i="2" s="1"/>
  <c r="U690" i="2" s="1"/>
  <c r="Q691" i="2"/>
  <c r="S691" i="2" s="1"/>
  <c r="T691" i="2" s="1"/>
  <c r="U691" i="2" s="1"/>
  <c r="Q692" i="2"/>
  <c r="S692" i="2" s="1"/>
  <c r="T692" i="2" s="1"/>
  <c r="U692" i="2" s="1"/>
  <c r="Q693" i="2"/>
  <c r="S693" i="2" s="1"/>
  <c r="Q694" i="2"/>
  <c r="S694" i="2" s="1"/>
  <c r="Q695" i="2"/>
  <c r="S695" i="2" s="1"/>
  <c r="Q696" i="2"/>
  <c r="S696" i="2" s="1"/>
  <c r="T696" i="2" s="1"/>
  <c r="U696" i="2" s="1"/>
  <c r="Q697" i="2"/>
  <c r="S697" i="2" s="1"/>
  <c r="Q698" i="2"/>
  <c r="S698" i="2" s="1"/>
  <c r="Q699" i="2"/>
  <c r="S699" i="2" s="1"/>
  <c r="Q700" i="2"/>
  <c r="S700" i="2" s="1"/>
  <c r="T700" i="2" s="1"/>
  <c r="U700" i="2" s="1"/>
  <c r="Q701" i="2"/>
  <c r="S701" i="2" s="1"/>
  <c r="Q702" i="2"/>
  <c r="S702" i="2" s="1"/>
  <c r="Q703" i="2"/>
  <c r="S703" i="2" s="1"/>
  <c r="T703" i="2" s="1"/>
  <c r="U703" i="2" s="1"/>
  <c r="Q704" i="2"/>
  <c r="S704" i="2" s="1"/>
  <c r="T704" i="2" s="1"/>
  <c r="U704" i="2" s="1"/>
  <c r="Q705" i="2"/>
  <c r="S705" i="2" s="1"/>
  <c r="T705" i="2" s="1"/>
  <c r="U705" i="2" s="1"/>
  <c r="Q706" i="2"/>
  <c r="S706" i="2" s="1"/>
  <c r="Q707" i="2"/>
  <c r="S707" i="2" s="1"/>
  <c r="T707" i="2" s="1"/>
  <c r="U707" i="2" s="1"/>
  <c r="Q708" i="2"/>
  <c r="S708" i="2" s="1"/>
  <c r="T708" i="2" s="1"/>
  <c r="U708" i="2" s="1"/>
  <c r="Q709" i="2"/>
  <c r="S709" i="2" s="1"/>
  <c r="Q710" i="2"/>
  <c r="S710" i="2" s="1"/>
  <c r="T710" i="2" s="1"/>
  <c r="U710" i="2" s="1"/>
  <c r="Q711" i="2"/>
  <c r="S711" i="2" s="1"/>
  <c r="T711" i="2" s="1"/>
  <c r="U711" i="2" s="1"/>
  <c r="Q712" i="2"/>
  <c r="S712" i="2" s="1"/>
  <c r="T712" i="2" s="1"/>
  <c r="U712" i="2" s="1"/>
  <c r="Q713" i="2"/>
  <c r="S713" i="2" s="1"/>
  <c r="T713" i="2" s="1"/>
  <c r="U713" i="2" s="1"/>
  <c r="Q714" i="2"/>
  <c r="S714" i="2" s="1"/>
  <c r="Q715" i="2"/>
  <c r="S715" i="2" s="1"/>
  <c r="T715" i="2" s="1"/>
  <c r="U715" i="2" s="1"/>
  <c r="Q716" i="2"/>
  <c r="S716" i="2" s="1"/>
  <c r="Q717" i="2"/>
  <c r="S717" i="2" s="1"/>
  <c r="Q718" i="2"/>
  <c r="S718" i="2" s="1"/>
  <c r="T718" i="2" s="1"/>
  <c r="U718" i="2" s="1"/>
  <c r="Q719" i="2"/>
  <c r="S719" i="2" s="1"/>
  <c r="T719" i="2" s="1"/>
  <c r="U719" i="2" s="1"/>
  <c r="Q720" i="2"/>
  <c r="S720" i="2" s="1"/>
  <c r="Q721" i="2"/>
  <c r="S721" i="2" s="1"/>
  <c r="Q722" i="2"/>
  <c r="S722" i="2" s="1"/>
  <c r="Q723" i="2"/>
  <c r="S723" i="2" s="1"/>
  <c r="Q724" i="2"/>
  <c r="S724" i="2" s="1"/>
  <c r="T724" i="2" s="1"/>
  <c r="U724" i="2" s="1"/>
  <c r="Q725" i="2"/>
  <c r="S725" i="2" s="1"/>
  <c r="T725" i="2" s="1"/>
  <c r="U725" i="2" s="1"/>
  <c r="Q726" i="2"/>
  <c r="S726" i="2" s="1"/>
  <c r="T726" i="2" s="1"/>
  <c r="U726" i="2" s="1"/>
  <c r="Q727" i="2"/>
  <c r="S727" i="2" s="1"/>
  <c r="T727" i="2" s="1"/>
  <c r="U727" i="2" s="1"/>
  <c r="Q728" i="2"/>
  <c r="S728" i="2" s="1"/>
  <c r="T728" i="2" s="1"/>
  <c r="U728" i="2" s="1"/>
  <c r="Q729" i="2"/>
  <c r="S729" i="2" s="1"/>
  <c r="T729" i="2" s="1"/>
  <c r="U729" i="2" s="1"/>
  <c r="Q730" i="2"/>
  <c r="S730" i="2" s="1"/>
  <c r="T730" i="2" s="1"/>
  <c r="U730" i="2" s="1"/>
  <c r="Q731" i="2"/>
  <c r="S731" i="2" s="1"/>
  <c r="Q732" i="2"/>
  <c r="S732" i="2" s="1"/>
  <c r="T732" i="2" s="1"/>
  <c r="U732" i="2" s="1"/>
  <c r="Q733" i="2"/>
  <c r="S733" i="2" s="1"/>
  <c r="T733" i="2" s="1"/>
  <c r="U733" i="2" s="1"/>
  <c r="Q734" i="2"/>
  <c r="S734" i="2" s="1"/>
  <c r="T734" i="2" s="1"/>
  <c r="U734" i="2" s="1"/>
  <c r="Q735" i="2"/>
  <c r="S735" i="2" s="1"/>
  <c r="T735" i="2" s="1"/>
  <c r="U735" i="2" s="1"/>
  <c r="Q736" i="2"/>
  <c r="S736" i="2" s="1"/>
  <c r="T736" i="2" s="1"/>
  <c r="U736" i="2" s="1"/>
  <c r="Q737" i="2"/>
  <c r="S737" i="2" s="1"/>
  <c r="T737" i="2" s="1"/>
  <c r="U737" i="2" s="1"/>
  <c r="Q738" i="2"/>
  <c r="S738" i="2" s="1"/>
  <c r="Q739" i="2"/>
  <c r="S739" i="2" s="1"/>
  <c r="T739" i="2" s="1"/>
  <c r="U739" i="2" s="1"/>
  <c r="Q740" i="2"/>
  <c r="S740" i="2" s="1"/>
  <c r="T740" i="2" s="1"/>
  <c r="U740" i="2" s="1"/>
  <c r="Q741" i="2"/>
  <c r="S741" i="2" s="1"/>
  <c r="T741" i="2" s="1"/>
  <c r="U741" i="2" s="1"/>
  <c r="Q742" i="2"/>
  <c r="S742" i="2" s="1"/>
  <c r="T742" i="2" s="1"/>
  <c r="U742" i="2" s="1"/>
  <c r="Q743" i="2"/>
  <c r="S743" i="2" s="1"/>
  <c r="T743" i="2" s="1"/>
  <c r="U743" i="2" s="1"/>
  <c r="Q744" i="2"/>
  <c r="S744" i="2" s="1"/>
  <c r="T744" i="2" s="1"/>
  <c r="U744" i="2" s="1"/>
  <c r="Q745" i="2"/>
  <c r="S745" i="2" s="1"/>
  <c r="T745" i="2" s="1"/>
  <c r="U745" i="2" s="1"/>
  <c r="Q746" i="2"/>
  <c r="S746" i="2" s="1"/>
  <c r="Q747" i="2"/>
  <c r="S747" i="2" s="1"/>
  <c r="T747" i="2" s="1"/>
  <c r="U747" i="2" s="1"/>
  <c r="Q748" i="2"/>
  <c r="S748" i="2" s="1"/>
  <c r="Q749" i="2"/>
  <c r="S749" i="2" s="1"/>
  <c r="T749" i="2" s="1"/>
  <c r="U749" i="2" s="1"/>
  <c r="Q750" i="2"/>
  <c r="S750" i="2" s="1"/>
  <c r="Q751" i="2"/>
  <c r="S751" i="2" s="1"/>
  <c r="T751" i="2" s="1"/>
  <c r="U751" i="2" s="1"/>
  <c r="Q752" i="2"/>
  <c r="S752" i="2" s="1"/>
  <c r="T752" i="2" s="1"/>
  <c r="U752" i="2" s="1"/>
  <c r="Q753" i="2"/>
  <c r="S753" i="2" s="1"/>
  <c r="T753" i="2" s="1"/>
  <c r="U753" i="2" s="1"/>
  <c r="Q754" i="2"/>
  <c r="S754" i="2" s="1"/>
  <c r="Q755" i="2"/>
  <c r="S755" i="2" s="1"/>
  <c r="T755" i="2" s="1"/>
  <c r="U755" i="2" s="1"/>
  <c r="Q756" i="2"/>
  <c r="S756" i="2" s="1"/>
  <c r="Q757" i="2"/>
  <c r="S757" i="2" s="1"/>
  <c r="T757" i="2" s="1"/>
  <c r="U757" i="2" s="1"/>
  <c r="Q758" i="2"/>
  <c r="S758" i="2" s="1"/>
  <c r="T758" i="2" s="1"/>
  <c r="U758" i="2" s="1"/>
  <c r="Q759" i="2"/>
  <c r="S759" i="2" s="1"/>
  <c r="T759" i="2" s="1"/>
  <c r="U759" i="2" s="1"/>
  <c r="Q760" i="2"/>
  <c r="S760" i="2" s="1"/>
  <c r="T760" i="2" s="1"/>
  <c r="U760" i="2" s="1"/>
  <c r="Q761" i="2"/>
  <c r="S761" i="2" s="1"/>
  <c r="T761" i="2" s="1"/>
  <c r="U761" i="2" s="1"/>
  <c r="Q762" i="2"/>
  <c r="S762" i="2" s="1"/>
  <c r="T762" i="2" s="1"/>
  <c r="U762" i="2" s="1"/>
  <c r="Q763" i="2"/>
  <c r="S763" i="2" s="1"/>
  <c r="T763" i="2" s="1"/>
  <c r="U763" i="2" s="1"/>
  <c r="Q764" i="2"/>
  <c r="S764" i="2" s="1"/>
  <c r="T764" i="2" s="1"/>
  <c r="U764" i="2" s="1"/>
  <c r="Q765" i="2"/>
  <c r="S765" i="2" s="1"/>
  <c r="T765" i="2" s="1"/>
  <c r="U765" i="2" s="1"/>
  <c r="Q766" i="2"/>
  <c r="S766" i="2" s="1"/>
  <c r="T766" i="2" s="1"/>
  <c r="U766" i="2" s="1"/>
  <c r="Q767" i="2"/>
  <c r="S767" i="2" s="1"/>
  <c r="T767" i="2" s="1"/>
  <c r="U767" i="2" s="1"/>
  <c r="Q768" i="2"/>
  <c r="S768" i="2" s="1"/>
  <c r="T768" i="2" s="1"/>
  <c r="U768" i="2" s="1"/>
  <c r="Q769" i="2"/>
  <c r="S769" i="2" s="1"/>
  <c r="Q770" i="2"/>
  <c r="S770" i="2" s="1"/>
  <c r="T770" i="2" s="1"/>
  <c r="U770" i="2" s="1"/>
  <c r="Q771" i="2"/>
  <c r="S771" i="2" s="1"/>
  <c r="T771" i="2" s="1"/>
  <c r="U771" i="2" s="1"/>
  <c r="Q772" i="2"/>
  <c r="S772" i="2" s="1"/>
  <c r="Q773" i="2"/>
  <c r="S773" i="2" s="1"/>
  <c r="T773" i="2" s="1"/>
  <c r="U773" i="2" s="1"/>
  <c r="Q774" i="2"/>
  <c r="S774" i="2" s="1"/>
  <c r="T774" i="2" s="1"/>
  <c r="U774" i="2" s="1"/>
  <c r="Q775" i="2"/>
  <c r="S775" i="2" s="1"/>
  <c r="T775" i="2" s="1"/>
  <c r="U775" i="2" s="1"/>
  <c r="Q776" i="2"/>
  <c r="S776" i="2" s="1"/>
  <c r="Q777" i="2"/>
  <c r="S777" i="2" s="1"/>
  <c r="T777" i="2" s="1"/>
  <c r="U777" i="2" s="1"/>
  <c r="Q778" i="2"/>
  <c r="S778" i="2" s="1"/>
  <c r="T778" i="2" s="1"/>
  <c r="U778" i="2" s="1"/>
  <c r="Q779" i="2"/>
  <c r="S779" i="2" s="1"/>
  <c r="Q780" i="2"/>
  <c r="S780" i="2" s="1"/>
  <c r="Q781" i="2"/>
  <c r="S781" i="2" s="1"/>
  <c r="T781" i="2" s="1"/>
  <c r="U781" i="2" s="1"/>
  <c r="Q782" i="2"/>
  <c r="S782" i="2" s="1"/>
  <c r="T782" i="2" s="1"/>
  <c r="U782" i="2" s="1"/>
  <c r="Q783" i="2"/>
  <c r="S783" i="2" s="1"/>
  <c r="T783" i="2" s="1"/>
  <c r="U783" i="2" s="1"/>
  <c r="Q784" i="2"/>
  <c r="S784" i="2" s="1"/>
  <c r="Q785" i="2"/>
  <c r="S785" i="2" s="1"/>
  <c r="Q786" i="2"/>
  <c r="S786" i="2" s="1"/>
  <c r="Q787" i="2"/>
  <c r="S787" i="2" s="1"/>
  <c r="T787" i="2" s="1"/>
  <c r="U787" i="2" s="1"/>
  <c r="Q788" i="2"/>
  <c r="S788" i="2" s="1"/>
  <c r="Q789" i="2"/>
  <c r="S789" i="2" s="1"/>
  <c r="Q790" i="2"/>
  <c r="S790" i="2" s="1"/>
  <c r="T790" i="2" s="1"/>
  <c r="U790" i="2" s="1"/>
  <c r="Q791" i="2"/>
  <c r="S791" i="2" s="1"/>
  <c r="Q792" i="2"/>
  <c r="S792" i="2" s="1"/>
  <c r="T792" i="2" s="1"/>
  <c r="U792" i="2" s="1"/>
  <c r="Q793" i="2"/>
  <c r="S793" i="2" s="1"/>
  <c r="Q794" i="2"/>
  <c r="S794" i="2" s="1"/>
  <c r="T794" i="2" s="1"/>
  <c r="U794" i="2" s="1"/>
  <c r="Q795" i="2"/>
  <c r="S795" i="2" s="1"/>
  <c r="T795" i="2" s="1"/>
  <c r="U795" i="2" s="1"/>
  <c r="Q796" i="2"/>
  <c r="S796" i="2" s="1"/>
  <c r="T796" i="2" s="1"/>
  <c r="U796" i="2" s="1"/>
  <c r="Q797" i="2"/>
  <c r="S797" i="2" s="1"/>
  <c r="T797" i="2" s="1"/>
  <c r="U797" i="2" s="1"/>
  <c r="Q798" i="2"/>
  <c r="S798" i="2" s="1"/>
  <c r="Q799" i="2"/>
  <c r="S799" i="2" s="1"/>
  <c r="T799" i="2" s="1"/>
  <c r="U799" i="2" s="1"/>
  <c r="Q800" i="2"/>
  <c r="S800" i="2" s="1"/>
  <c r="T800" i="2" s="1"/>
  <c r="U800" i="2" s="1"/>
  <c r="Q801" i="2"/>
  <c r="S801" i="2" s="1"/>
  <c r="T801" i="2" s="1"/>
  <c r="U801" i="2" s="1"/>
  <c r="Q802" i="2"/>
  <c r="S802" i="2" s="1"/>
  <c r="T802" i="2" s="1"/>
  <c r="U802" i="2" s="1"/>
  <c r="Q803" i="2"/>
  <c r="S803" i="2" s="1"/>
  <c r="T803" i="2" s="1"/>
  <c r="U803" i="2" s="1"/>
  <c r="Q804" i="2"/>
  <c r="S804" i="2" s="1"/>
  <c r="Q805" i="2"/>
  <c r="S805" i="2" s="1"/>
  <c r="T805" i="2" s="1"/>
  <c r="U805" i="2" s="1"/>
  <c r="Q806" i="2"/>
  <c r="S806" i="2" s="1"/>
  <c r="T806" i="2" s="1"/>
  <c r="U806" i="2" s="1"/>
  <c r="Q807" i="2"/>
  <c r="S807" i="2" s="1"/>
  <c r="T807" i="2" s="1"/>
  <c r="U807" i="2" s="1"/>
  <c r="Q808" i="2"/>
  <c r="S808" i="2" s="1"/>
  <c r="Q809" i="2"/>
  <c r="S809" i="2" s="1"/>
  <c r="T809" i="2" s="1"/>
  <c r="U809" i="2" s="1"/>
  <c r="Q810" i="2"/>
  <c r="S810" i="2" s="1"/>
  <c r="T810" i="2" s="1"/>
  <c r="U810" i="2" s="1"/>
  <c r="Q811" i="2"/>
  <c r="S811" i="2" s="1"/>
  <c r="Q812" i="2"/>
  <c r="S812" i="2" s="1"/>
  <c r="T812" i="2" s="1"/>
  <c r="U812" i="2" s="1"/>
  <c r="Q813" i="2"/>
  <c r="S813" i="2" s="1"/>
  <c r="Q814" i="2"/>
  <c r="S814" i="2" s="1"/>
  <c r="Q815" i="2"/>
  <c r="S815" i="2" s="1"/>
  <c r="T815" i="2" s="1"/>
  <c r="U815" i="2" s="1"/>
  <c r="Q816" i="2"/>
  <c r="S816" i="2" s="1"/>
  <c r="T816" i="2" s="1"/>
  <c r="U816" i="2" s="1"/>
  <c r="Q817" i="2"/>
  <c r="S817" i="2" s="1"/>
  <c r="T817" i="2" s="1"/>
  <c r="U817" i="2" s="1"/>
  <c r="Q818" i="2"/>
  <c r="S818" i="2" s="1"/>
  <c r="T818" i="2" s="1"/>
  <c r="U818" i="2" s="1"/>
  <c r="Q819" i="2"/>
  <c r="S819" i="2" s="1"/>
  <c r="Q820" i="2"/>
  <c r="S820" i="2" s="1"/>
  <c r="Q821" i="2"/>
  <c r="S821" i="2" s="1"/>
  <c r="T821" i="2" s="1"/>
  <c r="U821" i="2" s="1"/>
  <c r="Q822" i="2"/>
  <c r="S822" i="2" s="1"/>
  <c r="T822" i="2" s="1"/>
  <c r="U822" i="2" s="1"/>
  <c r="Q823" i="2"/>
  <c r="S823" i="2" s="1"/>
  <c r="Q824" i="2"/>
  <c r="S824" i="2" s="1"/>
  <c r="Q825" i="2"/>
  <c r="S825" i="2" s="1"/>
  <c r="T825" i="2" s="1"/>
  <c r="U825" i="2" s="1"/>
  <c r="Q826" i="2"/>
  <c r="S826" i="2" s="1"/>
  <c r="T826" i="2" s="1"/>
  <c r="U826" i="2" s="1"/>
  <c r="Q827" i="2"/>
  <c r="S827" i="2" s="1"/>
  <c r="T827" i="2" s="1"/>
  <c r="U827" i="2" s="1"/>
  <c r="Q828" i="2"/>
  <c r="S828" i="2" s="1"/>
  <c r="T828" i="2" s="1"/>
  <c r="U828" i="2" s="1"/>
  <c r="Q829" i="2"/>
  <c r="S829" i="2" s="1"/>
  <c r="Q830" i="2"/>
  <c r="S830" i="2" s="1"/>
  <c r="T830" i="2" s="1"/>
  <c r="U830" i="2" s="1"/>
  <c r="Q831" i="2"/>
  <c r="S831" i="2" s="1"/>
  <c r="Q832" i="2"/>
  <c r="S832" i="2" s="1"/>
  <c r="T832" i="2" s="1"/>
  <c r="U832" i="2" s="1"/>
  <c r="Q833" i="2"/>
  <c r="S833" i="2" s="1"/>
  <c r="Q834" i="2"/>
  <c r="S834" i="2" s="1"/>
  <c r="Q835" i="2"/>
  <c r="S835" i="2" s="1"/>
  <c r="T835" i="2" s="1"/>
  <c r="U835" i="2" s="1"/>
  <c r="Q836" i="2"/>
  <c r="S836" i="2" s="1"/>
  <c r="Q837" i="2"/>
  <c r="S837" i="2" s="1"/>
  <c r="Q838" i="2"/>
  <c r="S838" i="2" s="1"/>
  <c r="T838" i="2" s="1"/>
  <c r="U838" i="2" s="1"/>
  <c r="Q839" i="2"/>
  <c r="S839" i="2" s="1"/>
  <c r="T839" i="2" s="1"/>
  <c r="U839" i="2" s="1"/>
  <c r="Q840" i="2"/>
  <c r="S840" i="2" s="1"/>
  <c r="T840" i="2" s="1"/>
  <c r="U840" i="2" s="1"/>
  <c r="Q841" i="2"/>
  <c r="S841" i="2" s="1"/>
  <c r="T841" i="2" s="1"/>
  <c r="U841" i="2" s="1"/>
  <c r="Q842" i="2"/>
  <c r="S842" i="2" s="1"/>
  <c r="T842" i="2" s="1"/>
  <c r="U842" i="2" s="1"/>
  <c r="Q843" i="2"/>
  <c r="S843" i="2" s="1"/>
  <c r="Q844" i="2"/>
  <c r="S844" i="2" s="1"/>
  <c r="T844" i="2" s="1"/>
  <c r="U844" i="2" s="1"/>
  <c r="Q845" i="2"/>
  <c r="S845" i="2" s="1"/>
  <c r="T845" i="2" s="1"/>
  <c r="U845" i="2" s="1"/>
  <c r="Q846" i="2"/>
  <c r="S846" i="2" s="1"/>
  <c r="T846" i="2" s="1"/>
  <c r="U846" i="2" s="1"/>
  <c r="Q847" i="2"/>
  <c r="S847" i="2" s="1"/>
  <c r="T847" i="2" s="1"/>
  <c r="U847" i="2" s="1"/>
  <c r="Q848" i="2"/>
  <c r="S848" i="2" s="1"/>
  <c r="Q849" i="2"/>
  <c r="S849" i="2" s="1"/>
  <c r="T849" i="2" s="1"/>
  <c r="U849" i="2" s="1"/>
  <c r="Q850" i="2"/>
  <c r="S850" i="2" s="1"/>
  <c r="T850" i="2" s="1"/>
  <c r="U850" i="2" s="1"/>
  <c r="Q851" i="2"/>
  <c r="S851" i="2" s="1"/>
  <c r="T851" i="2" s="1"/>
  <c r="U851" i="2" s="1"/>
  <c r="Q852" i="2"/>
  <c r="S852" i="2" s="1"/>
  <c r="Q853" i="2"/>
  <c r="S853" i="2" s="1"/>
  <c r="Q854" i="2"/>
  <c r="S854" i="2" s="1"/>
  <c r="T854" i="2" s="1"/>
  <c r="U854" i="2" s="1"/>
  <c r="Q855" i="2"/>
  <c r="S855" i="2" s="1"/>
  <c r="T855" i="2" s="1"/>
  <c r="U855" i="2" s="1"/>
  <c r="Q856" i="2"/>
  <c r="S856" i="2" s="1"/>
  <c r="T856" i="2" s="1"/>
  <c r="U856" i="2" s="1"/>
  <c r="Q857" i="2"/>
  <c r="S857" i="2" s="1"/>
  <c r="T857" i="2" s="1"/>
  <c r="U857" i="2" s="1"/>
  <c r="Q858" i="2"/>
  <c r="S858" i="2" s="1"/>
  <c r="T858" i="2" s="1"/>
  <c r="U858" i="2" s="1"/>
  <c r="Q859" i="2"/>
  <c r="S859" i="2" s="1"/>
  <c r="T859" i="2" s="1"/>
  <c r="U859" i="2" s="1"/>
  <c r="Q860" i="2"/>
  <c r="S860" i="2" s="1"/>
  <c r="T860" i="2" s="1"/>
  <c r="U860" i="2" s="1"/>
  <c r="Q861" i="2"/>
  <c r="S861" i="2" s="1"/>
  <c r="T861" i="2" s="1"/>
  <c r="U861" i="2" s="1"/>
  <c r="Q862" i="2"/>
  <c r="S862" i="2" s="1"/>
  <c r="T862" i="2" s="1"/>
  <c r="U862" i="2" s="1"/>
  <c r="Q863" i="2"/>
  <c r="S863" i="2" s="1"/>
  <c r="Q864" i="2"/>
  <c r="S864" i="2" s="1"/>
  <c r="T864" i="2" s="1"/>
  <c r="U864" i="2" s="1"/>
  <c r="Q865" i="2"/>
  <c r="S865" i="2" s="1"/>
  <c r="T865" i="2" s="1"/>
  <c r="U865" i="2" s="1"/>
  <c r="Q866" i="2"/>
  <c r="S866" i="2" s="1"/>
  <c r="T866" i="2" s="1"/>
  <c r="U866" i="2" s="1"/>
  <c r="Q867" i="2"/>
  <c r="S867" i="2" s="1"/>
  <c r="T867" i="2" s="1"/>
  <c r="U867" i="2" s="1"/>
  <c r="Q868" i="2"/>
  <c r="S868" i="2" s="1"/>
  <c r="Q869" i="2"/>
  <c r="S869" i="2" s="1"/>
  <c r="T869" i="2" s="1"/>
  <c r="U869" i="2" s="1"/>
  <c r="Q870" i="2"/>
  <c r="S870" i="2" s="1"/>
  <c r="Q871" i="2"/>
  <c r="S871" i="2" s="1"/>
  <c r="T871" i="2" s="1"/>
  <c r="U871" i="2" s="1"/>
  <c r="Q872" i="2"/>
  <c r="S872" i="2" s="1"/>
  <c r="T872" i="2" s="1"/>
  <c r="U872" i="2" s="1"/>
  <c r="Q873" i="2"/>
  <c r="S873" i="2" s="1"/>
  <c r="Q874" i="2"/>
  <c r="S874" i="2" s="1"/>
  <c r="Q875" i="2"/>
  <c r="S875" i="2" s="1"/>
  <c r="Q876" i="2"/>
  <c r="S876" i="2" s="1"/>
  <c r="T876" i="2" s="1"/>
  <c r="U876" i="2" s="1"/>
  <c r="Q877" i="2"/>
  <c r="S877" i="2" s="1"/>
  <c r="T877" i="2" s="1"/>
  <c r="U877" i="2" s="1"/>
  <c r="Q878" i="2"/>
  <c r="S878" i="2" s="1"/>
  <c r="T878" i="2" s="1"/>
  <c r="U878" i="2" s="1"/>
  <c r="Q879" i="2"/>
  <c r="S879" i="2" s="1"/>
  <c r="T879" i="2" s="1"/>
  <c r="U879" i="2" s="1"/>
  <c r="Q880" i="2"/>
  <c r="S880" i="2" s="1"/>
  <c r="T880" i="2" s="1"/>
  <c r="U880" i="2" s="1"/>
  <c r="Q881" i="2"/>
  <c r="S881" i="2" s="1"/>
  <c r="Q882" i="2"/>
  <c r="S882" i="2" s="1"/>
  <c r="T882" i="2" s="1"/>
  <c r="U882" i="2" s="1"/>
  <c r="Q883" i="2"/>
  <c r="S883" i="2" s="1"/>
  <c r="Q884" i="2"/>
  <c r="S884" i="2" s="1"/>
  <c r="Q885" i="2"/>
  <c r="S885" i="2" s="1"/>
  <c r="T885" i="2" s="1"/>
  <c r="U885" i="2" s="1"/>
  <c r="Q886" i="2"/>
  <c r="S886" i="2" s="1"/>
  <c r="T886" i="2" s="1"/>
  <c r="U886" i="2" s="1"/>
  <c r="Q887" i="2"/>
  <c r="S887" i="2" s="1"/>
  <c r="T887" i="2" s="1"/>
  <c r="U887" i="2" s="1"/>
  <c r="Q888" i="2"/>
  <c r="S888" i="2" s="1"/>
  <c r="Q889" i="2"/>
  <c r="S889" i="2" s="1"/>
  <c r="Q890" i="2"/>
  <c r="S890" i="2" s="1"/>
  <c r="T890" i="2" s="1"/>
  <c r="U890" i="2" s="1"/>
  <c r="Q891" i="2"/>
  <c r="S891" i="2" s="1"/>
  <c r="T891" i="2" s="1"/>
  <c r="U891" i="2" s="1"/>
  <c r="Q892" i="2"/>
  <c r="S892" i="2" s="1"/>
  <c r="Q893" i="2"/>
  <c r="S893" i="2" s="1"/>
  <c r="Q894" i="2"/>
  <c r="S894" i="2" s="1"/>
  <c r="Q895" i="2"/>
  <c r="S895" i="2" s="1"/>
  <c r="T895" i="2" s="1"/>
  <c r="U895" i="2" s="1"/>
  <c r="Q896" i="2"/>
  <c r="S896" i="2" s="1"/>
  <c r="T896" i="2" s="1"/>
  <c r="U896" i="2" s="1"/>
  <c r="Q897" i="2"/>
  <c r="S897" i="2" s="1"/>
  <c r="T897" i="2" s="1"/>
  <c r="U897" i="2" s="1"/>
  <c r="Q898" i="2"/>
  <c r="S898" i="2" s="1"/>
  <c r="Q899" i="2"/>
  <c r="S899" i="2" s="1"/>
  <c r="T899" i="2" s="1"/>
  <c r="U899" i="2" s="1"/>
  <c r="Q900" i="2"/>
  <c r="S900" i="2" s="1"/>
  <c r="T900" i="2" s="1"/>
  <c r="U900" i="2" s="1"/>
  <c r="Q901" i="2"/>
  <c r="S901" i="2" s="1"/>
  <c r="T901" i="2" s="1"/>
  <c r="U901" i="2" s="1"/>
  <c r="Q902" i="2"/>
  <c r="S902" i="2" s="1"/>
  <c r="T902" i="2" s="1"/>
  <c r="U902" i="2" s="1"/>
  <c r="Q903" i="2"/>
  <c r="S903" i="2" s="1"/>
  <c r="T903" i="2" s="1"/>
  <c r="U903" i="2" s="1"/>
  <c r="Q904" i="2"/>
  <c r="S904" i="2" s="1"/>
  <c r="T904" i="2" s="1"/>
  <c r="U904" i="2" s="1"/>
  <c r="Q905" i="2"/>
  <c r="S905" i="2" s="1"/>
  <c r="T905" i="2" s="1"/>
  <c r="U905" i="2" s="1"/>
  <c r="Q906" i="2"/>
  <c r="S906" i="2" s="1"/>
  <c r="Q907" i="2"/>
  <c r="S907" i="2" s="1"/>
  <c r="T907" i="2" s="1"/>
  <c r="U907" i="2" s="1"/>
  <c r="Q908" i="2"/>
  <c r="S908" i="2" s="1"/>
  <c r="T908" i="2" s="1"/>
  <c r="U908" i="2" s="1"/>
  <c r="Q909" i="2"/>
  <c r="S909" i="2" s="1"/>
  <c r="T909" i="2" s="1"/>
  <c r="U909" i="2" s="1"/>
  <c r="Q910" i="2"/>
  <c r="S910" i="2" s="1"/>
  <c r="Q911" i="2"/>
  <c r="S911" i="2" s="1"/>
  <c r="T911" i="2" s="1"/>
  <c r="U911" i="2" s="1"/>
  <c r="Q912" i="2"/>
  <c r="S912" i="2" s="1"/>
  <c r="Q913" i="2"/>
  <c r="S913" i="2" s="1"/>
  <c r="T913" i="2" s="1"/>
  <c r="U913" i="2" s="1"/>
  <c r="Q914" i="2"/>
  <c r="S914" i="2" s="1"/>
  <c r="T914" i="2" s="1"/>
  <c r="U914" i="2" s="1"/>
  <c r="Q915" i="2"/>
  <c r="S915" i="2" s="1"/>
  <c r="Q916" i="2"/>
  <c r="S916" i="2" s="1"/>
  <c r="Q917" i="2"/>
  <c r="S917" i="2" s="1"/>
  <c r="T917" i="2" s="1"/>
  <c r="U917" i="2" s="1"/>
  <c r="Q918" i="2"/>
  <c r="S918" i="2" s="1"/>
  <c r="T918" i="2" s="1"/>
  <c r="U918" i="2" s="1"/>
  <c r="Q919" i="2"/>
  <c r="S919" i="2" s="1"/>
  <c r="T919" i="2" s="1"/>
  <c r="U919" i="2" s="1"/>
  <c r="Q920" i="2"/>
  <c r="S920" i="2" s="1"/>
  <c r="T920" i="2" s="1"/>
  <c r="U920" i="2" s="1"/>
  <c r="Q921" i="2"/>
  <c r="S921" i="2" s="1"/>
  <c r="Q922" i="2"/>
  <c r="S922" i="2" s="1"/>
  <c r="T922" i="2" s="1"/>
  <c r="U922" i="2" s="1"/>
  <c r="Q923" i="2"/>
  <c r="S923" i="2" s="1"/>
  <c r="T923" i="2" s="1"/>
  <c r="U923" i="2" s="1"/>
  <c r="Q924" i="2"/>
  <c r="S924" i="2" s="1"/>
  <c r="T924" i="2" s="1"/>
  <c r="U924" i="2" s="1"/>
  <c r="Q925" i="2"/>
  <c r="S925" i="2" s="1"/>
  <c r="Q926" i="2"/>
  <c r="S926" i="2" s="1"/>
  <c r="T926" i="2" s="1"/>
  <c r="U926" i="2" s="1"/>
  <c r="Q927" i="2"/>
  <c r="S927" i="2" s="1"/>
  <c r="T927" i="2" s="1"/>
  <c r="U927" i="2" s="1"/>
  <c r="Q928" i="2"/>
  <c r="S928" i="2" s="1"/>
  <c r="Q929" i="2"/>
  <c r="S929" i="2" s="1"/>
  <c r="Q930" i="2"/>
  <c r="S930" i="2" s="1"/>
  <c r="T930" i="2" s="1"/>
  <c r="U930" i="2" s="1"/>
  <c r="Q931" i="2"/>
  <c r="S931" i="2" s="1"/>
  <c r="T931" i="2" s="1"/>
  <c r="U931" i="2" s="1"/>
  <c r="Q932" i="2"/>
  <c r="S932" i="2" s="1"/>
  <c r="T932" i="2" s="1"/>
  <c r="U932" i="2" s="1"/>
  <c r="Q933" i="2"/>
  <c r="S933" i="2" s="1"/>
  <c r="Q934" i="2"/>
  <c r="S934" i="2" s="1"/>
  <c r="Q935" i="2"/>
  <c r="S935" i="2" s="1"/>
  <c r="T935" i="2" s="1"/>
  <c r="U935" i="2" s="1"/>
  <c r="Q936" i="2"/>
  <c r="S936" i="2" s="1"/>
  <c r="T936" i="2" s="1"/>
  <c r="U936" i="2" s="1"/>
  <c r="Q937" i="2"/>
  <c r="S937" i="2" s="1"/>
  <c r="T937" i="2" s="1"/>
  <c r="U937" i="2" s="1"/>
  <c r="Q938" i="2"/>
  <c r="S938" i="2" s="1"/>
  <c r="T938" i="2" s="1"/>
  <c r="U938" i="2" s="1"/>
  <c r="Q939" i="2"/>
  <c r="S939" i="2" s="1"/>
  <c r="Q940" i="2"/>
  <c r="S940" i="2" s="1"/>
  <c r="T940" i="2" s="1"/>
  <c r="U940" i="2" s="1"/>
  <c r="Q941" i="2"/>
  <c r="S941" i="2" s="1"/>
  <c r="T941" i="2" s="1"/>
  <c r="U941" i="2" s="1"/>
  <c r="Q942" i="2"/>
  <c r="S942" i="2" s="1"/>
  <c r="T942" i="2" s="1"/>
  <c r="U942" i="2" s="1"/>
  <c r="Q943" i="2"/>
  <c r="S943" i="2" s="1"/>
  <c r="T943" i="2" s="1"/>
  <c r="U943" i="2" s="1"/>
  <c r="Q944" i="2"/>
  <c r="S944" i="2" s="1"/>
  <c r="T944" i="2" s="1"/>
  <c r="U944" i="2" s="1"/>
  <c r="Q945" i="2"/>
  <c r="S945" i="2" s="1"/>
  <c r="T945" i="2" s="1"/>
  <c r="U945" i="2" s="1"/>
  <c r="Q946" i="2"/>
  <c r="S946" i="2" s="1"/>
  <c r="T946" i="2" s="1"/>
  <c r="U946" i="2" s="1"/>
  <c r="Q947" i="2"/>
  <c r="S947" i="2" s="1"/>
  <c r="T947" i="2" s="1"/>
  <c r="U947" i="2" s="1"/>
  <c r="Q948" i="2"/>
  <c r="S948" i="2" s="1"/>
  <c r="T948" i="2" s="1"/>
  <c r="U948" i="2" s="1"/>
  <c r="Q949" i="2"/>
  <c r="S949" i="2" s="1"/>
  <c r="T949" i="2" s="1"/>
  <c r="U949" i="2" s="1"/>
  <c r="Q950" i="2"/>
  <c r="S950" i="2" s="1"/>
  <c r="T950" i="2" s="1"/>
  <c r="U950" i="2" s="1"/>
  <c r="Q951" i="2"/>
  <c r="S951" i="2" s="1"/>
  <c r="T951" i="2" s="1"/>
  <c r="U951" i="2" s="1"/>
  <c r="Q952" i="2"/>
  <c r="S952" i="2" s="1"/>
  <c r="T952" i="2" s="1"/>
  <c r="U952" i="2" s="1"/>
  <c r="Q953" i="2"/>
  <c r="S953" i="2" s="1"/>
  <c r="T953" i="2" s="1"/>
  <c r="U953" i="2" s="1"/>
  <c r="Q954" i="2"/>
  <c r="S954" i="2" s="1"/>
  <c r="T954" i="2" s="1"/>
  <c r="U954" i="2" s="1"/>
  <c r="Q955" i="2"/>
  <c r="S955" i="2" s="1"/>
  <c r="T955" i="2" s="1"/>
  <c r="U955" i="2" s="1"/>
  <c r="Q956" i="2"/>
  <c r="S956" i="2" s="1"/>
  <c r="Q957" i="2"/>
  <c r="S957" i="2" s="1"/>
  <c r="T957" i="2" s="1"/>
  <c r="U957" i="2" s="1"/>
  <c r="Q958" i="2"/>
  <c r="S958" i="2" s="1"/>
  <c r="T958" i="2" s="1"/>
  <c r="U958" i="2" s="1"/>
  <c r="Q959" i="2"/>
  <c r="S959" i="2" s="1"/>
  <c r="T959" i="2" s="1"/>
  <c r="U959" i="2" s="1"/>
  <c r="Q960" i="2"/>
  <c r="S960" i="2" s="1"/>
  <c r="Q961" i="2"/>
  <c r="S961" i="2" s="1"/>
  <c r="T961" i="2" s="1"/>
  <c r="U961" i="2" s="1"/>
  <c r="Q962" i="2"/>
  <c r="S962" i="2" s="1"/>
  <c r="T962" i="2" s="1"/>
  <c r="U962" i="2" s="1"/>
  <c r="Q963" i="2"/>
  <c r="S963" i="2" s="1"/>
  <c r="T963" i="2" s="1"/>
  <c r="U963" i="2" s="1"/>
  <c r="Q964" i="2"/>
  <c r="S964" i="2" s="1"/>
  <c r="T964" i="2" s="1"/>
  <c r="U964" i="2" s="1"/>
  <c r="Q965" i="2"/>
  <c r="S965" i="2" s="1"/>
  <c r="T965" i="2" s="1"/>
  <c r="U965" i="2" s="1"/>
  <c r="Q966" i="2"/>
  <c r="S966" i="2" s="1"/>
  <c r="Q967" i="2"/>
  <c r="S967" i="2" s="1"/>
  <c r="Q968" i="2"/>
  <c r="S968" i="2" s="1"/>
  <c r="T968" i="2" s="1"/>
  <c r="U968" i="2" s="1"/>
  <c r="Q969" i="2"/>
  <c r="S969" i="2" s="1"/>
  <c r="T969" i="2" s="1"/>
  <c r="U969" i="2" s="1"/>
  <c r="Q970" i="2"/>
  <c r="S970" i="2" s="1"/>
  <c r="Q971" i="2"/>
  <c r="S971" i="2" s="1"/>
  <c r="T971" i="2" s="1"/>
  <c r="U971" i="2" s="1"/>
  <c r="Q972" i="2"/>
  <c r="S972" i="2" s="1"/>
  <c r="T972" i="2" s="1"/>
  <c r="U972" i="2" s="1"/>
  <c r="Q973" i="2"/>
  <c r="S973" i="2" s="1"/>
  <c r="T973" i="2" s="1"/>
  <c r="U973" i="2" s="1"/>
  <c r="Q974" i="2"/>
  <c r="S974" i="2" s="1"/>
  <c r="T974" i="2" s="1"/>
  <c r="U974" i="2" s="1"/>
  <c r="Q975" i="2"/>
  <c r="S975" i="2" s="1"/>
  <c r="T975" i="2" s="1"/>
  <c r="U975" i="2" s="1"/>
  <c r="Q976" i="2"/>
  <c r="S976" i="2" s="1"/>
  <c r="T976" i="2" s="1"/>
  <c r="U976" i="2" s="1"/>
  <c r="Q977" i="2"/>
  <c r="S977" i="2" s="1"/>
  <c r="Q978" i="2"/>
  <c r="S978" i="2" s="1"/>
  <c r="T978" i="2" s="1"/>
  <c r="U978" i="2" s="1"/>
  <c r="Q979" i="2"/>
  <c r="S979" i="2" s="1"/>
  <c r="T979" i="2" s="1"/>
  <c r="U979" i="2" s="1"/>
  <c r="Q980" i="2"/>
  <c r="S980" i="2" s="1"/>
  <c r="T980" i="2" s="1"/>
  <c r="U980" i="2" s="1"/>
  <c r="Q981" i="2"/>
  <c r="S981" i="2" s="1"/>
  <c r="T981" i="2" s="1"/>
  <c r="U981" i="2" s="1"/>
  <c r="Q982" i="2"/>
  <c r="S982" i="2" s="1"/>
  <c r="Q983" i="2"/>
  <c r="S983" i="2" s="1"/>
  <c r="T983" i="2" s="1"/>
  <c r="U983" i="2" s="1"/>
  <c r="Q984" i="2"/>
  <c r="S984" i="2" s="1"/>
  <c r="Q985" i="2"/>
  <c r="S985" i="2" s="1"/>
  <c r="Q986" i="2"/>
  <c r="S986" i="2" s="1"/>
  <c r="Q987" i="2"/>
  <c r="S987" i="2" s="1"/>
  <c r="T987" i="2" s="1"/>
  <c r="U987" i="2" s="1"/>
  <c r="Q988" i="2"/>
  <c r="S988" i="2" s="1"/>
  <c r="T988" i="2" s="1"/>
  <c r="U988" i="2" s="1"/>
  <c r="Q989" i="2"/>
  <c r="S989" i="2" s="1"/>
  <c r="T989" i="2" s="1"/>
  <c r="U989" i="2" s="1"/>
  <c r="Q990" i="2"/>
  <c r="S990" i="2" s="1"/>
  <c r="T990" i="2" s="1"/>
  <c r="U990" i="2" s="1"/>
  <c r="Q991" i="2"/>
  <c r="S991" i="2" s="1"/>
  <c r="T991" i="2" s="1"/>
  <c r="U991" i="2" s="1"/>
  <c r="Q992" i="2"/>
  <c r="S992" i="2" s="1"/>
  <c r="Q993" i="2"/>
  <c r="S993" i="2" s="1"/>
  <c r="T993" i="2" s="1"/>
  <c r="U993" i="2" s="1"/>
  <c r="Q994" i="2"/>
  <c r="S994" i="2" s="1"/>
  <c r="T994" i="2" s="1"/>
  <c r="U994" i="2" s="1"/>
  <c r="Q995" i="2"/>
  <c r="S995" i="2" s="1"/>
  <c r="T995" i="2" s="1"/>
  <c r="U995" i="2" s="1"/>
  <c r="Q996" i="2"/>
  <c r="S996" i="2" s="1"/>
  <c r="Q997" i="2"/>
  <c r="S997" i="2" s="1"/>
  <c r="T997" i="2" s="1"/>
  <c r="U997" i="2" s="1"/>
  <c r="Q998" i="2"/>
  <c r="S998" i="2" s="1"/>
  <c r="T998" i="2" s="1"/>
  <c r="U998" i="2" s="1"/>
  <c r="Q999" i="2"/>
  <c r="S999" i="2" s="1"/>
  <c r="T999" i="2" s="1"/>
  <c r="U999" i="2" s="1"/>
  <c r="Q1000" i="2"/>
  <c r="S1000" i="2" s="1"/>
  <c r="T1000" i="2" s="1"/>
  <c r="U1000" i="2" s="1"/>
  <c r="Q1001" i="2"/>
  <c r="S1001" i="2" s="1"/>
  <c r="T1001" i="2" s="1"/>
  <c r="U1001" i="2" s="1"/>
  <c r="Q1002" i="2"/>
  <c r="S1002" i="2" s="1"/>
  <c r="Q1003" i="2"/>
  <c r="S1003" i="2" s="1"/>
  <c r="T1003" i="2" s="1"/>
  <c r="U1003" i="2" s="1"/>
  <c r="Q1004" i="2"/>
  <c r="S1004" i="2" s="1"/>
  <c r="Q1005" i="2"/>
  <c r="S1005" i="2" s="1"/>
  <c r="T1005" i="2" s="1"/>
  <c r="U1005" i="2" s="1"/>
  <c r="Q1006" i="2"/>
  <c r="S1006" i="2" s="1"/>
  <c r="T1006" i="2" s="1"/>
  <c r="U1006" i="2" s="1"/>
  <c r="Q1007" i="2"/>
  <c r="S1007" i="2" s="1"/>
  <c r="T1007" i="2" s="1"/>
  <c r="U1007" i="2" s="1"/>
  <c r="Q1008" i="2"/>
  <c r="S1008" i="2" s="1"/>
  <c r="T1008" i="2" s="1"/>
  <c r="U1008" i="2" s="1"/>
  <c r="Q1009" i="2"/>
  <c r="S1009" i="2" s="1"/>
  <c r="T1009" i="2" s="1"/>
  <c r="U1009" i="2" s="1"/>
  <c r="Q1010" i="2"/>
  <c r="S1010" i="2" s="1"/>
  <c r="T1010" i="2" s="1"/>
  <c r="U1010" i="2" s="1"/>
  <c r="Q1011" i="2"/>
  <c r="S1011" i="2" s="1"/>
  <c r="T1011" i="2" s="1"/>
  <c r="U1011" i="2" s="1"/>
  <c r="Q1012" i="2"/>
  <c r="S1012" i="2" s="1"/>
  <c r="T1012" i="2" s="1"/>
  <c r="U1012" i="2" s="1"/>
  <c r="Q1013" i="2"/>
  <c r="S1013" i="2" s="1"/>
  <c r="T1013" i="2" s="1"/>
  <c r="U1013" i="2" s="1"/>
  <c r="Q1014" i="2"/>
  <c r="S1014" i="2" s="1"/>
  <c r="Q1015" i="2"/>
  <c r="S1015" i="2" s="1"/>
  <c r="Q1016" i="2"/>
  <c r="S1016" i="2" s="1"/>
  <c r="T1016" i="2" s="1"/>
  <c r="U1016" i="2" s="1"/>
  <c r="Q1017" i="2"/>
  <c r="S1017" i="2" s="1"/>
  <c r="T1017" i="2" s="1"/>
  <c r="U1017" i="2" s="1"/>
  <c r="Q1018" i="2"/>
  <c r="S1018" i="2" s="1"/>
  <c r="T1018" i="2" s="1"/>
  <c r="U1018" i="2" s="1"/>
  <c r="Q1019" i="2"/>
  <c r="S1019" i="2" s="1"/>
  <c r="T1019" i="2" s="1"/>
  <c r="U1019" i="2" s="1"/>
  <c r="Q1020" i="2"/>
  <c r="S1020" i="2" s="1"/>
  <c r="Q1021" i="2"/>
  <c r="S1021" i="2" s="1"/>
  <c r="T1021" i="2" s="1"/>
  <c r="U1021" i="2" s="1"/>
  <c r="Q1022" i="2"/>
  <c r="S1022" i="2" s="1"/>
  <c r="T1022" i="2" s="1"/>
  <c r="U1022" i="2" s="1"/>
  <c r="Q1023" i="2"/>
  <c r="S1023" i="2" s="1"/>
  <c r="Q1024" i="2"/>
  <c r="S1024" i="2" s="1"/>
  <c r="Q1025" i="2"/>
  <c r="S1025" i="2" s="1"/>
  <c r="Q1026" i="2"/>
  <c r="S1026" i="2" s="1"/>
  <c r="Q1027" i="2"/>
  <c r="S1027" i="2" s="1"/>
  <c r="T1027" i="2" s="1"/>
  <c r="U1027" i="2" s="1"/>
  <c r="Q1028" i="2"/>
  <c r="S1028" i="2" s="1"/>
  <c r="T1028" i="2" s="1"/>
  <c r="U1028" i="2" s="1"/>
  <c r="Q1029" i="2"/>
  <c r="S1029" i="2" s="1"/>
  <c r="Q1030" i="2"/>
  <c r="S1030" i="2" s="1"/>
  <c r="T1030" i="2" s="1"/>
  <c r="U1030" i="2" s="1"/>
  <c r="Q1031" i="2"/>
  <c r="S1031" i="2" s="1"/>
  <c r="T1031" i="2" s="1"/>
  <c r="U1031" i="2" s="1"/>
  <c r="Q1032" i="2"/>
  <c r="S1032" i="2" s="1"/>
  <c r="T1032" i="2" s="1"/>
  <c r="U1032" i="2" s="1"/>
  <c r="Q1033" i="2"/>
  <c r="S1033" i="2" s="1"/>
  <c r="Q1034" i="2"/>
  <c r="S1034" i="2" s="1"/>
  <c r="Q1035" i="2"/>
  <c r="S1035" i="2" s="1"/>
  <c r="T1035" i="2" s="1"/>
  <c r="U1035" i="2" s="1"/>
  <c r="Q1036" i="2"/>
  <c r="S1036" i="2" s="1"/>
  <c r="T1036" i="2" s="1"/>
  <c r="U1036" i="2" s="1"/>
  <c r="Q1037" i="2"/>
  <c r="S1037" i="2" s="1"/>
  <c r="Q1038" i="2"/>
  <c r="S1038" i="2" s="1"/>
  <c r="T1038" i="2" s="1"/>
  <c r="U1038" i="2" s="1"/>
  <c r="Q1039" i="2"/>
  <c r="S1039" i="2" s="1"/>
  <c r="Q1040" i="2"/>
  <c r="S1040" i="2" s="1"/>
  <c r="Q1041" i="2"/>
  <c r="S1041" i="2" s="1"/>
  <c r="T1041" i="2" s="1"/>
  <c r="U1041" i="2" s="1"/>
  <c r="Q1042" i="2"/>
  <c r="S1042" i="2" s="1"/>
  <c r="Q1043" i="2"/>
  <c r="S1043" i="2" s="1"/>
  <c r="T1043" i="2" s="1"/>
  <c r="U1043" i="2" s="1"/>
  <c r="Q1044" i="2"/>
  <c r="S1044" i="2" s="1"/>
  <c r="T1044" i="2" s="1"/>
  <c r="U1044" i="2" s="1"/>
  <c r="Q1045" i="2"/>
  <c r="S1045" i="2" s="1"/>
  <c r="T1045" i="2" s="1"/>
  <c r="U1045" i="2" s="1"/>
  <c r="Q1046" i="2"/>
  <c r="S1046" i="2" s="1"/>
  <c r="T1046" i="2" s="1"/>
  <c r="U1046" i="2" s="1"/>
  <c r="Q1047" i="2"/>
  <c r="S1047" i="2" s="1"/>
  <c r="T1047" i="2" s="1"/>
  <c r="U1047" i="2" s="1"/>
  <c r="Q1048" i="2"/>
  <c r="S1048" i="2" s="1"/>
  <c r="T1048" i="2" s="1"/>
  <c r="U1048" i="2" s="1"/>
  <c r="Q1049" i="2"/>
  <c r="S1049" i="2" s="1"/>
  <c r="T1049" i="2" s="1"/>
  <c r="U1049" i="2" s="1"/>
  <c r="Q1050" i="2"/>
  <c r="S1050" i="2" s="1"/>
  <c r="Q1051" i="2"/>
  <c r="S1051" i="2" s="1"/>
  <c r="T1051" i="2" s="1"/>
  <c r="U1051" i="2" s="1"/>
  <c r="Q1052" i="2"/>
  <c r="S1052" i="2" s="1"/>
  <c r="Q1053" i="2"/>
  <c r="S1053" i="2" s="1"/>
  <c r="Q1054" i="2"/>
  <c r="S1054" i="2" s="1"/>
  <c r="T1054" i="2" s="1"/>
  <c r="U1054" i="2" s="1"/>
  <c r="Q1055" i="2"/>
  <c r="S1055" i="2" s="1"/>
  <c r="T1055" i="2" s="1"/>
  <c r="U1055" i="2" s="1"/>
  <c r="Q1056" i="2"/>
  <c r="S1056" i="2" s="1"/>
  <c r="T1056" i="2" s="1"/>
  <c r="U1056" i="2" s="1"/>
  <c r="Q1057" i="2"/>
  <c r="S1057" i="2" s="1"/>
  <c r="T1057" i="2" s="1"/>
  <c r="U1057" i="2" s="1"/>
  <c r="Q1058" i="2"/>
  <c r="S1058" i="2" s="1"/>
  <c r="Q1059" i="2"/>
  <c r="S1059" i="2" s="1"/>
  <c r="T1059" i="2" s="1"/>
  <c r="U1059" i="2" s="1"/>
  <c r="Q1060" i="2"/>
  <c r="S1060" i="2" s="1"/>
  <c r="T1060" i="2" s="1"/>
  <c r="U1060" i="2" s="1"/>
  <c r="Q1061" i="2"/>
  <c r="S1061" i="2" s="1"/>
  <c r="T1061" i="2" s="1"/>
  <c r="U1061" i="2" s="1"/>
  <c r="Q1062" i="2"/>
  <c r="S1062" i="2" s="1"/>
  <c r="T1062" i="2" s="1"/>
  <c r="U1062" i="2" s="1"/>
  <c r="Q1063" i="2"/>
  <c r="S1063" i="2" s="1"/>
  <c r="Q1064" i="2"/>
  <c r="S1064" i="2" s="1"/>
  <c r="Q1065" i="2"/>
  <c r="S1065" i="2" s="1"/>
  <c r="T1065" i="2" s="1"/>
  <c r="U1065" i="2" s="1"/>
  <c r="Q1066" i="2"/>
  <c r="S1066" i="2" s="1"/>
  <c r="Q1067" i="2"/>
  <c r="S1067" i="2" s="1"/>
  <c r="Q1068" i="2"/>
  <c r="S1068" i="2" s="1"/>
  <c r="T1068" i="2" s="1"/>
  <c r="U1068" i="2" s="1"/>
  <c r="Q1069" i="2"/>
  <c r="S1069" i="2" s="1"/>
  <c r="T1069" i="2" s="1"/>
  <c r="U1069" i="2" s="1"/>
  <c r="Q1070" i="2"/>
  <c r="S1070" i="2" s="1"/>
  <c r="T1070" i="2" s="1"/>
  <c r="U1070" i="2" s="1"/>
  <c r="Q1071" i="2"/>
  <c r="S1071" i="2" s="1"/>
  <c r="Q1072" i="2"/>
  <c r="S1072" i="2" s="1"/>
  <c r="T1072" i="2" s="1"/>
  <c r="U1072" i="2" s="1"/>
  <c r="Q1073" i="2"/>
  <c r="S1073" i="2" s="1"/>
  <c r="T1073" i="2" s="1"/>
  <c r="U1073" i="2" s="1"/>
  <c r="Q1074" i="2"/>
  <c r="S1074" i="2" s="1"/>
  <c r="Q1075" i="2"/>
  <c r="S1075" i="2" s="1"/>
  <c r="Q1076" i="2"/>
  <c r="S1076" i="2" s="1"/>
  <c r="T1076" i="2" s="1"/>
  <c r="U1076" i="2" s="1"/>
  <c r="Q1077" i="2"/>
  <c r="S1077" i="2" s="1"/>
  <c r="T1077" i="2" s="1"/>
  <c r="U1077" i="2" s="1"/>
  <c r="Q1078" i="2"/>
  <c r="S1078" i="2" s="1"/>
  <c r="T1078" i="2" s="1"/>
  <c r="U1078" i="2" s="1"/>
  <c r="Q1079" i="2"/>
  <c r="S1079" i="2" s="1"/>
  <c r="T1079" i="2" s="1"/>
  <c r="U1079" i="2" s="1"/>
  <c r="Q1080" i="2"/>
  <c r="S1080" i="2" s="1"/>
  <c r="T1080" i="2" s="1"/>
  <c r="U1080" i="2" s="1"/>
  <c r="Q1081" i="2"/>
  <c r="S1081" i="2" s="1"/>
  <c r="Q1082" i="2"/>
  <c r="S1082" i="2" s="1"/>
  <c r="T1082" i="2" s="1"/>
  <c r="U1082" i="2" s="1"/>
  <c r="Q1083" i="2"/>
  <c r="S1083" i="2" s="1"/>
  <c r="T1083" i="2" s="1"/>
  <c r="U1083" i="2" s="1"/>
  <c r="Q1084" i="2"/>
  <c r="S1084" i="2" s="1"/>
  <c r="T1084" i="2" s="1"/>
  <c r="U1084" i="2" s="1"/>
  <c r="Q1085" i="2"/>
  <c r="S1085" i="2" s="1"/>
  <c r="T1085" i="2" s="1"/>
  <c r="U1085" i="2" s="1"/>
  <c r="Q1086" i="2"/>
  <c r="S1086" i="2" s="1"/>
  <c r="Q1087" i="2"/>
  <c r="S1087" i="2" s="1"/>
  <c r="Q1088" i="2"/>
  <c r="S1088" i="2" s="1"/>
  <c r="T1088" i="2" s="1"/>
  <c r="U1088" i="2" s="1"/>
  <c r="Q1089" i="2"/>
  <c r="S1089" i="2" s="1"/>
  <c r="T1089" i="2" s="1"/>
  <c r="U1089" i="2" s="1"/>
  <c r="Q1090" i="2"/>
  <c r="S1090" i="2" s="1"/>
  <c r="T1090" i="2" s="1"/>
  <c r="U1090" i="2" s="1"/>
  <c r="Q1091" i="2"/>
  <c r="S1091" i="2" s="1"/>
  <c r="Q1092" i="2"/>
  <c r="S1092" i="2" s="1"/>
  <c r="Q1093" i="2"/>
  <c r="S1093" i="2" s="1"/>
  <c r="T1093" i="2" s="1"/>
  <c r="U1093" i="2" s="1"/>
  <c r="Q1094" i="2"/>
  <c r="S1094" i="2" s="1"/>
  <c r="T1094" i="2" s="1"/>
  <c r="U1094" i="2" s="1"/>
  <c r="Q1095" i="2"/>
  <c r="S1095" i="2" s="1"/>
  <c r="Q1096" i="2"/>
  <c r="S1096" i="2" s="1"/>
  <c r="T1096" i="2" s="1"/>
  <c r="U1096" i="2" s="1"/>
  <c r="Q1097" i="2"/>
  <c r="S1097" i="2" s="1"/>
  <c r="Q1098" i="2"/>
  <c r="S1098" i="2" s="1"/>
  <c r="T1098" i="2" s="1"/>
  <c r="U1098" i="2" s="1"/>
  <c r="Q1099" i="2"/>
  <c r="S1099" i="2" s="1"/>
  <c r="T1099" i="2" s="1"/>
  <c r="U1099" i="2" s="1"/>
  <c r="Q1100" i="2"/>
  <c r="S1100" i="2" s="1"/>
  <c r="T1100" i="2" s="1"/>
  <c r="U1100" i="2" s="1"/>
  <c r="Q1101" i="2"/>
  <c r="S1101" i="2" s="1"/>
  <c r="T1101" i="2" s="1"/>
  <c r="U1101" i="2" s="1"/>
  <c r="Q1102" i="2"/>
  <c r="S1102" i="2" s="1"/>
  <c r="T1102" i="2" s="1"/>
  <c r="U1102" i="2" s="1"/>
  <c r="Q1103" i="2"/>
  <c r="S1103" i="2" s="1"/>
  <c r="Q1104" i="2"/>
  <c r="S1104" i="2" s="1"/>
  <c r="T1104" i="2" s="1"/>
  <c r="U1104" i="2" s="1"/>
  <c r="Q1105" i="2"/>
  <c r="S1105" i="2" s="1"/>
  <c r="T1105" i="2" s="1"/>
  <c r="U1105" i="2" s="1"/>
  <c r="Q1106" i="2"/>
  <c r="S1106" i="2" s="1"/>
  <c r="T1106" i="2" s="1"/>
  <c r="U1106" i="2" s="1"/>
  <c r="Q1107" i="2"/>
  <c r="S1107" i="2" s="1"/>
  <c r="T1107" i="2" s="1"/>
  <c r="U1107" i="2" s="1"/>
  <c r="Q1108" i="2"/>
  <c r="S1108" i="2" s="1"/>
  <c r="T1108" i="2" s="1"/>
  <c r="U1108" i="2" s="1"/>
  <c r="Q1109" i="2"/>
  <c r="S1109" i="2" s="1"/>
  <c r="Q1110" i="2"/>
  <c r="S1110" i="2" s="1"/>
  <c r="T1110" i="2" s="1"/>
  <c r="U1110" i="2" s="1"/>
  <c r="Q1111" i="2"/>
  <c r="S1111" i="2" s="1"/>
  <c r="Q1112" i="2"/>
  <c r="S1112" i="2" s="1"/>
  <c r="Q1113" i="2"/>
  <c r="S1113" i="2" s="1"/>
  <c r="T1113" i="2" s="1"/>
  <c r="U1113" i="2" s="1"/>
  <c r="Q1114" i="2"/>
  <c r="S1114" i="2" s="1"/>
  <c r="Q1115" i="2"/>
  <c r="S1115" i="2" s="1"/>
  <c r="T1115" i="2" s="1"/>
  <c r="U1115" i="2" s="1"/>
  <c r="Q1116" i="2"/>
  <c r="S1116" i="2" s="1"/>
  <c r="T1116" i="2" s="1"/>
  <c r="U1116" i="2" s="1"/>
  <c r="Q1117" i="2"/>
  <c r="S1117" i="2" s="1"/>
  <c r="Q1118" i="2"/>
  <c r="S1118" i="2" s="1"/>
  <c r="T1118" i="2" s="1"/>
  <c r="U1118" i="2" s="1"/>
  <c r="Q1119" i="2"/>
  <c r="S1119" i="2" s="1"/>
  <c r="Q1120" i="2"/>
  <c r="S1120" i="2" s="1"/>
  <c r="T1120" i="2" s="1"/>
  <c r="U1120" i="2" s="1"/>
  <c r="Q1121" i="2"/>
  <c r="S1121" i="2" s="1"/>
  <c r="T1121" i="2" s="1"/>
  <c r="U1121" i="2" s="1"/>
  <c r="Q1122" i="2"/>
  <c r="S1122" i="2" s="1"/>
  <c r="Q1123" i="2"/>
  <c r="S1123" i="2" s="1"/>
  <c r="Q1124" i="2"/>
  <c r="S1124" i="2" s="1"/>
  <c r="T1124" i="2" s="1"/>
  <c r="U1124" i="2" s="1"/>
  <c r="Q1125" i="2"/>
  <c r="S1125" i="2" s="1"/>
  <c r="Q1126" i="2"/>
  <c r="S1126" i="2" s="1"/>
  <c r="T1126" i="2" s="1"/>
  <c r="U1126" i="2" s="1"/>
  <c r="Q1127" i="2"/>
  <c r="S1127" i="2" s="1"/>
  <c r="T1127" i="2" s="1"/>
  <c r="U1127" i="2" s="1"/>
  <c r="Q1128" i="2"/>
  <c r="S1128" i="2" s="1"/>
  <c r="T1128" i="2" s="1"/>
  <c r="U1128" i="2" s="1"/>
  <c r="Q1129" i="2"/>
  <c r="S1129" i="2" s="1"/>
  <c r="T1129" i="2" s="1"/>
  <c r="U1129" i="2" s="1"/>
  <c r="Q1130" i="2"/>
  <c r="S1130" i="2" s="1"/>
  <c r="Q1131" i="2"/>
  <c r="S1131" i="2" s="1"/>
  <c r="T1131" i="2" s="1"/>
  <c r="U1131" i="2" s="1"/>
  <c r="Q1132" i="2"/>
  <c r="S1132" i="2" s="1"/>
  <c r="T1132" i="2" s="1"/>
  <c r="U1132" i="2" s="1"/>
  <c r="Q1133" i="2"/>
  <c r="S1133" i="2" s="1"/>
  <c r="Q1134" i="2"/>
  <c r="S1134" i="2" s="1"/>
  <c r="T1134" i="2" s="1"/>
  <c r="U1134" i="2" s="1"/>
  <c r="Q1135" i="2"/>
  <c r="S1135" i="2" s="1"/>
  <c r="T1135" i="2" s="1"/>
  <c r="U1135" i="2" s="1"/>
  <c r="Q1136" i="2"/>
  <c r="S1136" i="2" s="1"/>
  <c r="Q1137" i="2"/>
  <c r="S1137" i="2" s="1"/>
  <c r="T1137" i="2" s="1"/>
  <c r="U1137" i="2" s="1"/>
  <c r="Q1138" i="2"/>
  <c r="S1138" i="2" s="1"/>
  <c r="T1138" i="2" s="1"/>
  <c r="U1138" i="2" s="1"/>
  <c r="Q1139" i="2"/>
  <c r="S1139" i="2" s="1"/>
  <c r="T1139" i="2" s="1"/>
  <c r="U1139" i="2" s="1"/>
  <c r="Q1140" i="2"/>
  <c r="S1140" i="2" s="1"/>
  <c r="T1140" i="2" s="1"/>
  <c r="U1140" i="2" s="1"/>
  <c r="Q1141" i="2"/>
  <c r="S1141" i="2" s="1"/>
  <c r="T1141" i="2" s="1"/>
  <c r="U1141" i="2" s="1"/>
  <c r="Q1142" i="2"/>
  <c r="S1142" i="2" s="1"/>
  <c r="T1142" i="2" s="1"/>
  <c r="U1142" i="2" s="1"/>
  <c r="Q1143" i="2"/>
  <c r="S1143" i="2" s="1"/>
  <c r="T1143" i="2" s="1"/>
  <c r="U1143" i="2" s="1"/>
  <c r="Q1144" i="2"/>
  <c r="S1144" i="2" s="1"/>
  <c r="Q1145" i="2"/>
  <c r="S1145" i="2" s="1"/>
  <c r="Q1146" i="2"/>
  <c r="S1146" i="2" s="1"/>
  <c r="T1146" i="2" s="1"/>
  <c r="U1146" i="2" s="1"/>
  <c r="Q1147" i="2"/>
  <c r="S1147" i="2" s="1"/>
  <c r="T1147" i="2" s="1"/>
  <c r="U1147" i="2" s="1"/>
  <c r="Q1148" i="2"/>
  <c r="S1148" i="2" s="1"/>
  <c r="T1148" i="2" s="1"/>
  <c r="U1148" i="2" s="1"/>
  <c r="Q1149" i="2"/>
  <c r="S1149" i="2" s="1"/>
  <c r="T1149" i="2" s="1"/>
  <c r="U1149" i="2" s="1"/>
  <c r="Q1150" i="2"/>
  <c r="S1150" i="2" s="1"/>
  <c r="T1150" i="2" s="1"/>
  <c r="U1150" i="2" s="1"/>
  <c r="Q1151" i="2"/>
  <c r="S1151" i="2" s="1"/>
  <c r="T1151" i="2" s="1"/>
  <c r="U1151" i="2" s="1"/>
  <c r="Q1152" i="2"/>
  <c r="S1152" i="2" s="1"/>
  <c r="T1152" i="2" s="1"/>
  <c r="U1152" i="2" s="1"/>
  <c r="Q1153" i="2"/>
  <c r="S1153" i="2" s="1"/>
  <c r="Q1154" i="2"/>
  <c r="S1154" i="2" s="1"/>
  <c r="Q1155" i="2"/>
  <c r="S1155" i="2" s="1"/>
  <c r="T1155" i="2" s="1"/>
  <c r="U1155" i="2" s="1"/>
  <c r="Q1156" i="2"/>
  <c r="S1156" i="2" s="1"/>
  <c r="T1156" i="2" s="1"/>
  <c r="U1156" i="2" s="1"/>
  <c r="Q1157" i="2"/>
  <c r="S1157" i="2" s="1"/>
  <c r="T1157" i="2" s="1"/>
  <c r="U1157" i="2" s="1"/>
  <c r="Q1158" i="2"/>
  <c r="S1158" i="2" s="1"/>
  <c r="T1158" i="2" s="1"/>
  <c r="U1158" i="2" s="1"/>
  <c r="Q1159" i="2"/>
  <c r="S1159" i="2" s="1"/>
  <c r="Q1160" i="2"/>
  <c r="S1160" i="2" s="1"/>
  <c r="T1160" i="2" s="1"/>
  <c r="U1160" i="2" s="1"/>
  <c r="Q1161" i="2"/>
  <c r="S1161" i="2" s="1"/>
  <c r="T1161" i="2" s="1"/>
  <c r="U1161" i="2" s="1"/>
  <c r="Q1162" i="2"/>
  <c r="S1162" i="2" s="1"/>
  <c r="T1162" i="2" s="1"/>
  <c r="U1162" i="2" s="1"/>
  <c r="Q1163" i="2"/>
  <c r="S1163" i="2" s="1"/>
  <c r="T1163" i="2" s="1"/>
  <c r="U1163" i="2" s="1"/>
  <c r="Q1164" i="2"/>
  <c r="S1164" i="2" s="1"/>
  <c r="Q1165" i="2"/>
  <c r="S1165" i="2" s="1"/>
  <c r="T1165" i="2" s="1"/>
  <c r="U1165" i="2" s="1"/>
  <c r="Q1166" i="2"/>
  <c r="S1166" i="2" s="1"/>
  <c r="Q1167" i="2"/>
  <c r="S1167" i="2" s="1"/>
  <c r="T1167" i="2" s="1"/>
  <c r="U1167" i="2" s="1"/>
  <c r="Q1168" i="2"/>
  <c r="S1168" i="2" s="1"/>
  <c r="T1168" i="2" s="1"/>
  <c r="U1168" i="2" s="1"/>
  <c r="Q1169" i="2"/>
  <c r="S1169" i="2" s="1"/>
  <c r="T1169" i="2" s="1"/>
  <c r="U1169" i="2" s="1"/>
  <c r="Q1170" i="2"/>
  <c r="S1170" i="2" s="1"/>
  <c r="T1170" i="2" s="1"/>
  <c r="U1170" i="2" s="1"/>
  <c r="Q1171" i="2"/>
  <c r="S1171" i="2" s="1"/>
  <c r="T1171" i="2" s="1"/>
  <c r="U1171" i="2" s="1"/>
  <c r="Q1172" i="2"/>
  <c r="S1172" i="2" s="1"/>
  <c r="T1172" i="2" s="1"/>
  <c r="U1172" i="2" s="1"/>
  <c r="Q1173" i="2"/>
  <c r="S1173" i="2" s="1"/>
  <c r="T1173" i="2" s="1"/>
  <c r="U1173" i="2" s="1"/>
  <c r="Q1174" i="2"/>
  <c r="S1174" i="2" s="1"/>
  <c r="T1174" i="2" s="1"/>
  <c r="U1174" i="2" s="1"/>
  <c r="Q1175" i="2"/>
  <c r="S1175" i="2" s="1"/>
  <c r="T1175" i="2" s="1"/>
  <c r="U1175" i="2" s="1"/>
  <c r="Q1176" i="2"/>
  <c r="S1176" i="2" s="1"/>
  <c r="Q1177" i="2"/>
  <c r="S1177" i="2" s="1"/>
  <c r="T1177" i="2" s="1"/>
  <c r="U1177" i="2" s="1"/>
  <c r="Q1178" i="2"/>
  <c r="S1178" i="2" s="1"/>
  <c r="Q1179" i="2"/>
  <c r="S1179" i="2" s="1"/>
  <c r="T1179" i="2" s="1"/>
  <c r="U1179" i="2" s="1"/>
  <c r="Q1180" i="2"/>
  <c r="S1180" i="2" s="1"/>
  <c r="T1180" i="2" s="1"/>
  <c r="U1180" i="2" s="1"/>
  <c r="Q1181" i="2"/>
  <c r="S1181" i="2" s="1"/>
  <c r="T1181" i="2" s="1"/>
  <c r="U1181" i="2" s="1"/>
  <c r="Q1182" i="2"/>
  <c r="S1182" i="2" s="1"/>
  <c r="T1182" i="2" s="1"/>
  <c r="U1182" i="2" s="1"/>
  <c r="Q1183" i="2"/>
  <c r="S1183" i="2" s="1"/>
  <c r="T1183" i="2" s="1"/>
  <c r="U1183" i="2" s="1"/>
  <c r="Q1184" i="2"/>
  <c r="S1184" i="2" s="1"/>
  <c r="T1184" i="2" s="1"/>
  <c r="U1184" i="2" s="1"/>
  <c r="Q1185" i="2"/>
  <c r="S1185" i="2" s="1"/>
  <c r="T1185" i="2" s="1"/>
  <c r="U1185" i="2" s="1"/>
  <c r="Q1186" i="2"/>
  <c r="S1186" i="2" s="1"/>
  <c r="T1186" i="2" s="1"/>
  <c r="U1186" i="2" s="1"/>
  <c r="Q1187" i="2"/>
  <c r="S1187" i="2" s="1"/>
  <c r="T1187" i="2" s="1"/>
  <c r="U1187" i="2" s="1"/>
  <c r="Q1188" i="2"/>
  <c r="S1188" i="2" s="1"/>
  <c r="T1188" i="2" s="1"/>
  <c r="U1188" i="2" s="1"/>
  <c r="Q1189" i="2"/>
  <c r="S1189" i="2" s="1"/>
  <c r="T1189" i="2" s="1"/>
  <c r="U1189" i="2" s="1"/>
  <c r="Q1190" i="2"/>
  <c r="S1190" i="2" s="1"/>
  <c r="Q1191" i="2"/>
  <c r="S1191" i="2" s="1"/>
  <c r="T1191" i="2" s="1"/>
  <c r="U1191" i="2" s="1"/>
  <c r="Q1192" i="2"/>
  <c r="S1192" i="2" s="1"/>
  <c r="T1192" i="2" s="1"/>
  <c r="U1192" i="2" s="1"/>
  <c r="Q1193" i="2"/>
  <c r="S1193" i="2" s="1"/>
  <c r="Q1194" i="2"/>
  <c r="S1194" i="2" s="1"/>
  <c r="Q1195" i="2"/>
  <c r="S1195" i="2" s="1"/>
  <c r="Q1196" i="2"/>
  <c r="S1196" i="2" s="1"/>
  <c r="T1196" i="2" s="1"/>
  <c r="U1196" i="2" s="1"/>
  <c r="Q1197" i="2"/>
  <c r="S1197" i="2" s="1"/>
  <c r="T1197" i="2" s="1"/>
  <c r="U1197" i="2" s="1"/>
  <c r="Q1198" i="2"/>
  <c r="S1198" i="2" s="1"/>
  <c r="Q1199" i="2"/>
  <c r="S1199" i="2" s="1"/>
  <c r="Q1200" i="2"/>
  <c r="S1200" i="2" s="1"/>
  <c r="T1200" i="2" s="1"/>
  <c r="U1200" i="2" s="1"/>
  <c r="Q1201" i="2"/>
  <c r="S1201" i="2" s="1"/>
  <c r="Q1202" i="2"/>
  <c r="S1202" i="2" s="1"/>
  <c r="Q1203" i="2"/>
  <c r="S1203" i="2" s="1"/>
  <c r="Q1204" i="2"/>
  <c r="S1204" i="2" s="1"/>
  <c r="T1204" i="2" s="1"/>
  <c r="U1204" i="2" s="1"/>
  <c r="Q1205" i="2"/>
  <c r="S1205" i="2" s="1"/>
  <c r="T1205" i="2" s="1"/>
  <c r="U1205" i="2" s="1"/>
  <c r="Q1206" i="2"/>
  <c r="S1206" i="2" s="1"/>
  <c r="T1206" i="2" s="1"/>
  <c r="U1206" i="2" s="1"/>
  <c r="Q1207" i="2"/>
  <c r="S1207" i="2" s="1"/>
  <c r="T1207" i="2" s="1"/>
  <c r="U1207" i="2" s="1"/>
  <c r="Q1208" i="2"/>
  <c r="S1208" i="2" s="1"/>
  <c r="T1208" i="2" s="1"/>
  <c r="U1208" i="2" s="1"/>
  <c r="Q1209" i="2"/>
  <c r="S1209" i="2" s="1"/>
  <c r="Q1210" i="2"/>
  <c r="S1210" i="2" s="1"/>
  <c r="T1210" i="2" s="1"/>
  <c r="U1210" i="2" s="1"/>
  <c r="Q1211" i="2"/>
  <c r="S1211" i="2" s="1"/>
  <c r="T1211" i="2" s="1"/>
  <c r="U1211" i="2" s="1"/>
  <c r="Q1212" i="2"/>
  <c r="S1212" i="2" s="1"/>
  <c r="T1212" i="2" s="1"/>
  <c r="U1212" i="2" s="1"/>
  <c r="Q1213" i="2"/>
  <c r="S1213" i="2" s="1"/>
  <c r="T1213" i="2" s="1"/>
  <c r="U1213" i="2" s="1"/>
  <c r="Q1214" i="2"/>
  <c r="S1214" i="2" s="1"/>
  <c r="T1214" i="2" s="1"/>
  <c r="U1214" i="2" s="1"/>
  <c r="Q1215" i="2"/>
  <c r="S1215" i="2" s="1"/>
  <c r="T1215" i="2" s="1"/>
  <c r="U1215" i="2" s="1"/>
  <c r="Q1216" i="2"/>
  <c r="S1216" i="2" s="1"/>
  <c r="T1216" i="2" s="1"/>
  <c r="U1216" i="2" s="1"/>
  <c r="Q1217" i="2"/>
  <c r="S1217" i="2" s="1"/>
  <c r="Q1218" i="2"/>
  <c r="S1218" i="2" s="1"/>
  <c r="Q1219" i="2"/>
  <c r="S1219" i="2" s="1"/>
  <c r="Q1220" i="2"/>
  <c r="S1220" i="2" s="1"/>
  <c r="T1220" i="2" s="1"/>
  <c r="U1220" i="2" s="1"/>
  <c r="Q1221" i="2"/>
  <c r="S1221" i="2" s="1"/>
  <c r="T1221" i="2" s="1"/>
  <c r="U1221" i="2" s="1"/>
  <c r="Q1222" i="2"/>
  <c r="S1222" i="2" s="1"/>
  <c r="T1222" i="2" s="1"/>
  <c r="U1222" i="2" s="1"/>
  <c r="Q1223" i="2"/>
  <c r="S1223" i="2" s="1"/>
  <c r="Q1224" i="2"/>
  <c r="S1224" i="2" s="1"/>
  <c r="T1224" i="2" s="1"/>
  <c r="U1224" i="2" s="1"/>
  <c r="Q1225" i="2"/>
  <c r="S1225" i="2" s="1"/>
  <c r="Q1226" i="2"/>
  <c r="S1226" i="2" s="1"/>
  <c r="T1226" i="2" s="1"/>
  <c r="U1226" i="2" s="1"/>
  <c r="Q1227" i="2"/>
  <c r="S1227" i="2" s="1"/>
  <c r="T1227" i="2" s="1"/>
  <c r="U1227" i="2" s="1"/>
  <c r="Q1228" i="2"/>
  <c r="S1228" i="2" s="1"/>
  <c r="T1228" i="2" s="1"/>
  <c r="U1228" i="2" s="1"/>
  <c r="Q1229" i="2"/>
  <c r="S1229" i="2" s="1"/>
  <c r="Q1230" i="2"/>
  <c r="S1230" i="2" s="1"/>
  <c r="T1230" i="2" s="1"/>
  <c r="U1230" i="2" s="1"/>
  <c r="Q1231" i="2"/>
  <c r="S1231" i="2" s="1"/>
  <c r="T1231" i="2" s="1"/>
  <c r="U1231" i="2" s="1"/>
  <c r="Q1232" i="2"/>
  <c r="S1232" i="2" s="1"/>
  <c r="T1232" i="2" s="1"/>
  <c r="U1232" i="2" s="1"/>
  <c r="Q1233" i="2"/>
  <c r="S1233" i="2" s="1"/>
  <c r="Q1234" i="2"/>
  <c r="S1234" i="2" s="1"/>
  <c r="T1234" i="2" s="1"/>
  <c r="U1234" i="2" s="1"/>
  <c r="Q1235" i="2"/>
  <c r="S1235" i="2" s="1"/>
  <c r="Q1236" i="2"/>
  <c r="S1236" i="2" s="1"/>
  <c r="T1236" i="2" s="1"/>
  <c r="U1236" i="2" s="1"/>
  <c r="Q1237" i="2"/>
  <c r="S1237" i="2" s="1"/>
  <c r="T1237" i="2" s="1"/>
  <c r="U1237" i="2" s="1"/>
  <c r="Q1238" i="2"/>
  <c r="S1238" i="2" s="1"/>
  <c r="T1238" i="2" s="1"/>
  <c r="U1238" i="2" s="1"/>
  <c r="Q1239" i="2"/>
  <c r="S1239" i="2" s="1"/>
  <c r="T1239" i="2" s="1"/>
  <c r="U1239" i="2" s="1"/>
  <c r="Q1240" i="2"/>
  <c r="S1240" i="2" s="1"/>
  <c r="T1240" i="2" s="1"/>
  <c r="U1240" i="2" s="1"/>
  <c r="Q1241" i="2"/>
  <c r="S1241" i="2" s="1"/>
  <c r="T1241" i="2" s="1"/>
  <c r="U1241" i="2" s="1"/>
  <c r="Q1242" i="2"/>
  <c r="S1242" i="2" s="1"/>
  <c r="T1242" i="2" s="1"/>
  <c r="U1242" i="2" s="1"/>
  <c r="Q1243" i="2"/>
  <c r="S1243" i="2" s="1"/>
  <c r="Q1244" i="2"/>
  <c r="S1244" i="2" s="1"/>
  <c r="Q1245" i="2"/>
  <c r="S1245" i="2" s="1"/>
  <c r="T1245" i="2" s="1"/>
  <c r="U1245" i="2" s="1"/>
  <c r="Q1246" i="2"/>
  <c r="S1246" i="2" s="1"/>
  <c r="T1246" i="2" s="1"/>
  <c r="U1246" i="2" s="1"/>
  <c r="Q1247" i="2"/>
  <c r="S1247" i="2" s="1"/>
  <c r="Q1248" i="2"/>
  <c r="S1248" i="2" s="1"/>
  <c r="T1248" i="2" s="1"/>
  <c r="U1248" i="2" s="1"/>
  <c r="Q1249" i="2"/>
  <c r="S1249" i="2" s="1"/>
  <c r="T1249" i="2" s="1"/>
  <c r="U1249" i="2" s="1"/>
  <c r="Q1250" i="2"/>
  <c r="S1250" i="2" s="1"/>
  <c r="T1250" i="2" s="1"/>
  <c r="U1250" i="2" s="1"/>
  <c r="Q1251" i="2"/>
  <c r="S1251" i="2" s="1"/>
  <c r="T1251" i="2" s="1"/>
  <c r="U1251" i="2" s="1"/>
  <c r="Q1252" i="2"/>
  <c r="S1252" i="2" s="1"/>
  <c r="T1252" i="2" s="1"/>
  <c r="U1252" i="2" s="1"/>
  <c r="Q1253" i="2"/>
  <c r="S1253" i="2" s="1"/>
  <c r="T1253" i="2" s="1"/>
  <c r="U1253" i="2" s="1"/>
  <c r="Q1254" i="2"/>
  <c r="S1254" i="2" s="1"/>
  <c r="T1254" i="2" s="1"/>
  <c r="U1254" i="2" s="1"/>
  <c r="Q1255" i="2"/>
  <c r="S1255" i="2" s="1"/>
  <c r="Q1256" i="2"/>
  <c r="S1256" i="2" s="1"/>
  <c r="T1256" i="2" s="1"/>
  <c r="U1256" i="2" s="1"/>
  <c r="Q1257" i="2"/>
  <c r="S1257" i="2" s="1"/>
  <c r="T1257" i="2" s="1"/>
  <c r="U1257" i="2" s="1"/>
  <c r="Q1258" i="2"/>
  <c r="S1258" i="2" s="1"/>
  <c r="Q1259" i="2"/>
  <c r="S1259" i="2" s="1"/>
  <c r="T1259" i="2" s="1"/>
  <c r="U1259" i="2" s="1"/>
  <c r="Q1260" i="2"/>
  <c r="S1260" i="2" s="1"/>
  <c r="Q1261" i="2"/>
  <c r="S1261" i="2" s="1"/>
  <c r="Q1262" i="2"/>
  <c r="S1262" i="2" s="1"/>
  <c r="Q1263" i="2"/>
  <c r="S1263" i="2" s="1"/>
  <c r="T1263" i="2" s="1"/>
  <c r="U1263" i="2" s="1"/>
  <c r="Q1264" i="2"/>
  <c r="S1264" i="2" s="1"/>
  <c r="T1264" i="2" s="1"/>
  <c r="U1264" i="2" s="1"/>
  <c r="Q1265" i="2"/>
  <c r="S1265" i="2" s="1"/>
  <c r="Q1266" i="2"/>
  <c r="S1266" i="2" s="1"/>
  <c r="Q1267" i="2"/>
  <c r="S1267" i="2" s="1"/>
  <c r="T1267" i="2" s="1"/>
  <c r="U1267" i="2" s="1"/>
  <c r="Q1268" i="2"/>
  <c r="S1268" i="2" s="1"/>
  <c r="T1268" i="2" s="1"/>
  <c r="U1268" i="2" s="1"/>
  <c r="Q1269" i="2"/>
  <c r="S1269" i="2" s="1"/>
  <c r="T1269" i="2" s="1"/>
  <c r="U1269" i="2" s="1"/>
  <c r="Q1270" i="2"/>
  <c r="S1270" i="2" s="1"/>
  <c r="Q1271" i="2"/>
  <c r="S1271" i="2" s="1"/>
  <c r="Q1272" i="2"/>
  <c r="S1272" i="2" s="1"/>
  <c r="T1272" i="2" s="1"/>
  <c r="U1272" i="2" s="1"/>
  <c r="Q1273" i="2"/>
  <c r="S1273" i="2" s="1"/>
  <c r="Q1274" i="2"/>
  <c r="S1274" i="2" s="1"/>
  <c r="T1274" i="2" s="1"/>
  <c r="U1274" i="2" s="1"/>
  <c r="Q1275" i="2"/>
  <c r="S1275" i="2" s="1"/>
  <c r="Q1276" i="2"/>
  <c r="S1276" i="2" s="1"/>
  <c r="Q1277" i="2"/>
  <c r="S1277" i="2" s="1"/>
  <c r="Q1278" i="2"/>
  <c r="S1278" i="2" s="1"/>
  <c r="T1278" i="2" s="1"/>
  <c r="U1278" i="2" s="1"/>
  <c r="Q1279" i="2"/>
  <c r="S1279" i="2" s="1"/>
  <c r="T1279" i="2" s="1"/>
  <c r="U1279" i="2" s="1"/>
  <c r="Q1280" i="2"/>
  <c r="S1280" i="2" s="1"/>
  <c r="T1280" i="2" s="1"/>
  <c r="U1280" i="2" s="1"/>
  <c r="Q1281" i="2"/>
  <c r="S1281" i="2" s="1"/>
  <c r="T1281" i="2" s="1"/>
  <c r="U1281" i="2" s="1"/>
  <c r="Q1282" i="2"/>
  <c r="S1282" i="2" s="1"/>
  <c r="Q1283" i="2"/>
  <c r="S1283" i="2" s="1"/>
  <c r="T1283" i="2" s="1"/>
  <c r="U1283" i="2" s="1"/>
  <c r="Q1284" i="2"/>
  <c r="S1284" i="2" s="1"/>
  <c r="T1284" i="2" s="1"/>
  <c r="U1284" i="2" s="1"/>
  <c r="Q1285" i="2"/>
  <c r="S1285" i="2" s="1"/>
  <c r="T1285" i="2" s="1"/>
  <c r="U1285" i="2" s="1"/>
  <c r="Q1286" i="2"/>
  <c r="S1286" i="2" s="1"/>
  <c r="T1286" i="2" s="1"/>
  <c r="U1286" i="2" s="1"/>
  <c r="Q1287" i="2"/>
  <c r="S1287" i="2" s="1"/>
  <c r="T1287" i="2" s="1"/>
  <c r="U1287" i="2" s="1"/>
  <c r="Q1288" i="2"/>
  <c r="S1288" i="2" s="1"/>
  <c r="T1288" i="2" s="1"/>
  <c r="U1288" i="2" s="1"/>
  <c r="Q1289" i="2"/>
  <c r="S1289" i="2" s="1"/>
  <c r="T1289" i="2" s="1"/>
  <c r="U1289" i="2" s="1"/>
  <c r="Q1290" i="2"/>
  <c r="S1290" i="2" s="1"/>
  <c r="T1290" i="2" s="1"/>
  <c r="U1290" i="2" s="1"/>
  <c r="Q1291" i="2"/>
  <c r="S1291" i="2" s="1"/>
  <c r="T1291" i="2" s="1"/>
  <c r="U1291" i="2" s="1"/>
  <c r="Q1292" i="2"/>
  <c r="S1292" i="2" s="1"/>
  <c r="T1292" i="2" s="1"/>
  <c r="U1292" i="2" s="1"/>
  <c r="Q1293" i="2"/>
  <c r="S1293" i="2" s="1"/>
  <c r="T1293" i="2" s="1"/>
  <c r="U1293" i="2" s="1"/>
  <c r="Q1294" i="2"/>
  <c r="S1294" i="2" s="1"/>
  <c r="T1294" i="2" s="1"/>
  <c r="U1294" i="2" s="1"/>
  <c r="Q1295" i="2"/>
  <c r="S1295" i="2" s="1"/>
  <c r="T1295" i="2" s="1"/>
  <c r="U1295" i="2" s="1"/>
  <c r="Q1296" i="2"/>
  <c r="S1296" i="2" s="1"/>
  <c r="T1296" i="2" s="1"/>
  <c r="U1296" i="2" s="1"/>
  <c r="Q1297" i="2"/>
  <c r="S1297" i="2" s="1"/>
  <c r="T1297" i="2" s="1"/>
  <c r="U1297" i="2" s="1"/>
  <c r="Q1298" i="2"/>
  <c r="S1298" i="2" s="1"/>
  <c r="Q1299" i="2"/>
  <c r="S1299" i="2" s="1"/>
  <c r="Q1300" i="2"/>
  <c r="S1300" i="2" s="1"/>
  <c r="T1300" i="2" s="1"/>
  <c r="U1300" i="2" s="1"/>
  <c r="Q1301" i="2"/>
  <c r="S1301" i="2" s="1"/>
  <c r="Q1302" i="2"/>
  <c r="S1302" i="2" s="1"/>
  <c r="T1302" i="2" s="1"/>
  <c r="U1302" i="2" s="1"/>
  <c r="Q1303" i="2"/>
  <c r="S1303" i="2" s="1"/>
  <c r="T1303" i="2" s="1"/>
  <c r="U1303" i="2" s="1"/>
  <c r="Q1304" i="2"/>
  <c r="S1304" i="2" s="1"/>
  <c r="T1304" i="2" s="1"/>
  <c r="U1304" i="2" s="1"/>
  <c r="Q1305" i="2"/>
  <c r="S1305" i="2" s="1"/>
  <c r="T1305" i="2" s="1"/>
  <c r="U1305" i="2" s="1"/>
  <c r="Q1306" i="2"/>
  <c r="S1306" i="2" s="1"/>
  <c r="Q1307" i="2"/>
  <c r="S1307" i="2" s="1"/>
  <c r="T1307" i="2" s="1"/>
  <c r="U1307" i="2" s="1"/>
  <c r="Q1308" i="2"/>
  <c r="S1308" i="2" s="1"/>
  <c r="Q1309" i="2"/>
  <c r="S1309" i="2" s="1"/>
  <c r="T1309" i="2" s="1"/>
  <c r="U1309" i="2" s="1"/>
  <c r="Q1310" i="2"/>
  <c r="S1310" i="2" s="1"/>
  <c r="Q1311" i="2"/>
  <c r="S1311" i="2" s="1"/>
  <c r="Q1312" i="2"/>
  <c r="S1312" i="2" s="1"/>
  <c r="Q1313" i="2"/>
  <c r="S1313" i="2" s="1"/>
  <c r="T1313" i="2" s="1"/>
  <c r="U1313" i="2" s="1"/>
  <c r="Q1314" i="2"/>
  <c r="S1314" i="2" s="1"/>
  <c r="T1314" i="2" s="1"/>
  <c r="U1314" i="2" s="1"/>
  <c r="Q1315" i="2"/>
  <c r="S1315" i="2" s="1"/>
  <c r="T1315" i="2" s="1"/>
  <c r="U1315" i="2" s="1"/>
  <c r="Q1316" i="2"/>
  <c r="S1316" i="2" s="1"/>
  <c r="Q1317" i="2"/>
  <c r="S1317" i="2" s="1"/>
  <c r="Q1318" i="2"/>
  <c r="S1318" i="2" s="1"/>
  <c r="Q1319" i="2"/>
  <c r="S1319" i="2" s="1"/>
  <c r="T1319" i="2" s="1"/>
  <c r="U1319" i="2" s="1"/>
  <c r="Q1320" i="2"/>
  <c r="S1320" i="2" s="1"/>
  <c r="T1320" i="2" s="1"/>
  <c r="U1320" i="2" s="1"/>
  <c r="Q1321" i="2"/>
  <c r="S1321" i="2" s="1"/>
  <c r="T1321" i="2" s="1"/>
  <c r="U1321" i="2" s="1"/>
  <c r="Q1322" i="2"/>
  <c r="S1322" i="2" s="1"/>
  <c r="Q1323" i="2"/>
  <c r="S1323" i="2" s="1"/>
  <c r="T1323" i="2" s="1"/>
  <c r="U1323" i="2" s="1"/>
  <c r="Q1324" i="2"/>
  <c r="S1324" i="2" s="1"/>
  <c r="T1324" i="2" s="1"/>
  <c r="U1324" i="2" s="1"/>
  <c r="Q1325" i="2"/>
  <c r="S1325" i="2" s="1"/>
  <c r="T1325" i="2" s="1"/>
  <c r="U1325" i="2" s="1"/>
  <c r="Q1326" i="2"/>
  <c r="S1326" i="2" s="1"/>
  <c r="Q1327" i="2"/>
  <c r="S1327" i="2" s="1"/>
  <c r="T1327" i="2" s="1"/>
  <c r="U1327" i="2" s="1"/>
  <c r="Q1328" i="2"/>
  <c r="S1328" i="2" s="1"/>
  <c r="T1328" i="2" s="1"/>
  <c r="U1328" i="2" s="1"/>
  <c r="Q1329" i="2"/>
  <c r="S1329" i="2" s="1"/>
  <c r="T1329" i="2" s="1"/>
  <c r="U1329" i="2" s="1"/>
  <c r="Q1330" i="2"/>
  <c r="S1330" i="2" s="1"/>
  <c r="T1330" i="2" s="1"/>
  <c r="U1330" i="2" s="1"/>
  <c r="Q1331" i="2"/>
  <c r="S1331" i="2" s="1"/>
  <c r="Q1332" i="2"/>
  <c r="S1332" i="2" s="1"/>
  <c r="T1332" i="2" s="1"/>
  <c r="U1332" i="2" s="1"/>
  <c r="Q1333" i="2"/>
  <c r="S1333" i="2" s="1"/>
  <c r="T1333" i="2" s="1"/>
  <c r="U1333" i="2" s="1"/>
  <c r="Q1334" i="2"/>
  <c r="S1334" i="2" s="1"/>
  <c r="Q1335" i="2"/>
  <c r="S1335" i="2" s="1"/>
  <c r="T1335" i="2" s="1"/>
  <c r="U1335" i="2" s="1"/>
  <c r="Q1336" i="2"/>
  <c r="S1336" i="2" s="1"/>
  <c r="T1336" i="2" s="1"/>
  <c r="U1336" i="2" s="1"/>
  <c r="Q1337" i="2"/>
  <c r="S1337" i="2" s="1"/>
  <c r="T1337" i="2" s="1"/>
  <c r="U1337" i="2" s="1"/>
  <c r="Q1338" i="2"/>
  <c r="S1338" i="2" s="1"/>
  <c r="T1338" i="2" s="1"/>
  <c r="U1338" i="2" s="1"/>
  <c r="Q1339" i="2"/>
  <c r="S1339" i="2" s="1"/>
  <c r="T1339" i="2" s="1"/>
  <c r="U1339" i="2" s="1"/>
  <c r="Q1340" i="2"/>
  <c r="S1340" i="2" s="1"/>
  <c r="T1340" i="2" s="1"/>
  <c r="U1340" i="2" s="1"/>
  <c r="Q1341" i="2"/>
  <c r="S1341" i="2" s="1"/>
  <c r="T1341" i="2" s="1"/>
  <c r="U1341" i="2" s="1"/>
  <c r="Q1342" i="2"/>
  <c r="S1342" i="2" s="1"/>
  <c r="Q1343" i="2"/>
  <c r="S1343" i="2" s="1"/>
  <c r="T1343" i="2" s="1"/>
  <c r="U1343" i="2" s="1"/>
  <c r="Q1344" i="2"/>
  <c r="S1344" i="2" s="1"/>
  <c r="T1344" i="2" s="1"/>
  <c r="U1344" i="2" s="1"/>
  <c r="Q1345" i="2"/>
  <c r="S1345" i="2" s="1"/>
  <c r="T1345" i="2" s="1"/>
  <c r="U1345" i="2" s="1"/>
  <c r="Q1346" i="2"/>
  <c r="S1346" i="2" s="1"/>
  <c r="T1346" i="2" s="1"/>
  <c r="U1346" i="2" s="1"/>
  <c r="Q1347" i="2"/>
  <c r="S1347" i="2" s="1"/>
  <c r="T1347" i="2" s="1"/>
  <c r="U1347" i="2" s="1"/>
  <c r="Q1348" i="2"/>
  <c r="S1348" i="2" s="1"/>
  <c r="T1348" i="2" s="1"/>
  <c r="U1348" i="2" s="1"/>
  <c r="Q1349" i="2"/>
  <c r="S1349" i="2" s="1"/>
  <c r="T1349" i="2" s="1"/>
  <c r="U1349" i="2" s="1"/>
  <c r="Q1350" i="2"/>
  <c r="S1350" i="2" s="1"/>
  <c r="T1350" i="2" s="1"/>
  <c r="U1350" i="2" s="1"/>
  <c r="Q1351" i="2"/>
  <c r="S1351" i="2" s="1"/>
  <c r="T1351" i="2" s="1"/>
  <c r="U1351" i="2" s="1"/>
  <c r="Q1352" i="2"/>
  <c r="S1352" i="2" s="1"/>
  <c r="T1352" i="2" s="1"/>
  <c r="U1352" i="2" s="1"/>
  <c r="Q1353" i="2"/>
  <c r="S1353" i="2" s="1"/>
  <c r="T1353" i="2" s="1"/>
  <c r="U1353" i="2" s="1"/>
  <c r="Q1354" i="2"/>
  <c r="S1354" i="2" s="1"/>
  <c r="T1354" i="2" s="1"/>
  <c r="U1354" i="2" s="1"/>
  <c r="Q1355" i="2"/>
  <c r="S1355" i="2" s="1"/>
  <c r="Q1356" i="2"/>
  <c r="S1356" i="2" s="1"/>
  <c r="T1356" i="2" s="1"/>
  <c r="U1356" i="2" s="1"/>
  <c r="Q1357" i="2"/>
  <c r="S1357" i="2" s="1"/>
  <c r="T1357" i="2" s="1"/>
  <c r="U1357" i="2" s="1"/>
  <c r="Q1358" i="2"/>
  <c r="S1358" i="2" s="1"/>
  <c r="Q1359" i="2"/>
  <c r="S1359" i="2" s="1"/>
  <c r="T1359" i="2" s="1"/>
  <c r="U1359" i="2" s="1"/>
  <c r="Q1360" i="2"/>
  <c r="S1360" i="2" s="1"/>
  <c r="T1360" i="2" s="1"/>
  <c r="U1360" i="2" s="1"/>
  <c r="Q1361" i="2"/>
  <c r="S1361" i="2" s="1"/>
  <c r="Q1362" i="2"/>
  <c r="S1362" i="2" s="1"/>
  <c r="T1362" i="2" s="1"/>
  <c r="U1362" i="2" s="1"/>
  <c r="Q1363" i="2"/>
  <c r="S1363" i="2" s="1"/>
  <c r="T1363" i="2" s="1"/>
  <c r="U1363" i="2" s="1"/>
  <c r="Q1364" i="2"/>
  <c r="S1364" i="2" s="1"/>
  <c r="T1364" i="2" s="1"/>
  <c r="U1364" i="2" s="1"/>
  <c r="Q1365" i="2"/>
  <c r="S1365" i="2" s="1"/>
  <c r="T1365" i="2" s="1"/>
  <c r="U1365" i="2" s="1"/>
  <c r="Q1366" i="2"/>
  <c r="S1366" i="2" s="1"/>
  <c r="T1366" i="2" s="1"/>
  <c r="U1366" i="2" s="1"/>
  <c r="Q1367" i="2"/>
  <c r="S1367" i="2" s="1"/>
  <c r="T1367" i="2" s="1"/>
  <c r="U1367" i="2" s="1"/>
  <c r="Q1368" i="2"/>
  <c r="S1368" i="2" s="1"/>
  <c r="Q1369" i="2"/>
  <c r="S1369" i="2" s="1"/>
  <c r="T1369" i="2" s="1"/>
  <c r="U1369" i="2" s="1"/>
  <c r="Q1370" i="2"/>
  <c r="S1370" i="2" s="1"/>
  <c r="Q1371" i="2"/>
  <c r="S1371" i="2" s="1"/>
  <c r="Q1372" i="2"/>
  <c r="S1372" i="2" s="1"/>
  <c r="Q1373" i="2"/>
  <c r="S1373" i="2" s="1"/>
  <c r="T1373" i="2" s="1"/>
  <c r="U1373" i="2" s="1"/>
  <c r="Q1374" i="2"/>
  <c r="S1374" i="2" s="1"/>
  <c r="T1374" i="2" s="1"/>
  <c r="U1374" i="2" s="1"/>
  <c r="Q1375" i="2"/>
  <c r="S1375" i="2" s="1"/>
  <c r="T1375" i="2" s="1"/>
  <c r="U1375" i="2" s="1"/>
  <c r="Q1376" i="2"/>
  <c r="S1376" i="2" s="1"/>
  <c r="T1376" i="2" s="1"/>
  <c r="U1376" i="2" s="1"/>
  <c r="Q1377" i="2"/>
  <c r="S1377" i="2" s="1"/>
  <c r="T1377" i="2" s="1"/>
  <c r="U1377" i="2" s="1"/>
  <c r="Q1378" i="2"/>
  <c r="S1378" i="2" s="1"/>
  <c r="T1378" i="2" s="1"/>
  <c r="U1378" i="2" s="1"/>
  <c r="Q1379" i="2"/>
  <c r="S1379" i="2" s="1"/>
  <c r="T1379" i="2" s="1"/>
  <c r="U1379" i="2" s="1"/>
  <c r="Q1380" i="2"/>
  <c r="S1380" i="2" s="1"/>
  <c r="Q1381" i="2"/>
  <c r="S1381" i="2" s="1"/>
  <c r="T1381" i="2" s="1"/>
  <c r="U1381" i="2" s="1"/>
  <c r="Q1382" i="2"/>
  <c r="S1382" i="2" s="1"/>
  <c r="Q1383" i="2"/>
  <c r="S1383" i="2" s="1"/>
  <c r="Q1384" i="2"/>
  <c r="S1384" i="2" s="1"/>
  <c r="T1384" i="2" s="1"/>
  <c r="U1384" i="2" s="1"/>
  <c r="Q1385" i="2"/>
  <c r="S1385" i="2" s="1"/>
  <c r="T1385" i="2" s="1"/>
  <c r="U1385" i="2" s="1"/>
  <c r="Q1386" i="2"/>
  <c r="S1386" i="2" s="1"/>
  <c r="T1386" i="2" s="1"/>
  <c r="U1386" i="2" s="1"/>
  <c r="Q1387" i="2"/>
  <c r="S1387" i="2" s="1"/>
  <c r="T1387" i="2" s="1"/>
  <c r="U1387" i="2" s="1"/>
  <c r="Q1388" i="2"/>
  <c r="S1388" i="2" s="1"/>
  <c r="Q1389" i="2"/>
  <c r="S1389" i="2" s="1"/>
  <c r="T1389" i="2" s="1"/>
  <c r="U1389" i="2" s="1"/>
  <c r="Q1390" i="2"/>
  <c r="S1390" i="2" s="1"/>
  <c r="Q1391" i="2"/>
  <c r="S1391" i="2" s="1"/>
  <c r="Q1392" i="2"/>
  <c r="S1392" i="2" s="1"/>
  <c r="T1392" i="2" s="1"/>
  <c r="U1392" i="2" s="1"/>
  <c r="Q1393" i="2"/>
  <c r="S1393" i="2" s="1"/>
  <c r="T1393" i="2" s="1"/>
  <c r="U1393" i="2" s="1"/>
  <c r="Q1394" i="2"/>
  <c r="S1394" i="2" s="1"/>
  <c r="T1394" i="2" s="1"/>
  <c r="U1394" i="2" s="1"/>
  <c r="Q1395" i="2"/>
  <c r="S1395" i="2" s="1"/>
  <c r="T1395" i="2" s="1"/>
  <c r="U1395" i="2" s="1"/>
  <c r="Q1396" i="2"/>
  <c r="S1396" i="2" s="1"/>
  <c r="T1396" i="2" s="1"/>
  <c r="U1396" i="2" s="1"/>
  <c r="Q1397" i="2"/>
  <c r="S1397" i="2" s="1"/>
  <c r="T1397" i="2" s="1"/>
  <c r="U1397" i="2" s="1"/>
  <c r="Q1398" i="2"/>
  <c r="S1398" i="2" s="1"/>
  <c r="T1398" i="2" s="1"/>
  <c r="U1398" i="2" s="1"/>
  <c r="Q1399" i="2"/>
  <c r="S1399" i="2" s="1"/>
  <c r="Q1400" i="2"/>
  <c r="S1400" i="2" s="1"/>
  <c r="T1400" i="2" s="1"/>
  <c r="U1400" i="2" s="1"/>
  <c r="Q1401" i="2"/>
  <c r="S1401" i="2" s="1"/>
  <c r="T1401" i="2" s="1"/>
  <c r="U1401" i="2" s="1"/>
  <c r="Q1402" i="2"/>
  <c r="S1402" i="2" s="1"/>
  <c r="T1402" i="2" s="1"/>
  <c r="U1402" i="2" s="1"/>
  <c r="Q1403" i="2"/>
  <c r="S1403" i="2" s="1"/>
  <c r="T1403" i="2" s="1"/>
  <c r="U1403" i="2" s="1"/>
  <c r="Q1404" i="2"/>
  <c r="S1404" i="2" s="1"/>
  <c r="T1404" i="2" s="1"/>
  <c r="U1404" i="2" s="1"/>
  <c r="Q1405" i="2"/>
  <c r="S1405" i="2" s="1"/>
  <c r="Q1406" i="2"/>
  <c r="S1406" i="2" s="1"/>
  <c r="T1406" i="2" s="1"/>
  <c r="U1406" i="2" s="1"/>
  <c r="Q1407" i="2"/>
  <c r="S1407" i="2" s="1"/>
  <c r="T1407" i="2" s="1"/>
  <c r="U1407" i="2" s="1"/>
  <c r="Q1408" i="2"/>
  <c r="S1408" i="2" s="1"/>
  <c r="T1408" i="2" s="1"/>
  <c r="U1408" i="2" s="1"/>
  <c r="Q1409" i="2"/>
  <c r="S1409" i="2" s="1"/>
  <c r="Q1410" i="2"/>
  <c r="S1410" i="2" s="1"/>
  <c r="T1410" i="2" s="1"/>
  <c r="U1410" i="2" s="1"/>
  <c r="Q1411" i="2"/>
  <c r="S1411" i="2" s="1"/>
  <c r="Q1412" i="2"/>
  <c r="S1412" i="2" s="1"/>
  <c r="Q1413" i="2"/>
  <c r="S1413" i="2" s="1"/>
  <c r="T1413" i="2" s="1"/>
  <c r="U1413" i="2" s="1"/>
  <c r="Q1414" i="2"/>
  <c r="S1414" i="2" s="1"/>
  <c r="T1414" i="2" s="1"/>
  <c r="U1414" i="2" s="1"/>
  <c r="Q1415" i="2"/>
  <c r="S1415" i="2" s="1"/>
  <c r="Q1416" i="2"/>
  <c r="S1416" i="2" s="1"/>
  <c r="Q1417" i="2"/>
  <c r="S1417" i="2" s="1"/>
  <c r="T1417" i="2" s="1"/>
  <c r="U1417" i="2" s="1"/>
  <c r="Q1418" i="2"/>
  <c r="S1418" i="2" s="1"/>
  <c r="Q1419" i="2"/>
  <c r="S1419" i="2" s="1"/>
  <c r="T1419" i="2" s="1"/>
  <c r="U1419" i="2" s="1"/>
  <c r="Q1420" i="2"/>
  <c r="S1420" i="2" s="1"/>
  <c r="Q1421" i="2"/>
  <c r="S1421" i="2" s="1"/>
  <c r="T1421" i="2" s="1"/>
  <c r="U1421" i="2" s="1"/>
  <c r="Q1422" i="2"/>
  <c r="S1422" i="2" s="1"/>
  <c r="T1422" i="2" s="1"/>
  <c r="U1422" i="2" s="1"/>
  <c r="Q1423" i="2"/>
  <c r="S1423" i="2" s="1"/>
  <c r="T1423" i="2" s="1"/>
  <c r="U1423" i="2" s="1"/>
  <c r="Q1424" i="2"/>
  <c r="S1424" i="2" s="1"/>
  <c r="T1424" i="2" s="1"/>
  <c r="U1424" i="2" s="1"/>
  <c r="Q1425" i="2"/>
  <c r="S1425" i="2" s="1"/>
  <c r="T1425" i="2" s="1"/>
  <c r="U1425" i="2" s="1"/>
  <c r="Q1426" i="2"/>
  <c r="S1426" i="2" s="1"/>
  <c r="T1426" i="2" s="1"/>
  <c r="U1426" i="2" s="1"/>
  <c r="Q1427" i="2"/>
  <c r="S1427" i="2" s="1"/>
  <c r="T1427" i="2" s="1"/>
  <c r="U1427" i="2" s="1"/>
  <c r="Q1428" i="2"/>
  <c r="S1428" i="2" s="1"/>
  <c r="T1428" i="2" s="1"/>
  <c r="U1428" i="2" s="1"/>
  <c r="Q1429" i="2"/>
  <c r="S1429" i="2" s="1"/>
  <c r="T1429" i="2" s="1"/>
  <c r="U1429" i="2" s="1"/>
  <c r="Q1430" i="2"/>
  <c r="S1430" i="2" s="1"/>
  <c r="T1430" i="2" s="1"/>
  <c r="U1430" i="2" s="1"/>
  <c r="Q1431" i="2"/>
  <c r="S1431" i="2" s="1"/>
  <c r="T1431" i="2" s="1"/>
  <c r="U1431" i="2" s="1"/>
  <c r="Q1432" i="2"/>
  <c r="S1432" i="2" s="1"/>
  <c r="T1432" i="2" s="1"/>
  <c r="U1432" i="2" s="1"/>
  <c r="Q1433" i="2"/>
  <c r="S1433" i="2" s="1"/>
  <c r="T1433" i="2" s="1"/>
  <c r="U1433" i="2" s="1"/>
  <c r="Q1434" i="2"/>
  <c r="S1434" i="2" s="1"/>
  <c r="T1434" i="2" s="1"/>
  <c r="U1434" i="2" s="1"/>
  <c r="Q1435" i="2"/>
  <c r="S1435" i="2" s="1"/>
  <c r="T1435" i="2" s="1"/>
  <c r="U1435" i="2" s="1"/>
  <c r="Q1436" i="2"/>
  <c r="S1436" i="2" s="1"/>
  <c r="T1436" i="2" s="1"/>
  <c r="U1436" i="2" s="1"/>
  <c r="Q1437" i="2"/>
  <c r="S1437" i="2" s="1"/>
  <c r="T1437" i="2" s="1"/>
  <c r="U1437" i="2" s="1"/>
  <c r="Q1438" i="2"/>
  <c r="S1438" i="2" s="1"/>
  <c r="Q1439" i="2"/>
  <c r="S1439" i="2" s="1"/>
  <c r="Q1440" i="2"/>
  <c r="S1440" i="2" s="1"/>
  <c r="T1440" i="2" s="1"/>
  <c r="U1440" i="2" s="1"/>
  <c r="Q1441" i="2"/>
  <c r="S1441" i="2" s="1"/>
  <c r="T1441" i="2" s="1"/>
  <c r="U1441" i="2" s="1"/>
  <c r="Q1442" i="2"/>
  <c r="S1442" i="2" s="1"/>
  <c r="T1442" i="2" s="1"/>
  <c r="U1442" i="2" s="1"/>
  <c r="Q1443" i="2"/>
  <c r="S1443" i="2" s="1"/>
  <c r="Q1444" i="2"/>
  <c r="S1444" i="2" s="1"/>
  <c r="T1444" i="2" s="1"/>
  <c r="U1444" i="2" s="1"/>
  <c r="Q1445" i="2"/>
  <c r="S1445" i="2" s="1"/>
  <c r="T1445" i="2" s="1"/>
  <c r="U1445" i="2" s="1"/>
  <c r="Q1446" i="2"/>
  <c r="S1446" i="2" s="1"/>
  <c r="T1446" i="2" s="1"/>
  <c r="U1446" i="2" s="1"/>
  <c r="Q1447" i="2"/>
  <c r="S1447" i="2" s="1"/>
  <c r="T1447" i="2" s="1"/>
  <c r="U1447" i="2" s="1"/>
  <c r="Q1448" i="2"/>
  <c r="S1448" i="2" s="1"/>
  <c r="T1448" i="2" s="1"/>
  <c r="U1448" i="2" s="1"/>
  <c r="Q1449" i="2"/>
  <c r="S1449" i="2" s="1"/>
  <c r="T1449" i="2" s="1"/>
  <c r="U1449" i="2" s="1"/>
  <c r="Q1450" i="2"/>
  <c r="S1450" i="2" s="1"/>
  <c r="Q1451" i="2"/>
  <c r="S1451" i="2" s="1"/>
  <c r="T1451" i="2" s="1"/>
  <c r="U1451" i="2" s="1"/>
  <c r="Q1452" i="2"/>
  <c r="S1452" i="2" s="1"/>
  <c r="Q1453" i="2"/>
  <c r="S1453" i="2" s="1"/>
  <c r="T1453" i="2" s="1"/>
  <c r="U1453" i="2" s="1"/>
  <c r="Q1454" i="2"/>
  <c r="S1454" i="2" s="1"/>
  <c r="T1454" i="2" s="1"/>
  <c r="U1454" i="2" s="1"/>
  <c r="Q1455" i="2"/>
  <c r="S1455" i="2" s="1"/>
  <c r="Q1456" i="2"/>
  <c r="S1456" i="2" s="1"/>
  <c r="T1456" i="2" s="1"/>
  <c r="U1456" i="2" s="1"/>
  <c r="Q1457" i="2"/>
  <c r="S1457" i="2" s="1"/>
  <c r="T1457" i="2" s="1"/>
  <c r="U1457" i="2" s="1"/>
  <c r="Q1458" i="2"/>
  <c r="S1458" i="2" s="1"/>
  <c r="T1458" i="2" s="1"/>
  <c r="U1458" i="2" s="1"/>
  <c r="Q1459" i="2"/>
  <c r="S1459" i="2" s="1"/>
  <c r="Q1460" i="2"/>
  <c r="S1460" i="2" s="1"/>
  <c r="Q1461" i="2"/>
  <c r="S1461" i="2" s="1"/>
  <c r="T1461" i="2" s="1"/>
  <c r="U1461" i="2" s="1"/>
  <c r="Q1462" i="2"/>
  <c r="S1462" i="2" s="1"/>
  <c r="T1462" i="2" s="1"/>
  <c r="U1462" i="2" s="1"/>
  <c r="Q1463" i="2"/>
  <c r="S1463" i="2" s="1"/>
  <c r="T1463" i="2" s="1"/>
  <c r="U1463" i="2" s="1"/>
  <c r="Q1464" i="2"/>
  <c r="S1464" i="2" s="1"/>
  <c r="T1464" i="2" s="1"/>
  <c r="U1464" i="2" s="1"/>
  <c r="Q1465" i="2"/>
  <c r="S1465" i="2" s="1"/>
  <c r="T1465" i="2" s="1"/>
  <c r="U1465" i="2" s="1"/>
  <c r="Q1466" i="2"/>
  <c r="S1466" i="2" s="1"/>
  <c r="T1466" i="2" s="1"/>
  <c r="U1466" i="2" s="1"/>
  <c r="Q1467" i="2"/>
  <c r="S1467" i="2" s="1"/>
  <c r="Q1468" i="2"/>
  <c r="S1468" i="2" s="1"/>
  <c r="T1468" i="2" s="1"/>
  <c r="U1468" i="2" s="1"/>
  <c r="Q1469" i="2"/>
  <c r="S1469" i="2" s="1"/>
  <c r="Q1470" i="2"/>
  <c r="S1470" i="2" s="1"/>
  <c r="T1470" i="2" s="1"/>
  <c r="U1470" i="2" s="1"/>
  <c r="Q1471" i="2"/>
  <c r="S1471" i="2" s="1"/>
  <c r="Q1472" i="2"/>
  <c r="S1472" i="2" s="1"/>
  <c r="Q1473" i="2"/>
  <c r="S1473" i="2" s="1"/>
  <c r="Q1474" i="2"/>
  <c r="S1474" i="2" s="1"/>
  <c r="T1474" i="2" s="1"/>
  <c r="U1474" i="2" s="1"/>
  <c r="Q1475" i="2"/>
  <c r="S1475" i="2" s="1"/>
  <c r="Q1476" i="2"/>
  <c r="S1476" i="2" s="1"/>
  <c r="T1476" i="2" s="1"/>
  <c r="U1476" i="2" s="1"/>
  <c r="Q1477" i="2"/>
  <c r="S1477" i="2" s="1"/>
  <c r="T1477" i="2" s="1"/>
  <c r="U1477" i="2" s="1"/>
  <c r="Q1478" i="2"/>
  <c r="S1478" i="2" s="1"/>
  <c r="Q1479" i="2"/>
  <c r="S1479" i="2" s="1"/>
  <c r="Q1480" i="2"/>
  <c r="S1480" i="2" s="1"/>
  <c r="Q1481" i="2"/>
  <c r="S1481" i="2" s="1"/>
  <c r="Q1482" i="2"/>
  <c r="S1482" i="2" s="1"/>
  <c r="T1482" i="2" s="1"/>
  <c r="U1482" i="2" s="1"/>
  <c r="Q1483" i="2"/>
  <c r="S1483" i="2" s="1"/>
  <c r="T1483" i="2" s="1"/>
  <c r="U1483" i="2" s="1"/>
  <c r="Q1484" i="2"/>
  <c r="S1484" i="2" s="1"/>
  <c r="Q1485" i="2"/>
  <c r="S1485" i="2" s="1"/>
  <c r="T1485" i="2" s="1"/>
  <c r="U1485" i="2" s="1"/>
  <c r="Q1486" i="2"/>
  <c r="S1486" i="2" s="1"/>
  <c r="T1486" i="2" s="1"/>
  <c r="U1486" i="2" s="1"/>
  <c r="Q1487" i="2"/>
  <c r="S1487" i="2" s="1"/>
  <c r="T1487" i="2" s="1"/>
  <c r="U1487" i="2" s="1"/>
  <c r="Q1488" i="2"/>
  <c r="S1488" i="2" s="1"/>
  <c r="T1488" i="2" s="1"/>
  <c r="U1488" i="2" s="1"/>
  <c r="Q1489" i="2"/>
  <c r="S1489" i="2" s="1"/>
  <c r="T1489" i="2" s="1"/>
  <c r="U1489" i="2" s="1"/>
  <c r="Q1490" i="2"/>
  <c r="S1490" i="2" s="1"/>
  <c r="T1490" i="2" s="1"/>
  <c r="U1490" i="2" s="1"/>
  <c r="Q1491" i="2"/>
  <c r="S1491" i="2" s="1"/>
  <c r="Q1492" i="2"/>
  <c r="S1492" i="2" s="1"/>
  <c r="Q1493" i="2"/>
  <c r="S1493" i="2" s="1"/>
  <c r="Q1494" i="2"/>
  <c r="S1494" i="2" s="1"/>
  <c r="T1494" i="2" s="1"/>
  <c r="U1494" i="2" s="1"/>
  <c r="Q1495" i="2"/>
  <c r="S1495" i="2" s="1"/>
  <c r="T1495" i="2" s="1"/>
  <c r="U1495" i="2" s="1"/>
  <c r="Q1496" i="2"/>
  <c r="S1496" i="2" s="1"/>
  <c r="T1496" i="2" s="1"/>
  <c r="U1496" i="2" s="1"/>
  <c r="Q1497" i="2"/>
  <c r="S1497" i="2" s="1"/>
  <c r="Q1498" i="2"/>
  <c r="S1498" i="2" s="1"/>
  <c r="Q1499" i="2"/>
  <c r="S1499" i="2" s="1"/>
  <c r="T1499" i="2" s="1"/>
  <c r="U1499" i="2" s="1"/>
  <c r="Q1500" i="2"/>
  <c r="S1500" i="2" s="1"/>
  <c r="Q1501" i="2"/>
  <c r="S1501" i="2" s="1"/>
  <c r="T1501" i="2" s="1"/>
  <c r="U1501" i="2" s="1"/>
  <c r="Q1502" i="2"/>
  <c r="S1502" i="2" s="1"/>
  <c r="Q1503" i="2"/>
  <c r="S1503" i="2" s="1"/>
  <c r="T1503" i="2" s="1"/>
  <c r="U1503" i="2" s="1"/>
  <c r="Q1504" i="2"/>
  <c r="S1504" i="2" s="1"/>
  <c r="T1504" i="2" s="1"/>
  <c r="U1504" i="2" s="1"/>
  <c r="Q1505" i="2"/>
  <c r="S1505" i="2" s="1"/>
  <c r="T1505" i="2" s="1"/>
  <c r="U1505" i="2" s="1"/>
  <c r="Q1506" i="2"/>
  <c r="S1506" i="2" s="1"/>
  <c r="T1506" i="2" s="1"/>
  <c r="U1506" i="2" s="1"/>
  <c r="Q1507" i="2"/>
  <c r="S1507" i="2" s="1"/>
  <c r="Q1508" i="2"/>
  <c r="S1508" i="2" s="1"/>
  <c r="T1508" i="2" s="1"/>
  <c r="U1508" i="2" s="1"/>
  <c r="Q1509" i="2"/>
  <c r="S1509" i="2" s="1"/>
  <c r="T1509" i="2" s="1"/>
  <c r="U1509" i="2" s="1"/>
  <c r="Q1510" i="2"/>
  <c r="S1510" i="2" s="1"/>
  <c r="T1510" i="2" s="1"/>
  <c r="U1510" i="2" s="1"/>
  <c r="Q1511" i="2"/>
  <c r="S1511" i="2" s="1"/>
  <c r="T1511" i="2" s="1"/>
  <c r="U1511" i="2" s="1"/>
  <c r="Q1512" i="2"/>
  <c r="S1512" i="2" s="1"/>
  <c r="Q1513" i="2"/>
  <c r="S1513" i="2" s="1"/>
  <c r="T1513" i="2" s="1"/>
  <c r="U1513" i="2" s="1"/>
  <c r="Q1514" i="2"/>
  <c r="S1514" i="2" s="1"/>
  <c r="T1514" i="2" s="1"/>
  <c r="U1514" i="2" s="1"/>
  <c r="Q1515" i="2"/>
  <c r="S1515" i="2" s="1"/>
  <c r="T1515" i="2" s="1"/>
  <c r="U1515" i="2" s="1"/>
  <c r="Q1516" i="2"/>
  <c r="S1516" i="2" s="1"/>
  <c r="T1516" i="2" s="1"/>
  <c r="U1516" i="2" s="1"/>
  <c r="Q1517" i="2"/>
  <c r="S1517" i="2" s="1"/>
  <c r="T1517" i="2" s="1"/>
  <c r="U1517" i="2" s="1"/>
  <c r="Q1518" i="2"/>
  <c r="S1518" i="2" s="1"/>
  <c r="T1518" i="2" s="1"/>
  <c r="U1518" i="2" s="1"/>
  <c r="Q1519" i="2"/>
  <c r="S1519" i="2" s="1"/>
  <c r="T1519" i="2" s="1"/>
  <c r="U1519" i="2" s="1"/>
  <c r="Q1520" i="2"/>
  <c r="S1520" i="2" s="1"/>
  <c r="T1520" i="2" s="1"/>
  <c r="U1520" i="2" s="1"/>
  <c r="Q1521" i="2"/>
  <c r="S1521" i="2" s="1"/>
  <c r="Q1522" i="2"/>
  <c r="S1522" i="2" s="1"/>
  <c r="T1522" i="2" s="1"/>
  <c r="U1522" i="2" s="1"/>
  <c r="Q1523" i="2"/>
  <c r="S1523" i="2" s="1"/>
  <c r="T1523" i="2" s="1"/>
  <c r="U1523" i="2" s="1"/>
  <c r="Q1524" i="2"/>
  <c r="S1524" i="2" s="1"/>
  <c r="T1524" i="2" s="1"/>
  <c r="U1524" i="2" s="1"/>
  <c r="Q1525" i="2"/>
  <c r="S1525" i="2" s="1"/>
  <c r="T1525" i="2" s="1"/>
  <c r="U1525" i="2" s="1"/>
  <c r="Q1526" i="2"/>
  <c r="S1526" i="2" s="1"/>
  <c r="T1526" i="2" s="1"/>
  <c r="U1526" i="2" s="1"/>
  <c r="Q1527" i="2"/>
  <c r="S1527" i="2" s="1"/>
  <c r="T1527" i="2" s="1"/>
  <c r="U1527" i="2" s="1"/>
  <c r="Q1528" i="2"/>
  <c r="S1528" i="2" s="1"/>
  <c r="T1528" i="2" s="1"/>
  <c r="U1528" i="2" s="1"/>
  <c r="Q1529" i="2"/>
  <c r="S1529" i="2" s="1"/>
  <c r="T1529" i="2" s="1"/>
  <c r="U1529" i="2" s="1"/>
  <c r="Q1530" i="2"/>
  <c r="S1530" i="2" s="1"/>
  <c r="T1530" i="2" s="1"/>
  <c r="U1530" i="2" s="1"/>
  <c r="Q1531" i="2"/>
  <c r="S1531" i="2" s="1"/>
  <c r="T1531" i="2" s="1"/>
  <c r="U1531" i="2" s="1"/>
  <c r="Q1532" i="2"/>
  <c r="S1532" i="2" s="1"/>
  <c r="T1532" i="2" s="1"/>
  <c r="U1532" i="2" s="1"/>
  <c r="Q1533" i="2"/>
  <c r="S1533" i="2" s="1"/>
  <c r="T1533" i="2" s="1"/>
  <c r="U1533" i="2" s="1"/>
  <c r="Q1534" i="2"/>
  <c r="S1534" i="2" s="1"/>
  <c r="T1534" i="2" s="1"/>
  <c r="U1534" i="2" s="1"/>
  <c r="Q1535" i="2"/>
  <c r="S1535" i="2" s="1"/>
  <c r="Q1536" i="2"/>
  <c r="S1536" i="2" s="1"/>
  <c r="Q1537" i="2"/>
  <c r="S1537" i="2" s="1"/>
  <c r="T1537" i="2" s="1"/>
  <c r="U1537" i="2" s="1"/>
  <c r="Q1538" i="2"/>
  <c r="S1538" i="2" s="1"/>
  <c r="T1538" i="2" s="1"/>
  <c r="U1538" i="2" s="1"/>
  <c r="Q1539" i="2"/>
  <c r="S1539" i="2" s="1"/>
  <c r="T1539" i="2" s="1"/>
  <c r="U1539" i="2" s="1"/>
  <c r="Q1540" i="2"/>
  <c r="S1540" i="2" s="1"/>
  <c r="T1540" i="2" s="1"/>
  <c r="U1540" i="2" s="1"/>
  <c r="Q1541" i="2"/>
  <c r="S1541" i="2" s="1"/>
  <c r="T1541" i="2" s="1"/>
  <c r="U1541" i="2" s="1"/>
  <c r="Q1542" i="2"/>
  <c r="S1542" i="2" s="1"/>
  <c r="Q1543" i="2"/>
  <c r="S1543" i="2" s="1"/>
  <c r="T1543" i="2" s="1"/>
  <c r="U1543" i="2" s="1"/>
  <c r="Q1544" i="2"/>
  <c r="S1544" i="2" s="1"/>
  <c r="T1544" i="2" s="1"/>
  <c r="U1544" i="2" s="1"/>
  <c r="Q1545" i="2"/>
  <c r="S1545" i="2" s="1"/>
  <c r="Q1546" i="2"/>
  <c r="S1546" i="2" s="1"/>
  <c r="Q1547" i="2"/>
  <c r="S1547" i="2" s="1"/>
  <c r="Q1548" i="2"/>
  <c r="S1548" i="2" s="1"/>
  <c r="T1548" i="2" s="1"/>
  <c r="U1548" i="2" s="1"/>
  <c r="Q1549" i="2"/>
  <c r="S1549" i="2" s="1"/>
  <c r="T1549" i="2" s="1"/>
  <c r="U1549" i="2" s="1"/>
  <c r="Q1550" i="2"/>
  <c r="S1550" i="2" s="1"/>
  <c r="T1550" i="2" s="1"/>
  <c r="U1550" i="2" s="1"/>
  <c r="Q1551" i="2"/>
  <c r="S1551" i="2" s="1"/>
  <c r="T1551" i="2" s="1"/>
  <c r="U1551" i="2" s="1"/>
  <c r="Q1552" i="2"/>
  <c r="S1552" i="2" s="1"/>
  <c r="Q1553" i="2"/>
  <c r="S1553" i="2" s="1"/>
  <c r="Q1554" i="2"/>
  <c r="S1554" i="2" s="1"/>
  <c r="T1554" i="2" s="1"/>
  <c r="U1554" i="2" s="1"/>
  <c r="Q1555" i="2"/>
  <c r="S1555" i="2" s="1"/>
  <c r="T1555" i="2" s="1"/>
  <c r="U1555" i="2" s="1"/>
  <c r="Q1556" i="2"/>
  <c r="S1556" i="2" s="1"/>
  <c r="Q1557" i="2"/>
  <c r="S1557" i="2" s="1"/>
  <c r="T1557" i="2" s="1"/>
  <c r="U1557" i="2" s="1"/>
  <c r="Q1558" i="2"/>
  <c r="S1558" i="2" s="1"/>
  <c r="T1558" i="2" s="1"/>
  <c r="U1558" i="2" s="1"/>
  <c r="Q1559" i="2"/>
  <c r="S1559" i="2" s="1"/>
  <c r="T1559" i="2" s="1"/>
  <c r="U1559" i="2" s="1"/>
  <c r="Q1560" i="2"/>
  <c r="S1560" i="2" s="1"/>
  <c r="T1560" i="2" s="1"/>
  <c r="U1560" i="2" s="1"/>
  <c r="Q1561" i="2"/>
  <c r="S1561" i="2" s="1"/>
  <c r="T1561" i="2" s="1"/>
  <c r="U1561" i="2" s="1"/>
  <c r="Q1562" i="2"/>
  <c r="S1562" i="2" s="1"/>
  <c r="T1562" i="2" s="1"/>
  <c r="U1562" i="2" s="1"/>
  <c r="Q1563" i="2"/>
  <c r="S1563" i="2" s="1"/>
  <c r="T1563" i="2" s="1"/>
  <c r="U1563" i="2" s="1"/>
  <c r="Q1564" i="2"/>
  <c r="S1564" i="2" s="1"/>
  <c r="T1564" i="2" s="1"/>
  <c r="U1564" i="2" s="1"/>
  <c r="Q1565" i="2"/>
  <c r="S1565" i="2" s="1"/>
  <c r="Q1566" i="2"/>
  <c r="S1566" i="2" s="1"/>
  <c r="T1566" i="2" s="1"/>
  <c r="U1566" i="2" s="1"/>
  <c r="Q1567" i="2"/>
  <c r="S1567" i="2" s="1"/>
  <c r="T1567" i="2" s="1"/>
  <c r="U1567" i="2" s="1"/>
  <c r="Q1568" i="2"/>
  <c r="S1568" i="2" s="1"/>
  <c r="T1568" i="2" s="1"/>
  <c r="U1568" i="2" s="1"/>
  <c r="Q1569" i="2"/>
  <c r="S1569" i="2" s="1"/>
  <c r="T1569" i="2" s="1"/>
  <c r="U1569" i="2" s="1"/>
  <c r="Q1570" i="2"/>
  <c r="S1570" i="2" s="1"/>
  <c r="Q1571" i="2"/>
  <c r="S1571" i="2" s="1"/>
  <c r="T1571" i="2" s="1"/>
  <c r="U1571" i="2" s="1"/>
  <c r="Q1572" i="2"/>
  <c r="S1572" i="2" s="1"/>
  <c r="Q1573" i="2"/>
  <c r="S1573" i="2" s="1"/>
  <c r="T1573" i="2" s="1"/>
  <c r="U1573" i="2" s="1"/>
  <c r="Q1574" i="2"/>
  <c r="S1574" i="2" s="1"/>
  <c r="T1574" i="2" s="1"/>
  <c r="U1574" i="2" s="1"/>
  <c r="Q1575" i="2"/>
  <c r="S1575" i="2" s="1"/>
  <c r="T1575" i="2" s="1"/>
  <c r="U1575" i="2" s="1"/>
  <c r="Q1576" i="2"/>
  <c r="S1576" i="2" s="1"/>
  <c r="T1576" i="2" s="1"/>
  <c r="U1576" i="2" s="1"/>
  <c r="Q1577" i="2"/>
  <c r="S1577" i="2" s="1"/>
  <c r="T1577" i="2" s="1"/>
  <c r="U1577" i="2" s="1"/>
  <c r="Q1578" i="2"/>
  <c r="S1578" i="2" s="1"/>
  <c r="T1578" i="2" s="1"/>
  <c r="U1578" i="2" s="1"/>
  <c r="Q1579" i="2"/>
  <c r="S1579" i="2" s="1"/>
  <c r="Q1580" i="2"/>
  <c r="S1580" i="2" s="1"/>
  <c r="Q1581" i="2"/>
  <c r="S1581" i="2" s="1"/>
  <c r="T1581" i="2" s="1"/>
  <c r="U1581" i="2" s="1"/>
  <c r="Q1582" i="2"/>
  <c r="S1582" i="2" s="1"/>
  <c r="T1582" i="2" s="1"/>
  <c r="U1582" i="2" s="1"/>
  <c r="Q1583" i="2"/>
  <c r="S1583" i="2" s="1"/>
  <c r="Q1584" i="2"/>
  <c r="S1584" i="2" s="1"/>
  <c r="Q1585" i="2"/>
  <c r="S1585" i="2" s="1"/>
  <c r="T1585" i="2" s="1"/>
  <c r="U1585" i="2" s="1"/>
  <c r="Q1586" i="2"/>
  <c r="S1586" i="2" s="1"/>
  <c r="T1586" i="2" s="1"/>
  <c r="U1586" i="2" s="1"/>
  <c r="Q1587" i="2"/>
  <c r="S1587" i="2" s="1"/>
  <c r="Q1588" i="2"/>
  <c r="S1588" i="2" s="1"/>
  <c r="Q1589" i="2"/>
  <c r="S1589" i="2" s="1"/>
  <c r="T1589" i="2" s="1"/>
  <c r="U1589" i="2" s="1"/>
  <c r="Q1590" i="2"/>
  <c r="S1590" i="2" s="1"/>
  <c r="T1590" i="2" s="1"/>
  <c r="U1590" i="2" s="1"/>
  <c r="Q1591" i="2"/>
  <c r="S1591" i="2" s="1"/>
  <c r="T1591" i="2" s="1"/>
  <c r="U1591" i="2" s="1"/>
  <c r="Q1592" i="2"/>
  <c r="S1592" i="2" s="1"/>
  <c r="T1592" i="2" s="1"/>
  <c r="U1592" i="2" s="1"/>
  <c r="Q1593" i="2"/>
  <c r="S1593" i="2" s="1"/>
  <c r="Q1594" i="2"/>
  <c r="S1594" i="2" s="1"/>
  <c r="Q1595" i="2"/>
  <c r="S1595" i="2" s="1"/>
  <c r="Q1596" i="2"/>
  <c r="S1596" i="2" s="1"/>
  <c r="T1596" i="2" s="1"/>
  <c r="U1596" i="2" s="1"/>
  <c r="Q1597" i="2"/>
  <c r="S1597" i="2" s="1"/>
  <c r="T1597" i="2" s="1"/>
  <c r="U1597" i="2" s="1"/>
  <c r="Q1598" i="2"/>
  <c r="S1598" i="2" s="1"/>
  <c r="T1598" i="2" s="1"/>
  <c r="U1598" i="2" s="1"/>
  <c r="Q1599" i="2"/>
  <c r="S1599" i="2" s="1"/>
  <c r="T1599" i="2" s="1"/>
  <c r="U1599" i="2" s="1"/>
  <c r="Q1600" i="2"/>
  <c r="S1600" i="2" s="1"/>
  <c r="Q1601" i="2"/>
  <c r="S1601" i="2" s="1"/>
  <c r="T1601" i="2" s="1"/>
  <c r="U1601" i="2" s="1"/>
  <c r="Q1602" i="2"/>
  <c r="S1602" i="2" s="1"/>
  <c r="T1602" i="2" s="1"/>
  <c r="U1602" i="2" s="1"/>
  <c r="Q1603" i="2"/>
  <c r="S1603" i="2" s="1"/>
  <c r="T1603" i="2" s="1"/>
  <c r="U1603" i="2" s="1"/>
  <c r="Q1604" i="2"/>
  <c r="S1604" i="2" s="1"/>
  <c r="T1604" i="2" s="1"/>
  <c r="U1604" i="2" s="1"/>
  <c r="Q1605" i="2"/>
  <c r="S1605" i="2" s="1"/>
  <c r="T1605" i="2" s="1"/>
  <c r="U1605" i="2" s="1"/>
  <c r="Q1606" i="2"/>
  <c r="S1606" i="2" s="1"/>
  <c r="T1606" i="2" s="1"/>
  <c r="U1606" i="2" s="1"/>
  <c r="Q1607" i="2"/>
  <c r="S1607" i="2" s="1"/>
  <c r="T1607" i="2" s="1"/>
  <c r="U1607" i="2" s="1"/>
  <c r="Q1608" i="2"/>
  <c r="S1608" i="2" s="1"/>
  <c r="T1608" i="2" s="1"/>
  <c r="U1608" i="2" s="1"/>
  <c r="Q1609" i="2"/>
  <c r="S1609" i="2" s="1"/>
  <c r="T1609" i="2" s="1"/>
  <c r="U1609" i="2" s="1"/>
  <c r="Q1610" i="2"/>
  <c r="S1610" i="2" s="1"/>
  <c r="T1610" i="2" s="1"/>
  <c r="U1610" i="2" s="1"/>
  <c r="Q1611" i="2"/>
  <c r="S1611" i="2" s="1"/>
  <c r="T1611" i="2" s="1"/>
  <c r="U1611" i="2" s="1"/>
  <c r="Q1612" i="2"/>
  <c r="S1612" i="2" s="1"/>
  <c r="Q1613" i="2"/>
  <c r="S1613" i="2" s="1"/>
  <c r="Q1614" i="2"/>
  <c r="S1614" i="2" s="1"/>
  <c r="T1614" i="2" s="1"/>
  <c r="U1614" i="2" s="1"/>
  <c r="Q1615" i="2"/>
  <c r="S1615" i="2" s="1"/>
  <c r="T1615" i="2" s="1"/>
  <c r="U1615" i="2" s="1"/>
  <c r="Q1616" i="2"/>
  <c r="S1616" i="2" s="1"/>
  <c r="Q1617" i="2"/>
  <c r="S1617" i="2" s="1"/>
  <c r="T1617" i="2" s="1"/>
  <c r="U1617" i="2" s="1"/>
  <c r="Q1618" i="2"/>
  <c r="S1618" i="2" s="1"/>
  <c r="T1618" i="2" s="1"/>
  <c r="U1618" i="2" s="1"/>
  <c r="Q1619" i="2"/>
  <c r="S1619" i="2" s="1"/>
  <c r="T1619" i="2" s="1"/>
  <c r="U1619" i="2" s="1"/>
  <c r="Q1620" i="2"/>
  <c r="S1620" i="2" s="1"/>
  <c r="Q1621" i="2"/>
  <c r="S1621" i="2" s="1"/>
  <c r="T1621" i="2" s="1"/>
  <c r="U1621" i="2" s="1"/>
  <c r="Q1622" i="2"/>
  <c r="S1622" i="2" s="1"/>
  <c r="T1622" i="2" s="1"/>
  <c r="U1622" i="2" s="1"/>
  <c r="Q1623" i="2"/>
  <c r="S1623" i="2" s="1"/>
  <c r="T1623" i="2" s="1"/>
  <c r="U1623" i="2" s="1"/>
  <c r="Q1624" i="2"/>
  <c r="S1624" i="2" s="1"/>
  <c r="T1624" i="2" s="1"/>
  <c r="U1624" i="2" s="1"/>
  <c r="Q1625" i="2"/>
  <c r="S1625" i="2" s="1"/>
  <c r="T1625" i="2" s="1"/>
  <c r="U1625" i="2" s="1"/>
  <c r="Q1626" i="2"/>
  <c r="S1626" i="2" s="1"/>
  <c r="Q1627" i="2"/>
  <c r="S1627" i="2" s="1"/>
  <c r="Q1628" i="2"/>
  <c r="S1628" i="2" s="1"/>
  <c r="Q1629" i="2"/>
  <c r="S1629" i="2" s="1"/>
  <c r="T1629" i="2" s="1"/>
  <c r="U1629" i="2" s="1"/>
  <c r="Q1630" i="2"/>
  <c r="S1630" i="2" s="1"/>
  <c r="Q1631" i="2"/>
  <c r="S1631" i="2" s="1"/>
  <c r="T1631" i="2" s="1"/>
  <c r="U1631" i="2" s="1"/>
  <c r="Q1632" i="2"/>
  <c r="S1632" i="2" s="1"/>
  <c r="T1632" i="2" s="1"/>
  <c r="U1632" i="2" s="1"/>
  <c r="Q1633" i="2"/>
  <c r="S1633" i="2" s="1"/>
  <c r="T1633" i="2" s="1"/>
  <c r="U1633" i="2" s="1"/>
  <c r="Q1634" i="2"/>
  <c r="S1634" i="2" s="1"/>
  <c r="T1634" i="2" s="1"/>
  <c r="U1634" i="2" s="1"/>
  <c r="Q1635" i="2"/>
  <c r="S1635" i="2" s="1"/>
  <c r="T1635" i="2" s="1"/>
  <c r="U1635" i="2" s="1"/>
  <c r="Q1636" i="2"/>
  <c r="S1636" i="2" s="1"/>
  <c r="T1636" i="2" s="1"/>
  <c r="U1636" i="2" s="1"/>
  <c r="Q1637" i="2"/>
  <c r="S1637" i="2" s="1"/>
  <c r="Q1638" i="2"/>
  <c r="S1638" i="2" s="1"/>
  <c r="T1638" i="2" s="1"/>
  <c r="U1638" i="2" s="1"/>
  <c r="Q1639" i="2"/>
  <c r="S1639" i="2" s="1"/>
  <c r="Q1640" i="2"/>
  <c r="S1640" i="2" s="1"/>
  <c r="T1640" i="2" s="1"/>
  <c r="U1640" i="2" s="1"/>
  <c r="Q1641" i="2"/>
  <c r="S1641" i="2" s="1"/>
  <c r="Q1642" i="2"/>
  <c r="S1642" i="2" s="1"/>
  <c r="T1642" i="2" s="1"/>
  <c r="U1642" i="2" s="1"/>
  <c r="Q1643" i="2"/>
  <c r="S1643" i="2" s="1"/>
  <c r="T1643" i="2" s="1"/>
  <c r="U1643" i="2" s="1"/>
  <c r="Q1644" i="2"/>
  <c r="S1644" i="2" s="1"/>
  <c r="Q1645" i="2"/>
  <c r="S1645" i="2" s="1"/>
  <c r="T1645" i="2" s="1"/>
  <c r="U1645" i="2" s="1"/>
  <c r="Q1646" i="2"/>
  <c r="S1646" i="2" s="1"/>
  <c r="Q1647" i="2"/>
  <c r="S1647" i="2" s="1"/>
  <c r="T1647" i="2" s="1"/>
  <c r="U1647" i="2" s="1"/>
  <c r="Q1648" i="2"/>
  <c r="S1648" i="2" s="1"/>
  <c r="T1648" i="2" s="1"/>
  <c r="U1648" i="2" s="1"/>
  <c r="Q1649" i="2"/>
  <c r="S1649" i="2" s="1"/>
  <c r="Q1650" i="2"/>
  <c r="S1650" i="2" s="1"/>
  <c r="T1650" i="2" s="1"/>
  <c r="U1650" i="2" s="1"/>
  <c r="Q1651" i="2"/>
  <c r="S1651" i="2" s="1"/>
  <c r="T1651" i="2" s="1"/>
  <c r="U1651" i="2" s="1"/>
  <c r="Q1652" i="2"/>
  <c r="S1652" i="2" s="1"/>
  <c r="T1652" i="2" s="1"/>
  <c r="U1652" i="2" s="1"/>
  <c r="Q1653" i="2"/>
  <c r="S1653" i="2" s="1"/>
  <c r="Q1654" i="2"/>
  <c r="S1654" i="2" s="1"/>
  <c r="Q1655" i="2"/>
  <c r="S1655" i="2" s="1"/>
  <c r="Q1656" i="2"/>
  <c r="S1656" i="2" s="1"/>
  <c r="Q1657" i="2"/>
  <c r="S1657" i="2" s="1"/>
  <c r="T1657" i="2" s="1"/>
  <c r="U1657" i="2" s="1"/>
  <c r="Q1658" i="2"/>
  <c r="S1658" i="2" s="1"/>
  <c r="T1658" i="2" s="1"/>
  <c r="U1658" i="2" s="1"/>
  <c r="Q1659" i="2"/>
  <c r="S1659" i="2" s="1"/>
  <c r="Q1660" i="2"/>
  <c r="S1660" i="2" s="1"/>
  <c r="T1660" i="2" s="1"/>
  <c r="U1660" i="2" s="1"/>
  <c r="Q1661" i="2"/>
  <c r="S1661" i="2" s="1"/>
  <c r="T1661" i="2" s="1"/>
  <c r="U1661" i="2" s="1"/>
  <c r="Q1662" i="2"/>
  <c r="S1662" i="2" s="1"/>
  <c r="T1662" i="2" s="1"/>
  <c r="U1662" i="2" s="1"/>
  <c r="Q1663" i="2"/>
  <c r="S1663" i="2" s="1"/>
  <c r="T1663" i="2" s="1"/>
  <c r="U1663" i="2" s="1"/>
  <c r="Q1664" i="2"/>
  <c r="S1664" i="2" s="1"/>
  <c r="Q1665" i="2"/>
  <c r="S1665" i="2" s="1"/>
  <c r="T1665" i="2" s="1"/>
  <c r="U1665" i="2" s="1"/>
  <c r="Q1666" i="2"/>
  <c r="S1666" i="2" s="1"/>
  <c r="T1666" i="2" s="1"/>
  <c r="U1666" i="2" s="1"/>
  <c r="Q1667" i="2"/>
  <c r="S1667" i="2" s="1"/>
  <c r="Q1668" i="2"/>
  <c r="S1668" i="2" s="1"/>
  <c r="Q1669" i="2"/>
  <c r="S1669" i="2" s="1"/>
  <c r="T1669" i="2" s="1"/>
  <c r="U1669" i="2" s="1"/>
  <c r="Q1670" i="2"/>
  <c r="S1670" i="2" s="1"/>
  <c r="T1670" i="2" s="1"/>
  <c r="U1670" i="2" s="1"/>
  <c r="Q1671" i="2"/>
  <c r="S1671" i="2" s="1"/>
  <c r="T1671" i="2" s="1"/>
  <c r="U1671" i="2" s="1"/>
  <c r="Q1672" i="2"/>
  <c r="S1672" i="2" s="1"/>
  <c r="T1672" i="2" s="1"/>
  <c r="U1672" i="2" s="1"/>
  <c r="Q1673" i="2"/>
  <c r="S1673" i="2" s="1"/>
  <c r="T1673" i="2" s="1"/>
  <c r="U1673" i="2" s="1"/>
  <c r="Q1674" i="2"/>
  <c r="S1674" i="2" s="1"/>
  <c r="Q1675" i="2"/>
  <c r="S1675" i="2" s="1"/>
  <c r="Q1676" i="2"/>
  <c r="S1676" i="2" s="1"/>
  <c r="Q1677" i="2"/>
  <c r="S1677" i="2" s="1"/>
  <c r="T1677" i="2" s="1"/>
  <c r="U1677" i="2" s="1"/>
  <c r="Q1678" i="2"/>
  <c r="S1678" i="2" s="1"/>
  <c r="Q1679" i="2"/>
  <c r="S1679" i="2" s="1"/>
  <c r="T1679" i="2" s="1"/>
  <c r="U1679" i="2" s="1"/>
  <c r="Q1680" i="2"/>
  <c r="S1680" i="2" s="1"/>
  <c r="T1680" i="2" s="1"/>
  <c r="U1680" i="2" s="1"/>
  <c r="Q1681" i="2"/>
  <c r="S1681" i="2" s="1"/>
  <c r="T1681" i="2" s="1"/>
  <c r="U1681" i="2" s="1"/>
  <c r="Q1682" i="2"/>
  <c r="S1682" i="2" s="1"/>
  <c r="T1682" i="2" s="1"/>
  <c r="U1682" i="2" s="1"/>
  <c r="Q1683" i="2"/>
  <c r="S1683" i="2" s="1"/>
  <c r="T1683" i="2" s="1"/>
  <c r="U1683" i="2" s="1"/>
  <c r="Q1684" i="2"/>
  <c r="S1684" i="2" s="1"/>
  <c r="T1684" i="2" s="1"/>
  <c r="U1684" i="2" s="1"/>
  <c r="Q1685" i="2"/>
  <c r="S1685" i="2" s="1"/>
  <c r="T1685" i="2" s="1"/>
  <c r="U1685" i="2" s="1"/>
  <c r="Q1686" i="2"/>
  <c r="S1686" i="2" s="1"/>
  <c r="T1686" i="2" s="1"/>
  <c r="U1686" i="2" s="1"/>
  <c r="Q1687" i="2"/>
  <c r="S1687" i="2" s="1"/>
  <c r="T1687" i="2" s="1"/>
  <c r="U1687" i="2" s="1"/>
  <c r="Q1688" i="2"/>
  <c r="S1688" i="2" s="1"/>
  <c r="T1688" i="2" s="1"/>
  <c r="U1688" i="2" s="1"/>
  <c r="Q1689" i="2"/>
  <c r="S1689" i="2" s="1"/>
  <c r="T1689" i="2" s="1"/>
  <c r="U1689" i="2" s="1"/>
  <c r="Q1690" i="2"/>
  <c r="S1690" i="2" s="1"/>
  <c r="T1690" i="2" s="1"/>
  <c r="U1690" i="2" s="1"/>
  <c r="Q1691" i="2"/>
  <c r="S1691" i="2" s="1"/>
  <c r="T1691" i="2" s="1"/>
  <c r="U1691" i="2" s="1"/>
  <c r="Q1692" i="2"/>
  <c r="S1692" i="2" s="1"/>
  <c r="T1692" i="2" s="1"/>
  <c r="U1692" i="2" s="1"/>
  <c r="Q1693" i="2"/>
  <c r="S1693" i="2" s="1"/>
  <c r="Q1694" i="2"/>
  <c r="S1694" i="2" s="1"/>
  <c r="T1694" i="2" s="1"/>
  <c r="U1694" i="2" s="1"/>
  <c r="Q1695" i="2"/>
  <c r="S1695" i="2" s="1"/>
  <c r="T1695" i="2" s="1"/>
  <c r="U1695" i="2" s="1"/>
  <c r="Q1696" i="2"/>
  <c r="S1696" i="2" s="1"/>
  <c r="T1696" i="2" s="1"/>
  <c r="U1696" i="2" s="1"/>
  <c r="Q1697" i="2"/>
  <c r="S1697" i="2" s="1"/>
  <c r="T1697" i="2" s="1"/>
  <c r="U1697" i="2" s="1"/>
  <c r="Q1698" i="2"/>
  <c r="S1698" i="2" s="1"/>
  <c r="Q1699" i="2"/>
  <c r="S1699" i="2" s="1"/>
  <c r="T1699" i="2" s="1"/>
  <c r="U1699" i="2" s="1"/>
  <c r="Q1700" i="2"/>
  <c r="S1700" i="2" s="1"/>
  <c r="T1700" i="2" s="1"/>
  <c r="U1700" i="2" s="1"/>
  <c r="Q1701" i="2"/>
  <c r="S1701" i="2" s="1"/>
  <c r="T1701" i="2" s="1"/>
  <c r="U1701" i="2" s="1"/>
  <c r="Q1702" i="2"/>
  <c r="S1702" i="2" s="1"/>
  <c r="T1702" i="2" s="1"/>
  <c r="U1702" i="2" s="1"/>
  <c r="Q1703" i="2"/>
  <c r="S1703" i="2" s="1"/>
  <c r="T1703" i="2" s="1"/>
  <c r="U1703" i="2" s="1"/>
  <c r="Q1704" i="2"/>
  <c r="S1704" i="2" s="1"/>
  <c r="T1704" i="2" s="1"/>
  <c r="U1704" i="2" s="1"/>
  <c r="Q1705" i="2"/>
  <c r="S1705" i="2" s="1"/>
  <c r="T1705" i="2" s="1"/>
  <c r="U1705" i="2" s="1"/>
  <c r="Q1706" i="2"/>
  <c r="S1706" i="2" s="1"/>
  <c r="T1706" i="2" s="1"/>
  <c r="U1706" i="2" s="1"/>
  <c r="Q1707" i="2"/>
  <c r="S1707" i="2" s="1"/>
  <c r="T1707" i="2" s="1"/>
  <c r="U1707" i="2" s="1"/>
  <c r="Q1708" i="2"/>
  <c r="S1708" i="2" s="1"/>
  <c r="T1708" i="2" s="1"/>
  <c r="U1708" i="2" s="1"/>
  <c r="Q1709" i="2"/>
  <c r="S1709" i="2" s="1"/>
  <c r="Q1710" i="2"/>
  <c r="S1710" i="2" s="1"/>
  <c r="Q1711" i="2"/>
  <c r="S1711" i="2" s="1"/>
  <c r="Q1712" i="2"/>
  <c r="S1712" i="2" s="1"/>
  <c r="T1712" i="2" s="1"/>
  <c r="U1712" i="2" s="1"/>
  <c r="Q1713" i="2"/>
  <c r="S1713" i="2" s="1"/>
  <c r="Q1714" i="2"/>
  <c r="S1714" i="2" s="1"/>
  <c r="Q1715" i="2"/>
  <c r="S1715" i="2" s="1"/>
  <c r="T1715" i="2" s="1"/>
  <c r="U1715" i="2" s="1"/>
  <c r="Q1716" i="2"/>
  <c r="S1716" i="2" s="1"/>
  <c r="Q1717" i="2"/>
  <c r="S1717" i="2" s="1"/>
  <c r="T1717" i="2" s="1"/>
  <c r="U1717" i="2" s="1"/>
  <c r="Q1718" i="2"/>
  <c r="S1718" i="2" s="1"/>
  <c r="T1718" i="2" s="1"/>
  <c r="U1718" i="2" s="1"/>
  <c r="Q1719" i="2"/>
  <c r="S1719" i="2" s="1"/>
  <c r="T1719" i="2" s="1"/>
  <c r="U1719" i="2" s="1"/>
  <c r="Q1720" i="2"/>
  <c r="S1720" i="2" s="1"/>
  <c r="Q1721" i="2"/>
  <c r="S1721" i="2" s="1"/>
  <c r="T1721" i="2" s="1"/>
  <c r="U1721" i="2" s="1"/>
  <c r="Q1722" i="2"/>
  <c r="S1722" i="2" s="1"/>
  <c r="T1722" i="2" s="1"/>
  <c r="U1722" i="2" s="1"/>
  <c r="Q1723" i="2"/>
  <c r="S1723" i="2" s="1"/>
  <c r="T1723" i="2" s="1"/>
  <c r="U1723" i="2" s="1"/>
  <c r="Q1724" i="2"/>
  <c r="S1724" i="2" s="1"/>
  <c r="Q1725" i="2"/>
  <c r="S1725" i="2" s="1"/>
  <c r="Q1726" i="2"/>
  <c r="S1726" i="2" s="1"/>
  <c r="T1726" i="2" s="1"/>
  <c r="U1726" i="2" s="1"/>
  <c r="Q1727" i="2"/>
  <c r="S1727" i="2" s="1"/>
  <c r="T1727" i="2" s="1"/>
  <c r="U1727" i="2" s="1"/>
  <c r="Q1728" i="2"/>
  <c r="S1728" i="2" s="1"/>
  <c r="T1728" i="2" s="1"/>
  <c r="U1728" i="2" s="1"/>
  <c r="Q1729" i="2"/>
  <c r="S1729" i="2" s="1"/>
  <c r="T1729" i="2" s="1"/>
  <c r="U1729" i="2" s="1"/>
  <c r="Q1730" i="2"/>
  <c r="S1730" i="2" s="1"/>
  <c r="T1730" i="2" s="1"/>
  <c r="U1730" i="2" s="1"/>
  <c r="Q1731" i="2"/>
  <c r="S1731" i="2" s="1"/>
  <c r="T1731" i="2" s="1"/>
  <c r="U1731" i="2" s="1"/>
  <c r="Q1732" i="2"/>
  <c r="S1732" i="2" s="1"/>
  <c r="T1732" i="2" s="1"/>
  <c r="U1732" i="2" s="1"/>
  <c r="Q1733" i="2"/>
  <c r="S1733" i="2" s="1"/>
  <c r="T1733" i="2" s="1"/>
  <c r="U1733" i="2" s="1"/>
  <c r="Q1734" i="2"/>
  <c r="S1734" i="2" s="1"/>
  <c r="T1734" i="2" s="1"/>
  <c r="U1734" i="2" s="1"/>
  <c r="Q1735" i="2"/>
  <c r="S1735" i="2" s="1"/>
  <c r="Q1736" i="2"/>
  <c r="S1736" i="2" s="1"/>
  <c r="Q1737" i="2"/>
  <c r="S1737" i="2" s="1"/>
  <c r="T1737" i="2" s="1"/>
  <c r="U1737" i="2" s="1"/>
  <c r="Q1738" i="2"/>
  <c r="S1738" i="2" s="1"/>
  <c r="T1738" i="2" s="1"/>
  <c r="U1738" i="2" s="1"/>
  <c r="Q1739" i="2"/>
  <c r="S1739" i="2" s="1"/>
  <c r="T1739" i="2" s="1"/>
  <c r="U1739" i="2" s="1"/>
  <c r="Q1740" i="2"/>
  <c r="S1740" i="2" s="1"/>
  <c r="Q1741" i="2"/>
  <c r="S1741" i="2" s="1"/>
  <c r="Q1742" i="2"/>
  <c r="S1742" i="2" s="1"/>
  <c r="T1742" i="2" s="1"/>
  <c r="U1742" i="2" s="1"/>
  <c r="Q1743" i="2"/>
  <c r="S1743" i="2" s="1"/>
  <c r="T1743" i="2" s="1"/>
  <c r="U1743" i="2" s="1"/>
  <c r="Q1744" i="2"/>
  <c r="S1744" i="2" s="1"/>
  <c r="T1744" i="2" s="1"/>
  <c r="U1744" i="2" s="1"/>
  <c r="Q1745" i="2"/>
  <c r="S1745" i="2" s="1"/>
  <c r="T1745" i="2" s="1"/>
  <c r="U1745" i="2" s="1"/>
  <c r="Q1746" i="2"/>
  <c r="S1746" i="2" s="1"/>
  <c r="T1746" i="2" s="1"/>
  <c r="U1746" i="2" s="1"/>
  <c r="Q1747" i="2"/>
  <c r="S1747" i="2" s="1"/>
  <c r="T1747" i="2" s="1"/>
  <c r="U1747" i="2" s="1"/>
  <c r="Q1748" i="2"/>
  <c r="S1748" i="2" s="1"/>
  <c r="T1748" i="2" s="1"/>
  <c r="U1748" i="2" s="1"/>
  <c r="Q1749" i="2"/>
  <c r="S1749" i="2" s="1"/>
  <c r="T1749" i="2" s="1"/>
  <c r="U1749" i="2" s="1"/>
  <c r="Q1750" i="2"/>
  <c r="S1750" i="2" s="1"/>
  <c r="T1750" i="2" s="1"/>
  <c r="U1750" i="2" s="1"/>
  <c r="Q1751" i="2"/>
  <c r="S1751" i="2" s="1"/>
  <c r="T1751" i="2" s="1"/>
  <c r="U1751" i="2" s="1"/>
  <c r="Q1752" i="2"/>
  <c r="S1752" i="2" s="1"/>
  <c r="Q1753" i="2"/>
  <c r="S1753" i="2" s="1"/>
  <c r="T1753" i="2" s="1"/>
  <c r="U1753" i="2" s="1"/>
  <c r="Q1754" i="2"/>
  <c r="S1754" i="2" s="1"/>
  <c r="Q1755" i="2"/>
  <c r="S1755" i="2" s="1"/>
  <c r="T1755" i="2" s="1"/>
  <c r="U1755" i="2" s="1"/>
  <c r="Q1756" i="2"/>
  <c r="S1756" i="2" s="1"/>
  <c r="T1756" i="2" s="1"/>
  <c r="U1756" i="2" s="1"/>
  <c r="Q1757" i="2"/>
  <c r="S1757" i="2" s="1"/>
  <c r="Q1758" i="2"/>
  <c r="S1758" i="2" s="1"/>
  <c r="T1758" i="2" s="1"/>
  <c r="U1758" i="2" s="1"/>
  <c r="Q1759" i="2"/>
  <c r="S1759" i="2" s="1"/>
  <c r="T1759" i="2" s="1"/>
  <c r="U1759" i="2" s="1"/>
  <c r="Q1760" i="2"/>
  <c r="S1760" i="2" s="1"/>
  <c r="T1760" i="2" s="1"/>
  <c r="U1760" i="2" s="1"/>
  <c r="Q1761" i="2"/>
  <c r="S1761" i="2" s="1"/>
  <c r="Q1762" i="2"/>
  <c r="S1762" i="2" s="1"/>
  <c r="T1762" i="2" s="1"/>
  <c r="U1762" i="2" s="1"/>
  <c r="Q1763" i="2"/>
  <c r="S1763" i="2" s="1"/>
  <c r="T1763" i="2" s="1"/>
  <c r="U1763" i="2" s="1"/>
  <c r="Q1764" i="2"/>
  <c r="S1764" i="2" s="1"/>
  <c r="Q1765" i="2"/>
  <c r="S1765" i="2" s="1"/>
  <c r="T1765" i="2" s="1"/>
  <c r="U1765" i="2" s="1"/>
  <c r="Q1766" i="2"/>
  <c r="S1766" i="2" s="1"/>
  <c r="T1766" i="2" s="1"/>
  <c r="U1766" i="2" s="1"/>
  <c r="Q1767" i="2"/>
  <c r="S1767" i="2" s="1"/>
  <c r="T1767" i="2" s="1"/>
  <c r="U1767" i="2" s="1"/>
  <c r="Q1768" i="2"/>
  <c r="S1768" i="2" s="1"/>
  <c r="T1768" i="2" s="1"/>
  <c r="U1768" i="2" s="1"/>
  <c r="Q1769" i="2"/>
  <c r="S1769" i="2" s="1"/>
  <c r="Q1770" i="2"/>
  <c r="S1770" i="2" s="1"/>
  <c r="Q1771" i="2"/>
  <c r="S1771" i="2" s="1"/>
  <c r="Q1772" i="2"/>
  <c r="S1772" i="2" s="1"/>
  <c r="T1772" i="2" s="1"/>
  <c r="U1772" i="2" s="1"/>
  <c r="Q1773" i="2"/>
  <c r="S1773" i="2" s="1"/>
  <c r="T1773" i="2" s="1"/>
  <c r="U1773" i="2" s="1"/>
  <c r="Q1774" i="2"/>
  <c r="S1774" i="2" s="1"/>
  <c r="T1774" i="2" s="1"/>
  <c r="U1774" i="2" s="1"/>
  <c r="Q1775" i="2"/>
  <c r="S1775" i="2" s="1"/>
  <c r="Q1776" i="2"/>
  <c r="S1776" i="2" s="1"/>
  <c r="T1776" i="2" s="1"/>
  <c r="U1776" i="2" s="1"/>
  <c r="Q1777" i="2"/>
  <c r="S1777" i="2" s="1"/>
  <c r="T1777" i="2" s="1"/>
  <c r="U1777" i="2" s="1"/>
  <c r="Q1778" i="2"/>
  <c r="S1778" i="2" s="1"/>
  <c r="T1778" i="2" s="1"/>
  <c r="U1778" i="2" s="1"/>
  <c r="Q1779" i="2"/>
  <c r="S1779" i="2" s="1"/>
  <c r="T1779" i="2" s="1"/>
  <c r="U1779" i="2" s="1"/>
  <c r="Q1780" i="2"/>
  <c r="S1780" i="2" s="1"/>
  <c r="T1780" i="2" s="1"/>
  <c r="U1780" i="2" s="1"/>
  <c r="Q1781" i="2"/>
  <c r="S1781" i="2" s="1"/>
  <c r="T1781" i="2" s="1"/>
  <c r="U1781" i="2" s="1"/>
  <c r="Q1782" i="2"/>
  <c r="S1782" i="2" s="1"/>
  <c r="Q1783" i="2"/>
  <c r="S1783" i="2" s="1"/>
  <c r="Q1784" i="2"/>
  <c r="S1784" i="2" s="1"/>
  <c r="T1784" i="2" s="1"/>
  <c r="U1784" i="2" s="1"/>
  <c r="Q1785" i="2"/>
  <c r="S1785" i="2" s="1"/>
  <c r="T1785" i="2" s="1"/>
  <c r="U1785" i="2" s="1"/>
  <c r="Q1786" i="2"/>
  <c r="S1786" i="2" s="1"/>
  <c r="Q1787" i="2"/>
  <c r="S1787" i="2" s="1"/>
  <c r="Q1788" i="2"/>
  <c r="S1788" i="2" s="1"/>
  <c r="T1788" i="2" s="1"/>
  <c r="U1788" i="2" s="1"/>
  <c r="Q1789" i="2"/>
  <c r="S1789" i="2" s="1"/>
  <c r="T1789" i="2" s="1"/>
  <c r="U1789" i="2" s="1"/>
  <c r="Q1790" i="2"/>
  <c r="S1790" i="2" s="1"/>
  <c r="T1790" i="2" s="1"/>
  <c r="U1790" i="2" s="1"/>
  <c r="Q1791" i="2"/>
  <c r="S1791" i="2" s="1"/>
  <c r="T1791" i="2" s="1"/>
  <c r="U1791" i="2" s="1"/>
  <c r="Q1792" i="2"/>
  <c r="S1792" i="2" s="1"/>
  <c r="Q1793" i="2"/>
  <c r="S1793" i="2" s="1"/>
  <c r="Q1794" i="2"/>
  <c r="S1794" i="2" s="1"/>
  <c r="T1794" i="2" s="1"/>
  <c r="U1794" i="2" s="1"/>
  <c r="Q1795" i="2"/>
  <c r="S1795" i="2" s="1"/>
  <c r="T1795" i="2" s="1"/>
  <c r="U1795" i="2" s="1"/>
  <c r="Q1796" i="2"/>
  <c r="S1796" i="2" s="1"/>
  <c r="Q1797" i="2"/>
  <c r="S1797" i="2" s="1"/>
  <c r="Q1798" i="2"/>
  <c r="S1798" i="2" s="1"/>
  <c r="T1798" i="2" s="1"/>
  <c r="U1798" i="2" s="1"/>
  <c r="Q1799" i="2"/>
  <c r="S1799" i="2" s="1"/>
  <c r="T1799" i="2" s="1"/>
  <c r="U1799" i="2" s="1"/>
  <c r="Q1800" i="2"/>
  <c r="S1800" i="2" s="1"/>
  <c r="Q1801" i="2"/>
  <c r="S1801" i="2" s="1"/>
  <c r="T1801" i="2" s="1"/>
  <c r="U1801" i="2" s="1"/>
  <c r="Q1802" i="2"/>
  <c r="S1802" i="2" s="1"/>
  <c r="T1802" i="2" s="1"/>
  <c r="U1802" i="2" s="1"/>
  <c r="Q1803" i="2"/>
  <c r="S1803" i="2" s="1"/>
  <c r="Q1804" i="2"/>
  <c r="S1804" i="2" s="1"/>
  <c r="Q1805" i="2"/>
  <c r="S1805" i="2" s="1"/>
  <c r="T1805" i="2" s="1"/>
  <c r="U1805" i="2" s="1"/>
  <c r="Q1806" i="2"/>
  <c r="S1806" i="2" s="1"/>
  <c r="T1806" i="2" s="1"/>
  <c r="U1806" i="2" s="1"/>
  <c r="Q1807" i="2"/>
  <c r="S1807" i="2" s="1"/>
  <c r="T1807" i="2" s="1"/>
  <c r="U1807" i="2" s="1"/>
  <c r="Q1808" i="2"/>
  <c r="S1808" i="2" s="1"/>
  <c r="T1808" i="2" s="1"/>
  <c r="U1808" i="2" s="1"/>
  <c r="Q1809" i="2"/>
  <c r="S1809" i="2" s="1"/>
  <c r="T1809" i="2" s="1"/>
  <c r="U1809" i="2" s="1"/>
  <c r="Q1810" i="2"/>
  <c r="S1810" i="2" s="1"/>
  <c r="T1810" i="2" s="1"/>
  <c r="U1810" i="2" s="1"/>
  <c r="Q1811" i="2"/>
  <c r="S1811" i="2" s="1"/>
  <c r="T1811" i="2" s="1"/>
  <c r="U1811" i="2" s="1"/>
  <c r="Q1812" i="2"/>
  <c r="S1812" i="2" s="1"/>
  <c r="T1812" i="2" s="1"/>
  <c r="U1812" i="2" s="1"/>
  <c r="Q1813" i="2"/>
  <c r="S1813" i="2" s="1"/>
  <c r="T1813" i="2" s="1"/>
  <c r="U1813" i="2" s="1"/>
  <c r="Q1814" i="2"/>
  <c r="S1814" i="2" s="1"/>
  <c r="T1814" i="2" s="1"/>
  <c r="U1814" i="2" s="1"/>
  <c r="Q1815" i="2"/>
  <c r="S1815" i="2" s="1"/>
  <c r="T1815" i="2" s="1"/>
  <c r="U1815" i="2" s="1"/>
  <c r="Q1816" i="2"/>
  <c r="S1816" i="2" s="1"/>
  <c r="T1816" i="2" s="1"/>
  <c r="U1816" i="2" s="1"/>
  <c r="Q1817" i="2"/>
  <c r="S1817" i="2" s="1"/>
  <c r="T1817" i="2" s="1"/>
  <c r="U1817" i="2" s="1"/>
  <c r="Q1818" i="2"/>
  <c r="S1818" i="2" s="1"/>
  <c r="T1818" i="2" s="1"/>
  <c r="U1818" i="2" s="1"/>
  <c r="Q1819" i="2"/>
  <c r="S1819" i="2" s="1"/>
  <c r="T1819" i="2" s="1"/>
  <c r="U1819" i="2" s="1"/>
  <c r="Q1820" i="2"/>
  <c r="S1820" i="2" s="1"/>
  <c r="Q1821" i="2"/>
  <c r="S1821" i="2" s="1"/>
  <c r="Q1822" i="2"/>
  <c r="S1822" i="2" s="1"/>
  <c r="T1822" i="2" s="1"/>
  <c r="U1822" i="2" s="1"/>
  <c r="Q1823" i="2"/>
  <c r="S1823" i="2" s="1"/>
  <c r="Q1824" i="2"/>
  <c r="S1824" i="2" s="1"/>
  <c r="T1824" i="2" s="1"/>
  <c r="U1824" i="2" s="1"/>
  <c r="Q1825" i="2"/>
  <c r="S1825" i="2" s="1"/>
  <c r="Q1826" i="2"/>
  <c r="S1826" i="2" s="1"/>
  <c r="T1826" i="2" s="1"/>
  <c r="U1826" i="2" s="1"/>
  <c r="Q1827" i="2"/>
  <c r="S1827" i="2" s="1"/>
  <c r="T1827" i="2" s="1"/>
  <c r="U1827" i="2" s="1"/>
  <c r="Q1828" i="2"/>
  <c r="S1828" i="2" s="1"/>
  <c r="Q1829" i="2"/>
  <c r="S1829" i="2" s="1"/>
  <c r="T1829" i="2" s="1"/>
  <c r="U1829" i="2" s="1"/>
  <c r="Q1830" i="2"/>
  <c r="S1830" i="2" s="1"/>
  <c r="T1830" i="2" s="1"/>
  <c r="U1830" i="2" s="1"/>
  <c r="Q1831" i="2"/>
  <c r="S1831" i="2" s="1"/>
  <c r="Q1832" i="2"/>
  <c r="S1832" i="2" s="1"/>
  <c r="T1832" i="2" s="1"/>
  <c r="U1832" i="2" s="1"/>
  <c r="Q1833" i="2"/>
  <c r="S1833" i="2" s="1"/>
  <c r="T1833" i="2" s="1"/>
  <c r="U1833" i="2" s="1"/>
  <c r="Q1834" i="2"/>
  <c r="S1834" i="2" s="1"/>
  <c r="T1834" i="2" s="1"/>
  <c r="U1834" i="2" s="1"/>
  <c r="Q1835" i="2"/>
  <c r="S1835" i="2" s="1"/>
  <c r="Q1836" i="2"/>
  <c r="S1836" i="2" s="1"/>
  <c r="Q1837" i="2"/>
  <c r="S1837" i="2" s="1"/>
  <c r="Q1838" i="2"/>
  <c r="S1838" i="2" s="1"/>
  <c r="T1838" i="2" s="1"/>
  <c r="U1838" i="2" s="1"/>
  <c r="Q1839" i="2"/>
  <c r="S1839" i="2" s="1"/>
  <c r="Q1840" i="2"/>
  <c r="S1840" i="2" s="1"/>
  <c r="T1840" i="2" s="1"/>
  <c r="U1840" i="2" s="1"/>
  <c r="Q1841" i="2"/>
  <c r="S1841" i="2" s="1"/>
  <c r="Q1842" i="2"/>
  <c r="S1842" i="2" s="1"/>
  <c r="Q1843" i="2"/>
  <c r="S1843" i="2" s="1"/>
  <c r="T1843" i="2" s="1"/>
  <c r="U1843" i="2" s="1"/>
  <c r="Q1844" i="2"/>
  <c r="S1844" i="2" s="1"/>
  <c r="T1844" i="2" s="1"/>
  <c r="U1844" i="2" s="1"/>
  <c r="Q1845" i="2"/>
  <c r="S1845" i="2" s="1"/>
  <c r="T1845" i="2" s="1"/>
  <c r="U1845" i="2" s="1"/>
  <c r="Q1846" i="2"/>
  <c r="S1846" i="2" s="1"/>
  <c r="T1846" i="2" s="1"/>
  <c r="U1846" i="2" s="1"/>
  <c r="Q1847" i="2"/>
  <c r="S1847" i="2" s="1"/>
  <c r="T1847" i="2" s="1"/>
  <c r="U1847" i="2" s="1"/>
  <c r="Q1848" i="2"/>
  <c r="S1848" i="2" s="1"/>
  <c r="T1848" i="2" s="1"/>
  <c r="U1848" i="2" s="1"/>
  <c r="Q1849" i="2"/>
  <c r="S1849" i="2" s="1"/>
  <c r="T1849" i="2" s="1"/>
  <c r="U1849" i="2" s="1"/>
  <c r="Q1850" i="2"/>
  <c r="S1850" i="2" s="1"/>
  <c r="Q1851" i="2"/>
  <c r="S1851" i="2" s="1"/>
  <c r="T1851" i="2" s="1"/>
  <c r="U1851" i="2" s="1"/>
  <c r="Q1852" i="2"/>
  <c r="S1852" i="2" s="1"/>
  <c r="Q1853" i="2"/>
  <c r="S1853" i="2" s="1"/>
  <c r="T1853" i="2" s="1"/>
  <c r="U1853" i="2" s="1"/>
  <c r="Q1854" i="2"/>
  <c r="S1854" i="2" s="1"/>
  <c r="Q1855" i="2"/>
  <c r="S1855" i="2" s="1"/>
  <c r="T1855" i="2" s="1"/>
  <c r="U1855" i="2" s="1"/>
  <c r="Q1856" i="2"/>
  <c r="S1856" i="2" s="1"/>
  <c r="Q1857" i="2"/>
  <c r="S1857" i="2" s="1"/>
  <c r="T1857" i="2" s="1"/>
  <c r="U1857" i="2" s="1"/>
  <c r="Q1858" i="2"/>
  <c r="S1858" i="2" s="1"/>
  <c r="Q1859" i="2"/>
  <c r="S1859" i="2" s="1"/>
  <c r="T1859" i="2" s="1"/>
  <c r="U1859" i="2" s="1"/>
  <c r="Q1860" i="2"/>
  <c r="S1860" i="2" s="1"/>
  <c r="Q1861" i="2"/>
  <c r="S1861" i="2" s="1"/>
  <c r="T1861" i="2" s="1"/>
  <c r="U1861" i="2" s="1"/>
  <c r="Q1862" i="2"/>
  <c r="S1862" i="2" s="1"/>
  <c r="T1862" i="2" s="1"/>
  <c r="U1862" i="2" s="1"/>
  <c r="Q1863" i="2"/>
  <c r="S1863" i="2" s="1"/>
  <c r="Q1864" i="2"/>
  <c r="S1864" i="2" s="1"/>
  <c r="T1864" i="2" s="1"/>
  <c r="U1864" i="2" s="1"/>
  <c r="Q1865" i="2"/>
  <c r="S1865" i="2" s="1"/>
  <c r="Q1866" i="2"/>
  <c r="S1866" i="2" s="1"/>
  <c r="Q1867" i="2"/>
  <c r="S1867" i="2" s="1"/>
  <c r="T1867" i="2" s="1"/>
  <c r="U1867" i="2" s="1"/>
  <c r="Q1868" i="2"/>
  <c r="S1868" i="2" s="1"/>
  <c r="Q1869" i="2"/>
  <c r="S1869" i="2" s="1"/>
  <c r="T1869" i="2" s="1"/>
  <c r="U1869" i="2" s="1"/>
  <c r="Q1870" i="2"/>
  <c r="S1870" i="2" s="1"/>
  <c r="T1870" i="2" s="1"/>
  <c r="U1870" i="2" s="1"/>
  <c r="Q1871" i="2"/>
  <c r="S1871" i="2" s="1"/>
  <c r="T1871" i="2" s="1"/>
  <c r="U1871" i="2" s="1"/>
  <c r="Q1872" i="2"/>
  <c r="S1872" i="2" s="1"/>
  <c r="Q1873" i="2"/>
  <c r="S1873" i="2" s="1"/>
  <c r="Q1874" i="2"/>
  <c r="S1874" i="2" s="1"/>
  <c r="Q1875" i="2"/>
  <c r="S1875" i="2" s="1"/>
  <c r="T1875" i="2" s="1"/>
  <c r="U1875" i="2" s="1"/>
  <c r="Q1876" i="2"/>
  <c r="S1876" i="2" s="1"/>
  <c r="T1876" i="2" s="1"/>
  <c r="U1876" i="2" s="1"/>
  <c r="Q1877" i="2"/>
  <c r="S1877" i="2" s="1"/>
  <c r="T1877" i="2" s="1"/>
  <c r="U1877" i="2" s="1"/>
  <c r="Q1878" i="2"/>
  <c r="S1878" i="2" s="1"/>
  <c r="T1878" i="2" s="1"/>
  <c r="U1878" i="2" s="1"/>
  <c r="Q1879" i="2"/>
  <c r="S1879" i="2" s="1"/>
  <c r="T1879" i="2" s="1"/>
  <c r="U1879" i="2" s="1"/>
  <c r="Q1880" i="2"/>
  <c r="S1880" i="2" s="1"/>
  <c r="Q1881" i="2"/>
  <c r="S1881" i="2" s="1"/>
  <c r="T1881" i="2" s="1"/>
  <c r="U1881" i="2" s="1"/>
  <c r="Q1882" i="2"/>
  <c r="S1882" i="2" s="1"/>
  <c r="Q1883" i="2"/>
  <c r="S1883" i="2" s="1"/>
  <c r="Q1884" i="2"/>
  <c r="S1884" i="2" s="1"/>
  <c r="T1884" i="2" s="1"/>
  <c r="U1884" i="2" s="1"/>
  <c r="Q1885" i="2"/>
  <c r="S1885" i="2" s="1"/>
  <c r="T1885" i="2" s="1"/>
  <c r="U1885" i="2" s="1"/>
  <c r="Q1886" i="2"/>
  <c r="S1886" i="2" s="1"/>
  <c r="T1886" i="2" s="1"/>
  <c r="U1886" i="2" s="1"/>
  <c r="Q1887" i="2"/>
  <c r="S1887" i="2" s="1"/>
  <c r="Q1888" i="2"/>
  <c r="S1888" i="2" s="1"/>
  <c r="T1888" i="2" s="1"/>
  <c r="U1888" i="2" s="1"/>
  <c r="Q1889" i="2"/>
  <c r="S1889" i="2" s="1"/>
  <c r="Q1890" i="2"/>
  <c r="S1890" i="2" s="1"/>
  <c r="Q1891" i="2"/>
  <c r="S1891" i="2" s="1"/>
  <c r="T1891" i="2" s="1"/>
  <c r="U1891" i="2" s="1"/>
  <c r="Q1892" i="2"/>
  <c r="S1892" i="2" s="1"/>
  <c r="T1892" i="2" s="1"/>
  <c r="U1892" i="2" s="1"/>
  <c r="Q1893" i="2"/>
  <c r="S1893" i="2" s="1"/>
  <c r="Q1894" i="2"/>
  <c r="S1894" i="2" s="1"/>
  <c r="T1894" i="2" s="1"/>
  <c r="U1894" i="2" s="1"/>
  <c r="Q1895" i="2"/>
  <c r="S1895" i="2" s="1"/>
  <c r="T1895" i="2" s="1"/>
  <c r="U1895" i="2" s="1"/>
  <c r="Q1896" i="2"/>
  <c r="S1896" i="2" s="1"/>
  <c r="T1896" i="2" s="1"/>
  <c r="U1896" i="2" s="1"/>
  <c r="Q1897" i="2"/>
  <c r="S1897" i="2" s="1"/>
  <c r="T1897" i="2" s="1"/>
  <c r="U1897" i="2" s="1"/>
  <c r="Q1898" i="2"/>
  <c r="S1898" i="2" s="1"/>
  <c r="Q1899" i="2"/>
  <c r="S1899" i="2" s="1"/>
  <c r="T1899" i="2" s="1"/>
  <c r="U1899" i="2" s="1"/>
  <c r="Q1900" i="2"/>
  <c r="S1900" i="2" s="1"/>
  <c r="Q1901" i="2"/>
  <c r="S1901" i="2" s="1"/>
  <c r="T1901" i="2" s="1"/>
  <c r="U1901" i="2" s="1"/>
  <c r="Q1902" i="2"/>
  <c r="S1902" i="2" s="1"/>
  <c r="T1902" i="2" s="1"/>
  <c r="U1902" i="2" s="1"/>
  <c r="Q1903" i="2"/>
  <c r="S1903" i="2" s="1"/>
  <c r="T1903" i="2" s="1"/>
  <c r="U1903" i="2" s="1"/>
  <c r="Q1904" i="2"/>
  <c r="S1904" i="2" s="1"/>
  <c r="T1904" i="2" s="1"/>
  <c r="U1904" i="2" s="1"/>
  <c r="Q1905" i="2"/>
  <c r="S1905" i="2" s="1"/>
  <c r="T1905" i="2" s="1"/>
  <c r="U1905" i="2" s="1"/>
  <c r="Q1906" i="2"/>
  <c r="S1906" i="2" s="1"/>
  <c r="Q1907" i="2"/>
  <c r="S1907" i="2" s="1"/>
  <c r="T1907" i="2" s="1"/>
  <c r="U1907" i="2" s="1"/>
  <c r="Q1908" i="2"/>
  <c r="S1908" i="2" s="1"/>
  <c r="T1908" i="2" s="1"/>
  <c r="U1908" i="2" s="1"/>
  <c r="Q1909" i="2"/>
  <c r="S1909" i="2" s="1"/>
  <c r="T1909" i="2" s="1"/>
  <c r="U1909" i="2" s="1"/>
  <c r="Q1910" i="2"/>
  <c r="S1910" i="2" s="1"/>
  <c r="T1910" i="2" s="1"/>
  <c r="U1910" i="2" s="1"/>
  <c r="Q1911" i="2"/>
  <c r="S1911" i="2" s="1"/>
  <c r="T1911" i="2" s="1"/>
  <c r="U1911" i="2" s="1"/>
  <c r="Q1912" i="2"/>
  <c r="S1912" i="2" s="1"/>
  <c r="T1912" i="2" s="1"/>
  <c r="U1912" i="2" s="1"/>
  <c r="Q1913" i="2"/>
  <c r="S1913" i="2" s="1"/>
  <c r="T1913" i="2" s="1"/>
  <c r="U1913" i="2" s="1"/>
  <c r="Q1914" i="2"/>
  <c r="S1914" i="2" s="1"/>
  <c r="T1914" i="2" s="1"/>
  <c r="U1914" i="2" s="1"/>
  <c r="Q1915" i="2"/>
  <c r="S1915" i="2" s="1"/>
  <c r="T1915" i="2" s="1"/>
  <c r="U1915" i="2" s="1"/>
  <c r="Q1916" i="2"/>
  <c r="S1916" i="2" s="1"/>
  <c r="T1916" i="2" s="1"/>
  <c r="U1916" i="2" s="1"/>
  <c r="Q1917" i="2"/>
  <c r="S1917" i="2" s="1"/>
  <c r="Q1918" i="2"/>
  <c r="S1918" i="2" s="1"/>
  <c r="Q1919" i="2"/>
  <c r="S1919" i="2" s="1"/>
  <c r="Q1920" i="2"/>
  <c r="S1920" i="2" s="1"/>
  <c r="Q1921" i="2"/>
  <c r="S1921" i="2" s="1"/>
  <c r="Q1922" i="2"/>
  <c r="S1922" i="2" s="1"/>
  <c r="T1922" i="2" s="1"/>
  <c r="U1922" i="2" s="1"/>
  <c r="Q1923" i="2"/>
  <c r="S1923" i="2" s="1"/>
  <c r="T1923" i="2" s="1"/>
  <c r="U1923" i="2" s="1"/>
  <c r="Q1924" i="2"/>
  <c r="S1924" i="2" s="1"/>
  <c r="Q1925" i="2"/>
  <c r="S1925" i="2" s="1"/>
  <c r="T1925" i="2" s="1"/>
  <c r="U1925" i="2" s="1"/>
  <c r="Q1926" i="2"/>
  <c r="S1926" i="2" s="1"/>
  <c r="T1926" i="2" s="1"/>
  <c r="U1926" i="2" s="1"/>
  <c r="Q1927" i="2"/>
  <c r="S1927" i="2" s="1"/>
  <c r="T1927" i="2" s="1"/>
  <c r="U1927" i="2" s="1"/>
  <c r="Q1928" i="2"/>
  <c r="S1928" i="2" s="1"/>
  <c r="T1928" i="2" s="1"/>
  <c r="U1928" i="2" s="1"/>
  <c r="Q1929" i="2"/>
  <c r="S1929" i="2" s="1"/>
  <c r="T1929" i="2" s="1"/>
  <c r="U1929" i="2" s="1"/>
  <c r="Q1930" i="2"/>
  <c r="S1930" i="2" s="1"/>
  <c r="Q1931" i="2"/>
  <c r="S1931" i="2" s="1"/>
  <c r="T1931" i="2" s="1"/>
  <c r="U1931" i="2" s="1"/>
  <c r="Q1932" i="2"/>
  <c r="S1932" i="2" s="1"/>
  <c r="Q1933" i="2"/>
  <c r="S1933" i="2" s="1"/>
  <c r="Q1934" i="2"/>
  <c r="S1934" i="2" s="1"/>
  <c r="Q1935" i="2"/>
  <c r="S1935" i="2" s="1"/>
  <c r="T1935" i="2" s="1"/>
  <c r="U1935" i="2" s="1"/>
  <c r="Q1936" i="2"/>
  <c r="S1936" i="2" s="1"/>
  <c r="T1936" i="2" s="1"/>
  <c r="U1936" i="2" s="1"/>
  <c r="Q1937" i="2"/>
  <c r="S1937" i="2" s="1"/>
  <c r="T1937" i="2" s="1"/>
  <c r="U1937" i="2" s="1"/>
  <c r="Q1938" i="2"/>
  <c r="S1938" i="2" s="1"/>
  <c r="T1938" i="2" s="1"/>
  <c r="U1938" i="2" s="1"/>
  <c r="Q1939" i="2"/>
  <c r="S1939" i="2" s="1"/>
  <c r="T1939" i="2" s="1"/>
  <c r="U1939" i="2" s="1"/>
  <c r="Q1940" i="2"/>
  <c r="S1940" i="2" s="1"/>
  <c r="Q1941" i="2"/>
  <c r="S1941" i="2" s="1"/>
  <c r="Q1942" i="2"/>
  <c r="S1942" i="2" s="1"/>
  <c r="T1942" i="2" s="1"/>
  <c r="U1942" i="2" s="1"/>
  <c r="Q1943" i="2"/>
  <c r="S1943" i="2" s="1"/>
  <c r="Q1944" i="2"/>
  <c r="S1944" i="2" s="1"/>
  <c r="T1944" i="2" s="1"/>
  <c r="U1944" i="2" s="1"/>
  <c r="Q1945" i="2"/>
  <c r="S1945" i="2" s="1"/>
  <c r="T1945" i="2" s="1"/>
  <c r="U1945" i="2" s="1"/>
  <c r="Q1946" i="2"/>
  <c r="S1946" i="2" s="1"/>
  <c r="T1946" i="2" s="1"/>
  <c r="U1946" i="2" s="1"/>
  <c r="Q1947" i="2"/>
  <c r="S1947" i="2" s="1"/>
  <c r="T1947" i="2" s="1"/>
  <c r="U1947" i="2" s="1"/>
  <c r="Q1948" i="2"/>
  <c r="S1948" i="2" s="1"/>
  <c r="Q1949" i="2"/>
  <c r="S1949" i="2" s="1"/>
  <c r="Q1950" i="2"/>
  <c r="S1950" i="2" s="1"/>
  <c r="T1950" i="2" s="1"/>
  <c r="U1950" i="2" s="1"/>
  <c r="Q1951" i="2"/>
  <c r="S1951" i="2" s="1"/>
  <c r="T1951" i="2" s="1"/>
  <c r="U1951" i="2" s="1"/>
  <c r="Q1952" i="2"/>
  <c r="S1952" i="2" s="1"/>
  <c r="T1952" i="2" s="1"/>
  <c r="U1952" i="2" s="1"/>
  <c r="Q1953" i="2"/>
  <c r="S1953" i="2" s="1"/>
  <c r="T1953" i="2" s="1"/>
  <c r="U1953" i="2" s="1"/>
  <c r="Q1954" i="2"/>
  <c r="S1954" i="2" s="1"/>
  <c r="T1954" i="2" s="1"/>
  <c r="U1954" i="2" s="1"/>
  <c r="Q1955" i="2"/>
  <c r="S1955" i="2" s="1"/>
  <c r="T1955" i="2" s="1"/>
  <c r="U1955" i="2" s="1"/>
  <c r="Q1956" i="2"/>
  <c r="S1956" i="2" s="1"/>
  <c r="T1956" i="2" s="1"/>
  <c r="U1956" i="2" s="1"/>
  <c r="Q1957" i="2"/>
  <c r="S1957" i="2" s="1"/>
  <c r="T1957" i="2" s="1"/>
  <c r="U1957" i="2" s="1"/>
  <c r="Q1958" i="2"/>
  <c r="S1958" i="2" s="1"/>
  <c r="T1958" i="2" s="1"/>
  <c r="U1958" i="2" s="1"/>
  <c r="Q1959" i="2"/>
  <c r="S1959" i="2" s="1"/>
  <c r="T1959" i="2" s="1"/>
  <c r="U1959" i="2" s="1"/>
  <c r="Q1960" i="2"/>
  <c r="S1960" i="2" s="1"/>
  <c r="T1960" i="2" s="1"/>
  <c r="U1960" i="2" s="1"/>
  <c r="Q1961" i="2"/>
  <c r="S1961" i="2" s="1"/>
  <c r="T1961" i="2" s="1"/>
  <c r="U1961" i="2" s="1"/>
  <c r="Q1962" i="2"/>
  <c r="S1962" i="2" s="1"/>
  <c r="T1962" i="2" s="1"/>
  <c r="U1962" i="2" s="1"/>
  <c r="Q1963" i="2"/>
  <c r="S1963" i="2" s="1"/>
  <c r="T1963" i="2" s="1"/>
  <c r="U1963" i="2" s="1"/>
  <c r="Q1964" i="2"/>
  <c r="S1964" i="2" s="1"/>
  <c r="Q1965" i="2"/>
  <c r="S1965" i="2" s="1"/>
  <c r="T1965" i="2" s="1"/>
  <c r="U1965" i="2" s="1"/>
  <c r="Q1966" i="2"/>
  <c r="S1966" i="2" s="1"/>
  <c r="T1966" i="2" s="1"/>
  <c r="U1966" i="2" s="1"/>
  <c r="Q1967" i="2"/>
  <c r="S1967" i="2" s="1"/>
  <c r="Q1968" i="2"/>
  <c r="S1968" i="2" s="1"/>
  <c r="T1968" i="2" s="1"/>
  <c r="U1968" i="2" s="1"/>
  <c r="Q1969" i="2"/>
  <c r="S1969" i="2" s="1"/>
  <c r="Q1970" i="2"/>
  <c r="S1970" i="2" s="1"/>
  <c r="T1970" i="2" s="1"/>
  <c r="U1970" i="2" s="1"/>
  <c r="Q1971" i="2"/>
  <c r="S1971" i="2" s="1"/>
  <c r="T1971" i="2" s="1"/>
  <c r="U1971" i="2" s="1"/>
  <c r="Q1972" i="2"/>
  <c r="S1972" i="2" s="1"/>
  <c r="T1972" i="2" s="1"/>
  <c r="U1972" i="2" s="1"/>
  <c r="Q1973" i="2"/>
  <c r="S1973" i="2" s="1"/>
  <c r="T1973" i="2" s="1"/>
  <c r="U1973" i="2" s="1"/>
  <c r="Q1974" i="2"/>
  <c r="S1974" i="2" s="1"/>
  <c r="Q1975" i="2"/>
  <c r="S1975" i="2" s="1"/>
  <c r="Q1976" i="2"/>
  <c r="S1976" i="2" s="1"/>
  <c r="T1976" i="2" s="1"/>
  <c r="U1976" i="2" s="1"/>
  <c r="Q1977" i="2"/>
  <c r="S1977" i="2" s="1"/>
  <c r="T1977" i="2" s="1"/>
  <c r="U1977" i="2" s="1"/>
  <c r="Q1978" i="2"/>
  <c r="S1978" i="2" s="1"/>
  <c r="Q1979" i="2"/>
  <c r="S1979" i="2" s="1"/>
  <c r="Q1980" i="2"/>
  <c r="S1980" i="2" s="1"/>
  <c r="T1980" i="2" s="1"/>
  <c r="U1980" i="2" s="1"/>
  <c r="Q1981" i="2"/>
  <c r="S1981" i="2" s="1"/>
  <c r="T1981" i="2" s="1"/>
  <c r="U1981" i="2" s="1"/>
  <c r="Q1982" i="2"/>
  <c r="S1982" i="2" s="1"/>
  <c r="Q1983" i="2"/>
  <c r="S1983" i="2" s="1"/>
  <c r="T1983" i="2" s="1"/>
  <c r="U1983" i="2" s="1"/>
  <c r="Q1984" i="2"/>
  <c r="S1984" i="2" s="1"/>
  <c r="T1984" i="2" s="1"/>
  <c r="U1984" i="2" s="1"/>
  <c r="Q1985" i="2"/>
  <c r="S1985" i="2" s="1"/>
  <c r="T1985" i="2" s="1"/>
  <c r="U1985" i="2" s="1"/>
  <c r="Q1986" i="2"/>
  <c r="S1986" i="2" s="1"/>
  <c r="T1986" i="2" s="1"/>
  <c r="U1986" i="2" s="1"/>
  <c r="Q1987" i="2"/>
  <c r="S1987" i="2" s="1"/>
  <c r="T1987" i="2" s="1"/>
  <c r="U1987" i="2" s="1"/>
  <c r="Q1988" i="2"/>
  <c r="S1988" i="2" s="1"/>
  <c r="T1988" i="2" s="1"/>
  <c r="U1988" i="2" s="1"/>
  <c r="Q1989" i="2"/>
  <c r="S1989" i="2" s="1"/>
  <c r="T1989" i="2" s="1"/>
  <c r="U1989" i="2" s="1"/>
  <c r="Q1990" i="2"/>
  <c r="S1990" i="2" s="1"/>
  <c r="Q1991" i="2"/>
  <c r="S1991" i="2" s="1"/>
  <c r="T1991" i="2" s="1"/>
  <c r="U1991" i="2" s="1"/>
  <c r="Q1992" i="2"/>
  <c r="S1992" i="2" s="1"/>
  <c r="Q1993" i="2"/>
  <c r="S1993" i="2" s="1"/>
  <c r="T1993" i="2" s="1"/>
  <c r="U1993" i="2" s="1"/>
  <c r="Q1994" i="2"/>
  <c r="S1994" i="2" s="1"/>
  <c r="T1994" i="2" s="1"/>
  <c r="U1994" i="2" s="1"/>
  <c r="Q1995" i="2"/>
  <c r="S1995" i="2" s="1"/>
  <c r="T1995" i="2" s="1"/>
  <c r="U1995" i="2" s="1"/>
  <c r="Q1996" i="2"/>
  <c r="S1996" i="2" s="1"/>
  <c r="T1996" i="2" s="1"/>
  <c r="U1996" i="2" s="1"/>
  <c r="Q1997" i="2"/>
  <c r="S1997" i="2" s="1"/>
  <c r="T1997" i="2" s="1"/>
  <c r="U1997" i="2" s="1"/>
  <c r="Q1998" i="2"/>
  <c r="S1998" i="2" s="1"/>
  <c r="Q1999" i="2"/>
  <c r="S1999" i="2" s="1"/>
  <c r="Q2000" i="2"/>
  <c r="S2000" i="2" s="1"/>
  <c r="T2000" i="2" s="1"/>
  <c r="U2000" i="2" s="1"/>
  <c r="Q2001" i="2"/>
  <c r="S2001" i="2" s="1"/>
  <c r="T2001" i="2" s="1"/>
  <c r="U2001" i="2" s="1"/>
  <c r="Q2002" i="2"/>
  <c r="S2002" i="2" s="1"/>
  <c r="T2002" i="2" s="1"/>
  <c r="U2002" i="2" s="1"/>
  <c r="Q2003" i="2"/>
  <c r="S2003" i="2" s="1"/>
  <c r="T2003" i="2" s="1"/>
  <c r="U2003" i="2" s="1"/>
  <c r="Q2004" i="2"/>
  <c r="S2004" i="2" s="1"/>
  <c r="T2004" i="2" s="1"/>
  <c r="U2004" i="2" s="1"/>
  <c r="Q2005" i="2"/>
  <c r="S2005" i="2" s="1"/>
  <c r="T2005" i="2" s="1"/>
  <c r="U2005" i="2" s="1"/>
  <c r="Q2006" i="2"/>
  <c r="S2006" i="2" s="1"/>
  <c r="T2006" i="2" s="1"/>
  <c r="U2006" i="2" s="1"/>
  <c r="Q2007" i="2"/>
  <c r="S2007" i="2" s="1"/>
  <c r="Q2008" i="2"/>
  <c r="S2008" i="2" s="1"/>
  <c r="T2008" i="2" s="1"/>
  <c r="U2008" i="2" s="1"/>
  <c r="Q2009" i="2"/>
  <c r="S2009" i="2" s="1"/>
  <c r="T2009" i="2" s="1"/>
  <c r="U2009" i="2" s="1"/>
  <c r="Q2010" i="2"/>
  <c r="S2010" i="2" s="1"/>
  <c r="T2010" i="2" s="1"/>
  <c r="U2010" i="2" s="1"/>
  <c r="Q2011" i="2"/>
  <c r="S2011" i="2" s="1"/>
  <c r="T2011" i="2" s="1"/>
  <c r="U2011" i="2" s="1"/>
  <c r="Q2012" i="2"/>
  <c r="S2012" i="2" s="1"/>
  <c r="Q2013" i="2"/>
  <c r="S2013" i="2" s="1"/>
  <c r="T2013" i="2" s="1"/>
  <c r="U2013" i="2" s="1"/>
  <c r="Q2014" i="2"/>
  <c r="S2014" i="2" s="1"/>
  <c r="Q2015" i="2"/>
  <c r="S2015" i="2" s="1"/>
  <c r="T2015" i="2" s="1"/>
  <c r="U2015" i="2" s="1"/>
  <c r="Q2016" i="2"/>
  <c r="S2016" i="2" s="1"/>
  <c r="Q2017" i="2"/>
  <c r="S2017" i="2" s="1"/>
  <c r="Q2018" i="2"/>
  <c r="S2018" i="2" s="1"/>
  <c r="T2018" i="2" s="1"/>
  <c r="U2018" i="2" s="1"/>
  <c r="Q2019" i="2"/>
  <c r="S2019" i="2" s="1"/>
  <c r="Q2020" i="2"/>
  <c r="S2020" i="2" s="1"/>
  <c r="Q2021" i="2"/>
  <c r="S2021" i="2" s="1"/>
  <c r="Q2022" i="2"/>
  <c r="S2022" i="2" s="1"/>
  <c r="T2022" i="2" s="1"/>
  <c r="U2022" i="2" s="1"/>
  <c r="Q2023" i="2"/>
  <c r="S2023" i="2" s="1"/>
  <c r="Q2024" i="2"/>
  <c r="S2024" i="2" s="1"/>
  <c r="T2024" i="2" s="1"/>
  <c r="U2024" i="2" s="1"/>
  <c r="Q2025" i="2"/>
  <c r="S2025" i="2" s="1"/>
  <c r="T2025" i="2" s="1"/>
  <c r="U2025" i="2" s="1"/>
  <c r="Q2026" i="2"/>
  <c r="S2026" i="2" s="1"/>
  <c r="T2026" i="2" s="1"/>
  <c r="U2026" i="2" s="1"/>
  <c r="Q2027" i="2"/>
  <c r="S2027" i="2" s="1"/>
  <c r="Q2028" i="2"/>
  <c r="S2028" i="2" s="1"/>
  <c r="T2028" i="2" s="1"/>
  <c r="U2028" i="2" s="1"/>
  <c r="Q2029" i="2"/>
  <c r="S2029" i="2" s="1"/>
  <c r="T2029" i="2" s="1"/>
  <c r="U2029" i="2" s="1"/>
  <c r="Q2030" i="2"/>
  <c r="S2030" i="2" s="1"/>
  <c r="Q2031" i="2"/>
  <c r="S2031" i="2" s="1"/>
  <c r="T2031" i="2" s="1"/>
  <c r="U2031" i="2" s="1"/>
  <c r="Q2032" i="2"/>
  <c r="S2032" i="2" s="1"/>
  <c r="Q2033" i="2"/>
  <c r="S2033" i="2" s="1"/>
  <c r="T2033" i="2" s="1"/>
  <c r="U2033" i="2" s="1"/>
  <c r="Q2034" i="2"/>
  <c r="S2034" i="2" s="1"/>
  <c r="T2034" i="2" s="1"/>
  <c r="U2034" i="2" s="1"/>
  <c r="Q2035" i="2"/>
  <c r="S2035" i="2" s="1"/>
  <c r="T2035" i="2" s="1"/>
  <c r="U2035" i="2" s="1"/>
  <c r="Q2036" i="2"/>
  <c r="S2036" i="2" s="1"/>
  <c r="T2036" i="2" s="1"/>
  <c r="U2036" i="2" s="1"/>
  <c r="Q2037" i="2"/>
  <c r="S2037" i="2" s="1"/>
  <c r="T2037" i="2" s="1"/>
  <c r="U2037" i="2" s="1"/>
  <c r="Q2038" i="2"/>
  <c r="S2038" i="2" s="1"/>
  <c r="T2038" i="2" s="1"/>
  <c r="U2038" i="2" s="1"/>
  <c r="Q2039" i="2"/>
  <c r="S2039" i="2" s="1"/>
  <c r="T2039" i="2" s="1"/>
  <c r="U2039" i="2" s="1"/>
  <c r="Q2040" i="2"/>
  <c r="S2040" i="2" s="1"/>
  <c r="Q2041" i="2"/>
  <c r="S2041" i="2" s="1"/>
  <c r="T2041" i="2" s="1"/>
  <c r="U2041" i="2" s="1"/>
  <c r="Q2042" i="2"/>
  <c r="S2042" i="2" s="1"/>
  <c r="T2042" i="2" s="1"/>
  <c r="U2042" i="2" s="1"/>
  <c r="Q2043" i="2"/>
  <c r="S2043" i="2" s="1"/>
  <c r="T2043" i="2" s="1"/>
  <c r="U2043" i="2" s="1"/>
  <c r="Q2044" i="2"/>
  <c r="S2044" i="2" s="1"/>
  <c r="T2044" i="2" s="1"/>
  <c r="U2044" i="2" s="1"/>
  <c r="Q2045" i="2"/>
  <c r="S2045" i="2" s="1"/>
  <c r="T2045" i="2" s="1"/>
  <c r="U2045" i="2" s="1"/>
  <c r="Q2046" i="2"/>
  <c r="S2046" i="2" s="1"/>
  <c r="T2046" i="2" s="1"/>
  <c r="U2046" i="2" s="1"/>
  <c r="Q2047" i="2"/>
  <c r="S2047" i="2" s="1"/>
  <c r="T2047" i="2" s="1"/>
  <c r="U2047" i="2" s="1"/>
  <c r="Q2048" i="2"/>
  <c r="S2048" i="2" s="1"/>
  <c r="T2048" i="2" s="1"/>
  <c r="U2048" i="2" s="1"/>
  <c r="Q2049" i="2"/>
  <c r="S2049" i="2" s="1"/>
  <c r="T2049" i="2" s="1"/>
  <c r="U2049" i="2" s="1"/>
  <c r="Q2050" i="2"/>
  <c r="S2050" i="2" s="1"/>
  <c r="T2050" i="2" s="1"/>
  <c r="U2050" i="2" s="1"/>
  <c r="Q2051" i="2"/>
  <c r="S2051" i="2" s="1"/>
  <c r="T2051" i="2" s="1"/>
  <c r="U2051" i="2" s="1"/>
  <c r="Q2052" i="2"/>
  <c r="S2052" i="2" s="1"/>
  <c r="T2052" i="2" s="1"/>
  <c r="U2052" i="2" s="1"/>
  <c r="Q2053" i="2"/>
  <c r="S2053" i="2" s="1"/>
  <c r="T2053" i="2" s="1"/>
  <c r="U2053" i="2" s="1"/>
  <c r="Q2054" i="2"/>
  <c r="S2054" i="2" s="1"/>
  <c r="T2054" i="2" s="1"/>
  <c r="U2054" i="2" s="1"/>
  <c r="Q2055" i="2"/>
  <c r="S2055" i="2" s="1"/>
  <c r="T2055" i="2" s="1"/>
  <c r="U2055" i="2" s="1"/>
  <c r="Q2056" i="2"/>
  <c r="S2056" i="2" s="1"/>
  <c r="T2056" i="2" s="1"/>
  <c r="U2056" i="2" s="1"/>
  <c r="Q2057" i="2"/>
  <c r="S2057" i="2" s="1"/>
  <c r="T2057" i="2" s="1"/>
  <c r="U2057" i="2" s="1"/>
  <c r="Q2058" i="2"/>
  <c r="S2058" i="2" s="1"/>
  <c r="T2058" i="2" s="1"/>
  <c r="U2058" i="2" s="1"/>
  <c r="Q2059" i="2"/>
  <c r="S2059" i="2" s="1"/>
  <c r="T2059" i="2" s="1"/>
  <c r="U2059" i="2" s="1"/>
  <c r="Q2060" i="2"/>
  <c r="S2060" i="2" s="1"/>
  <c r="T2060" i="2" s="1"/>
  <c r="U2060" i="2" s="1"/>
  <c r="Q2061" i="2"/>
  <c r="S2061" i="2" s="1"/>
  <c r="T2061" i="2" s="1"/>
  <c r="U2061" i="2" s="1"/>
  <c r="Q2062" i="2"/>
  <c r="S2062" i="2" s="1"/>
  <c r="T2062" i="2" s="1"/>
  <c r="U2062" i="2" s="1"/>
  <c r="Q2063" i="2"/>
  <c r="S2063" i="2" s="1"/>
  <c r="T2063" i="2" s="1"/>
  <c r="U2063" i="2" s="1"/>
  <c r="Q2064" i="2"/>
  <c r="S2064" i="2" s="1"/>
  <c r="T2064" i="2" s="1"/>
  <c r="U2064" i="2" s="1"/>
  <c r="Q2065" i="2"/>
  <c r="S2065" i="2" s="1"/>
  <c r="T2065" i="2" s="1"/>
  <c r="U2065" i="2" s="1"/>
  <c r="Q2066" i="2"/>
  <c r="S2066" i="2" s="1"/>
  <c r="Q2067" i="2"/>
  <c r="S2067" i="2" s="1"/>
  <c r="T2067" i="2" s="1"/>
  <c r="U2067" i="2" s="1"/>
  <c r="Q2068" i="2"/>
  <c r="S2068" i="2" s="1"/>
  <c r="Q2069" i="2"/>
  <c r="S2069" i="2" s="1"/>
  <c r="T2069" i="2" s="1"/>
  <c r="U2069" i="2" s="1"/>
  <c r="Q2070" i="2"/>
  <c r="S2070" i="2" s="1"/>
  <c r="T2070" i="2" s="1"/>
  <c r="U2070" i="2" s="1"/>
  <c r="Q2071" i="2"/>
  <c r="S2071" i="2" s="1"/>
  <c r="T2071" i="2" s="1"/>
  <c r="U2071" i="2" s="1"/>
  <c r="Q2072" i="2"/>
  <c r="S2072" i="2" s="1"/>
  <c r="T2072" i="2" s="1"/>
  <c r="U2072" i="2" s="1"/>
  <c r="Q2073" i="2"/>
  <c r="S2073" i="2" s="1"/>
  <c r="T2073" i="2" s="1"/>
  <c r="U2073" i="2" s="1"/>
  <c r="Q2074" i="2"/>
  <c r="S2074" i="2" s="1"/>
  <c r="T2074" i="2" s="1"/>
  <c r="U2074" i="2" s="1"/>
  <c r="Q2075" i="2"/>
  <c r="S2075" i="2" s="1"/>
  <c r="Q2076" i="2"/>
  <c r="S2076" i="2" s="1"/>
  <c r="T2076" i="2" s="1"/>
  <c r="U2076" i="2" s="1"/>
  <c r="Q2077" i="2"/>
  <c r="S2077" i="2" s="1"/>
  <c r="Q2078" i="2"/>
  <c r="S2078" i="2" s="1"/>
  <c r="T2078" i="2" s="1"/>
  <c r="U2078" i="2" s="1"/>
  <c r="Q2079" i="2"/>
  <c r="S2079" i="2" s="1"/>
  <c r="Q2080" i="2"/>
  <c r="S2080" i="2" s="1"/>
  <c r="T2080" i="2" s="1"/>
  <c r="U2080" i="2" s="1"/>
  <c r="Q2081" i="2"/>
  <c r="S2081" i="2" s="1"/>
  <c r="T2081" i="2" s="1"/>
  <c r="U2081" i="2" s="1"/>
  <c r="Q2082" i="2"/>
  <c r="S2082" i="2" s="1"/>
  <c r="T2082" i="2" s="1"/>
  <c r="U2082" i="2" s="1"/>
  <c r="Q2083" i="2"/>
  <c r="S2083" i="2" s="1"/>
  <c r="Q2084" i="2"/>
  <c r="S2084" i="2" s="1"/>
  <c r="Q2085" i="2"/>
  <c r="S2085" i="2" s="1"/>
  <c r="T2085" i="2" s="1"/>
  <c r="U2085" i="2" s="1"/>
  <c r="Q2086" i="2"/>
  <c r="S2086" i="2" s="1"/>
  <c r="T2086" i="2" s="1"/>
  <c r="U2086" i="2" s="1"/>
  <c r="Q2087" i="2"/>
  <c r="S2087" i="2" s="1"/>
  <c r="Q2088" i="2"/>
  <c r="S2088" i="2" s="1"/>
  <c r="Q2089" i="2"/>
  <c r="S2089" i="2" s="1"/>
  <c r="T2089" i="2" s="1"/>
  <c r="U2089" i="2" s="1"/>
  <c r="Q2090" i="2"/>
  <c r="S2090" i="2" s="1"/>
  <c r="T2090" i="2" s="1"/>
  <c r="U2090" i="2" s="1"/>
  <c r="Q2091" i="2"/>
  <c r="S2091" i="2" s="1"/>
  <c r="T2091" i="2" s="1"/>
  <c r="U2091" i="2" s="1"/>
  <c r="Q2092" i="2"/>
  <c r="S2092" i="2" s="1"/>
  <c r="T2092" i="2" s="1"/>
  <c r="U2092" i="2" s="1"/>
  <c r="Q2093" i="2"/>
  <c r="S2093" i="2" s="1"/>
  <c r="T2093" i="2" s="1"/>
  <c r="U2093" i="2" s="1"/>
  <c r="Q2094" i="2"/>
  <c r="S2094" i="2" s="1"/>
  <c r="T2094" i="2" s="1"/>
  <c r="U2094" i="2" s="1"/>
  <c r="Q2095" i="2"/>
  <c r="S2095" i="2" s="1"/>
  <c r="T2095" i="2" s="1"/>
  <c r="U2095" i="2" s="1"/>
  <c r="Q2096" i="2"/>
  <c r="S2096" i="2" s="1"/>
  <c r="T2096" i="2" s="1"/>
  <c r="U2096" i="2" s="1"/>
  <c r="Q2097" i="2"/>
  <c r="S2097" i="2" s="1"/>
  <c r="T2097" i="2" s="1"/>
  <c r="U2097" i="2" s="1"/>
  <c r="Q2098" i="2"/>
  <c r="S2098" i="2" s="1"/>
  <c r="T2098" i="2" s="1"/>
  <c r="U2098" i="2" s="1"/>
  <c r="Q2099" i="2"/>
  <c r="S2099" i="2" s="1"/>
  <c r="T2099" i="2" s="1"/>
  <c r="U2099" i="2" s="1"/>
  <c r="Q2100" i="2"/>
  <c r="S2100" i="2" s="1"/>
  <c r="T2100" i="2" s="1"/>
  <c r="U2100" i="2" s="1"/>
  <c r="Q2101" i="2"/>
  <c r="S2101" i="2" s="1"/>
  <c r="T2101" i="2" s="1"/>
  <c r="U2101" i="2" s="1"/>
  <c r="Q2102" i="2"/>
  <c r="S2102" i="2" s="1"/>
  <c r="T2102" i="2" s="1"/>
  <c r="U2102" i="2" s="1"/>
  <c r="Q2103" i="2"/>
  <c r="S2103" i="2" s="1"/>
  <c r="T2103" i="2" s="1"/>
  <c r="U2103" i="2" s="1"/>
  <c r="Q2104" i="2"/>
  <c r="S2104" i="2" s="1"/>
  <c r="T2104" i="2" s="1"/>
  <c r="U2104" i="2" s="1"/>
  <c r="Q2105" i="2"/>
  <c r="S2105" i="2" s="1"/>
  <c r="Q2106" i="2"/>
  <c r="S2106" i="2" s="1"/>
  <c r="T2106" i="2" s="1"/>
  <c r="U2106" i="2" s="1"/>
  <c r="Q2107" i="2"/>
  <c r="S2107" i="2" s="1"/>
  <c r="Q2108" i="2"/>
  <c r="S2108" i="2" s="1"/>
  <c r="Q2109" i="2"/>
  <c r="S2109" i="2" s="1"/>
  <c r="T2109" i="2" s="1"/>
  <c r="U2109" i="2" s="1"/>
  <c r="Q2110" i="2"/>
  <c r="S2110" i="2" s="1"/>
  <c r="Q2111" i="2"/>
  <c r="S2111" i="2" s="1"/>
  <c r="Q2112" i="2"/>
  <c r="S2112" i="2" s="1"/>
  <c r="T2112" i="2" s="1"/>
  <c r="U2112" i="2" s="1"/>
  <c r="Q2113" i="2"/>
  <c r="S2113" i="2" s="1"/>
  <c r="Q2114" i="2"/>
  <c r="S2114" i="2" s="1"/>
  <c r="T2114" i="2" s="1"/>
  <c r="U2114" i="2" s="1"/>
  <c r="Q2115" i="2"/>
  <c r="S2115" i="2" s="1"/>
  <c r="Q2116" i="2"/>
  <c r="S2116" i="2" s="1"/>
  <c r="T2116" i="2" s="1"/>
  <c r="U2116" i="2" s="1"/>
  <c r="Q2117" i="2"/>
  <c r="S2117" i="2" s="1"/>
  <c r="T2117" i="2" s="1"/>
  <c r="U2117" i="2" s="1"/>
  <c r="Q2118" i="2"/>
  <c r="S2118" i="2" s="1"/>
  <c r="T2118" i="2" s="1"/>
  <c r="U2118" i="2" s="1"/>
  <c r="Q2119" i="2"/>
  <c r="S2119" i="2" s="1"/>
  <c r="T2119" i="2" s="1"/>
  <c r="U2119" i="2" s="1"/>
  <c r="Q2120" i="2"/>
  <c r="S2120" i="2" s="1"/>
  <c r="T2120" i="2" s="1"/>
  <c r="U2120" i="2" s="1"/>
  <c r="Q2121" i="2"/>
  <c r="S2121" i="2" s="1"/>
  <c r="T2121" i="2" s="1"/>
  <c r="U2121" i="2" s="1"/>
  <c r="Q2122" i="2"/>
  <c r="S2122" i="2" s="1"/>
  <c r="T2122" i="2" s="1"/>
  <c r="U2122" i="2" s="1"/>
  <c r="Q2123" i="2"/>
  <c r="S2123" i="2" s="1"/>
  <c r="T2123" i="2" s="1"/>
  <c r="U2123" i="2" s="1"/>
  <c r="Q2124" i="2"/>
  <c r="S2124" i="2" s="1"/>
  <c r="Q2125" i="2"/>
  <c r="S2125" i="2" s="1"/>
  <c r="Q2126" i="2"/>
  <c r="S2126" i="2" s="1"/>
  <c r="T2126" i="2" s="1"/>
  <c r="U2126" i="2" s="1"/>
  <c r="Q2127" i="2"/>
  <c r="S2127" i="2" s="1"/>
  <c r="T2127" i="2" s="1"/>
  <c r="U2127" i="2" s="1"/>
  <c r="Q2128" i="2"/>
  <c r="S2128" i="2" s="1"/>
  <c r="Q2129" i="2"/>
  <c r="S2129" i="2" s="1"/>
  <c r="T2129" i="2" s="1"/>
  <c r="U2129" i="2" s="1"/>
  <c r="Q2130" i="2"/>
  <c r="S2130" i="2" s="1"/>
  <c r="Q2131" i="2"/>
  <c r="S2131" i="2" s="1"/>
  <c r="T2131" i="2" s="1"/>
  <c r="U2131" i="2" s="1"/>
  <c r="Q2132" i="2"/>
  <c r="S2132" i="2" s="1"/>
  <c r="T2132" i="2" s="1"/>
  <c r="U2132" i="2" s="1"/>
  <c r="Q2133" i="2"/>
  <c r="S2133" i="2" s="1"/>
  <c r="T2133" i="2" s="1"/>
  <c r="U2133" i="2" s="1"/>
  <c r="Q2134" i="2"/>
  <c r="S2134" i="2" s="1"/>
  <c r="T2134" i="2" s="1"/>
  <c r="U2134" i="2" s="1"/>
  <c r="Q2135" i="2"/>
  <c r="S2135" i="2" s="1"/>
  <c r="T2135" i="2" s="1"/>
  <c r="U2135" i="2" s="1"/>
  <c r="Q2136" i="2"/>
  <c r="S2136" i="2" s="1"/>
  <c r="T2136" i="2" s="1"/>
  <c r="U2136" i="2" s="1"/>
  <c r="Q2137" i="2"/>
  <c r="S2137" i="2" s="1"/>
  <c r="T2137" i="2" s="1"/>
  <c r="U2137" i="2" s="1"/>
  <c r="Q2138" i="2"/>
  <c r="S2138" i="2" s="1"/>
  <c r="T2138" i="2" s="1"/>
  <c r="U2138" i="2" s="1"/>
  <c r="Q2139" i="2"/>
  <c r="S2139" i="2" s="1"/>
  <c r="T2139" i="2" s="1"/>
  <c r="U2139" i="2" s="1"/>
  <c r="Q2140" i="2"/>
  <c r="S2140" i="2" s="1"/>
  <c r="T2140" i="2" s="1"/>
  <c r="U2140" i="2" s="1"/>
  <c r="Q2141" i="2"/>
  <c r="S2141" i="2" s="1"/>
  <c r="T2141" i="2" s="1"/>
  <c r="U2141" i="2" s="1"/>
  <c r="Q2142" i="2"/>
  <c r="S2142" i="2" s="1"/>
  <c r="T2142" i="2" s="1"/>
  <c r="U2142" i="2" s="1"/>
  <c r="Q2143" i="2"/>
  <c r="S2143" i="2" s="1"/>
  <c r="T2143" i="2" s="1"/>
  <c r="U2143" i="2" s="1"/>
  <c r="Q2144" i="2"/>
  <c r="S2144" i="2" s="1"/>
  <c r="T2144" i="2" s="1"/>
  <c r="U2144" i="2" s="1"/>
  <c r="Q2145" i="2"/>
  <c r="S2145" i="2" s="1"/>
  <c r="T2145" i="2" s="1"/>
  <c r="U2145" i="2" s="1"/>
  <c r="Q2146" i="2"/>
  <c r="S2146" i="2" s="1"/>
  <c r="Q2147" i="2"/>
  <c r="S2147" i="2" s="1"/>
  <c r="Q2148" i="2"/>
  <c r="S2148" i="2" s="1"/>
  <c r="T2148" i="2" s="1"/>
  <c r="U2148" i="2" s="1"/>
  <c r="Q2149" i="2"/>
  <c r="S2149" i="2" s="1"/>
  <c r="Q2150" i="2"/>
  <c r="S2150" i="2" s="1"/>
  <c r="T2150" i="2" s="1"/>
  <c r="U2150" i="2" s="1"/>
  <c r="Q2151" i="2"/>
  <c r="S2151" i="2" s="1"/>
  <c r="Q2152" i="2"/>
  <c r="S2152" i="2" s="1"/>
  <c r="Q2153" i="2"/>
  <c r="S2153" i="2" s="1"/>
  <c r="T2153" i="2" s="1"/>
  <c r="U2153" i="2" s="1"/>
  <c r="Q2154" i="2"/>
  <c r="S2154" i="2" s="1"/>
  <c r="T2154" i="2" s="1"/>
  <c r="U2154" i="2" s="1"/>
  <c r="Q2155" i="2"/>
  <c r="S2155" i="2" s="1"/>
  <c r="T2155" i="2" s="1"/>
  <c r="U2155" i="2" s="1"/>
  <c r="Q2156" i="2"/>
  <c r="S2156" i="2" s="1"/>
  <c r="T2156" i="2" s="1"/>
  <c r="U2156" i="2" s="1"/>
  <c r="Q2157" i="2"/>
  <c r="S2157" i="2" s="1"/>
  <c r="T2157" i="2" s="1"/>
  <c r="U2157" i="2" s="1"/>
  <c r="Q2158" i="2"/>
  <c r="S2158" i="2" s="1"/>
  <c r="T2158" i="2" s="1"/>
  <c r="U2158" i="2" s="1"/>
  <c r="Q2159" i="2"/>
  <c r="S2159" i="2" s="1"/>
  <c r="T2159" i="2" s="1"/>
  <c r="U2159" i="2" s="1"/>
  <c r="Q2160" i="2"/>
  <c r="S2160" i="2" s="1"/>
  <c r="T2160" i="2" s="1"/>
  <c r="U2160" i="2" s="1"/>
  <c r="Q2161" i="2"/>
  <c r="S2161" i="2" s="1"/>
  <c r="T2161" i="2" s="1"/>
  <c r="U2161" i="2" s="1"/>
  <c r="Q2162" i="2"/>
  <c r="S2162" i="2" s="1"/>
  <c r="T2162" i="2" s="1"/>
  <c r="U2162" i="2" s="1"/>
  <c r="Q2163" i="2"/>
  <c r="S2163" i="2" s="1"/>
  <c r="T2163" i="2" s="1"/>
  <c r="U2163" i="2" s="1"/>
  <c r="Q2164" i="2"/>
  <c r="S2164" i="2" s="1"/>
  <c r="T2164" i="2" s="1"/>
  <c r="U2164" i="2" s="1"/>
  <c r="Q2165" i="2"/>
  <c r="S2165" i="2" s="1"/>
  <c r="T2165" i="2" s="1"/>
  <c r="U2165" i="2" s="1"/>
  <c r="Q2166" i="2"/>
  <c r="S2166" i="2" s="1"/>
  <c r="T2166" i="2" s="1"/>
  <c r="U2166" i="2" s="1"/>
  <c r="Q2167" i="2"/>
  <c r="S2167" i="2" s="1"/>
  <c r="T2167" i="2" s="1"/>
  <c r="U2167" i="2" s="1"/>
  <c r="Q2168" i="2"/>
  <c r="S2168" i="2" s="1"/>
  <c r="Q2169" i="2"/>
  <c r="S2169" i="2" s="1"/>
  <c r="T2169" i="2" s="1"/>
  <c r="U2169" i="2" s="1"/>
  <c r="Q2170" i="2"/>
  <c r="S2170" i="2" s="1"/>
  <c r="T2170" i="2" s="1"/>
  <c r="U2170" i="2" s="1"/>
  <c r="Q2171" i="2"/>
  <c r="S2171" i="2" s="1"/>
  <c r="T2171" i="2" s="1"/>
  <c r="U2171" i="2" s="1"/>
  <c r="Q2172" i="2"/>
  <c r="S2172" i="2" s="1"/>
  <c r="T2172" i="2" s="1"/>
  <c r="U2172" i="2" s="1"/>
  <c r="Q2173" i="2"/>
  <c r="S2173" i="2" s="1"/>
  <c r="T2173" i="2" s="1"/>
  <c r="U2173" i="2" s="1"/>
  <c r="Q2174" i="2"/>
  <c r="S2174" i="2" s="1"/>
  <c r="Q2175" i="2"/>
  <c r="S2175" i="2" s="1"/>
  <c r="T2175" i="2" s="1"/>
  <c r="U2175" i="2" s="1"/>
  <c r="Q2176" i="2"/>
  <c r="S2176" i="2" s="1"/>
  <c r="Q2177" i="2"/>
  <c r="S2177" i="2" s="1"/>
  <c r="Q2178" i="2"/>
  <c r="S2178" i="2" s="1"/>
  <c r="Q2179" i="2"/>
  <c r="S2179" i="2" s="1"/>
  <c r="T2179" i="2" s="1"/>
  <c r="U2179" i="2" s="1"/>
  <c r="Q2180" i="2"/>
  <c r="S2180" i="2" s="1"/>
  <c r="T2180" i="2" s="1"/>
  <c r="U2180" i="2" s="1"/>
  <c r="Q2181" i="2"/>
  <c r="S2181" i="2" s="1"/>
  <c r="Q2182" i="2"/>
  <c r="S2182" i="2" s="1"/>
  <c r="T2182" i="2" s="1"/>
  <c r="U2182" i="2" s="1"/>
  <c r="Q2183" i="2"/>
  <c r="S2183" i="2" s="1"/>
  <c r="T2183" i="2" s="1"/>
  <c r="U2183" i="2" s="1"/>
  <c r="Q2184" i="2"/>
  <c r="S2184" i="2" s="1"/>
  <c r="T2184" i="2" s="1"/>
  <c r="U2184" i="2" s="1"/>
  <c r="Q2185" i="2"/>
  <c r="S2185" i="2" s="1"/>
  <c r="Q2186" i="2"/>
  <c r="S2186" i="2" s="1"/>
  <c r="T2186" i="2" s="1"/>
  <c r="U2186" i="2" s="1"/>
  <c r="Q2187" i="2"/>
  <c r="S2187" i="2" s="1"/>
  <c r="Q2188" i="2"/>
  <c r="S2188" i="2" s="1"/>
  <c r="T2188" i="2" s="1"/>
  <c r="U2188" i="2" s="1"/>
  <c r="Q2189" i="2"/>
  <c r="S2189" i="2" s="1"/>
  <c r="T2189" i="2" s="1"/>
  <c r="U2189" i="2" s="1"/>
  <c r="Q2190" i="2"/>
  <c r="S2190" i="2" s="1"/>
  <c r="Q2191" i="2"/>
  <c r="S2191" i="2" s="1"/>
  <c r="Q2192" i="2"/>
  <c r="S2192" i="2" s="1"/>
  <c r="Q2193" i="2"/>
  <c r="S2193" i="2" s="1"/>
  <c r="T2193" i="2" s="1"/>
  <c r="U2193" i="2" s="1"/>
  <c r="Q2194" i="2"/>
  <c r="S2194" i="2" s="1"/>
  <c r="Q2195" i="2"/>
  <c r="S2195" i="2" s="1"/>
  <c r="T2195" i="2" s="1"/>
  <c r="U2195" i="2" s="1"/>
  <c r="Q2196" i="2"/>
  <c r="S2196" i="2" s="1"/>
  <c r="T2196" i="2" s="1"/>
  <c r="U2196" i="2" s="1"/>
  <c r="Q2197" i="2"/>
  <c r="S2197" i="2" s="1"/>
  <c r="T2197" i="2" s="1"/>
  <c r="U2197" i="2" s="1"/>
  <c r="Q2198" i="2"/>
  <c r="S2198" i="2" s="1"/>
  <c r="T2198" i="2" s="1"/>
  <c r="U2198" i="2" s="1"/>
  <c r="Q2199" i="2"/>
  <c r="S2199" i="2" s="1"/>
  <c r="Q2200" i="2"/>
  <c r="S2200" i="2" s="1"/>
  <c r="Q2201" i="2"/>
  <c r="S2201" i="2" s="1"/>
  <c r="T2201" i="2" s="1"/>
  <c r="U2201" i="2" s="1"/>
  <c r="Q2202" i="2"/>
  <c r="S2202" i="2" s="1"/>
  <c r="T2202" i="2" s="1"/>
  <c r="U2202" i="2" s="1"/>
  <c r="Q2203" i="2"/>
  <c r="S2203" i="2" s="1"/>
  <c r="Q2204" i="2"/>
  <c r="S2204" i="2" s="1"/>
  <c r="Q2205" i="2"/>
  <c r="S2205" i="2" s="1"/>
  <c r="T2205" i="2" s="1"/>
  <c r="U2205" i="2" s="1"/>
  <c r="Q2206" i="2"/>
  <c r="S2206" i="2" s="1"/>
  <c r="T2206" i="2" s="1"/>
  <c r="U2206" i="2" s="1"/>
  <c r="Q2207" i="2"/>
  <c r="S2207" i="2" s="1"/>
  <c r="T2207" i="2" s="1"/>
  <c r="U2207" i="2" s="1"/>
  <c r="Q2208" i="2"/>
  <c r="S2208" i="2" s="1"/>
  <c r="T2208" i="2" s="1"/>
  <c r="U2208" i="2" s="1"/>
  <c r="Q2209" i="2"/>
  <c r="S2209" i="2" s="1"/>
  <c r="Q2210" i="2"/>
  <c r="S2210" i="2" s="1"/>
  <c r="T2210" i="2" s="1"/>
  <c r="U2210" i="2" s="1"/>
  <c r="Q2211" i="2"/>
  <c r="S2211" i="2" s="1"/>
  <c r="Q2212" i="2"/>
  <c r="S2212" i="2" s="1"/>
  <c r="Q2213" i="2"/>
  <c r="S2213" i="2" s="1"/>
  <c r="T2213" i="2" s="1"/>
  <c r="U2213" i="2" s="1"/>
  <c r="Q2214" i="2"/>
  <c r="S2214" i="2" s="1"/>
  <c r="T2214" i="2" s="1"/>
  <c r="U2214" i="2" s="1"/>
  <c r="Q2215" i="2"/>
  <c r="S2215" i="2" s="1"/>
  <c r="Q2216" i="2"/>
  <c r="S2216" i="2" s="1"/>
  <c r="T2216" i="2" s="1"/>
  <c r="U2216" i="2" s="1"/>
  <c r="Q2217" i="2"/>
  <c r="S2217" i="2" s="1"/>
  <c r="Q2218" i="2"/>
  <c r="S2218" i="2" s="1"/>
  <c r="Q2219" i="2"/>
  <c r="S2219" i="2" s="1"/>
  <c r="T2219" i="2" s="1"/>
  <c r="U2219" i="2" s="1"/>
  <c r="Q2220" i="2"/>
  <c r="S2220" i="2" s="1"/>
  <c r="T2220" i="2" s="1"/>
  <c r="U2220" i="2" s="1"/>
  <c r="Q2221" i="2"/>
  <c r="S2221" i="2" s="1"/>
  <c r="Q2222" i="2"/>
  <c r="S2222" i="2" s="1"/>
  <c r="Q2223" i="2"/>
  <c r="S2223" i="2" s="1"/>
  <c r="T2223" i="2" s="1"/>
  <c r="U2223" i="2" s="1"/>
  <c r="Q2224" i="2"/>
  <c r="S2224" i="2" s="1"/>
  <c r="T2224" i="2" s="1"/>
  <c r="U2224" i="2" s="1"/>
  <c r="Q2225" i="2"/>
  <c r="S2225" i="2" s="1"/>
  <c r="T2225" i="2" s="1"/>
  <c r="U2225" i="2" s="1"/>
  <c r="Q2226" i="2"/>
  <c r="S2226" i="2" s="1"/>
  <c r="T2226" i="2" s="1"/>
  <c r="U2226" i="2" s="1"/>
  <c r="Q2227" i="2"/>
  <c r="S2227" i="2" s="1"/>
  <c r="Q2228" i="2"/>
  <c r="S2228" i="2" s="1"/>
  <c r="T2228" i="2" s="1"/>
  <c r="U2228" i="2" s="1"/>
  <c r="Q2229" i="2"/>
  <c r="S2229" i="2" s="1"/>
  <c r="Q2230" i="2"/>
  <c r="S2230" i="2" s="1"/>
  <c r="Q2231" i="2"/>
  <c r="S2231" i="2" s="1"/>
  <c r="T2231" i="2" s="1"/>
  <c r="U2231" i="2" s="1"/>
  <c r="Q2232" i="2"/>
  <c r="S2232" i="2" s="1"/>
  <c r="T2232" i="2" s="1"/>
  <c r="U2232" i="2" s="1"/>
  <c r="Q2233" i="2"/>
  <c r="S2233" i="2" s="1"/>
  <c r="T2233" i="2" s="1"/>
  <c r="U2233" i="2" s="1"/>
  <c r="Q2234" i="2"/>
  <c r="S2234" i="2" s="1"/>
  <c r="T2234" i="2" s="1"/>
  <c r="U2234" i="2" s="1"/>
  <c r="Q2235" i="2"/>
  <c r="S2235" i="2" s="1"/>
  <c r="T2235" i="2" s="1"/>
  <c r="U2235" i="2" s="1"/>
  <c r="Q2236" i="2"/>
  <c r="S2236" i="2" s="1"/>
  <c r="T2236" i="2" s="1"/>
  <c r="U2236" i="2" s="1"/>
  <c r="Q2237" i="2"/>
  <c r="S2237" i="2" s="1"/>
  <c r="Q2238" i="2"/>
  <c r="S2238" i="2" s="1"/>
  <c r="T2238" i="2" s="1"/>
  <c r="U2238" i="2" s="1"/>
  <c r="Q2239" i="2"/>
  <c r="S2239" i="2" s="1"/>
  <c r="Q2240" i="2"/>
  <c r="S2240" i="2" s="1"/>
  <c r="Q2241" i="2"/>
  <c r="S2241" i="2" s="1"/>
  <c r="T2241" i="2" s="1"/>
  <c r="U2241" i="2" s="1"/>
  <c r="Q2242" i="2"/>
  <c r="S2242" i="2" s="1"/>
  <c r="T2242" i="2" s="1"/>
  <c r="U2242" i="2" s="1"/>
  <c r="Q2243" i="2"/>
  <c r="S2243" i="2" s="1"/>
  <c r="T2243" i="2" s="1"/>
  <c r="U2243" i="2" s="1"/>
  <c r="Q2244" i="2"/>
  <c r="S2244" i="2" s="1"/>
  <c r="T2244" i="2" s="1"/>
  <c r="U2244" i="2" s="1"/>
  <c r="Q2245" i="2"/>
  <c r="S2245" i="2" s="1"/>
  <c r="Q2246" i="2"/>
  <c r="S2246" i="2" s="1"/>
  <c r="T2246" i="2" s="1"/>
  <c r="U2246" i="2" s="1"/>
  <c r="Q2247" i="2"/>
  <c r="S2247" i="2" s="1"/>
  <c r="Q2248" i="2"/>
  <c r="S2248" i="2" s="1"/>
  <c r="T2248" i="2" s="1"/>
  <c r="U2248" i="2" s="1"/>
  <c r="Q2249" i="2"/>
  <c r="S2249" i="2" s="1"/>
  <c r="Q2250" i="2"/>
  <c r="S2250" i="2" s="1"/>
  <c r="Q2251" i="2"/>
  <c r="S2251" i="2" s="1"/>
  <c r="Q2252" i="2"/>
  <c r="S2252" i="2" s="1"/>
  <c r="T2252" i="2" s="1"/>
  <c r="U2252" i="2" s="1"/>
  <c r="Q2253" i="2"/>
  <c r="S2253" i="2" s="1"/>
  <c r="Q2254" i="2"/>
  <c r="S2254" i="2" s="1"/>
  <c r="T2254" i="2" s="1"/>
  <c r="U2254" i="2" s="1"/>
  <c r="Q2255" i="2"/>
  <c r="S2255" i="2" s="1"/>
  <c r="Q2256" i="2"/>
  <c r="S2256" i="2" s="1"/>
  <c r="Q2257" i="2"/>
  <c r="S2257" i="2" s="1"/>
  <c r="T2257" i="2" s="1"/>
  <c r="U2257" i="2" s="1"/>
  <c r="Q2258" i="2"/>
  <c r="S2258" i="2" s="1"/>
  <c r="Q2259" i="2"/>
  <c r="S2259" i="2" s="1"/>
  <c r="Q2260" i="2"/>
  <c r="S2260" i="2" s="1"/>
  <c r="T2260" i="2" s="1"/>
  <c r="U2260" i="2" s="1"/>
  <c r="Q2261" i="2"/>
  <c r="S2261" i="2" s="1"/>
  <c r="T2261" i="2" s="1"/>
  <c r="U2261" i="2" s="1"/>
  <c r="Q2262" i="2"/>
  <c r="S2262" i="2" s="1"/>
  <c r="T2262" i="2" s="1"/>
  <c r="U2262" i="2" s="1"/>
  <c r="Q2263" i="2"/>
  <c r="S2263" i="2" s="1"/>
  <c r="Q2264" i="2"/>
  <c r="S2264" i="2" s="1"/>
  <c r="Q2265" i="2"/>
  <c r="S2265" i="2" s="1"/>
  <c r="Q2266" i="2"/>
  <c r="S2266" i="2" s="1"/>
  <c r="Q2267" i="2"/>
  <c r="S2267" i="2" s="1"/>
  <c r="T2267" i="2" s="1"/>
  <c r="U2267" i="2" s="1"/>
  <c r="Q2268" i="2"/>
  <c r="S2268" i="2" s="1"/>
  <c r="T2268" i="2" s="1"/>
  <c r="U2268" i="2" s="1"/>
  <c r="Q2269" i="2"/>
  <c r="S2269" i="2" s="1"/>
  <c r="T2269" i="2" s="1"/>
  <c r="U2269" i="2" s="1"/>
  <c r="Q2270" i="2"/>
  <c r="S2270" i="2" s="1"/>
  <c r="T2270" i="2" s="1"/>
  <c r="U2270" i="2" s="1"/>
  <c r="Q2271" i="2"/>
  <c r="S2271" i="2" s="1"/>
  <c r="T2271" i="2" s="1"/>
  <c r="U2271" i="2" s="1"/>
  <c r="Q2272" i="2"/>
  <c r="S2272" i="2" s="1"/>
  <c r="T2272" i="2" s="1"/>
  <c r="U2272" i="2" s="1"/>
  <c r="Q2273" i="2"/>
  <c r="S2273" i="2" s="1"/>
  <c r="T2273" i="2" s="1"/>
  <c r="U2273" i="2" s="1"/>
  <c r="Q2274" i="2"/>
  <c r="S2274" i="2" s="1"/>
  <c r="Q2275" i="2"/>
  <c r="S2275" i="2" s="1"/>
  <c r="Q2276" i="2"/>
  <c r="S2276" i="2" s="1"/>
  <c r="T2276" i="2" s="1"/>
  <c r="U2276" i="2" s="1"/>
  <c r="Q2277" i="2"/>
  <c r="S2277" i="2" s="1"/>
  <c r="Q2278" i="2"/>
  <c r="S2278" i="2" s="1"/>
  <c r="T2278" i="2" s="1"/>
  <c r="U2278" i="2" s="1"/>
  <c r="Q2279" i="2"/>
  <c r="S2279" i="2" s="1"/>
  <c r="Q2280" i="2"/>
  <c r="S2280" i="2" s="1"/>
  <c r="Q2281" i="2"/>
  <c r="S2281" i="2" s="1"/>
  <c r="T2281" i="2" s="1"/>
  <c r="U2281" i="2" s="1"/>
  <c r="Q2282" i="2"/>
  <c r="S2282" i="2" s="1"/>
  <c r="T2282" i="2" s="1"/>
  <c r="U2282" i="2" s="1"/>
  <c r="Q2283" i="2"/>
  <c r="S2283" i="2" s="1"/>
  <c r="Q2284" i="2"/>
  <c r="S2284" i="2" s="1"/>
  <c r="T2284" i="2" s="1"/>
  <c r="U2284" i="2" s="1"/>
  <c r="Q2285" i="2"/>
  <c r="S2285" i="2" s="1"/>
  <c r="T2285" i="2" s="1"/>
  <c r="U2285" i="2" s="1"/>
  <c r="Q2286" i="2"/>
  <c r="S2286" i="2" s="1"/>
  <c r="T2286" i="2" s="1"/>
  <c r="U2286" i="2" s="1"/>
  <c r="Q2287" i="2"/>
  <c r="S2287" i="2" s="1"/>
  <c r="T2287" i="2" s="1"/>
  <c r="U2287" i="2" s="1"/>
  <c r="Q2288" i="2"/>
  <c r="S2288" i="2" s="1"/>
  <c r="T2288" i="2" s="1"/>
  <c r="U2288" i="2" s="1"/>
  <c r="Q2289" i="2"/>
  <c r="S2289" i="2" s="1"/>
  <c r="Q2290" i="2"/>
  <c r="S2290" i="2" s="1"/>
  <c r="T2290" i="2" s="1"/>
  <c r="U2290" i="2" s="1"/>
  <c r="Q2291" i="2"/>
  <c r="S2291" i="2" s="1"/>
  <c r="Q2292" i="2"/>
  <c r="S2292" i="2" s="1"/>
  <c r="T2292" i="2" s="1"/>
  <c r="U2292" i="2" s="1"/>
  <c r="Q2293" i="2"/>
  <c r="S2293" i="2" s="1"/>
  <c r="T2293" i="2" s="1"/>
  <c r="U2293" i="2" s="1"/>
  <c r="Q2294" i="2"/>
  <c r="S2294" i="2" s="1"/>
  <c r="T2294" i="2" s="1"/>
  <c r="U2294" i="2" s="1"/>
  <c r="Q2295" i="2"/>
  <c r="S2295" i="2" s="1"/>
  <c r="T2295" i="2" s="1"/>
  <c r="U2295" i="2" s="1"/>
  <c r="Q2296" i="2"/>
  <c r="S2296" i="2" s="1"/>
  <c r="T2296" i="2" s="1"/>
  <c r="U2296" i="2" s="1"/>
  <c r="Q2297" i="2"/>
  <c r="S2297" i="2" s="1"/>
  <c r="T2297" i="2" s="1"/>
  <c r="U2297" i="2" s="1"/>
  <c r="Q2298" i="2"/>
  <c r="S2298" i="2" s="1"/>
  <c r="Q2299" i="2"/>
  <c r="S2299" i="2" s="1"/>
  <c r="Q2300" i="2"/>
  <c r="S2300" i="2" s="1"/>
  <c r="T2300" i="2" s="1"/>
  <c r="U2300" i="2" s="1"/>
  <c r="Q2301" i="2"/>
  <c r="S2301" i="2" s="1"/>
  <c r="Q2302" i="2"/>
  <c r="S2302" i="2" s="1"/>
  <c r="T2302" i="2" s="1"/>
  <c r="U2302" i="2" s="1"/>
  <c r="Q2303" i="2"/>
  <c r="S2303" i="2" s="1"/>
  <c r="Q2304" i="2"/>
  <c r="S2304" i="2" s="1"/>
  <c r="T2304" i="2" s="1"/>
  <c r="U2304" i="2" s="1"/>
  <c r="Q2305" i="2"/>
  <c r="S2305" i="2" s="1"/>
  <c r="T2305" i="2" s="1"/>
  <c r="U2305" i="2" s="1"/>
  <c r="Q2306" i="2"/>
  <c r="S2306" i="2" s="1"/>
  <c r="T2306" i="2" s="1"/>
  <c r="U2306" i="2" s="1"/>
  <c r="Q2307" i="2"/>
  <c r="S2307" i="2" s="1"/>
  <c r="Q2308" i="2"/>
  <c r="S2308" i="2" s="1"/>
  <c r="T2308" i="2" s="1"/>
  <c r="U2308" i="2" s="1"/>
  <c r="Q2309" i="2"/>
  <c r="S2309" i="2" s="1"/>
  <c r="T2309" i="2" s="1"/>
  <c r="U2309" i="2" s="1"/>
  <c r="Q2310" i="2"/>
  <c r="S2310" i="2" s="1"/>
  <c r="T2310" i="2" s="1"/>
  <c r="U2310" i="2" s="1"/>
  <c r="Q2311" i="2"/>
  <c r="S2311" i="2" s="1"/>
  <c r="T2311" i="2" s="1"/>
  <c r="U2311" i="2" s="1"/>
  <c r="Q2312" i="2"/>
  <c r="S2312" i="2" s="1"/>
  <c r="T2312" i="2" s="1"/>
  <c r="U2312" i="2" s="1"/>
  <c r="Q2313" i="2"/>
  <c r="S2313" i="2" s="1"/>
  <c r="T2313" i="2" s="1"/>
  <c r="U2313" i="2" s="1"/>
  <c r="Q2314" i="2"/>
  <c r="S2314" i="2" s="1"/>
  <c r="Q2315" i="2"/>
  <c r="S2315" i="2" s="1"/>
  <c r="Q2316" i="2"/>
  <c r="S2316" i="2" s="1"/>
  <c r="T2316" i="2" s="1"/>
  <c r="U2316" i="2" s="1"/>
  <c r="Q2317" i="2"/>
  <c r="S2317" i="2" s="1"/>
  <c r="Q2318" i="2"/>
  <c r="S2318" i="2" s="1"/>
  <c r="T2318" i="2" s="1"/>
  <c r="U2318" i="2" s="1"/>
  <c r="Q2319" i="2"/>
  <c r="S2319" i="2" s="1"/>
  <c r="T2319" i="2" s="1"/>
  <c r="U2319" i="2" s="1"/>
  <c r="Q2320" i="2"/>
  <c r="S2320" i="2" s="1"/>
  <c r="T2320" i="2" s="1"/>
  <c r="U2320" i="2" s="1"/>
  <c r="Q2321" i="2"/>
  <c r="S2321" i="2" s="1"/>
  <c r="Q2322" i="2"/>
  <c r="S2322" i="2" s="1"/>
  <c r="Q2323" i="2"/>
  <c r="S2323" i="2" s="1"/>
  <c r="Q2324" i="2"/>
  <c r="S2324" i="2" s="1"/>
  <c r="T2324" i="2" s="1"/>
  <c r="U2324" i="2" s="1"/>
  <c r="Q2325" i="2"/>
  <c r="S2325" i="2" s="1"/>
  <c r="Q2326" i="2"/>
  <c r="S2326" i="2" s="1"/>
  <c r="T2326" i="2" s="1"/>
  <c r="U2326" i="2" s="1"/>
  <c r="Q2327" i="2"/>
  <c r="S2327" i="2" s="1"/>
  <c r="T2327" i="2" s="1"/>
  <c r="U2327" i="2" s="1"/>
  <c r="Q2328" i="2"/>
  <c r="S2328" i="2" s="1"/>
  <c r="Q2329" i="2"/>
  <c r="S2329" i="2" s="1"/>
  <c r="T2329" i="2" s="1"/>
  <c r="U2329" i="2" s="1"/>
  <c r="Q2330" i="2"/>
  <c r="S2330" i="2" s="1"/>
  <c r="T2330" i="2" s="1"/>
  <c r="U2330" i="2" s="1"/>
  <c r="Q2331" i="2"/>
  <c r="S2331" i="2" s="1"/>
  <c r="Q2332" i="2"/>
  <c r="S2332" i="2" s="1"/>
  <c r="T2332" i="2" s="1"/>
  <c r="U2332" i="2" s="1"/>
  <c r="Q2333" i="2"/>
  <c r="S2333" i="2" s="1"/>
  <c r="T2333" i="2" s="1"/>
  <c r="U2333" i="2" s="1"/>
  <c r="Q2334" i="2"/>
  <c r="S2334" i="2" s="1"/>
  <c r="Q2335" i="2"/>
  <c r="S2335" i="2" s="1"/>
  <c r="T2335" i="2" s="1"/>
  <c r="U2335" i="2" s="1"/>
  <c r="Q2336" i="2"/>
  <c r="S2336" i="2" s="1"/>
  <c r="T2336" i="2" s="1"/>
  <c r="U2336" i="2" s="1"/>
  <c r="Q2337" i="2"/>
  <c r="S2337" i="2" s="1"/>
  <c r="T2337" i="2" s="1"/>
  <c r="U2337" i="2" s="1"/>
  <c r="Q2338" i="2"/>
  <c r="S2338" i="2" s="1"/>
  <c r="Q2339" i="2"/>
  <c r="S2339" i="2" s="1"/>
  <c r="T2339" i="2" s="1"/>
  <c r="U2339" i="2" s="1"/>
  <c r="Q2340" i="2"/>
  <c r="S2340" i="2" s="1"/>
  <c r="Q2341" i="2"/>
  <c r="S2341" i="2" s="1"/>
  <c r="Q2342" i="2"/>
  <c r="S2342" i="2" s="1"/>
  <c r="T2342" i="2" s="1"/>
  <c r="U2342" i="2" s="1"/>
  <c r="Q2343" i="2"/>
  <c r="S2343" i="2" s="1"/>
  <c r="Q2344" i="2"/>
  <c r="S2344" i="2" s="1"/>
  <c r="T2344" i="2" s="1"/>
  <c r="U2344" i="2" s="1"/>
  <c r="Q2345" i="2"/>
  <c r="S2345" i="2" s="1"/>
  <c r="Q2346" i="2"/>
  <c r="S2346" i="2" s="1"/>
  <c r="T2346" i="2" s="1"/>
  <c r="U2346" i="2" s="1"/>
  <c r="Q2347" i="2"/>
  <c r="S2347" i="2" s="1"/>
  <c r="T2347" i="2" s="1"/>
  <c r="U2347" i="2" s="1"/>
  <c r="Q2348" i="2"/>
  <c r="S2348" i="2" s="1"/>
  <c r="T2348" i="2" s="1"/>
  <c r="U2348" i="2" s="1"/>
  <c r="Q2349" i="2"/>
  <c r="S2349" i="2" s="1"/>
  <c r="Q2350" i="2"/>
  <c r="S2350" i="2" s="1"/>
  <c r="T2350" i="2" s="1"/>
  <c r="U2350" i="2" s="1"/>
  <c r="Q2351" i="2"/>
  <c r="S2351" i="2" s="1"/>
  <c r="T2351" i="2" s="1"/>
  <c r="U2351" i="2" s="1"/>
  <c r="Q2352" i="2"/>
  <c r="S2352" i="2" s="1"/>
  <c r="T2352" i="2" s="1"/>
  <c r="U2352" i="2" s="1"/>
  <c r="Q2353" i="2"/>
  <c r="S2353" i="2" s="1"/>
  <c r="T2353" i="2" s="1"/>
  <c r="U2353" i="2" s="1"/>
  <c r="Q2354" i="2"/>
  <c r="S2354" i="2" s="1"/>
  <c r="T2354" i="2" s="1"/>
  <c r="U2354" i="2" s="1"/>
  <c r="Q2355" i="2"/>
  <c r="S2355" i="2" s="1"/>
  <c r="T2355" i="2" s="1"/>
  <c r="U2355" i="2" s="1"/>
  <c r="Q2356" i="2"/>
  <c r="S2356" i="2" s="1"/>
  <c r="T2356" i="2" s="1"/>
  <c r="U2356" i="2" s="1"/>
  <c r="Q2357" i="2"/>
  <c r="S2357" i="2" s="1"/>
  <c r="T2357" i="2" s="1"/>
  <c r="U2357" i="2" s="1"/>
  <c r="Q2358" i="2"/>
  <c r="S2358" i="2" s="1"/>
  <c r="T2358" i="2" s="1"/>
  <c r="U2358" i="2" s="1"/>
  <c r="Q2359" i="2"/>
  <c r="S2359" i="2" s="1"/>
  <c r="T2359" i="2" s="1"/>
  <c r="U2359" i="2" s="1"/>
  <c r="Q2360" i="2"/>
  <c r="S2360" i="2" s="1"/>
  <c r="T2360" i="2" s="1"/>
  <c r="U2360" i="2" s="1"/>
  <c r="Q2361" i="2"/>
  <c r="S2361" i="2" s="1"/>
  <c r="T2361" i="2" s="1"/>
  <c r="U2361" i="2" s="1"/>
  <c r="Q2362" i="2"/>
  <c r="S2362" i="2" s="1"/>
  <c r="T2362" i="2" s="1"/>
  <c r="U2362" i="2" s="1"/>
  <c r="Q2363" i="2"/>
  <c r="S2363" i="2" s="1"/>
  <c r="T2363" i="2" s="1"/>
  <c r="U2363" i="2" s="1"/>
  <c r="Q2364" i="2"/>
  <c r="S2364" i="2" s="1"/>
  <c r="T2364" i="2" s="1"/>
  <c r="U2364" i="2" s="1"/>
  <c r="Q2365" i="2"/>
  <c r="S2365" i="2" s="1"/>
  <c r="T2365" i="2" s="1"/>
  <c r="U2365" i="2" s="1"/>
  <c r="Q2366" i="2"/>
  <c r="S2366" i="2" s="1"/>
  <c r="T2366" i="2" s="1"/>
  <c r="U2366" i="2" s="1"/>
  <c r="Q2367" i="2"/>
  <c r="S2367" i="2" s="1"/>
  <c r="T2367" i="2" s="1"/>
  <c r="U2367" i="2" s="1"/>
  <c r="Q2368" i="2"/>
  <c r="S2368" i="2" s="1"/>
  <c r="T2368" i="2" s="1"/>
  <c r="U2368" i="2" s="1"/>
  <c r="Q2369" i="2"/>
  <c r="S2369" i="2" s="1"/>
  <c r="T2369" i="2" s="1"/>
  <c r="U2369" i="2" s="1"/>
  <c r="Q2370" i="2"/>
  <c r="S2370" i="2" s="1"/>
  <c r="T2370" i="2" s="1"/>
  <c r="U2370" i="2" s="1"/>
  <c r="Q2371" i="2"/>
  <c r="S2371" i="2" s="1"/>
  <c r="T2371" i="2" s="1"/>
  <c r="U2371" i="2" s="1"/>
  <c r="Q2372" i="2"/>
  <c r="S2372" i="2" s="1"/>
  <c r="T2372" i="2" s="1"/>
  <c r="U2372" i="2" s="1"/>
  <c r="Q2373" i="2"/>
  <c r="S2373" i="2" s="1"/>
  <c r="T2373" i="2" s="1"/>
  <c r="U2373" i="2" s="1"/>
  <c r="Q2374" i="2"/>
  <c r="S2374" i="2" s="1"/>
  <c r="Q2375" i="2"/>
  <c r="S2375" i="2" s="1"/>
  <c r="T2375" i="2" s="1"/>
  <c r="U2375" i="2" s="1"/>
  <c r="Q2376" i="2"/>
  <c r="S2376" i="2" s="1"/>
  <c r="T2376" i="2" s="1"/>
  <c r="U2376" i="2" s="1"/>
  <c r="Q2377" i="2"/>
  <c r="S2377" i="2" s="1"/>
  <c r="Q2378" i="2"/>
  <c r="S2378" i="2" s="1"/>
  <c r="Q2379" i="2"/>
  <c r="S2379" i="2" s="1"/>
  <c r="T2379" i="2" s="1"/>
  <c r="U2379" i="2" s="1"/>
  <c r="Q2380" i="2"/>
  <c r="S2380" i="2" s="1"/>
  <c r="Q2381" i="2"/>
  <c r="S2381" i="2" s="1"/>
  <c r="T2381" i="2" s="1"/>
  <c r="U2381" i="2" s="1"/>
  <c r="Q2382" i="2"/>
  <c r="S2382" i="2" s="1"/>
  <c r="T2382" i="2" s="1"/>
  <c r="U2382" i="2" s="1"/>
  <c r="Q2383" i="2"/>
  <c r="S2383" i="2" s="1"/>
  <c r="Q2384" i="2"/>
  <c r="S2384" i="2" s="1"/>
  <c r="Q2385" i="2"/>
  <c r="S2385" i="2" s="1"/>
  <c r="T2385" i="2" s="1"/>
  <c r="U2385" i="2" s="1"/>
  <c r="Q2386" i="2"/>
  <c r="S2386" i="2" s="1"/>
  <c r="Q2387" i="2"/>
  <c r="S2387" i="2" s="1"/>
  <c r="Q2388" i="2"/>
  <c r="S2388" i="2" s="1"/>
  <c r="T2388" i="2" s="1"/>
  <c r="U2388" i="2" s="1"/>
  <c r="Q2389" i="2"/>
  <c r="S2389" i="2" s="1"/>
  <c r="T2389" i="2" s="1"/>
  <c r="U2389" i="2" s="1"/>
  <c r="Q2390" i="2"/>
  <c r="S2390" i="2" s="1"/>
  <c r="T2390" i="2" s="1"/>
  <c r="U2390" i="2" s="1"/>
  <c r="Q2391" i="2"/>
  <c r="S2391" i="2" s="1"/>
  <c r="Q2392" i="2"/>
  <c r="S2392" i="2" s="1"/>
  <c r="T2392" i="2" s="1"/>
  <c r="U2392" i="2" s="1"/>
  <c r="Q2393" i="2"/>
  <c r="S2393" i="2" s="1"/>
  <c r="Q2394" i="2"/>
  <c r="S2394" i="2" s="1"/>
  <c r="T2394" i="2" s="1"/>
  <c r="U2394" i="2" s="1"/>
  <c r="Q2395" i="2"/>
  <c r="S2395" i="2" s="1"/>
  <c r="T2395" i="2" s="1"/>
  <c r="U2395" i="2" s="1"/>
  <c r="Q2396" i="2"/>
  <c r="S2396" i="2" s="1"/>
  <c r="Q2397" i="2"/>
  <c r="S2397" i="2" s="1"/>
  <c r="T2397" i="2" s="1"/>
  <c r="U2397" i="2" s="1"/>
  <c r="Q2398" i="2"/>
  <c r="S2398" i="2" s="1"/>
  <c r="T2398" i="2" s="1"/>
  <c r="U2398" i="2" s="1"/>
  <c r="Q2399" i="2"/>
  <c r="S2399" i="2" s="1"/>
  <c r="T2399" i="2" s="1"/>
  <c r="U2399" i="2" s="1"/>
  <c r="Q2400" i="2"/>
  <c r="S2400" i="2" s="1"/>
  <c r="T2400" i="2" s="1"/>
  <c r="U2400" i="2" s="1"/>
  <c r="Q2401" i="2"/>
  <c r="S2401" i="2" s="1"/>
  <c r="T2401" i="2" s="1"/>
  <c r="U2401" i="2" s="1"/>
  <c r="Q2402" i="2"/>
  <c r="S2402" i="2" s="1"/>
  <c r="T2402" i="2" s="1"/>
  <c r="U2402" i="2" s="1"/>
  <c r="Q2403" i="2"/>
  <c r="S2403" i="2" s="1"/>
  <c r="T2403" i="2" s="1"/>
  <c r="U2403" i="2" s="1"/>
  <c r="Q2404" i="2"/>
  <c r="S2404" i="2" s="1"/>
  <c r="T2404" i="2" s="1"/>
  <c r="U2404" i="2" s="1"/>
  <c r="Q2405" i="2"/>
  <c r="S2405" i="2" s="1"/>
  <c r="Q2406" i="2"/>
  <c r="S2406" i="2" s="1"/>
  <c r="T2406" i="2" s="1"/>
  <c r="U2406" i="2" s="1"/>
  <c r="Q2407" i="2"/>
  <c r="S2407" i="2" s="1"/>
  <c r="T2407" i="2" s="1"/>
  <c r="U2407" i="2" s="1"/>
  <c r="Q2408" i="2"/>
  <c r="S2408" i="2" s="1"/>
  <c r="Q2409" i="2"/>
  <c r="S2409" i="2" s="1"/>
  <c r="T2409" i="2" s="1"/>
  <c r="U2409" i="2" s="1"/>
  <c r="Q2410" i="2"/>
  <c r="S2410" i="2" s="1"/>
  <c r="Q2411" i="2"/>
  <c r="S2411" i="2" s="1"/>
  <c r="T2411" i="2" s="1"/>
  <c r="U2411" i="2" s="1"/>
  <c r="Q2412" i="2"/>
  <c r="S2412" i="2" s="1"/>
  <c r="T2412" i="2" s="1"/>
  <c r="U2412" i="2" s="1"/>
  <c r="Q2413" i="2"/>
  <c r="S2413" i="2" s="1"/>
  <c r="T2413" i="2" s="1"/>
  <c r="U2413" i="2" s="1"/>
  <c r="Q2414" i="2"/>
  <c r="S2414" i="2" s="1"/>
  <c r="T2414" i="2" s="1"/>
  <c r="U2414" i="2" s="1"/>
  <c r="Q2415" i="2"/>
  <c r="S2415" i="2" s="1"/>
  <c r="T2415" i="2" s="1"/>
  <c r="U2415" i="2" s="1"/>
  <c r="Q2416" i="2"/>
  <c r="S2416" i="2" s="1"/>
  <c r="Q2417" i="2"/>
  <c r="S2417" i="2" s="1"/>
  <c r="T2417" i="2" s="1"/>
  <c r="U2417" i="2" s="1"/>
  <c r="Q2418" i="2"/>
  <c r="S2418" i="2" s="1"/>
  <c r="T2418" i="2" s="1"/>
  <c r="U2418" i="2" s="1"/>
  <c r="Q2419" i="2"/>
  <c r="S2419" i="2" s="1"/>
  <c r="Q2420" i="2"/>
  <c r="S2420" i="2" s="1"/>
  <c r="T2420" i="2" s="1"/>
  <c r="U2420" i="2" s="1"/>
  <c r="Q2421" i="2"/>
  <c r="S2421" i="2" s="1"/>
  <c r="Q2422" i="2"/>
  <c r="S2422" i="2" s="1"/>
  <c r="T2422" i="2" s="1"/>
  <c r="U2422" i="2" s="1"/>
  <c r="Q2423" i="2"/>
  <c r="S2423" i="2" s="1"/>
  <c r="Q2424" i="2"/>
  <c r="S2424" i="2" s="1"/>
  <c r="T2424" i="2" s="1"/>
  <c r="U2424" i="2" s="1"/>
  <c r="Q2425" i="2"/>
  <c r="S2425" i="2" s="1"/>
  <c r="T2425" i="2" s="1"/>
  <c r="U2425" i="2" s="1"/>
  <c r="Q2426" i="2"/>
  <c r="S2426" i="2" s="1"/>
  <c r="T2426" i="2" s="1"/>
  <c r="U2426" i="2" s="1"/>
  <c r="Q2427" i="2"/>
  <c r="S2427" i="2" s="1"/>
  <c r="T2427" i="2" s="1"/>
  <c r="U2427" i="2" s="1"/>
  <c r="Q2428" i="2"/>
  <c r="S2428" i="2" s="1"/>
  <c r="Q2429" i="2"/>
  <c r="S2429" i="2" s="1"/>
  <c r="T2429" i="2" s="1"/>
  <c r="U2429" i="2" s="1"/>
  <c r="Q2430" i="2"/>
  <c r="S2430" i="2" s="1"/>
  <c r="Q2431" i="2"/>
  <c r="S2431" i="2" s="1"/>
  <c r="Q2432" i="2"/>
  <c r="S2432" i="2" s="1"/>
  <c r="T2432" i="2" s="1"/>
  <c r="U2432" i="2" s="1"/>
  <c r="Q2433" i="2"/>
  <c r="S2433" i="2" s="1"/>
  <c r="T2433" i="2" s="1"/>
  <c r="U2433" i="2" s="1"/>
  <c r="Q2434" i="2"/>
  <c r="S2434" i="2" s="1"/>
  <c r="T2434" i="2" s="1"/>
  <c r="U2434" i="2" s="1"/>
  <c r="Q2435" i="2"/>
  <c r="S2435" i="2" s="1"/>
  <c r="Q2436" i="2"/>
  <c r="S2436" i="2" s="1"/>
  <c r="T2436" i="2" s="1"/>
  <c r="U2436" i="2" s="1"/>
  <c r="Q2437" i="2"/>
  <c r="S2437" i="2" s="1"/>
  <c r="T2437" i="2" s="1"/>
  <c r="U2437" i="2" s="1"/>
  <c r="Q2438" i="2"/>
  <c r="S2438" i="2" s="1"/>
  <c r="T2438" i="2" s="1"/>
  <c r="U2438" i="2" s="1"/>
  <c r="Q2439" i="2"/>
  <c r="S2439" i="2" s="1"/>
  <c r="Q2440" i="2"/>
  <c r="S2440" i="2" s="1"/>
  <c r="Q2441" i="2"/>
  <c r="S2441" i="2" s="1"/>
  <c r="T2441" i="2" s="1"/>
  <c r="U2441" i="2" s="1"/>
  <c r="Q2442" i="2"/>
  <c r="S2442" i="2" s="1"/>
  <c r="Q2443" i="2"/>
  <c r="S2443" i="2" s="1"/>
  <c r="T2443" i="2" s="1"/>
  <c r="U2443" i="2" s="1"/>
  <c r="Q2444" i="2"/>
  <c r="S2444" i="2" s="1"/>
  <c r="T2444" i="2" s="1"/>
  <c r="U2444" i="2" s="1"/>
  <c r="Q2445" i="2"/>
  <c r="S2445" i="2" s="1"/>
  <c r="T2445" i="2" s="1"/>
  <c r="U2445" i="2" s="1"/>
  <c r="Q2446" i="2"/>
  <c r="S2446" i="2" s="1"/>
  <c r="T2446" i="2" s="1"/>
  <c r="U2446" i="2" s="1"/>
  <c r="Q2447" i="2"/>
  <c r="S2447" i="2" s="1"/>
  <c r="T2447" i="2" s="1"/>
  <c r="U2447" i="2" s="1"/>
  <c r="Q2448" i="2"/>
  <c r="S2448" i="2" s="1"/>
  <c r="T2448" i="2" s="1"/>
  <c r="U2448" i="2" s="1"/>
  <c r="Q2449" i="2"/>
  <c r="S2449" i="2" s="1"/>
  <c r="T2449" i="2" s="1"/>
  <c r="U2449" i="2" s="1"/>
  <c r="Q2450" i="2"/>
  <c r="S2450" i="2" s="1"/>
  <c r="T2450" i="2" s="1"/>
  <c r="U2450" i="2" s="1"/>
  <c r="Q2451" i="2"/>
  <c r="S2451" i="2" s="1"/>
  <c r="Q2452" i="2"/>
  <c r="S2452" i="2" s="1"/>
  <c r="Q2453" i="2"/>
  <c r="S2453" i="2" s="1"/>
  <c r="T2453" i="2" s="1"/>
  <c r="U2453" i="2" s="1"/>
  <c r="Q2454" i="2"/>
  <c r="S2454" i="2" s="1"/>
  <c r="T2454" i="2" s="1"/>
  <c r="U2454" i="2" s="1"/>
  <c r="Q2455" i="2"/>
  <c r="S2455" i="2" s="1"/>
  <c r="T2455" i="2" s="1"/>
  <c r="U2455" i="2" s="1"/>
  <c r="Q2456" i="2"/>
  <c r="S2456" i="2" s="1"/>
  <c r="T2456" i="2" s="1"/>
  <c r="U2456" i="2" s="1"/>
  <c r="Q2457" i="2"/>
  <c r="S2457" i="2" s="1"/>
  <c r="Q2458" i="2"/>
  <c r="S2458" i="2" s="1"/>
  <c r="T2458" i="2" s="1"/>
  <c r="U2458" i="2" s="1"/>
  <c r="Q2459" i="2"/>
  <c r="S2459" i="2" s="1"/>
  <c r="T2459" i="2" s="1"/>
  <c r="U2459" i="2" s="1"/>
  <c r="Q2460" i="2"/>
  <c r="S2460" i="2" s="1"/>
  <c r="Q2461" i="2"/>
  <c r="S2461" i="2" s="1"/>
  <c r="T2461" i="2" s="1"/>
  <c r="U2461" i="2" s="1"/>
  <c r="Q2462" i="2"/>
  <c r="S2462" i="2" s="1"/>
  <c r="T2462" i="2" s="1"/>
  <c r="U2462" i="2" s="1"/>
  <c r="Q2463" i="2"/>
  <c r="S2463" i="2" s="1"/>
  <c r="T2463" i="2" s="1"/>
  <c r="U2463" i="2" s="1"/>
  <c r="Q2464" i="2"/>
  <c r="S2464" i="2" s="1"/>
  <c r="T2464" i="2" s="1"/>
  <c r="U2464" i="2" s="1"/>
  <c r="Q2465" i="2"/>
  <c r="S2465" i="2" s="1"/>
  <c r="T2465" i="2" s="1"/>
  <c r="U2465" i="2" s="1"/>
  <c r="Q2466" i="2"/>
  <c r="S2466" i="2" s="1"/>
  <c r="Q2467" i="2"/>
  <c r="S2467" i="2" s="1"/>
  <c r="T2467" i="2" s="1"/>
  <c r="U2467" i="2" s="1"/>
  <c r="Q2468" i="2"/>
  <c r="S2468" i="2" s="1"/>
  <c r="T2468" i="2" s="1"/>
  <c r="U2468" i="2" s="1"/>
  <c r="Q2469" i="2"/>
  <c r="S2469" i="2" s="1"/>
  <c r="T2469" i="2" s="1"/>
  <c r="U2469" i="2" s="1"/>
  <c r="Q2470" i="2"/>
  <c r="S2470" i="2" s="1"/>
  <c r="T2470" i="2" s="1"/>
  <c r="U2470" i="2" s="1"/>
  <c r="Q2471" i="2"/>
  <c r="S2471" i="2" s="1"/>
  <c r="T2471" i="2" s="1"/>
  <c r="U2471" i="2" s="1"/>
  <c r="Q2472" i="2"/>
  <c r="S2472" i="2" s="1"/>
  <c r="T2472" i="2" s="1"/>
  <c r="U2472" i="2" s="1"/>
  <c r="Q2473" i="2"/>
  <c r="S2473" i="2" s="1"/>
  <c r="T2473" i="2" s="1"/>
  <c r="U2473" i="2" s="1"/>
  <c r="Q2474" i="2"/>
  <c r="S2474" i="2" s="1"/>
  <c r="Q2475" i="2"/>
  <c r="S2475" i="2" s="1"/>
  <c r="Q2476" i="2"/>
  <c r="S2476" i="2" s="1"/>
  <c r="Q2477" i="2"/>
  <c r="S2477" i="2" s="1"/>
  <c r="T2477" i="2" s="1"/>
  <c r="U2477" i="2" s="1"/>
  <c r="Q2478" i="2"/>
  <c r="S2478" i="2" s="1"/>
  <c r="Q2479" i="2"/>
  <c r="S2479" i="2" s="1"/>
  <c r="T2479" i="2" s="1"/>
  <c r="U2479" i="2" s="1"/>
  <c r="Q2480" i="2"/>
  <c r="S2480" i="2" s="1"/>
  <c r="T2480" i="2" s="1"/>
  <c r="U2480" i="2" s="1"/>
  <c r="Q2481" i="2"/>
  <c r="S2481" i="2" s="1"/>
  <c r="T2481" i="2" s="1"/>
  <c r="U2481" i="2" s="1"/>
  <c r="Q2482" i="2"/>
  <c r="S2482" i="2" s="1"/>
  <c r="T2482" i="2" s="1"/>
  <c r="U2482" i="2" s="1"/>
  <c r="Q2483" i="2"/>
  <c r="S2483" i="2" s="1"/>
  <c r="T2483" i="2" s="1"/>
  <c r="U2483" i="2" s="1"/>
  <c r="Q2484" i="2"/>
  <c r="S2484" i="2" s="1"/>
  <c r="T2484" i="2" s="1"/>
  <c r="U2484" i="2" s="1"/>
  <c r="Q2485" i="2"/>
  <c r="S2485" i="2" s="1"/>
  <c r="Q2486" i="2"/>
  <c r="S2486" i="2" s="1"/>
  <c r="Q2487" i="2"/>
  <c r="S2487" i="2" s="1"/>
  <c r="T2487" i="2" s="1"/>
  <c r="U2487" i="2" s="1"/>
  <c r="Q2488" i="2"/>
  <c r="S2488" i="2" s="1"/>
  <c r="T2488" i="2" s="1"/>
  <c r="U2488" i="2" s="1"/>
  <c r="Q2489" i="2"/>
  <c r="S2489" i="2" s="1"/>
  <c r="Q2490" i="2"/>
  <c r="S2490" i="2" s="1"/>
  <c r="Q2491" i="2"/>
  <c r="S2491" i="2" s="1"/>
  <c r="T2491" i="2" s="1"/>
  <c r="U2491" i="2" s="1"/>
  <c r="Q2492" i="2"/>
  <c r="S2492" i="2" s="1"/>
  <c r="T2492" i="2" s="1"/>
  <c r="U2492" i="2" s="1"/>
  <c r="Q2493" i="2"/>
  <c r="S2493" i="2" s="1"/>
  <c r="T2493" i="2" s="1"/>
  <c r="U2493" i="2" s="1"/>
  <c r="Q2494" i="2"/>
  <c r="S2494" i="2" s="1"/>
  <c r="T2494" i="2" s="1"/>
  <c r="U2494" i="2" s="1"/>
  <c r="Q2495" i="2"/>
  <c r="S2495" i="2" s="1"/>
  <c r="T2495" i="2" s="1"/>
  <c r="U2495" i="2" s="1"/>
  <c r="Q2496" i="2"/>
  <c r="S2496" i="2" s="1"/>
  <c r="T2496" i="2" s="1"/>
  <c r="U2496" i="2" s="1"/>
  <c r="Q2497" i="2"/>
  <c r="S2497" i="2" s="1"/>
  <c r="Q2498" i="2"/>
  <c r="S2498" i="2" s="1"/>
  <c r="T2498" i="2" s="1"/>
  <c r="U2498" i="2" s="1"/>
  <c r="Q2499" i="2"/>
  <c r="S2499" i="2" s="1"/>
  <c r="Q2500" i="2"/>
  <c r="S2500" i="2" s="1"/>
  <c r="Q2501" i="2"/>
  <c r="S2501" i="2" s="1"/>
  <c r="T2501" i="2" s="1"/>
  <c r="U2501" i="2" s="1"/>
  <c r="Q2502" i="2"/>
  <c r="S2502" i="2" s="1"/>
  <c r="T2502" i="2" s="1"/>
  <c r="U2502" i="2" s="1"/>
  <c r="Q2503" i="2"/>
  <c r="S2503" i="2" s="1"/>
  <c r="T2503" i="2" s="1"/>
  <c r="U2503" i="2" s="1"/>
  <c r="Q2504" i="2"/>
  <c r="S2504" i="2" s="1"/>
  <c r="T2504" i="2" s="1"/>
  <c r="U2504" i="2" s="1"/>
  <c r="Q2505" i="2"/>
  <c r="S2505" i="2" s="1"/>
  <c r="T2505" i="2" s="1"/>
  <c r="U2505" i="2" s="1"/>
  <c r="Q2506" i="2"/>
  <c r="S2506" i="2" s="1"/>
  <c r="T2506" i="2" s="1"/>
  <c r="U2506" i="2" s="1"/>
  <c r="Q2507" i="2"/>
  <c r="S2507" i="2" s="1"/>
  <c r="T2507" i="2" s="1"/>
  <c r="U2507" i="2" s="1"/>
  <c r="Q2508" i="2"/>
  <c r="S2508" i="2" s="1"/>
  <c r="Q2509" i="2"/>
  <c r="S2509" i="2" s="1"/>
  <c r="T2509" i="2" s="1"/>
  <c r="U2509" i="2" s="1"/>
  <c r="Q2510" i="2"/>
  <c r="S2510" i="2" s="1"/>
  <c r="T2510" i="2" s="1"/>
  <c r="U2510" i="2" s="1"/>
  <c r="Q2511" i="2"/>
  <c r="S2511" i="2" s="1"/>
  <c r="T2511" i="2" s="1"/>
  <c r="U2511" i="2" s="1"/>
  <c r="Q2512" i="2"/>
  <c r="S2512" i="2" s="1"/>
  <c r="T2512" i="2" s="1"/>
  <c r="U2512" i="2" s="1"/>
  <c r="Q2513" i="2"/>
  <c r="S2513" i="2" s="1"/>
  <c r="T2513" i="2" s="1"/>
  <c r="U2513" i="2" s="1"/>
  <c r="Q2514" i="2"/>
  <c r="S2514" i="2" s="1"/>
  <c r="Q2515" i="2"/>
  <c r="S2515" i="2" s="1"/>
  <c r="T2515" i="2" s="1"/>
  <c r="U2515" i="2" s="1"/>
  <c r="Q2516" i="2"/>
  <c r="S2516" i="2" s="1"/>
  <c r="Q2517" i="2"/>
  <c r="S2517" i="2" s="1"/>
  <c r="T2517" i="2" s="1"/>
  <c r="U2517" i="2" s="1"/>
  <c r="Q2518" i="2"/>
  <c r="S2518" i="2" s="1"/>
  <c r="T2518" i="2" s="1"/>
  <c r="U2518" i="2" s="1"/>
  <c r="Q2519" i="2"/>
  <c r="S2519" i="2" s="1"/>
  <c r="Q2520" i="2"/>
  <c r="S2520" i="2" s="1"/>
  <c r="T2520" i="2" s="1"/>
  <c r="U2520" i="2" s="1"/>
  <c r="Q2521" i="2"/>
  <c r="S2521" i="2" s="1"/>
  <c r="T2521" i="2" s="1"/>
  <c r="U2521" i="2" s="1"/>
  <c r="Q2522" i="2"/>
  <c r="S2522" i="2" s="1"/>
  <c r="Q2523" i="2"/>
  <c r="S2523" i="2" s="1"/>
  <c r="Q2524" i="2"/>
  <c r="S2524" i="2" s="1"/>
  <c r="T2524" i="2" s="1"/>
  <c r="U2524" i="2" s="1"/>
  <c r="Q2525" i="2"/>
  <c r="S2525" i="2" s="1"/>
  <c r="T2525" i="2" s="1"/>
  <c r="U2525" i="2" s="1"/>
  <c r="Q2526" i="2"/>
  <c r="S2526" i="2" s="1"/>
  <c r="T2526" i="2" s="1"/>
  <c r="U2526" i="2" s="1"/>
  <c r="Q2527" i="2"/>
  <c r="S2527" i="2" s="1"/>
  <c r="T2527" i="2" s="1"/>
  <c r="U2527" i="2" s="1"/>
  <c r="Q2528" i="2"/>
  <c r="S2528" i="2" s="1"/>
  <c r="T2528" i="2" s="1"/>
  <c r="U2528" i="2" s="1"/>
  <c r="Q2529" i="2"/>
  <c r="S2529" i="2" s="1"/>
  <c r="T2529" i="2" s="1"/>
  <c r="U2529" i="2" s="1"/>
  <c r="Q2530" i="2"/>
  <c r="S2530" i="2" s="1"/>
  <c r="Q2531" i="2"/>
  <c r="S2531" i="2" s="1"/>
  <c r="Q2532" i="2"/>
  <c r="S2532" i="2" s="1"/>
  <c r="T2532" i="2" s="1"/>
  <c r="U2532" i="2" s="1"/>
  <c r="Q2533" i="2"/>
  <c r="S2533" i="2" s="1"/>
  <c r="Q2534" i="2"/>
  <c r="S2534" i="2" s="1"/>
  <c r="T2534" i="2" s="1"/>
  <c r="U2534" i="2" s="1"/>
  <c r="Q2535" i="2"/>
  <c r="S2535" i="2" s="1"/>
  <c r="T2535" i="2" s="1"/>
  <c r="U2535" i="2" s="1"/>
  <c r="Q2536" i="2"/>
  <c r="S2536" i="2" s="1"/>
  <c r="Q2537" i="2"/>
  <c r="S2537" i="2" s="1"/>
  <c r="T2537" i="2" s="1"/>
  <c r="U2537" i="2" s="1"/>
  <c r="Q2538" i="2"/>
  <c r="S2538" i="2" s="1"/>
  <c r="T2538" i="2" s="1"/>
  <c r="U2538" i="2" s="1"/>
  <c r="Q2539" i="2"/>
  <c r="S2539" i="2" s="1"/>
  <c r="T2539" i="2" s="1"/>
  <c r="U2539" i="2" s="1"/>
  <c r="Q2540" i="2"/>
  <c r="S2540" i="2" s="1"/>
  <c r="T2540" i="2" s="1"/>
  <c r="U2540" i="2" s="1"/>
  <c r="Q2541" i="2"/>
  <c r="S2541" i="2" s="1"/>
  <c r="T2541" i="2" s="1"/>
  <c r="U2541" i="2" s="1"/>
  <c r="Q2542" i="2"/>
  <c r="S2542" i="2" s="1"/>
  <c r="T2542" i="2" s="1"/>
  <c r="U2542" i="2" s="1"/>
  <c r="Q2543" i="2"/>
  <c r="S2543" i="2" s="1"/>
  <c r="T2543" i="2" s="1"/>
  <c r="U2543" i="2" s="1"/>
  <c r="Q2544" i="2"/>
  <c r="S2544" i="2" s="1"/>
  <c r="T2544" i="2" s="1"/>
  <c r="U2544" i="2" s="1"/>
  <c r="Q2545" i="2"/>
  <c r="S2545" i="2" s="1"/>
  <c r="Q2546" i="2"/>
  <c r="S2546" i="2" s="1"/>
  <c r="T2546" i="2" s="1"/>
  <c r="U2546" i="2" s="1"/>
  <c r="Q2547" i="2"/>
  <c r="S2547" i="2" s="1"/>
  <c r="Q2548" i="2"/>
  <c r="S2548" i="2" s="1"/>
  <c r="Q2549" i="2"/>
  <c r="S2549" i="2" s="1"/>
  <c r="T2549" i="2" s="1"/>
  <c r="U2549" i="2" s="1"/>
  <c r="Q2550" i="2"/>
  <c r="S2550" i="2" s="1"/>
  <c r="Q2551" i="2"/>
  <c r="S2551" i="2" s="1"/>
  <c r="T2551" i="2" s="1"/>
  <c r="U2551" i="2" s="1"/>
  <c r="Q2552" i="2"/>
  <c r="S2552" i="2" s="1"/>
  <c r="Q2553" i="2"/>
  <c r="S2553" i="2" s="1"/>
  <c r="T2553" i="2" s="1"/>
  <c r="U2553" i="2" s="1"/>
  <c r="Q2554" i="2"/>
  <c r="S2554" i="2" s="1"/>
  <c r="Q2555" i="2"/>
  <c r="S2555" i="2" s="1"/>
  <c r="Q2556" i="2"/>
  <c r="S2556" i="2" s="1"/>
  <c r="T2556" i="2" s="1"/>
  <c r="U2556" i="2" s="1"/>
  <c r="Q2557" i="2"/>
  <c r="S2557" i="2" s="1"/>
  <c r="T2557" i="2" s="1"/>
  <c r="U2557" i="2" s="1"/>
  <c r="Q2558" i="2"/>
  <c r="S2558" i="2" s="1"/>
  <c r="T2558" i="2" s="1"/>
  <c r="U2558" i="2" s="1"/>
  <c r="Q2559" i="2"/>
  <c r="S2559" i="2" s="1"/>
  <c r="T2559" i="2" s="1"/>
  <c r="U2559" i="2" s="1"/>
  <c r="Q2560" i="2"/>
  <c r="S2560" i="2" s="1"/>
  <c r="T2560" i="2" s="1"/>
  <c r="U2560" i="2" s="1"/>
  <c r="Q2561" i="2"/>
  <c r="S2561" i="2" s="1"/>
  <c r="Q2562" i="2"/>
  <c r="S2562" i="2" s="1"/>
  <c r="Q2563" i="2"/>
  <c r="S2563" i="2" s="1"/>
  <c r="T2563" i="2" s="1"/>
  <c r="U2563" i="2" s="1"/>
  <c r="Q2564" i="2"/>
  <c r="S2564" i="2" s="1"/>
  <c r="Q2565" i="2"/>
  <c r="S2565" i="2" s="1"/>
  <c r="Q2566" i="2"/>
  <c r="S2566" i="2" s="1"/>
  <c r="T2566" i="2" s="1"/>
  <c r="U2566" i="2" s="1"/>
  <c r="Q2567" i="2"/>
  <c r="S2567" i="2" s="1"/>
  <c r="T2567" i="2" s="1"/>
  <c r="U2567" i="2" s="1"/>
  <c r="Q2568" i="2"/>
  <c r="S2568" i="2" s="1"/>
  <c r="T2568" i="2" s="1"/>
  <c r="U2568" i="2" s="1"/>
  <c r="Q2569" i="2"/>
  <c r="S2569" i="2" s="1"/>
  <c r="T2569" i="2" s="1"/>
  <c r="U2569" i="2" s="1"/>
  <c r="Q2570" i="2"/>
  <c r="S2570" i="2" s="1"/>
  <c r="Q2571" i="2"/>
  <c r="S2571" i="2" s="1"/>
  <c r="T2571" i="2" s="1"/>
  <c r="U2571" i="2" s="1"/>
  <c r="Q2572" i="2"/>
  <c r="S2572" i="2" s="1"/>
  <c r="Q2573" i="2"/>
  <c r="S2573" i="2" s="1"/>
  <c r="T2573" i="2" s="1"/>
  <c r="U2573" i="2" s="1"/>
  <c r="Q2574" i="2"/>
  <c r="S2574" i="2" s="1"/>
  <c r="Q2575" i="2"/>
  <c r="S2575" i="2" s="1"/>
  <c r="Q2576" i="2"/>
  <c r="S2576" i="2" s="1"/>
  <c r="T2576" i="2" s="1"/>
  <c r="U2576" i="2" s="1"/>
  <c r="Q2577" i="2"/>
  <c r="S2577" i="2" s="1"/>
  <c r="Q2578" i="2"/>
  <c r="S2578" i="2" s="1"/>
  <c r="T2578" i="2" s="1"/>
  <c r="U2578" i="2" s="1"/>
  <c r="Q2579" i="2"/>
  <c r="S2579" i="2" s="1"/>
  <c r="T2579" i="2" s="1"/>
  <c r="U2579" i="2" s="1"/>
  <c r="Q2580" i="2"/>
  <c r="S2580" i="2" s="1"/>
  <c r="T2580" i="2" s="1"/>
  <c r="U2580" i="2" s="1"/>
  <c r="Q2581" i="2"/>
  <c r="S2581" i="2" s="1"/>
  <c r="T2581" i="2" s="1"/>
  <c r="U2581" i="2" s="1"/>
  <c r="Q2582" i="2"/>
  <c r="S2582" i="2" s="1"/>
  <c r="T2582" i="2" s="1"/>
  <c r="U2582" i="2" s="1"/>
  <c r="Q2583" i="2"/>
  <c r="S2583" i="2" s="1"/>
  <c r="T2583" i="2" s="1"/>
  <c r="U2583" i="2" s="1"/>
  <c r="Q2584" i="2"/>
  <c r="S2584" i="2" s="1"/>
  <c r="T2584" i="2" s="1"/>
  <c r="U2584" i="2" s="1"/>
  <c r="Q2585" i="2"/>
  <c r="S2585" i="2" s="1"/>
  <c r="Q2586" i="2"/>
  <c r="S2586" i="2" s="1"/>
  <c r="T2586" i="2" s="1"/>
  <c r="U2586" i="2" s="1"/>
  <c r="Q2587" i="2"/>
  <c r="S2587" i="2" s="1"/>
  <c r="Q2588" i="2"/>
  <c r="S2588" i="2" s="1"/>
  <c r="T2588" i="2" s="1"/>
  <c r="U2588" i="2" s="1"/>
  <c r="Q2589" i="2"/>
  <c r="S2589" i="2" s="1"/>
  <c r="T2589" i="2" s="1"/>
  <c r="U2589" i="2" s="1"/>
  <c r="Q2590" i="2"/>
  <c r="S2590" i="2" s="1"/>
  <c r="T2590" i="2" s="1"/>
  <c r="U2590" i="2" s="1"/>
  <c r="Q2591" i="2"/>
  <c r="S2591" i="2" s="1"/>
  <c r="T2591" i="2" s="1"/>
  <c r="U2591" i="2" s="1"/>
  <c r="Q2592" i="2"/>
  <c r="S2592" i="2" s="1"/>
  <c r="Q2593" i="2"/>
  <c r="S2593" i="2" s="1"/>
  <c r="T2593" i="2" s="1"/>
  <c r="U2593" i="2" s="1"/>
  <c r="Q2594" i="2"/>
  <c r="S2594" i="2" s="1"/>
  <c r="T2594" i="2" s="1"/>
  <c r="U2594" i="2" s="1"/>
  <c r="Q2595" i="2"/>
  <c r="S2595" i="2" s="1"/>
  <c r="T2595" i="2" s="1"/>
  <c r="U2595" i="2" s="1"/>
  <c r="Q2596" i="2"/>
  <c r="S2596" i="2" s="1"/>
  <c r="T2596" i="2" s="1"/>
  <c r="U2596" i="2" s="1"/>
  <c r="Q2597" i="2"/>
  <c r="S2597" i="2" s="1"/>
  <c r="T2597" i="2" s="1"/>
  <c r="U2597" i="2" s="1"/>
  <c r="Q2598" i="2"/>
  <c r="S2598" i="2" s="1"/>
  <c r="T2598" i="2" s="1"/>
  <c r="U2598" i="2" s="1"/>
  <c r="Q2599" i="2"/>
  <c r="S2599" i="2" s="1"/>
  <c r="T2599" i="2" s="1"/>
  <c r="U2599" i="2" s="1"/>
  <c r="Q2600" i="2"/>
  <c r="S2600" i="2" s="1"/>
  <c r="T2600" i="2" s="1"/>
  <c r="U2600" i="2" s="1"/>
  <c r="Q2601" i="2"/>
  <c r="S2601" i="2" s="1"/>
  <c r="Q2602" i="2"/>
  <c r="S2602" i="2" s="1"/>
  <c r="Q2603" i="2"/>
  <c r="S2603" i="2" s="1"/>
  <c r="T2603" i="2" s="1"/>
  <c r="U2603" i="2" s="1"/>
  <c r="Q2604" i="2"/>
  <c r="S2604" i="2" s="1"/>
  <c r="T2604" i="2" s="1"/>
  <c r="U2604" i="2" s="1"/>
  <c r="Q2605" i="2"/>
  <c r="S2605" i="2" s="1"/>
  <c r="T2605" i="2" s="1"/>
  <c r="U2605" i="2" s="1"/>
  <c r="Q2606" i="2"/>
  <c r="S2606" i="2" s="1"/>
  <c r="T2606" i="2" s="1"/>
  <c r="U2606" i="2" s="1"/>
  <c r="Q2607" i="2"/>
  <c r="S2607" i="2" s="1"/>
  <c r="Q2608" i="2"/>
  <c r="S2608" i="2" s="1"/>
  <c r="T2608" i="2" s="1"/>
  <c r="U2608" i="2" s="1"/>
  <c r="Q2609" i="2"/>
  <c r="S2609" i="2" s="1"/>
  <c r="Q2610" i="2"/>
  <c r="S2610" i="2" s="1"/>
  <c r="T2610" i="2" s="1"/>
  <c r="U2610" i="2" s="1"/>
  <c r="Q2611" i="2"/>
  <c r="S2611" i="2" s="1"/>
  <c r="Q2612" i="2"/>
  <c r="S2612" i="2" s="1"/>
  <c r="Q2613" i="2"/>
  <c r="S2613" i="2" s="1"/>
  <c r="T2613" i="2" s="1"/>
  <c r="U2613" i="2" s="1"/>
  <c r="Q2614" i="2"/>
  <c r="S2614" i="2" s="1"/>
  <c r="T2614" i="2" s="1"/>
  <c r="U2614" i="2" s="1"/>
  <c r="Q2615" i="2"/>
  <c r="S2615" i="2" s="1"/>
  <c r="T2615" i="2" s="1"/>
  <c r="U2615" i="2" s="1"/>
  <c r="Q2616" i="2"/>
  <c r="S2616" i="2" s="1"/>
  <c r="T2616" i="2" s="1"/>
  <c r="U2616" i="2" s="1"/>
  <c r="Q2617" i="2"/>
  <c r="S2617" i="2" s="1"/>
  <c r="T2617" i="2" s="1"/>
  <c r="U2617" i="2" s="1"/>
  <c r="Q2618" i="2"/>
  <c r="S2618" i="2" s="1"/>
  <c r="T2618" i="2" s="1"/>
  <c r="U2618" i="2" s="1"/>
  <c r="Q2619" i="2"/>
  <c r="S2619" i="2" s="1"/>
  <c r="T2619" i="2" s="1"/>
  <c r="U2619" i="2" s="1"/>
  <c r="Q2620" i="2"/>
  <c r="S2620" i="2" s="1"/>
  <c r="T2620" i="2" s="1"/>
  <c r="U2620" i="2" s="1"/>
  <c r="Q2621" i="2"/>
  <c r="S2621" i="2" s="1"/>
  <c r="T2621" i="2" s="1"/>
  <c r="U2621" i="2" s="1"/>
  <c r="Q2622" i="2"/>
  <c r="S2622" i="2" s="1"/>
  <c r="T2622" i="2" s="1"/>
  <c r="U2622" i="2" s="1"/>
  <c r="Q2623" i="2"/>
  <c r="S2623" i="2" s="1"/>
  <c r="T2623" i="2" s="1"/>
  <c r="U2623" i="2" s="1"/>
  <c r="Q2624" i="2"/>
  <c r="S2624" i="2" s="1"/>
  <c r="Q2625" i="2"/>
  <c r="S2625" i="2" s="1"/>
  <c r="Q2626" i="2"/>
  <c r="S2626" i="2" s="1"/>
  <c r="T2626" i="2" s="1"/>
  <c r="U2626" i="2" s="1"/>
  <c r="Q2627" i="2"/>
  <c r="S2627" i="2" s="1"/>
  <c r="T2627" i="2" s="1"/>
  <c r="U2627" i="2" s="1"/>
  <c r="Q2628" i="2"/>
  <c r="S2628" i="2" s="1"/>
  <c r="T2628" i="2" s="1"/>
  <c r="U2628" i="2" s="1"/>
  <c r="Q2629" i="2"/>
  <c r="S2629" i="2" s="1"/>
  <c r="Q2630" i="2"/>
  <c r="S2630" i="2" s="1"/>
  <c r="Q2631" i="2"/>
  <c r="S2631" i="2" s="1"/>
  <c r="T2631" i="2" s="1"/>
  <c r="U2631" i="2" s="1"/>
  <c r="Q2632" i="2"/>
  <c r="S2632" i="2" s="1"/>
  <c r="T2632" i="2" s="1"/>
  <c r="U2632" i="2" s="1"/>
  <c r="Q2633" i="2"/>
  <c r="S2633" i="2" s="1"/>
  <c r="Q2634" i="2"/>
  <c r="S2634" i="2" s="1"/>
  <c r="T2634" i="2" s="1"/>
  <c r="U2634" i="2" s="1"/>
  <c r="Q2635" i="2"/>
  <c r="S2635" i="2" s="1"/>
  <c r="T2635" i="2" s="1"/>
  <c r="U2635" i="2" s="1"/>
  <c r="Q2636" i="2"/>
  <c r="S2636" i="2" s="1"/>
  <c r="T2636" i="2" s="1"/>
  <c r="U2636" i="2" s="1"/>
  <c r="Q2637" i="2"/>
  <c r="S2637" i="2" s="1"/>
  <c r="Q2638" i="2"/>
  <c r="S2638" i="2" s="1"/>
  <c r="T2638" i="2" s="1"/>
  <c r="U2638" i="2" s="1"/>
  <c r="Q2639" i="2"/>
  <c r="S2639" i="2" s="1"/>
  <c r="Q2640" i="2"/>
  <c r="S2640" i="2" s="1"/>
  <c r="Q2641" i="2"/>
  <c r="S2641" i="2" s="1"/>
  <c r="Q2642" i="2"/>
  <c r="S2642" i="2" s="1"/>
  <c r="T2642" i="2" s="1"/>
  <c r="U2642" i="2" s="1"/>
  <c r="Q2643" i="2"/>
  <c r="S2643" i="2" s="1"/>
  <c r="T2643" i="2" s="1"/>
  <c r="U2643" i="2" s="1"/>
  <c r="Q2644" i="2"/>
  <c r="S2644" i="2" s="1"/>
  <c r="T2644" i="2" s="1"/>
  <c r="U2644" i="2" s="1"/>
  <c r="Q2645" i="2"/>
  <c r="S2645" i="2" s="1"/>
  <c r="T2645" i="2" s="1"/>
  <c r="U2645" i="2" s="1"/>
  <c r="Q2646" i="2"/>
  <c r="S2646" i="2" s="1"/>
  <c r="T2646" i="2" s="1"/>
  <c r="U2646" i="2" s="1"/>
  <c r="Q2647" i="2"/>
  <c r="S2647" i="2" s="1"/>
  <c r="Q2648" i="2"/>
  <c r="S2648" i="2" s="1"/>
  <c r="T2648" i="2" s="1"/>
  <c r="U2648" i="2" s="1"/>
  <c r="Q2649" i="2"/>
  <c r="S2649" i="2" s="1"/>
  <c r="T2649" i="2" s="1"/>
  <c r="U2649" i="2" s="1"/>
  <c r="Q2650" i="2"/>
  <c r="S2650" i="2" s="1"/>
  <c r="Q2651" i="2"/>
  <c r="S2651" i="2" s="1"/>
  <c r="Q2652" i="2"/>
  <c r="S2652" i="2" s="1"/>
  <c r="T2652" i="2" s="1"/>
  <c r="U2652" i="2" s="1"/>
  <c r="Q2653" i="2"/>
  <c r="S2653" i="2" s="1"/>
  <c r="T2653" i="2" s="1"/>
  <c r="U2653" i="2" s="1"/>
  <c r="Q2654" i="2"/>
  <c r="S2654" i="2" s="1"/>
  <c r="T2654" i="2" s="1"/>
  <c r="U2654" i="2" s="1"/>
  <c r="Q2655" i="2"/>
  <c r="S2655" i="2" s="1"/>
  <c r="T2655" i="2" s="1"/>
  <c r="U2655" i="2" s="1"/>
  <c r="Q2656" i="2"/>
  <c r="S2656" i="2" s="1"/>
  <c r="T2656" i="2" s="1"/>
  <c r="U2656" i="2" s="1"/>
  <c r="Q2657" i="2"/>
  <c r="S2657" i="2" s="1"/>
  <c r="T2657" i="2" s="1"/>
  <c r="U2657" i="2" s="1"/>
  <c r="Q2658" i="2"/>
  <c r="S2658" i="2" s="1"/>
  <c r="T2658" i="2" s="1"/>
  <c r="U2658" i="2" s="1"/>
  <c r="Q2659" i="2"/>
  <c r="S2659" i="2" s="1"/>
  <c r="T2659" i="2" s="1"/>
  <c r="U2659" i="2" s="1"/>
  <c r="Q2660" i="2"/>
  <c r="S2660" i="2" s="1"/>
  <c r="T2660" i="2" s="1"/>
  <c r="U2660" i="2" s="1"/>
  <c r="Q2661" i="2"/>
  <c r="S2661" i="2" s="1"/>
  <c r="T2661" i="2" s="1"/>
  <c r="U2661" i="2" s="1"/>
  <c r="Q2662" i="2"/>
  <c r="S2662" i="2" s="1"/>
  <c r="Q2663" i="2"/>
  <c r="S2663" i="2" s="1"/>
  <c r="T2663" i="2" s="1"/>
  <c r="U2663" i="2" s="1"/>
  <c r="Q2664" i="2"/>
  <c r="S2664" i="2" s="1"/>
  <c r="T2664" i="2" s="1"/>
  <c r="U2664" i="2" s="1"/>
  <c r="Q2665" i="2"/>
  <c r="S2665" i="2" s="1"/>
  <c r="T2665" i="2" s="1"/>
  <c r="U2665" i="2" s="1"/>
  <c r="Q2666" i="2"/>
  <c r="S2666" i="2" s="1"/>
  <c r="T2666" i="2" s="1"/>
  <c r="U2666" i="2" s="1"/>
  <c r="Q2667" i="2"/>
  <c r="S2667" i="2" s="1"/>
  <c r="T2667" i="2" s="1"/>
  <c r="U2667" i="2" s="1"/>
  <c r="Q2668" i="2"/>
  <c r="S2668" i="2" s="1"/>
  <c r="T2668" i="2" s="1"/>
  <c r="U2668" i="2" s="1"/>
  <c r="Q2669" i="2"/>
  <c r="S2669" i="2" s="1"/>
  <c r="T2669" i="2" s="1"/>
  <c r="U2669" i="2" s="1"/>
  <c r="Q2670" i="2"/>
  <c r="S2670" i="2" s="1"/>
  <c r="T2670" i="2" s="1"/>
  <c r="U2670" i="2" s="1"/>
  <c r="Q2671" i="2"/>
  <c r="S2671" i="2" s="1"/>
  <c r="T2671" i="2" s="1"/>
  <c r="U2671" i="2" s="1"/>
  <c r="Q2672" i="2"/>
  <c r="S2672" i="2" s="1"/>
  <c r="T2672" i="2" s="1"/>
  <c r="U2672" i="2" s="1"/>
  <c r="Q2673" i="2"/>
  <c r="S2673" i="2" s="1"/>
  <c r="Q2674" i="2"/>
  <c r="S2674" i="2" s="1"/>
  <c r="Q2675" i="2"/>
  <c r="S2675" i="2" s="1"/>
  <c r="T2675" i="2" s="1"/>
  <c r="U2675" i="2" s="1"/>
  <c r="Q2676" i="2"/>
  <c r="S2676" i="2" s="1"/>
  <c r="T2676" i="2" s="1"/>
  <c r="U2676" i="2" s="1"/>
  <c r="Q2677" i="2"/>
  <c r="S2677" i="2" s="1"/>
  <c r="T2677" i="2" s="1"/>
  <c r="U2677" i="2" s="1"/>
  <c r="Q2678" i="2"/>
  <c r="S2678" i="2" s="1"/>
  <c r="T2678" i="2" s="1"/>
  <c r="U2678" i="2" s="1"/>
  <c r="Q2679" i="2"/>
  <c r="S2679" i="2" s="1"/>
  <c r="Q2680" i="2"/>
  <c r="S2680" i="2" s="1"/>
  <c r="T2680" i="2" s="1"/>
  <c r="U2680" i="2" s="1"/>
  <c r="Q2681" i="2"/>
  <c r="S2681" i="2" s="1"/>
  <c r="Q2682" i="2"/>
  <c r="S2682" i="2" s="1"/>
  <c r="T2682" i="2" s="1"/>
  <c r="U2682" i="2" s="1"/>
  <c r="Q2683" i="2"/>
  <c r="S2683" i="2" s="1"/>
  <c r="T2683" i="2" s="1"/>
  <c r="U2683" i="2" s="1"/>
  <c r="Q2684" i="2"/>
  <c r="S2684" i="2" s="1"/>
  <c r="T2684" i="2" s="1"/>
  <c r="U2684" i="2" s="1"/>
  <c r="Q2685" i="2"/>
  <c r="S2685" i="2" s="1"/>
  <c r="T2685" i="2" s="1"/>
  <c r="U2685" i="2" s="1"/>
  <c r="Q2686" i="2"/>
  <c r="S2686" i="2" s="1"/>
  <c r="T2686" i="2" s="1"/>
  <c r="U2686" i="2" s="1"/>
  <c r="Q2687" i="2"/>
  <c r="S2687" i="2" s="1"/>
  <c r="Q2688" i="2"/>
  <c r="S2688" i="2" s="1"/>
  <c r="T2688" i="2" s="1"/>
  <c r="U2688" i="2" s="1"/>
  <c r="Q2689" i="2"/>
  <c r="S2689" i="2" s="1"/>
  <c r="Q2690" i="2"/>
  <c r="S2690" i="2" s="1"/>
  <c r="Q2691" i="2"/>
  <c r="S2691" i="2" s="1"/>
  <c r="T2691" i="2" s="1"/>
  <c r="U2691" i="2" s="1"/>
  <c r="Q2692" i="2"/>
  <c r="S2692" i="2" s="1"/>
  <c r="T2692" i="2" s="1"/>
  <c r="U2692" i="2" s="1"/>
  <c r="Q2693" i="2"/>
  <c r="S2693" i="2" s="1"/>
  <c r="T2693" i="2" s="1"/>
  <c r="U2693" i="2" s="1"/>
  <c r="Q2694" i="2"/>
  <c r="S2694" i="2" s="1"/>
  <c r="Q2695" i="2"/>
  <c r="S2695" i="2" s="1"/>
  <c r="T2695" i="2" s="1"/>
  <c r="U2695" i="2" s="1"/>
  <c r="Q2696" i="2"/>
  <c r="S2696" i="2" s="1"/>
  <c r="Q2697" i="2"/>
  <c r="S2697" i="2" s="1"/>
  <c r="Q2698" i="2"/>
  <c r="S2698" i="2" s="1"/>
  <c r="T2698" i="2" s="1"/>
  <c r="U2698" i="2" s="1"/>
  <c r="Q2699" i="2"/>
  <c r="S2699" i="2" s="1"/>
  <c r="T2699" i="2" s="1"/>
  <c r="U2699" i="2" s="1"/>
  <c r="Q2700" i="2"/>
  <c r="S2700" i="2" s="1"/>
  <c r="T2700" i="2" s="1"/>
  <c r="U2700" i="2" s="1"/>
  <c r="Q2701" i="2"/>
  <c r="S2701" i="2" s="1"/>
  <c r="T2701" i="2" s="1"/>
  <c r="U2701" i="2" s="1"/>
  <c r="Q2702" i="2"/>
  <c r="S2702" i="2" s="1"/>
  <c r="Q2703" i="2"/>
  <c r="S2703" i="2" s="1"/>
  <c r="T2703" i="2" s="1"/>
  <c r="U2703" i="2" s="1"/>
  <c r="Q2704" i="2"/>
  <c r="S2704" i="2" s="1"/>
  <c r="T2704" i="2" s="1"/>
  <c r="U2704" i="2" s="1"/>
  <c r="Q2705" i="2"/>
  <c r="S2705" i="2" s="1"/>
  <c r="T2705" i="2" s="1"/>
  <c r="U2705" i="2" s="1"/>
  <c r="Q2706" i="2"/>
  <c r="S2706" i="2" s="1"/>
  <c r="Q2707" i="2"/>
  <c r="S2707" i="2" s="1"/>
  <c r="T2707" i="2" s="1"/>
  <c r="U2707" i="2" s="1"/>
  <c r="Q2708" i="2"/>
  <c r="S2708" i="2" s="1"/>
  <c r="T2708" i="2" s="1"/>
  <c r="U2708" i="2" s="1"/>
  <c r="Q2709" i="2"/>
  <c r="S2709" i="2" s="1"/>
  <c r="T2709" i="2" s="1"/>
  <c r="U2709" i="2" s="1"/>
  <c r="Q2710" i="2"/>
  <c r="S2710" i="2" s="1"/>
  <c r="T2710" i="2" s="1"/>
  <c r="U2710" i="2" s="1"/>
  <c r="Q2711" i="2"/>
  <c r="S2711" i="2" s="1"/>
  <c r="Q2712" i="2"/>
  <c r="S2712" i="2" s="1"/>
  <c r="Q2713" i="2"/>
  <c r="S2713" i="2" s="1"/>
  <c r="T2713" i="2" s="1"/>
  <c r="U2713" i="2" s="1"/>
  <c r="Q2714" i="2"/>
  <c r="S2714" i="2" s="1"/>
  <c r="Q2715" i="2"/>
  <c r="S2715" i="2" s="1"/>
  <c r="T2715" i="2" s="1"/>
  <c r="U2715" i="2" s="1"/>
  <c r="Q2716" i="2"/>
  <c r="S2716" i="2" s="1"/>
  <c r="T2716" i="2" s="1"/>
  <c r="U2716" i="2" s="1"/>
  <c r="Q2717" i="2"/>
  <c r="S2717" i="2" s="1"/>
  <c r="T2717" i="2" s="1"/>
  <c r="U2717" i="2" s="1"/>
  <c r="Q2718" i="2"/>
  <c r="S2718" i="2" s="1"/>
  <c r="T2718" i="2" s="1"/>
  <c r="U2718" i="2" s="1"/>
  <c r="Q2719" i="2"/>
  <c r="S2719" i="2" s="1"/>
  <c r="T2719" i="2" s="1"/>
  <c r="U2719" i="2" s="1"/>
  <c r="Q2720" i="2"/>
  <c r="S2720" i="2" s="1"/>
  <c r="T2720" i="2" s="1"/>
  <c r="U2720" i="2" s="1"/>
  <c r="Q2721" i="2"/>
  <c r="S2721" i="2" s="1"/>
  <c r="T2721" i="2" s="1"/>
  <c r="U2721" i="2" s="1"/>
  <c r="Q2722" i="2"/>
  <c r="S2722" i="2" s="1"/>
  <c r="T2722" i="2" s="1"/>
  <c r="U2722" i="2" s="1"/>
  <c r="Q2723" i="2"/>
  <c r="S2723" i="2" s="1"/>
  <c r="T2723" i="2" s="1"/>
  <c r="U2723" i="2" s="1"/>
  <c r="Q2724" i="2"/>
  <c r="S2724" i="2" s="1"/>
  <c r="T2724" i="2" s="1"/>
  <c r="U2724" i="2" s="1"/>
  <c r="Q2725" i="2"/>
  <c r="S2725" i="2" s="1"/>
  <c r="Q2726" i="2"/>
  <c r="S2726" i="2" s="1"/>
  <c r="T2726" i="2" s="1"/>
  <c r="U2726" i="2" s="1"/>
  <c r="Q2727" i="2"/>
  <c r="S2727" i="2" s="1"/>
  <c r="Q2728" i="2"/>
  <c r="S2728" i="2" s="1"/>
  <c r="T2728" i="2" s="1"/>
  <c r="U2728" i="2" s="1"/>
  <c r="Q2729" i="2"/>
  <c r="S2729" i="2" s="1"/>
  <c r="Q2730" i="2"/>
  <c r="S2730" i="2" s="1"/>
  <c r="T2730" i="2" s="1"/>
  <c r="U2730" i="2" s="1"/>
  <c r="Q2731" i="2"/>
  <c r="S2731" i="2" s="1"/>
  <c r="T2731" i="2" s="1"/>
  <c r="U2731" i="2" s="1"/>
  <c r="Q2732" i="2"/>
  <c r="S2732" i="2" s="1"/>
  <c r="T2732" i="2" s="1"/>
  <c r="U2732" i="2" s="1"/>
  <c r="Q2733" i="2"/>
  <c r="S2733" i="2" s="1"/>
  <c r="Q2734" i="2"/>
  <c r="S2734" i="2" s="1"/>
  <c r="Q2735" i="2"/>
  <c r="S2735" i="2" s="1"/>
  <c r="Q2736" i="2"/>
  <c r="S2736" i="2" s="1"/>
  <c r="T2736" i="2" s="1"/>
  <c r="U2736" i="2" s="1"/>
  <c r="Q2737" i="2"/>
  <c r="S2737" i="2" s="1"/>
  <c r="T2737" i="2" s="1"/>
  <c r="U2737" i="2" s="1"/>
  <c r="Q2738" i="2"/>
  <c r="S2738" i="2" s="1"/>
  <c r="Q2739" i="2"/>
  <c r="S2739" i="2" s="1"/>
  <c r="T2739" i="2" s="1"/>
  <c r="U2739" i="2" s="1"/>
  <c r="Q2740" i="2"/>
  <c r="S2740" i="2" s="1"/>
  <c r="T2740" i="2" s="1"/>
  <c r="U2740" i="2" s="1"/>
  <c r="Q2741" i="2"/>
  <c r="S2741" i="2" s="1"/>
  <c r="T2741" i="2" s="1"/>
  <c r="U2741" i="2" s="1"/>
  <c r="Q2742" i="2"/>
  <c r="S2742" i="2" s="1"/>
  <c r="T2742" i="2" s="1"/>
  <c r="U2742" i="2" s="1"/>
  <c r="Q2743" i="2"/>
  <c r="S2743" i="2" s="1"/>
  <c r="T2743" i="2" s="1"/>
  <c r="U2743" i="2" s="1"/>
  <c r="Q2744" i="2"/>
  <c r="S2744" i="2" s="1"/>
  <c r="T2744" i="2" s="1"/>
  <c r="U2744" i="2" s="1"/>
  <c r="Q2745" i="2"/>
  <c r="S2745" i="2" s="1"/>
  <c r="T2745" i="2" s="1"/>
  <c r="U2745" i="2" s="1"/>
  <c r="Q2746" i="2"/>
  <c r="S2746" i="2" s="1"/>
  <c r="Q2747" i="2"/>
  <c r="S2747" i="2" s="1"/>
  <c r="Q2748" i="2"/>
  <c r="S2748" i="2" s="1"/>
  <c r="T2748" i="2" s="1"/>
  <c r="U2748" i="2" s="1"/>
  <c r="Q2749" i="2"/>
  <c r="S2749" i="2" s="1"/>
  <c r="Q2750" i="2"/>
  <c r="S2750" i="2" s="1"/>
  <c r="Q2751" i="2"/>
  <c r="S2751" i="2" s="1"/>
  <c r="T2751" i="2" s="1"/>
  <c r="U2751" i="2" s="1"/>
  <c r="Q2752" i="2"/>
  <c r="S2752" i="2" s="1"/>
  <c r="T2752" i="2" s="1"/>
  <c r="U2752" i="2" s="1"/>
  <c r="Q2753" i="2"/>
  <c r="S2753" i="2" s="1"/>
  <c r="T2753" i="2" s="1"/>
  <c r="U2753" i="2" s="1"/>
  <c r="Q2754" i="2"/>
  <c r="S2754" i="2" s="1"/>
  <c r="T2754" i="2" s="1"/>
  <c r="U2754" i="2" s="1"/>
  <c r="Q2755" i="2"/>
  <c r="S2755" i="2" s="1"/>
  <c r="T2755" i="2" s="1"/>
  <c r="U2755" i="2" s="1"/>
  <c r="Q2756" i="2"/>
  <c r="S2756" i="2" s="1"/>
  <c r="T2756" i="2" s="1"/>
  <c r="U2756" i="2" s="1"/>
  <c r="Q2757" i="2"/>
  <c r="S2757" i="2" s="1"/>
  <c r="T2757" i="2" s="1"/>
  <c r="U2757" i="2" s="1"/>
  <c r="Q2758" i="2"/>
  <c r="S2758" i="2" s="1"/>
  <c r="T2758" i="2" s="1"/>
  <c r="U2758" i="2" s="1"/>
  <c r="Q2759" i="2"/>
  <c r="S2759" i="2" s="1"/>
  <c r="Q2760" i="2"/>
  <c r="S2760" i="2" s="1"/>
  <c r="T2760" i="2" s="1"/>
  <c r="U2760" i="2" s="1"/>
  <c r="Q2761" i="2"/>
  <c r="S2761" i="2" s="1"/>
  <c r="T2761" i="2" s="1"/>
  <c r="U2761" i="2" s="1"/>
  <c r="Q2762" i="2"/>
  <c r="S2762" i="2" s="1"/>
  <c r="T2762" i="2" s="1"/>
  <c r="U2762" i="2" s="1"/>
  <c r="Q2763" i="2"/>
  <c r="S2763" i="2" s="1"/>
  <c r="T2763" i="2" s="1"/>
  <c r="U2763" i="2" s="1"/>
  <c r="Q2764" i="2"/>
  <c r="S2764" i="2" s="1"/>
  <c r="T2764" i="2" s="1"/>
  <c r="U2764" i="2" s="1"/>
  <c r="Q2765" i="2"/>
  <c r="S2765" i="2" s="1"/>
  <c r="T2765" i="2" s="1"/>
  <c r="U2765" i="2" s="1"/>
  <c r="Q2766" i="2"/>
  <c r="S2766" i="2" s="1"/>
  <c r="T2766" i="2" s="1"/>
  <c r="U2766" i="2" s="1"/>
  <c r="Q2767" i="2"/>
  <c r="S2767" i="2" s="1"/>
  <c r="T2767" i="2" s="1"/>
  <c r="U2767" i="2" s="1"/>
  <c r="Q2768" i="2"/>
  <c r="S2768" i="2" s="1"/>
  <c r="T2768" i="2" s="1"/>
  <c r="U2768" i="2" s="1"/>
  <c r="Q2769" i="2"/>
  <c r="S2769" i="2" s="1"/>
  <c r="T2769" i="2" s="1"/>
  <c r="U2769" i="2" s="1"/>
  <c r="Q2770" i="2"/>
  <c r="S2770" i="2" s="1"/>
  <c r="T2770" i="2" s="1"/>
  <c r="U2770" i="2" s="1"/>
  <c r="Q2771" i="2"/>
  <c r="S2771" i="2" s="1"/>
  <c r="T2771" i="2" s="1"/>
  <c r="U2771" i="2" s="1"/>
  <c r="Q2772" i="2"/>
  <c r="S2772" i="2" s="1"/>
  <c r="T2772" i="2" s="1"/>
  <c r="U2772" i="2" s="1"/>
  <c r="Q2773" i="2"/>
  <c r="S2773" i="2" s="1"/>
  <c r="T2773" i="2" s="1"/>
  <c r="U2773" i="2" s="1"/>
  <c r="Q2774" i="2"/>
  <c r="S2774" i="2" s="1"/>
  <c r="T2774" i="2" s="1"/>
  <c r="U2774" i="2" s="1"/>
  <c r="Q2775" i="2"/>
  <c r="S2775" i="2" s="1"/>
  <c r="T2775" i="2" s="1"/>
  <c r="U2775" i="2" s="1"/>
  <c r="Q2776" i="2"/>
  <c r="S2776" i="2" s="1"/>
  <c r="Q2777" i="2"/>
  <c r="S2777" i="2" s="1"/>
  <c r="Q2778" i="2"/>
  <c r="S2778" i="2" s="1"/>
  <c r="T2778" i="2" s="1"/>
  <c r="U2778" i="2" s="1"/>
  <c r="Q2779" i="2"/>
  <c r="S2779" i="2" s="1"/>
  <c r="Q2780" i="2"/>
  <c r="S2780" i="2" s="1"/>
  <c r="Q2781" i="2"/>
  <c r="S2781" i="2" s="1"/>
  <c r="T2781" i="2" s="1"/>
  <c r="U2781" i="2" s="1"/>
  <c r="Q2782" i="2"/>
  <c r="S2782" i="2" s="1"/>
  <c r="Q2783" i="2"/>
  <c r="S2783" i="2" s="1"/>
  <c r="T2783" i="2" s="1"/>
  <c r="U2783" i="2" s="1"/>
  <c r="Q2784" i="2"/>
  <c r="S2784" i="2" s="1"/>
  <c r="Q2785" i="2"/>
  <c r="S2785" i="2" s="1"/>
  <c r="T2785" i="2" s="1"/>
  <c r="U2785" i="2" s="1"/>
  <c r="Q2786" i="2"/>
  <c r="S2786" i="2" s="1"/>
  <c r="Q2787" i="2"/>
  <c r="S2787" i="2" s="1"/>
  <c r="T2787" i="2" s="1"/>
  <c r="U2787" i="2" s="1"/>
  <c r="Q2788" i="2"/>
  <c r="S2788" i="2" s="1"/>
  <c r="Q2789" i="2"/>
  <c r="S2789" i="2" s="1"/>
  <c r="Q2790" i="2"/>
  <c r="S2790" i="2" s="1"/>
  <c r="T2790" i="2" s="1"/>
  <c r="U2790" i="2" s="1"/>
  <c r="Q2791" i="2"/>
  <c r="S2791" i="2" s="1"/>
  <c r="T2791" i="2" s="1"/>
  <c r="U2791" i="2" s="1"/>
  <c r="Q2792" i="2"/>
  <c r="S2792" i="2" s="1"/>
  <c r="T2792" i="2" s="1"/>
  <c r="U2792" i="2" s="1"/>
  <c r="Q2793" i="2"/>
  <c r="S2793" i="2" s="1"/>
  <c r="T2793" i="2" s="1"/>
  <c r="U2793" i="2" s="1"/>
  <c r="Q2794" i="2"/>
  <c r="S2794" i="2" s="1"/>
  <c r="T2794" i="2" s="1"/>
  <c r="U2794" i="2" s="1"/>
  <c r="Q2795" i="2"/>
  <c r="S2795" i="2" s="1"/>
  <c r="T2795" i="2" s="1"/>
  <c r="U2795" i="2" s="1"/>
  <c r="Q2796" i="2"/>
  <c r="S2796" i="2" s="1"/>
  <c r="T2796" i="2" s="1"/>
  <c r="U2796" i="2" s="1"/>
  <c r="Q2797" i="2"/>
  <c r="S2797" i="2" s="1"/>
  <c r="T2797" i="2" s="1"/>
  <c r="U2797" i="2" s="1"/>
  <c r="Q2798" i="2"/>
  <c r="S2798" i="2" s="1"/>
  <c r="T2798" i="2" s="1"/>
  <c r="U2798" i="2" s="1"/>
  <c r="Q2799" i="2"/>
  <c r="S2799" i="2" s="1"/>
  <c r="T2799" i="2" s="1"/>
  <c r="U2799" i="2" s="1"/>
  <c r="Q2800" i="2"/>
  <c r="S2800" i="2" s="1"/>
  <c r="Q2801" i="2"/>
  <c r="S2801" i="2" s="1"/>
  <c r="T2801" i="2" s="1"/>
  <c r="U2801" i="2" s="1"/>
  <c r="Q2802" i="2"/>
  <c r="S2802" i="2" s="1"/>
  <c r="T2802" i="2" s="1"/>
  <c r="U2802" i="2" s="1"/>
  <c r="Q2803" i="2"/>
  <c r="S2803" i="2" s="1"/>
  <c r="Q2804" i="2"/>
  <c r="S2804" i="2" s="1"/>
  <c r="T2804" i="2" s="1"/>
  <c r="U2804" i="2" s="1"/>
  <c r="Q2805" i="2"/>
  <c r="S2805" i="2" s="1"/>
  <c r="T2805" i="2" s="1"/>
  <c r="U2805" i="2" s="1"/>
  <c r="Q2806" i="2"/>
  <c r="S2806" i="2" s="1"/>
  <c r="T2806" i="2" s="1"/>
  <c r="U2806" i="2" s="1"/>
  <c r="Q2807" i="2"/>
  <c r="S2807" i="2" s="1"/>
  <c r="T2807" i="2" s="1"/>
  <c r="U2807" i="2" s="1"/>
  <c r="Q2808" i="2"/>
  <c r="S2808" i="2" s="1"/>
  <c r="Q2809" i="2"/>
  <c r="S2809" i="2" s="1"/>
  <c r="T2809" i="2" s="1"/>
  <c r="U2809" i="2" s="1"/>
  <c r="Q2810" i="2"/>
  <c r="S2810" i="2" s="1"/>
  <c r="Q2811" i="2"/>
  <c r="S2811" i="2" s="1"/>
  <c r="T2811" i="2" s="1"/>
  <c r="U2811" i="2" s="1"/>
  <c r="Q2812" i="2"/>
  <c r="S2812" i="2" s="1"/>
  <c r="T2812" i="2" s="1"/>
  <c r="U2812" i="2" s="1"/>
  <c r="Q2813" i="2"/>
  <c r="S2813" i="2" s="1"/>
  <c r="Q2814" i="2"/>
  <c r="S2814" i="2" s="1"/>
  <c r="Q2815" i="2"/>
  <c r="S2815" i="2" s="1"/>
  <c r="T2815" i="2" s="1"/>
  <c r="U2815" i="2" s="1"/>
  <c r="Q2816" i="2"/>
  <c r="S2816" i="2" s="1"/>
  <c r="T2816" i="2" s="1"/>
  <c r="U2816" i="2" s="1"/>
  <c r="Q2817" i="2"/>
  <c r="S2817" i="2" s="1"/>
  <c r="T2817" i="2" s="1"/>
  <c r="U2817" i="2" s="1"/>
  <c r="Q2818" i="2"/>
  <c r="S2818" i="2" s="1"/>
  <c r="T2818" i="2" s="1"/>
  <c r="U2818" i="2" s="1"/>
  <c r="Q2819" i="2"/>
  <c r="S2819" i="2" s="1"/>
  <c r="T2819" i="2" s="1"/>
  <c r="U2819" i="2" s="1"/>
  <c r="Q2820" i="2"/>
  <c r="S2820" i="2" s="1"/>
  <c r="T2820" i="2" s="1"/>
  <c r="U2820" i="2" s="1"/>
  <c r="Q2821" i="2"/>
  <c r="S2821" i="2" s="1"/>
  <c r="T2821" i="2" s="1"/>
  <c r="U2821" i="2" s="1"/>
  <c r="Q2822" i="2"/>
  <c r="S2822" i="2" s="1"/>
  <c r="T2822" i="2" s="1"/>
  <c r="U2822" i="2" s="1"/>
  <c r="Q2823" i="2"/>
  <c r="S2823" i="2" s="1"/>
  <c r="T2823" i="2" s="1"/>
  <c r="U2823" i="2" s="1"/>
  <c r="Q2824" i="2"/>
  <c r="S2824" i="2" s="1"/>
  <c r="T2824" i="2" s="1"/>
  <c r="U2824" i="2" s="1"/>
  <c r="Q2825" i="2"/>
  <c r="S2825" i="2" s="1"/>
  <c r="T2825" i="2" s="1"/>
  <c r="U2825" i="2" s="1"/>
  <c r="Q2826" i="2"/>
  <c r="S2826" i="2" s="1"/>
  <c r="Q2827" i="2"/>
  <c r="S2827" i="2" s="1"/>
  <c r="Q2828" i="2"/>
  <c r="S2828" i="2" s="1"/>
  <c r="T2828" i="2" s="1"/>
  <c r="U2828" i="2" s="1"/>
  <c r="Q2829" i="2"/>
  <c r="S2829" i="2" s="1"/>
  <c r="T2829" i="2" s="1"/>
  <c r="U2829" i="2" s="1"/>
  <c r="Q2830" i="2"/>
  <c r="S2830" i="2" s="1"/>
  <c r="T2830" i="2" s="1"/>
  <c r="U2830" i="2" s="1"/>
  <c r="Q2831" i="2"/>
  <c r="S2831" i="2" s="1"/>
  <c r="T2831" i="2" s="1"/>
  <c r="U2831" i="2" s="1"/>
  <c r="Q2832" i="2"/>
  <c r="S2832" i="2" s="1"/>
  <c r="T2832" i="2" s="1"/>
  <c r="U2832" i="2" s="1"/>
  <c r="Q2833" i="2"/>
  <c r="S2833" i="2" s="1"/>
  <c r="T2833" i="2" s="1"/>
  <c r="U2833" i="2" s="1"/>
  <c r="Q2834" i="2"/>
  <c r="S2834" i="2" s="1"/>
  <c r="T2834" i="2" s="1"/>
  <c r="U2834" i="2" s="1"/>
  <c r="Q2835" i="2"/>
  <c r="S2835" i="2" s="1"/>
  <c r="Q2836" i="2"/>
  <c r="S2836" i="2" s="1"/>
  <c r="Q2837" i="2"/>
  <c r="S2837" i="2" s="1"/>
  <c r="T2837" i="2" s="1"/>
  <c r="U2837" i="2" s="1"/>
  <c r="Q2838" i="2"/>
  <c r="S2838" i="2" s="1"/>
  <c r="Q2839" i="2"/>
  <c r="S2839" i="2" s="1"/>
  <c r="T2839" i="2" s="1"/>
  <c r="U2839" i="2" s="1"/>
  <c r="Q2840" i="2"/>
  <c r="S2840" i="2" s="1"/>
  <c r="Q2841" i="2"/>
  <c r="S2841" i="2" s="1"/>
  <c r="T2841" i="2" s="1"/>
  <c r="U2841" i="2" s="1"/>
  <c r="Q2842" i="2"/>
  <c r="S2842" i="2" s="1"/>
  <c r="T2842" i="2" s="1"/>
  <c r="U2842" i="2" s="1"/>
  <c r="Q2843" i="2"/>
  <c r="S2843" i="2" s="1"/>
  <c r="T2843" i="2" s="1"/>
  <c r="U2843" i="2" s="1"/>
  <c r="Q2844" i="2"/>
  <c r="S2844" i="2" s="1"/>
  <c r="Q2845" i="2"/>
  <c r="S2845" i="2" s="1"/>
  <c r="T2845" i="2" s="1"/>
  <c r="U2845" i="2" s="1"/>
  <c r="Q2846" i="2"/>
  <c r="S2846" i="2" s="1"/>
  <c r="T2846" i="2" s="1"/>
  <c r="U2846" i="2" s="1"/>
  <c r="Q2847" i="2"/>
  <c r="S2847" i="2" s="1"/>
  <c r="T2847" i="2" s="1"/>
  <c r="U2847" i="2" s="1"/>
  <c r="Q2848" i="2"/>
  <c r="S2848" i="2" s="1"/>
  <c r="T2848" i="2" s="1"/>
  <c r="U2848" i="2" s="1"/>
  <c r="Q2849" i="2"/>
  <c r="S2849" i="2" s="1"/>
  <c r="T2849" i="2" s="1"/>
  <c r="U2849" i="2" s="1"/>
  <c r="Q2850" i="2"/>
  <c r="S2850" i="2" s="1"/>
  <c r="T2850" i="2" s="1"/>
  <c r="U2850" i="2" s="1"/>
  <c r="Q2851" i="2"/>
  <c r="S2851" i="2" s="1"/>
  <c r="T2851" i="2" s="1"/>
  <c r="U2851" i="2" s="1"/>
  <c r="Q2852" i="2"/>
  <c r="S2852" i="2" s="1"/>
  <c r="T2852" i="2" s="1"/>
  <c r="U2852" i="2" s="1"/>
  <c r="Q2853" i="2"/>
  <c r="S2853" i="2" s="1"/>
  <c r="T2853" i="2" s="1"/>
  <c r="U2853" i="2" s="1"/>
  <c r="Q2854" i="2"/>
  <c r="S2854" i="2" s="1"/>
  <c r="Q2855" i="2"/>
  <c r="S2855" i="2" s="1"/>
  <c r="T2855" i="2" s="1"/>
  <c r="U2855" i="2" s="1"/>
  <c r="Q2856" i="2"/>
  <c r="S2856" i="2" s="1"/>
  <c r="Q2857" i="2"/>
  <c r="S2857" i="2" s="1"/>
  <c r="T2857" i="2" s="1"/>
  <c r="U2857" i="2" s="1"/>
  <c r="Q2858" i="2"/>
  <c r="S2858" i="2" s="1"/>
  <c r="Q2859" i="2"/>
  <c r="S2859" i="2" s="1"/>
  <c r="T2859" i="2" s="1"/>
  <c r="U2859" i="2" s="1"/>
  <c r="Q2860" i="2"/>
  <c r="S2860" i="2" s="1"/>
  <c r="T2860" i="2" s="1"/>
  <c r="U2860" i="2" s="1"/>
  <c r="Q2861" i="2"/>
  <c r="S2861" i="2" s="1"/>
  <c r="Q2862" i="2"/>
  <c r="S2862" i="2" s="1"/>
  <c r="T2862" i="2" s="1"/>
  <c r="U2862" i="2" s="1"/>
  <c r="Q2863" i="2"/>
  <c r="S2863" i="2" s="1"/>
  <c r="T2863" i="2" s="1"/>
  <c r="U2863" i="2" s="1"/>
  <c r="Q2864" i="2"/>
  <c r="S2864" i="2" s="1"/>
  <c r="Q2865" i="2"/>
  <c r="S2865" i="2" s="1"/>
  <c r="T2865" i="2" s="1"/>
  <c r="U2865" i="2" s="1"/>
  <c r="Q2866" i="2"/>
  <c r="S2866" i="2" s="1"/>
  <c r="Q2867" i="2"/>
  <c r="S2867" i="2" s="1"/>
  <c r="Q2868" i="2"/>
  <c r="S2868" i="2" s="1"/>
  <c r="T2868" i="2" s="1"/>
  <c r="U2868" i="2" s="1"/>
  <c r="Q2869" i="2"/>
  <c r="S2869" i="2" s="1"/>
  <c r="T2869" i="2" s="1"/>
  <c r="U2869" i="2" s="1"/>
  <c r="Q2870" i="2"/>
  <c r="S2870" i="2" s="1"/>
  <c r="T2870" i="2" s="1"/>
  <c r="U2870" i="2" s="1"/>
  <c r="Q2871" i="2"/>
  <c r="S2871" i="2" s="1"/>
  <c r="T2871" i="2" s="1"/>
  <c r="U2871" i="2" s="1"/>
  <c r="Q2872" i="2"/>
  <c r="S2872" i="2" s="1"/>
  <c r="Q2873" i="2"/>
  <c r="S2873" i="2" s="1"/>
  <c r="Q2874" i="2"/>
  <c r="S2874" i="2" s="1"/>
  <c r="T2874" i="2" s="1"/>
  <c r="U2874" i="2" s="1"/>
  <c r="Q2875" i="2"/>
  <c r="S2875" i="2" s="1"/>
  <c r="T2875" i="2" s="1"/>
  <c r="U2875" i="2" s="1"/>
  <c r="Q2876" i="2"/>
  <c r="S2876" i="2" s="1"/>
  <c r="T2876" i="2" s="1"/>
  <c r="U2876" i="2" s="1"/>
  <c r="Q2877" i="2"/>
  <c r="S2877" i="2" s="1"/>
  <c r="T2877" i="2" s="1"/>
  <c r="U2877" i="2" s="1"/>
  <c r="Q2878" i="2"/>
  <c r="S2878" i="2" s="1"/>
  <c r="T2878" i="2" s="1"/>
  <c r="U2878" i="2" s="1"/>
  <c r="Q2879" i="2"/>
  <c r="S2879" i="2" s="1"/>
  <c r="Q2880" i="2"/>
  <c r="S2880" i="2" s="1"/>
  <c r="T2880" i="2" s="1"/>
  <c r="U2880" i="2" s="1"/>
  <c r="Q2881" i="2"/>
  <c r="S2881" i="2" s="1"/>
  <c r="T2881" i="2" s="1"/>
  <c r="U2881" i="2" s="1"/>
  <c r="Q2882" i="2"/>
  <c r="S2882" i="2" s="1"/>
  <c r="Q2883" i="2"/>
  <c r="S2883" i="2" s="1"/>
  <c r="Q2884" i="2"/>
  <c r="S2884" i="2" s="1"/>
  <c r="T2884" i="2" s="1"/>
  <c r="U2884" i="2" s="1"/>
  <c r="Q2885" i="2"/>
  <c r="S2885" i="2" s="1"/>
  <c r="T2885" i="2" s="1"/>
  <c r="U2885" i="2" s="1"/>
  <c r="Q2886" i="2"/>
  <c r="S2886" i="2" s="1"/>
  <c r="T2886" i="2" s="1"/>
  <c r="U2886" i="2" s="1"/>
  <c r="Q2887" i="2"/>
  <c r="S2887" i="2" s="1"/>
  <c r="T2887" i="2" s="1"/>
  <c r="U2887" i="2" s="1"/>
  <c r="Q2888" i="2"/>
  <c r="S2888" i="2" s="1"/>
  <c r="T2888" i="2" s="1"/>
  <c r="U2888" i="2" s="1"/>
  <c r="Q2889" i="2"/>
  <c r="S2889" i="2" s="1"/>
  <c r="T2889" i="2" s="1"/>
  <c r="U2889" i="2" s="1"/>
  <c r="Q2890" i="2"/>
  <c r="S2890" i="2" s="1"/>
  <c r="Q2891" i="2"/>
  <c r="S2891" i="2" s="1"/>
  <c r="T2891" i="2" s="1"/>
  <c r="U2891" i="2" s="1"/>
  <c r="Q2892" i="2"/>
  <c r="S2892" i="2" s="1"/>
  <c r="Q2893" i="2"/>
  <c r="S2893" i="2" s="1"/>
  <c r="T2893" i="2" s="1"/>
  <c r="U2893" i="2" s="1"/>
  <c r="Q2894" i="2"/>
  <c r="S2894" i="2" s="1"/>
  <c r="Q2895" i="2"/>
  <c r="S2895" i="2" s="1"/>
  <c r="Q2896" i="2"/>
  <c r="S2896" i="2" s="1"/>
  <c r="Q2897" i="2"/>
  <c r="S2897" i="2" s="1"/>
  <c r="T2897" i="2" s="1"/>
  <c r="U2897" i="2" s="1"/>
  <c r="Q2898" i="2"/>
  <c r="S2898" i="2" s="1"/>
  <c r="T2898" i="2" s="1"/>
  <c r="U2898" i="2" s="1"/>
  <c r="Q2899" i="2"/>
  <c r="S2899" i="2" s="1"/>
  <c r="Q2900" i="2"/>
  <c r="S2900" i="2" s="1"/>
  <c r="T2900" i="2" s="1"/>
  <c r="U2900" i="2" s="1"/>
  <c r="Q2901" i="2"/>
  <c r="S2901" i="2" s="1"/>
  <c r="Q2902" i="2"/>
  <c r="S2902" i="2" s="1"/>
  <c r="Q2903" i="2"/>
  <c r="S2903" i="2" s="1"/>
  <c r="T2903" i="2" s="1"/>
  <c r="U2903" i="2" s="1"/>
  <c r="Q2904" i="2"/>
  <c r="S2904" i="2" s="1"/>
  <c r="T2904" i="2" s="1"/>
  <c r="U2904" i="2" s="1"/>
  <c r="Q2905" i="2"/>
  <c r="S2905" i="2" s="1"/>
  <c r="T2905" i="2" s="1"/>
  <c r="U2905" i="2" s="1"/>
  <c r="Q2906" i="2"/>
  <c r="S2906" i="2" s="1"/>
  <c r="T2906" i="2" s="1"/>
  <c r="U2906" i="2" s="1"/>
  <c r="Q2907" i="2"/>
  <c r="S2907" i="2" s="1"/>
  <c r="Q2908" i="2"/>
  <c r="S2908" i="2" s="1"/>
  <c r="T2908" i="2" s="1"/>
  <c r="U2908" i="2" s="1"/>
  <c r="Q2909" i="2"/>
  <c r="S2909" i="2" s="1"/>
  <c r="Q2910" i="2"/>
  <c r="S2910" i="2" s="1"/>
  <c r="T2910" i="2" s="1"/>
  <c r="U2910" i="2" s="1"/>
  <c r="Q2911" i="2"/>
  <c r="S2911" i="2" s="1"/>
  <c r="Q2912" i="2"/>
  <c r="S2912" i="2" s="1"/>
  <c r="Q2913" i="2"/>
  <c r="S2913" i="2" s="1"/>
  <c r="T2913" i="2" s="1"/>
  <c r="U2913" i="2" s="1"/>
  <c r="Q2914" i="2"/>
  <c r="S2914" i="2" s="1"/>
  <c r="T2914" i="2" s="1"/>
  <c r="U2914" i="2" s="1"/>
  <c r="Q2915" i="2"/>
  <c r="S2915" i="2" s="1"/>
  <c r="T2915" i="2" s="1"/>
  <c r="U2915" i="2" s="1"/>
  <c r="Q2916" i="2"/>
  <c r="S2916" i="2" s="1"/>
  <c r="T2916" i="2" s="1"/>
  <c r="U2916" i="2" s="1"/>
  <c r="Q2917" i="2"/>
  <c r="S2917" i="2" s="1"/>
  <c r="T2917" i="2" s="1"/>
  <c r="U2917" i="2" s="1"/>
  <c r="Q2918" i="2"/>
  <c r="S2918" i="2" s="1"/>
  <c r="T2918" i="2" s="1"/>
  <c r="U2918" i="2" s="1"/>
  <c r="Q2919" i="2"/>
  <c r="S2919" i="2" s="1"/>
  <c r="T2919" i="2" s="1"/>
  <c r="U2919" i="2" s="1"/>
  <c r="Q2920" i="2"/>
  <c r="S2920" i="2" s="1"/>
  <c r="Q2921" i="2"/>
  <c r="S2921" i="2" s="1"/>
  <c r="Q2922" i="2"/>
  <c r="S2922" i="2" s="1"/>
  <c r="T2922" i="2" s="1"/>
  <c r="U2922" i="2" s="1"/>
  <c r="Q2923" i="2"/>
  <c r="S2923" i="2" s="1"/>
  <c r="T2923" i="2" s="1"/>
  <c r="U2923" i="2" s="1"/>
  <c r="Q2924" i="2"/>
  <c r="S2924" i="2" s="1"/>
  <c r="T2924" i="2" s="1"/>
  <c r="U2924" i="2" s="1"/>
  <c r="Q2925" i="2"/>
  <c r="S2925" i="2" s="1"/>
  <c r="T2925" i="2" s="1"/>
  <c r="U2925" i="2" s="1"/>
  <c r="Q2926" i="2"/>
  <c r="S2926" i="2" s="1"/>
  <c r="Q2927" i="2"/>
  <c r="S2927" i="2" s="1"/>
  <c r="Q2928" i="2"/>
  <c r="S2928" i="2" s="1"/>
  <c r="T2928" i="2" s="1"/>
  <c r="U2928" i="2" s="1"/>
  <c r="Q2929" i="2"/>
  <c r="S2929" i="2" s="1"/>
  <c r="T2929" i="2" s="1"/>
  <c r="U2929" i="2" s="1"/>
  <c r="Q2930" i="2"/>
  <c r="S2930" i="2" s="1"/>
  <c r="T2930" i="2" s="1"/>
  <c r="U2930" i="2" s="1"/>
  <c r="Q2931" i="2"/>
  <c r="S2931" i="2" s="1"/>
  <c r="T2931" i="2" s="1"/>
  <c r="U2931" i="2" s="1"/>
  <c r="Q2932" i="2"/>
  <c r="S2932" i="2" s="1"/>
  <c r="T2932" i="2" s="1"/>
  <c r="U2932" i="2" s="1"/>
  <c r="Q2933" i="2"/>
  <c r="S2933" i="2" s="1"/>
  <c r="Q2934" i="2"/>
  <c r="S2934" i="2" s="1"/>
  <c r="T2934" i="2" s="1"/>
  <c r="U2934" i="2" s="1"/>
  <c r="Q2935" i="2"/>
  <c r="S2935" i="2" s="1"/>
  <c r="Q2936" i="2"/>
  <c r="S2936" i="2" s="1"/>
  <c r="T2936" i="2" s="1"/>
  <c r="U2936" i="2" s="1"/>
  <c r="Q2937" i="2"/>
  <c r="S2937" i="2" s="1"/>
  <c r="Q2938" i="2"/>
  <c r="S2938" i="2" s="1"/>
  <c r="Q2939" i="2"/>
  <c r="S2939" i="2" s="1"/>
  <c r="T2939" i="2" s="1"/>
  <c r="U2939" i="2" s="1"/>
  <c r="Q2940" i="2"/>
  <c r="S2940" i="2" s="1"/>
  <c r="Q2941" i="2"/>
  <c r="S2941" i="2" s="1"/>
  <c r="T2941" i="2" s="1"/>
  <c r="U2941" i="2" s="1"/>
  <c r="Q2942" i="2"/>
  <c r="S2942" i="2" s="1"/>
  <c r="T2942" i="2" s="1"/>
  <c r="U2942" i="2" s="1"/>
  <c r="Q2943" i="2"/>
  <c r="S2943" i="2" s="1"/>
  <c r="T2943" i="2" s="1"/>
  <c r="U2943" i="2" s="1"/>
  <c r="Q2944" i="2"/>
  <c r="S2944" i="2" s="1"/>
  <c r="T2944" i="2" s="1"/>
  <c r="U2944" i="2" s="1"/>
  <c r="Q2945" i="2"/>
  <c r="S2945" i="2" s="1"/>
  <c r="T2945" i="2" s="1"/>
  <c r="U2945" i="2" s="1"/>
  <c r="Q2946" i="2"/>
  <c r="S2946" i="2" s="1"/>
  <c r="T2946" i="2" s="1"/>
  <c r="U2946" i="2" s="1"/>
  <c r="Q2947" i="2"/>
  <c r="S2947" i="2" s="1"/>
  <c r="T2947" i="2" s="1"/>
  <c r="U2947" i="2" s="1"/>
  <c r="Q2948" i="2"/>
  <c r="S2948" i="2" s="1"/>
  <c r="Q2949" i="2"/>
  <c r="S2949" i="2" s="1"/>
  <c r="Q2950" i="2"/>
  <c r="S2950" i="2" s="1"/>
  <c r="T2950" i="2" s="1"/>
  <c r="U2950" i="2" s="1"/>
  <c r="Q2951" i="2"/>
  <c r="S2951" i="2" s="1"/>
  <c r="Q2952" i="2"/>
  <c r="S2952" i="2" s="1"/>
  <c r="Q2953" i="2"/>
  <c r="S2953" i="2" s="1"/>
  <c r="T2953" i="2" s="1"/>
  <c r="U2953" i="2" s="1"/>
  <c r="Q2954" i="2"/>
  <c r="S2954" i="2" s="1"/>
  <c r="Q2955" i="2"/>
  <c r="S2955" i="2" s="1"/>
  <c r="T2955" i="2" s="1"/>
  <c r="U2955" i="2" s="1"/>
  <c r="Q2956" i="2"/>
  <c r="S2956" i="2" s="1"/>
  <c r="T2956" i="2" s="1"/>
  <c r="U2956" i="2" s="1"/>
  <c r="Q2957" i="2"/>
  <c r="S2957" i="2" s="1"/>
  <c r="T2957" i="2" s="1"/>
  <c r="U2957" i="2" s="1"/>
  <c r="Q2958" i="2"/>
  <c r="S2958" i="2" s="1"/>
  <c r="T2958" i="2" s="1"/>
  <c r="U2958" i="2" s="1"/>
  <c r="Q2959" i="2"/>
  <c r="S2959" i="2" s="1"/>
  <c r="T2959" i="2" s="1"/>
  <c r="U2959" i="2" s="1"/>
  <c r="Q2960" i="2"/>
  <c r="S2960" i="2" s="1"/>
  <c r="T2960" i="2" s="1"/>
  <c r="U2960" i="2" s="1"/>
  <c r="Q2961" i="2"/>
  <c r="S2961" i="2" s="1"/>
  <c r="T2961" i="2" s="1"/>
  <c r="U2961" i="2" s="1"/>
  <c r="Q2962" i="2"/>
  <c r="S2962" i="2" s="1"/>
  <c r="T2962" i="2" s="1"/>
  <c r="U2962" i="2" s="1"/>
  <c r="Q2963" i="2"/>
  <c r="S2963" i="2" s="1"/>
  <c r="Q2964" i="2"/>
  <c r="S2964" i="2" s="1"/>
  <c r="Q2965" i="2"/>
  <c r="S2965" i="2" s="1"/>
  <c r="Q2966" i="2"/>
  <c r="S2966" i="2" s="1"/>
  <c r="T2966" i="2" s="1"/>
  <c r="U2966" i="2" s="1"/>
  <c r="Q2967" i="2"/>
  <c r="S2967" i="2" s="1"/>
  <c r="T2967" i="2" s="1"/>
  <c r="U2967" i="2" s="1"/>
  <c r="Q2968" i="2"/>
  <c r="S2968" i="2" s="1"/>
  <c r="T2968" i="2" s="1"/>
  <c r="U2968" i="2" s="1"/>
  <c r="Q2969" i="2"/>
  <c r="S2969" i="2" s="1"/>
  <c r="T2969" i="2" s="1"/>
  <c r="U2969" i="2" s="1"/>
  <c r="Q2970" i="2"/>
  <c r="S2970" i="2" s="1"/>
  <c r="T2970" i="2" s="1"/>
  <c r="U2970" i="2" s="1"/>
  <c r="Q2971" i="2"/>
  <c r="S2971" i="2" s="1"/>
  <c r="Q2972" i="2"/>
  <c r="S2972" i="2" s="1"/>
  <c r="T2972" i="2" s="1"/>
  <c r="U2972" i="2" s="1"/>
  <c r="Q2973" i="2"/>
  <c r="S2973" i="2" s="1"/>
  <c r="T2973" i="2" s="1"/>
  <c r="U2973" i="2" s="1"/>
  <c r="Q2974" i="2"/>
  <c r="S2974" i="2" s="1"/>
  <c r="Q2975" i="2"/>
  <c r="S2975" i="2" s="1"/>
  <c r="T2975" i="2" s="1"/>
  <c r="U2975" i="2" s="1"/>
  <c r="Q2976" i="2"/>
  <c r="S2976" i="2" s="1"/>
  <c r="T2976" i="2" s="1"/>
  <c r="U2976" i="2" s="1"/>
  <c r="Q2977" i="2"/>
  <c r="S2977" i="2" s="1"/>
  <c r="T2977" i="2" s="1"/>
  <c r="U2977" i="2" s="1"/>
  <c r="Q2978" i="2"/>
  <c r="S2978" i="2" s="1"/>
  <c r="T2978" i="2" s="1"/>
  <c r="U2978" i="2" s="1"/>
  <c r="Q2979" i="2"/>
  <c r="S2979" i="2" s="1"/>
  <c r="Q2980" i="2"/>
  <c r="S2980" i="2" s="1"/>
  <c r="T2980" i="2" s="1"/>
  <c r="U2980" i="2" s="1"/>
  <c r="Q2981" i="2"/>
  <c r="S2981" i="2" s="1"/>
  <c r="T2981" i="2" s="1"/>
  <c r="U2981" i="2" s="1"/>
  <c r="Q2982" i="2"/>
  <c r="S2982" i="2" s="1"/>
  <c r="Q2983" i="2"/>
  <c r="S2983" i="2" s="1"/>
  <c r="Q2984" i="2"/>
  <c r="S2984" i="2" s="1"/>
  <c r="T2984" i="2" s="1"/>
  <c r="U2984" i="2" s="1"/>
  <c r="Q2985" i="2"/>
  <c r="S2985" i="2" s="1"/>
  <c r="T2985" i="2" s="1"/>
  <c r="U2985" i="2" s="1"/>
  <c r="Q2986" i="2"/>
  <c r="S2986" i="2" s="1"/>
  <c r="T2986" i="2" s="1"/>
  <c r="U2986" i="2" s="1"/>
  <c r="Q2987" i="2"/>
  <c r="S2987" i="2" s="1"/>
  <c r="T2987" i="2" s="1"/>
  <c r="U2987" i="2" s="1"/>
  <c r="Q2988" i="2"/>
  <c r="S2988" i="2" s="1"/>
  <c r="T2988" i="2" s="1"/>
  <c r="U2988" i="2" s="1"/>
  <c r="Q2989" i="2"/>
  <c r="S2989" i="2" s="1"/>
  <c r="T2989" i="2" s="1"/>
  <c r="U2989" i="2" s="1"/>
  <c r="Q2990" i="2"/>
  <c r="S2990" i="2" s="1"/>
  <c r="Q2991" i="2"/>
  <c r="S2991" i="2" s="1"/>
  <c r="Q2992" i="2"/>
  <c r="S2992" i="2" s="1"/>
  <c r="Q2993" i="2"/>
  <c r="S2993" i="2" s="1"/>
  <c r="T2993" i="2" s="1"/>
  <c r="U2993" i="2" s="1"/>
  <c r="Q2994" i="2"/>
  <c r="S2994" i="2" s="1"/>
  <c r="T2994" i="2" s="1"/>
  <c r="U2994" i="2" s="1"/>
  <c r="Q2995" i="2"/>
  <c r="S2995" i="2" s="1"/>
  <c r="T2995" i="2" s="1"/>
  <c r="U2995" i="2" s="1"/>
  <c r="Q2996" i="2"/>
  <c r="S2996" i="2" s="1"/>
  <c r="Q2997" i="2"/>
  <c r="S2997" i="2" s="1"/>
  <c r="Q2998" i="2"/>
  <c r="S2998" i="2" s="1"/>
  <c r="T2998" i="2" s="1"/>
  <c r="U2998" i="2" s="1"/>
  <c r="Q2999" i="2"/>
  <c r="S2999" i="2" s="1"/>
  <c r="Q3000" i="2"/>
  <c r="S3000" i="2" s="1"/>
  <c r="T3000" i="2" s="1"/>
  <c r="U3000" i="2" s="1"/>
  <c r="Q3001" i="2"/>
  <c r="S3001" i="2" s="1"/>
  <c r="T3001" i="2" s="1"/>
  <c r="U3001" i="2" s="1"/>
  <c r="Q3002" i="2"/>
  <c r="S3002" i="2" s="1"/>
  <c r="Q3003" i="2"/>
  <c r="S3003" i="2" s="1"/>
  <c r="T3003" i="2" s="1"/>
  <c r="U3003" i="2" s="1"/>
  <c r="Q3004" i="2"/>
  <c r="S3004" i="2" s="1"/>
  <c r="T3004" i="2" s="1"/>
  <c r="U3004" i="2" s="1"/>
  <c r="Q3005" i="2"/>
  <c r="S3005" i="2" s="1"/>
  <c r="T3005" i="2" s="1"/>
  <c r="U3005" i="2" s="1"/>
  <c r="Q3006" i="2"/>
  <c r="S3006" i="2" s="1"/>
  <c r="T3006" i="2" s="1"/>
  <c r="U3006" i="2" s="1"/>
  <c r="Q3007" i="2"/>
  <c r="S3007" i="2" s="1"/>
  <c r="T3007" i="2" s="1"/>
  <c r="U3007" i="2" s="1"/>
  <c r="Q3008" i="2"/>
  <c r="S3008" i="2" s="1"/>
  <c r="T3008" i="2" s="1"/>
  <c r="U3008" i="2" s="1"/>
  <c r="Q3009" i="2"/>
  <c r="S3009" i="2" s="1"/>
  <c r="T3009" i="2" s="1"/>
  <c r="U3009" i="2" s="1"/>
  <c r="Q3010" i="2"/>
  <c r="S3010" i="2" s="1"/>
  <c r="T3010" i="2" s="1"/>
  <c r="U3010" i="2" s="1"/>
  <c r="Q3011" i="2"/>
  <c r="S3011" i="2" s="1"/>
  <c r="Q3012" i="2"/>
  <c r="S3012" i="2" s="1"/>
  <c r="T3012" i="2" s="1"/>
  <c r="U3012" i="2" s="1"/>
  <c r="Q3013" i="2"/>
  <c r="S3013" i="2" s="1"/>
  <c r="Q3014" i="2"/>
  <c r="S3014" i="2" s="1"/>
  <c r="Q3015" i="2"/>
  <c r="S3015" i="2" s="1"/>
  <c r="T3015" i="2" s="1"/>
  <c r="U3015" i="2" s="1"/>
  <c r="Q3016" i="2"/>
  <c r="S3016" i="2" s="1"/>
  <c r="Q3017" i="2"/>
  <c r="S3017" i="2" s="1"/>
  <c r="Q3018" i="2"/>
  <c r="S3018" i="2" s="1"/>
  <c r="T3018" i="2" s="1"/>
  <c r="U3018" i="2" s="1"/>
  <c r="Q3019" i="2"/>
  <c r="S3019" i="2" s="1"/>
  <c r="T3019" i="2" s="1"/>
  <c r="U3019" i="2" s="1"/>
  <c r="Q3020" i="2"/>
  <c r="S3020" i="2" s="1"/>
  <c r="Q3021" i="2"/>
  <c r="S3021" i="2" s="1"/>
  <c r="T3021" i="2" s="1"/>
  <c r="U3021" i="2" s="1"/>
  <c r="Q3022" i="2"/>
  <c r="S3022" i="2" s="1"/>
  <c r="Q3023" i="2"/>
  <c r="S3023" i="2" s="1"/>
  <c r="T3023" i="2" s="1"/>
  <c r="U3023" i="2" s="1"/>
  <c r="Q3024" i="2"/>
  <c r="S3024" i="2" s="1"/>
  <c r="Q3025" i="2"/>
  <c r="S3025" i="2" s="1"/>
  <c r="T3025" i="2" s="1"/>
  <c r="U3025" i="2" s="1"/>
  <c r="Q3026" i="2"/>
  <c r="S3026" i="2" s="1"/>
  <c r="T3026" i="2" s="1"/>
  <c r="U3026" i="2" s="1"/>
  <c r="Q3027" i="2"/>
  <c r="S3027" i="2" s="1"/>
  <c r="T3027" i="2" s="1"/>
  <c r="U3027" i="2" s="1"/>
  <c r="Q3028" i="2"/>
  <c r="S3028" i="2" s="1"/>
  <c r="Q3029" i="2"/>
  <c r="S3029" i="2" s="1"/>
  <c r="Q3030" i="2"/>
  <c r="S3030" i="2" s="1"/>
  <c r="T3030" i="2" s="1"/>
  <c r="U3030" i="2" s="1"/>
  <c r="Q3031" i="2"/>
  <c r="S3031" i="2" s="1"/>
  <c r="T3031" i="2" s="1"/>
  <c r="U3031" i="2" s="1"/>
  <c r="Q3032" i="2"/>
  <c r="S3032" i="2" s="1"/>
  <c r="Q3033" i="2"/>
  <c r="S3033" i="2" s="1"/>
  <c r="T3033" i="2" s="1"/>
  <c r="U3033" i="2" s="1"/>
  <c r="Q3034" i="2"/>
  <c r="S3034" i="2" s="1"/>
  <c r="T3034" i="2" s="1"/>
  <c r="U3034" i="2" s="1"/>
  <c r="Q3035" i="2"/>
  <c r="S3035" i="2" s="1"/>
  <c r="T3035" i="2" s="1"/>
  <c r="U3035" i="2" s="1"/>
  <c r="Q3036" i="2"/>
  <c r="S3036" i="2" s="1"/>
  <c r="Q3037" i="2"/>
  <c r="S3037" i="2" s="1"/>
  <c r="T3037" i="2" s="1"/>
  <c r="U3037" i="2" s="1"/>
  <c r="Q3038" i="2"/>
  <c r="S3038" i="2" s="1"/>
  <c r="T3038" i="2" s="1"/>
  <c r="U3038" i="2" s="1"/>
  <c r="Q3039" i="2"/>
  <c r="S3039" i="2" s="1"/>
  <c r="T3039" i="2" s="1"/>
  <c r="U3039" i="2" s="1"/>
  <c r="Q3040" i="2"/>
  <c r="S3040" i="2" s="1"/>
  <c r="Q3041" i="2"/>
  <c r="S3041" i="2" s="1"/>
  <c r="T3041" i="2" s="1"/>
  <c r="U3041" i="2" s="1"/>
  <c r="Q3042" i="2"/>
  <c r="S3042" i="2" s="1"/>
  <c r="T3042" i="2" s="1"/>
  <c r="U3042" i="2" s="1"/>
  <c r="Q3043" i="2"/>
  <c r="S3043" i="2" s="1"/>
  <c r="Q3044" i="2"/>
  <c r="S3044" i="2" s="1"/>
  <c r="Q3045" i="2"/>
  <c r="S3045" i="2" s="1"/>
  <c r="T3045" i="2" s="1"/>
  <c r="U3045" i="2" s="1"/>
  <c r="Q3046" i="2"/>
  <c r="S3046" i="2" s="1"/>
  <c r="T3046" i="2" s="1"/>
  <c r="U3046" i="2" s="1"/>
  <c r="Q3047" i="2"/>
  <c r="S3047" i="2" s="1"/>
  <c r="T3047" i="2" s="1"/>
  <c r="U3047" i="2" s="1"/>
  <c r="Q3048" i="2"/>
  <c r="S3048" i="2" s="1"/>
  <c r="Q3049" i="2"/>
  <c r="S3049" i="2" s="1"/>
  <c r="T3049" i="2" s="1"/>
  <c r="U3049" i="2" s="1"/>
  <c r="Q3050" i="2"/>
  <c r="S3050" i="2" s="1"/>
  <c r="T3050" i="2" s="1"/>
  <c r="U3050" i="2" s="1"/>
  <c r="Q3051" i="2"/>
  <c r="S3051" i="2" s="1"/>
  <c r="Q3052" i="2"/>
  <c r="S3052" i="2" s="1"/>
  <c r="T3052" i="2" s="1"/>
  <c r="U3052" i="2" s="1"/>
  <c r="Q3053" i="2"/>
  <c r="S3053" i="2" s="1"/>
  <c r="Q3054" i="2"/>
  <c r="S3054" i="2" s="1"/>
  <c r="T3054" i="2" s="1"/>
  <c r="U3054" i="2" s="1"/>
  <c r="Q3055" i="2"/>
  <c r="S3055" i="2" s="1"/>
  <c r="Q3056" i="2"/>
  <c r="S3056" i="2" s="1"/>
  <c r="T3056" i="2" s="1"/>
  <c r="U3056" i="2" s="1"/>
  <c r="Q3057" i="2"/>
  <c r="S3057" i="2" s="1"/>
  <c r="T3057" i="2" s="1"/>
  <c r="U3057" i="2" s="1"/>
  <c r="Q3058" i="2"/>
  <c r="S3058" i="2" s="1"/>
  <c r="Q3059" i="2"/>
  <c r="S3059" i="2" s="1"/>
  <c r="T3059" i="2" s="1"/>
  <c r="U3059" i="2" s="1"/>
  <c r="Q3060" i="2"/>
  <c r="S3060" i="2" s="1"/>
  <c r="Q3061" i="2"/>
  <c r="S3061" i="2" s="1"/>
  <c r="Q3062" i="2"/>
  <c r="S3062" i="2" s="1"/>
  <c r="T3062" i="2" s="1"/>
  <c r="U3062" i="2" s="1"/>
  <c r="Q3063" i="2"/>
  <c r="S3063" i="2" s="1"/>
  <c r="T3063" i="2" s="1"/>
  <c r="U3063" i="2" s="1"/>
  <c r="Q3064" i="2"/>
  <c r="S3064" i="2" s="1"/>
  <c r="T3064" i="2" s="1"/>
  <c r="U3064" i="2" s="1"/>
  <c r="Q3065" i="2"/>
  <c r="S3065" i="2" s="1"/>
  <c r="Q3066" i="2"/>
  <c r="S3066" i="2" s="1"/>
  <c r="T3066" i="2" s="1"/>
  <c r="U3066" i="2" s="1"/>
  <c r="Q3067" i="2"/>
  <c r="S3067" i="2" s="1"/>
  <c r="T3067" i="2" s="1"/>
  <c r="U3067" i="2" s="1"/>
  <c r="Q3068" i="2"/>
  <c r="S3068" i="2" s="1"/>
  <c r="T3068" i="2" s="1"/>
  <c r="U3068" i="2" s="1"/>
  <c r="Q3069" i="2"/>
  <c r="S3069" i="2" s="1"/>
  <c r="T3069" i="2" s="1"/>
  <c r="U3069" i="2" s="1"/>
  <c r="Q3070" i="2"/>
  <c r="S3070" i="2" s="1"/>
  <c r="T3070" i="2" s="1"/>
  <c r="U3070" i="2" s="1"/>
  <c r="Q3071" i="2"/>
  <c r="S3071" i="2" s="1"/>
  <c r="Q3072" i="2"/>
  <c r="S3072" i="2" s="1"/>
  <c r="T3072" i="2" s="1"/>
  <c r="U3072" i="2" s="1"/>
  <c r="Q3073" i="2"/>
  <c r="S3073" i="2" s="1"/>
  <c r="T3073" i="2" s="1"/>
  <c r="U3073" i="2" s="1"/>
  <c r="Q3074" i="2"/>
  <c r="S3074" i="2" s="1"/>
  <c r="T3074" i="2" s="1"/>
  <c r="U3074" i="2" s="1"/>
  <c r="Q3075" i="2"/>
  <c r="S3075" i="2" s="1"/>
  <c r="T3075" i="2" s="1"/>
  <c r="U3075" i="2" s="1"/>
  <c r="Q3076" i="2"/>
  <c r="S3076" i="2" s="1"/>
  <c r="T3076" i="2" s="1"/>
  <c r="U3076" i="2" s="1"/>
  <c r="Q3077" i="2"/>
  <c r="S3077" i="2" s="1"/>
  <c r="T3077" i="2" s="1"/>
  <c r="U3077" i="2" s="1"/>
  <c r="Q3078" i="2"/>
  <c r="S3078" i="2" s="1"/>
  <c r="T3078" i="2" s="1"/>
  <c r="U3078" i="2" s="1"/>
  <c r="Q3079" i="2"/>
  <c r="S3079" i="2" s="1"/>
  <c r="T3079" i="2" s="1"/>
  <c r="U3079" i="2" s="1"/>
  <c r="Q3080" i="2"/>
  <c r="S3080" i="2" s="1"/>
  <c r="T3080" i="2" s="1"/>
  <c r="U3080" i="2" s="1"/>
  <c r="Q3081" i="2"/>
  <c r="S3081" i="2" s="1"/>
  <c r="T3081" i="2" s="1"/>
  <c r="U3081" i="2" s="1"/>
  <c r="Q3082" i="2"/>
  <c r="S3082" i="2" s="1"/>
  <c r="Q3083" i="2"/>
  <c r="S3083" i="2" s="1"/>
  <c r="Q3084" i="2"/>
  <c r="S3084" i="2" s="1"/>
  <c r="Q3085" i="2"/>
  <c r="S3085" i="2" s="1"/>
  <c r="T3085" i="2" s="1"/>
  <c r="U3085" i="2" s="1"/>
  <c r="Q3086" i="2"/>
  <c r="S3086" i="2" s="1"/>
  <c r="T3086" i="2" s="1"/>
  <c r="U3086" i="2" s="1"/>
  <c r="Q3087" i="2"/>
  <c r="S3087" i="2" s="1"/>
  <c r="T3087" i="2" s="1"/>
  <c r="U3087" i="2" s="1"/>
  <c r="Q3088" i="2"/>
  <c r="S3088" i="2" s="1"/>
  <c r="T3088" i="2" s="1"/>
  <c r="U3088" i="2" s="1"/>
  <c r="Q3089" i="2"/>
  <c r="S3089" i="2" s="1"/>
  <c r="Q3090" i="2"/>
  <c r="S3090" i="2" s="1"/>
  <c r="T3090" i="2" s="1"/>
  <c r="U3090" i="2" s="1"/>
  <c r="Q3091" i="2"/>
  <c r="S3091" i="2" s="1"/>
  <c r="Q3092" i="2"/>
  <c r="S3092" i="2" s="1"/>
  <c r="T3092" i="2" s="1"/>
  <c r="U3092" i="2" s="1"/>
  <c r="Q3093" i="2"/>
  <c r="S3093" i="2" s="1"/>
  <c r="T3093" i="2" s="1"/>
  <c r="U3093" i="2" s="1"/>
  <c r="Q3094" i="2"/>
  <c r="S3094" i="2" s="1"/>
  <c r="T3094" i="2" s="1"/>
  <c r="U3094" i="2" s="1"/>
  <c r="Q3095" i="2"/>
  <c r="S3095" i="2" s="1"/>
  <c r="T3095" i="2" s="1"/>
  <c r="U3095" i="2" s="1"/>
  <c r="Q3096" i="2"/>
  <c r="S3096" i="2" s="1"/>
  <c r="T3096" i="2" s="1"/>
  <c r="U3096" i="2" s="1"/>
  <c r="Q3097" i="2"/>
  <c r="S3097" i="2" s="1"/>
  <c r="T3097" i="2" s="1"/>
  <c r="U3097" i="2" s="1"/>
  <c r="Q3098" i="2"/>
  <c r="S3098" i="2" s="1"/>
  <c r="T3098" i="2" s="1"/>
  <c r="U3098" i="2" s="1"/>
  <c r="Q3099" i="2"/>
  <c r="S3099" i="2" s="1"/>
  <c r="Q3100" i="2"/>
  <c r="S3100" i="2" s="1"/>
  <c r="T3100" i="2" s="1"/>
  <c r="U3100" i="2" s="1"/>
  <c r="Q3101" i="2"/>
  <c r="S3101" i="2" s="1"/>
  <c r="T3101" i="2" s="1"/>
  <c r="U3101" i="2" s="1"/>
  <c r="Q3102" i="2"/>
  <c r="S3102" i="2" s="1"/>
  <c r="T3102" i="2" s="1"/>
  <c r="U3102" i="2" s="1"/>
  <c r="Q3103" i="2"/>
  <c r="S3103" i="2" s="1"/>
  <c r="T3103" i="2" s="1"/>
  <c r="U3103" i="2" s="1"/>
  <c r="Q3104" i="2"/>
  <c r="S3104" i="2" s="1"/>
  <c r="Q3105" i="2"/>
  <c r="S3105" i="2" s="1"/>
  <c r="Q3106" i="2"/>
  <c r="S3106" i="2" s="1"/>
  <c r="T3106" i="2" s="1"/>
  <c r="U3106" i="2" s="1"/>
  <c r="Q3107" i="2"/>
  <c r="S3107" i="2" s="1"/>
  <c r="Q3108" i="2"/>
  <c r="S3108" i="2" s="1"/>
  <c r="Q3109" i="2"/>
  <c r="S3109" i="2" s="1"/>
  <c r="T3109" i="2" s="1"/>
  <c r="U3109" i="2" s="1"/>
  <c r="Q3110" i="2"/>
  <c r="S3110" i="2" s="1"/>
  <c r="T3110" i="2" s="1"/>
  <c r="U3110" i="2" s="1"/>
  <c r="Q3111" i="2"/>
  <c r="S3111" i="2" s="1"/>
  <c r="T3111" i="2" s="1"/>
  <c r="U3111" i="2" s="1"/>
  <c r="Q3112" i="2"/>
  <c r="S3112" i="2" s="1"/>
  <c r="T3112" i="2" s="1"/>
  <c r="U3112" i="2" s="1"/>
  <c r="Q3113" i="2"/>
  <c r="S3113" i="2" s="1"/>
  <c r="Q3114" i="2"/>
  <c r="S3114" i="2" s="1"/>
  <c r="T3114" i="2" s="1"/>
  <c r="U3114" i="2" s="1"/>
  <c r="Q3115" i="2"/>
  <c r="S3115" i="2" s="1"/>
  <c r="T3115" i="2" s="1"/>
  <c r="U3115" i="2" s="1"/>
  <c r="Q3116" i="2"/>
  <c r="S3116" i="2" s="1"/>
  <c r="Q3117" i="2"/>
  <c r="S3117" i="2" s="1"/>
  <c r="T3117" i="2" s="1"/>
  <c r="U3117" i="2" s="1"/>
  <c r="Q3118" i="2"/>
  <c r="S3118" i="2" s="1"/>
  <c r="Q3119" i="2"/>
  <c r="S3119" i="2" s="1"/>
  <c r="T3119" i="2" s="1"/>
  <c r="U3119" i="2" s="1"/>
  <c r="Q3120" i="2"/>
  <c r="S3120" i="2" s="1"/>
  <c r="T3120" i="2" s="1"/>
  <c r="U3120" i="2" s="1"/>
  <c r="Q3121" i="2"/>
  <c r="S3121" i="2" s="1"/>
  <c r="Q3122" i="2"/>
  <c r="S3122" i="2" s="1"/>
  <c r="Q3123" i="2"/>
  <c r="S3123" i="2" s="1"/>
  <c r="T3123" i="2" s="1"/>
  <c r="U3123" i="2" s="1"/>
  <c r="Q3124" i="2"/>
  <c r="S3124" i="2" s="1"/>
  <c r="Q3125" i="2"/>
  <c r="S3125" i="2" s="1"/>
  <c r="T3125" i="2" s="1"/>
  <c r="U3125" i="2" s="1"/>
  <c r="Q3126" i="2"/>
  <c r="S3126" i="2" s="1"/>
  <c r="T3126" i="2" s="1"/>
  <c r="U3126" i="2" s="1"/>
  <c r="Q3127" i="2"/>
  <c r="S3127" i="2" s="1"/>
  <c r="T3127" i="2" s="1"/>
  <c r="U3127" i="2" s="1"/>
  <c r="Q3128" i="2"/>
  <c r="S3128" i="2" s="1"/>
  <c r="T3128" i="2" s="1"/>
  <c r="U3128" i="2" s="1"/>
  <c r="Q3129" i="2"/>
  <c r="S3129" i="2" s="1"/>
  <c r="T3129" i="2" s="1"/>
  <c r="U3129" i="2" s="1"/>
  <c r="Q3130" i="2"/>
  <c r="S3130" i="2" s="1"/>
  <c r="Q3131" i="2"/>
  <c r="S3131" i="2" s="1"/>
  <c r="T3131" i="2" s="1"/>
  <c r="U3131" i="2" s="1"/>
  <c r="Q3132" i="2"/>
  <c r="S3132" i="2" s="1"/>
  <c r="Q3133" i="2"/>
  <c r="S3133" i="2" s="1"/>
  <c r="Q3134" i="2"/>
  <c r="S3134" i="2" s="1"/>
  <c r="T3134" i="2" s="1"/>
  <c r="U3134" i="2" s="1"/>
  <c r="Q3135" i="2"/>
  <c r="S3135" i="2" s="1"/>
  <c r="T3135" i="2" s="1"/>
  <c r="U3135" i="2" s="1"/>
  <c r="Q3136" i="2"/>
  <c r="S3136" i="2" s="1"/>
  <c r="Q3137" i="2"/>
  <c r="S3137" i="2" s="1"/>
  <c r="Q3138" i="2"/>
  <c r="S3138" i="2" s="1"/>
  <c r="T3138" i="2" s="1"/>
  <c r="U3138" i="2" s="1"/>
  <c r="Q3139" i="2"/>
  <c r="S3139" i="2" s="1"/>
  <c r="Q3140" i="2"/>
  <c r="S3140" i="2" s="1"/>
  <c r="T3140" i="2" s="1"/>
  <c r="U3140" i="2" s="1"/>
  <c r="Q3141" i="2"/>
  <c r="S3141" i="2" s="1"/>
  <c r="Q3142" i="2"/>
  <c r="S3142" i="2" s="1"/>
  <c r="T3142" i="2" s="1"/>
  <c r="U3142" i="2" s="1"/>
  <c r="Q3143" i="2"/>
  <c r="S3143" i="2" s="1"/>
  <c r="T3143" i="2" s="1"/>
  <c r="U3143" i="2" s="1"/>
  <c r="Q3144" i="2"/>
  <c r="S3144" i="2" s="1"/>
  <c r="T3144" i="2" s="1"/>
  <c r="U3144" i="2" s="1"/>
  <c r="Q3145" i="2"/>
  <c r="S3145" i="2" s="1"/>
  <c r="T3145" i="2" s="1"/>
  <c r="U3145" i="2" s="1"/>
  <c r="Q3146" i="2"/>
  <c r="S3146" i="2" s="1"/>
  <c r="Q3147" i="2"/>
  <c r="S3147" i="2" s="1"/>
  <c r="T3147" i="2" s="1"/>
  <c r="U3147" i="2" s="1"/>
  <c r="Q3148" i="2"/>
  <c r="S3148" i="2" s="1"/>
  <c r="T3148" i="2" s="1"/>
  <c r="U3148" i="2" s="1"/>
  <c r="Q3149" i="2"/>
  <c r="S3149" i="2" s="1"/>
  <c r="T3149" i="2" s="1"/>
  <c r="U3149" i="2" s="1"/>
  <c r="Q3150" i="2"/>
  <c r="S3150" i="2" s="1"/>
  <c r="Q3151" i="2"/>
  <c r="S3151" i="2" s="1"/>
  <c r="T3151" i="2" s="1"/>
  <c r="U3151" i="2" s="1"/>
  <c r="Q3152" i="2"/>
  <c r="S3152" i="2" s="1"/>
  <c r="T3152" i="2" s="1"/>
  <c r="U3152" i="2" s="1"/>
  <c r="Q3153" i="2"/>
  <c r="S3153" i="2" s="1"/>
  <c r="Q3154" i="2"/>
  <c r="S3154" i="2" s="1"/>
  <c r="T3154" i="2" s="1"/>
  <c r="U3154" i="2" s="1"/>
  <c r="Q3155" i="2"/>
  <c r="S3155" i="2" s="1"/>
  <c r="T3155" i="2" s="1"/>
  <c r="U3155" i="2" s="1"/>
  <c r="Q3156" i="2"/>
  <c r="S3156" i="2" s="1"/>
  <c r="T3156" i="2" s="1"/>
  <c r="U3156" i="2" s="1"/>
  <c r="Q3157" i="2"/>
  <c r="S3157" i="2" s="1"/>
  <c r="T3157" i="2" s="1"/>
  <c r="U3157" i="2" s="1"/>
  <c r="Q3158" i="2"/>
  <c r="S3158" i="2" s="1"/>
  <c r="T3158" i="2" s="1"/>
  <c r="U3158" i="2" s="1"/>
  <c r="Q3159" i="2"/>
  <c r="S3159" i="2" s="1"/>
  <c r="T3159" i="2" s="1"/>
  <c r="U3159" i="2" s="1"/>
  <c r="Q3160" i="2"/>
  <c r="S3160" i="2" s="1"/>
  <c r="T3160" i="2" s="1"/>
  <c r="U3160" i="2" s="1"/>
  <c r="Q3161" i="2"/>
  <c r="S3161" i="2" s="1"/>
  <c r="T3161" i="2" s="1"/>
  <c r="U3161" i="2" s="1"/>
  <c r="Q3162" i="2"/>
  <c r="S3162" i="2" s="1"/>
  <c r="T3162" i="2" s="1"/>
  <c r="U3162" i="2" s="1"/>
  <c r="Q3163" i="2"/>
  <c r="S3163" i="2" s="1"/>
  <c r="Q3164" i="2"/>
  <c r="S3164" i="2" s="1"/>
  <c r="T3164" i="2" s="1"/>
  <c r="U3164" i="2" s="1"/>
  <c r="Q3165" i="2"/>
  <c r="S3165" i="2" s="1"/>
  <c r="T3165" i="2" s="1"/>
  <c r="U3165" i="2" s="1"/>
  <c r="Q3166" i="2"/>
  <c r="S3166" i="2" s="1"/>
  <c r="T3166" i="2" s="1"/>
  <c r="U3166" i="2" s="1"/>
  <c r="Q3167" i="2"/>
  <c r="S3167" i="2" s="1"/>
  <c r="T3167" i="2" s="1"/>
  <c r="U3167" i="2" s="1"/>
  <c r="Q3168" i="2"/>
  <c r="S3168" i="2" s="1"/>
  <c r="Q3169" i="2"/>
  <c r="S3169" i="2" s="1"/>
  <c r="T3169" i="2" s="1"/>
  <c r="U3169" i="2" s="1"/>
  <c r="Q3170" i="2"/>
  <c r="S3170" i="2" s="1"/>
  <c r="Q3171" i="2"/>
  <c r="S3171" i="2" s="1"/>
  <c r="T3171" i="2" s="1"/>
  <c r="U3171" i="2" s="1"/>
  <c r="Q3172" i="2"/>
  <c r="S3172" i="2" s="1"/>
  <c r="T3172" i="2" s="1"/>
  <c r="U3172" i="2" s="1"/>
  <c r="Q3173" i="2"/>
  <c r="S3173" i="2" s="1"/>
  <c r="T3173" i="2" s="1"/>
  <c r="U3173" i="2" s="1"/>
  <c r="Q3174" i="2"/>
  <c r="S3174" i="2" s="1"/>
  <c r="T3174" i="2" s="1"/>
  <c r="U3174" i="2" s="1"/>
  <c r="Q3175" i="2"/>
  <c r="S3175" i="2" s="1"/>
  <c r="Q3176" i="2"/>
  <c r="S3176" i="2" s="1"/>
  <c r="T3176" i="2" s="1"/>
  <c r="U3176" i="2" s="1"/>
  <c r="Q3177" i="2"/>
  <c r="S3177" i="2" s="1"/>
  <c r="T3177" i="2" s="1"/>
  <c r="U3177" i="2" s="1"/>
  <c r="Q3178" i="2"/>
  <c r="S3178" i="2" s="1"/>
  <c r="T3178" i="2" s="1"/>
  <c r="U3178" i="2" s="1"/>
  <c r="Q3179" i="2"/>
  <c r="S3179" i="2" s="1"/>
  <c r="Q3180" i="2"/>
  <c r="S3180" i="2" s="1"/>
  <c r="T3180" i="2" s="1"/>
  <c r="U3180" i="2" s="1"/>
  <c r="Q3181" i="2"/>
  <c r="S3181" i="2" s="1"/>
  <c r="T3181" i="2" s="1"/>
  <c r="U3181" i="2" s="1"/>
  <c r="Q3182" i="2"/>
  <c r="S3182" i="2" s="1"/>
  <c r="T3182" i="2" s="1"/>
  <c r="U3182" i="2" s="1"/>
  <c r="Q3183" i="2"/>
  <c r="S3183" i="2" s="1"/>
  <c r="T3183" i="2" s="1"/>
  <c r="U3183" i="2" s="1"/>
  <c r="Q3184" i="2"/>
  <c r="S3184" i="2" s="1"/>
  <c r="T3184" i="2" s="1"/>
  <c r="U3184" i="2" s="1"/>
  <c r="Q3185" i="2"/>
  <c r="S3185" i="2" s="1"/>
  <c r="T3185" i="2" s="1"/>
  <c r="U3185" i="2" s="1"/>
  <c r="Q3186" i="2"/>
  <c r="S3186" i="2" s="1"/>
  <c r="T3186" i="2" s="1"/>
  <c r="U3186" i="2" s="1"/>
  <c r="Q3187" i="2"/>
  <c r="S3187" i="2" s="1"/>
  <c r="T3187" i="2" s="1"/>
  <c r="U3187" i="2" s="1"/>
  <c r="Q3188" i="2"/>
  <c r="S3188" i="2" s="1"/>
  <c r="T3188" i="2" s="1"/>
  <c r="U3188" i="2" s="1"/>
  <c r="Q3189" i="2"/>
  <c r="S3189" i="2" s="1"/>
  <c r="T3189" i="2" s="1"/>
  <c r="U3189" i="2" s="1"/>
  <c r="Q3190" i="2"/>
  <c r="S3190" i="2" s="1"/>
  <c r="T3190" i="2" s="1"/>
  <c r="U3190" i="2" s="1"/>
  <c r="Q3191" i="2"/>
  <c r="S3191" i="2" s="1"/>
  <c r="T3191" i="2" s="1"/>
  <c r="U3191" i="2" s="1"/>
  <c r="Q3192" i="2"/>
  <c r="S3192" i="2" s="1"/>
  <c r="T3192" i="2" s="1"/>
  <c r="U3192" i="2" s="1"/>
  <c r="Q3193" i="2"/>
  <c r="S3193" i="2" s="1"/>
  <c r="Q3194" i="2"/>
  <c r="S3194" i="2" s="1"/>
  <c r="T3194" i="2" s="1"/>
  <c r="U3194" i="2" s="1"/>
  <c r="Q3195" i="2"/>
  <c r="S3195" i="2" s="1"/>
  <c r="T3195" i="2" s="1"/>
  <c r="U3195" i="2" s="1"/>
  <c r="Q3196" i="2"/>
  <c r="S3196" i="2" s="1"/>
  <c r="T3196" i="2" s="1"/>
  <c r="U3196" i="2" s="1"/>
  <c r="Q3197" i="2"/>
  <c r="S3197" i="2" s="1"/>
  <c r="Q3198" i="2"/>
  <c r="S3198" i="2" s="1"/>
  <c r="T3198" i="2" s="1"/>
  <c r="U3198" i="2" s="1"/>
  <c r="Q3199" i="2"/>
  <c r="S3199" i="2" s="1"/>
  <c r="T3199" i="2" s="1"/>
  <c r="U3199" i="2" s="1"/>
  <c r="Q3200" i="2"/>
  <c r="S3200" i="2" s="1"/>
  <c r="T3200" i="2" s="1"/>
  <c r="U3200" i="2" s="1"/>
  <c r="Q3201" i="2"/>
  <c r="S3201" i="2" s="1"/>
  <c r="T3201" i="2" s="1"/>
  <c r="U3201" i="2" s="1"/>
  <c r="Q3202" i="2"/>
  <c r="S3202" i="2" s="1"/>
  <c r="Q3203" i="2"/>
  <c r="S3203" i="2" s="1"/>
  <c r="Q3204" i="2"/>
  <c r="S3204" i="2" s="1"/>
  <c r="T3204" i="2" s="1"/>
  <c r="U3204" i="2" s="1"/>
  <c r="Q3205" i="2"/>
  <c r="S3205" i="2" s="1"/>
  <c r="T3205" i="2" s="1"/>
  <c r="U3205" i="2" s="1"/>
  <c r="Q3206" i="2"/>
  <c r="S3206" i="2" s="1"/>
  <c r="T3206" i="2" s="1"/>
  <c r="U3206" i="2" s="1"/>
  <c r="Q3207" i="2"/>
  <c r="S3207" i="2" s="1"/>
  <c r="Q3208" i="2"/>
  <c r="S3208" i="2" s="1"/>
  <c r="T3208" i="2" s="1"/>
  <c r="U3208" i="2" s="1"/>
  <c r="Q3209" i="2"/>
  <c r="S3209" i="2" s="1"/>
  <c r="T3209" i="2" s="1"/>
  <c r="U3209" i="2" s="1"/>
  <c r="Q3210" i="2"/>
  <c r="S3210" i="2" s="1"/>
  <c r="T3210" i="2" s="1"/>
  <c r="U3210" i="2" s="1"/>
  <c r="Q3211" i="2"/>
  <c r="S3211" i="2" s="1"/>
  <c r="Q3212" i="2"/>
  <c r="S3212" i="2" s="1"/>
  <c r="T3212" i="2" s="1"/>
  <c r="U3212" i="2" s="1"/>
  <c r="Q3213" i="2"/>
  <c r="S3213" i="2" s="1"/>
  <c r="T3213" i="2" s="1"/>
  <c r="U3213" i="2" s="1"/>
  <c r="Q3214" i="2"/>
  <c r="S3214" i="2" s="1"/>
  <c r="T3214" i="2" s="1"/>
  <c r="U3214" i="2" s="1"/>
  <c r="Q3215" i="2"/>
  <c r="S3215" i="2" s="1"/>
  <c r="Q3216" i="2"/>
  <c r="S3216" i="2" s="1"/>
  <c r="Q3217" i="2"/>
  <c r="S3217" i="2" s="1"/>
  <c r="Q3218" i="2"/>
  <c r="S3218" i="2" s="1"/>
  <c r="Q3219" i="2"/>
  <c r="S3219" i="2" s="1"/>
  <c r="T3219" i="2" s="1"/>
  <c r="U3219" i="2" s="1"/>
  <c r="Q3220" i="2"/>
  <c r="S3220" i="2" s="1"/>
  <c r="T3220" i="2" s="1"/>
  <c r="U3220" i="2" s="1"/>
  <c r="Q3221" i="2"/>
  <c r="S3221" i="2" s="1"/>
  <c r="T3221" i="2" s="1"/>
  <c r="U3221" i="2" s="1"/>
  <c r="Q3222" i="2"/>
  <c r="S3222" i="2" s="1"/>
  <c r="T3222" i="2" s="1"/>
  <c r="U3222" i="2" s="1"/>
  <c r="Q3223" i="2"/>
  <c r="S3223" i="2" s="1"/>
  <c r="Q3224" i="2"/>
  <c r="S3224" i="2" s="1"/>
  <c r="T3224" i="2" s="1"/>
  <c r="U3224" i="2" s="1"/>
  <c r="Q3225" i="2"/>
  <c r="S3225" i="2" s="1"/>
  <c r="T3225" i="2" s="1"/>
  <c r="U3225" i="2" s="1"/>
  <c r="Q3226" i="2"/>
  <c r="S3226" i="2" s="1"/>
  <c r="Q3227" i="2"/>
  <c r="S3227" i="2" s="1"/>
  <c r="Q3228" i="2"/>
  <c r="S3228" i="2" s="1"/>
  <c r="T3228" i="2" s="1"/>
  <c r="U3228" i="2" s="1"/>
  <c r="Q3229" i="2"/>
  <c r="S3229" i="2" s="1"/>
  <c r="T3229" i="2" s="1"/>
  <c r="U3229" i="2" s="1"/>
  <c r="Q3230" i="2"/>
  <c r="S3230" i="2" s="1"/>
  <c r="T3230" i="2" s="1"/>
  <c r="U3230" i="2" s="1"/>
  <c r="Q3231" i="2"/>
  <c r="S3231" i="2" s="1"/>
  <c r="T3231" i="2" s="1"/>
  <c r="U3231" i="2" s="1"/>
  <c r="Q3232" i="2"/>
  <c r="S3232" i="2" s="1"/>
  <c r="Q3233" i="2"/>
  <c r="S3233" i="2" s="1"/>
  <c r="Q3234" i="2"/>
  <c r="S3234" i="2" s="1"/>
  <c r="T3234" i="2" s="1"/>
  <c r="U3234" i="2" s="1"/>
  <c r="Q3235" i="2"/>
  <c r="S3235" i="2" s="1"/>
  <c r="Q3236" i="2"/>
  <c r="S3236" i="2" s="1"/>
  <c r="Q3237" i="2"/>
  <c r="S3237" i="2" s="1"/>
  <c r="Q3238" i="2"/>
  <c r="S3238" i="2" s="1"/>
  <c r="Q3239" i="2"/>
  <c r="S3239" i="2" s="1"/>
  <c r="Q3240" i="2"/>
  <c r="S3240" i="2" s="1"/>
  <c r="T3240" i="2" s="1"/>
  <c r="U3240" i="2" s="1"/>
  <c r="Q3241" i="2"/>
  <c r="S3241" i="2" s="1"/>
  <c r="Q3242" i="2"/>
  <c r="S3242" i="2" s="1"/>
  <c r="T3242" i="2" s="1"/>
  <c r="U3242" i="2" s="1"/>
  <c r="Q3243" i="2"/>
  <c r="S3243" i="2" s="1"/>
  <c r="Q3244" i="2"/>
  <c r="S3244" i="2" s="1"/>
  <c r="Q3245" i="2"/>
  <c r="S3245" i="2" s="1"/>
  <c r="T3245" i="2" s="1"/>
  <c r="U3245" i="2" s="1"/>
  <c r="Q3246" i="2"/>
  <c r="S3246" i="2" s="1"/>
  <c r="T3246" i="2" s="1"/>
  <c r="U3246" i="2" s="1"/>
  <c r="Q3247" i="2"/>
  <c r="S3247" i="2" s="1"/>
  <c r="Q3248" i="2"/>
  <c r="S3248" i="2" s="1"/>
  <c r="Q3249" i="2"/>
  <c r="S3249" i="2" s="1"/>
  <c r="Q3250" i="2"/>
  <c r="S3250" i="2" s="1"/>
  <c r="T3250" i="2" s="1"/>
  <c r="U3250" i="2" s="1"/>
  <c r="Q3251" i="2"/>
  <c r="S3251" i="2" s="1"/>
  <c r="T3251" i="2" s="1"/>
  <c r="U3251" i="2" s="1"/>
  <c r="Q3252" i="2"/>
  <c r="S3252" i="2" s="1"/>
  <c r="T3252" i="2" s="1"/>
  <c r="U3252" i="2" s="1"/>
  <c r="Q3253" i="2"/>
  <c r="S3253" i="2" s="1"/>
  <c r="T3253" i="2" s="1"/>
  <c r="U3253" i="2" s="1"/>
  <c r="Q3254" i="2"/>
  <c r="S3254" i="2" s="1"/>
  <c r="T3254" i="2" s="1"/>
  <c r="U3254" i="2" s="1"/>
  <c r="Q3255" i="2"/>
  <c r="S3255" i="2" s="1"/>
  <c r="T3255" i="2" s="1"/>
  <c r="U3255" i="2" s="1"/>
  <c r="Q3256" i="2"/>
  <c r="S3256" i="2" s="1"/>
  <c r="T3256" i="2" s="1"/>
  <c r="U3256" i="2" s="1"/>
  <c r="Q3257" i="2"/>
  <c r="S3257" i="2" s="1"/>
  <c r="Q3258" i="2"/>
  <c r="S3258" i="2" s="1"/>
  <c r="T3258" i="2" s="1"/>
  <c r="U3258" i="2" s="1"/>
  <c r="Q3259" i="2"/>
  <c r="S3259" i="2" s="1"/>
  <c r="T3259" i="2" s="1"/>
  <c r="U3259" i="2" s="1"/>
  <c r="Q3260" i="2"/>
  <c r="S3260" i="2" s="1"/>
  <c r="T3260" i="2" s="1"/>
  <c r="U3260" i="2" s="1"/>
  <c r="Q3261" i="2"/>
  <c r="S3261" i="2" s="1"/>
  <c r="T3261" i="2" s="1"/>
  <c r="U3261" i="2" s="1"/>
  <c r="Q3262" i="2"/>
  <c r="S3262" i="2" s="1"/>
  <c r="T3262" i="2" s="1"/>
  <c r="U3262" i="2" s="1"/>
  <c r="Q3263" i="2"/>
  <c r="S3263" i="2" s="1"/>
  <c r="T3263" i="2" s="1"/>
  <c r="U3263" i="2" s="1"/>
  <c r="Q3264" i="2"/>
  <c r="S3264" i="2" s="1"/>
  <c r="T3264" i="2" s="1"/>
  <c r="U3264" i="2" s="1"/>
  <c r="Q3265" i="2"/>
  <c r="S3265" i="2" s="1"/>
  <c r="T3265" i="2" s="1"/>
  <c r="U3265" i="2" s="1"/>
  <c r="Q3266" i="2"/>
  <c r="S3266" i="2" s="1"/>
  <c r="T3266" i="2" s="1"/>
  <c r="U3266" i="2" s="1"/>
  <c r="Q3267" i="2"/>
  <c r="S3267" i="2" s="1"/>
  <c r="Q3268" i="2"/>
  <c r="S3268" i="2" s="1"/>
  <c r="T3268" i="2" s="1"/>
  <c r="U3268" i="2" s="1"/>
  <c r="Q3269" i="2"/>
  <c r="S3269" i="2" s="1"/>
  <c r="T3269" i="2" s="1"/>
  <c r="U3269" i="2" s="1"/>
  <c r="Q3270" i="2"/>
  <c r="S3270" i="2" s="1"/>
  <c r="T3270" i="2" s="1"/>
  <c r="U3270" i="2" s="1"/>
  <c r="Q3271" i="2"/>
  <c r="S3271" i="2" s="1"/>
  <c r="T3271" i="2" s="1"/>
  <c r="U3271" i="2" s="1"/>
  <c r="Q3272" i="2"/>
  <c r="S3272" i="2" s="1"/>
  <c r="T3272" i="2" s="1"/>
  <c r="U3272" i="2" s="1"/>
  <c r="Q3273" i="2"/>
  <c r="S3273" i="2" s="1"/>
  <c r="Q3274" i="2"/>
  <c r="S3274" i="2" s="1"/>
  <c r="T3274" i="2" s="1"/>
  <c r="U3274" i="2" s="1"/>
  <c r="Q3275" i="2"/>
  <c r="S3275" i="2" s="1"/>
  <c r="Q3276" i="2"/>
  <c r="S3276" i="2" s="1"/>
  <c r="Q3277" i="2"/>
  <c r="S3277" i="2" s="1"/>
  <c r="T3277" i="2" s="1"/>
  <c r="U3277" i="2" s="1"/>
  <c r="Q3278" i="2"/>
  <c r="S3278" i="2" s="1"/>
  <c r="Q3279" i="2"/>
  <c r="S3279" i="2" s="1"/>
  <c r="T3279" i="2" s="1"/>
  <c r="U3279" i="2" s="1"/>
  <c r="Q3280" i="2"/>
  <c r="S3280" i="2" s="1"/>
  <c r="T3280" i="2" s="1"/>
  <c r="U3280" i="2" s="1"/>
  <c r="Q3281" i="2"/>
  <c r="S3281" i="2" s="1"/>
  <c r="T3281" i="2" s="1"/>
  <c r="U3281" i="2" s="1"/>
  <c r="Q3282" i="2"/>
  <c r="S3282" i="2" s="1"/>
  <c r="Q3283" i="2"/>
  <c r="S3283" i="2" s="1"/>
  <c r="T3283" i="2" s="1"/>
  <c r="U3283" i="2" s="1"/>
  <c r="Q3284" i="2"/>
  <c r="S3284" i="2" s="1"/>
  <c r="Q3285" i="2"/>
  <c r="S3285" i="2" s="1"/>
  <c r="T3285" i="2" s="1"/>
  <c r="U3285" i="2" s="1"/>
  <c r="Q3286" i="2"/>
  <c r="S3286" i="2" s="1"/>
  <c r="T3286" i="2" s="1"/>
  <c r="U3286" i="2" s="1"/>
  <c r="Q3287" i="2"/>
  <c r="S3287" i="2" s="1"/>
  <c r="T3287" i="2" s="1"/>
  <c r="U3287" i="2" s="1"/>
  <c r="Q3288" i="2"/>
  <c r="S3288" i="2" s="1"/>
  <c r="T3288" i="2" s="1"/>
  <c r="U3288" i="2" s="1"/>
  <c r="Q3289" i="2"/>
  <c r="S3289" i="2" s="1"/>
  <c r="T3289" i="2" s="1"/>
  <c r="U3289" i="2" s="1"/>
  <c r="Q3290" i="2"/>
  <c r="S3290" i="2" s="1"/>
  <c r="Q3291" i="2"/>
  <c r="S3291" i="2" s="1"/>
  <c r="Q3292" i="2"/>
  <c r="S3292" i="2" s="1"/>
  <c r="T3292" i="2" s="1"/>
  <c r="U3292" i="2" s="1"/>
  <c r="Q3293" i="2"/>
  <c r="S3293" i="2" s="1"/>
  <c r="Q3294" i="2"/>
  <c r="S3294" i="2" s="1"/>
  <c r="Q3295" i="2"/>
  <c r="S3295" i="2" s="1"/>
  <c r="T3295" i="2" s="1"/>
  <c r="U3295" i="2" s="1"/>
  <c r="Q3296" i="2"/>
  <c r="S3296" i="2" s="1"/>
  <c r="T3296" i="2" s="1"/>
  <c r="U3296" i="2" s="1"/>
  <c r="Q3297" i="2"/>
  <c r="S3297" i="2" s="1"/>
  <c r="T3297" i="2" s="1"/>
  <c r="U3297" i="2" s="1"/>
  <c r="Q3298" i="2"/>
  <c r="S3298" i="2" s="1"/>
  <c r="T3298" i="2" s="1"/>
  <c r="U3298" i="2" s="1"/>
  <c r="Q3299" i="2"/>
  <c r="S3299" i="2" s="1"/>
  <c r="T3299" i="2" s="1"/>
  <c r="U3299" i="2" s="1"/>
  <c r="Q3300" i="2"/>
  <c r="S3300" i="2" s="1"/>
  <c r="T3300" i="2" s="1"/>
  <c r="U3300" i="2" s="1"/>
  <c r="Q3301" i="2"/>
  <c r="S3301" i="2" s="1"/>
  <c r="Q3302" i="2"/>
  <c r="S3302" i="2" s="1"/>
  <c r="T3302" i="2" s="1"/>
  <c r="U3302" i="2" s="1"/>
  <c r="Q3303" i="2"/>
  <c r="S3303" i="2" s="1"/>
  <c r="T3303" i="2" s="1"/>
  <c r="U3303" i="2" s="1"/>
  <c r="Q3304" i="2"/>
  <c r="S3304" i="2" s="1"/>
  <c r="T3304" i="2" s="1"/>
  <c r="U3304" i="2" s="1"/>
  <c r="Q3305" i="2"/>
  <c r="S3305" i="2" s="1"/>
  <c r="Q3306" i="2"/>
  <c r="S3306" i="2" s="1"/>
  <c r="Q3307" i="2"/>
  <c r="S3307" i="2" s="1"/>
  <c r="T3307" i="2" s="1"/>
  <c r="U3307" i="2" s="1"/>
  <c r="Q3308" i="2"/>
  <c r="S3308" i="2" s="1"/>
  <c r="T3308" i="2" s="1"/>
  <c r="U3308" i="2" s="1"/>
  <c r="Q3309" i="2"/>
  <c r="S3309" i="2" s="1"/>
  <c r="T3309" i="2" s="1"/>
  <c r="U3309" i="2" s="1"/>
  <c r="Q3310" i="2"/>
  <c r="S3310" i="2" s="1"/>
  <c r="T3310" i="2" s="1"/>
  <c r="U3310" i="2" s="1"/>
  <c r="Q3311" i="2"/>
  <c r="S3311" i="2" s="1"/>
  <c r="Q3312" i="2"/>
  <c r="S3312" i="2" s="1"/>
  <c r="T3312" i="2" s="1"/>
  <c r="U3312" i="2" s="1"/>
  <c r="Q3313" i="2"/>
  <c r="S3313" i="2" s="1"/>
  <c r="T3313" i="2" s="1"/>
  <c r="U3313" i="2" s="1"/>
  <c r="Q3314" i="2"/>
  <c r="S3314" i="2" s="1"/>
  <c r="T3314" i="2" s="1"/>
  <c r="U3314" i="2" s="1"/>
  <c r="Q3315" i="2"/>
  <c r="S3315" i="2" s="1"/>
  <c r="T3315" i="2" s="1"/>
  <c r="U3315" i="2" s="1"/>
  <c r="Q3316" i="2"/>
  <c r="S3316" i="2" s="1"/>
  <c r="T3316" i="2" s="1"/>
  <c r="U3316" i="2" s="1"/>
  <c r="Q3317" i="2"/>
  <c r="S3317" i="2" s="1"/>
  <c r="T3317" i="2" s="1"/>
  <c r="U3317" i="2" s="1"/>
  <c r="Q3318" i="2"/>
  <c r="S3318" i="2" s="1"/>
  <c r="T3318" i="2" s="1"/>
  <c r="U3318" i="2" s="1"/>
  <c r="Q3319" i="2"/>
  <c r="S3319" i="2" s="1"/>
  <c r="T3319" i="2" s="1"/>
  <c r="U3319" i="2" s="1"/>
  <c r="Q3320" i="2"/>
  <c r="S3320" i="2" s="1"/>
  <c r="T3320" i="2" s="1"/>
  <c r="U3320" i="2" s="1"/>
  <c r="Q3321" i="2"/>
  <c r="S3321" i="2" s="1"/>
  <c r="T3321" i="2" s="1"/>
  <c r="U3321" i="2" s="1"/>
  <c r="Q3322" i="2"/>
  <c r="S3322" i="2" s="1"/>
  <c r="T3322" i="2" s="1"/>
  <c r="U3322" i="2" s="1"/>
  <c r="Q3323" i="2"/>
  <c r="S3323" i="2" s="1"/>
  <c r="Q3324" i="2"/>
  <c r="S3324" i="2" s="1"/>
  <c r="T3324" i="2" s="1"/>
  <c r="U3324" i="2" s="1"/>
  <c r="Q3325" i="2"/>
  <c r="S3325" i="2" s="1"/>
  <c r="T3325" i="2" s="1"/>
  <c r="U3325" i="2" s="1"/>
  <c r="Q3326" i="2"/>
  <c r="S3326" i="2" s="1"/>
  <c r="T3326" i="2" s="1"/>
  <c r="U3326" i="2" s="1"/>
  <c r="Q3327" i="2"/>
  <c r="S3327" i="2" s="1"/>
  <c r="T3327" i="2" s="1"/>
  <c r="U3327" i="2" s="1"/>
  <c r="Q3328" i="2"/>
  <c r="S3328" i="2" s="1"/>
  <c r="Q3329" i="2"/>
  <c r="S3329" i="2" s="1"/>
  <c r="T3329" i="2" s="1"/>
  <c r="U3329" i="2" s="1"/>
  <c r="Q3330" i="2"/>
  <c r="S3330" i="2" s="1"/>
  <c r="Q3331" i="2"/>
  <c r="S3331" i="2" s="1"/>
  <c r="T3331" i="2" s="1"/>
  <c r="U3331" i="2" s="1"/>
  <c r="Q3332" i="2"/>
  <c r="S3332" i="2" s="1"/>
  <c r="T3332" i="2" s="1"/>
  <c r="U3332" i="2" s="1"/>
  <c r="Q3333" i="2"/>
  <c r="S3333" i="2" s="1"/>
  <c r="T3333" i="2" s="1"/>
  <c r="U3333" i="2" s="1"/>
  <c r="Q3334" i="2"/>
  <c r="S3334" i="2" s="1"/>
  <c r="T3334" i="2" s="1"/>
  <c r="U3334" i="2" s="1"/>
  <c r="Q3335" i="2"/>
  <c r="S3335" i="2" s="1"/>
  <c r="T3335" i="2" s="1"/>
  <c r="U3335" i="2" s="1"/>
  <c r="Q3336" i="2"/>
  <c r="S3336" i="2" s="1"/>
  <c r="T3336" i="2" s="1"/>
  <c r="U3336" i="2" s="1"/>
  <c r="Q3337" i="2"/>
  <c r="S3337" i="2" s="1"/>
  <c r="Q3338" i="2"/>
  <c r="S3338" i="2" s="1"/>
  <c r="Q3339" i="2"/>
  <c r="S3339" i="2" s="1"/>
  <c r="T3339" i="2" s="1"/>
  <c r="U3339" i="2" s="1"/>
  <c r="Q3340" i="2"/>
  <c r="S3340" i="2" s="1"/>
  <c r="T3340" i="2" s="1"/>
  <c r="U3340" i="2" s="1"/>
  <c r="Q3341" i="2"/>
  <c r="S3341" i="2" s="1"/>
  <c r="Q3342" i="2"/>
  <c r="S3342" i="2" s="1"/>
  <c r="Q3343" i="2"/>
  <c r="S3343" i="2" s="1"/>
  <c r="Q3344" i="2"/>
  <c r="S3344" i="2" s="1"/>
  <c r="Q3345" i="2"/>
  <c r="S3345" i="2" s="1"/>
  <c r="T3345" i="2" s="1"/>
  <c r="U3345" i="2" s="1"/>
  <c r="Q3346" i="2"/>
  <c r="S3346" i="2" s="1"/>
  <c r="T3346" i="2" s="1"/>
  <c r="U3346" i="2" s="1"/>
  <c r="Q3347" i="2"/>
  <c r="S3347" i="2" s="1"/>
  <c r="Q3348" i="2"/>
  <c r="S3348" i="2" s="1"/>
  <c r="T3348" i="2" s="1"/>
  <c r="U3348" i="2" s="1"/>
  <c r="Q3349" i="2"/>
  <c r="S3349" i="2" s="1"/>
  <c r="Q3350" i="2"/>
  <c r="S3350" i="2" s="1"/>
  <c r="Q3351" i="2"/>
  <c r="S3351" i="2" s="1"/>
  <c r="T3351" i="2" s="1"/>
  <c r="U3351" i="2" s="1"/>
  <c r="Q3352" i="2"/>
  <c r="S3352" i="2" s="1"/>
  <c r="T3352" i="2" s="1"/>
  <c r="U3352" i="2" s="1"/>
  <c r="Q3353" i="2"/>
  <c r="S3353" i="2" s="1"/>
  <c r="T3353" i="2" s="1"/>
  <c r="U3353" i="2" s="1"/>
  <c r="Q3354" i="2"/>
  <c r="S3354" i="2" s="1"/>
  <c r="Q3355" i="2"/>
  <c r="S3355" i="2" s="1"/>
  <c r="T3355" i="2" s="1"/>
  <c r="U3355" i="2" s="1"/>
  <c r="Q3356" i="2"/>
  <c r="S3356" i="2" s="1"/>
  <c r="Q3357" i="2"/>
  <c r="S3357" i="2" s="1"/>
  <c r="Q3358" i="2"/>
  <c r="S3358" i="2" s="1"/>
  <c r="T3358" i="2" s="1"/>
  <c r="U3358" i="2" s="1"/>
  <c r="Q3359" i="2"/>
  <c r="S3359" i="2" s="1"/>
  <c r="T3359" i="2" s="1"/>
  <c r="U3359" i="2" s="1"/>
  <c r="Q3360" i="2"/>
  <c r="S3360" i="2" s="1"/>
  <c r="T3360" i="2" s="1"/>
  <c r="U3360" i="2" s="1"/>
  <c r="Q3361" i="2"/>
  <c r="S3361" i="2" s="1"/>
  <c r="T3361" i="2" s="1"/>
  <c r="U3361" i="2" s="1"/>
  <c r="Q3362" i="2"/>
  <c r="S3362" i="2" s="1"/>
  <c r="T3362" i="2" s="1"/>
  <c r="U3362" i="2" s="1"/>
  <c r="Q3363" i="2"/>
  <c r="S3363" i="2" s="1"/>
  <c r="T3363" i="2" s="1"/>
  <c r="U3363" i="2" s="1"/>
  <c r="Q3364" i="2"/>
  <c r="S3364" i="2" s="1"/>
  <c r="Q3365" i="2"/>
  <c r="S3365" i="2" s="1"/>
  <c r="T3365" i="2" s="1"/>
  <c r="U3365" i="2" s="1"/>
  <c r="Q3366" i="2"/>
  <c r="S3366" i="2" s="1"/>
  <c r="Q3367" i="2"/>
  <c r="S3367" i="2" s="1"/>
  <c r="T3367" i="2" s="1"/>
  <c r="U3367" i="2" s="1"/>
  <c r="Q3368" i="2"/>
  <c r="S3368" i="2" s="1"/>
  <c r="T3368" i="2" s="1"/>
  <c r="U3368" i="2" s="1"/>
  <c r="Q3369" i="2"/>
  <c r="S3369" i="2" s="1"/>
  <c r="T3369" i="2" s="1"/>
  <c r="U3369" i="2" s="1"/>
  <c r="Q3370" i="2"/>
  <c r="S3370" i="2" s="1"/>
  <c r="T3370" i="2" s="1"/>
  <c r="U3370" i="2" s="1"/>
  <c r="Q3371" i="2"/>
  <c r="S3371" i="2" s="1"/>
  <c r="T3371" i="2" s="1"/>
  <c r="U3371" i="2" s="1"/>
  <c r="Q3372" i="2"/>
  <c r="S3372" i="2" s="1"/>
  <c r="T3372" i="2" s="1"/>
  <c r="U3372" i="2" s="1"/>
  <c r="Q3373" i="2"/>
  <c r="S3373" i="2" s="1"/>
  <c r="Q3374" i="2"/>
  <c r="S3374" i="2" s="1"/>
  <c r="T3374" i="2" s="1"/>
  <c r="U3374" i="2" s="1"/>
  <c r="Q3375" i="2"/>
  <c r="S3375" i="2" s="1"/>
  <c r="T3375" i="2" s="1"/>
  <c r="U3375" i="2" s="1"/>
  <c r="Q3376" i="2"/>
  <c r="S3376" i="2" s="1"/>
  <c r="Q3377" i="2"/>
  <c r="S3377" i="2" s="1"/>
  <c r="T3377" i="2" s="1"/>
  <c r="U3377" i="2" s="1"/>
  <c r="Q3378" i="2"/>
  <c r="S3378" i="2" s="1"/>
  <c r="Q3379" i="2"/>
  <c r="S3379" i="2" s="1"/>
  <c r="T3379" i="2" s="1"/>
  <c r="U3379" i="2" s="1"/>
  <c r="Q3380" i="2"/>
  <c r="S3380" i="2" s="1"/>
  <c r="T3380" i="2" s="1"/>
  <c r="U3380" i="2" s="1"/>
  <c r="Q3381" i="2"/>
  <c r="S3381" i="2" s="1"/>
  <c r="T3381" i="2" s="1"/>
  <c r="U3381" i="2" s="1"/>
  <c r="Q3382" i="2"/>
  <c r="S3382" i="2" s="1"/>
  <c r="T3382" i="2" s="1"/>
  <c r="U3382" i="2" s="1"/>
  <c r="Q3383" i="2"/>
  <c r="S3383" i="2" s="1"/>
  <c r="T3383" i="2" s="1"/>
  <c r="U3383" i="2" s="1"/>
  <c r="Q3384" i="2"/>
  <c r="S3384" i="2" s="1"/>
  <c r="Q3385" i="2"/>
  <c r="S3385" i="2" s="1"/>
  <c r="T3385" i="2" s="1"/>
  <c r="U3385" i="2" s="1"/>
  <c r="Q3386" i="2"/>
  <c r="S3386" i="2" s="1"/>
  <c r="T3386" i="2" s="1"/>
  <c r="U3386" i="2" s="1"/>
  <c r="Q3387" i="2"/>
  <c r="S3387" i="2" s="1"/>
  <c r="T3387" i="2" s="1"/>
  <c r="U3387" i="2" s="1"/>
  <c r="Q3388" i="2"/>
  <c r="S3388" i="2" s="1"/>
  <c r="T3388" i="2" s="1"/>
  <c r="U3388" i="2" s="1"/>
  <c r="Q3389" i="2"/>
  <c r="S3389" i="2" s="1"/>
  <c r="T3389" i="2" s="1"/>
  <c r="U3389" i="2" s="1"/>
  <c r="Q3390" i="2"/>
  <c r="S3390" i="2" s="1"/>
  <c r="T3390" i="2" s="1"/>
  <c r="U3390" i="2" s="1"/>
  <c r="Q3391" i="2"/>
  <c r="S3391" i="2" s="1"/>
  <c r="T3391" i="2" s="1"/>
  <c r="U3391" i="2" s="1"/>
  <c r="Q3392" i="2"/>
  <c r="S3392" i="2" s="1"/>
  <c r="T3392" i="2" s="1"/>
  <c r="U3392" i="2" s="1"/>
  <c r="Q3393" i="2"/>
  <c r="S3393" i="2" s="1"/>
  <c r="Q3394" i="2"/>
  <c r="S3394" i="2" s="1"/>
  <c r="T3394" i="2" s="1"/>
  <c r="U3394" i="2" s="1"/>
  <c r="Q3395" i="2"/>
  <c r="S3395" i="2" s="1"/>
  <c r="Q3396" i="2"/>
  <c r="S3396" i="2" s="1"/>
  <c r="T3396" i="2" s="1"/>
  <c r="U3396" i="2" s="1"/>
  <c r="Q3397" i="2"/>
  <c r="S3397" i="2" s="1"/>
  <c r="T3397" i="2" s="1"/>
  <c r="U3397" i="2" s="1"/>
  <c r="Q3398" i="2"/>
  <c r="S3398" i="2" s="1"/>
  <c r="T3398" i="2" s="1"/>
  <c r="U3398" i="2" s="1"/>
  <c r="Q3399" i="2"/>
  <c r="S3399" i="2" s="1"/>
  <c r="T3399" i="2" s="1"/>
  <c r="U3399" i="2" s="1"/>
  <c r="Q3400" i="2"/>
  <c r="S3400" i="2" s="1"/>
  <c r="T3400" i="2" s="1"/>
  <c r="U3400" i="2" s="1"/>
  <c r="Q3401" i="2"/>
  <c r="S3401" i="2" s="1"/>
  <c r="T3401" i="2" s="1"/>
  <c r="U3401" i="2" s="1"/>
  <c r="Q3402" i="2"/>
  <c r="S3402" i="2" s="1"/>
  <c r="Q3403" i="2"/>
  <c r="S3403" i="2" s="1"/>
  <c r="T3403" i="2" s="1"/>
  <c r="U3403" i="2" s="1"/>
  <c r="Q3404" i="2"/>
  <c r="S3404" i="2" s="1"/>
  <c r="T3404" i="2" s="1"/>
  <c r="U3404" i="2" s="1"/>
  <c r="Q3405" i="2"/>
  <c r="S3405" i="2" s="1"/>
  <c r="T3405" i="2" s="1"/>
  <c r="U3405" i="2" s="1"/>
  <c r="Q3406" i="2"/>
  <c r="S3406" i="2" s="1"/>
  <c r="T3406" i="2" s="1"/>
  <c r="U3406" i="2" s="1"/>
  <c r="Q3407" i="2"/>
  <c r="S3407" i="2" s="1"/>
  <c r="T3407" i="2" s="1"/>
  <c r="U3407" i="2" s="1"/>
  <c r="Q3408" i="2"/>
  <c r="S3408" i="2" s="1"/>
  <c r="T3408" i="2" s="1"/>
  <c r="U3408" i="2" s="1"/>
  <c r="Q3409" i="2"/>
  <c r="S3409" i="2" s="1"/>
  <c r="T3409" i="2" s="1"/>
  <c r="U3409" i="2" s="1"/>
  <c r="Q3410" i="2"/>
  <c r="S3410" i="2" s="1"/>
  <c r="Q3411" i="2"/>
  <c r="S3411" i="2" s="1"/>
  <c r="Q3412" i="2"/>
  <c r="S3412" i="2" s="1"/>
  <c r="T3412" i="2" s="1"/>
  <c r="U3412" i="2" s="1"/>
  <c r="Q3413" i="2"/>
  <c r="S3413" i="2" s="1"/>
  <c r="T3413" i="2" s="1"/>
  <c r="U3413" i="2" s="1"/>
  <c r="Q3414" i="2"/>
  <c r="S3414" i="2" s="1"/>
  <c r="T3414" i="2" s="1"/>
  <c r="U3414" i="2" s="1"/>
  <c r="Q3415" i="2"/>
  <c r="S3415" i="2" s="1"/>
  <c r="Q3416" i="2"/>
  <c r="S3416" i="2" s="1"/>
  <c r="T3416" i="2" s="1"/>
  <c r="U3416" i="2" s="1"/>
  <c r="Q3417" i="2"/>
  <c r="S3417" i="2" s="1"/>
  <c r="T3417" i="2" s="1"/>
  <c r="U3417" i="2" s="1"/>
  <c r="Q3418" i="2"/>
  <c r="S3418" i="2" s="1"/>
  <c r="T3418" i="2" s="1"/>
  <c r="U3418" i="2" s="1"/>
  <c r="Q3419" i="2"/>
  <c r="S3419" i="2" s="1"/>
  <c r="T3419" i="2" s="1"/>
  <c r="U3419" i="2" s="1"/>
  <c r="Q3420" i="2"/>
  <c r="S3420" i="2" s="1"/>
  <c r="T3420" i="2" s="1"/>
  <c r="U3420" i="2" s="1"/>
  <c r="Q3421" i="2"/>
  <c r="S3421" i="2" s="1"/>
  <c r="T3421" i="2" s="1"/>
  <c r="U3421" i="2" s="1"/>
  <c r="Q3422" i="2"/>
  <c r="S3422" i="2" s="1"/>
  <c r="T3422" i="2" s="1"/>
  <c r="U3422" i="2" s="1"/>
  <c r="Q3423" i="2"/>
  <c r="S3423" i="2" s="1"/>
  <c r="T3423" i="2" s="1"/>
  <c r="U3423" i="2" s="1"/>
  <c r="Q3424" i="2"/>
  <c r="S3424" i="2" s="1"/>
  <c r="T3424" i="2" s="1"/>
  <c r="U3424" i="2" s="1"/>
  <c r="Q3425" i="2"/>
  <c r="S3425" i="2" s="1"/>
  <c r="T3425" i="2" s="1"/>
  <c r="U3425" i="2" s="1"/>
  <c r="Q3426" i="2"/>
  <c r="S3426" i="2" s="1"/>
  <c r="T3426" i="2" s="1"/>
  <c r="U3426" i="2" s="1"/>
  <c r="Q3427" i="2"/>
  <c r="S3427" i="2" s="1"/>
  <c r="T3427" i="2" s="1"/>
  <c r="U3427" i="2" s="1"/>
  <c r="Q3428" i="2"/>
  <c r="S3428" i="2" s="1"/>
  <c r="T3428" i="2" s="1"/>
  <c r="U3428" i="2" s="1"/>
  <c r="Q3429" i="2"/>
  <c r="S3429" i="2" s="1"/>
  <c r="Q3430" i="2"/>
  <c r="S3430" i="2" s="1"/>
  <c r="T3430" i="2" s="1"/>
  <c r="U3430" i="2" s="1"/>
  <c r="Q3431" i="2"/>
  <c r="S3431" i="2" s="1"/>
  <c r="T3431" i="2" s="1"/>
  <c r="U3431" i="2" s="1"/>
  <c r="Q3432" i="2"/>
  <c r="S3432" i="2" s="1"/>
  <c r="T3432" i="2" s="1"/>
  <c r="U3432" i="2" s="1"/>
  <c r="Q3433" i="2"/>
  <c r="S3433" i="2" s="1"/>
  <c r="T3433" i="2" s="1"/>
  <c r="U3433" i="2" s="1"/>
  <c r="Q3434" i="2"/>
  <c r="S3434" i="2" s="1"/>
  <c r="Q3435" i="2"/>
  <c r="S3435" i="2" s="1"/>
  <c r="T3435" i="2" s="1"/>
  <c r="U3435" i="2" s="1"/>
  <c r="Q3436" i="2"/>
  <c r="S3436" i="2" s="1"/>
  <c r="T3436" i="2" s="1"/>
  <c r="U3436" i="2" s="1"/>
  <c r="Q3437" i="2"/>
  <c r="S3437" i="2" s="1"/>
  <c r="Q3438" i="2"/>
  <c r="S3438" i="2" s="1"/>
  <c r="T3438" i="2" s="1"/>
  <c r="U3438" i="2" s="1"/>
  <c r="Q3439" i="2"/>
  <c r="S3439" i="2" s="1"/>
  <c r="T3439" i="2" s="1"/>
  <c r="U3439" i="2" s="1"/>
  <c r="Q3440" i="2"/>
  <c r="S3440" i="2" s="1"/>
  <c r="T3440" i="2" s="1"/>
  <c r="U3440" i="2" s="1"/>
  <c r="Q3441" i="2"/>
  <c r="S3441" i="2" s="1"/>
  <c r="T3441" i="2" s="1"/>
  <c r="U3441" i="2" s="1"/>
  <c r="Q3442" i="2"/>
  <c r="S3442" i="2" s="1"/>
  <c r="Q3443" i="2"/>
  <c r="S3443" i="2" s="1"/>
  <c r="T3443" i="2" s="1"/>
  <c r="U3443" i="2" s="1"/>
  <c r="Q3444" i="2"/>
  <c r="S3444" i="2" s="1"/>
  <c r="T3444" i="2" s="1"/>
  <c r="U3444" i="2" s="1"/>
  <c r="Q3445" i="2"/>
  <c r="S3445" i="2" s="1"/>
  <c r="T3445" i="2" s="1"/>
  <c r="U3445" i="2" s="1"/>
  <c r="Q3446" i="2"/>
  <c r="S3446" i="2" s="1"/>
  <c r="T3446" i="2" s="1"/>
  <c r="U3446" i="2" s="1"/>
  <c r="Q3447" i="2"/>
  <c r="S3447" i="2" s="1"/>
  <c r="T3447" i="2" s="1"/>
  <c r="U3447" i="2" s="1"/>
  <c r="Q3448" i="2"/>
  <c r="S3448" i="2" s="1"/>
  <c r="T3448" i="2" s="1"/>
  <c r="U3448" i="2" s="1"/>
  <c r="Q3449" i="2"/>
  <c r="S3449" i="2" s="1"/>
  <c r="T3449" i="2" s="1"/>
  <c r="U3449" i="2" s="1"/>
  <c r="Q3450" i="2"/>
  <c r="S3450" i="2" s="1"/>
  <c r="T3450" i="2" s="1"/>
  <c r="U3450" i="2" s="1"/>
  <c r="Q3451" i="2"/>
  <c r="S3451" i="2" s="1"/>
  <c r="T3451" i="2" s="1"/>
  <c r="U3451" i="2" s="1"/>
  <c r="Q3452" i="2"/>
  <c r="S3452" i="2" s="1"/>
  <c r="T3452" i="2" s="1"/>
  <c r="U3452" i="2" s="1"/>
  <c r="Q3453" i="2"/>
  <c r="S3453" i="2" s="1"/>
  <c r="T3453" i="2" s="1"/>
  <c r="U3453" i="2" s="1"/>
  <c r="Q3454" i="2"/>
  <c r="S3454" i="2" s="1"/>
  <c r="T3454" i="2" s="1"/>
  <c r="U3454" i="2" s="1"/>
  <c r="Q3455" i="2"/>
  <c r="S3455" i="2" s="1"/>
  <c r="Q3456" i="2"/>
  <c r="S3456" i="2" s="1"/>
  <c r="T3456" i="2" s="1"/>
  <c r="U3456" i="2" s="1"/>
  <c r="Q3457" i="2"/>
  <c r="S3457" i="2" s="1"/>
  <c r="T3457" i="2" s="1"/>
  <c r="U3457" i="2" s="1"/>
  <c r="Q3458" i="2"/>
  <c r="S3458" i="2" s="1"/>
  <c r="T3458" i="2" s="1"/>
  <c r="U3458" i="2" s="1"/>
  <c r="Q3459" i="2"/>
  <c r="S3459" i="2" s="1"/>
  <c r="T3459" i="2" s="1"/>
  <c r="U3459" i="2" s="1"/>
  <c r="Q3460" i="2"/>
  <c r="S3460" i="2" s="1"/>
  <c r="T3460" i="2" s="1"/>
  <c r="U3460" i="2" s="1"/>
  <c r="Q3461" i="2"/>
  <c r="S3461" i="2" s="1"/>
  <c r="T3461" i="2" s="1"/>
  <c r="U3461" i="2" s="1"/>
  <c r="Q3462" i="2"/>
  <c r="S3462" i="2" s="1"/>
  <c r="Q3463" i="2"/>
  <c r="S3463" i="2" s="1"/>
  <c r="T3463" i="2" s="1"/>
  <c r="U3463" i="2" s="1"/>
  <c r="Q3464" i="2"/>
  <c r="S3464" i="2" s="1"/>
  <c r="T3464" i="2" s="1"/>
  <c r="U3464" i="2" s="1"/>
  <c r="Q3465" i="2"/>
  <c r="S3465" i="2" s="1"/>
  <c r="T3465" i="2" s="1"/>
  <c r="U3465" i="2" s="1"/>
  <c r="Q3466" i="2"/>
  <c r="S3466" i="2" s="1"/>
  <c r="T3466" i="2" s="1"/>
  <c r="U3466" i="2" s="1"/>
  <c r="Q3467" i="2"/>
  <c r="S3467" i="2" s="1"/>
  <c r="T3467" i="2" s="1"/>
  <c r="U3467" i="2" s="1"/>
  <c r="Q3468" i="2"/>
  <c r="S3468" i="2" s="1"/>
  <c r="T3468" i="2" s="1"/>
  <c r="U3468" i="2" s="1"/>
  <c r="Q3469" i="2"/>
  <c r="S3469" i="2" s="1"/>
  <c r="T3469" i="2" s="1"/>
  <c r="U3469" i="2" s="1"/>
  <c r="Q3470" i="2"/>
  <c r="S3470" i="2" s="1"/>
  <c r="T3470" i="2" s="1"/>
  <c r="U3470" i="2" s="1"/>
  <c r="Q3471" i="2"/>
  <c r="S3471" i="2" s="1"/>
  <c r="T3471" i="2" s="1"/>
  <c r="U3471" i="2" s="1"/>
  <c r="Q3472" i="2"/>
  <c r="S3472" i="2" s="1"/>
  <c r="Q3473" i="2"/>
  <c r="S3473" i="2" s="1"/>
  <c r="Q3474" i="2"/>
  <c r="S3474" i="2" s="1"/>
  <c r="T3474" i="2" s="1"/>
  <c r="U3474" i="2" s="1"/>
  <c r="Q3475" i="2"/>
  <c r="S3475" i="2" s="1"/>
  <c r="T3475" i="2" s="1"/>
  <c r="U3475" i="2" s="1"/>
  <c r="Q3476" i="2"/>
  <c r="S3476" i="2" s="1"/>
  <c r="T3476" i="2" s="1"/>
  <c r="U3476" i="2" s="1"/>
  <c r="Q3477" i="2"/>
  <c r="S3477" i="2" s="1"/>
  <c r="T3477" i="2" s="1"/>
  <c r="U3477" i="2" s="1"/>
  <c r="Q3478" i="2"/>
  <c r="S3478" i="2" s="1"/>
  <c r="T3478" i="2" s="1"/>
  <c r="U3478" i="2" s="1"/>
  <c r="Q3479" i="2"/>
  <c r="S3479" i="2" s="1"/>
  <c r="Q3480" i="2"/>
  <c r="S3480" i="2" s="1"/>
  <c r="Q3481" i="2"/>
  <c r="S3481" i="2" s="1"/>
  <c r="T3481" i="2" s="1"/>
  <c r="U3481" i="2" s="1"/>
  <c r="Q3482" i="2"/>
  <c r="S3482" i="2" s="1"/>
  <c r="Q3483" i="2"/>
  <c r="S3483" i="2" s="1"/>
  <c r="Q3484" i="2"/>
  <c r="S3484" i="2" s="1"/>
  <c r="T3484" i="2" s="1"/>
  <c r="U3484" i="2" s="1"/>
  <c r="Q3485" i="2"/>
  <c r="S3485" i="2" s="1"/>
  <c r="T3485" i="2" s="1"/>
  <c r="U3485" i="2" s="1"/>
  <c r="Q3486" i="2"/>
  <c r="S3486" i="2" s="1"/>
  <c r="T3486" i="2" s="1"/>
  <c r="U3486" i="2" s="1"/>
  <c r="Q3487" i="2"/>
  <c r="S3487" i="2" s="1"/>
  <c r="T3487" i="2" s="1"/>
  <c r="U3487" i="2" s="1"/>
  <c r="Q3488" i="2"/>
  <c r="S3488" i="2" s="1"/>
  <c r="T3488" i="2" s="1"/>
  <c r="U3488" i="2" s="1"/>
  <c r="Q3489" i="2"/>
  <c r="S3489" i="2" s="1"/>
  <c r="T3489" i="2" s="1"/>
  <c r="U3489" i="2" s="1"/>
  <c r="Q3490" i="2"/>
  <c r="S3490" i="2" s="1"/>
  <c r="T3490" i="2" s="1"/>
  <c r="U3490" i="2" s="1"/>
  <c r="Q3491" i="2"/>
  <c r="S3491" i="2" s="1"/>
  <c r="T3491" i="2" s="1"/>
  <c r="U3491" i="2" s="1"/>
  <c r="Q3492" i="2"/>
  <c r="S3492" i="2" s="1"/>
  <c r="T3492" i="2" s="1"/>
  <c r="U3492" i="2" s="1"/>
  <c r="Q3493" i="2"/>
  <c r="S3493" i="2" s="1"/>
  <c r="Q3494" i="2"/>
  <c r="S3494" i="2" s="1"/>
  <c r="T3494" i="2" s="1"/>
  <c r="U3494" i="2" s="1"/>
  <c r="Q3495" i="2"/>
  <c r="S3495" i="2" s="1"/>
  <c r="T3495" i="2" s="1"/>
  <c r="U3495" i="2" s="1"/>
  <c r="Q3496" i="2"/>
  <c r="S3496" i="2" s="1"/>
  <c r="Q3497" i="2"/>
  <c r="S3497" i="2" s="1"/>
  <c r="T3497" i="2" s="1"/>
  <c r="U3497" i="2" s="1"/>
  <c r="Q3498" i="2"/>
  <c r="S3498" i="2" s="1"/>
  <c r="T3498" i="2" s="1"/>
  <c r="U3498" i="2" s="1"/>
  <c r="Q3499" i="2"/>
  <c r="S3499" i="2" s="1"/>
  <c r="T3499" i="2" s="1"/>
  <c r="U3499" i="2" s="1"/>
  <c r="Q3500" i="2"/>
  <c r="S3500" i="2" s="1"/>
  <c r="T3500" i="2" s="1"/>
  <c r="U3500" i="2" s="1"/>
  <c r="Q3501" i="2"/>
  <c r="S3501" i="2" s="1"/>
  <c r="T3501" i="2" s="1"/>
  <c r="U3501" i="2" s="1"/>
  <c r="Q3502" i="2"/>
  <c r="S3502" i="2" s="1"/>
  <c r="Q3503" i="2"/>
  <c r="S3503" i="2" s="1"/>
  <c r="T3503" i="2" s="1"/>
  <c r="U3503" i="2" s="1"/>
  <c r="Q3504" i="2"/>
  <c r="S3504" i="2" s="1"/>
  <c r="T3504" i="2" s="1"/>
  <c r="U3504" i="2" s="1"/>
  <c r="Q3505" i="2"/>
  <c r="S3505" i="2" s="1"/>
  <c r="Q3506" i="2"/>
  <c r="S3506" i="2" s="1"/>
  <c r="T3506" i="2" s="1"/>
  <c r="U3506" i="2" s="1"/>
  <c r="Q3507" i="2"/>
  <c r="S3507" i="2" s="1"/>
  <c r="T3507" i="2" s="1"/>
  <c r="U3507" i="2" s="1"/>
  <c r="Q3508" i="2"/>
  <c r="S3508" i="2" s="1"/>
  <c r="Q3509" i="2"/>
  <c r="S3509" i="2" s="1"/>
  <c r="T3509" i="2" s="1"/>
  <c r="U3509" i="2" s="1"/>
  <c r="Q3510" i="2"/>
  <c r="S3510" i="2" s="1"/>
  <c r="T3510" i="2" s="1"/>
  <c r="U3510" i="2" s="1"/>
  <c r="Q3511" i="2"/>
  <c r="S3511" i="2" s="1"/>
  <c r="T3511" i="2" s="1"/>
  <c r="U3511" i="2" s="1"/>
  <c r="Q3512" i="2"/>
  <c r="S3512" i="2" s="1"/>
  <c r="T3512" i="2" s="1"/>
  <c r="U3512" i="2" s="1"/>
  <c r="Q3513" i="2"/>
  <c r="S3513" i="2" s="1"/>
  <c r="Q3514" i="2"/>
  <c r="S3514" i="2" s="1"/>
  <c r="T3514" i="2" s="1"/>
  <c r="U3514" i="2" s="1"/>
  <c r="Q3515" i="2"/>
  <c r="S3515" i="2" s="1"/>
  <c r="T3515" i="2" s="1"/>
  <c r="U3515" i="2" s="1"/>
  <c r="Q3516" i="2"/>
  <c r="S3516" i="2" s="1"/>
  <c r="Q3517" i="2"/>
  <c r="S3517" i="2" s="1"/>
  <c r="T3517" i="2" s="1"/>
  <c r="U3517" i="2" s="1"/>
  <c r="Q3518" i="2"/>
  <c r="S3518" i="2" s="1"/>
  <c r="T3518" i="2" s="1"/>
  <c r="U3518" i="2" s="1"/>
  <c r="Q3519" i="2"/>
  <c r="S3519" i="2" s="1"/>
  <c r="Q3520" i="2"/>
  <c r="S3520" i="2" s="1"/>
  <c r="Q3521" i="2"/>
  <c r="S3521" i="2" s="1"/>
  <c r="Q3522" i="2"/>
  <c r="S3522" i="2" s="1"/>
  <c r="T3522" i="2" s="1"/>
  <c r="U3522" i="2" s="1"/>
  <c r="Q3523" i="2"/>
  <c r="S3523" i="2" s="1"/>
  <c r="T3523" i="2" s="1"/>
  <c r="U3523" i="2" s="1"/>
  <c r="Q3524" i="2"/>
  <c r="S3524" i="2" s="1"/>
  <c r="Q3525" i="2"/>
  <c r="S3525" i="2" s="1"/>
  <c r="T3525" i="2" s="1"/>
  <c r="U3525" i="2" s="1"/>
  <c r="Q3526" i="2"/>
  <c r="S3526" i="2" s="1"/>
  <c r="Q3527" i="2"/>
  <c r="S3527" i="2" s="1"/>
  <c r="T3527" i="2" s="1"/>
  <c r="U3527" i="2" s="1"/>
  <c r="Q3528" i="2"/>
  <c r="S3528" i="2" s="1"/>
  <c r="T3528" i="2" s="1"/>
  <c r="U3528" i="2" s="1"/>
  <c r="Q3529" i="2"/>
  <c r="S3529" i="2" s="1"/>
  <c r="Q3530" i="2"/>
  <c r="S3530" i="2" s="1"/>
  <c r="Q3531" i="2"/>
  <c r="S3531" i="2" s="1"/>
  <c r="Q3532" i="2"/>
  <c r="S3532" i="2" s="1"/>
  <c r="Q3533" i="2"/>
  <c r="S3533" i="2" s="1"/>
  <c r="T3533" i="2" s="1"/>
  <c r="U3533" i="2" s="1"/>
  <c r="Q3534" i="2"/>
  <c r="S3534" i="2" s="1"/>
  <c r="T3534" i="2" s="1"/>
  <c r="U3534" i="2" s="1"/>
  <c r="Q3535" i="2"/>
  <c r="S3535" i="2" s="1"/>
  <c r="T3535" i="2" s="1"/>
  <c r="U3535" i="2" s="1"/>
  <c r="Q3536" i="2"/>
  <c r="S3536" i="2" s="1"/>
  <c r="T3536" i="2" s="1"/>
  <c r="U3536" i="2" s="1"/>
  <c r="Q3537" i="2"/>
  <c r="S3537" i="2" s="1"/>
  <c r="T3537" i="2" s="1"/>
  <c r="U3537" i="2" s="1"/>
  <c r="Q3538" i="2"/>
  <c r="S3538" i="2" s="1"/>
  <c r="Q3539" i="2"/>
  <c r="S3539" i="2" s="1"/>
  <c r="Q3540" i="2"/>
  <c r="S3540" i="2" s="1"/>
  <c r="T3540" i="2" s="1"/>
  <c r="U3540" i="2" s="1"/>
  <c r="Q3541" i="2"/>
  <c r="S3541" i="2" s="1"/>
  <c r="T3541" i="2" s="1"/>
  <c r="U3541" i="2" s="1"/>
  <c r="Q3542" i="2"/>
  <c r="S3542" i="2" s="1"/>
  <c r="Q3543" i="2"/>
  <c r="S3543" i="2" s="1"/>
  <c r="T3543" i="2" s="1"/>
  <c r="U3543" i="2" s="1"/>
  <c r="Q3544" i="2"/>
  <c r="S3544" i="2" s="1"/>
  <c r="T3544" i="2" s="1"/>
  <c r="U3544" i="2" s="1"/>
  <c r="Q3545" i="2"/>
  <c r="S3545" i="2" s="1"/>
  <c r="Q3546" i="2"/>
  <c r="S3546" i="2" s="1"/>
  <c r="Q3547" i="2"/>
  <c r="S3547" i="2" s="1"/>
  <c r="Q3548" i="2"/>
  <c r="S3548" i="2" s="1"/>
  <c r="T3548" i="2" s="1"/>
  <c r="U3548" i="2" s="1"/>
  <c r="Q3549" i="2"/>
  <c r="S3549" i="2" s="1"/>
  <c r="T3549" i="2" s="1"/>
  <c r="U3549" i="2" s="1"/>
  <c r="Q3550" i="2"/>
  <c r="S3550" i="2" s="1"/>
  <c r="T3550" i="2" s="1"/>
  <c r="U3550" i="2" s="1"/>
  <c r="Q3551" i="2"/>
  <c r="S3551" i="2" s="1"/>
  <c r="T3551" i="2" s="1"/>
  <c r="U3551" i="2" s="1"/>
  <c r="Q3552" i="2"/>
  <c r="S3552" i="2" s="1"/>
  <c r="T3552" i="2" s="1"/>
  <c r="U3552" i="2" s="1"/>
  <c r="Q3553" i="2"/>
  <c r="S3553" i="2" s="1"/>
  <c r="Q3554" i="2"/>
  <c r="S3554" i="2" s="1"/>
  <c r="T3554" i="2" s="1"/>
  <c r="U3554" i="2" s="1"/>
  <c r="Q3555" i="2"/>
  <c r="S3555" i="2" s="1"/>
  <c r="T3555" i="2" s="1"/>
  <c r="U3555" i="2" s="1"/>
  <c r="Q3556" i="2"/>
  <c r="S3556" i="2" s="1"/>
  <c r="T3556" i="2" s="1"/>
  <c r="U3556" i="2" s="1"/>
  <c r="Q3557" i="2"/>
  <c r="S3557" i="2" s="1"/>
  <c r="Q3558" i="2"/>
  <c r="S3558" i="2" s="1"/>
  <c r="T3558" i="2" s="1"/>
  <c r="U3558" i="2" s="1"/>
  <c r="Q3559" i="2"/>
  <c r="S3559" i="2" s="1"/>
  <c r="T3559" i="2" s="1"/>
  <c r="U3559" i="2" s="1"/>
  <c r="Q3560" i="2"/>
  <c r="S3560" i="2" s="1"/>
  <c r="T3560" i="2" s="1"/>
  <c r="U3560" i="2" s="1"/>
  <c r="Q3561" i="2"/>
  <c r="S3561" i="2" s="1"/>
  <c r="T3561" i="2" s="1"/>
  <c r="U3561" i="2" s="1"/>
  <c r="Q3562" i="2"/>
  <c r="S3562" i="2" s="1"/>
  <c r="T3562" i="2" s="1"/>
  <c r="U3562" i="2" s="1"/>
  <c r="Q3563" i="2"/>
  <c r="S3563" i="2" s="1"/>
  <c r="Q3564" i="2"/>
  <c r="S3564" i="2" s="1"/>
  <c r="T3564" i="2" s="1"/>
  <c r="U3564" i="2" s="1"/>
  <c r="Q3565" i="2"/>
  <c r="S3565" i="2" s="1"/>
  <c r="T3565" i="2" s="1"/>
  <c r="U3565" i="2" s="1"/>
  <c r="Q3566" i="2"/>
  <c r="S3566" i="2" s="1"/>
  <c r="Q3567" i="2"/>
  <c r="S3567" i="2" s="1"/>
  <c r="T3567" i="2" s="1"/>
  <c r="U3567" i="2" s="1"/>
  <c r="Q3568" i="2"/>
  <c r="S3568" i="2" s="1"/>
  <c r="Q3569" i="2"/>
  <c r="S3569" i="2" s="1"/>
  <c r="Q3570" i="2"/>
  <c r="S3570" i="2" s="1"/>
  <c r="Q3571" i="2"/>
  <c r="S3571" i="2" s="1"/>
  <c r="T3571" i="2" s="1"/>
  <c r="U3571" i="2" s="1"/>
  <c r="Q3572" i="2"/>
  <c r="S3572" i="2" s="1"/>
  <c r="Q3573" i="2"/>
  <c r="S3573" i="2" s="1"/>
  <c r="T3573" i="2" s="1"/>
  <c r="U3573" i="2" s="1"/>
  <c r="Q3574" i="2"/>
  <c r="S3574" i="2" s="1"/>
  <c r="T3574" i="2" s="1"/>
  <c r="U3574" i="2" s="1"/>
  <c r="Q3575" i="2"/>
  <c r="S3575" i="2" s="1"/>
  <c r="T3575" i="2" s="1"/>
  <c r="U3575" i="2" s="1"/>
  <c r="Q3576" i="2"/>
  <c r="S3576" i="2" s="1"/>
  <c r="T3576" i="2" s="1"/>
  <c r="U3576" i="2" s="1"/>
  <c r="Q3577" i="2"/>
  <c r="S3577" i="2" s="1"/>
  <c r="T3577" i="2" s="1"/>
  <c r="U3577" i="2" s="1"/>
  <c r="Q3578" i="2"/>
  <c r="S3578" i="2" s="1"/>
  <c r="Q3579" i="2"/>
  <c r="S3579" i="2" s="1"/>
  <c r="Q3580" i="2"/>
  <c r="S3580" i="2" s="1"/>
  <c r="T3580" i="2" s="1"/>
  <c r="U3580" i="2" s="1"/>
  <c r="Q3581" i="2"/>
  <c r="S3581" i="2" s="1"/>
  <c r="T3581" i="2" s="1"/>
  <c r="U3581" i="2" s="1"/>
  <c r="Q3582" i="2"/>
  <c r="S3582" i="2" s="1"/>
  <c r="T3582" i="2" s="1"/>
  <c r="U3582" i="2" s="1"/>
  <c r="Q3583" i="2"/>
  <c r="S3583" i="2" s="1"/>
  <c r="T3583" i="2" s="1"/>
  <c r="U3583" i="2" s="1"/>
  <c r="Q3584" i="2"/>
  <c r="S3584" i="2" s="1"/>
  <c r="T3584" i="2" s="1"/>
  <c r="U3584" i="2" s="1"/>
  <c r="Q3585" i="2"/>
  <c r="S3585" i="2" s="1"/>
  <c r="Q3586" i="2"/>
  <c r="S3586" i="2" s="1"/>
  <c r="T3586" i="2" s="1"/>
  <c r="U3586" i="2" s="1"/>
  <c r="Q3587" i="2"/>
  <c r="S3587" i="2" s="1"/>
  <c r="T3587" i="2" s="1"/>
  <c r="U3587" i="2" s="1"/>
  <c r="Q3588" i="2"/>
  <c r="S3588" i="2" s="1"/>
  <c r="T3588" i="2" s="1"/>
  <c r="U3588" i="2" s="1"/>
  <c r="Q3589" i="2"/>
  <c r="S3589" i="2" s="1"/>
  <c r="T3589" i="2" s="1"/>
  <c r="U3589" i="2" s="1"/>
  <c r="Q3590" i="2"/>
  <c r="S3590" i="2" s="1"/>
  <c r="T3590" i="2" s="1"/>
  <c r="U3590" i="2" s="1"/>
  <c r="Q3591" i="2"/>
  <c r="S3591" i="2" s="1"/>
  <c r="T3591" i="2" s="1"/>
  <c r="U3591" i="2" s="1"/>
  <c r="Q3592" i="2"/>
  <c r="S3592" i="2" s="1"/>
  <c r="T3592" i="2" s="1"/>
  <c r="U3592" i="2" s="1"/>
  <c r="Q3593" i="2"/>
  <c r="S3593" i="2" s="1"/>
  <c r="T3593" i="2" s="1"/>
  <c r="U3593" i="2" s="1"/>
  <c r="Q3594" i="2"/>
  <c r="S3594" i="2" s="1"/>
  <c r="T3594" i="2" s="1"/>
  <c r="U3594" i="2" s="1"/>
  <c r="Q3595" i="2"/>
  <c r="S3595" i="2" s="1"/>
  <c r="Q3596" i="2"/>
  <c r="S3596" i="2" s="1"/>
  <c r="Q3597" i="2"/>
  <c r="S3597" i="2" s="1"/>
  <c r="T3597" i="2" s="1"/>
  <c r="U3597" i="2" s="1"/>
  <c r="Q3598" i="2"/>
  <c r="S3598" i="2" s="1"/>
  <c r="T3598" i="2" s="1"/>
  <c r="U3598" i="2" s="1"/>
  <c r="Q3599" i="2"/>
  <c r="S3599" i="2" s="1"/>
  <c r="T3599" i="2" s="1"/>
  <c r="U3599" i="2" s="1"/>
  <c r="Q3600" i="2"/>
  <c r="S3600" i="2" s="1"/>
  <c r="T3600" i="2" s="1"/>
  <c r="U3600" i="2" s="1"/>
  <c r="Q3601" i="2"/>
  <c r="S3601" i="2" s="1"/>
  <c r="T3601" i="2" s="1"/>
  <c r="U3601" i="2" s="1"/>
  <c r="Q3602" i="2"/>
  <c r="S3602" i="2" s="1"/>
  <c r="T3602" i="2" s="1"/>
  <c r="U3602" i="2" s="1"/>
  <c r="Q3603" i="2"/>
  <c r="S3603" i="2" s="1"/>
  <c r="T3603" i="2" s="1"/>
  <c r="U3603" i="2" s="1"/>
  <c r="Q3604" i="2"/>
  <c r="S3604" i="2" s="1"/>
  <c r="Q3605" i="2"/>
  <c r="S3605" i="2" s="1"/>
  <c r="Q3606" i="2"/>
  <c r="S3606" i="2" s="1"/>
  <c r="T3606" i="2" s="1"/>
  <c r="U3606" i="2" s="1"/>
  <c r="Q3607" i="2"/>
  <c r="S3607" i="2" s="1"/>
  <c r="Q3608" i="2"/>
  <c r="S3608" i="2" s="1"/>
  <c r="Q3609" i="2"/>
  <c r="S3609" i="2" s="1"/>
  <c r="T3609" i="2" s="1"/>
  <c r="U3609" i="2" s="1"/>
  <c r="Q3610" i="2"/>
  <c r="S3610" i="2" s="1"/>
  <c r="Q3611" i="2"/>
  <c r="S3611" i="2" s="1"/>
  <c r="T3611" i="2" s="1"/>
  <c r="U3611" i="2" s="1"/>
  <c r="Q3612" i="2"/>
  <c r="S3612" i="2" s="1"/>
  <c r="Q3613" i="2"/>
  <c r="S3613" i="2" s="1"/>
  <c r="T3613" i="2" s="1"/>
  <c r="U3613" i="2" s="1"/>
  <c r="Q3614" i="2"/>
  <c r="S3614" i="2" s="1"/>
  <c r="T3614" i="2" s="1"/>
  <c r="U3614" i="2" s="1"/>
  <c r="Q3615" i="2"/>
  <c r="S3615" i="2" s="1"/>
  <c r="T3615" i="2" s="1"/>
  <c r="U3615" i="2" s="1"/>
  <c r="Q3616" i="2"/>
  <c r="S3616" i="2" s="1"/>
  <c r="T3616" i="2" s="1"/>
  <c r="U3616" i="2" s="1"/>
  <c r="Q3617" i="2"/>
  <c r="S3617" i="2" s="1"/>
  <c r="T3617" i="2" s="1"/>
  <c r="U3617" i="2" s="1"/>
  <c r="Q3618" i="2"/>
  <c r="S3618" i="2" s="1"/>
  <c r="T3618" i="2" s="1"/>
  <c r="U3618" i="2" s="1"/>
  <c r="Q3619" i="2"/>
  <c r="S3619" i="2" s="1"/>
  <c r="Q3620" i="2"/>
  <c r="S3620" i="2" s="1"/>
  <c r="T3620" i="2" s="1"/>
  <c r="U3620" i="2" s="1"/>
  <c r="Q3621" i="2"/>
  <c r="S3621" i="2" s="1"/>
  <c r="T3621" i="2" s="1"/>
  <c r="U3621" i="2" s="1"/>
  <c r="Q3622" i="2"/>
  <c r="S3622" i="2" s="1"/>
  <c r="T3622" i="2" s="1"/>
  <c r="U3622" i="2" s="1"/>
  <c r="Q3623" i="2"/>
  <c r="S3623" i="2" s="1"/>
  <c r="Q3624" i="2"/>
  <c r="S3624" i="2" s="1"/>
  <c r="T3624" i="2" s="1"/>
  <c r="U3624" i="2" s="1"/>
  <c r="Q3625" i="2"/>
  <c r="S3625" i="2" s="1"/>
  <c r="Q3626" i="2"/>
  <c r="S3626" i="2" s="1"/>
  <c r="Q3627" i="2"/>
  <c r="S3627" i="2" s="1"/>
  <c r="T3627" i="2" s="1"/>
  <c r="U3627" i="2" s="1"/>
  <c r="Q3628" i="2"/>
  <c r="S3628" i="2" s="1"/>
  <c r="T3628" i="2" s="1"/>
  <c r="U3628" i="2" s="1"/>
  <c r="Q3629" i="2"/>
  <c r="S3629" i="2" s="1"/>
  <c r="Q3630" i="2"/>
  <c r="S3630" i="2" s="1"/>
  <c r="T3630" i="2" s="1"/>
  <c r="U3630" i="2" s="1"/>
  <c r="Q3631" i="2"/>
  <c r="S3631" i="2" s="1"/>
  <c r="T3631" i="2" s="1"/>
  <c r="U3631" i="2" s="1"/>
  <c r="Q3632" i="2"/>
  <c r="S3632" i="2" s="1"/>
  <c r="T3632" i="2" s="1"/>
  <c r="U3632" i="2" s="1"/>
  <c r="Q3633" i="2"/>
  <c r="S3633" i="2" s="1"/>
  <c r="Q3634" i="2"/>
  <c r="S3634" i="2" s="1"/>
  <c r="T3634" i="2" s="1"/>
  <c r="U3634" i="2" s="1"/>
  <c r="Q3635" i="2"/>
  <c r="S3635" i="2" s="1"/>
  <c r="T3635" i="2" s="1"/>
  <c r="U3635" i="2" s="1"/>
  <c r="Q3636" i="2"/>
  <c r="S3636" i="2" s="1"/>
  <c r="T3636" i="2" s="1"/>
  <c r="U3636" i="2" s="1"/>
  <c r="Q3637" i="2"/>
  <c r="S3637" i="2" s="1"/>
  <c r="Q3638" i="2"/>
  <c r="S3638" i="2" s="1"/>
  <c r="Q3639" i="2"/>
  <c r="S3639" i="2" s="1"/>
  <c r="Q3640" i="2"/>
  <c r="S3640" i="2" s="1"/>
  <c r="T3640" i="2" s="1"/>
  <c r="U3640" i="2" s="1"/>
  <c r="Q3641" i="2"/>
  <c r="S3641" i="2" s="1"/>
  <c r="Q3642" i="2"/>
  <c r="S3642" i="2" s="1"/>
  <c r="Q3643" i="2"/>
  <c r="S3643" i="2" s="1"/>
  <c r="T3643" i="2" s="1"/>
  <c r="U3643" i="2" s="1"/>
  <c r="Q3644" i="2"/>
  <c r="S3644" i="2" s="1"/>
  <c r="T3644" i="2" s="1"/>
  <c r="U3644" i="2" s="1"/>
  <c r="Q3645" i="2"/>
  <c r="S3645" i="2" s="1"/>
  <c r="Q3646" i="2"/>
  <c r="S3646" i="2" s="1"/>
  <c r="T3646" i="2" s="1"/>
  <c r="U3646" i="2" s="1"/>
  <c r="Q3647" i="2"/>
  <c r="S3647" i="2" s="1"/>
  <c r="Q3648" i="2"/>
  <c r="S3648" i="2" s="1"/>
  <c r="Q3649" i="2"/>
  <c r="S3649" i="2" s="1"/>
  <c r="T3649" i="2" s="1"/>
  <c r="U3649" i="2" s="1"/>
  <c r="Q3650" i="2"/>
  <c r="S3650" i="2" s="1"/>
  <c r="T3650" i="2" s="1"/>
  <c r="U3650" i="2" s="1"/>
  <c r="Q3651" i="2"/>
  <c r="S3651" i="2" s="1"/>
  <c r="T3651" i="2" s="1"/>
  <c r="U3651" i="2" s="1"/>
  <c r="Q3652" i="2"/>
  <c r="S3652" i="2" s="1"/>
  <c r="T3652" i="2" s="1"/>
  <c r="U3652" i="2" s="1"/>
  <c r="Q3653" i="2"/>
  <c r="S3653" i="2" s="1"/>
  <c r="T3653" i="2" s="1"/>
  <c r="U3653" i="2" s="1"/>
  <c r="Q3654" i="2"/>
  <c r="S3654" i="2" s="1"/>
  <c r="T3654" i="2" s="1"/>
  <c r="U3654" i="2" s="1"/>
  <c r="Q3655" i="2"/>
  <c r="S3655" i="2" s="1"/>
  <c r="Q3656" i="2"/>
  <c r="S3656" i="2" s="1"/>
  <c r="T3656" i="2" s="1"/>
  <c r="U3656" i="2" s="1"/>
  <c r="Q3657" i="2"/>
  <c r="S3657" i="2" s="1"/>
  <c r="Q3658" i="2"/>
  <c r="S3658" i="2" s="1"/>
  <c r="T3658" i="2" s="1"/>
  <c r="U3658" i="2" s="1"/>
  <c r="Q3659" i="2"/>
  <c r="S3659" i="2" s="1"/>
  <c r="Q3660" i="2"/>
  <c r="S3660" i="2" s="1"/>
  <c r="T3660" i="2" s="1"/>
  <c r="U3660" i="2" s="1"/>
  <c r="Q3661" i="2"/>
  <c r="S3661" i="2" s="1"/>
  <c r="T3661" i="2" s="1"/>
  <c r="U3661" i="2" s="1"/>
  <c r="Q3662" i="2"/>
  <c r="S3662" i="2" s="1"/>
  <c r="Q3663" i="2"/>
  <c r="S3663" i="2" s="1"/>
  <c r="T3663" i="2" s="1"/>
  <c r="U3663" i="2" s="1"/>
  <c r="Q3664" i="2"/>
  <c r="S3664" i="2" s="1"/>
  <c r="T3664" i="2" s="1"/>
  <c r="U3664" i="2" s="1"/>
  <c r="Q3665" i="2"/>
  <c r="S3665" i="2" s="1"/>
  <c r="Q3666" i="2"/>
  <c r="S3666" i="2" s="1"/>
  <c r="T3666" i="2" s="1"/>
  <c r="U3666" i="2" s="1"/>
  <c r="Q3667" i="2"/>
  <c r="S3667" i="2" s="1"/>
  <c r="T3667" i="2" s="1"/>
  <c r="U3667" i="2" s="1"/>
  <c r="Q3668" i="2"/>
  <c r="S3668" i="2" s="1"/>
  <c r="Q3669" i="2"/>
  <c r="S3669" i="2" s="1"/>
  <c r="T3669" i="2" s="1"/>
  <c r="U3669" i="2" s="1"/>
  <c r="Q3670" i="2"/>
  <c r="S3670" i="2" s="1"/>
  <c r="T3670" i="2" s="1"/>
  <c r="U3670" i="2" s="1"/>
  <c r="Q3671" i="2"/>
  <c r="S3671" i="2" s="1"/>
  <c r="Q3672" i="2"/>
  <c r="S3672" i="2" s="1"/>
  <c r="T3672" i="2" s="1"/>
  <c r="U3672" i="2" s="1"/>
  <c r="Q3673" i="2"/>
  <c r="S3673" i="2" s="1"/>
  <c r="Q3674" i="2"/>
  <c r="S3674" i="2" s="1"/>
  <c r="T3674" i="2" s="1"/>
  <c r="U3674" i="2" s="1"/>
  <c r="Q3675" i="2"/>
  <c r="S3675" i="2" s="1"/>
  <c r="T3675" i="2" s="1"/>
  <c r="U3675" i="2" s="1"/>
  <c r="Q3676" i="2"/>
  <c r="S3676" i="2" s="1"/>
  <c r="Q3677" i="2"/>
  <c r="S3677" i="2" s="1"/>
  <c r="Q3678" i="2"/>
  <c r="S3678" i="2" s="1"/>
  <c r="T3678" i="2" s="1"/>
  <c r="U3678" i="2" s="1"/>
  <c r="Q3679" i="2"/>
  <c r="S3679" i="2" s="1"/>
  <c r="T3679" i="2" s="1"/>
  <c r="U3679" i="2" s="1"/>
  <c r="Q3680" i="2"/>
  <c r="S3680" i="2" s="1"/>
  <c r="T3680" i="2" s="1"/>
  <c r="U3680" i="2" s="1"/>
  <c r="Q3681" i="2"/>
  <c r="S3681" i="2" s="1"/>
  <c r="T3681" i="2" s="1"/>
  <c r="U3681" i="2" s="1"/>
  <c r="Q3682" i="2"/>
  <c r="S3682" i="2" s="1"/>
  <c r="T3682" i="2" s="1"/>
  <c r="U3682" i="2" s="1"/>
  <c r="Q3683" i="2"/>
  <c r="S3683" i="2" s="1"/>
  <c r="Q3684" i="2"/>
  <c r="S3684" i="2" s="1"/>
  <c r="T3684" i="2" s="1"/>
  <c r="U3684" i="2" s="1"/>
  <c r="Q3685" i="2"/>
  <c r="S3685" i="2" s="1"/>
  <c r="T3685" i="2" s="1"/>
  <c r="U3685" i="2" s="1"/>
  <c r="Q3686" i="2"/>
  <c r="S3686" i="2" s="1"/>
  <c r="T3686" i="2" s="1"/>
  <c r="U3686" i="2" s="1"/>
  <c r="Q3687" i="2"/>
  <c r="S3687" i="2" s="1"/>
  <c r="Q3688" i="2"/>
  <c r="S3688" i="2" s="1"/>
  <c r="T3688" i="2" s="1"/>
  <c r="U3688" i="2" s="1"/>
  <c r="Q3689" i="2"/>
  <c r="S3689" i="2" s="1"/>
  <c r="Q3690" i="2"/>
  <c r="S3690" i="2" s="1"/>
  <c r="T3690" i="2" s="1"/>
  <c r="U3690" i="2" s="1"/>
  <c r="Q3691" i="2"/>
  <c r="S3691" i="2" s="1"/>
  <c r="T3691" i="2" s="1"/>
  <c r="U3691" i="2" s="1"/>
  <c r="Q3692" i="2"/>
  <c r="S3692" i="2" s="1"/>
  <c r="T3692" i="2" s="1"/>
  <c r="U3692" i="2" s="1"/>
  <c r="Q3693" i="2"/>
  <c r="S3693" i="2" s="1"/>
  <c r="Q3694" i="2"/>
  <c r="S3694" i="2" s="1"/>
  <c r="T3694" i="2" s="1"/>
  <c r="U3694" i="2" s="1"/>
  <c r="Q3695" i="2"/>
  <c r="S3695" i="2" s="1"/>
  <c r="T3695" i="2" s="1"/>
  <c r="U3695" i="2" s="1"/>
  <c r="Q3696" i="2"/>
  <c r="S3696" i="2" s="1"/>
  <c r="T3696" i="2" s="1"/>
  <c r="U3696" i="2" s="1"/>
  <c r="Q3697" i="2"/>
  <c r="S3697" i="2" s="1"/>
  <c r="T3697" i="2" s="1"/>
  <c r="U3697" i="2" s="1"/>
  <c r="Q3698" i="2"/>
  <c r="S3698" i="2" s="1"/>
  <c r="Q3699" i="2"/>
  <c r="S3699" i="2" s="1"/>
  <c r="T3699" i="2" s="1"/>
  <c r="U3699" i="2" s="1"/>
  <c r="Q3700" i="2"/>
  <c r="S3700" i="2" s="1"/>
  <c r="Q3701" i="2"/>
  <c r="S3701" i="2" s="1"/>
  <c r="Q3702" i="2"/>
  <c r="S3702" i="2" s="1"/>
  <c r="T3702" i="2" s="1"/>
  <c r="U3702" i="2" s="1"/>
  <c r="Q3703" i="2"/>
  <c r="S3703" i="2" s="1"/>
  <c r="Q3704" i="2"/>
  <c r="S3704" i="2" s="1"/>
  <c r="T3704" i="2" s="1"/>
  <c r="U3704" i="2" s="1"/>
  <c r="Q3705" i="2"/>
  <c r="S3705" i="2" s="1"/>
  <c r="T3705" i="2" s="1"/>
  <c r="U3705" i="2" s="1"/>
  <c r="Q3706" i="2"/>
  <c r="S3706" i="2" s="1"/>
  <c r="T3706" i="2" s="1"/>
  <c r="U3706" i="2" s="1"/>
  <c r="Q3707" i="2"/>
  <c r="S3707" i="2" s="1"/>
  <c r="T3707" i="2" s="1"/>
  <c r="U3707" i="2" s="1"/>
  <c r="Q3708" i="2"/>
  <c r="S3708" i="2" s="1"/>
  <c r="Q3709" i="2"/>
  <c r="S3709" i="2" s="1"/>
  <c r="Q3710" i="2"/>
  <c r="S3710" i="2" s="1"/>
  <c r="Q3711" i="2"/>
  <c r="S3711" i="2" s="1"/>
  <c r="Q3712" i="2"/>
  <c r="S3712" i="2" s="1"/>
  <c r="T3712" i="2" s="1"/>
  <c r="U3712" i="2" s="1"/>
  <c r="Q3713" i="2"/>
  <c r="S3713" i="2" s="1"/>
  <c r="T3713" i="2" s="1"/>
  <c r="U3713" i="2" s="1"/>
  <c r="Q3714" i="2"/>
  <c r="S3714" i="2" s="1"/>
  <c r="T3714" i="2" s="1"/>
  <c r="U3714" i="2" s="1"/>
  <c r="Q3715" i="2"/>
  <c r="S3715" i="2" s="1"/>
  <c r="T3715" i="2" s="1"/>
  <c r="U3715" i="2" s="1"/>
  <c r="Q3716" i="2"/>
  <c r="S3716" i="2" s="1"/>
  <c r="T3716" i="2" s="1"/>
  <c r="U3716" i="2" s="1"/>
  <c r="Q3717" i="2"/>
  <c r="S3717" i="2" s="1"/>
  <c r="T3717" i="2" s="1"/>
  <c r="U3717" i="2" s="1"/>
  <c r="Q3718" i="2"/>
  <c r="S3718" i="2" s="1"/>
  <c r="T3718" i="2" s="1"/>
  <c r="U3718" i="2" s="1"/>
  <c r="Q3719" i="2"/>
  <c r="S3719" i="2" s="1"/>
  <c r="T3719" i="2" s="1"/>
  <c r="U3719" i="2" s="1"/>
  <c r="Q3720" i="2"/>
  <c r="S3720" i="2" s="1"/>
  <c r="T3720" i="2" s="1"/>
  <c r="U3720" i="2" s="1"/>
  <c r="Q3721" i="2"/>
  <c r="S3721" i="2" s="1"/>
  <c r="T3721" i="2" s="1"/>
  <c r="U3721" i="2" s="1"/>
  <c r="Q3722" i="2"/>
  <c r="S3722" i="2" s="1"/>
  <c r="Q3723" i="2"/>
  <c r="S3723" i="2" s="1"/>
  <c r="T3723" i="2" s="1"/>
  <c r="U3723" i="2" s="1"/>
  <c r="Q3724" i="2"/>
  <c r="S3724" i="2" s="1"/>
  <c r="T3724" i="2" s="1"/>
  <c r="U3724" i="2" s="1"/>
  <c r="Q3725" i="2"/>
  <c r="S3725" i="2" s="1"/>
  <c r="T3725" i="2" s="1"/>
  <c r="U3725" i="2" s="1"/>
  <c r="Q3726" i="2"/>
  <c r="S3726" i="2" s="1"/>
  <c r="T3726" i="2" s="1"/>
  <c r="U3726" i="2" s="1"/>
  <c r="Q3727" i="2"/>
  <c r="S3727" i="2" s="1"/>
  <c r="T3727" i="2" s="1"/>
  <c r="U3727" i="2" s="1"/>
  <c r="Q3728" i="2"/>
  <c r="S3728" i="2" s="1"/>
  <c r="Q3729" i="2"/>
  <c r="S3729" i="2" s="1"/>
  <c r="T3729" i="2" s="1"/>
  <c r="U3729" i="2" s="1"/>
  <c r="Q3730" i="2"/>
  <c r="S3730" i="2" s="1"/>
  <c r="Q3731" i="2"/>
  <c r="S3731" i="2" s="1"/>
  <c r="T3731" i="2" s="1"/>
  <c r="U3731" i="2" s="1"/>
  <c r="Q3732" i="2"/>
  <c r="S3732" i="2" s="1"/>
  <c r="T3732" i="2" s="1"/>
  <c r="U3732" i="2" s="1"/>
  <c r="Q3733" i="2"/>
  <c r="S3733" i="2" s="1"/>
  <c r="T3733" i="2" s="1"/>
  <c r="U3733" i="2" s="1"/>
  <c r="Q3734" i="2"/>
  <c r="S3734" i="2" s="1"/>
  <c r="T3734" i="2" s="1"/>
  <c r="U3734" i="2" s="1"/>
  <c r="Q3735" i="2"/>
  <c r="S3735" i="2" s="1"/>
  <c r="Q3736" i="2"/>
  <c r="S3736" i="2" s="1"/>
  <c r="Q3737" i="2"/>
  <c r="S3737" i="2" s="1"/>
  <c r="Q3738" i="2"/>
  <c r="S3738" i="2" s="1"/>
  <c r="T3738" i="2" s="1"/>
  <c r="U3738" i="2" s="1"/>
  <c r="Q3739" i="2"/>
  <c r="S3739" i="2" s="1"/>
  <c r="T3739" i="2" s="1"/>
  <c r="U3739" i="2" s="1"/>
  <c r="Q3740" i="2"/>
  <c r="S3740" i="2" s="1"/>
  <c r="T3740" i="2" s="1"/>
  <c r="U3740" i="2" s="1"/>
  <c r="Q3741" i="2"/>
  <c r="S3741" i="2" s="1"/>
  <c r="Q3742" i="2"/>
  <c r="S3742" i="2" s="1"/>
  <c r="T3742" i="2" s="1"/>
  <c r="U3742" i="2" s="1"/>
  <c r="Q3743" i="2"/>
  <c r="S3743" i="2" s="1"/>
  <c r="T3743" i="2" s="1"/>
  <c r="U3743" i="2" s="1"/>
  <c r="Q3744" i="2"/>
  <c r="S3744" i="2" s="1"/>
  <c r="T3744" i="2" s="1"/>
  <c r="U3744" i="2" s="1"/>
  <c r="Q3745" i="2"/>
  <c r="S3745" i="2" s="1"/>
  <c r="T3745" i="2" s="1"/>
  <c r="U3745" i="2" s="1"/>
  <c r="Q3746" i="2"/>
  <c r="S3746" i="2" s="1"/>
  <c r="Q3747" i="2"/>
  <c r="S3747" i="2" s="1"/>
  <c r="T3747" i="2" s="1"/>
  <c r="U3747" i="2" s="1"/>
  <c r="Q3748" i="2"/>
  <c r="S3748" i="2" s="1"/>
  <c r="T3748" i="2" s="1"/>
  <c r="U3748" i="2" s="1"/>
  <c r="Q3749" i="2"/>
  <c r="S3749" i="2" s="1"/>
  <c r="Q3750" i="2"/>
  <c r="S3750" i="2" s="1"/>
  <c r="T3750" i="2" s="1"/>
  <c r="U3750" i="2" s="1"/>
  <c r="Q3751" i="2"/>
  <c r="S3751" i="2" s="1"/>
  <c r="Q3752" i="2"/>
  <c r="S3752" i="2" s="1"/>
  <c r="T3752" i="2" s="1"/>
  <c r="U3752" i="2" s="1"/>
  <c r="Q3753" i="2"/>
  <c r="S3753" i="2" s="1"/>
  <c r="Q3754" i="2"/>
  <c r="S3754" i="2" s="1"/>
  <c r="T3754" i="2" s="1"/>
  <c r="U3754" i="2" s="1"/>
  <c r="Q3755" i="2"/>
  <c r="S3755" i="2" s="1"/>
  <c r="T3755" i="2" s="1"/>
  <c r="U3755" i="2" s="1"/>
  <c r="Q3756" i="2"/>
  <c r="S3756" i="2" s="1"/>
  <c r="T3756" i="2" s="1"/>
  <c r="U3756" i="2" s="1"/>
  <c r="Q3757" i="2"/>
  <c r="S3757" i="2" s="1"/>
  <c r="T3757" i="2" s="1"/>
  <c r="U3757" i="2" s="1"/>
  <c r="Q3758" i="2"/>
  <c r="S3758" i="2" s="1"/>
  <c r="T3758" i="2" s="1"/>
  <c r="U3758" i="2" s="1"/>
  <c r="Q3759" i="2"/>
  <c r="S3759" i="2" s="1"/>
  <c r="T3759" i="2" s="1"/>
  <c r="U3759" i="2" s="1"/>
  <c r="Q3760" i="2"/>
  <c r="S3760" i="2" s="1"/>
  <c r="Q3761" i="2"/>
  <c r="S3761" i="2" s="1"/>
  <c r="T3761" i="2" s="1"/>
  <c r="U3761" i="2" s="1"/>
  <c r="Q3762" i="2"/>
  <c r="S3762" i="2" s="1"/>
  <c r="T3762" i="2" s="1"/>
  <c r="U3762" i="2" s="1"/>
  <c r="Q3763" i="2"/>
  <c r="S3763" i="2" s="1"/>
  <c r="T3763" i="2" s="1"/>
  <c r="U3763" i="2" s="1"/>
  <c r="Q3764" i="2"/>
  <c r="S3764" i="2" s="1"/>
  <c r="T3764" i="2" s="1"/>
  <c r="U3764" i="2" s="1"/>
  <c r="Q3765" i="2"/>
  <c r="S3765" i="2" s="1"/>
  <c r="T3765" i="2" s="1"/>
  <c r="U3765" i="2" s="1"/>
  <c r="Q3766" i="2"/>
  <c r="S3766" i="2" s="1"/>
  <c r="Q3767" i="2"/>
  <c r="S3767" i="2" s="1"/>
  <c r="Q3768" i="2"/>
  <c r="S3768" i="2" s="1"/>
  <c r="Q3769" i="2"/>
  <c r="S3769" i="2" s="1"/>
  <c r="T3769" i="2" s="1"/>
  <c r="U3769" i="2" s="1"/>
  <c r="Q3770" i="2"/>
  <c r="S3770" i="2" s="1"/>
  <c r="T3770" i="2" s="1"/>
  <c r="U3770" i="2" s="1"/>
  <c r="Q3771" i="2"/>
  <c r="S3771" i="2" s="1"/>
  <c r="T3771" i="2" s="1"/>
  <c r="U3771" i="2" s="1"/>
  <c r="Q3772" i="2"/>
  <c r="S3772" i="2" s="1"/>
  <c r="T3772" i="2" s="1"/>
  <c r="U3772" i="2" s="1"/>
  <c r="Q3773" i="2"/>
  <c r="S3773" i="2" s="1"/>
  <c r="T3773" i="2" s="1"/>
  <c r="U3773" i="2" s="1"/>
  <c r="Q3774" i="2"/>
  <c r="S3774" i="2" s="1"/>
  <c r="Q3775" i="2"/>
  <c r="S3775" i="2" s="1"/>
  <c r="T3775" i="2" s="1"/>
  <c r="U3775" i="2" s="1"/>
  <c r="Q3776" i="2"/>
  <c r="S3776" i="2" s="1"/>
  <c r="T3776" i="2" s="1"/>
  <c r="U3776" i="2" s="1"/>
  <c r="Q3777" i="2"/>
  <c r="S3777" i="2" s="1"/>
  <c r="Q3778" i="2"/>
  <c r="S3778" i="2" s="1"/>
  <c r="T3778" i="2" s="1"/>
  <c r="U3778" i="2" s="1"/>
  <c r="Q3779" i="2"/>
  <c r="S3779" i="2" s="1"/>
  <c r="T3779" i="2" s="1"/>
  <c r="U3779" i="2" s="1"/>
  <c r="Q3780" i="2"/>
  <c r="S3780" i="2" s="1"/>
  <c r="Q3781" i="2"/>
  <c r="S3781" i="2" s="1"/>
  <c r="Q3782" i="2"/>
  <c r="S3782" i="2" s="1"/>
  <c r="T3782" i="2" s="1"/>
  <c r="U3782" i="2" s="1"/>
  <c r="Q3783" i="2"/>
  <c r="S3783" i="2" s="1"/>
  <c r="T3783" i="2" s="1"/>
  <c r="U3783" i="2" s="1"/>
  <c r="Q3784" i="2"/>
  <c r="S3784" i="2" s="1"/>
  <c r="T3784" i="2" s="1"/>
  <c r="U3784" i="2" s="1"/>
  <c r="Q3785" i="2"/>
  <c r="S3785" i="2" s="1"/>
  <c r="T3785" i="2" s="1"/>
  <c r="U3785" i="2" s="1"/>
  <c r="Q3786" i="2"/>
  <c r="S3786" i="2" s="1"/>
  <c r="Q3787" i="2"/>
  <c r="S3787" i="2" s="1"/>
  <c r="T3787" i="2" s="1"/>
  <c r="U3787" i="2" s="1"/>
  <c r="Q3788" i="2"/>
  <c r="S3788" i="2" s="1"/>
  <c r="T3788" i="2" s="1"/>
  <c r="U3788" i="2" s="1"/>
  <c r="Q3789" i="2"/>
  <c r="S3789" i="2" s="1"/>
  <c r="Q3790" i="2"/>
  <c r="S3790" i="2" s="1"/>
  <c r="T3790" i="2" s="1"/>
  <c r="U3790" i="2" s="1"/>
  <c r="Q3791" i="2"/>
  <c r="S3791" i="2" s="1"/>
  <c r="Q3792" i="2"/>
  <c r="S3792" i="2" s="1"/>
  <c r="T3792" i="2" s="1"/>
  <c r="U3792" i="2" s="1"/>
  <c r="Q3793" i="2"/>
  <c r="S3793" i="2" s="1"/>
  <c r="Q3794" i="2"/>
  <c r="S3794" i="2" s="1"/>
  <c r="T3794" i="2" s="1"/>
  <c r="U3794" i="2" s="1"/>
  <c r="Q3795" i="2"/>
  <c r="S3795" i="2" s="1"/>
  <c r="Q3796" i="2"/>
  <c r="S3796" i="2" s="1"/>
  <c r="T3796" i="2" s="1"/>
  <c r="U3796" i="2" s="1"/>
  <c r="Q3797" i="2"/>
  <c r="S3797" i="2" s="1"/>
  <c r="Q3798" i="2"/>
  <c r="S3798" i="2" s="1"/>
  <c r="T3798" i="2" s="1"/>
  <c r="U3798" i="2" s="1"/>
  <c r="Q3799" i="2"/>
  <c r="S3799" i="2" s="1"/>
  <c r="T3799" i="2" s="1"/>
  <c r="U3799" i="2" s="1"/>
  <c r="Q3800" i="2"/>
  <c r="S3800" i="2" s="1"/>
  <c r="T3800" i="2" s="1"/>
  <c r="U3800" i="2" s="1"/>
  <c r="Q3801" i="2"/>
  <c r="S3801" i="2" s="1"/>
  <c r="T3801" i="2" s="1"/>
  <c r="U3801" i="2" s="1"/>
  <c r="Q3802" i="2"/>
  <c r="S3802" i="2" s="1"/>
  <c r="Q3803" i="2"/>
  <c r="S3803" i="2" s="1"/>
  <c r="T3803" i="2" s="1"/>
  <c r="U3803" i="2" s="1"/>
  <c r="Q3804" i="2"/>
  <c r="S3804" i="2" s="1"/>
  <c r="Q3805" i="2"/>
  <c r="S3805" i="2" s="1"/>
  <c r="T3805" i="2" s="1"/>
  <c r="U3805" i="2" s="1"/>
  <c r="Q3806" i="2"/>
  <c r="S3806" i="2" s="1"/>
  <c r="T3806" i="2" s="1"/>
  <c r="U3806" i="2" s="1"/>
  <c r="Q3807" i="2"/>
  <c r="S3807" i="2" s="1"/>
  <c r="T3807" i="2" s="1"/>
  <c r="U3807" i="2" s="1"/>
  <c r="Q3808" i="2"/>
  <c r="S3808" i="2" s="1"/>
  <c r="T3808" i="2" s="1"/>
  <c r="U3808" i="2" s="1"/>
  <c r="Q3809" i="2"/>
  <c r="S3809" i="2" s="1"/>
  <c r="T3809" i="2" s="1"/>
  <c r="U3809" i="2" s="1"/>
  <c r="Q3810" i="2"/>
  <c r="S3810" i="2" s="1"/>
  <c r="T3810" i="2" s="1"/>
  <c r="U3810" i="2" s="1"/>
  <c r="Q3811" i="2"/>
  <c r="S3811" i="2" s="1"/>
  <c r="T3811" i="2" s="1"/>
  <c r="U3811" i="2" s="1"/>
  <c r="Q3812" i="2"/>
  <c r="S3812" i="2" s="1"/>
  <c r="T3812" i="2" s="1"/>
  <c r="U3812" i="2" s="1"/>
  <c r="Q3813" i="2"/>
  <c r="S3813" i="2" s="1"/>
  <c r="T3813" i="2" s="1"/>
  <c r="U3813" i="2" s="1"/>
  <c r="Q3814" i="2"/>
  <c r="S3814" i="2" s="1"/>
  <c r="T3814" i="2" s="1"/>
  <c r="U3814" i="2" s="1"/>
  <c r="Q3815" i="2"/>
  <c r="S3815" i="2" s="1"/>
  <c r="Q3816" i="2"/>
  <c r="S3816" i="2" s="1"/>
  <c r="T3816" i="2" s="1"/>
  <c r="U3816" i="2" s="1"/>
  <c r="Q3817" i="2"/>
  <c r="S3817" i="2" s="1"/>
  <c r="T3817" i="2" s="1"/>
  <c r="U3817" i="2" s="1"/>
  <c r="Q3818" i="2"/>
  <c r="S3818" i="2" s="1"/>
  <c r="T3818" i="2" s="1"/>
  <c r="U3818" i="2" s="1"/>
  <c r="Q3819" i="2"/>
  <c r="S3819" i="2" s="1"/>
  <c r="T3819" i="2" s="1"/>
  <c r="U3819" i="2" s="1"/>
  <c r="Q3820" i="2"/>
  <c r="S3820" i="2" s="1"/>
  <c r="T3820" i="2" s="1"/>
  <c r="U3820" i="2" s="1"/>
  <c r="Q3821" i="2"/>
  <c r="S3821" i="2" s="1"/>
  <c r="Q3822" i="2"/>
  <c r="S3822" i="2" s="1"/>
  <c r="T3822" i="2" s="1"/>
  <c r="U3822" i="2" s="1"/>
  <c r="Q3823" i="2"/>
  <c r="S3823" i="2" s="1"/>
  <c r="T3823" i="2" s="1"/>
  <c r="U3823" i="2" s="1"/>
  <c r="Q3824" i="2"/>
  <c r="S3824" i="2" s="1"/>
  <c r="T3824" i="2" s="1"/>
  <c r="U3824" i="2" s="1"/>
  <c r="Q3825" i="2"/>
  <c r="S3825" i="2" s="1"/>
  <c r="Q3826" i="2"/>
  <c r="S3826" i="2" s="1"/>
  <c r="T3826" i="2" s="1"/>
  <c r="U3826" i="2" s="1"/>
  <c r="Q3827" i="2"/>
  <c r="S3827" i="2" s="1"/>
  <c r="T3827" i="2" s="1"/>
  <c r="U3827" i="2" s="1"/>
  <c r="Q3828" i="2"/>
  <c r="S3828" i="2" s="1"/>
  <c r="Q3829" i="2"/>
  <c r="S3829" i="2" s="1"/>
  <c r="T3829" i="2" s="1"/>
  <c r="U3829" i="2" s="1"/>
  <c r="Q3830" i="2"/>
  <c r="S3830" i="2" s="1"/>
  <c r="T3830" i="2" s="1"/>
  <c r="U3830" i="2" s="1"/>
  <c r="Q3831" i="2"/>
  <c r="S3831" i="2" s="1"/>
  <c r="T3831" i="2" s="1"/>
  <c r="U3831" i="2" s="1"/>
  <c r="Q3832" i="2"/>
  <c r="S3832" i="2" s="1"/>
  <c r="T3832" i="2" s="1"/>
  <c r="U3832" i="2" s="1"/>
  <c r="Q3833" i="2"/>
  <c r="S3833" i="2" s="1"/>
  <c r="T3833" i="2" s="1"/>
  <c r="U3833" i="2" s="1"/>
  <c r="Q3834" i="2"/>
  <c r="S3834" i="2" s="1"/>
  <c r="T3834" i="2" s="1"/>
  <c r="U3834" i="2" s="1"/>
  <c r="Q3835" i="2"/>
  <c r="S3835" i="2" s="1"/>
  <c r="T3835" i="2" s="1"/>
  <c r="U3835" i="2" s="1"/>
  <c r="Q3836" i="2"/>
  <c r="S3836" i="2" s="1"/>
  <c r="T3836" i="2" s="1"/>
  <c r="U3836" i="2" s="1"/>
  <c r="Q3837" i="2"/>
  <c r="S3837" i="2" s="1"/>
  <c r="Q3838" i="2"/>
  <c r="S3838" i="2" s="1"/>
  <c r="T3838" i="2" s="1"/>
  <c r="U3838" i="2" s="1"/>
  <c r="Q3839" i="2"/>
  <c r="S3839" i="2" s="1"/>
  <c r="Q3840" i="2"/>
  <c r="S3840" i="2" s="1"/>
  <c r="T3840" i="2" s="1"/>
  <c r="U3840" i="2" s="1"/>
  <c r="Q3841" i="2"/>
  <c r="S3841" i="2" s="1"/>
  <c r="T3841" i="2" s="1"/>
  <c r="U3841" i="2" s="1"/>
  <c r="Q3842" i="2"/>
  <c r="S3842" i="2" s="1"/>
  <c r="T3842" i="2" s="1"/>
  <c r="U3842" i="2" s="1"/>
  <c r="Q3843" i="2"/>
  <c r="S3843" i="2" s="1"/>
  <c r="T3843" i="2" s="1"/>
  <c r="U3843" i="2" s="1"/>
  <c r="Q3844" i="2"/>
  <c r="S3844" i="2" s="1"/>
  <c r="T3844" i="2" s="1"/>
  <c r="U3844" i="2" s="1"/>
  <c r="Q3845" i="2"/>
  <c r="S3845" i="2" s="1"/>
  <c r="T3845" i="2" s="1"/>
  <c r="U3845" i="2" s="1"/>
  <c r="Q3846" i="2"/>
  <c r="S3846" i="2" s="1"/>
  <c r="T3846" i="2" s="1"/>
  <c r="U3846" i="2" s="1"/>
  <c r="Q3847" i="2"/>
  <c r="S3847" i="2" s="1"/>
  <c r="T3847" i="2" s="1"/>
  <c r="U3847" i="2" s="1"/>
  <c r="Q3848" i="2"/>
  <c r="S3848" i="2" s="1"/>
  <c r="Q3849" i="2"/>
  <c r="S3849" i="2" s="1"/>
  <c r="T3849" i="2" s="1"/>
  <c r="U3849" i="2" s="1"/>
  <c r="Q3850" i="2"/>
  <c r="S3850" i="2" s="1"/>
  <c r="Q3851" i="2"/>
  <c r="S3851" i="2" s="1"/>
  <c r="T3851" i="2" s="1"/>
  <c r="U3851" i="2" s="1"/>
  <c r="Q3852" i="2"/>
  <c r="S3852" i="2" s="1"/>
  <c r="T3852" i="2" s="1"/>
  <c r="U3852" i="2" s="1"/>
  <c r="Q3853" i="2"/>
  <c r="S3853" i="2" s="1"/>
  <c r="T3853" i="2" s="1"/>
  <c r="U3853" i="2" s="1"/>
  <c r="Q3854" i="2"/>
  <c r="S3854" i="2" s="1"/>
  <c r="T3854" i="2" s="1"/>
  <c r="U3854" i="2" s="1"/>
  <c r="Q3855" i="2"/>
  <c r="S3855" i="2" s="1"/>
  <c r="T3855" i="2" s="1"/>
  <c r="U3855" i="2" s="1"/>
  <c r="Q3856" i="2"/>
  <c r="S3856" i="2" s="1"/>
  <c r="T3856" i="2" s="1"/>
  <c r="U3856" i="2" s="1"/>
  <c r="Q3857" i="2"/>
  <c r="S3857" i="2" s="1"/>
  <c r="Q3858" i="2"/>
  <c r="S3858" i="2" s="1"/>
  <c r="Q3859" i="2"/>
  <c r="S3859" i="2" s="1"/>
  <c r="T3859" i="2" s="1"/>
  <c r="U3859" i="2" s="1"/>
  <c r="Q3860" i="2"/>
  <c r="S3860" i="2" s="1"/>
  <c r="T3860" i="2" s="1"/>
  <c r="U3860" i="2" s="1"/>
  <c r="Q3861" i="2"/>
  <c r="S3861" i="2" s="1"/>
  <c r="T3861" i="2" s="1"/>
  <c r="U3861" i="2" s="1"/>
  <c r="Q3862" i="2"/>
  <c r="S3862" i="2" s="1"/>
  <c r="T3862" i="2" s="1"/>
  <c r="U3862" i="2" s="1"/>
  <c r="Q3863" i="2"/>
  <c r="S3863" i="2" s="1"/>
  <c r="Q3864" i="2"/>
  <c r="S3864" i="2" s="1"/>
  <c r="Q3865" i="2"/>
  <c r="S3865" i="2" s="1"/>
  <c r="T3865" i="2" s="1"/>
  <c r="U3865" i="2" s="1"/>
  <c r="Q3866" i="2"/>
  <c r="S3866" i="2" s="1"/>
  <c r="T3866" i="2" s="1"/>
  <c r="U3866" i="2" s="1"/>
  <c r="Q3867" i="2"/>
  <c r="S3867" i="2" s="1"/>
  <c r="Q3868" i="2"/>
  <c r="S3868" i="2" s="1"/>
  <c r="T3868" i="2" s="1"/>
  <c r="U3868" i="2" s="1"/>
  <c r="Q3869" i="2"/>
  <c r="S3869" i="2" s="1"/>
  <c r="T3869" i="2" s="1"/>
  <c r="U3869" i="2" s="1"/>
  <c r="Q3870" i="2"/>
  <c r="S3870" i="2" s="1"/>
  <c r="Q3871" i="2"/>
  <c r="S3871" i="2" s="1"/>
  <c r="Q3872" i="2"/>
  <c r="S3872" i="2" s="1"/>
  <c r="T3872" i="2" s="1"/>
  <c r="U3872" i="2" s="1"/>
  <c r="Q3873" i="2"/>
  <c r="S3873" i="2" s="1"/>
  <c r="Q3874" i="2"/>
  <c r="S3874" i="2" s="1"/>
  <c r="Q3875" i="2"/>
  <c r="S3875" i="2" s="1"/>
  <c r="T3875" i="2" s="1"/>
  <c r="U3875" i="2" s="1"/>
  <c r="Q3876" i="2"/>
  <c r="S3876" i="2" s="1"/>
  <c r="T3876" i="2" s="1"/>
  <c r="U3876" i="2" s="1"/>
  <c r="Q3877" i="2"/>
  <c r="S3877" i="2" s="1"/>
  <c r="T3877" i="2" s="1"/>
  <c r="U3877" i="2" s="1"/>
  <c r="Q3878" i="2"/>
  <c r="S3878" i="2" s="1"/>
  <c r="T3878" i="2" s="1"/>
  <c r="U3878" i="2" s="1"/>
  <c r="Q3879" i="2"/>
  <c r="S3879" i="2" s="1"/>
  <c r="T3879" i="2" s="1"/>
  <c r="U3879" i="2" s="1"/>
  <c r="Q3880" i="2"/>
  <c r="S3880" i="2" s="1"/>
  <c r="T3880" i="2" s="1"/>
  <c r="U3880" i="2" s="1"/>
  <c r="Q3881" i="2"/>
  <c r="S3881" i="2" s="1"/>
  <c r="T3881" i="2" s="1"/>
  <c r="U3881" i="2" s="1"/>
  <c r="Q3882" i="2"/>
  <c r="S3882" i="2" s="1"/>
  <c r="T3882" i="2" s="1"/>
  <c r="U3882" i="2" s="1"/>
  <c r="Q3883" i="2"/>
  <c r="S3883" i="2" s="1"/>
  <c r="T3883" i="2" s="1"/>
  <c r="U3883" i="2" s="1"/>
  <c r="Q3884" i="2"/>
  <c r="S3884" i="2" s="1"/>
  <c r="T3884" i="2" s="1"/>
  <c r="U3884" i="2" s="1"/>
  <c r="Q3885" i="2"/>
  <c r="S3885" i="2" s="1"/>
  <c r="T3885" i="2" s="1"/>
  <c r="U3885" i="2" s="1"/>
  <c r="Q3886" i="2"/>
  <c r="S3886" i="2" s="1"/>
  <c r="T3886" i="2" s="1"/>
  <c r="U3886" i="2" s="1"/>
  <c r="Q3887" i="2"/>
  <c r="S3887" i="2" s="1"/>
  <c r="T3887" i="2" s="1"/>
  <c r="U3887" i="2" s="1"/>
  <c r="Q3888" i="2"/>
  <c r="S3888" i="2" s="1"/>
  <c r="T3888" i="2" s="1"/>
  <c r="U3888" i="2" s="1"/>
  <c r="Q3889" i="2"/>
  <c r="S3889" i="2" s="1"/>
  <c r="T3889" i="2" s="1"/>
  <c r="U3889" i="2" s="1"/>
  <c r="Q3890" i="2"/>
  <c r="S3890" i="2" s="1"/>
  <c r="T3890" i="2" s="1"/>
  <c r="U3890" i="2" s="1"/>
  <c r="Q3891" i="2"/>
  <c r="S3891" i="2" s="1"/>
  <c r="T3891" i="2" s="1"/>
  <c r="U3891" i="2" s="1"/>
  <c r="Q3892" i="2"/>
  <c r="S3892" i="2" s="1"/>
  <c r="T3892" i="2" s="1"/>
  <c r="U3892" i="2" s="1"/>
  <c r="Q3893" i="2"/>
  <c r="S3893" i="2" s="1"/>
  <c r="T3893" i="2" s="1"/>
  <c r="U3893" i="2" s="1"/>
  <c r="Q3894" i="2"/>
  <c r="S3894" i="2" s="1"/>
  <c r="T3894" i="2" s="1"/>
  <c r="U3894" i="2" s="1"/>
  <c r="Q3895" i="2"/>
  <c r="S3895" i="2" s="1"/>
  <c r="Q3896" i="2"/>
  <c r="S3896" i="2" s="1"/>
  <c r="T3896" i="2" s="1"/>
  <c r="U3896" i="2" s="1"/>
  <c r="Q3897" i="2"/>
  <c r="S3897" i="2" s="1"/>
  <c r="T3897" i="2" s="1"/>
  <c r="U3897" i="2" s="1"/>
  <c r="Q3898" i="2"/>
  <c r="S3898" i="2" s="1"/>
  <c r="T3898" i="2" s="1"/>
  <c r="U3898" i="2" s="1"/>
  <c r="Q3899" i="2"/>
  <c r="S3899" i="2" s="1"/>
  <c r="Q3900" i="2"/>
  <c r="S3900" i="2" s="1"/>
  <c r="T3900" i="2" s="1"/>
  <c r="U3900" i="2" s="1"/>
  <c r="Q3901" i="2"/>
  <c r="S3901" i="2" s="1"/>
  <c r="Q3902" i="2"/>
  <c r="S3902" i="2" s="1"/>
  <c r="T3902" i="2" s="1"/>
  <c r="U3902" i="2" s="1"/>
  <c r="Q3903" i="2"/>
  <c r="S3903" i="2" s="1"/>
  <c r="T3903" i="2" s="1"/>
  <c r="U3903" i="2" s="1"/>
  <c r="Q3904" i="2"/>
  <c r="S3904" i="2" s="1"/>
  <c r="T3904" i="2" s="1"/>
  <c r="U3904" i="2" s="1"/>
  <c r="Q3905" i="2"/>
  <c r="S3905" i="2" s="1"/>
  <c r="Q3906" i="2"/>
  <c r="S3906" i="2" s="1"/>
  <c r="T3906" i="2" s="1"/>
  <c r="U3906" i="2" s="1"/>
  <c r="Q3907" i="2"/>
  <c r="S3907" i="2" s="1"/>
  <c r="T3907" i="2" s="1"/>
  <c r="U3907" i="2" s="1"/>
  <c r="Q3908" i="2"/>
  <c r="S3908" i="2" s="1"/>
  <c r="T3908" i="2" s="1"/>
  <c r="U3908" i="2" s="1"/>
  <c r="Q3909" i="2"/>
  <c r="S3909" i="2" s="1"/>
  <c r="T3909" i="2" s="1"/>
  <c r="U3909" i="2" s="1"/>
  <c r="Q3910" i="2"/>
  <c r="S3910" i="2" s="1"/>
  <c r="T3910" i="2" s="1"/>
  <c r="U3910" i="2" s="1"/>
  <c r="Q3911" i="2"/>
  <c r="S3911" i="2" s="1"/>
  <c r="T3911" i="2" s="1"/>
  <c r="U3911" i="2" s="1"/>
  <c r="Q3912" i="2"/>
  <c r="S3912" i="2" s="1"/>
  <c r="Q3913" i="2"/>
  <c r="S3913" i="2" s="1"/>
  <c r="Q3914" i="2"/>
  <c r="S3914" i="2" s="1"/>
  <c r="T3914" i="2" s="1"/>
  <c r="U3914" i="2" s="1"/>
  <c r="Q3915" i="2"/>
  <c r="S3915" i="2" s="1"/>
  <c r="Q3916" i="2"/>
  <c r="S3916" i="2" s="1"/>
  <c r="T3916" i="2" s="1"/>
  <c r="U3916" i="2" s="1"/>
  <c r="Q3917" i="2"/>
  <c r="S3917" i="2" s="1"/>
  <c r="T3917" i="2" s="1"/>
  <c r="U3917" i="2" s="1"/>
  <c r="Q3918" i="2"/>
  <c r="S3918" i="2" s="1"/>
  <c r="Q3919" i="2"/>
  <c r="S3919" i="2" s="1"/>
  <c r="T3919" i="2" s="1"/>
  <c r="U3919" i="2" s="1"/>
  <c r="Q3920" i="2"/>
  <c r="S3920" i="2" s="1"/>
  <c r="T3920" i="2" s="1"/>
  <c r="U3920" i="2" s="1"/>
  <c r="Q3921" i="2"/>
  <c r="S3921" i="2" s="1"/>
  <c r="T3921" i="2" s="1"/>
  <c r="U3921" i="2" s="1"/>
  <c r="Q3922" i="2"/>
  <c r="S3922" i="2" s="1"/>
  <c r="T3922" i="2" s="1"/>
  <c r="U3922" i="2" s="1"/>
  <c r="Q3923" i="2"/>
  <c r="S3923" i="2" s="1"/>
  <c r="T3923" i="2" s="1"/>
  <c r="U3923" i="2" s="1"/>
  <c r="Q3924" i="2"/>
  <c r="S3924" i="2" s="1"/>
  <c r="T3924" i="2" s="1"/>
  <c r="U3924" i="2" s="1"/>
  <c r="Q3925" i="2"/>
  <c r="S3925" i="2" s="1"/>
  <c r="T3925" i="2" s="1"/>
  <c r="U3925" i="2" s="1"/>
  <c r="Q3926" i="2"/>
  <c r="S3926" i="2" s="1"/>
  <c r="Q3927" i="2"/>
  <c r="S3927" i="2" s="1"/>
  <c r="Q3928" i="2"/>
  <c r="S3928" i="2" s="1"/>
  <c r="Q3929" i="2"/>
  <c r="S3929" i="2" s="1"/>
  <c r="T3929" i="2" s="1"/>
  <c r="U3929" i="2" s="1"/>
  <c r="Q3930" i="2"/>
  <c r="S3930" i="2" s="1"/>
  <c r="T3930" i="2" s="1"/>
  <c r="U3930" i="2" s="1"/>
  <c r="Q3931" i="2"/>
  <c r="S3931" i="2" s="1"/>
  <c r="Q3932" i="2"/>
  <c r="S3932" i="2" s="1"/>
  <c r="T3932" i="2" s="1"/>
  <c r="U3932" i="2" s="1"/>
  <c r="Q3933" i="2"/>
  <c r="S3933" i="2" s="1"/>
  <c r="T3933" i="2" s="1"/>
  <c r="U3933" i="2" s="1"/>
  <c r="Q3934" i="2"/>
  <c r="S3934" i="2" s="1"/>
  <c r="T3934" i="2" s="1"/>
  <c r="U3934" i="2" s="1"/>
  <c r="Q3935" i="2"/>
  <c r="S3935" i="2" s="1"/>
  <c r="Q3936" i="2"/>
  <c r="S3936" i="2" s="1"/>
  <c r="T3936" i="2" s="1"/>
  <c r="U3936" i="2" s="1"/>
  <c r="Q3937" i="2"/>
  <c r="S3937" i="2" s="1"/>
  <c r="Q3938" i="2"/>
  <c r="S3938" i="2" s="1"/>
  <c r="T3938" i="2" s="1"/>
  <c r="U3938" i="2" s="1"/>
  <c r="Q3939" i="2"/>
  <c r="S3939" i="2" s="1"/>
  <c r="T3939" i="2" s="1"/>
  <c r="U3939" i="2" s="1"/>
  <c r="Q3940" i="2"/>
  <c r="S3940" i="2" s="1"/>
  <c r="T3940" i="2" s="1"/>
  <c r="U3940" i="2" s="1"/>
  <c r="Q3941" i="2"/>
  <c r="S3941" i="2" s="1"/>
  <c r="Q3942" i="2"/>
  <c r="S3942" i="2" s="1"/>
  <c r="T3942" i="2" s="1"/>
  <c r="U3942" i="2" s="1"/>
  <c r="Q3943" i="2"/>
  <c r="S3943" i="2" s="1"/>
  <c r="T3943" i="2" s="1"/>
  <c r="U3943" i="2" s="1"/>
  <c r="Q3944" i="2"/>
  <c r="S3944" i="2" s="1"/>
  <c r="T3944" i="2" s="1"/>
  <c r="U3944" i="2" s="1"/>
  <c r="Q3945" i="2"/>
  <c r="S3945" i="2" s="1"/>
  <c r="Q3946" i="2"/>
  <c r="S3946" i="2" s="1"/>
  <c r="Q3947" i="2"/>
  <c r="S3947" i="2" s="1"/>
  <c r="T3947" i="2" s="1"/>
  <c r="U3947" i="2" s="1"/>
  <c r="Q3948" i="2"/>
  <c r="S3948" i="2" s="1"/>
  <c r="Q3949" i="2"/>
  <c r="S3949" i="2" s="1"/>
  <c r="T3949" i="2" s="1"/>
  <c r="U3949" i="2" s="1"/>
  <c r="Q3950" i="2"/>
  <c r="S3950" i="2" s="1"/>
  <c r="T3950" i="2" s="1"/>
  <c r="U3950" i="2" s="1"/>
  <c r="Q3951" i="2"/>
  <c r="S3951" i="2" s="1"/>
  <c r="T3951" i="2" s="1"/>
  <c r="U3951" i="2" s="1"/>
  <c r="Q3952" i="2"/>
  <c r="S3952" i="2" s="1"/>
  <c r="Q3953" i="2"/>
  <c r="S3953" i="2" s="1"/>
  <c r="T3953" i="2" s="1"/>
  <c r="U3953" i="2" s="1"/>
  <c r="Q3954" i="2"/>
  <c r="S3954" i="2" s="1"/>
  <c r="T3954" i="2" s="1"/>
  <c r="U3954" i="2" s="1"/>
  <c r="Q3955" i="2"/>
  <c r="S3955" i="2" s="1"/>
  <c r="T3955" i="2" s="1"/>
  <c r="U3955" i="2" s="1"/>
  <c r="Q3956" i="2"/>
  <c r="S3956" i="2" s="1"/>
  <c r="T3956" i="2" s="1"/>
  <c r="U3956" i="2" s="1"/>
  <c r="Q3957" i="2"/>
  <c r="S3957" i="2" s="1"/>
  <c r="T3957" i="2" s="1"/>
  <c r="U3957" i="2" s="1"/>
  <c r="Q3958" i="2"/>
  <c r="S3958" i="2" s="1"/>
  <c r="T3958" i="2" s="1"/>
  <c r="U3958" i="2" s="1"/>
  <c r="Q3959" i="2"/>
  <c r="S3959" i="2" s="1"/>
  <c r="T3959" i="2" s="1"/>
  <c r="U3959" i="2" s="1"/>
  <c r="Q3960" i="2"/>
  <c r="S3960" i="2" s="1"/>
  <c r="Q3961" i="2"/>
  <c r="S3961" i="2" s="1"/>
  <c r="T3961" i="2" s="1"/>
  <c r="U3961" i="2" s="1"/>
  <c r="Q3962" i="2"/>
  <c r="S3962" i="2" s="1"/>
  <c r="T3962" i="2" s="1"/>
  <c r="U3962" i="2" s="1"/>
  <c r="Q3963" i="2"/>
  <c r="S3963" i="2" s="1"/>
  <c r="T3963" i="2" s="1"/>
  <c r="U3963" i="2" s="1"/>
  <c r="Q3964" i="2"/>
  <c r="S3964" i="2" s="1"/>
  <c r="T3964" i="2" s="1"/>
  <c r="U3964" i="2" s="1"/>
  <c r="Q3965" i="2"/>
  <c r="S3965" i="2" s="1"/>
  <c r="T3965" i="2" s="1"/>
  <c r="U3965" i="2" s="1"/>
  <c r="Q3966" i="2"/>
  <c r="S3966" i="2" s="1"/>
  <c r="T3966" i="2" s="1"/>
  <c r="U3966" i="2" s="1"/>
  <c r="Q3967" i="2"/>
  <c r="S3967" i="2" s="1"/>
  <c r="T3967" i="2" s="1"/>
  <c r="U3967" i="2" s="1"/>
  <c r="Q3968" i="2"/>
  <c r="S3968" i="2" s="1"/>
  <c r="T3968" i="2" s="1"/>
  <c r="U3968" i="2" s="1"/>
  <c r="Q3969" i="2"/>
  <c r="S3969" i="2" s="1"/>
  <c r="T3969" i="2" s="1"/>
  <c r="U3969" i="2" s="1"/>
  <c r="Q3970" i="2"/>
  <c r="S3970" i="2" s="1"/>
  <c r="T3970" i="2" s="1"/>
  <c r="U3970" i="2" s="1"/>
  <c r="Q3971" i="2"/>
  <c r="S3971" i="2" s="1"/>
  <c r="T3971" i="2" s="1"/>
  <c r="U3971" i="2" s="1"/>
  <c r="Q3972" i="2"/>
  <c r="S3972" i="2" s="1"/>
  <c r="T3972" i="2" s="1"/>
  <c r="U3972" i="2" s="1"/>
  <c r="Q3973" i="2"/>
  <c r="S3973" i="2" s="1"/>
  <c r="T3973" i="2" s="1"/>
  <c r="U3973" i="2" s="1"/>
  <c r="Q3974" i="2"/>
  <c r="S3974" i="2" s="1"/>
  <c r="T3974" i="2" s="1"/>
  <c r="U3974" i="2" s="1"/>
  <c r="Q3975" i="2"/>
  <c r="S3975" i="2" s="1"/>
  <c r="T3975" i="2" s="1"/>
  <c r="U3975" i="2" s="1"/>
  <c r="Q3976" i="2"/>
  <c r="S3976" i="2" s="1"/>
  <c r="T3976" i="2" s="1"/>
  <c r="U3976" i="2" s="1"/>
  <c r="Q3977" i="2"/>
  <c r="S3977" i="2" s="1"/>
  <c r="T3977" i="2" s="1"/>
  <c r="U3977" i="2" s="1"/>
  <c r="Q3978" i="2"/>
  <c r="S3978" i="2" s="1"/>
  <c r="T3978" i="2" s="1"/>
  <c r="U3978" i="2" s="1"/>
  <c r="Q3979" i="2"/>
  <c r="S3979" i="2" s="1"/>
  <c r="Q3980" i="2"/>
  <c r="S3980" i="2" s="1"/>
  <c r="T3980" i="2" s="1"/>
  <c r="U3980" i="2" s="1"/>
  <c r="Q3981" i="2"/>
  <c r="S3981" i="2" s="1"/>
  <c r="T3981" i="2" s="1"/>
  <c r="U3981" i="2" s="1"/>
  <c r="Q3982" i="2"/>
  <c r="S3982" i="2" s="1"/>
  <c r="T3982" i="2" s="1"/>
  <c r="U3982" i="2" s="1"/>
  <c r="Q3983" i="2"/>
  <c r="S3983" i="2" s="1"/>
  <c r="T3983" i="2" s="1"/>
  <c r="U3983" i="2" s="1"/>
  <c r="Q3984" i="2"/>
  <c r="S3984" i="2" s="1"/>
  <c r="Q3985" i="2"/>
  <c r="S3985" i="2" s="1"/>
  <c r="T3985" i="2" s="1"/>
  <c r="U3985" i="2" s="1"/>
  <c r="Q3986" i="2"/>
  <c r="S3986" i="2" s="1"/>
  <c r="T3986" i="2" s="1"/>
  <c r="U3986" i="2" s="1"/>
  <c r="Q3987" i="2"/>
  <c r="S3987" i="2" s="1"/>
  <c r="T3987" i="2" s="1"/>
  <c r="U3987" i="2" s="1"/>
  <c r="Q3988" i="2"/>
  <c r="S3988" i="2" s="1"/>
  <c r="T3988" i="2" s="1"/>
  <c r="U3988" i="2" s="1"/>
  <c r="Q3989" i="2"/>
  <c r="S3989" i="2" s="1"/>
  <c r="T3989" i="2" s="1"/>
  <c r="U3989" i="2" s="1"/>
  <c r="Q3990" i="2"/>
  <c r="S3990" i="2" s="1"/>
  <c r="T3990" i="2" s="1"/>
  <c r="U3990" i="2" s="1"/>
  <c r="Q3991" i="2"/>
  <c r="S3991" i="2" s="1"/>
  <c r="T3991" i="2" s="1"/>
  <c r="U3991" i="2" s="1"/>
  <c r="Q3992" i="2"/>
  <c r="S3992" i="2" s="1"/>
  <c r="Q3993" i="2"/>
  <c r="S3993" i="2" s="1"/>
  <c r="Q3994" i="2"/>
  <c r="S3994" i="2" s="1"/>
  <c r="T3994" i="2" s="1"/>
  <c r="U3994" i="2" s="1"/>
  <c r="Q3995" i="2"/>
  <c r="S3995" i="2" s="1"/>
  <c r="T3995" i="2" s="1"/>
  <c r="U3995" i="2" s="1"/>
  <c r="Q3996" i="2"/>
  <c r="S3996" i="2" s="1"/>
  <c r="T3996" i="2" s="1"/>
  <c r="U3996" i="2" s="1"/>
  <c r="Q3997" i="2"/>
  <c r="S3997" i="2" s="1"/>
  <c r="Q3998" i="2"/>
  <c r="S3998" i="2" s="1"/>
  <c r="T3998" i="2" s="1"/>
  <c r="U3998" i="2" s="1"/>
  <c r="Q3999" i="2"/>
  <c r="S3999" i="2" s="1"/>
  <c r="T3999" i="2" s="1"/>
  <c r="U3999" i="2" s="1"/>
  <c r="Q4000" i="2"/>
  <c r="S4000" i="2" s="1"/>
  <c r="T4000" i="2" s="1"/>
  <c r="U4000" i="2" s="1"/>
  <c r="Q4001" i="2"/>
  <c r="S4001" i="2" s="1"/>
  <c r="Q4002" i="2"/>
  <c r="S4002" i="2" s="1"/>
  <c r="Q4003" i="2"/>
  <c r="S4003" i="2" s="1"/>
  <c r="T4003" i="2" s="1"/>
  <c r="U4003" i="2" s="1"/>
  <c r="Q4004" i="2"/>
  <c r="S4004" i="2" s="1"/>
  <c r="Q4005" i="2"/>
  <c r="S4005" i="2" s="1"/>
  <c r="T4005" i="2" s="1"/>
  <c r="U4005" i="2" s="1"/>
  <c r="Q4006" i="2"/>
  <c r="S4006" i="2" s="1"/>
  <c r="T4006" i="2" s="1"/>
  <c r="U4006" i="2" s="1"/>
  <c r="Q4007" i="2"/>
  <c r="S4007" i="2" s="1"/>
  <c r="T4007" i="2" s="1"/>
  <c r="U4007" i="2" s="1"/>
  <c r="Q4008" i="2"/>
  <c r="S4008" i="2" s="1"/>
  <c r="T4008" i="2" s="1"/>
  <c r="U4008" i="2" s="1"/>
  <c r="Q4009" i="2"/>
  <c r="S4009" i="2" s="1"/>
  <c r="Q4010" i="2"/>
  <c r="S4010" i="2" s="1"/>
  <c r="Q4011" i="2"/>
  <c r="S4011" i="2" s="1"/>
  <c r="Q4012" i="2"/>
  <c r="S4012" i="2" s="1"/>
  <c r="T4012" i="2" s="1"/>
  <c r="U4012" i="2" s="1"/>
  <c r="Q4013" i="2"/>
  <c r="S4013" i="2" s="1"/>
  <c r="T4013" i="2" s="1"/>
  <c r="U4013" i="2" s="1"/>
  <c r="Q4014" i="2"/>
  <c r="S4014" i="2" s="1"/>
  <c r="T4014" i="2" s="1"/>
  <c r="U4014" i="2" s="1"/>
  <c r="Q4015" i="2"/>
  <c r="S4015" i="2" s="1"/>
  <c r="Q4016" i="2"/>
  <c r="S4016" i="2" s="1"/>
  <c r="T4016" i="2" s="1"/>
  <c r="U4016" i="2" s="1"/>
  <c r="Q4017" i="2"/>
  <c r="S4017" i="2" s="1"/>
  <c r="T4017" i="2" s="1"/>
  <c r="U4017" i="2" s="1"/>
  <c r="Q4018" i="2"/>
  <c r="S4018" i="2" s="1"/>
  <c r="Q4019" i="2"/>
  <c r="S4019" i="2" s="1"/>
  <c r="Q4020" i="2"/>
  <c r="S4020" i="2" s="1"/>
  <c r="T4020" i="2" s="1"/>
  <c r="U4020" i="2" s="1"/>
  <c r="Q4021" i="2"/>
  <c r="S4021" i="2" s="1"/>
  <c r="T4021" i="2" s="1"/>
  <c r="U4021" i="2" s="1"/>
  <c r="Q4022" i="2"/>
  <c r="S4022" i="2" s="1"/>
  <c r="T4022" i="2" s="1"/>
  <c r="U4022" i="2" s="1"/>
  <c r="Q4023" i="2"/>
  <c r="S4023" i="2" s="1"/>
  <c r="T4023" i="2" s="1"/>
  <c r="U4023" i="2" s="1"/>
  <c r="Q4024" i="2"/>
  <c r="S4024" i="2" s="1"/>
  <c r="T4024" i="2" s="1"/>
  <c r="U4024" i="2" s="1"/>
  <c r="Q4025" i="2"/>
  <c r="S4025" i="2" s="1"/>
  <c r="Q4026" i="2"/>
  <c r="S4026" i="2" s="1"/>
  <c r="Q4027" i="2"/>
  <c r="S4027" i="2" s="1"/>
  <c r="T4027" i="2" s="1"/>
  <c r="U4027" i="2" s="1"/>
  <c r="Q4028" i="2"/>
  <c r="S4028" i="2" s="1"/>
  <c r="T4028" i="2" s="1"/>
  <c r="U4028" i="2" s="1"/>
  <c r="Q4029" i="2"/>
  <c r="S4029" i="2" s="1"/>
  <c r="T4029" i="2" s="1"/>
  <c r="U4029" i="2" s="1"/>
  <c r="Q4030" i="2"/>
  <c r="S4030" i="2" s="1"/>
  <c r="Q4031" i="2"/>
  <c r="S4031" i="2" s="1"/>
  <c r="Q4032" i="2"/>
  <c r="S4032" i="2" s="1"/>
  <c r="Q4033" i="2"/>
  <c r="S4033" i="2" s="1"/>
  <c r="T4033" i="2" s="1"/>
  <c r="U4033" i="2" s="1"/>
  <c r="Q4034" i="2"/>
  <c r="S4034" i="2" s="1"/>
  <c r="T4034" i="2" s="1"/>
  <c r="U4034" i="2" s="1"/>
  <c r="Q4035" i="2"/>
  <c r="S4035" i="2" s="1"/>
  <c r="T4035" i="2" s="1"/>
  <c r="U4035" i="2" s="1"/>
  <c r="Q4036" i="2"/>
  <c r="S4036" i="2" s="1"/>
  <c r="Q4037" i="2"/>
  <c r="S4037" i="2" s="1"/>
  <c r="T4037" i="2" s="1"/>
  <c r="U4037" i="2" s="1"/>
  <c r="Q4038" i="2"/>
  <c r="S4038" i="2" s="1"/>
  <c r="Q4039" i="2"/>
  <c r="S4039" i="2" s="1"/>
  <c r="T4039" i="2" s="1"/>
  <c r="U4039" i="2" s="1"/>
  <c r="Q4040" i="2"/>
  <c r="S4040" i="2" s="1"/>
  <c r="Q4041" i="2"/>
  <c r="S4041" i="2" s="1"/>
  <c r="T4041" i="2" s="1"/>
  <c r="U4041" i="2" s="1"/>
  <c r="Q4042" i="2"/>
  <c r="S4042" i="2" s="1"/>
  <c r="T4042" i="2" s="1"/>
  <c r="U4042" i="2" s="1"/>
  <c r="Q4043" i="2"/>
  <c r="S4043" i="2" s="1"/>
  <c r="T4043" i="2" s="1"/>
  <c r="U4043" i="2" s="1"/>
  <c r="Q4044" i="2"/>
  <c r="S4044" i="2" s="1"/>
  <c r="Q4045" i="2"/>
  <c r="S4045" i="2" s="1"/>
  <c r="T4045" i="2" s="1"/>
  <c r="U4045" i="2" s="1"/>
  <c r="Q4046" i="2"/>
  <c r="S4046" i="2" s="1"/>
  <c r="T4046" i="2" s="1"/>
  <c r="U4046" i="2" s="1"/>
  <c r="Q4047" i="2"/>
  <c r="S4047" i="2" s="1"/>
  <c r="T4047" i="2" s="1"/>
  <c r="U4047" i="2" s="1"/>
  <c r="Q4048" i="2"/>
  <c r="S4048" i="2" s="1"/>
  <c r="T4048" i="2" s="1"/>
  <c r="U4048" i="2" s="1"/>
  <c r="Q4049" i="2"/>
  <c r="S4049" i="2" s="1"/>
  <c r="T4049" i="2" s="1"/>
  <c r="U4049" i="2" s="1"/>
  <c r="Q4050" i="2"/>
  <c r="S4050" i="2" s="1"/>
  <c r="T4050" i="2" s="1"/>
  <c r="U4050" i="2" s="1"/>
  <c r="Q4051" i="2"/>
  <c r="S4051" i="2" s="1"/>
  <c r="T4051" i="2" s="1"/>
  <c r="U4051" i="2" s="1"/>
  <c r="Q4052" i="2"/>
  <c r="S4052" i="2" s="1"/>
  <c r="T4052" i="2" s="1"/>
  <c r="U4052" i="2" s="1"/>
  <c r="Q4053" i="2"/>
  <c r="S4053" i="2" s="1"/>
  <c r="T4053" i="2" s="1"/>
  <c r="U4053" i="2" s="1"/>
  <c r="Q4054" i="2"/>
  <c r="S4054" i="2" s="1"/>
  <c r="T4054" i="2" s="1"/>
  <c r="U4054" i="2" s="1"/>
  <c r="Q4055" i="2"/>
  <c r="S4055" i="2" s="1"/>
  <c r="T4055" i="2" s="1"/>
  <c r="U4055" i="2" s="1"/>
  <c r="Q4056" i="2"/>
  <c r="S4056" i="2" s="1"/>
  <c r="T4056" i="2" s="1"/>
  <c r="U4056" i="2" s="1"/>
  <c r="Q4057" i="2"/>
  <c r="S4057" i="2" s="1"/>
  <c r="T4057" i="2" s="1"/>
  <c r="U4057" i="2" s="1"/>
  <c r="Q4058" i="2"/>
  <c r="S4058" i="2" s="1"/>
  <c r="T4058" i="2" s="1"/>
  <c r="U4058" i="2" s="1"/>
  <c r="Q4059" i="2"/>
  <c r="S4059" i="2" s="1"/>
  <c r="Q4060" i="2"/>
  <c r="S4060" i="2" s="1"/>
  <c r="T4060" i="2" s="1"/>
  <c r="U4060" i="2" s="1"/>
  <c r="Q4061" i="2"/>
  <c r="S4061" i="2" s="1"/>
  <c r="T4061" i="2" s="1"/>
  <c r="U4061" i="2" s="1"/>
  <c r="Q4062" i="2"/>
  <c r="S4062" i="2" s="1"/>
  <c r="T4062" i="2" s="1"/>
  <c r="U4062" i="2" s="1"/>
  <c r="Q4063" i="2"/>
  <c r="S4063" i="2" s="1"/>
  <c r="T4063" i="2" s="1"/>
  <c r="U4063" i="2" s="1"/>
  <c r="Q4064" i="2"/>
  <c r="S4064" i="2" s="1"/>
  <c r="T4064" i="2" s="1"/>
  <c r="U4064" i="2" s="1"/>
  <c r="Q4065" i="2"/>
  <c r="S4065" i="2" s="1"/>
  <c r="T4065" i="2" s="1"/>
  <c r="U4065" i="2" s="1"/>
  <c r="Q4066" i="2"/>
  <c r="S4066" i="2" s="1"/>
  <c r="T4066" i="2" s="1"/>
  <c r="U4066" i="2" s="1"/>
  <c r="Q4067" i="2"/>
  <c r="S4067" i="2" s="1"/>
  <c r="Q4068" i="2"/>
  <c r="S4068" i="2" s="1"/>
  <c r="T4068" i="2" s="1"/>
  <c r="U4068" i="2" s="1"/>
  <c r="Q4069" i="2"/>
  <c r="S4069" i="2" s="1"/>
  <c r="Q4070" i="2"/>
  <c r="S4070" i="2" s="1"/>
  <c r="T4070" i="2" s="1"/>
  <c r="U4070" i="2" s="1"/>
  <c r="Q4071" i="2"/>
  <c r="S4071" i="2" s="1"/>
  <c r="Q4072" i="2"/>
  <c r="S4072" i="2" s="1"/>
  <c r="T4072" i="2" s="1"/>
  <c r="U4072" i="2" s="1"/>
  <c r="Q4073" i="2"/>
  <c r="S4073" i="2" s="1"/>
  <c r="T4073" i="2" s="1"/>
  <c r="U4073" i="2" s="1"/>
  <c r="Q4074" i="2"/>
  <c r="S4074" i="2" s="1"/>
  <c r="T4074" i="2" s="1"/>
  <c r="U4074" i="2" s="1"/>
  <c r="Q4075" i="2"/>
  <c r="S4075" i="2" s="1"/>
  <c r="T4075" i="2" s="1"/>
  <c r="U4075" i="2" s="1"/>
  <c r="Q4076" i="2"/>
  <c r="S4076" i="2" s="1"/>
  <c r="T4076" i="2" s="1"/>
  <c r="U4076" i="2" s="1"/>
  <c r="Q4077" i="2"/>
  <c r="S4077" i="2" s="1"/>
  <c r="T4077" i="2" s="1"/>
  <c r="U4077" i="2" s="1"/>
  <c r="Q4078" i="2"/>
  <c r="S4078" i="2" s="1"/>
  <c r="T4078" i="2" s="1"/>
  <c r="U4078" i="2" s="1"/>
  <c r="Q4079" i="2"/>
  <c r="S4079" i="2" s="1"/>
  <c r="T4079" i="2" s="1"/>
  <c r="U4079" i="2" s="1"/>
  <c r="Q4080" i="2"/>
  <c r="S4080" i="2" s="1"/>
  <c r="T4080" i="2" s="1"/>
  <c r="U4080" i="2" s="1"/>
  <c r="Q4081" i="2"/>
  <c r="S4081" i="2" s="1"/>
  <c r="Q4082" i="2"/>
  <c r="S4082" i="2" s="1"/>
  <c r="T4082" i="2" s="1"/>
  <c r="U4082" i="2" s="1"/>
  <c r="Q4083" i="2"/>
  <c r="S4083" i="2" s="1"/>
  <c r="Q4084" i="2"/>
  <c r="S4084" i="2" s="1"/>
  <c r="T4084" i="2" s="1"/>
  <c r="U4084" i="2" s="1"/>
  <c r="Q4085" i="2"/>
  <c r="S4085" i="2" s="1"/>
  <c r="T4085" i="2" s="1"/>
  <c r="U4085" i="2" s="1"/>
  <c r="Q4086" i="2"/>
  <c r="S4086" i="2" s="1"/>
  <c r="Q4087" i="2"/>
  <c r="S4087" i="2" s="1"/>
  <c r="Q4088" i="2"/>
  <c r="S4088" i="2" s="1"/>
  <c r="T4088" i="2" s="1"/>
  <c r="U4088" i="2" s="1"/>
  <c r="Q4089" i="2"/>
  <c r="S4089" i="2" s="1"/>
  <c r="T4089" i="2" s="1"/>
  <c r="U4089" i="2" s="1"/>
  <c r="Q4090" i="2"/>
  <c r="S4090" i="2" s="1"/>
  <c r="T4090" i="2" s="1"/>
  <c r="U4090" i="2" s="1"/>
  <c r="Q4091" i="2"/>
  <c r="S4091" i="2" s="1"/>
  <c r="T4091" i="2" s="1"/>
  <c r="U4091" i="2" s="1"/>
  <c r="Q4092" i="2"/>
  <c r="S4092" i="2" s="1"/>
  <c r="T4092" i="2" s="1"/>
  <c r="U4092" i="2" s="1"/>
  <c r="Q4093" i="2"/>
  <c r="S4093" i="2" s="1"/>
  <c r="T4093" i="2" s="1"/>
  <c r="U4093" i="2" s="1"/>
  <c r="Q4094" i="2"/>
  <c r="S4094" i="2" s="1"/>
  <c r="T4094" i="2" s="1"/>
  <c r="U4094" i="2" s="1"/>
  <c r="Q4095" i="2"/>
  <c r="S4095" i="2" s="1"/>
  <c r="Q4096" i="2"/>
  <c r="S4096" i="2" s="1"/>
  <c r="T4096" i="2" s="1"/>
  <c r="U4096" i="2" s="1"/>
  <c r="Q4097" i="2"/>
  <c r="S4097" i="2" s="1"/>
  <c r="T4097" i="2" s="1"/>
  <c r="U4097" i="2" s="1"/>
  <c r="Q4098" i="2"/>
  <c r="S4098" i="2" s="1"/>
  <c r="T4098" i="2" s="1"/>
  <c r="U4098" i="2" s="1"/>
  <c r="Q4099" i="2"/>
  <c r="S4099" i="2" s="1"/>
  <c r="T4099" i="2" s="1"/>
  <c r="U4099" i="2" s="1"/>
  <c r="Q4100" i="2"/>
  <c r="S4100" i="2" s="1"/>
  <c r="T4100" i="2" s="1"/>
  <c r="U4100" i="2" s="1"/>
  <c r="Q4101" i="2"/>
  <c r="S4101" i="2" s="1"/>
  <c r="T4101" i="2" s="1"/>
  <c r="U4101" i="2" s="1"/>
  <c r="Q4102" i="2"/>
  <c r="S4102" i="2" s="1"/>
  <c r="T4102" i="2" s="1"/>
  <c r="U4102" i="2" s="1"/>
  <c r="Q4103" i="2"/>
  <c r="S4103" i="2" s="1"/>
  <c r="T4103" i="2" s="1"/>
  <c r="U4103" i="2" s="1"/>
  <c r="Q4104" i="2"/>
  <c r="S4104" i="2" s="1"/>
  <c r="T4104" i="2" s="1"/>
  <c r="U4104" i="2" s="1"/>
  <c r="Q4105" i="2"/>
  <c r="S4105" i="2" s="1"/>
  <c r="T4105" i="2" s="1"/>
  <c r="U4105" i="2" s="1"/>
  <c r="Q4106" i="2"/>
  <c r="S4106" i="2" s="1"/>
  <c r="Q4107" i="2"/>
  <c r="S4107" i="2" s="1"/>
  <c r="T4107" i="2" s="1"/>
  <c r="U4107" i="2" s="1"/>
  <c r="Q4108" i="2"/>
  <c r="S4108" i="2" s="1"/>
  <c r="Q4109" i="2"/>
  <c r="S4109" i="2" s="1"/>
  <c r="Q4110" i="2"/>
  <c r="S4110" i="2" s="1"/>
  <c r="T4110" i="2" s="1"/>
  <c r="U4110" i="2" s="1"/>
  <c r="Q4111" i="2"/>
  <c r="S4111" i="2" s="1"/>
  <c r="T4111" i="2" s="1"/>
  <c r="U4111" i="2" s="1"/>
  <c r="Q4112" i="2"/>
  <c r="S4112" i="2" s="1"/>
  <c r="T4112" i="2" s="1"/>
  <c r="U4112" i="2" s="1"/>
  <c r="Q4113" i="2"/>
  <c r="S4113" i="2" s="1"/>
  <c r="T4113" i="2" s="1"/>
  <c r="U4113" i="2" s="1"/>
  <c r="Q4114" i="2"/>
  <c r="S4114" i="2" s="1"/>
  <c r="T4114" i="2" s="1"/>
  <c r="U4114" i="2" s="1"/>
  <c r="Q4115" i="2"/>
  <c r="S4115" i="2" s="1"/>
  <c r="T4115" i="2" s="1"/>
  <c r="U4115" i="2" s="1"/>
  <c r="Q4116" i="2"/>
  <c r="S4116" i="2" s="1"/>
  <c r="T4116" i="2" s="1"/>
  <c r="U4116" i="2" s="1"/>
  <c r="Q4117" i="2"/>
  <c r="S4117" i="2" s="1"/>
  <c r="T4117" i="2" s="1"/>
  <c r="U4117" i="2" s="1"/>
  <c r="Q4118" i="2"/>
  <c r="S4118" i="2" s="1"/>
  <c r="T4118" i="2" s="1"/>
  <c r="U4118" i="2" s="1"/>
  <c r="Q4119" i="2"/>
  <c r="S4119" i="2" s="1"/>
  <c r="T4119" i="2" s="1"/>
  <c r="U4119" i="2" s="1"/>
  <c r="Q4120" i="2"/>
  <c r="S4120" i="2" s="1"/>
  <c r="T4120" i="2" s="1"/>
  <c r="U4120" i="2" s="1"/>
  <c r="Q4121" i="2"/>
  <c r="S4121" i="2" s="1"/>
  <c r="T4121" i="2" s="1"/>
  <c r="U4121" i="2" s="1"/>
  <c r="Q4122" i="2"/>
  <c r="S4122" i="2" s="1"/>
  <c r="T4122" i="2" s="1"/>
  <c r="U4122" i="2" s="1"/>
  <c r="Q4123" i="2"/>
  <c r="S4123" i="2" s="1"/>
  <c r="T4123" i="2" s="1"/>
  <c r="U4123" i="2" s="1"/>
  <c r="Q4124" i="2"/>
  <c r="S4124" i="2" s="1"/>
  <c r="T4124" i="2" s="1"/>
  <c r="U4124" i="2" s="1"/>
  <c r="Q4125" i="2"/>
  <c r="S4125" i="2" s="1"/>
  <c r="T4125" i="2" s="1"/>
  <c r="U4125" i="2" s="1"/>
  <c r="Q4126" i="2"/>
  <c r="S4126" i="2" s="1"/>
  <c r="T4126" i="2" s="1"/>
  <c r="U4126" i="2" s="1"/>
  <c r="Q4127" i="2"/>
  <c r="S4127" i="2" s="1"/>
  <c r="T4127" i="2" s="1"/>
  <c r="U4127" i="2" s="1"/>
  <c r="Q4128" i="2"/>
  <c r="S4128" i="2" s="1"/>
  <c r="T4128" i="2" s="1"/>
  <c r="U4128" i="2" s="1"/>
  <c r="Q4129" i="2"/>
  <c r="S4129" i="2" s="1"/>
  <c r="T4129" i="2" s="1"/>
  <c r="U4129" i="2" s="1"/>
  <c r="Q4130" i="2"/>
  <c r="S4130" i="2" s="1"/>
  <c r="Q4131" i="2"/>
  <c r="S4131" i="2" s="1"/>
  <c r="T4131" i="2" s="1"/>
  <c r="U4131" i="2" s="1"/>
  <c r="Q4132" i="2"/>
  <c r="S4132" i="2" s="1"/>
  <c r="T4132" i="2" s="1"/>
  <c r="U4132" i="2" s="1"/>
  <c r="Q4133" i="2"/>
  <c r="S4133" i="2" s="1"/>
  <c r="T4133" i="2" s="1"/>
  <c r="U4133" i="2" s="1"/>
  <c r="Q4134" i="2"/>
  <c r="S4134" i="2" s="1"/>
  <c r="T4134" i="2" s="1"/>
  <c r="U4134" i="2" s="1"/>
  <c r="Q4135" i="2"/>
  <c r="S4135" i="2" s="1"/>
  <c r="T4135" i="2" s="1"/>
  <c r="U4135" i="2" s="1"/>
  <c r="Q4136" i="2"/>
  <c r="S4136" i="2" s="1"/>
  <c r="Q4137" i="2"/>
  <c r="S4137" i="2" s="1"/>
  <c r="T4137" i="2" s="1"/>
  <c r="U4137" i="2" s="1"/>
  <c r="Q4138" i="2"/>
  <c r="S4138" i="2" s="1"/>
  <c r="Q4139" i="2"/>
  <c r="S4139" i="2" s="1"/>
  <c r="T4139" i="2" s="1"/>
  <c r="U4139" i="2" s="1"/>
  <c r="Q4140" i="2"/>
  <c r="S4140" i="2" s="1"/>
  <c r="Q4141" i="2"/>
  <c r="S4141" i="2" s="1"/>
  <c r="T4141" i="2" s="1"/>
  <c r="U4141" i="2" s="1"/>
  <c r="Q4142" i="2"/>
  <c r="S4142" i="2" s="1"/>
  <c r="T4142" i="2" s="1"/>
  <c r="U4142" i="2" s="1"/>
  <c r="Q4143" i="2"/>
  <c r="S4143" i="2" s="1"/>
  <c r="T4143" i="2" s="1"/>
  <c r="U4143" i="2" s="1"/>
  <c r="Q4144" i="2"/>
  <c r="S4144" i="2" s="1"/>
  <c r="T4144" i="2" s="1"/>
  <c r="U4144" i="2" s="1"/>
  <c r="Q4145" i="2"/>
  <c r="S4145" i="2" s="1"/>
  <c r="T4145" i="2" s="1"/>
  <c r="U4145" i="2" s="1"/>
  <c r="Q4146" i="2"/>
  <c r="S4146" i="2" s="1"/>
  <c r="T4146" i="2" s="1"/>
  <c r="U4146" i="2" s="1"/>
  <c r="Q4147" i="2"/>
  <c r="S4147" i="2" s="1"/>
  <c r="T4147" i="2" s="1"/>
  <c r="U4147" i="2" s="1"/>
  <c r="Q4148" i="2"/>
  <c r="S4148" i="2" s="1"/>
  <c r="T4148" i="2" s="1"/>
  <c r="U4148" i="2" s="1"/>
  <c r="Q4149" i="2"/>
  <c r="S4149" i="2" s="1"/>
  <c r="T4149" i="2" s="1"/>
  <c r="U4149" i="2" s="1"/>
  <c r="Q4150" i="2"/>
  <c r="S4150" i="2" s="1"/>
  <c r="T4150" i="2" s="1"/>
  <c r="U4150" i="2" s="1"/>
  <c r="Q4151" i="2"/>
  <c r="S4151" i="2" s="1"/>
  <c r="T4151" i="2" s="1"/>
  <c r="U4151" i="2" s="1"/>
  <c r="Q4152" i="2"/>
  <c r="S4152" i="2" s="1"/>
  <c r="Q4153" i="2"/>
  <c r="S4153" i="2" s="1"/>
  <c r="T4153" i="2" s="1"/>
  <c r="U4153" i="2" s="1"/>
  <c r="Q4154" i="2"/>
  <c r="S4154" i="2" s="1"/>
  <c r="T4154" i="2" s="1"/>
  <c r="U4154" i="2" s="1"/>
  <c r="Q4155" i="2"/>
  <c r="S4155" i="2" s="1"/>
  <c r="T4155" i="2" s="1"/>
  <c r="U4155" i="2" s="1"/>
  <c r="Q4156" i="2"/>
  <c r="S4156" i="2" s="1"/>
  <c r="Q4157" i="2"/>
  <c r="S4157" i="2" s="1"/>
  <c r="T4157" i="2" s="1"/>
  <c r="U4157" i="2" s="1"/>
  <c r="Q4158" i="2"/>
  <c r="S4158" i="2" s="1"/>
  <c r="T4158" i="2" s="1"/>
  <c r="U4158" i="2" s="1"/>
  <c r="Q4159" i="2"/>
  <c r="S4159" i="2" s="1"/>
  <c r="T4159" i="2" s="1"/>
  <c r="U4159" i="2" s="1"/>
  <c r="Q4160" i="2"/>
  <c r="S4160" i="2" s="1"/>
  <c r="T4160" i="2" s="1"/>
  <c r="U4160" i="2" s="1"/>
  <c r="Q4161" i="2"/>
  <c r="S4161" i="2" s="1"/>
  <c r="T4161" i="2" s="1"/>
  <c r="U4161" i="2" s="1"/>
  <c r="Q4162" i="2"/>
  <c r="S4162" i="2" s="1"/>
  <c r="T4162" i="2" s="1"/>
  <c r="U4162" i="2" s="1"/>
  <c r="Q4163" i="2"/>
  <c r="S4163" i="2" s="1"/>
  <c r="T4163" i="2" s="1"/>
  <c r="U4163" i="2" s="1"/>
  <c r="Q4164" i="2"/>
  <c r="S4164" i="2" s="1"/>
  <c r="T4164" i="2" s="1"/>
  <c r="U4164" i="2" s="1"/>
  <c r="Q4165" i="2"/>
  <c r="S4165" i="2" s="1"/>
  <c r="Q4166" i="2"/>
  <c r="S4166" i="2" s="1"/>
  <c r="T4166" i="2" s="1"/>
  <c r="U4166" i="2" s="1"/>
  <c r="Q4167" i="2"/>
  <c r="S4167" i="2" s="1"/>
  <c r="T4167" i="2" s="1"/>
  <c r="U4167" i="2" s="1"/>
  <c r="Q4168" i="2"/>
  <c r="S4168" i="2" s="1"/>
  <c r="Q4169" i="2"/>
  <c r="S4169" i="2" s="1"/>
  <c r="T4169" i="2" s="1"/>
  <c r="U4169" i="2" s="1"/>
  <c r="Q4170" i="2"/>
  <c r="S4170" i="2" s="1"/>
  <c r="T4170" i="2" s="1"/>
  <c r="U4170" i="2" s="1"/>
  <c r="Q4171" i="2"/>
  <c r="S4171" i="2" s="1"/>
  <c r="T4171" i="2" s="1"/>
  <c r="U4171" i="2" s="1"/>
  <c r="Q4172" i="2"/>
  <c r="S4172" i="2" s="1"/>
  <c r="Q4173" i="2"/>
  <c r="S4173" i="2" s="1"/>
  <c r="T4173" i="2" s="1"/>
  <c r="U4173" i="2" s="1"/>
  <c r="Q4174" i="2"/>
  <c r="S4174" i="2" s="1"/>
  <c r="T4174" i="2" s="1"/>
  <c r="U4174" i="2" s="1"/>
  <c r="Q4175" i="2"/>
  <c r="S4175" i="2" s="1"/>
  <c r="Q4176" i="2"/>
  <c r="S4176" i="2" s="1"/>
  <c r="T4176" i="2" s="1"/>
  <c r="U4176" i="2" s="1"/>
  <c r="Q4177" i="2"/>
  <c r="S4177" i="2" s="1"/>
  <c r="T4177" i="2" s="1"/>
  <c r="U4177" i="2" s="1"/>
  <c r="Q4178" i="2"/>
  <c r="S4178" i="2" s="1"/>
  <c r="Q4179" i="2"/>
  <c r="S4179" i="2" s="1"/>
  <c r="T4179" i="2" s="1"/>
  <c r="U4179" i="2" s="1"/>
  <c r="Q4180" i="2"/>
  <c r="S4180" i="2" s="1"/>
  <c r="T4180" i="2" s="1"/>
  <c r="U4180" i="2" s="1"/>
  <c r="Q4181" i="2"/>
  <c r="S4181" i="2" s="1"/>
  <c r="T4181" i="2" s="1"/>
  <c r="U4181" i="2" s="1"/>
  <c r="Q4182" i="2"/>
  <c r="S4182" i="2" s="1"/>
  <c r="Q4183" i="2"/>
  <c r="S4183" i="2" s="1"/>
  <c r="T4183" i="2" s="1"/>
  <c r="U4183" i="2" s="1"/>
  <c r="Q4184" i="2"/>
  <c r="S4184" i="2" s="1"/>
  <c r="T4184" i="2" s="1"/>
  <c r="U4184" i="2" s="1"/>
  <c r="Q4185" i="2"/>
  <c r="S4185" i="2" s="1"/>
  <c r="T4185" i="2" s="1"/>
  <c r="U4185" i="2" s="1"/>
  <c r="Q4186" i="2"/>
  <c r="S4186" i="2" s="1"/>
  <c r="T4186" i="2" s="1"/>
  <c r="U4186" i="2" s="1"/>
  <c r="Q4187" i="2"/>
  <c r="S4187" i="2" s="1"/>
  <c r="T4187" i="2" s="1"/>
  <c r="U4187" i="2" s="1"/>
  <c r="Q4188" i="2"/>
  <c r="S4188" i="2" s="1"/>
  <c r="T4188" i="2" s="1"/>
  <c r="U4188" i="2" s="1"/>
  <c r="Q4189" i="2"/>
  <c r="S4189" i="2" s="1"/>
  <c r="Q4190" i="2"/>
  <c r="S4190" i="2" s="1"/>
  <c r="T4190" i="2" s="1"/>
  <c r="U4190" i="2" s="1"/>
  <c r="Q4191" i="2"/>
  <c r="S4191" i="2" s="1"/>
  <c r="T4191" i="2" s="1"/>
  <c r="U4191" i="2" s="1"/>
  <c r="Q4192" i="2"/>
  <c r="S4192" i="2" s="1"/>
  <c r="T4192" i="2" s="1"/>
  <c r="U4192" i="2" s="1"/>
  <c r="Q4193" i="2"/>
  <c r="S4193" i="2" s="1"/>
  <c r="T4193" i="2" s="1"/>
  <c r="U4193" i="2" s="1"/>
  <c r="Q4194" i="2"/>
  <c r="S4194" i="2" s="1"/>
  <c r="T4194" i="2" s="1"/>
  <c r="U4194" i="2" s="1"/>
  <c r="Q4195" i="2"/>
  <c r="S4195" i="2" s="1"/>
  <c r="T4195" i="2" s="1"/>
  <c r="U4195" i="2" s="1"/>
  <c r="Q4196" i="2"/>
  <c r="S4196" i="2" s="1"/>
  <c r="T4196" i="2" s="1"/>
  <c r="U4196" i="2" s="1"/>
  <c r="Q4197" i="2"/>
  <c r="S4197" i="2" s="1"/>
  <c r="Q4198" i="2"/>
  <c r="S4198" i="2" s="1"/>
  <c r="T4198" i="2" s="1"/>
  <c r="U4198" i="2" s="1"/>
  <c r="Q4199" i="2"/>
  <c r="S4199" i="2" s="1"/>
  <c r="T4199" i="2" s="1"/>
  <c r="U4199" i="2" s="1"/>
  <c r="Q4200" i="2"/>
  <c r="S4200" i="2" s="1"/>
  <c r="T4200" i="2" s="1"/>
  <c r="U4200" i="2" s="1"/>
  <c r="Q4201" i="2"/>
  <c r="S4201" i="2" s="1"/>
  <c r="Q4202" i="2"/>
  <c r="S4202" i="2" s="1"/>
  <c r="T4202" i="2" s="1"/>
  <c r="U4202" i="2" s="1"/>
  <c r="Q4203" i="2"/>
  <c r="S4203" i="2" s="1"/>
  <c r="T4203" i="2" s="1"/>
  <c r="U4203" i="2" s="1"/>
  <c r="Q4204" i="2"/>
  <c r="S4204" i="2" s="1"/>
  <c r="Q4205" i="2"/>
  <c r="S4205" i="2" s="1"/>
  <c r="Q4206" i="2"/>
  <c r="S4206" i="2" s="1"/>
  <c r="T4206" i="2" s="1"/>
  <c r="U4206" i="2" s="1"/>
  <c r="Q4207" i="2"/>
  <c r="S4207" i="2" s="1"/>
  <c r="T4207" i="2" s="1"/>
  <c r="U4207" i="2" s="1"/>
  <c r="Q4208" i="2"/>
  <c r="S4208" i="2" s="1"/>
  <c r="T4208" i="2" s="1"/>
  <c r="U4208" i="2" s="1"/>
  <c r="Q4209" i="2"/>
  <c r="S4209" i="2" s="1"/>
  <c r="T4209" i="2" s="1"/>
  <c r="U4209" i="2" s="1"/>
  <c r="Q4210" i="2"/>
  <c r="S4210" i="2" s="1"/>
  <c r="T4210" i="2" s="1"/>
  <c r="U4210" i="2" s="1"/>
  <c r="Q4211" i="2"/>
  <c r="S4211" i="2" s="1"/>
  <c r="T4211" i="2" s="1"/>
  <c r="U4211" i="2" s="1"/>
  <c r="Q4212" i="2"/>
  <c r="S4212" i="2" s="1"/>
  <c r="T4212" i="2" s="1"/>
  <c r="U4212" i="2" s="1"/>
  <c r="Q4213" i="2"/>
  <c r="S4213" i="2" s="1"/>
  <c r="T4213" i="2" s="1"/>
  <c r="U4213" i="2" s="1"/>
  <c r="Q4214" i="2"/>
  <c r="S4214" i="2" s="1"/>
  <c r="Q4215" i="2"/>
  <c r="S4215" i="2" s="1"/>
  <c r="T4215" i="2" s="1"/>
  <c r="U4215" i="2" s="1"/>
  <c r="Q4216" i="2"/>
  <c r="S4216" i="2" s="1"/>
  <c r="T4216" i="2" s="1"/>
  <c r="U4216" i="2" s="1"/>
  <c r="Q4217" i="2"/>
  <c r="S4217" i="2" s="1"/>
  <c r="T4217" i="2" s="1"/>
  <c r="U4217" i="2" s="1"/>
  <c r="Q4218" i="2"/>
  <c r="S4218" i="2" s="1"/>
  <c r="T4218" i="2" s="1"/>
  <c r="U4218" i="2" s="1"/>
  <c r="Q4219" i="2"/>
  <c r="S4219" i="2" s="1"/>
  <c r="Q4220" i="2"/>
  <c r="S4220" i="2" s="1"/>
  <c r="T4220" i="2" s="1"/>
  <c r="U4220" i="2" s="1"/>
  <c r="Q4221" i="2"/>
  <c r="S4221" i="2" s="1"/>
  <c r="T4221" i="2" s="1"/>
  <c r="U4221" i="2" s="1"/>
  <c r="Q4222" i="2"/>
  <c r="S4222" i="2" s="1"/>
  <c r="Q4223" i="2"/>
  <c r="S4223" i="2" s="1"/>
  <c r="Q4224" i="2"/>
  <c r="S4224" i="2" s="1"/>
  <c r="T4224" i="2" s="1"/>
  <c r="U4224" i="2" s="1"/>
  <c r="Q4225" i="2"/>
  <c r="S4225" i="2" s="1"/>
  <c r="T4225" i="2" s="1"/>
  <c r="U4225" i="2" s="1"/>
  <c r="Q4226" i="2"/>
  <c r="S4226" i="2" s="1"/>
  <c r="T4226" i="2" s="1"/>
  <c r="U4226" i="2" s="1"/>
  <c r="Q4227" i="2"/>
  <c r="S4227" i="2" s="1"/>
  <c r="T4227" i="2" s="1"/>
  <c r="U4227" i="2" s="1"/>
  <c r="Q4228" i="2"/>
  <c r="S4228" i="2" s="1"/>
  <c r="T4228" i="2" s="1"/>
  <c r="U4228" i="2" s="1"/>
  <c r="Q4229" i="2"/>
  <c r="S4229" i="2" s="1"/>
  <c r="T4229" i="2" s="1"/>
  <c r="U4229" i="2" s="1"/>
  <c r="Q4230" i="2"/>
  <c r="S4230" i="2" s="1"/>
  <c r="Q4231" i="2"/>
  <c r="S4231" i="2" s="1"/>
  <c r="T4231" i="2" s="1"/>
  <c r="U4231" i="2" s="1"/>
  <c r="Q4232" i="2"/>
  <c r="S4232" i="2" s="1"/>
  <c r="Q4233" i="2"/>
  <c r="S4233" i="2" s="1"/>
  <c r="Q4234" i="2"/>
  <c r="S4234" i="2" s="1"/>
  <c r="Q4235" i="2"/>
  <c r="S4235" i="2" s="1"/>
  <c r="T4235" i="2" s="1"/>
  <c r="U4235" i="2" s="1"/>
  <c r="Q4236" i="2"/>
  <c r="S4236" i="2" s="1"/>
  <c r="T4236" i="2" s="1"/>
  <c r="U4236" i="2" s="1"/>
  <c r="Q4237" i="2"/>
  <c r="S4237" i="2" s="1"/>
  <c r="Q4238" i="2"/>
  <c r="S4238" i="2" s="1"/>
  <c r="T4238" i="2" s="1"/>
  <c r="U4238" i="2" s="1"/>
  <c r="Q4239" i="2"/>
  <c r="S4239" i="2" s="1"/>
  <c r="Q4240" i="2"/>
  <c r="S4240" i="2" s="1"/>
  <c r="Q4241" i="2"/>
  <c r="S4241" i="2" s="1"/>
  <c r="T4241" i="2" s="1"/>
  <c r="U4241" i="2" s="1"/>
  <c r="Q4242" i="2"/>
  <c r="S4242" i="2" s="1"/>
  <c r="T4242" i="2" s="1"/>
  <c r="U4242" i="2" s="1"/>
  <c r="Q4243" i="2"/>
  <c r="S4243" i="2" s="1"/>
  <c r="Q4244" i="2"/>
  <c r="S4244" i="2" s="1"/>
  <c r="T4244" i="2" s="1"/>
  <c r="U4244" i="2" s="1"/>
  <c r="Q4245" i="2"/>
  <c r="S4245" i="2" s="1"/>
  <c r="T4245" i="2" s="1"/>
  <c r="U4245" i="2" s="1"/>
  <c r="Q4246" i="2"/>
  <c r="S4246" i="2" s="1"/>
  <c r="T4246" i="2" s="1"/>
  <c r="U4246" i="2" s="1"/>
  <c r="Q4247" i="2"/>
  <c r="S4247" i="2" s="1"/>
  <c r="T4247" i="2" s="1"/>
  <c r="U4247" i="2" s="1"/>
  <c r="Q4248" i="2"/>
  <c r="S4248" i="2" s="1"/>
  <c r="T4248" i="2" s="1"/>
  <c r="U4248" i="2" s="1"/>
  <c r="Q4249" i="2"/>
  <c r="S4249" i="2" s="1"/>
  <c r="T4249" i="2" s="1"/>
  <c r="U4249" i="2" s="1"/>
  <c r="Q4250" i="2"/>
  <c r="S4250" i="2" s="1"/>
  <c r="T4250" i="2" s="1"/>
  <c r="U4250" i="2" s="1"/>
  <c r="Q4251" i="2"/>
  <c r="S4251" i="2" s="1"/>
  <c r="T4251" i="2" s="1"/>
  <c r="U4251" i="2" s="1"/>
  <c r="Q4252" i="2"/>
  <c r="S4252" i="2" s="1"/>
  <c r="T4252" i="2" s="1"/>
  <c r="U4252" i="2" s="1"/>
  <c r="Q4253" i="2"/>
  <c r="S4253" i="2" s="1"/>
  <c r="Q4254" i="2"/>
  <c r="S4254" i="2" s="1"/>
  <c r="Q4255" i="2"/>
  <c r="S4255" i="2" s="1"/>
  <c r="Q4256" i="2"/>
  <c r="S4256" i="2" s="1"/>
  <c r="Q4257" i="2"/>
  <c r="S4257" i="2" s="1"/>
  <c r="T4257" i="2" s="1"/>
  <c r="U4257" i="2" s="1"/>
  <c r="Q4258" i="2"/>
  <c r="S4258" i="2" s="1"/>
  <c r="T4258" i="2" s="1"/>
  <c r="U4258" i="2" s="1"/>
  <c r="Q4259" i="2"/>
  <c r="S4259" i="2" s="1"/>
  <c r="T4259" i="2" s="1"/>
  <c r="U4259" i="2" s="1"/>
  <c r="Q4260" i="2"/>
  <c r="S4260" i="2" s="1"/>
  <c r="Q4261" i="2"/>
  <c r="S4261" i="2" s="1"/>
  <c r="T4261" i="2" s="1"/>
  <c r="U4261" i="2" s="1"/>
  <c r="Q4262" i="2"/>
  <c r="S4262" i="2" s="1"/>
  <c r="T4262" i="2" s="1"/>
  <c r="U4262" i="2" s="1"/>
  <c r="Q4263" i="2"/>
  <c r="S4263" i="2" s="1"/>
  <c r="Q4264" i="2"/>
  <c r="S4264" i="2" s="1"/>
  <c r="T4264" i="2" s="1"/>
  <c r="U4264" i="2" s="1"/>
  <c r="Q4265" i="2"/>
  <c r="S4265" i="2" s="1"/>
  <c r="T4265" i="2" s="1"/>
  <c r="U4265" i="2" s="1"/>
  <c r="Q4266" i="2"/>
  <c r="S4266" i="2" s="1"/>
  <c r="Q4267" i="2"/>
  <c r="S4267" i="2" s="1"/>
  <c r="Q4268" i="2"/>
  <c r="S4268" i="2" s="1"/>
  <c r="T4268" i="2" s="1"/>
  <c r="U4268" i="2" s="1"/>
  <c r="Q4269" i="2"/>
  <c r="S4269" i="2" s="1"/>
  <c r="T4269" i="2" s="1"/>
  <c r="U4269" i="2" s="1"/>
  <c r="Q4270" i="2"/>
  <c r="S4270" i="2" s="1"/>
  <c r="Q4271" i="2"/>
  <c r="S4271" i="2" s="1"/>
  <c r="T4271" i="2" s="1"/>
  <c r="U4271" i="2" s="1"/>
  <c r="Q4272" i="2"/>
  <c r="S4272" i="2" s="1"/>
  <c r="T4272" i="2" s="1"/>
  <c r="U4272" i="2" s="1"/>
  <c r="Q4273" i="2"/>
  <c r="S4273" i="2" s="1"/>
  <c r="T4273" i="2" s="1"/>
  <c r="U4273" i="2" s="1"/>
  <c r="Q4274" i="2"/>
  <c r="S4274" i="2" s="1"/>
  <c r="Q4275" i="2"/>
  <c r="S4275" i="2" s="1"/>
  <c r="T4275" i="2" s="1"/>
  <c r="U4275" i="2" s="1"/>
  <c r="Q4276" i="2"/>
  <c r="S4276" i="2" s="1"/>
  <c r="T4276" i="2" s="1"/>
  <c r="U4276" i="2" s="1"/>
  <c r="Q4277" i="2"/>
  <c r="S4277" i="2" s="1"/>
  <c r="T4277" i="2" s="1"/>
  <c r="U4277" i="2" s="1"/>
  <c r="Q4278" i="2"/>
  <c r="S4278" i="2" s="1"/>
  <c r="T4278" i="2" s="1"/>
  <c r="U4278" i="2" s="1"/>
  <c r="Q4279" i="2"/>
  <c r="S4279" i="2" s="1"/>
  <c r="Q4280" i="2"/>
  <c r="S4280" i="2" s="1"/>
  <c r="T4280" i="2" s="1"/>
  <c r="U4280" i="2" s="1"/>
  <c r="Q4281" i="2"/>
  <c r="S4281" i="2" s="1"/>
  <c r="T4281" i="2" s="1"/>
  <c r="U4281" i="2" s="1"/>
  <c r="Q4282" i="2"/>
  <c r="S4282" i="2" s="1"/>
  <c r="Q4283" i="2"/>
  <c r="S4283" i="2" s="1"/>
  <c r="T4283" i="2" s="1"/>
  <c r="U4283" i="2" s="1"/>
  <c r="Q4284" i="2"/>
  <c r="S4284" i="2" s="1"/>
  <c r="T4284" i="2" s="1"/>
  <c r="U4284" i="2" s="1"/>
  <c r="Q4285" i="2"/>
  <c r="S4285" i="2" s="1"/>
  <c r="Q4286" i="2"/>
  <c r="S4286" i="2" s="1"/>
  <c r="T4286" i="2" s="1"/>
  <c r="U4286" i="2" s="1"/>
  <c r="Q4287" i="2"/>
  <c r="S4287" i="2" s="1"/>
  <c r="T4287" i="2" s="1"/>
  <c r="U4287" i="2" s="1"/>
  <c r="Q4288" i="2"/>
  <c r="S4288" i="2" s="1"/>
  <c r="T4288" i="2" s="1"/>
  <c r="U4288" i="2" s="1"/>
  <c r="Q4289" i="2"/>
  <c r="S4289" i="2" s="1"/>
  <c r="Q4290" i="2"/>
  <c r="S4290" i="2" s="1"/>
  <c r="T4290" i="2" s="1"/>
  <c r="U4290" i="2" s="1"/>
  <c r="Q4291" i="2"/>
  <c r="S4291" i="2" s="1"/>
  <c r="Q4292" i="2"/>
  <c r="S4292" i="2" s="1"/>
  <c r="T4292" i="2" s="1"/>
  <c r="U4292" i="2" s="1"/>
  <c r="Q4293" i="2"/>
  <c r="S4293" i="2" s="1"/>
  <c r="T4293" i="2" s="1"/>
  <c r="U4293" i="2" s="1"/>
  <c r="Q4294" i="2"/>
  <c r="S4294" i="2" s="1"/>
  <c r="Q4295" i="2"/>
  <c r="S4295" i="2" s="1"/>
  <c r="T4295" i="2" s="1"/>
  <c r="U4295" i="2" s="1"/>
  <c r="Q4296" i="2"/>
  <c r="S4296" i="2" s="1"/>
  <c r="T4296" i="2" s="1"/>
  <c r="U4296" i="2" s="1"/>
  <c r="Q4297" i="2"/>
  <c r="S4297" i="2" s="1"/>
  <c r="T4297" i="2" s="1"/>
  <c r="U4297" i="2" s="1"/>
  <c r="Q4298" i="2"/>
  <c r="S4298" i="2" s="1"/>
  <c r="T4298" i="2" s="1"/>
  <c r="U4298" i="2" s="1"/>
  <c r="Q4299" i="2"/>
  <c r="S4299" i="2" s="1"/>
  <c r="Q4300" i="2"/>
  <c r="S4300" i="2" s="1"/>
  <c r="Q4301" i="2"/>
  <c r="S4301" i="2" s="1"/>
  <c r="T4301" i="2" s="1"/>
  <c r="U4301" i="2" s="1"/>
  <c r="Q4302" i="2"/>
  <c r="S4302" i="2" s="1"/>
  <c r="T4302" i="2" s="1"/>
  <c r="U4302" i="2" s="1"/>
  <c r="Q4303" i="2"/>
  <c r="S4303" i="2" s="1"/>
  <c r="T4303" i="2" s="1"/>
  <c r="U4303" i="2" s="1"/>
  <c r="Q4304" i="2"/>
  <c r="S4304" i="2" s="1"/>
  <c r="Q4305" i="2"/>
  <c r="S4305" i="2" s="1"/>
  <c r="T4305" i="2" s="1"/>
  <c r="U4305" i="2" s="1"/>
  <c r="Q4306" i="2"/>
  <c r="S4306" i="2" s="1"/>
  <c r="Q4307" i="2"/>
  <c r="S4307" i="2" s="1"/>
  <c r="T4307" i="2" s="1"/>
  <c r="U4307" i="2" s="1"/>
  <c r="Q4308" i="2"/>
  <c r="S4308" i="2" s="1"/>
  <c r="Q4309" i="2"/>
  <c r="S4309" i="2" s="1"/>
  <c r="T4309" i="2" s="1"/>
  <c r="U4309" i="2" s="1"/>
  <c r="Q4310" i="2"/>
  <c r="S4310" i="2" s="1"/>
  <c r="T4310" i="2" s="1"/>
  <c r="U4310" i="2" s="1"/>
  <c r="Q4311" i="2"/>
  <c r="S4311" i="2" s="1"/>
  <c r="Q4312" i="2"/>
  <c r="S4312" i="2" s="1"/>
  <c r="T4312" i="2" s="1"/>
  <c r="U4312" i="2" s="1"/>
  <c r="Q4313" i="2"/>
  <c r="S4313" i="2" s="1"/>
  <c r="T4313" i="2" s="1"/>
  <c r="U4313" i="2" s="1"/>
  <c r="Q4314" i="2"/>
  <c r="S4314" i="2" s="1"/>
  <c r="Q4315" i="2"/>
  <c r="S4315" i="2" s="1"/>
  <c r="Q4316" i="2"/>
  <c r="S4316" i="2" s="1"/>
  <c r="T4316" i="2" s="1"/>
  <c r="U4316" i="2" s="1"/>
  <c r="Q4317" i="2"/>
  <c r="S4317" i="2" s="1"/>
  <c r="T4317" i="2" s="1"/>
  <c r="U4317" i="2" s="1"/>
  <c r="Q4318" i="2"/>
  <c r="S4318" i="2" s="1"/>
  <c r="T4318" i="2" s="1"/>
  <c r="U4318" i="2" s="1"/>
  <c r="Q4319" i="2"/>
  <c r="S4319" i="2" s="1"/>
  <c r="Q4320" i="2"/>
  <c r="S4320" i="2" s="1"/>
  <c r="T4320" i="2" s="1"/>
  <c r="U4320" i="2" s="1"/>
  <c r="Q4321" i="2"/>
  <c r="S4321" i="2" s="1"/>
  <c r="Q4322" i="2"/>
  <c r="S4322" i="2" s="1"/>
  <c r="T4322" i="2" s="1"/>
  <c r="U4322" i="2" s="1"/>
  <c r="Q4323" i="2"/>
  <c r="S4323" i="2" s="1"/>
  <c r="T4323" i="2" s="1"/>
  <c r="U4323" i="2" s="1"/>
  <c r="Q4324" i="2"/>
  <c r="S4324" i="2" s="1"/>
  <c r="Q4325" i="2"/>
  <c r="S4325" i="2" s="1"/>
  <c r="T4325" i="2" s="1"/>
  <c r="U4325" i="2" s="1"/>
  <c r="Q4326" i="2"/>
  <c r="S4326" i="2" s="1"/>
  <c r="T4326" i="2" s="1"/>
  <c r="U4326" i="2" s="1"/>
  <c r="Q4327" i="2"/>
  <c r="S4327" i="2" s="1"/>
  <c r="T4327" i="2" s="1"/>
  <c r="U4327" i="2" s="1"/>
  <c r="Q4328" i="2"/>
  <c r="S4328" i="2" s="1"/>
  <c r="T4328" i="2" s="1"/>
  <c r="U4328" i="2" s="1"/>
  <c r="Q4329" i="2"/>
  <c r="S4329" i="2" s="1"/>
  <c r="T4329" i="2" s="1"/>
  <c r="U4329" i="2" s="1"/>
  <c r="Q4330" i="2"/>
  <c r="S4330" i="2" s="1"/>
  <c r="T4330" i="2" s="1"/>
  <c r="U4330" i="2" s="1"/>
  <c r="Q4331" i="2"/>
  <c r="S4331" i="2" s="1"/>
  <c r="T4331" i="2" s="1"/>
  <c r="U4331" i="2" s="1"/>
  <c r="Q4332" i="2"/>
  <c r="S4332" i="2" s="1"/>
  <c r="T4332" i="2" s="1"/>
  <c r="U4332" i="2" s="1"/>
  <c r="Q4333" i="2"/>
  <c r="S4333" i="2" s="1"/>
  <c r="T4333" i="2" s="1"/>
  <c r="U4333" i="2" s="1"/>
  <c r="Q4334" i="2"/>
  <c r="S4334" i="2" s="1"/>
  <c r="T4334" i="2" s="1"/>
  <c r="U4334" i="2" s="1"/>
  <c r="Q4335" i="2"/>
  <c r="S4335" i="2" s="1"/>
  <c r="T4335" i="2" s="1"/>
  <c r="U4335" i="2" s="1"/>
  <c r="Q4336" i="2"/>
  <c r="S4336" i="2" s="1"/>
  <c r="Q4337" i="2"/>
  <c r="S4337" i="2" s="1"/>
  <c r="Q4338" i="2"/>
  <c r="S4338" i="2" s="1"/>
  <c r="Q4339" i="2"/>
  <c r="S4339" i="2" s="1"/>
  <c r="T4339" i="2" s="1"/>
  <c r="U4339" i="2" s="1"/>
  <c r="Q4340" i="2"/>
  <c r="S4340" i="2" s="1"/>
  <c r="Q4341" i="2"/>
  <c r="S4341" i="2" s="1"/>
  <c r="T4341" i="2" s="1"/>
  <c r="U4341" i="2" s="1"/>
  <c r="Q4342" i="2"/>
  <c r="S4342" i="2" s="1"/>
  <c r="Q4343" i="2"/>
  <c r="S4343" i="2" s="1"/>
  <c r="T4343" i="2" s="1"/>
  <c r="U4343" i="2" s="1"/>
  <c r="Q4344" i="2"/>
  <c r="S4344" i="2" s="1"/>
  <c r="T4344" i="2" s="1"/>
  <c r="U4344" i="2" s="1"/>
  <c r="Q4345" i="2"/>
  <c r="S4345" i="2" s="1"/>
  <c r="T4345" i="2" s="1"/>
  <c r="U4345" i="2" s="1"/>
  <c r="Q4346" i="2"/>
  <c r="S4346" i="2" s="1"/>
  <c r="T4346" i="2" s="1"/>
  <c r="U4346" i="2" s="1"/>
  <c r="Q4347" i="2"/>
  <c r="S4347" i="2" s="1"/>
  <c r="T4347" i="2" s="1"/>
  <c r="U4347" i="2" s="1"/>
  <c r="Q4348" i="2"/>
  <c r="S4348" i="2" s="1"/>
  <c r="Q4349" i="2"/>
  <c r="S4349" i="2" s="1"/>
  <c r="T4349" i="2" s="1"/>
  <c r="U4349" i="2" s="1"/>
  <c r="Q4350" i="2"/>
  <c r="S4350" i="2" s="1"/>
  <c r="T4350" i="2" s="1"/>
  <c r="U4350" i="2" s="1"/>
  <c r="Q4351" i="2"/>
  <c r="S4351" i="2" s="1"/>
  <c r="Q4352" i="2"/>
  <c r="S4352" i="2" s="1"/>
  <c r="Q4353" i="2"/>
  <c r="S4353" i="2" s="1"/>
  <c r="Q4354" i="2"/>
  <c r="S4354" i="2" s="1"/>
  <c r="Q4355" i="2"/>
  <c r="S4355" i="2" s="1"/>
  <c r="T4355" i="2" s="1"/>
  <c r="U4355" i="2" s="1"/>
  <c r="Q4356" i="2"/>
  <c r="S4356" i="2" s="1"/>
  <c r="T4356" i="2" s="1"/>
  <c r="U4356" i="2" s="1"/>
  <c r="Q4357" i="2"/>
  <c r="S4357" i="2" s="1"/>
  <c r="T4357" i="2" s="1"/>
  <c r="U4357" i="2" s="1"/>
  <c r="Q4358" i="2"/>
  <c r="S4358" i="2" s="1"/>
  <c r="T4358" i="2" s="1"/>
  <c r="U4358" i="2" s="1"/>
  <c r="Q4359" i="2"/>
  <c r="S4359" i="2" s="1"/>
  <c r="T4359" i="2" s="1"/>
  <c r="U4359" i="2" s="1"/>
  <c r="Q4360" i="2"/>
  <c r="S4360" i="2" s="1"/>
  <c r="T4360" i="2" s="1"/>
  <c r="U4360" i="2" s="1"/>
  <c r="Q4361" i="2"/>
  <c r="S4361" i="2" s="1"/>
  <c r="Q4362" i="2"/>
  <c r="S4362" i="2" s="1"/>
  <c r="T4362" i="2" s="1"/>
  <c r="U4362" i="2" s="1"/>
  <c r="Q4363" i="2"/>
  <c r="S4363" i="2" s="1"/>
  <c r="T4363" i="2" s="1"/>
  <c r="U4363" i="2" s="1"/>
  <c r="Q4364" i="2"/>
  <c r="S4364" i="2" s="1"/>
  <c r="T4364" i="2" s="1"/>
  <c r="U4364" i="2" s="1"/>
  <c r="Q4365" i="2"/>
  <c r="S4365" i="2" s="1"/>
  <c r="T4365" i="2" s="1"/>
  <c r="U4365" i="2" s="1"/>
  <c r="Q4366" i="2"/>
  <c r="S4366" i="2" s="1"/>
  <c r="T4366" i="2" s="1"/>
  <c r="U4366" i="2" s="1"/>
  <c r="Q4367" i="2"/>
  <c r="S4367" i="2" s="1"/>
  <c r="T4367" i="2" s="1"/>
  <c r="U4367" i="2" s="1"/>
  <c r="Q4368" i="2"/>
  <c r="S4368" i="2" s="1"/>
  <c r="T4368" i="2" s="1"/>
  <c r="U4368" i="2" s="1"/>
  <c r="Q4369" i="2"/>
  <c r="S4369" i="2" s="1"/>
  <c r="T4369" i="2" s="1"/>
  <c r="U4369" i="2" s="1"/>
  <c r="Q4370" i="2"/>
  <c r="S4370" i="2" s="1"/>
  <c r="T4370" i="2" s="1"/>
  <c r="U4370" i="2" s="1"/>
  <c r="Q4371" i="2"/>
  <c r="S4371" i="2" s="1"/>
  <c r="T4371" i="2" s="1"/>
  <c r="U4371" i="2" s="1"/>
  <c r="Q4372" i="2"/>
  <c r="S4372" i="2" s="1"/>
  <c r="T4372" i="2" s="1"/>
  <c r="U4372" i="2" s="1"/>
  <c r="Q4373" i="2"/>
  <c r="S4373" i="2" s="1"/>
  <c r="T4373" i="2" s="1"/>
  <c r="U4373" i="2" s="1"/>
  <c r="Q4374" i="2"/>
  <c r="S4374" i="2" s="1"/>
  <c r="Q4375" i="2"/>
  <c r="S4375" i="2" s="1"/>
  <c r="Q4376" i="2"/>
  <c r="S4376" i="2" s="1"/>
  <c r="T4376" i="2" s="1"/>
  <c r="U4376" i="2" s="1"/>
  <c r="Q4377" i="2"/>
  <c r="S4377" i="2" s="1"/>
  <c r="Q4378" i="2"/>
  <c r="S4378" i="2" s="1"/>
  <c r="T4378" i="2" s="1"/>
  <c r="U4378" i="2" s="1"/>
  <c r="Q4379" i="2"/>
  <c r="S4379" i="2" s="1"/>
  <c r="Q4380" i="2"/>
  <c r="S4380" i="2" s="1"/>
  <c r="Q4381" i="2"/>
  <c r="S4381" i="2" s="1"/>
  <c r="T4381" i="2" s="1"/>
  <c r="U4381" i="2" s="1"/>
  <c r="Q4382" i="2"/>
  <c r="S4382" i="2" s="1"/>
  <c r="T4382" i="2" s="1"/>
  <c r="U4382" i="2" s="1"/>
  <c r="Q4383" i="2"/>
  <c r="S4383" i="2" s="1"/>
  <c r="T4383" i="2" s="1"/>
  <c r="U4383" i="2" s="1"/>
  <c r="Q4384" i="2"/>
  <c r="S4384" i="2" s="1"/>
  <c r="T4384" i="2" s="1"/>
  <c r="U4384" i="2" s="1"/>
  <c r="Q4385" i="2"/>
  <c r="S4385" i="2" s="1"/>
  <c r="T4385" i="2" s="1"/>
  <c r="U4385" i="2" s="1"/>
  <c r="Q4386" i="2"/>
  <c r="S4386" i="2" s="1"/>
  <c r="T4386" i="2" s="1"/>
  <c r="U4386" i="2" s="1"/>
  <c r="Q4387" i="2"/>
  <c r="S4387" i="2" s="1"/>
  <c r="T4387" i="2" s="1"/>
  <c r="U4387" i="2" s="1"/>
  <c r="Q4388" i="2"/>
  <c r="S4388" i="2" s="1"/>
  <c r="T4388" i="2" s="1"/>
  <c r="U4388" i="2" s="1"/>
  <c r="Q4389" i="2"/>
  <c r="S4389" i="2" s="1"/>
  <c r="T4389" i="2" s="1"/>
  <c r="U4389" i="2" s="1"/>
  <c r="Q4390" i="2"/>
  <c r="S4390" i="2" s="1"/>
  <c r="T4390" i="2" s="1"/>
  <c r="U4390" i="2" s="1"/>
  <c r="Q4391" i="2"/>
  <c r="S4391" i="2" s="1"/>
  <c r="Q4392" i="2"/>
  <c r="S4392" i="2" s="1"/>
  <c r="T4392" i="2" s="1"/>
  <c r="U4392" i="2" s="1"/>
  <c r="Q4393" i="2"/>
  <c r="S4393" i="2" s="1"/>
  <c r="T4393" i="2" s="1"/>
  <c r="U4393" i="2" s="1"/>
  <c r="Q4394" i="2"/>
  <c r="S4394" i="2" s="1"/>
  <c r="T4394" i="2" s="1"/>
  <c r="U4394" i="2" s="1"/>
  <c r="Q4395" i="2"/>
  <c r="S4395" i="2" s="1"/>
  <c r="Q4396" i="2"/>
  <c r="S4396" i="2" s="1"/>
  <c r="T4396" i="2" s="1"/>
  <c r="U4396" i="2" s="1"/>
  <c r="Q4397" i="2"/>
  <c r="S4397" i="2" s="1"/>
  <c r="Q4398" i="2"/>
  <c r="S4398" i="2" s="1"/>
  <c r="T4398" i="2" s="1"/>
  <c r="U4398" i="2" s="1"/>
  <c r="Q4399" i="2"/>
  <c r="S4399" i="2" s="1"/>
  <c r="T4399" i="2" s="1"/>
  <c r="U4399" i="2" s="1"/>
  <c r="Q4400" i="2"/>
  <c r="S4400" i="2" s="1"/>
  <c r="T4400" i="2" s="1"/>
  <c r="U4400" i="2" s="1"/>
  <c r="Q4401" i="2"/>
  <c r="S4401" i="2" s="1"/>
  <c r="T4401" i="2" s="1"/>
  <c r="U4401" i="2" s="1"/>
  <c r="Q4402" i="2"/>
  <c r="S4402" i="2" s="1"/>
  <c r="T4402" i="2" s="1"/>
  <c r="U4402" i="2" s="1"/>
  <c r="Q4403" i="2"/>
  <c r="S4403" i="2" s="1"/>
  <c r="T4403" i="2" s="1"/>
  <c r="U4403" i="2" s="1"/>
  <c r="Q4404" i="2"/>
  <c r="S4404" i="2" s="1"/>
  <c r="Q4405" i="2"/>
  <c r="S4405" i="2" s="1"/>
  <c r="T4405" i="2" s="1"/>
  <c r="U4405" i="2" s="1"/>
  <c r="Q4406" i="2"/>
  <c r="S4406" i="2" s="1"/>
  <c r="T4406" i="2" s="1"/>
  <c r="U4406" i="2" s="1"/>
  <c r="Q4407" i="2"/>
  <c r="S4407" i="2" s="1"/>
  <c r="T4407" i="2" s="1"/>
  <c r="U4407" i="2" s="1"/>
  <c r="Q4408" i="2"/>
  <c r="S4408" i="2" s="1"/>
  <c r="Q4409" i="2"/>
  <c r="S4409" i="2" s="1"/>
  <c r="T4409" i="2" s="1"/>
  <c r="U4409" i="2" s="1"/>
  <c r="Q4410" i="2"/>
  <c r="S4410" i="2" s="1"/>
  <c r="Q4411" i="2"/>
  <c r="S4411" i="2" s="1"/>
  <c r="T4411" i="2" s="1"/>
  <c r="U4411" i="2" s="1"/>
  <c r="Q4412" i="2"/>
  <c r="S4412" i="2" s="1"/>
  <c r="T4412" i="2" s="1"/>
  <c r="U4412" i="2" s="1"/>
  <c r="Q4413" i="2"/>
  <c r="S4413" i="2" s="1"/>
  <c r="T4413" i="2" s="1"/>
  <c r="U4413" i="2" s="1"/>
  <c r="Q4414" i="2"/>
  <c r="S4414" i="2" s="1"/>
  <c r="Q4415" i="2"/>
  <c r="S4415" i="2" s="1"/>
  <c r="Q4416" i="2"/>
  <c r="S4416" i="2" s="1"/>
  <c r="T4416" i="2" s="1"/>
  <c r="U4416" i="2" s="1"/>
  <c r="Q4417" i="2"/>
  <c r="S4417" i="2" s="1"/>
  <c r="T4417" i="2" s="1"/>
  <c r="U4417" i="2" s="1"/>
  <c r="Q4418" i="2"/>
  <c r="S4418" i="2" s="1"/>
  <c r="T4418" i="2" s="1"/>
  <c r="U4418" i="2" s="1"/>
  <c r="Q4419" i="2"/>
  <c r="S4419" i="2" s="1"/>
  <c r="Q4420" i="2"/>
  <c r="S4420" i="2" s="1"/>
  <c r="Q4421" i="2"/>
  <c r="S4421" i="2" s="1"/>
  <c r="T4421" i="2" s="1"/>
  <c r="U4421" i="2" s="1"/>
  <c r="Q4422" i="2"/>
  <c r="S4422" i="2" s="1"/>
  <c r="T4422" i="2" s="1"/>
  <c r="U4422" i="2" s="1"/>
  <c r="Q4423" i="2"/>
  <c r="S4423" i="2" s="1"/>
  <c r="Q4424" i="2"/>
  <c r="S4424" i="2" s="1"/>
  <c r="T4424" i="2" s="1"/>
  <c r="U4424" i="2" s="1"/>
  <c r="Q4425" i="2"/>
  <c r="S4425" i="2" s="1"/>
  <c r="T4425" i="2" s="1"/>
  <c r="U4425" i="2" s="1"/>
  <c r="Q4426" i="2"/>
  <c r="S4426" i="2" s="1"/>
  <c r="T4426" i="2" s="1"/>
  <c r="U4426" i="2" s="1"/>
  <c r="Q4427" i="2"/>
  <c r="S4427" i="2" s="1"/>
  <c r="T4427" i="2" s="1"/>
  <c r="U4427" i="2" s="1"/>
  <c r="Q4428" i="2"/>
  <c r="S4428" i="2" s="1"/>
  <c r="T4428" i="2" s="1"/>
  <c r="U4428" i="2" s="1"/>
  <c r="Q4429" i="2"/>
  <c r="S4429" i="2" s="1"/>
  <c r="Q4430" i="2"/>
  <c r="S4430" i="2" s="1"/>
  <c r="T4430" i="2" s="1"/>
  <c r="U4430" i="2" s="1"/>
  <c r="Q4431" i="2"/>
  <c r="S4431" i="2" s="1"/>
  <c r="T4431" i="2" s="1"/>
  <c r="U4431" i="2" s="1"/>
  <c r="Q4432" i="2"/>
  <c r="S4432" i="2" s="1"/>
  <c r="T4432" i="2" s="1"/>
  <c r="U4432" i="2" s="1"/>
  <c r="Q4433" i="2"/>
  <c r="S4433" i="2" s="1"/>
  <c r="Q4434" i="2"/>
  <c r="S4434" i="2" s="1"/>
  <c r="Q4435" i="2"/>
  <c r="S4435" i="2" s="1"/>
  <c r="Q4436" i="2"/>
  <c r="S4436" i="2" s="1"/>
  <c r="T4436" i="2" s="1"/>
  <c r="U4436" i="2" s="1"/>
  <c r="Q4437" i="2"/>
  <c r="S4437" i="2" s="1"/>
  <c r="Q4438" i="2"/>
  <c r="S4438" i="2" s="1"/>
  <c r="T4438" i="2" s="1"/>
  <c r="U4438" i="2" s="1"/>
  <c r="Q4439" i="2"/>
  <c r="S4439" i="2" s="1"/>
  <c r="T4439" i="2" s="1"/>
  <c r="U4439" i="2" s="1"/>
  <c r="Q4440" i="2"/>
  <c r="S4440" i="2" s="1"/>
  <c r="T4440" i="2" s="1"/>
  <c r="U4440" i="2" s="1"/>
  <c r="Q4441" i="2"/>
  <c r="S4441" i="2" s="1"/>
  <c r="T4441" i="2" s="1"/>
  <c r="U4441" i="2" s="1"/>
  <c r="Q4442" i="2"/>
  <c r="S4442" i="2" s="1"/>
  <c r="T4442" i="2" s="1"/>
  <c r="U4442" i="2" s="1"/>
  <c r="Q4443" i="2"/>
  <c r="S4443" i="2" s="1"/>
  <c r="T4443" i="2" s="1"/>
  <c r="U4443" i="2" s="1"/>
  <c r="Q4444" i="2"/>
  <c r="S4444" i="2" s="1"/>
  <c r="Q4445" i="2"/>
  <c r="S4445" i="2" s="1"/>
  <c r="Q4446" i="2"/>
  <c r="S4446" i="2" s="1"/>
  <c r="T4446" i="2" s="1"/>
  <c r="U4446" i="2" s="1"/>
  <c r="Q4447" i="2"/>
  <c r="S4447" i="2" s="1"/>
  <c r="T4447" i="2" s="1"/>
  <c r="U4447" i="2" s="1"/>
  <c r="Q4448" i="2"/>
  <c r="S4448" i="2" s="1"/>
  <c r="Q4449" i="2"/>
  <c r="S4449" i="2" s="1"/>
  <c r="Q4450" i="2"/>
  <c r="S4450" i="2" s="1"/>
  <c r="Q4451" i="2"/>
  <c r="S4451" i="2" s="1"/>
  <c r="T4451" i="2" s="1"/>
  <c r="U4451" i="2" s="1"/>
  <c r="Q4452" i="2"/>
  <c r="S4452" i="2" s="1"/>
  <c r="T4452" i="2" s="1"/>
  <c r="U4452" i="2" s="1"/>
  <c r="Q4453" i="2"/>
  <c r="S4453" i="2" s="1"/>
  <c r="T4453" i="2" s="1"/>
  <c r="U4453" i="2" s="1"/>
  <c r="Q4454" i="2"/>
  <c r="S4454" i="2" s="1"/>
  <c r="T4454" i="2" s="1"/>
  <c r="U4454" i="2" s="1"/>
  <c r="Q4455" i="2"/>
  <c r="S4455" i="2" s="1"/>
  <c r="T4455" i="2" s="1"/>
  <c r="U4455" i="2" s="1"/>
  <c r="Q4456" i="2"/>
  <c r="S4456" i="2" s="1"/>
  <c r="T4456" i="2" s="1"/>
  <c r="U4456" i="2" s="1"/>
  <c r="Q4457" i="2"/>
  <c r="S4457" i="2" s="1"/>
  <c r="T4457" i="2" s="1"/>
  <c r="U4457" i="2" s="1"/>
  <c r="Q4458" i="2"/>
  <c r="S4458" i="2" s="1"/>
  <c r="Q4459" i="2"/>
  <c r="S4459" i="2" s="1"/>
  <c r="Q4460" i="2"/>
  <c r="S4460" i="2" s="1"/>
  <c r="Q4461" i="2"/>
  <c r="S4461" i="2" s="1"/>
  <c r="T4461" i="2" s="1"/>
  <c r="U4461" i="2" s="1"/>
  <c r="Q4462" i="2"/>
  <c r="S4462" i="2" s="1"/>
  <c r="T4462" i="2" s="1"/>
  <c r="U4462" i="2" s="1"/>
  <c r="Q4463" i="2"/>
  <c r="S4463" i="2" s="1"/>
  <c r="T4463" i="2" s="1"/>
  <c r="U4463" i="2" s="1"/>
  <c r="Q4464" i="2"/>
  <c r="S4464" i="2" s="1"/>
  <c r="Q4465" i="2"/>
  <c r="S4465" i="2" s="1"/>
  <c r="T4465" i="2" s="1"/>
  <c r="U4465" i="2" s="1"/>
  <c r="Q4466" i="2"/>
  <c r="S4466" i="2" s="1"/>
  <c r="T4466" i="2" s="1"/>
  <c r="U4466" i="2" s="1"/>
  <c r="Q4467" i="2"/>
  <c r="S4467" i="2" s="1"/>
  <c r="T4467" i="2" s="1"/>
  <c r="U4467" i="2" s="1"/>
  <c r="Q4468" i="2"/>
  <c r="S4468" i="2" s="1"/>
  <c r="T4468" i="2" s="1"/>
  <c r="U4468" i="2" s="1"/>
  <c r="Q4469" i="2"/>
  <c r="S4469" i="2" s="1"/>
  <c r="Q4470" i="2"/>
  <c r="S4470" i="2" s="1"/>
  <c r="T4470" i="2" s="1"/>
  <c r="U4470" i="2" s="1"/>
  <c r="Q4471" i="2"/>
  <c r="S4471" i="2" s="1"/>
  <c r="Q4472" i="2"/>
  <c r="S4472" i="2" s="1"/>
  <c r="Q4473" i="2"/>
  <c r="S4473" i="2" s="1"/>
  <c r="T4473" i="2" s="1"/>
  <c r="U4473" i="2" s="1"/>
  <c r="Q4474" i="2"/>
  <c r="S4474" i="2" s="1"/>
  <c r="T4474" i="2" s="1"/>
  <c r="U4474" i="2" s="1"/>
  <c r="Q4475" i="2"/>
  <c r="S4475" i="2" s="1"/>
  <c r="Q4476" i="2"/>
  <c r="S4476" i="2" s="1"/>
  <c r="Q4477" i="2"/>
  <c r="S4477" i="2" s="1"/>
  <c r="Q4478" i="2"/>
  <c r="S4478" i="2" s="1"/>
  <c r="T4478" i="2" s="1"/>
  <c r="U4478" i="2" s="1"/>
  <c r="Q4479" i="2"/>
  <c r="S4479" i="2" s="1"/>
  <c r="Q4480" i="2"/>
  <c r="S4480" i="2" s="1"/>
  <c r="Q4481" i="2"/>
  <c r="S4481" i="2" s="1"/>
  <c r="T4481" i="2" s="1"/>
  <c r="U4481" i="2" s="1"/>
  <c r="Q4482" i="2"/>
  <c r="S4482" i="2" s="1"/>
  <c r="Q4483" i="2"/>
  <c r="S4483" i="2" s="1"/>
  <c r="T4483" i="2" s="1"/>
  <c r="U4483" i="2" s="1"/>
  <c r="Q4484" i="2"/>
  <c r="S4484" i="2" s="1"/>
  <c r="Q4485" i="2"/>
  <c r="S4485" i="2" s="1"/>
  <c r="T4485" i="2" s="1"/>
  <c r="U4485" i="2" s="1"/>
  <c r="Q4486" i="2"/>
  <c r="S4486" i="2" s="1"/>
  <c r="Q4487" i="2"/>
  <c r="S4487" i="2" s="1"/>
  <c r="T4487" i="2" s="1"/>
  <c r="U4487" i="2" s="1"/>
  <c r="Q4488" i="2"/>
  <c r="S4488" i="2" s="1"/>
  <c r="T4488" i="2" s="1"/>
  <c r="U4488" i="2" s="1"/>
  <c r="Q4489" i="2"/>
  <c r="S4489" i="2" s="1"/>
  <c r="Q4490" i="2"/>
  <c r="S4490" i="2" s="1"/>
  <c r="T4490" i="2" s="1"/>
  <c r="U4490" i="2" s="1"/>
  <c r="Q4491" i="2"/>
  <c r="S4491" i="2" s="1"/>
  <c r="T4491" i="2" s="1"/>
  <c r="U4491" i="2" s="1"/>
  <c r="Q4492" i="2"/>
  <c r="S4492" i="2" s="1"/>
  <c r="T4492" i="2" s="1"/>
  <c r="U4492" i="2" s="1"/>
  <c r="Q4493" i="2"/>
  <c r="S4493" i="2" s="1"/>
  <c r="T4493" i="2" s="1"/>
  <c r="U4493" i="2" s="1"/>
  <c r="Q4494" i="2"/>
  <c r="S4494" i="2" s="1"/>
  <c r="Q4495" i="2"/>
  <c r="S4495" i="2" s="1"/>
  <c r="T4495" i="2" s="1"/>
  <c r="U4495" i="2" s="1"/>
  <c r="Q4496" i="2"/>
  <c r="S4496" i="2" s="1"/>
  <c r="T4496" i="2" s="1"/>
  <c r="U4496" i="2" s="1"/>
  <c r="Q4497" i="2"/>
  <c r="S4497" i="2" s="1"/>
  <c r="Q4498" i="2"/>
  <c r="S4498" i="2" s="1"/>
  <c r="Q4499" i="2"/>
  <c r="S4499" i="2" s="1"/>
  <c r="T4499" i="2" s="1"/>
  <c r="U4499" i="2" s="1"/>
  <c r="Q4500" i="2"/>
  <c r="S4500" i="2" s="1"/>
  <c r="T4500" i="2" s="1"/>
  <c r="U4500" i="2" s="1"/>
  <c r="Q4501" i="2"/>
  <c r="S4501" i="2" s="1"/>
  <c r="T4501" i="2" s="1"/>
  <c r="U4501" i="2" s="1"/>
  <c r="Q4502" i="2"/>
  <c r="S4502" i="2" s="1"/>
  <c r="Q4503" i="2"/>
  <c r="S4503" i="2" s="1"/>
  <c r="T4503" i="2" s="1"/>
  <c r="U4503" i="2" s="1"/>
  <c r="Q4504" i="2"/>
  <c r="S4504" i="2" s="1"/>
  <c r="T4504" i="2" s="1"/>
  <c r="U4504" i="2" s="1"/>
  <c r="Q4505" i="2"/>
  <c r="S4505" i="2" s="1"/>
  <c r="T4505" i="2" s="1"/>
  <c r="U4505" i="2" s="1"/>
  <c r="Q4506" i="2"/>
  <c r="S4506" i="2" s="1"/>
  <c r="T4506" i="2" s="1"/>
  <c r="U4506" i="2" s="1"/>
  <c r="Q4507" i="2"/>
  <c r="S4507" i="2" s="1"/>
  <c r="T4507" i="2" s="1"/>
  <c r="U4507" i="2" s="1"/>
  <c r="Q4508" i="2"/>
  <c r="S4508" i="2" s="1"/>
  <c r="T4508" i="2" s="1"/>
  <c r="U4508" i="2" s="1"/>
  <c r="Q4509" i="2"/>
  <c r="S4509" i="2" s="1"/>
  <c r="T4509" i="2" s="1"/>
  <c r="U4509" i="2" s="1"/>
  <c r="Q4510" i="2"/>
  <c r="S4510" i="2" s="1"/>
  <c r="T4510" i="2" s="1"/>
  <c r="U4510" i="2" s="1"/>
  <c r="Q4511" i="2"/>
  <c r="S4511" i="2" s="1"/>
  <c r="T4511" i="2" s="1"/>
  <c r="U4511" i="2" s="1"/>
  <c r="Q4512" i="2"/>
  <c r="S4512" i="2" s="1"/>
  <c r="T4512" i="2" s="1"/>
  <c r="U4512" i="2" s="1"/>
  <c r="Q4513" i="2"/>
  <c r="S4513" i="2" s="1"/>
  <c r="T4513" i="2" s="1"/>
  <c r="U4513" i="2" s="1"/>
  <c r="Q4514" i="2"/>
  <c r="S4514" i="2" s="1"/>
  <c r="T4514" i="2" s="1"/>
  <c r="U4514" i="2" s="1"/>
  <c r="Q4515" i="2"/>
  <c r="S4515" i="2" s="1"/>
  <c r="T4515" i="2" s="1"/>
  <c r="U4515" i="2" s="1"/>
  <c r="Q4516" i="2"/>
  <c r="S4516" i="2" s="1"/>
  <c r="T4516" i="2" s="1"/>
  <c r="U4516" i="2" s="1"/>
  <c r="Q4517" i="2"/>
  <c r="S4517" i="2" s="1"/>
  <c r="T4517" i="2" s="1"/>
  <c r="U4517" i="2" s="1"/>
  <c r="Q4518" i="2"/>
  <c r="S4518" i="2" s="1"/>
  <c r="T4518" i="2" s="1"/>
  <c r="U4518" i="2" s="1"/>
  <c r="Q4519" i="2"/>
  <c r="S4519" i="2" s="1"/>
  <c r="Q4520" i="2"/>
  <c r="S4520" i="2" s="1"/>
  <c r="T4520" i="2" s="1"/>
  <c r="U4520" i="2" s="1"/>
  <c r="Q4521" i="2"/>
  <c r="S4521" i="2" s="1"/>
  <c r="T4521" i="2" s="1"/>
  <c r="U4521" i="2" s="1"/>
  <c r="Q4522" i="2"/>
  <c r="S4522" i="2" s="1"/>
  <c r="T4522" i="2" s="1"/>
  <c r="U4522" i="2" s="1"/>
  <c r="Q4523" i="2"/>
  <c r="S4523" i="2" s="1"/>
  <c r="Q4524" i="2"/>
  <c r="S4524" i="2" s="1"/>
  <c r="T4524" i="2" s="1"/>
  <c r="U4524" i="2" s="1"/>
  <c r="Q4525" i="2"/>
  <c r="S4525" i="2" s="1"/>
  <c r="T4525" i="2" s="1"/>
  <c r="U4525" i="2" s="1"/>
  <c r="Q4526" i="2"/>
  <c r="S4526" i="2" s="1"/>
  <c r="T4526" i="2" s="1"/>
  <c r="U4526" i="2" s="1"/>
  <c r="Q4527" i="2"/>
  <c r="S4527" i="2" s="1"/>
  <c r="Q4528" i="2"/>
  <c r="S4528" i="2" s="1"/>
  <c r="T4528" i="2" s="1"/>
  <c r="U4528" i="2" s="1"/>
  <c r="Q4529" i="2"/>
  <c r="S4529" i="2" s="1"/>
  <c r="Q4530" i="2"/>
  <c r="S4530" i="2" s="1"/>
  <c r="T4530" i="2" s="1"/>
  <c r="U4530" i="2" s="1"/>
  <c r="Q4531" i="2"/>
  <c r="S4531" i="2" s="1"/>
  <c r="Q4532" i="2"/>
  <c r="S4532" i="2" s="1"/>
  <c r="T4532" i="2" s="1"/>
  <c r="U4532" i="2" s="1"/>
  <c r="Q4533" i="2"/>
  <c r="S4533" i="2" s="1"/>
  <c r="T4533" i="2" s="1"/>
  <c r="U4533" i="2" s="1"/>
  <c r="Q4534" i="2"/>
  <c r="S4534" i="2" s="1"/>
  <c r="Q4535" i="2"/>
  <c r="S4535" i="2" s="1"/>
  <c r="T4535" i="2" s="1"/>
  <c r="U4535" i="2" s="1"/>
  <c r="Q4536" i="2"/>
  <c r="S4536" i="2" s="1"/>
  <c r="T4536" i="2" s="1"/>
  <c r="U4536" i="2" s="1"/>
  <c r="Q4537" i="2"/>
  <c r="S4537" i="2" s="1"/>
  <c r="Q4538" i="2"/>
  <c r="S4538" i="2" s="1"/>
  <c r="Q4539" i="2"/>
  <c r="S4539" i="2" s="1"/>
  <c r="T4539" i="2" s="1"/>
  <c r="U4539" i="2" s="1"/>
  <c r="Q4540" i="2"/>
  <c r="S4540" i="2" s="1"/>
  <c r="T4540" i="2" s="1"/>
  <c r="U4540" i="2" s="1"/>
  <c r="Q4541" i="2"/>
  <c r="S4541" i="2" s="1"/>
  <c r="T4541" i="2" s="1"/>
  <c r="U4541" i="2" s="1"/>
  <c r="Q4542" i="2"/>
  <c r="S4542" i="2" s="1"/>
  <c r="T4542" i="2" s="1"/>
  <c r="U4542" i="2" s="1"/>
  <c r="Q4543" i="2"/>
  <c r="S4543" i="2" s="1"/>
  <c r="T4543" i="2" s="1"/>
  <c r="U4543" i="2" s="1"/>
  <c r="Q4544" i="2"/>
  <c r="S4544" i="2" s="1"/>
  <c r="T4544" i="2" s="1"/>
  <c r="U4544" i="2" s="1"/>
  <c r="Q4545" i="2"/>
  <c r="S4545" i="2" s="1"/>
  <c r="T4545" i="2" s="1"/>
  <c r="U4545" i="2" s="1"/>
  <c r="Q4546" i="2"/>
  <c r="S4546" i="2" s="1"/>
  <c r="T4546" i="2" s="1"/>
  <c r="U4546" i="2" s="1"/>
  <c r="Q4547" i="2"/>
  <c r="S4547" i="2" s="1"/>
  <c r="Q4548" i="2"/>
  <c r="S4548" i="2" s="1"/>
  <c r="T4548" i="2" s="1"/>
  <c r="U4548" i="2" s="1"/>
  <c r="Q4549" i="2"/>
  <c r="S4549" i="2" s="1"/>
  <c r="Q4550" i="2"/>
  <c r="S4550" i="2" s="1"/>
  <c r="T4550" i="2" s="1"/>
  <c r="U4550" i="2" s="1"/>
  <c r="Q4551" i="2"/>
  <c r="S4551" i="2" s="1"/>
  <c r="T4551" i="2" s="1"/>
  <c r="U4551" i="2" s="1"/>
  <c r="Q4552" i="2"/>
  <c r="S4552" i="2" s="1"/>
  <c r="T4552" i="2" s="1"/>
  <c r="U4552" i="2" s="1"/>
  <c r="Q4553" i="2"/>
  <c r="S4553" i="2" s="1"/>
  <c r="T4553" i="2" s="1"/>
  <c r="U4553" i="2" s="1"/>
  <c r="Q4554" i="2"/>
  <c r="S4554" i="2" s="1"/>
  <c r="T4554" i="2" s="1"/>
  <c r="U4554" i="2" s="1"/>
  <c r="Q4555" i="2"/>
  <c r="S4555" i="2" s="1"/>
  <c r="T4555" i="2" s="1"/>
  <c r="U4555" i="2" s="1"/>
  <c r="Q4556" i="2"/>
  <c r="S4556" i="2" s="1"/>
  <c r="T4556" i="2" s="1"/>
  <c r="U4556" i="2" s="1"/>
  <c r="Q4557" i="2"/>
  <c r="S4557" i="2" s="1"/>
  <c r="T4557" i="2" s="1"/>
  <c r="U4557" i="2" s="1"/>
  <c r="Q4558" i="2"/>
  <c r="S4558" i="2" s="1"/>
  <c r="T4558" i="2" s="1"/>
  <c r="U4558" i="2" s="1"/>
  <c r="Q4559" i="2"/>
  <c r="S4559" i="2" s="1"/>
  <c r="T4559" i="2" s="1"/>
  <c r="U4559" i="2" s="1"/>
  <c r="Q4560" i="2"/>
  <c r="S4560" i="2" s="1"/>
  <c r="Q4561" i="2"/>
  <c r="S4561" i="2" s="1"/>
  <c r="T4561" i="2" s="1"/>
  <c r="U4561" i="2" s="1"/>
  <c r="Q4562" i="2"/>
  <c r="S4562" i="2" s="1"/>
  <c r="T4562" i="2" s="1"/>
  <c r="U4562" i="2" s="1"/>
  <c r="Q4563" i="2"/>
  <c r="S4563" i="2" s="1"/>
  <c r="Q4564" i="2"/>
  <c r="S4564" i="2" s="1"/>
  <c r="T4564" i="2" s="1"/>
  <c r="U4564" i="2" s="1"/>
  <c r="Q4565" i="2"/>
  <c r="S4565" i="2" s="1"/>
  <c r="T4565" i="2" s="1"/>
  <c r="U4565" i="2" s="1"/>
  <c r="Q4566" i="2"/>
  <c r="S4566" i="2" s="1"/>
  <c r="T4566" i="2" s="1"/>
  <c r="U4566" i="2" s="1"/>
  <c r="Q4567" i="2"/>
  <c r="S4567" i="2" s="1"/>
  <c r="T4567" i="2" s="1"/>
  <c r="U4567" i="2" s="1"/>
  <c r="Q4568" i="2"/>
  <c r="S4568" i="2" s="1"/>
  <c r="T4568" i="2" s="1"/>
  <c r="U4568" i="2" s="1"/>
  <c r="Q4569" i="2"/>
  <c r="S4569" i="2" s="1"/>
  <c r="T4569" i="2" s="1"/>
  <c r="U4569" i="2" s="1"/>
  <c r="Q4570" i="2"/>
  <c r="S4570" i="2" s="1"/>
  <c r="T4570" i="2" s="1"/>
  <c r="U4570" i="2" s="1"/>
  <c r="Q4571" i="2"/>
  <c r="S4571" i="2" s="1"/>
  <c r="T4571" i="2" s="1"/>
  <c r="U4571" i="2" s="1"/>
  <c r="Q4572" i="2"/>
  <c r="S4572" i="2" s="1"/>
  <c r="Q4573" i="2"/>
  <c r="S4573" i="2" s="1"/>
  <c r="Q4574" i="2"/>
  <c r="S4574" i="2" s="1"/>
  <c r="T4574" i="2" s="1"/>
  <c r="U4574" i="2" s="1"/>
  <c r="Q4575" i="2"/>
  <c r="S4575" i="2" s="1"/>
  <c r="Q4576" i="2"/>
  <c r="S4576" i="2" s="1"/>
  <c r="Q4577" i="2"/>
  <c r="S4577" i="2" s="1"/>
  <c r="Q4578" i="2"/>
  <c r="S4578" i="2" s="1"/>
  <c r="T4578" i="2" s="1"/>
  <c r="U4578" i="2" s="1"/>
  <c r="Q4579" i="2"/>
  <c r="S4579" i="2" s="1"/>
  <c r="Q4580" i="2"/>
  <c r="S4580" i="2" s="1"/>
  <c r="T4580" i="2" s="1"/>
  <c r="U4580" i="2" s="1"/>
  <c r="Q4581" i="2"/>
  <c r="S4581" i="2" s="1"/>
  <c r="T4581" i="2" s="1"/>
  <c r="U4581" i="2" s="1"/>
  <c r="Q4582" i="2"/>
  <c r="S4582" i="2" s="1"/>
  <c r="T4582" i="2" s="1"/>
  <c r="U4582" i="2" s="1"/>
  <c r="Q4583" i="2"/>
  <c r="S4583" i="2" s="1"/>
  <c r="T4583" i="2" s="1"/>
  <c r="U4583" i="2" s="1"/>
  <c r="Q4584" i="2"/>
  <c r="S4584" i="2" s="1"/>
  <c r="T4584" i="2" s="1"/>
  <c r="U4584" i="2" s="1"/>
  <c r="Q4585" i="2"/>
  <c r="S4585" i="2" s="1"/>
  <c r="T4585" i="2" s="1"/>
  <c r="U4585" i="2" s="1"/>
  <c r="Q4586" i="2"/>
  <c r="S4586" i="2" s="1"/>
  <c r="T4586" i="2" s="1"/>
  <c r="U4586" i="2" s="1"/>
  <c r="Q4587" i="2"/>
  <c r="S4587" i="2" s="1"/>
  <c r="T4587" i="2" s="1"/>
  <c r="U4587" i="2" s="1"/>
  <c r="Q4588" i="2"/>
  <c r="S4588" i="2" s="1"/>
  <c r="T4588" i="2" s="1"/>
  <c r="U4588" i="2" s="1"/>
  <c r="Q4589" i="2"/>
  <c r="S4589" i="2" s="1"/>
  <c r="T4589" i="2" s="1"/>
  <c r="U4589" i="2" s="1"/>
  <c r="Q4590" i="2"/>
  <c r="S4590" i="2" s="1"/>
  <c r="T4590" i="2" s="1"/>
  <c r="U4590" i="2" s="1"/>
  <c r="Q4591" i="2"/>
  <c r="S4591" i="2" s="1"/>
  <c r="T4591" i="2" s="1"/>
  <c r="U4591" i="2" s="1"/>
  <c r="Q4592" i="2"/>
  <c r="S4592" i="2" s="1"/>
  <c r="T4592" i="2" s="1"/>
  <c r="U4592" i="2" s="1"/>
  <c r="Q4593" i="2"/>
  <c r="S4593" i="2" s="1"/>
  <c r="T4593" i="2" s="1"/>
  <c r="U4593" i="2" s="1"/>
  <c r="Q4594" i="2"/>
  <c r="S4594" i="2" s="1"/>
  <c r="T4594" i="2" s="1"/>
  <c r="U4594" i="2" s="1"/>
  <c r="Q4595" i="2"/>
  <c r="S4595" i="2" s="1"/>
  <c r="T4595" i="2" s="1"/>
  <c r="U4595" i="2" s="1"/>
  <c r="Q4596" i="2"/>
  <c r="S4596" i="2" s="1"/>
  <c r="T4596" i="2" s="1"/>
  <c r="U4596" i="2" s="1"/>
  <c r="Q4597" i="2"/>
  <c r="S4597" i="2" s="1"/>
  <c r="T4597" i="2" s="1"/>
  <c r="U4597" i="2" s="1"/>
  <c r="Q4598" i="2"/>
  <c r="S4598" i="2" s="1"/>
  <c r="T4598" i="2" s="1"/>
  <c r="U4598" i="2" s="1"/>
  <c r="Q4599" i="2"/>
  <c r="S4599" i="2" s="1"/>
  <c r="T4599" i="2" s="1"/>
  <c r="U4599" i="2" s="1"/>
  <c r="Q4600" i="2"/>
  <c r="S4600" i="2" s="1"/>
  <c r="Q4601" i="2"/>
  <c r="S4601" i="2" s="1"/>
  <c r="T4601" i="2" s="1"/>
  <c r="U4601" i="2" s="1"/>
  <c r="Q4602" i="2"/>
  <c r="S4602" i="2" s="1"/>
  <c r="Q4603" i="2"/>
  <c r="S4603" i="2" s="1"/>
  <c r="T4603" i="2" s="1"/>
  <c r="U4603" i="2" s="1"/>
  <c r="Q4604" i="2"/>
  <c r="S4604" i="2" s="1"/>
  <c r="T4604" i="2" s="1"/>
  <c r="U4604" i="2" s="1"/>
  <c r="Q4605" i="2"/>
  <c r="S4605" i="2" s="1"/>
  <c r="Q4606" i="2"/>
  <c r="S4606" i="2" s="1"/>
  <c r="T4606" i="2" s="1"/>
  <c r="U4606" i="2" s="1"/>
  <c r="Q4607" i="2"/>
  <c r="S4607" i="2" s="1"/>
  <c r="T4607" i="2" s="1"/>
  <c r="U4607" i="2" s="1"/>
  <c r="Q4608" i="2"/>
  <c r="S4608" i="2" s="1"/>
  <c r="T4608" i="2" s="1"/>
  <c r="U4608" i="2" s="1"/>
  <c r="Q4609" i="2"/>
  <c r="S4609" i="2" s="1"/>
  <c r="T4609" i="2" s="1"/>
  <c r="U4609" i="2" s="1"/>
  <c r="Q4610" i="2"/>
  <c r="S4610" i="2" s="1"/>
  <c r="T4610" i="2" s="1"/>
  <c r="U4610" i="2" s="1"/>
  <c r="Q4611" i="2"/>
  <c r="S4611" i="2" s="1"/>
  <c r="T4611" i="2" s="1"/>
  <c r="U4611" i="2" s="1"/>
  <c r="Q4612" i="2"/>
  <c r="S4612" i="2" s="1"/>
  <c r="T4612" i="2" s="1"/>
  <c r="U4612" i="2" s="1"/>
  <c r="Q4613" i="2"/>
  <c r="S4613" i="2" s="1"/>
  <c r="T4613" i="2" s="1"/>
  <c r="U4613" i="2" s="1"/>
  <c r="Q4614" i="2"/>
  <c r="S4614" i="2" s="1"/>
  <c r="Q4615" i="2"/>
  <c r="S4615" i="2" s="1"/>
  <c r="T4615" i="2" s="1"/>
  <c r="U4615" i="2" s="1"/>
  <c r="Q4616" i="2"/>
  <c r="S4616" i="2" s="1"/>
  <c r="T4616" i="2" s="1"/>
  <c r="U4616" i="2" s="1"/>
  <c r="Q4617" i="2"/>
  <c r="S4617" i="2" s="1"/>
  <c r="T4617" i="2" s="1"/>
  <c r="U4617" i="2" s="1"/>
  <c r="Q4618" i="2"/>
  <c r="S4618" i="2" s="1"/>
  <c r="Q4619" i="2"/>
  <c r="S4619" i="2" s="1"/>
  <c r="Q4620" i="2"/>
  <c r="S4620" i="2" s="1"/>
  <c r="T4620" i="2" s="1"/>
  <c r="U4620" i="2" s="1"/>
  <c r="Q4621" i="2"/>
  <c r="S4621" i="2" s="1"/>
  <c r="T4621" i="2" s="1"/>
  <c r="U4621" i="2" s="1"/>
  <c r="Q4622" i="2"/>
  <c r="S4622" i="2" s="1"/>
  <c r="Q4623" i="2"/>
  <c r="S4623" i="2" s="1"/>
  <c r="T4623" i="2" s="1"/>
  <c r="U4623" i="2" s="1"/>
  <c r="Q4624" i="2"/>
  <c r="S4624" i="2" s="1"/>
  <c r="T4624" i="2" s="1"/>
  <c r="U4624" i="2" s="1"/>
  <c r="Q4625" i="2"/>
  <c r="S4625" i="2" s="1"/>
  <c r="T4625" i="2" s="1"/>
  <c r="U4625" i="2" s="1"/>
  <c r="Q4626" i="2"/>
  <c r="S4626" i="2" s="1"/>
  <c r="Q4627" i="2"/>
  <c r="S4627" i="2" s="1"/>
  <c r="T4627" i="2" s="1"/>
  <c r="U4627" i="2" s="1"/>
  <c r="Q4628" i="2"/>
  <c r="S4628" i="2" s="1"/>
  <c r="T4628" i="2" s="1"/>
  <c r="U4628" i="2" s="1"/>
  <c r="Q4629" i="2"/>
  <c r="S4629" i="2" s="1"/>
  <c r="Q4630" i="2"/>
  <c r="S4630" i="2" s="1"/>
  <c r="Q4631" i="2"/>
  <c r="S4631" i="2" s="1"/>
  <c r="T4631" i="2" s="1"/>
  <c r="U4631" i="2" s="1"/>
  <c r="Q4632" i="2"/>
  <c r="S4632" i="2" s="1"/>
  <c r="T4632" i="2" s="1"/>
  <c r="U4632" i="2" s="1"/>
  <c r="Q4633" i="2"/>
  <c r="S4633" i="2" s="1"/>
  <c r="T4633" i="2" s="1"/>
  <c r="U4633" i="2" s="1"/>
  <c r="Q4634" i="2"/>
  <c r="S4634" i="2" s="1"/>
  <c r="T4634" i="2" s="1"/>
  <c r="U4634" i="2" s="1"/>
  <c r="Q4635" i="2"/>
  <c r="S4635" i="2" s="1"/>
  <c r="T4635" i="2" s="1"/>
  <c r="U4635" i="2" s="1"/>
  <c r="Q4636" i="2"/>
  <c r="S4636" i="2" s="1"/>
  <c r="Q4637" i="2"/>
  <c r="S4637" i="2" s="1"/>
  <c r="Q4638" i="2"/>
  <c r="S4638" i="2" s="1"/>
  <c r="T4638" i="2" s="1"/>
  <c r="U4638" i="2" s="1"/>
  <c r="Q4639" i="2"/>
  <c r="S4639" i="2" s="1"/>
  <c r="T4639" i="2" s="1"/>
  <c r="U4639" i="2" s="1"/>
  <c r="Q4640" i="2"/>
  <c r="S4640" i="2" s="1"/>
  <c r="T4640" i="2" s="1"/>
  <c r="U4640" i="2" s="1"/>
  <c r="Q4641" i="2"/>
  <c r="S4641" i="2" s="1"/>
  <c r="T4641" i="2" s="1"/>
  <c r="U4641" i="2" s="1"/>
  <c r="Q4642" i="2"/>
  <c r="S4642" i="2" s="1"/>
  <c r="T4642" i="2" s="1"/>
  <c r="U4642" i="2" s="1"/>
  <c r="Q4643" i="2"/>
  <c r="S4643" i="2" s="1"/>
  <c r="T4643" i="2" s="1"/>
  <c r="U4643" i="2" s="1"/>
  <c r="Q4644" i="2"/>
  <c r="S4644" i="2" s="1"/>
  <c r="T4644" i="2" s="1"/>
  <c r="U4644" i="2" s="1"/>
  <c r="Q4645" i="2"/>
  <c r="S4645" i="2" s="1"/>
  <c r="Q4646" i="2"/>
  <c r="S4646" i="2" s="1"/>
  <c r="T4646" i="2" s="1"/>
  <c r="U4646" i="2" s="1"/>
  <c r="Q4647" i="2"/>
  <c r="S4647" i="2" s="1"/>
  <c r="T4647" i="2" s="1"/>
  <c r="U4647" i="2" s="1"/>
  <c r="Q4648" i="2"/>
  <c r="S4648" i="2" s="1"/>
  <c r="Q4649" i="2"/>
  <c r="S4649" i="2" s="1"/>
  <c r="Q4650" i="2"/>
  <c r="S4650" i="2" s="1"/>
  <c r="T4650" i="2" s="1"/>
  <c r="U4650" i="2" s="1"/>
  <c r="Q4651" i="2"/>
  <c r="S4651" i="2" s="1"/>
  <c r="T4651" i="2" s="1"/>
  <c r="U4651" i="2" s="1"/>
  <c r="Q4652" i="2"/>
  <c r="S4652" i="2" s="1"/>
  <c r="Q4653" i="2"/>
  <c r="S4653" i="2" s="1"/>
  <c r="T4653" i="2" s="1"/>
  <c r="U4653" i="2" s="1"/>
  <c r="Q4654" i="2"/>
  <c r="S4654" i="2" s="1"/>
  <c r="T4654" i="2" s="1"/>
  <c r="U4654" i="2" s="1"/>
  <c r="Q4655" i="2"/>
  <c r="S4655" i="2" s="1"/>
  <c r="Q4656" i="2"/>
  <c r="S4656" i="2" s="1"/>
  <c r="T4656" i="2" s="1"/>
  <c r="U4656" i="2" s="1"/>
  <c r="Q4657" i="2"/>
  <c r="S4657" i="2" s="1"/>
  <c r="T4657" i="2" s="1"/>
  <c r="U4657" i="2" s="1"/>
  <c r="Q4658" i="2"/>
  <c r="S4658" i="2" s="1"/>
  <c r="T4658" i="2" s="1"/>
  <c r="U4658" i="2" s="1"/>
  <c r="Q4659" i="2"/>
  <c r="S4659" i="2" s="1"/>
  <c r="T4659" i="2" s="1"/>
  <c r="U4659" i="2" s="1"/>
  <c r="Q4660" i="2"/>
  <c r="S4660" i="2" s="1"/>
  <c r="T4660" i="2" s="1"/>
  <c r="U4660" i="2" s="1"/>
  <c r="Q4661" i="2"/>
  <c r="S4661" i="2" s="1"/>
  <c r="T4661" i="2" s="1"/>
  <c r="U4661" i="2" s="1"/>
  <c r="Q4662" i="2"/>
  <c r="S4662" i="2" s="1"/>
  <c r="T4662" i="2" s="1"/>
  <c r="U4662" i="2" s="1"/>
  <c r="Q4663" i="2"/>
  <c r="S4663" i="2" s="1"/>
  <c r="T4663" i="2" s="1"/>
  <c r="U4663" i="2" s="1"/>
  <c r="Q4664" i="2"/>
  <c r="S4664" i="2" s="1"/>
  <c r="T4664" i="2" s="1"/>
  <c r="U4664" i="2" s="1"/>
  <c r="Q4665" i="2"/>
  <c r="S4665" i="2" s="1"/>
  <c r="T4665" i="2" s="1"/>
  <c r="U4665" i="2" s="1"/>
  <c r="Q4666" i="2"/>
  <c r="S4666" i="2" s="1"/>
  <c r="T4666" i="2" s="1"/>
  <c r="U4666" i="2" s="1"/>
  <c r="Q4667" i="2"/>
  <c r="S4667" i="2" s="1"/>
  <c r="T4667" i="2" s="1"/>
  <c r="U4667" i="2" s="1"/>
  <c r="Q4668" i="2"/>
  <c r="S4668" i="2" s="1"/>
  <c r="T4668" i="2" s="1"/>
  <c r="U4668" i="2" s="1"/>
  <c r="Q4669" i="2"/>
  <c r="S4669" i="2" s="1"/>
  <c r="Q4670" i="2"/>
  <c r="S4670" i="2" s="1"/>
  <c r="T4670" i="2" s="1"/>
  <c r="U4670" i="2" s="1"/>
  <c r="Q4671" i="2"/>
  <c r="S4671" i="2" s="1"/>
  <c r="T4671" i="2" s="1"/>
  <c r="U4671" i="2" s="1"/>
  <c r="Q4672" i="2"/>
  <c r="S4672" i="2" s="1"/>
  <c r="T4672" i="2" s="1"/>
  <c r="U4672" i="2" s="1"/>
  <c r="Q4673" i="2"/>
  <c r="S4673" i="2" s="1"/>
  <c r="T4673" i="2" s="1"/>
  <c r="U4673" i="2" s="1"/>
  <c r="Q4674" i="2"/>
  <c r="S4674" i="2" s="1"/>
  <c r="T4674" i="2" s="1"/>
  <c r="U4674" i="2" s="1"/>
  <c r="Q4675" i="2"/>
  <c r="S4675" i="2" s="1"/>
  <c r="T4675" i="2" s="1"/>
  <c r="U4675" i="2" s="1"/>
  <c r="Q4676" i="2"/>
  <c r="S4676" i="2" s="1"/>
  <c r="T4676" i="2" s="1"/>
  <c r="U4676" i="2" s="1"/>
  <c r="Q4677" i="2"/>
  <c r="S4677" i="2" s="1"/>
  <c r="T4677" i="2" s="1"/>
  <c r="U4677" i="2" s="1"/>
  <c r="Q4678" i="2"/>
  <c r="S4678" i="2" s="1"/>
  <c r="T4678" i="2" s="1"/>
  <c r="U4678" i="2" s="1"/>
  <c r="Q4679" i="2"/>
  <c r="S4679" i="2" s="1"/>
  <c r="T4679" i="2" s="1"/>
  <c r="U4679" i="2" s="1"/>
  <c r="Q4680" i="2"/>
  <c r="S4680" i="2" s="1"/>
  <c r="T4680" i="2" s="1"/>
  <c r="U4680" i="2" s="1"/>
  <c r="Q4681" i="2"/>
  <c r="S4681" i="2" s="1"/>
  <c r="T4681" i="2" s="1"/>
  <c r="U4681" i="2" s="1"/>
  <c r="Q4682" i="2"/>
  <c r="S4682" i="2" s="1"/>
  <c r="T4682" i="2" s="1"/>
  <c r="U4682" i="2" s="1"/>
  <c r="Q4683" i="2"/>
  <c r="S4683" i="2" s="1"/>
  <c r="Q4684" i="2"/>
  <c r="S4684" i="2" s="1"/>
  <c r="T4684" i="2" s="1"/>
  <c r="U4684" i="2" s="1"/>
  <c r="Q4685" i="2"/>
  <c r="S4685" i="2" s="1"/>
  <c r="T4685" i="2" s="1"/>
  <c r="U4685" i="2" s="1"/>
  <c r="Q4686" i="2"/>
  <c r="S4686" i="2" s="1"/>
  <c r="T4686" i="2" s="1"/>
  <c r="U4686" i="2" s="1"/>
  <c r="Q4687" i="2"/>
  <c r="S4687" i="2" s="1"/>
  <c r="T4687" i="2" s="1"/>
  <c r="U4687" i="2" s="1"/>
  <c r="Q4688" i="2"/>
  <c r="S4688" i="2" s="1"/>
  <c r="Q4689" i="2"/>
  <c r="S4689" i="2" s="1"/>
  <c r="Q4690" i="2"/>
  <c r="S4690" i="2" s="1"/>
  <c r="T4690" i="2" s="1"/>
  <c r="U4690" i="2" s="1"/>
  <c r="Q4691" i="2"/>
  <c r="S4691" i="2" s="1"/>
  <c r="Q4692" i="2"/>
  <c r="S4692" i="2" s="1"/>
  <c r="T4692" i="2" s="1"/>
  <c r="U4692" i="2" s="1"/>
  <c r="Q4693" i="2"/>
  <c r="S4693" i="2" s="1"/>
  <c r="T4693" i="2" s="1"/>
  <c r="U4693" i="2" s="1"/>
  <c r="Q4694" i="2"/>
  <c r="S4694" i="2" s="1"/>
  <c r="T4694" i="2" s="1"/>
  <c r="U4694" i="2" s="1"/>
  <c r="Q4695" i="2"/>
  <c r="S4695" i="2" s="1"/>
  <c r="T4695" i="2" s="1"/>
  <c r="U4695" i="2" s="1"/>
  <c r="Q4696" i="2"/>
  <c r="S4696" i="2" s="1"/>
  <c r="T4696" i="2" s="1"/>
  <c r="U4696" i="2" s="1"/>
  <c r="Q4697" i="2"/>
  <c r="S4697" i="2" s="1"/>
  <c r="T4697" i="2" s="1"/>
  <c r="U4697" i="2" s="1"/>
  <c r="Q4698" i="2"/>
  <c r="S4698" i="2" s="1"/>
  <c r="T4698" i="2" s="1"/>
  <c r="U4698" i="2" s="1"/>
  <c r="Q4699" i="2"/>
  <c r="S4699" i="2" s="1"/>
  <c r="T4699" i="2" s="1"/>
  <c r="U4699" i="2" s="1"/>
  <c r="Q4700" i="2"/>
  <c r="S4700" i="2" s="1"/>
  <c r="Q4701" i="2"/>
  <c r="S4701" i="2" s="1"/>
  <c r="T4701" i="2" s="1"/>
  <c r="U4701" i="2" s="1"/>
  <c r="Q4702" i="2"/>
  <c r="S4702" i="2" s="1"/>
  <c r="T4702" i="2" s="1"/>
  <c r="U4702" i="2" s="1"/>
  <c r="Q4703" i="2"/>
  <c r="S4703" i="2" s="1"/>
  <c r="Q4704" i="2"/>
  <c r="S4704" i="2" s="1"/>
  <c r="Q4705" i="2"/>
  <c r="S4705" i="2" s="1"/>
  <c r="T4705" i="2" s="1"/>
  <c r="U4705" i="2" s="1"/>
  <c r="Q4706" i="2"/>
  <c r="S4706" i="2" s="1"/>
  <c r="T4706" i="2" s="1"/>
  <c r="U4706" i="2" s="1"/>
  <c r="Q4707" i="2"/>
  <c r="S4707" i="2" s="1"/>
  <c r="T4707" i="2" s="1"/>
  <c r="U4707" i="2" s="1"/>
  <c r="Q4708" i="2"/>
  <c r="S4708" i="2" s="1"/>
  <c r="T4708" i="2" s="1"/>
  <c r="U4708" i="2" s="1"/>
  <c r="Q4709" i="2"/>
  <c r="S4709" i="2" s="1"/>
  <c r="T4709" i="2" s="1"/>
  <c r="U4709" i="2" s="1"/>
  <c r="Q4710" i="2"/>
  <c r="S4710" i="2" s="1"/>
  <c r="T4710" i="2" s="1"/>
  <c r="U4710" i="2" s="1"/>
  <c r="Q4711" i="2"/>
  <c r="S4711" i="2" s="1"/>
  <c r="T4711" i="2" s="1"/>
  <c r="U4711" i="2" s="1"/>
  <c r="Q4712" i="2"/>
  <c r="S4712" i="2" s="1"/>
  <c r="T4712" i="2" s="1"/>
  <c r="U4712" i="2" s="1"/>
  <c r="Q4713" i="2"/>
  <c r="S4713" i="2" s="1"/>
  <c r="Q4714" i="2"/>
  <c r="S4714" i="2" s="1"/>
  <c r="T4714" i="2" s="1"/>
  <c r="U4714" i="2" s="1"/>
  <c r="Q4715" i="2"/>
  <c r="S4715" i="2" s="1"/>
  <c r="T4715" i="2" s="1"/>
  <c r="U4715" i="2" s="1"/>
  <c r="Q4716" i="2"/>
  <c r="S4716" i="2" s="1"/>
  <c r="Q4717" i="2"/>
  <c r="S4717" i="2" s="1"/>
  <c r="T4717" i="2" s="1"/>
  <c r="U4717" i="2" s="1"/>
  <c r="Q4718" i="2"/>
  <c r="S4718" i="2" s="1"/>
  <c r="T4718" i="2" s="1"/>
  <c r="U4718" i="2" s="1"/>
  <c r="Q4719" i="2"/>
  <c r="S4719" i="2" s="1"/>
  <c r="T4719" i="2" s="1"/>
  <c r="U4719" i="2" s="1"/>
  <c r="Q4720" i="2"/>
  <c r="S4720" i="2" s="1"/>
  <c r="T4720" i="2" s="1"/>
  <c r="U4720" i="2" s="1"/>
  <c r="Q4721" i="2"/>
  <c r="S4721" i="2" s="1"/>
  <c r="T4721" i="2" s="1"/>
  <c r="U4721" i="2" s="1"/>
  <c r="Q4722" i="2"/>
  <c r="S4722" i="2" s="1"/>
  <c r="T4722" i="2" s="1"/>
  <c r="U4722" i="2" s="1"/>
  <c r="Q4723" i="2"/>
  <c r="S4723" i="2" s="1"/>
  <c r="T4723" i="2" s="1"/>
  <c r="U4723" i="2" s="1"/>
  <c r="Q4724" i="2"/>
  <c r="S4724" i="2" s="1"/>
  <c r="T4724" i="2" s="1"/>
  <c r="U4724" i="2" s="1"/>
  <c r="Q4725" i="2"/>
  <c r="S4725" i="2" s="1"/>
  <c r="T4725" i="2" s="1"/>
  <c r="U4725" i="2" s="1"/>
  <c r="Q4726" i="2"/>
  <c r="S4726" i="2" s="1"/>
  <c r="T4726" i="2" s="1"/>
  <c r="U4726" i="2" s="1"/>
  <c r="Q4727" i="2"/>
  <c r="S4727" i="2" s="1"/>
  <c r="Q4728" i="2"/>
  <c r="S4728" i="2" s="1"/>
  <c r="T4728" i="2" s="1"/>
  <c r="U4728" i="2" s="1"/>
  <c r="Q4729" i="2"/>
  <c r="S4729" i="2" s="1"/>
  <c r="T4729" i="2" s="1"/>
  <c r="U4729" i="2" s="1"/>
  <c r="Q4730" i="2"/>
  <c r="S4730" i="2" s="1"/>
  <c r="T4730" i="2" s="1"/>
  <c r="U4730" i="2" s="1"/>
  <c r="Q4731" i="2"/>
  <c r="S4731" i="2" s="1"/>
  <c r="T4731" i="2" s="1"/>
  <c r="U4731" i="2" s="1"/>
  <c r="Q4732" i="2"/>
  <c r="S4732" i="2" s="1"/>
  <c r="Q4733" i="2"/>
  <c r="S4733" i="2" s="1"/>
  <c r="T4733" i="2" s="1"/>
  <c r="U4733" i="2" s="1"/>
  <c r="Q4734" i="2"/>
  <c r="S4734" i="2" s="1"/>
  <c r="T4734" i="2" s="1"/>
  <c r="U4734" i="2" s="1"/>
  <c r="Q4735" i="2"/>
  <c r="S4735" i="2" s="1"/>
  <c r="T4735" i="2" s="1"/>
  <c r="U4735" i="2" s="1"/>
  <c r="Q4736" i="2"/>
  <c r="S4736" i="2" s="1"/>
  <c r="T4736" i="2" s="1"/>
  <c r="U4736" i="2" s="1"/>
  <c r="Q4737" i="2"/>
  <c r="S4737" i="2" s="1"/>
  <c r="T4737" i="2" s="1"/>
  <c r="U4737" i="2" s="1"/>
  <c r="Q4738" i="2"/>
  <c r="S4738" i="2" s="1"/>
  <c r="T4738" i="2" s="1"/>
  <c r="U4738" i="2" s="1"/>
  <c r="Q4739" i="2"/>
  <c r="S4739" i="2" s="1"/>
  <c r="T4739" i="2" s="1"/>
  <c r="U4739" i="2" s="1"/>
  <c r="Q4740" i="2"/>
  <c r="S4740" i="2" s="1"/>
  <c r="Q4741" i="2"/>
  <c r="S4741" i="2" s="1"/>
  <c r="T4741" i="2" s="1"/>
  <c r="U4741" i="2" s="1"/>
  <c r="Q4742" i="2"/>
  <c r="S4742" i="2" s="1"/>
  <c r="T4742" i="2" s="1"/>
  <c r="U4742" i="2" s="1"/>
  <c r="Q4743" i="2"/>
  <c r="S4743" i="2" s="1"/>
  <c r="T4743" i="2" s="1"/>
  <c r="U4743" i="2" s="1"/>
  <c r="Q4744" i="2"/>
  <c r="S4744" i="2" s="1"/>
  <c r="T4744" i="2" s="1"/>
  <c r="U4744" i="2" s="1"/>
  <c r="Q4745" i="2"/>
  <c r="S4745" i="2" s="1"/>
  <c r="T4745" i="2" s="1"/>
  <c r="U4745" i="2" s="1"/>
  <c r="Q4746" i="2"/>
  <c r="S4746" i="2" s="1"/>
  <c r="Q4747" i="2"/>
  <c r="S4747" i="2" s="1"/>
  <c r="Q4748" i="2"/>
  <c r="S4748" i="2" s="1"/>
  <c r="T4748" i="2" s="1"/>
  <c r="U4748" i="2" s="1"/>
  <c r="Q4749" i="2"/>
  <c r="S4749" i="2" s="1"/>
  <c r="Q4750" i="2"/>
  <c r="S4750" i="2" s="1"/>
  <c r="T4750" i="2" s="1"/>
  <c r="U4750" i="2" s="1"/>
  <c r="Q4751" i="2"/>
  <c r="S4751" i="2" s="1"/>
  <c r="T4751" i="2" s="1"/>
  <c r="U4751" i="2" s="1"/>
  <c r="Q4752" i="2"/>
  <c r="S4752" i="2" s="1"/>
  <c r="T4752" i="2" s="1"/>
  <c r="U4752" i="2" s="1"/>
  <c r="Q4753" i="2"/>
  <c r="S4753" i="2" s="1"/>
  <c r="Q4754" i="2"/>
  <c r="S4754" i="2" s="1"/>
  <c r="T4754" i="2" s="1"/>
  <c r="U4754" i="2" s="1"/>
  <c r="Q4755" i="2"/>
  <c r="S4755" i="2" s="1"/>
  <c r="T4755" i="2" s="1"/>
  <c r="U4755" i="2" s="1"/>
  <c r="Q4756" i="2"/>
  <c r="S4756" i="2" s="1"/>
  <c r="T4756" i="2" s="1"/>
  <c r="U4756" i="2" s="1"/>
  <c r="Q4757" i="2"/>
  <c r="S4757" i="2" s="1"/>
  <c r="Q4758" i="2"/>
  <c r="S4758" i="2" s="1"/>
  <c r="T4758" i="2" s="1"/>
  <c r="U4758" i="2" s="1"/>
  <c r="Q4759" i="2"/>
  <c r="S4759" i="2" s="1"/>
  <c r="T4759" i="2" s="1"/>
  <c r="U4759" i="2" s="1"/>
  <c r="Q4760" i="2"/>
  <c r="S4760" i="2" s="1"/>
  <c r="T4760" i="2" s="1"/>
  <c r="U4760" i="2" s="1"/>
  <c r="Q4761" i="2"/>
  <c r="S4761" i="2" s="1"/>
  <c r="T4761" i="2" s="1"/>
  <c r="U4761" i="2" s="1"/>
  <c r="Q4762" i="2"/>
  <c r="S4762" i="2" s="1"/>
  <c r="T4762" i="2" s="1"/>
  <c r="U4762" i="2" s="1"/>
  <c r="Q4763" i="2"/>
  <c r="S4763" i="2" s="1"/>
  <c r="T4763" i="2" s="1"/>
  <c r="U4763" i="2" s="1"/>
  <c r="Q4764" i="2"/>
  <c r="S4764" i="2" s="1"/>
  <c r="T4764" i="2" s="1"/>
  <c r="U4764" i="2" s="1"/>
  <c r="Q4765" i="2"/>
  <c r="S4765" i="2" s="1"/>
  <c r="T4765" i="2" s="1"/>
  <c r="U4765" i="2" s="1"/>
  <c r="Q4766" i="2"/>
  <c r="S4766" i="2" s="1"/>
  <c r="T4766" i="2" s="1"/>
  <c r="U4766" i="2" s="1"/>
  <c r="Q4767" i="2"/>
  <c r="S4767" i="2" s="1"/>
  <c r="T4767" i="2" s="1"/>
  <c r="U4767" i="2" s="1"/>
  <c r="Q4768" i="2"/>
  <c r="S4768" i="2" s="1"/>
  <c r="T4768" i="2" s="1"/>
  <c r="U4768" i="2" s="1"/>
  <c r="Q4769" i="2"/>
  <c r="S4769" i="2" s="1"/>
  <c r="T4769" i="2" s="1"/>
  <c r="U4769" i="2" s="1"/>
  <c r="Q4770" i="2"/>
  <c r="S4770" i="2" s="1"/>
  <c r="Q4771" i="2"/>
  <c r="S4771" i="2" s="1"/>
  <c r="T4771" i="2" s="1"/>
  <c r="U4771" i="2" s="1"/>
  <c r="Q4772" i="2"/>
  <c r="S4772" i="2" s="1"/>
  <c r="T4772" i="2" s="1"/>
  <c r="U4772" i="2" s="1"/>
  <c r="Q4773" i="2"/>
  <c r="S4773" i="2" s="1"/>
  <c r="T4773" i="2" s="1"/>
  <c r="U4773" i="2" s="1"/>
  <c r="Q4774" i="2"/>
  <c r="S4774" i="2" s="1"/>
  <c r="T4774" i="2" s="1"/>
  <c r="U4774" i="2" s="1"/>
  <c r="Q4775" i="2"/>
  <c r="S4775" i="2" s="1"/>
  <c r="Q4776" i="2"/>
  <c r="S4776" i="2" s="1"/>
  <c r="T4776" i="2" s="1"/>
  <c r="U4776" i="2" s="1"/>
  <c r="Q4777" i="2"/>
  <c r="S4777" i="2" s="1"/>
  <c r="Q4778" i="2"/>
  <c r="S4778" i="2" s="1"/>
  <c r="T4778" i="2" s="1"/>
  <c r="U4778" i="2" s="1"/>
  <c r="Q4779" i="2"/>
  <c r="S4779" i="2" s="1"/>
  <c r="T4779" i="2" s="1"/>
  <c r="U4779" i="2" s="1"/>
  <c r="Q4780" i="2"/>
  <c r="S4780" i="2" s="1"/>
  <c r="Q4781" i="2"/>
  <c r="S4781" i="2" s="1"/>
  <c r="T4781" i="2" s="1"/>
  <c r="U4781" i="2" s="1"/>
  <c r="Q4782" i="2"/>
  <c r="S4782" i="2" s="1"/>
  <c r="T4782" i="2" s="1"/>
  <c r="U4782" i="2" s="1"/>
  <c r="Q4783" i="2"/>
  <c r="S4783" i="2" s="1"/>
  <c r="Q4784" i="2"/>
  <c r="S4784" i="2" s="1"/>
  <c r="T4784" i="2" s="1"/>
  <c r="U4784" i="2" s="1"/>
  <c r="Q4785" i="2"/>
  <c r="S4785" i="2" s="1"/>
  <c r="T4785" i="2" s="1"/>
  <c r="U4785" i="2" s="1"/>
  <c r="Q4786" i="2"/>
  <c r="S4786" i="2" s="1"/>
  <c r="T4786" i="2" s="1"/>
  <c r="U4786" i="2" s="1"/>
  <c r="Q4787" i="2"/>
  <c r="S4787" i="2" s="1"/>
  <c r="T4787" i="2" s="1"/>
  <c r="U4787" i="2" s="1"/>
  <c r="Q4788" i="2"/>
  <c r="S4788" i="2" s="1"/>
  <c r="T4788" i="2" s="1"/>
  <c r="U4788" i="2" s="1"/>
  <c r="Q4789" i="2"/>
  <c r="S4789" i="2" s="1"/>
  <c r="T4789" i="2" s="1"/>
  <c r="U4789" i="2" s="1"/>
  <c r="Q4790" i="2"/>
  <c r="S4790" i="2" s="1"/>
  <c r="Q4791" i="2"/>
  <c r="S4791" i="2" s="1"/>
  <c r="T4791" i="2" s="1"/>
  <c r="U4791" i="2" s="1"/>
  <c r="Q4792" i="2"/>
  <c r="S4792" i="2" s="1"/>
  <c r="Q4793" i="2"/>
  <c r="S4793" i="2" s="1"/>
  <c r="T4793" i="2" s="1"/>
  <c r="U4793" i="2" s="1"/>
  <c r="Q4794" i="2"/>
  <c r="S4794" i="2" s="1"/>
  <c r="Q4795" i="2"/>
  <c r="S4795" i="2" s="1"/>
  <c r="T4795" i="2" s="1"/>
  <c r="U4795" i="2" s="1"/>
  <c r="Q4796" i="2"/>
  <c r="S4796" i="2" s="1"/>
  <c r="T4796" i="2" s="1"/>
  <c r="U4796" i="2" s="1"/>
  <c r="Q4797" i="2"/>
  <c r="S4797" i="2" s="1"/>
  <c r="T4797" i="2" s="1"/>
  <c r="U4797" i="2" s="1"/>
  <c r="Q4798" i="2"/>
  <c r="S4798" i="2" s="1"/>
  <c r="Q4799" i="2"/>
  <c r="S4799" i="2" s="1"/>
  <c r="Q4800" i="2"/>
  <c r="S4800" i="2" s="1"/>
  <c r="Q4801" i="2"/>
  <c r="S4801" i="2" s="1"/>
  <c r="Q4802" i="2"/>
  <c r="S4802" i="2" s="1"/>
  <c r="T4802" i="2" s="1"/>
  <c r="U4802" i="2" s="1"/>
  <c r="Q4803" i="2"/>
  <c r="S4803" i="2" s="1"/>
  <c r="T4803" i="2" s="1"/>
  <c r="U4803" i="2" s="1"/>
  <c r="Q4804" i="2"/>
  <c r="S4804" i="2" s="1"/>
  <c r="T4804" i="2" s="1"/>
  <c r="U4804" i="2" s="1"/>
  <c r="Q4805" i="2"/>
  <c r="S4805" i="2" s="1"/>
  <c r="Q4806" i="2"/>
  <c r="S4806" i="2" s="1"/>
  <c r="Q4807" i="2"/>
  <c r="S4807" i="2" s="1"/>
  <c r="T4807" i="2" s="1"/>
  <c r="U4807" i="2" s="1"/>
  <c r="Q4808" i="2"/>
  <c r="S4808" i="2" s="1"/>
  <c r="Q4809" i="2"/>
  <c r="S4809" i="2" s="1"/>
  <c r="T4809" i="2" s="1"/>
  <c r="U4809" i="2" s="1"/>
  <c r="Q4810" i="2"/>
  <c r="S4810" i="2" s="1"/>
  <c r="T4810" i="2" s="1"/>
  <c r="U4810" i="2" s="1"/>
  <c r="Q4811" i="2"/>
  <c r="S4811" i="2" s="1"/>
  <c r="T4811" i="2" s="1"/>
  <c r="U4811" i="2" s="1"/>
  <c r="Q4812" i="2"/>
  <c r="S4812" i="2" s="1"/>
  <c r="Q4813" i="2"/>
  <c r="S4813" i="2" s="1"/>
  <c r="T4813" i="2" s="1"/>
  <c r="U4813" i="2" s="1"/>
  <c r="Q4814" i="2"/>
  <c r="S4814" i="2" s="1"/>
  <c r="T4814" i="2" s="1"/>
  <c r="U4814" i="2" s="1"/>
  <c r="Q4815" i="2"/>
  <c r="S4815" i="2" s="1"/>
  <c r="T4815" i="2" s="1"/>
  <c r="U4815" i="2" s="1"/>
  <c r="Q4816" i="2"/>
  <c r="S4816" i="2" s="1"/>
  <c r="T4816" i="2" s="1"/>
  <c r="U4816" i="2" s="1"/>
  <c r="Q4817" i="2"/>
  <c r="S4817" i="2" s="1"/>
  <c r="T4817" i="2" s="1"/>
  <c r="U4817" i="2" s="1"/>
  <c r="Q4818" i="2"/>
  <c r="S4818" i="2" s="1"/>
  <c r="T4818" i="2" s="1"/>
  <c r="U4818" i="2" s="1"/>
  <c r="Q4819" i="2"/>
  <c r="S4819" i="2" s="1"/>
  <c r="T4819" i="2" s="1"/>
  <c r="U4819" i="2" s="1"/>
  <c r="Q4820" i="2"/>
  <c r="S4820" i="2" s="1"/>
  <c r="T4820" i="2" s="1"/>
  <c r="U4820" i="2" s="1"/>
  <c r="Q4821" i="2"/>
  <c r="S4821" i="2" s="1"/>
  <c r="Q4822" i="2"/>
  <c r="S4822" i="2" s="1"/>
  <c r="Q4823" i="2"/>
  <c r="S4823" i="2" s="1"/>
  <c r="T4823" i="2" s="1"/>
  <c r="U4823" i="2" s="1"/>
  <c r="Q4824" i="2"/>
  <c r="S4824" i="2" s="1"/>
  <c r="T4824" i="2" s="1"/>
  <c r="U4824" i="2" s="1"/>
  <c r="Q4825" i="2"/>
  <c r="S4825" i="2" s="1"/>
  <c r="T4825" i="2" s="1"/>
  <c r="U4825" i="2" s="1"/>
  <c r="Q4826" i="2"/>
  <c r="S4826" i="2" s="1"/>
  <c r="T4826" i="2" s="1"/>
  <c r="U4826" i="2" s="1"/>
  <c r="Q4827" i="2"/>
  <c r="S4827" i="2" s="1"/>
  <c r="T4827" i="2" s="1"/>
  <c r="U4827" i="2" s="1"/>
  <c r="Q4828" i="2"/>
  <c r="S4828" i="2" s="1"/>
  <c r="Q4829" i="2"/>
  <c r="S4829" i="2" s="1"/>
  <c r="T4829" i="2" s="1"/>
  <c r="U4829" i="2" s="1"/>
  <c r="Q4830" i="2"/>
  <c r="S4830" i="2" s="1"/>
  <c r="T4830" i="2" s="1"/>
  <c r="U4830" i="2" s="1"/>
  <c r="Q4831" i="2"/>
  <c r="S4831" i="2" s="1"/>
  <c r="T4831" i="2" s="1"/>
  <c r="U4831" i="2" s="1"/>
  <c r="Q4832" i="2"/>
  <c r="S4832" i="2" s="1"/>
  <c r="Q4833" i="2"/>
  <c r="S4833" i="2" s="1"/>
  <c r="T4833" i="2" s="1"/>
  <c r="U4833" i="2" s="1"/>
  <c r="Q4834" i="2"/>
  <c r="S4834" i="2" s="1"/>
  <c r="T4834" i="2" s="1"/>
  <c r="U4834" i="2" s="1"/>
  <c r="Q4835" i="2"/>
  <c r="S4835" i="2" s="1"/>
  <c r="Q4836" i="2"/>
  <c r="S4836" i="2" s="1"/>
  <c r="T4836" i="2" s="1"/>
  <c r="U4836" i="2" s="1"/>
  <c r="Q4837" i="2"/>
  <c r="S4837" i="2" s="1"/>
  <c r="Q4838" i="2"/>
  <c r="S4838" i="2" s="1"/>
  <c r="T4838" i="2" s="1"/>
  <c r="U4838" i="2" s="1"/>
  <c r="Q4839" i="2"/>
  <c r="S4839" i="2" s="1"/>
  <c r="T4839" i="2" s="1"/>
  <c r="U4839" i="2" s="1"/>
  <c r="Q4840" i="2"/>
  <c r="S4840" i="2" s="1"/>
  <c r="T4840" i="2" s="1"/>
  <c r="U4840" i="2" s="1"/>
  <c r="Q4841" i="2"/>
  <c r="S4841" i="2" s="1"/>
  <c r="T4841" i="2" s="1"/>
  <c r="U4841" i="2" s="1"/>
  <c r="Q4842" i="2"/>
  <c r="S4842" i="2" s="1"/>
  <c r="T4842" i="2" s="1"/>
  <c r="U4842" i="2" s="1"/>
  <c r="Q4843" i="2"/>
  <c r="S4843" i="2" s="1"/>
  <c r="Q4844" i="2"/>
  <c r="S4844" i="2" s="1"/>
  <c r="T4844" i="2" s="1"/>
  <c r="U4844" i="2" s="1"/>
  <c r="Q4845" i="2"/>
  <c r="S4845" i="2" s="1"/>
  <c r="Q4846" i="2"/>
  <c r="S4846" i="2" s="1"/>
  <c r="Q4847" i="2"/>
  <c r="S4847" i="2" s="1"/>
  <c r="T4847" i="2" s="1"/>
  <c r="U4847" i="2" s="1"/>
  <c r="Q4848" i="2"/>
  <c r="S4848" i="2" s="1"/>
  <c r="T4848" i="2" s="1"/>
  <c r="U4848" i="2" s="1"/>
  <c r="Q4849" i="2"/>
  <c r="S4849" i="2" s="1"/>
  <c r="Q4850" i="2"/>
  <c r="S4850" i="2" s="1"/>
  <c r="T4850" i="2" s="1"/>
  <c r="U4850" i="2" s="1"/>
  <c r="Q4851" i="2"/>
  <c r="S4851" i="2" s="1"/>
  <c r="T4851" i="2" s="1"/>
  <c r="U4851" i="2" s="1"/>
  <c r="Q4852" i="2"/>
  <c r="S4852" i="2" s="1"/>
  <c r="Q4853" i="2"/>
  <c r="S4853" i="2" s="1"/>
  <c r="T4853" i="2" s="1"/>
  <c r="U4853" i="2" s="1"/>
  <c r="Q4854" i="2"/>
  <c r="S4854" i="2" s="1"/>
  <c r="T4854" i="2" s="1"/>
  <c r="U4854" i="2" s="1"/>
  <c r="Q4855" i="2"/>
  <c r="S4855" i="2" s="1"/>
  <c r="T4855" i="2" s="1"/>
  <c r="U4855" i="2" s="1"/>
  <c r="Q4856" i="2"/>
  <c r="S4856" i="2" s="1"/>
  <c r="T4856" i="2" s="1"/>
  <c r="U4856" i="2" s="1"/>
  <c r="Q4857" i="2"/>
  <c r="S4857" i="2" s="1"/>
  <c r="Q4858" i="2"/>
  <c r="S4858" i="2" s="1"/>
  <c r="T4858" i="2" s="1"/>
  <c r="U4858" i="2" s="1"/>
  <c r="Q4859" i="2"/>
  <c r="S4859" i="2" s="1"/>
  <c r="T4859" i="2" s="1"/>
  <c r="U4859" i="2" s="1"/>
  <c r="Q4860" i="2"/>
  <c r="S4860" i="2" s="1"/>
  <c r="T4860" i="2" s="1"/>
  <c r="U4860" i="2" s="1"/>
  <c r="Q4861" i="2"/>
  <c r="S4861" i="2" s="1"/>
  <c r="T4861" i="2" s="1"/>
  <c r="U4861" i="2" s="1"/>
  <c r="Q4862" i="2"/>
  <c r="S4862" i="2" s="1"/>
  <c r="T4862" i="2" s="1"/>
  <c r="U4862" i="2" s="1"/>
  <c r="Q4863" i="2"/>
  <c r="S4863" i="2" s="1"/>
  <c r="T4863" i="2" s="1"/>
  <c r="U4863" i="2" s="1"/>
  <c r="Q4864" i="2"/>
  <c r="S4864" i="2" s="1"/>
  <c r="T4864" i="2" s="1"/>
  <c r="U4864" i="2" s="1"/>
  <c r="Q4865" i="2"/>
  <c r="S4865" i="2" s="1"/>
  <c r="T4865" i="2" s="1"/>
  <c r="U4865" i="2" s="1"/>
  <c r="Q4866" i="2"/>
  <c r="S4866" i="2" s="1"/>
  <c r="T4866" i="2" s="1"/>
  <c r="U4866" i="2" s="1"/>
  <c r="Q4867" i="2"/>
  <c r="S4867" i="2" s="1"/>
  <c r="Q4868" i="2"/>
  <c r="S4868" i="2" s="1"/>
  <c r="T4868" i="2" s="1"/>
  <c r="U4868" i="2" s="1"/>
  <c r="Q4869" i="2"/>
  <c r="S4869" i="2" s="1"/>
  <c r="T4869" i="2" s="1"/>
  <c r="U4869" i="2" s="1"/>
  <c r="Q4870" i="2"/>
  <c r="S4870" i="2" s="1"/>
  <c r="Q4871" i="2"/>
  <c r="S4871" i="2" s="1"/>
  <c r="T4871" i="2" s="1"/>
  <c r="U4871" i="2" s="1"/>
  <c r="Q4872" i="2"/>
  <c r="S4872" i="2" s="1"/>
  <c r="T4872" i="2" s="1"/>
  <c r="U4872" i="2" s="1"/>
  <c r="Q4873" i="2"/>
  <c r="S4873" i="2" s="1"/>
  <c r="T4873" i="2" s="1"/>
  <c r="U4873" i="2" s="1"/>
  <c r="Q4874" i="2"/>
  <c r="S4874" i="2" s="1"/>
  <c r="T4874" i="2" s="1"/>
  <c r="U4874" i="2" s="1"/>
  <c r="Q4875" i="2"/>
  <c r="S4875" i="2" s="1"/>
  <c r="T4875" i="2" s="1"/>
  <c r="U4875" i="2" s="1"/>
  <c r="Q4876" i="2"/>
  <c r="S4876" i="2" s="1"/>
  <c r="T4876" i="2" s="1"/>
  <c r="U4876" i="2" s="1"/>
  <c r="Q4877" i="2"/>
  <c r="S4877" i="2" s="1"/>
  <c r="T4877" i="2" s="1"/>
  <c r="U4877" i="2" s="1"/>
  <c r="Q4878" i="2"/>
  <c r="S4878" i="2" s="1"/>
  <c r="Q4879" i="2"/>
  <c r="S4879" i="2" s="1"/>
  <c r="Q4880" i="2"/>
  <c r="S4880" i="2" s="1"/>
  <c r="T4880" i="2" s="1"/>
  <c r="U4880" i="2" s="1"/>
  <c r="Q4881" i="2"/>
  <c r="S4881" i="2" s="1"/>
  <c r="Q4882" i="2"/>
  <c r="S4882" i="2" s="1"/>
  <c r="T4882" i="2" s="1"/>
  <c r="U4882" i="2" s="1"/>
  <c r="Q4883" i="2"/>
  <c r="S4883" i="2" s="1"/>
  <c r="Q4884" i="2"/>
  <c r="S4884" i="2" s="1"/>
  <c r="Q4885" i="2"/>
  <c r="S4885" i="2" s="1"/>
  <c r="T4885" i="2" s="1"/>
  <c r="U4885" i="2" s="1"/>
  <c r="Q4886" i="2"/>
  <c r="S4886" i="2" s="1"/>
  <c r="T4886" i="2" s="1"/>
  <c r="U4886" i="2" s="1"/>
  <c r="Q4887" i="2"/>
  <c r="S4887" i="2" s="1"/>
  <c r="T4887" i="2" s="1"/>
  <c r="U4887" i="2" s="1"/>
  <c r="Q4888" i="2"/>
  <c r="S4888" i="2" s="1"/>
  <c r="T4888" i="2" s="1"/>
  <c r="U4888" i="2" s="1"/>
  <c r="Q4889" i="2"/>
  <c r="S4889" i="2" s="1"/>
  <c r="T4889" i="2" s="1"/>
  <c r="U4889" i="2" s="1"/>
  <c r="Q4890" i="2"/>
  <c r="S4890" i="2" s="1"/>
  <c r="T4890" i="2" s="1"/>
  <c r="U4890" i="2" s="1"/>
  <c r="Q4891" i="2"/>
  <c r="S4891" i="2" s="1"/>
  <c r="T4891" i="2" s="1"/>
  <c r="U4891" i="2" s="1"/>
  <c r="Q4892" i="2"/>
  <c r="S4892" i="2" s="1"/>
  <c r="T4892" i="2" s="1"/>
  <c r="U4892" i="2" s="1"/>
  <c r="Q4893" i="2"/>
  <c r="S4893" i="2" s="1"/>
  <c r="T4893" i="2" s="1"/>
  <c r="U4893" i="2" s="1"/>
  <c r="Q4894" i="2"/>
  <c r="S4894" i="2" s="1"/>
  <c r="T4894" i="2" s="1"/>
  <c r="U4894" i="2" s="1"/>
  <c r="Q4895" i="2"/>
  <c r="S4895" i="2" s="1"/>
  <c r="T4895" i="2" s="1"/>
  <c r="U4895" i="2" s="1"/>
  <c r="Q4896" i="2"/>
  <c r="S4896" i="2" s="1"/>
  <c r="T4896" i="2" s="1"/>
  <c r="U4896" i="2" s="1"/>
  <c r="Q4897" i="2"/>
  <c r="S4897" i="2" s="1"/>
  <c r="T4897" i="2" s="1"/>
  <c r="U4897" i="2" s="1"/>
  <c r="Q4898" i="2"/>
  <c r="S4898" i="2" s="1"/>
  <c r="T4898" i="2" s="1"/>
  <c r="U4898" i="2" s="1"/>
  <c r="Q4899" i="2"/>
  <c r="S4899" i="2" s="1"/>
  <c r="T4899" i="2" s="1"/>
  <c r="U4899" i="2" s="1"/>
  <c r="Q4900" i="2"/>
  <c r="S4900" i="2" s="1"/>
  <c r="Q4901" i="2"/>
  <c r="S4901" i="2" s="1"/>
  <c r="T4901" i="2" s="1"/>
  <c r="U4901" i="2" s="1"/>
  <c r="Q4902" i="2"/>
  <c r="S4902" i="2" s="1"/>
  <c r="Q4903" i="2"/>
  <c r="S4903" i="2" s="1"/>
  <c r="T4903" i="2" s="1"/>
  <c r="U4903" i="2" s="1"/>
  <c r="Q4904" i="2"/>
  <c r="S4904" i="2" s="1"/>
  <c r="Q4905" i="2"/>
  <c r="S4905" i="2" s="1"/>
  <c r="T4905" i="2" s="1"/>
  <c r="U4905" i="2" s="1"/>
  <c r="Q4906" i="2"/>
  <c r="S4906" i="2" s="1"/>
  <c r="T4906" i="2" s="1"/>
  <c r="U4906" i="2" s="1"/>
  <c r="Q4907" i="2"/>
  <c r="S4907" i="2" s="1"/>
  <c r="Q4908" i="2"/>
  <c r="S4908" i="2" s="1"/>
  <c r="T4908" i="2" s="1"/>
  <c r="U4908" i="2" s="1"/>
  <c r="Q4909" i="2"/>
  <c r="S4909" i="2" s="1"/>
  <c r="Q4910" i="2"/>
  <c r="S4910" i="2" s="1"/>
  <c r="T4910" i="2" s="1"/>
  <c r="U4910" i="2" s="1"/>
  <c r="Q4911" i="2"/>
  <c r="S4911" i="2" s="1"/>
  <c r="T4911" i="2" s="1"/>
  <c r="U4911" i="2" s="1"/>
  <c r="Q4912" i="2"/>
  <c r="S4912" i="2" s="1"/>
  <c r="T4912" i="2" s="1"/>
  <c r="U4912" i="2" s="1"/>
  <c r="Q4913" i="2"/>
  <c r="S4913" i="2" s="1"/>
  <c r="Q4914" i="2"/>
  <c r="S4914" i="2" s="1"/>
  <c r="T4914" i="2" s="1"/>
  <c r="U4914" i="2" s="1"/>
  <c r="Q4915" i="2"/>
  <c r="S4915" i="2" s="1"/>
  <c r="Q4916" i="2"/>
  <c r="S4916" i="2" s="1"/>
  <c r="T4916" i="2" s="1"/>
  <c r="U4916" i="2" s="1"/>
  <c r="Q4917" i="2"/>
  <c r="S4917" i="2" s="1"/>
  <c r="T4917" i="2" s="1"/>
  <c r="U4917" i="2" s="1"/>
  <c r="Q4918" i="2"/>
  <c r="S4918" i="2" s="1"/>
  <c r="T4918" i="2" s="1"/>
  <c r="U4918" i="2" s="1"/>
  <c r="Q4919" i="2"/>
  <c r="S4919" i="2" s="1"/>
  <c r="T4919" i="2" s="1"/>
  <c r="U4919" i="2" s="1"/>
  <c r="Q4920" i="2"/>
  <c r="S4920" i="2" s="1"/>
  <c r="T4920" i="2" s="1"/>
  <c r="U4920" i="2" s="1"/>
  <c r="Q4921" i="2"/>
  <c r="S4921" i="2" s="1"/>
  <c r="T4921" i="2" s="1"/>
  <c r="U4921" i="2" s="1"/>
  <c r="Q4922" i="2"/>
  <c r="S4922" i="2" s="1"/>
  <c r="T4922" i="2" s="1"/>
  <c r="U4922" i="2" s="1"/>
  <c r="Q4923" i="2"/>
  <c r="S4923" i="2" s="1"/>
  <c r="T4923" i="2" s="1"/>
  <c r="U4923" i="2" s="1"/>
  <c r="Q4924" i="2"/>
  <c r="S4924" i="2" s="1"/>
  <c r="T4924" i="2" s="1"/>
  <c r="U4924" i="2" s="1"/>
  <c r="Q4925" i="2"/>
  <c r="S4925" i="2" s="1"/>
  <c r="Q4926" i="2"/>
  <c r="S4926" i="2" s="1"/>
  <c r="Q4927" i="2"/>
  <c r="S4927" i="2" s="1"/>
  <c r="T4927" i="2" s="1"/>
  <c r="U4927" i="2" s="1"/>
  <c r="Q4928" i="2"/>
  <c r="S4928" i="2" s="1"/>
  <c r="Q4929" i="2"/>
  <c r="S4929" i="2" s="1"/>
  <c r="T4929" i="2" s="1"/>
  <c r="U4929" i="2" s="1"/>
  <c r="Q4930" i="2"/>
  <c r="S4930" i="2" s="1"/>
  <c r="Q4931" i="2"/>
  <c r="S4931" i="2" s="1"/>
  <c r="T4931" i="2" s="1"/>
  <c r="U4931" i="2" s="1"/>
  <c r="Q4932" i="2"/>
  <c r="S4932" i="2" s="1"/>
  <c r="Q4933" i="2"/>
  <c r="S4933" i="2" s="1"/>
  <c r="Q4934" i="2"/>
  <c r="S4934" i="2" s="1"/>
  <c r="T4934" i="2" s="1"/>
  <c r="U4934" i="2" s="1"/>
  <c r="Q4935" i="2"/>
  <c r="S4935" i="2" s="1"/>
  <c r="T4935" i="2" s="1"/>
  <c r="U4935" i="2" s="1"/>
  <c r="Q4936" i="2"/>
  <c r="S4936" i="2" s="1"/>
  <c r="T4936" i="2" s="1"/>
  <c r="U4936" i="2" s="1"/>
  <c r="Q4937" i="2"/>
  <c r="S4937" i="2" s="1"/>
  <c r="T4937" i="2" s="1"/>
  <c r="U4937" i="2" s="1"/>
  <c r="Q4938" i="2"/>
  <c r="S4938" i="2" s="1"/>
  <c r="Q4939" i="2"/>
  <c r="S4939" i="2" s="1"/>
  <c r="T4939" i="2" s="1"/>
  <c r="U4939" i="2" s="1"/>
  <c r="Q4940" i="2"/>
  <c r="S4940" i="2" s="1"/>
  <c r="T4940" i="2" s="1"/>
  <c r="U4940" i="2" s="1"/>
  <c r="Q4941" i="2"/>
  <c r="S4941" i="2" s="1"/>
  <c r="Q4942" i="2"/>
  <c r="S4942" i="2" s="1"/>
  <c r="T4942" i="2" s="1"/>
  <c r="U4942" i="2" s="1"/>
  <c r="Q4943" i="2"/>
  <c r="S4943" i="2" s="1"/>
  <c r="T4943" i="2" s="1"/>
  <c r="U4943" i="2" s="1"/>
  <c r="Q4944" i="2"/>
  <c r="S4944" i="2" s="1"/>
  <c r="T4944" i="2" s="1"/>
  <c r="U4944" i="2" s="1"/>
  <c r="Q4945" i="2"/>
  <c r="S4945" i="2" s="1"/>
  <c r="T4945" i="2" s="1"/>
  <c r="U4945" i="2" s="1"/>
  <c r="Q4946" i="2"/>
  <c r="S4946" i="2" s="1"/>
  <c r="T4946" i="2" s="1"/>
  <c r="U4946" i="2" s="1"/>
  <c r="Q4947" i="2"/>
  <c r="S4947" i="2" s="1"/>
  <c r="T4947" i="2" s="1"/>
  <c r="U4947" i="2" s="1"/>
  <c r="Q4948" i="2"/>
  <c r="S4948" i="2" s="1"/>
  <c r="T4948" i="2" s="1"/>
  <c r="U4948" i="2" s="1"/>
  <c r="Q4949" i="2"/>
  <c r="S4949" i="2" s="1"/>
  <c r="T4949" i="2" s="1"/>
  <c r="U4949" i="2" s="1"/>
  <c r="Q4950" i="2"/>
  <c r="S4950" i="2" s="1"/>
  <c r="T4950" i="2" s="1"/>
  <c r="U4950" i="2" s="1"/>
  <c r="Q4951" i="2"/>
  <c r="S4951" i="2" s="1"/>
  <c r="T4951" i="2" s="1"/>
  <c r="U4951" i="2" s="1"/>
  <c r="Q4952" i="2"/>
  <c r="S4952" i="2" s="1"/>
  <c r="T4952" i="2" s="1"/>
  <c r="U4952" i="2" s="1"/>
  <c r="Q4953" i="2"/>
  <c r="S4953" i="2" s="1"/>
  <c r="Q4954" i="2"/>
  <c r="S4954" i="2" s="1"/>
  <c r="Q4955" i="2"/>
  <c r="S4955" i="2" s="1"/>
  <c r="T4955" i="2" s="1"/>
  <c r="U4955" i="2" s="1"/>
  <c r="Q4956" i="2"/>
  <c r="S4956" i="2" s="1"/>
  <c r="T4956" i="2" s="1"/>
  <c r="U4956" i="2" s="1"/>
  <c r="Q4957" i="2"/>
  <c r="S4957" i="2" s="1"/>
  <c r="Q4958" i="2"/>
  <c r="S4958" i="2" s="1"/>
  <c r="T4958" i="2" s="1"/>
  <c r="U4958" i="2" s="1"/>
  <c r="Q4959" i="2"/>
  <c r="S4959" i="2" s="1"/>
  <c r="T4959" i="2" s="1"/>
  <c r="U4959" i="2" s="1"/>
  <c r="Q4960" i="2"/>
  <c r="S4960" i="2" s="1"/>
  <c r="T4960" i="2" s="1"/>
  <c r="U4960" i="2" s="1"/>
  <c r="Q4961" i="2"/>
  <c r="S4961" i="2" s="1"/>
  <c r="Q4962" i="2"/>
  <c r="S4962" i="2" s="1"/>
  <c r="T4962" i="2" s="1"/>
  <c r="U4962" i="2" s="1"/>
  <c r="Q4963" i="2"/>
  <c r="S4963" i="2" s="1"/>
  <c r="T4963" i="2" s="1"/>
  <c r="U4963" i="2" s="1"/>
  <c r="Q4964" i="2"/>
  <c r="S4964" i="2" s="1"/>
  <c r="T4964" i="2" s="1"/>
  <c r="U4964" i="2" s="1"/>
  <c r="Q4965" i="2"/>
  <c r="S4965" i="2" s="1"/>
  <c r="T4965" i="2" s="1"/>
  <c r="U4965" i="2" s="1"/>
  <c r="Q4966" i="2"/>
  <c r="S4966" i="2" s="1"/>
  <c r="Q4967" i="2"/>
  <c r="S4967" i="2" s="1"/>
  <c r="Q4968" i="2"/>
  <c r="S4968" i="2" s="1"/>
  <c r="T4968" i="2" s="1"/>
  <c r="U4968" i="2" s="1"/>
  <c r="Q4969" i="2"/>
  <c r="S4969" i="2" s="1"/>
  <c r="T4969" i="2" s="1"/>
  <c r="U4969" i="2" s="1"/>
  <c r="Q4970" i="2"/>
  <c r="S4970" i="2" s="1"/>
  <c r="T4970" i="2" s="1"/>
  <c r="U4970" i="2" s="1"/>
  <c r="Q4971" i="2"/>
  <c r="S4971" i="2" s="1"/>
  <c r="T4971" i="2" s="1"/>
  <c r="U4971" i="2" s="1"/>
  <c r="Q4972" i="2"/>
  <c r="S4972" i="2" s="1"/>
  <c r="T4972" i="2" s="1"/>
  <c r="U4972" i="2" s="1"/>
  <c r="Q4973" i="2"/>
  <c r="S4973" i="2" s="1"/>
  <c r="Q4974" i="2"/>
  <c r="S4974" i="2" s="1"/>
  <c r="T4974" i="2" s="1"/>
  <c r="U4974" i="2" s="1"/>
  <c r="Q4975" i="2"/>
  <c r="S4975" i="2" s="1"/>
  <c r="Q4976" i="2"/>
  <c r="S4976" i="2" s="1"/>
  <c r="T4976" i="2" s="1"/>
  <c r="U4976" i="2" s="1"/>
  <c r="Q4977" i="2"/>
  <c r="S4977" i="2" s="1"/>
  <c r="T4977" i="2" s="1"/>
  <c r="U4977" i="2" s="1"/>
  <c r="Q4978" i="2"/>
  <c r="S4978" i="2" s="1"/>
  <c r="T4978" i="2" s="1"/>
  <c r="U4978" i="2" s="1"/>
  <c r="Q4979" i="2"/>
  <c r="S4979" i="2" s="1"/>
  <c r="Q4980" i="2"/>
  <c r="S4980" i="2" s="1"/>
  <c r="Q4981" i="2"/>
  <c r="S4981" i="2" s="1"/>
  <c r="T4981" i="2" s="1"/>
  <c r="U4981" i="2" s="1"/>
  <c r="Q4982" i="2"/>
  <c r="S4982" i="2" s="1"/>
  <c r="Q4983" i="2"/>
  <c r="S4983" i="2" s="1"/>
  <c r="Q4984" i="2"/>
  <c r="S4984" i="2" s="1"/>
  <c r="T4984" i="2" s="1"/>
  <c r="U4984" i="2" s="1"/>
  <c r="Q4985" i="2"/>
  <c r="S4985" i="2" s="1"/>
  <c r="T4985" i="2" s="1"/>
  <c r="U4985" i="2" s="1"/>
  <c r="Q4986" i="2"/>
  <c r="S4986" i="2" s="1"/>
  <c r="T4986" i="2" s="1"/>
  <c r="U4986" i="2" s="1"/>
  <c r="Q4987" i="2"/>
  <c r="S4987" i="2" s="1"/>
  <c r="T4987" i="2" s="1"/>
  <c r="U4987" i="2" s="1"/>
  <c r="Q4988" i="2"/>
  <c r="S4988" i="2" s="1"/>
  <c r="Q4989" i="2"/>
  <c r="S4989" i="2" s="1"/>
  <c r="Q4990" i="2"/>
  <c r="S4990" i="2" s="1"/>
  <c r="T4990" i="2" s="1"/>
  <c r="U4990" i="2" s="1"/>
  <c r="Q4991" i="2"/>
  <c r="S4991" i="2" s="1"/>
  <c r="T4991" i="2" s="1"/>
  <c r="U4991" i="2" s="1"/>
  <c r="Q4992" i="2"/>
  <c r="S4992" i="2" s="1"/>
  <c r="T4992" i="2" s="1"/>
  <c r="U4992" i="2" s="1"/>
  <c r="Q4993" i="2"/>
  <c r="S4993" i="2" s="1"/>
  <c r="T4993" i="2" s="1"/>
  <c r="U4993" i="2" s="1"/>
  <c r="Q4994" i="2"/>
  <c r="S4994" i="2" s="1"/>
  <c r="T4994" i="2" s="1"/>
  <c r="U4994" i="2" s="1"/>
  <c r="Q4995" i="2"/>
  <c r="S4995" i="2" s="1"/>
  <c r="T4995" i="2" s="1"/>
  <c r="U4995" i="2" s="1"/>
  <c r="Q4996" i="2"/>
  <c r="S4996" i="2" s="1"/>
  <c r="T4996" i="2" s="1"/>
  <c r="U4996" i="2" s="1"/>
  <c r="Q4997" i="2"/>
  <c r="S4997" i="2" s="1"/>
  <c r="T4997" i="2" s="1"/>
  <c r="U4997" i="2" s="1"/>
  <c r="Q4998" i="2"/>
  <c r="S4998" i="2" s="1"/>
  <c r="T4998" i="2" s="1"/>
  <c r="U4998" i="2" s="1"/>
  <c r="Q4999" i="2"/>
  <c r="S4999" i="2" s="1"/>
  <c r="T4999" i="2" s="1"/>
  <c r="U4999" i="2" s="1"/>
  <c r="Q5000" i="2"/>
  <c r="S5000" i="2" s="1"/>
  <c r="T5000" i="2" s="1"/>
  <c r="U5000" i="2" s="1"/>
  <c r="Q5001" i="2"/>
  <c r="S5001" i="2" s="1"/>
  <c r="Q5002" i="2"/>
  <c r="S5002" i="2" s="1"/>
  <c r="T5002" i="2" s="1"/>
  <c r="U5002" i="2" s="1"/>
  <c r="Q5003" i="2"/>
  <c r="S5003" i="2" s="1"/>
  <c r="T5003" i="2" s="1"/>
  <c r="U5003" i="2" s="1"/>
  <c r="Q5004" i="2"/>
  <c r="S5004" i="2" s="1"/>
  <c r="T5004" i="2" s="1"/>
  <c r="U5004" i="2" s="1"/>
  <c r="Q5005" i="2"/>
  <c r="S5005" i="2" s="1"/>
  <c r="T5005" i="2" s="1"/>
  <c r="U5005" i="2" s="1"/>
  <c r="Q5006" i="2"/>
  <c r="S5006" i="2" s="1"/>
  <c r="T5006" i="2" s="1"/>
  <c r="U5006" i="2" s="1"/>
  <c r="Q5007" i="2"/>
  <c r="S5007" i="2" s="1"/>
  <c r="Q5008" i="2"/>
  <c r="S5008" i="2" s="1"/>
  <c r="T5008" i="2" s="1"/>
  <c r="U5008" i="2" s="1"/>
  <c r="Q5009" i="2"/>
  <c r="S5009" i="2" s="1"/>
  <c r="T5009" i="2" s="1"/>
  <c r="U5009" i="2" s="1"/>
  <c r="Q5010" i="2"/>
  <c r="S5010" i="2" s="1"/>
  <c r="T5010" i="2" s="1"/>
  <c r="U5010" i="2" s="1"/>
  <c r="Q5011" i="2"/>
  <c r="S5011" i="2" s="1"/>
  <c r="T5011" i="2" s="1"/>
  <c r="U5011" i="2" s="1"/>
  <c r="Q5012" i="2"/>
  <c r="S5012" i="2" s="1"/>
  <c r="T5012" i="2" s="1"/>
  <c r="U5012" i="2" s="1"/>
  <c r="Q5013" i="2"/>
  <c r="S5013" i="2" s="1"/>
  <c r="Q5014" i="2"/>
  <c r="S5014" i="2" s="1"/>
  <c r="T5014" i="2" s="1"/>
  <c r="U5014" i="2" s="1"/>
  <c r="Q5015" i="2"/>
  <c r="S5015" i="2" s="1"/>
  <c r="T5015" i="2" s="1"/>
  <c r="U5015" i="2" s="1"/>
  <c r="Q5016" i="2"/>
  <c r="S5016" i="2" s="1"/>
  <c r="T5016" i="2" s="1"/>
  <c r="U5016" i="2" s="1"/>
  <c r="Q5017" i="2"/>
  <c r="S5017" i="2" s="1"/>
  <c r="T5017" i="2" s="1"/>
  <c r="U5017" i="2" s="1"/>
  <c r="Q5018" i="2"/>
  <c r="S5018" i="2" s="1"/>
  <c r="T5018" i="2" s="1"/>
  <c r="U5018" i="2" s="1"/>
  <c r="Q5019" i="2"/>
  <c r="S5019" i="2" s="1"/>
  <c r="Q5020" i="2"/>
  <c r="S5020" i="2" s="1"/>
  <c r="T5020" i="2" s="1"/>
  <c r="U5020" i="2" s="1"/>
  <c r="Q5021" i="2"/>
  <c r="S5021" i="2" s="1"/>
  <c r="Q5022" i="2"/>
  <c r="S5022" i="2" s="1"/>
  <c r="T5022" i="2" s="1"/>
  <c r="U5022" i="2" s="1"/>
  <c r="Q5023" i="2"/>
  <c r="S5023" i="2" s="1"/>
  <c r="T5023" i="2" s="1"/>
  <c r="U5023" i="2" s="1"/>
  <c r="Q5024" i="2"/>
  <c r="S5024" i="2" s="1"/>
  <c r="T5024" i="2" s="1"/>
  <c r="U5024" i="2" s="1"/>
  <c r="Q5025" i="2"/>
  <c r="S5025" i="2" s="1"/>
  <c r="T5025" i="2" s="1"/>
  <c r="U5025" i="2" s="1"/>
  <c r="Q5026" i="2"/>
  <c r="S5026" i="2" s="1"/>
  <c r="T5026" i="2" s="1"/>
  <c r="U5026" i="2" s="1"/>
  <c r="Q5027" i="2"/>
  <c r="S5027" i="2" s="1"/>
  <c r="Q5028" i="2"/>
  <c r="S5028" i="2" s="1"/>
  <c r="T5028" i="2" s="1"/>
  <c r="U5028" i="2" s="1"/>
  <c r="Q5029" i="2"/>
  <c r="S5029" i="2" s="1"/>
  <c r="Q5030" i="2"/>
  <c r="S5030" i="2" s="1"/>
  <c r="T5030" i="2" s="1"/>
  <c r="U5030" i="2" s="1"/>
  <c r="Q5031" i="2"/>
  <c r="S5031" i="2" s="1"/>
  <c r="Q5032" i="2"/>
  <c r="S5032" i="2" s="1"/>
  <c r="Q5033" i="2"/>
  <c r="S5033" i="2" s="1"/>
  <c r="Q5034" i="2"/>
  <c r="S5034" i="2" s="1"/>
  <c r="T5034" i="2" s="1"/>
  <c r="U5034" i="2" s="1"/>
  <c r="Q5035" i="2"/>
  <c r="S5035" i="2" s="1"/>
  <c r="Q5036" i="2"/>
  <c r="S5036" i="2" s="1"/>
  <c r="Q5037" i="2"/>
  <c r="S5037" i="2" s="1"/>
  <c r="T5037" i="2" s="1"/>
  <c r="U5037" i="2" s="1"/>
  <c r="Q5038" i="2"/>
  <c r="S5038" i="2" s="1"/>
  <c r="T5038" i="2" s="1"/>
  <c r="U5038" i="2" s="1"/>
  <c r="Q5039" i="2"/>
  <c r="S5039" i="2" s="1"/>
  <c r="T5039" i="2" s="1"/>
  <c r="U5039" i="2" s="1"/>
  <c r="Q5040" i="2"/>
  <c r="S5040" i="2" s="1"/>
  <c r="T5040" i="2" s="1"/>
  <c r="U5040" i="2" s="1"/>
  <c r="Q5041" i="2"/>
  <c r="S5041" i="2" s="1"/>
  <c r="T5041" i="2" s="1"/>
  <c r="U5041" i="2" s="1"/>
  <c r="Q5042" i="2"/>
  <c r="S5042" i="2" s="1"/>
  <c r="T5042" i="2" s="1"/>
  <c r="U5042" i="2" s="1"/>
  <c r="Q5043" i="2"/>
  <c r="S5043" i="2" s="1"/>
  <c r="T5043" i="2" s="1"/>
  <c r="U5043" i="2" s="1"/>
  <c r="Q5044" i="2"/>
  <c r="S5044" i="2" s="1"/>
  <c r="Q5045" i="2"/>
  <c r="S5045" i="2" s="1"/>
  <c r="T5045" i="2" s="1"/>
  <c r="U5045" i="2" s="1"/>
  <c r="Q5046" i="2"/>
  <c r="S5046" i="2" s="1"/>
  <c r="Q5047" i="2"/>
  <c r="S5047" i="2" s="1"/>
  <c r="T5047" i="2" s="1"/>
  <c r="U5047" i="2" s="1"/>
  <c r="Q5048" i="2"/>
  <c r="S5048" i="2" s="1"/>
  <c r="Q5049" i="2"/>
  <c r="S5049" i="2" s="1"/>
  <c r="T5049" i="2" s="1"/>
  <c r="U5049" i="2" s="1"/>
  <c r="Q5050" i="2"/>
  <c r="S5050" i="2" s="1"/>
  <c r="Q5051" i="2"/>
  <c r="S5051" i="2" s="1"/>
  <c r="T5051" i="2" s="1"/>
  <c r="U5051" i="2" s="1"/>
  <c r="Q5052" i="2"/>
  <c r="S5052" i="2" s="1"/>
  <c r="Q5053" i="2"/>
  <c r="S5053" i="2" s="1"/>
  <c r="Q5054" i="2"/>
  <c r="S5054" i="2" s="1"/>
  <c r="T5054" i="2" s="1"/>
  <c r="U5054" i="2" s="1"/>
  <c r="Q5055" i="2"/>
  <c r="S5055" i="2" s="1"/>
  <c r="T5055" i="2" s="1"/>
  <c r="U5055" i="2" s="1"/>
  <c r="Q5056" i="2"/>
  <c r="S5056" i="2" s="1"/>
  <c r="T5056" i="2" s="1"/>
  <c r="U5056" i="2" s="1"/>
  <c r="Q5057" i="2"/>
  <c r="S5057" i="2" s="1"/>
  <c r="Q5058" i="2"/>
  <c r="S5058" i="2" s="1"/>
  <c r="T5058" i="2" s="1"/>
  <c r="U5058" i="2" s="1"/>
  <c r="Q5059" i="2"/>
  <c r="S5059" i="2" s="1"/>
  <c r="Q5060" i="2"/>
  <c r="S5060" i="2" s="1"/>
  <c r="T5060" i="2" s="1"/>
  <c r="U5060" i="2" s="1"/>
  <c r="Q5061" i="2"/>
  <c r="S5061" i="2" s="1"/>
  <c r="Q5062" i="2"/>
  <c r="S5062" i="2" s="1"/>
  <c r="T5062" i="2" s="1"/>
  <c r="U5062" i="2" s="1"/>
  <c r="Q5063" i="2"/>
  <c r="S5063" i="2" s="1"/>
  <c r="T5063" i="2" s="1"/>
  <c r="U5063" i="2" s="1"/>
  <c r="Q5064" i="2"/>
  <c r="S5064" i="2" s="1"/>
  <c r="T5064" i="2" s="1"/>
  <c r="U5064" i="2" s="1"/>
  <c r="Q5065" i="2"/>
  <c r="S5065" i="2" s="1"/>
  <c r="T5065" i="2" s="1"/>
  <c r="U5065" i="2" s="1"/>
  <c r="Q5066" i="2"/>
  <c r="S5066" i="2" s="1"/>
  <c r="T5066" i="2" s="1"/>
  <c r="U5066" i="2" s="1"/>
  <c r="Q5067" i="2"/>
  <c r="S5067" i="2" s="1"/>
  <c r="T5067" i="2" s="1"/>
  <c r="U5067" i="2" s="1"/>
  <c r="Q5068" i="2"/>
  <c r="S5068" i="2" s="1"/>
  <c r="T5068" i="2" s="1"/>
  <c r="U5068" i="2" s="1"/>
  <c r="Q5069" i="2"/>
  <c r="S5069" i="2" s="1"/>
  <c r="T5069" i="2" s="1"/>
  <c r="U5069" i="2" s="1"/>
  <c r="Q5070" i="2"/>
  <c r="S5070" i="2" s="1"/>
  <c r="T5070" i="2" s="1"/>
  <c r="U5070" i="2" s="1"/>
  <c r="Q5071" i="2"/>
  <c r="S5071" i="2" s="1"/>
  <c r="T5071" i="2" s="1"/>
  <c r="U5071" i="2" s="1"/>
  <c r="Q5072" i="2"/>
  <c r="S5072" i="2" s="1"/>
  <c r="Q5073" i="2"/>
  <c r="S5073" i="2" s="1"/>
  <c r="T5073" i="2" s="1"/>
  <c r="U5073" i="2" s="1"/>
  <c r="Q5074" i="2"/>
  <c r="S5074" i="2" s="1"/>
  <c r="Q5075" i="2"/>
  <c r="S5075" i="2" s="1"/>
  <c r="T5075" i="2" s="1"/>
  <c r="U5075" i="2" s="1"/>
  <c r="Q5076" i="2"/>
  <c r="S5076" i="2" s="1"/>
  <c r="Q5077" i="2"/>
  <c r="S5077" i="2" s="1"/>
  <c r="T5077" i="2" s="1"/>
  <c r="U5077" i="2" s="1"/>
  <c r="Q5078" i="2"/>
  <c r="S5078" i="2" s="1"/>
  <c r="Q5079" i="2"/>
  <c r="S5079" i="2" s="1"/>
  <c r="Q5080" i="2"/>
  <c r="S5080" i="2" s="1"/>
  <c r="T5080" i="2" s="1"/>
  <c r="U5080" i="2" s="1"/>
  <c r="Q5081" i="2"/>
  <c r="S5081" i="2" s="1"/>
  <c r="T5081" i="2" s="1"/>
  <c r="U5081" i="2" s="1"/>
  <c r="Q5082" i="2"/>
  <c r="S5082" i="2" s="1"/>
  <c r="Q5083" i="2"/>
  <c r="S5083" i="2" s="1"/>
  <c r="T5083" i="2" s="1"/>
  <c r="U5083" i="2" s="1"/>
  <c r="Q5084" i="2"/>
  <c r="S5084" i="2" s="1"/>
  <c r="T5084" i="2" s="1"/>
  <c r="U5084" i="2" s="1"/>
  <c r="Q5085" i="2"/>
  <c r="S5085" i="2" s="1"/>
  <c r="Q5086" i="2"/>
  <c r="S5086" i="2" s="1"/>
  <c r="T5086" i="2" s="1"/>
  <c r="U5086" i="2" s="1"/>
  <c r="Q5087" i="2"/>
  <c r="S5087" i="2" s="1"/>
  <c r="T5087" i="2" s="1"/>
  <c r="U5087" i="2" s="1"/>
  <c r="Q5088" i="2"/>
  <c r="S5088" i="2" s="1"/>
  <c r="T5088" i="2" s="1"/>
  <c r="U5088" i="2" s="1"/>
  <c r="Q5089" i="2"/>
  <c r="S5089" i="2" s="1"/>
  <c r="T5089" i="2" s="1"/>
  <c r="U5089" i="2" s="1"/>
  <c r="Q5090" i="2"/>
  <c r="S5090" i="2" s="1"/>
  <c r="T5090" i="2" s="1"/>
  <c r="U5090" i="2" s="1"/>
  <c r="Q5091" i="2"/>
  <c r="S5091" i="2" s="1"/>
  <c r="T5091" i="2" s="1"/>
  <c r="U5091" i="2" s="1"/>
  <c r="Q5092" i="2"/>
  <c r="S5092" i="2" s="1"/>
  <c r="T5092" i="2" s="1"/>
  <c r="U5092" i="2" s="1"/>
  <c r="Q5093" i="2"/>
  <c r="S5093" i="2" s="1"/>
  <c r="T5093" i="2" s="1"/>
  <c r="U5093" i="2" s="1"/>
  <c r="Q5094" i="2"/>
  <c r="S5094" i="2" s="1"/>
  <c r="Q5095" i="2"/>
  <c r="S5095" i="2" s="1"/>
  <c r="Q5096" i="2"/>
  <c r="S5096" i="2" s="1"/>
  <c r="T5096" i="2" s="1"/>
  <c r="U5096" i="2" s="1"/>
  <c r="Q5097" i="2"/>
  <c r="S5097" i="2" s="1"/>
  <c r="T5097" i="2" s="1"/>
  <c r="U5097" i="2" s="1"/>
  <c r="Q5098" i="2"/>
  <c r="S5098" i="2" s="1"/>
  <c r="Q5099" i="2"/>
  <c r="S5099" i="2" s="1"/>
  <c r="T5099" i="2" s="1"/>
  <c r="U5099" i="2" s="1"/>
  <c r="Q5100" i="2"/>
  <c r="S5100" i="2" s="1"/>
  <c r="T5100" i="2" s="1"/>
  <c r="U5100" i="2" s="1"/>
  <c r="Q5101" i="2"/>
  <c r="S5101" i="2" s="1"/>
  <c r="Q5102" i="2"/>
  <c r="S5102" i="2" s="1"/>
  <c r="T5102" i="2" s="1"/>
  <c r="U5102" i="2" s="1"/>
  <c r="Q5103" i="2"/>
  <c r="S5103" i="2" s="1"/>
  <c r="Q5104" i="2"/>
  <c r="S5104" i="2" s="1"/>
  <c r="T5104" i="2" s="1"/>
  <c r="U5104" i="2" s="1"/>
  <c r="Q5105" i="2"/>
  <c r="S5105" i="2" s="1"/>
  <c r="T5105" i="2" s="1"/>
  <c r="U5105" i="2" s="1"/>
  <c r="Q5106" i="2"/>
  <c r="S5106" i="2" s="1"/>
  <c r="T5106" i="2" s="1"/>
  <c r="U5106" i="2" s="1"/>
  <c r="Q5107" i="2"/>
  <c r="S5107" i="2" s="1"/>
  <c r="T5107" i="2" s="1"/>
  <c r="U5107" i="2" s="1"/>
  <c r="Q5108" i="2"/>
  <c r="S5108" i="2" s="1"/>
  <c r="T5108" i="2" s="1"/>
  <c r="U5108" i="2" s="1"/>
  <c r="Q5109" i="2"/>
  <c r="S5109" i="2" s="1"/>
  <c r="Q5110" i="2"/>
  <c r="S5110" i="2" s="1"/>
  <c r="T5110" i="2" s="1"/>
  <c r="U5110" i="2" s="1"/>
  <c r="Q5111" i="2"/>
  <c r="S5111" i="2" s="1"/>
  <c r="Q5112" i="2"/>
  <c r="S5112" i="2" s="1"/>
  <c r="Q5113" i="2"/>
  <c r="S5113" i="2" s="1"/>
  <c r="T5113" i="2" s="1"/>
  <c r="U5113" i="2" s="1"/>
  <c r="Q5114" i="2"/>
  <c r="S5114" i="2" s="1"/>
  <c r="T5114" i="2" s="1"/>
  <c r="U5114" i="2" s="1"/>
  <c r="Q5115" i="2"/>
  <c r="S5115" i="2" s="1"/>
  <c r="T5115" i="2" s="1"/>
  <c r="U5115" i="2" s="1"/>
  <c r="Q5116" i="2"/>
  <c r="S5116" i="2" s="1"/>
  <c r="T5116" i="2" s="1"/>
  <c r="U5116" i="2" s="1"/>
  <c r="Q5117" i="2"/>
  <c r="S5117" i="2" s="1"/>
  <c r="T5117" i="2" s="1"/>
  <c r="U5117" i="2" s="1"/>
  <c r="Q5118" i="2"/>
  <c r="S5118" i="2" s="1"/>
  <c r="Q5119" i="2"/>
  <c r="S5119" i="2" s="1"/>
  <c r="Q5120" i="2"/>
  <c r="S5120" i="2" s="1"/>
  <c r="Q5121" i="2"/>
  <c r="S5121" i="2" s="1"/>
  <c r="Q5122" i="2"/>
  <c r="S5122" i="2" s="1"/>
  <c r="Q5123" i="2"/>
  <c r="S5123" i="2" s="1"/>
  <c r="Q5124" i="2"/>
  <c r="S5124" i="2" s="1"/>
  <c r="T5124" i="2" s="1"/>
  <c r="U5124" i="2" s="1"/>
  <c r="Q5125" i="2"/>
  <c r="S5125" i="2" s="1"/>
  <c r="T5125" i="2" s="1"/>
  <c r="U5125" i="2" s="1"/>
  <c r="Q5126" i="2"/>
  <c r="S5126" i="2" s="1"/>
  <c r="T5126" i="2" s="1"/>
  <c r="U5126" i="2" s="1"/>
  <c r="Q5127" i="2"/>
  <c r="S5127" i="2" s="1"/>
  <c r="T5127" i="2" s="1"/>
  <c r="U5127" i="2" s="1"/>
  <c r="Q5128" i="2"/>
  <c r="S5128" i="2" s="1"/>
  <c r="T5128" i="2" s="1"/>
  <c r="U5128" i="2" s="1"/>
  <c r="Q5129" i="2"/>
  <c r="S5129" i="2" s="1"/>
  <c r="Q5130" i="2"/>
  <c r="S5130" i="2" s="1"/>
  <c r="T5130" i="2" s="1"/>
  <c r="U5130" i="2" s="1"/>
  <c r="Q5131" i="2"/>
  <c r="S5131" i="2" s="1"/>
  <c r="T5131" i="2" s="1"/>
  <c r="U5131" i="2" s="1"/>
  <c r="Q5132" i="2"/>
  <c r="S5132" i="2" s="1"/>
  <c r="T5132" i="2" s="1"/>
  <c r="U5132" i="2" s="1"/>
  <c r="Q5133" i="2"/>
  <c r="S5133" i="2" s="1"/>
  <c r="Q5134" i="2"/>
  <c r="S5134" i="2" s="1"/>
  <c r="T5134" i="2" s="1"/>
  <c r="U5134" i="2" s="1"/>
  <c r="Q5135" i="2"/>
  <c r="S5135" i="2" s="1"/>
  <c r="T5135" i="2" s="1"/>
  <c r="U5135" i="2" s="1"/>
  <c r="Q5136" i="2"/>
  <c r="S5136" i="2" s="1"/>
  <c r="T5136" i="2" s="1"/>
  <c r="U5136" i="2" s="1"/>
  <c r="Q5137" i="2"/>
  <c r="S5137" i="2" s="1"/>
  <c r="T5137" i="2" s="1"/>
  <c r="U5137" i="2" s="1"/>
  <c r="Q5138" i="2"/>
  <c r="S5138" i="2" s="1"/>
  <c r="T5138" i="2" s="1"/>
  <c r="U5138" i="2" s="1"/>
  <c r="Q5139" i="2"/>
  <c r="S5139" i="2" s="1"/>
  <c r="Q5140" i="2"/>
  <c r="S5140" i="2" s="1"/>
  <c r="T5140" i="2" s="1"/>
  <c r="U5140" i="2" s="1"/>
  <c r="Q5141" i="2"/>
  <c r="S5141" i="2" s="1"/>
  <c r="Q5142" i="2"/>
  <c r="S5142" i="2" s="1"/>
  <c r="T5142" i="2" s="1"/>
  <c r="U5142" i="2" s="1"/>
  <c r="Q5143" i="2"/>
  <c r="S5143" i="2" s="1"/>
  <c r="T5143" i="2" s="1"/>
  <c r="U5143" i="2" s="1"/>
  <c r="Q5144" i="2"/>
  <c r="S5144" i="2" s="1"/>
  <c r="T5144" i="2" s="1"/>
  <c r="U5144" i="2" s="1"/>
  <c r="Q5145" i="2"/>
  <c r="S5145" i="2" s="1"/>
  <c r="T5145" i="2" s="1"/>
  <c r="U5145" i="2" s="1"/>
  <c r="Q5146" i="2"/>
  <c r="S5146" i="2" s="1"/>
  <c r="T5146" i="2" s="1"/>
  <c r="U5146" i="2" s="1"/>
  <c r="Q5147" i="2"/>
  <c r="S5147" i="2" s="1"/>
  <c r="T5147" i="2" s="1"/>
  <c r="U5147" i="2" s="1"/>
  <c r="Q5148" i="2"/>
  <c r="S5148" i="2" s="1"/>
  <c r="T5148" i="2" s="1"/>
  <c r="U5148" i="2" s="1"/>
  <c r="Q5149" i="2"/>
  <c r="S5149" i="2" s="1"/>
  <c r="Q5150" i="2"/>
  <c r="S5150" i="2" s="1"/>
  <c r="T5150" i="2" s="1"/>
  <c r="U5150" i="2" s="1"/>
  <c r="Q5151" i="2"/>
  <c r="S5151" i="2" s="1"/>
  <c r="T5151" i="2" s="1"/>
  <c r="U5151" i="2" s="1"/>
  <c r="Q5152" i="2"/>
  <c r="S5152" i="2" s="1"/>
  <c r="Q5153" i="2"/>
  <c r="S5153" i="2" s="1"/>
  <c r="Q5154" i="2"/>
  <c r="S5154" i="2" s="1"/>
  <c r="Q5155" i="2"/>
  <c r="S5155" i="2" s="1"/>
  <c r="T5155" i="2" s="1"/>
  <c r="U5155" i="2" s="1"/>
  <c r="Q5156" i="2"/>
  <c r="S5156" i="2" s="1"/>
  <c r="Q5157" i="2"/>
  <c r="S5157" i="2" s="1"/>
  <c r="T5157" i="2" s="1"/>
  <c r="U5157" i="2" s="1"/>
  <c r="Q5158" i="2"/>
  <c r="S5158" i="2" s="1"/>
  <c r="T5158" i="2" s="1"/>
  <c r="U5158" i="2" s="1"/>
  <c r="Q5159" i="2"/>
  <c r="S5159" i="2" s="1"/>
  <c r="Q5160" i="2"/>
  <c r="S5160" i="2" s="1"/>
  <c r="T5160" i="2" s="1"/>
  <c r="U5160" i="2" s="1"/>
  <c r="Q5161" i="2"/>
  <c r="S5161" i="2" s="1"/>
  <c r="T5161" i="2" s="1"/>
  <c r="U5161" i="2" s="1"/>
  <c r="Q5162" i="2"/>
  <c r="S5162" i="2" s="1"/>
  <c r="T5162" i="2" s="1"/>
  <c r="U5162" i="2" s="1"/>
  <c r="Q5163" i="2"/>
  <c r="S5163" i="2" s="1"/>
  <c r="T5163" i="2" s="1"/>
  <c r="U5163" i="2" s="1"/>
  <c r="Q5164" i="2"/>
  <c r="S5164" i="2" s="1"/>
  <c r="T5164" i="2" s="1"/>
  <c r="U5164" i="2" s="1"/>
  <c r="Q5165" i="2"/>
  <c r="S5165" i="2" s="1"/>
  <c r="T5165" i="2" s="1"/>
  <c r="U5165" i="2" s="1"/>
  <c r="Q5166" i="2"/>
  <c r="S5166" i="2" s="1"/>
  <c r="T5166" i="2" s="1"/>
  <c r="U5166" i="2" s="1"/>
  <c r="Q5167" i="2"/>
  <c r="S5167" i="2" s="1"/>
  <c r="T5167" i="2" s="1"/>
  <c r="U5167" i="2" s="1"/>
  <c r="Q5168" i="2"/>
  <c r="S5168" i="2" s="1"/>
  <c r="Q5169" i="2"/>
  <c r="S5169" i="2" s="1"/>
  <c r="T5169" i="2" s="1"/>
  <c r="U5169" i="2" s="1"/>
  <c r="Q5170" i="2"/>
  <c r="S5170" i="2" s="1"/>
  <c r="T5170" i="2" s="1"/>
  <c r="U5170" i="2" s="1"/>
  <c r="Q5171" i="2"/>
  <c r="S5171" i="2" s="1"/>
  <c r="T5171" i="2" s="1"/>
  <c r="U5171" i="2" s="1"/>
  <c r="Q5172" i="2"/>
  <c r="S5172" i="2" s="1"/>
  <c r="T5172" i="2" s="1"/>
  <c r="U5172" i="2" s="1"/>
  <c r="Q5173" i="2"/>
  <c r="S5173" i="2" s="1"/>
  <c r="T5173" i="2" s="1"/>
  <c r="U5173" i="2" s="1"/>
  <c r="Q5174" i="2"/>
  <c r="S5174" i="2" s="1"/>
  <c r="T5174" i="2" s="1"/>
  <c r="U5174" i="2" s="1"/>
  <c r="Q5175" i="2"/>
  <c r="S5175" i="2" s="1"/>
  <c r="Q5176" i="2"/>
  <c r="S5176" i="2" s="1"/>
  <c r="Q5177" i="2"/>
  <c r="S5177" i="2" s="1"/>
  <c r="Q5178" i="2"/>
  <c r="S5178" i="2" s="1"/>
  <c r="T5178" i="2" s="1"/>
  <c r="U5178" i="2" s="1"/>
  <c r="Q5179" i="2"/>
  <c r="S5179" i="2" s="1"/>
  <c r="T5179" i="2" s="1"/>
  <c r="U5179" i="2" s="1"/>
  <c r="Q5180" i="2"/>
  <c r="S5180" i="2" s="1"/>
  <c r="T5180" i="2" s="1"/>
  <c r="U5180" i="2" s="1"/>
  <c r="Q5181" i="2"/>
  <c r="S5181" i="2" s="1"/>
  <c r="T5181" i="2" s="1"/>
  <c r="U5181" i="2" s="1"/>
  <c r="Q5182" i="2"/>
  <c r="S5182" i="2" s="1"/>
  <c r="T5182" i="2" s="1"/>
  <c r="U5182" i="2" s="1"/>
  <c r="Q5183" i="2"/>
  <c r="S5183" i="2" s="1"/>
  <c r="T5183" i="2" s="1"/>
  <c r="U5183" i="2" s="1"/>
  <c r="Q5184" i="2"/>
  <c r="S5184" i="2" s="1"/>
  <c r="T5184" i="2" s="1"/>
  <c r="U5184" i="2" s="1"/>
  <c r="Q5185" i="2"/>
  <c r="S5185" i="2" s="1"/>
  <c r="T5185" i="2" s="1"/>
  <c r="U5185" i="2" s="1"/>
  <c r="Q5186" i="2"/>
  <c r="S5186" i="2" s="1"/>
  <c r="Q5187" i="2"/>
  <c r="S5187" i="2" s="1"/>
  <c r="Q5188" i="2"/>
  <c r="S5188" i="2" s="1"/>
  <c r="T5188" i="2" s="1"/>
  <c r="U5188" i="2" s="1"/>
  <c r="Q5189" i="2"/>
  <c r="S5189" i="2" s="1"/>
  <c r="T5189" i="2" s="1"/>
  <c r="U5189" i="2" s="1"/>
  <c r="Q5190" i="2"/>
  <c r="S5190" i="2" s="1"/>
  <c r="Q5191" i="2"/>
  <c r="S5191" i="2" s="1"/>
  <c r="Q5192" i="2"/>
  <c r="S5192" i="2" s="1"/>
  <c r="T5192" i="2" s="1"/>
  <c r="U5192" i="2" s="1"/>
  <c r="Q5193" i="2"/>
  <c r="S5193" i="2" s="1"/>
  <c r="T5193" i="2" s="1"/>
  <c r="U5193" i="2" s="1"/>
  <c r="Q5194" i="2"/>
  <c r="S5194" i="2" s="1"/>
  <c r="Q5195" i="2"/>
  <c r="S5195" i="2" s="1"/>
  <c r="T5195" i="2" s="1"/>
  <c r="U5195" i="2" s="1"/>
  <c r="Q5196" i="2"/>
  <c r="S5196" i="2" s="1"/>
  <c r="T5196" i="2" s="1"/>
  <c r="U5196" i="2" s="1"/>
  <c r="Q5197" i="2"/>
  <c r="S5197" i="2" s="1"/>
  <c r="T5197" i="2" s="1"/>
  <c r="U5197" i="2" s="1"/>
  <c r="Q5198" i="2"/>
  <c r="S5198" i="2" s="1"/>
  <c r="T5198" i="2" s="1"/>
  <c r="U5198" i="2" s="1"/>
  <c r="Q5199" i="2"/>
  <c r="S5199" i="2" s="1"/>
  <c r="T5199" i="2" s="1"/>
  <c r="U5199" i="2" s="1"/>
  <c r="Q5200" i="2"/>
  <c r="S5200" i="2" s="1"/>
  <c r="T5200" i="2" s="1"/>
  <c r="U5200" i="2" s="1"/>
  <c r="Q5201" i="2"/>
  <c r="S5201" i="2" s="1"/>
  <c r="T5201" i="2" s="1"/>
  <c r="U5201" i="2" s="1"/>
  <c r="Q5202" i="2"/>
  <c r="S5202" i="2" s="1"/>
  <c r="T5202" i="2" s="1"/>
  <c r="U5202" i="2" s="1"/>
  <c r="Q5203" i="2"/>
  <c r="S5203" i="2" s="1"/>
  <c r="Q5204" i="2"/>
  <c r="S5204" i="2" s="1"/>
  <c r="T5204" i="2" s="1"/>
  <c r="U5204" i="2" s="1"/>
  <c r="Q5205" i="2"/>
  <c r="S5205" i="2" s="1"/>
  <c r="T5205" i="2" s="1"/>
  <c r="U5205" i="2" s="1"/>
  <c r="Q5206" i="2"/>
  <c r="S5206" i="2" s="1"/>
  <c r="T5206" i="2" s="1"/>
  <c r="U5206" i="2" s="1"/>
  <c r="Q5207" i="2"/>
  <c r="S5207" i="2" s="1"/>
  <c r="T5207" i="2" s="1"/>
  <c r="U5207" i="2" s="1"/>
  <c r="Q5208" i="2"/>
  <c r="S5208" i="2" s="1"/>
  <c r="T5208" i="2" s="1"/>
  <c r="U5208" i="2" s="1"/>
  <c r="Q5209" i="2"/>
  <c r="S5209" i="2" s="1"/>
  <c r="T5209" i="2" s="1"/>
  <c r="U5209" i="2" s="1"/>
  <c r="Q5210" i="2"/>
  <c r="S5210" i="2" s="1"/>
  <c r="T5210" i="2" s="1"/>
  <c r="U5210" i="2" s="1"/>
  <c r="Q5211" i="2"/>
  <c r="S5211" i="2" s="1"/>
  <c r="T5211" i="2" s="1"/>
  <c r="U5211" i="2" s="1"/>
  <c r="Q5212" i="2"/>
  <c r="S5212" i="2" s="1"/>
  <c r="T5212" i="2" s="1"/>
  <c r="U5212" i="2" s="1"/>
  <c r="Q5213" i="2"/>
  <c r="S5213" i="2" s="1"/>
  <c r="T5213" i="2" s="1"/>
  <c r="U5213" i="2" s="1"/>
  <c r="Q5214" i="2"/>
  <c r="S5214" i="2" s="1"/>
  <c r="T5214" i="2" s="1"/>
  <c r="U5214" i="2" s="1"/>
  <c r="Q5215" i="2"/>
  <c r="S5215" i="2" s="1"/>
  <c r="T5215" i="2" s="1"/>
  <c r="U5215" i="2" s="1"/>
  <c r="Q5216" i="2"/>
  <c r="S5216" i="2" s="1"/>
  <c r="T5216" i="2" s="1"/>
  <c r="U5216" i="2" s="1"/>
  <c r="Q5217" i="2"/>
  <c r="S5217" i="2" s="1"/>
  <c r="Q5218" i="2"/>
  <c r="S5218" i="2" s="1"/>
  <c r="T5218" i="2" s="1"/>
  <c r="U5218" i="2" s="1"/>
  <c r="Q5219" i="2"/>
  <c r="S5219" i="2" s="1"/>
  <c r="T5219" i="2" s="1"/>
  <c r="U5219" i="2" s="1"/>
  <c r="Q5220" i="2"/>
  <c r="S5220" i="2" s="1"/>
  <c r="T5220" i="2" s="1"/>
  <c r="U5220" i="2" s="1"/>
  <c r="Q5221" i="2"/>
  <c r="S5221" i="2" s="1"/>
  <c r="Q5222" i="2"/>
  <c r="S5222" i="2" s="1"/>
  <c r="T5222" i="2" s="1"/>
  <c r="U5222" i="2" s="1"/>
  <c r="Q5223" i="2"/>
  <c r="S5223" i="2" s="1"/>
  <c r="T5223" i="2" s="1"/>
  <c r="U5223" i="2" s="1"/>
  <c r="Q5224" i="2"/>
  <c r="S5224" i="2" s="1"/>
  <c r="T5224" i="2" s="1"/>
  <c r="U5224" i="2" s="1"/>
  <c r="Q5225" i="2"/>
  <c r="S5225" i="2" s="1"/>
  <c r="T5225" i="2" s="1"/>
  <c r="U5225" i="2" s="1"/>
  <c r="Q5226" i="2"/>
  <c r="S5226" i="2" s="1"/>
  <c r="T5226" i="2" s="1"/>
  <c r="U5226" i="2" s="1"/>
  <c r="Q5227" i="2"/>
  <c r="S5227" i="2" s="1"/>
  <c r="Q5228" i="2"/>
  <c r="S5228" i="2" s="1"/>
  <c r="Q5229" i="2"/>
  <c r="S5229" i="2" s="1"/>
  <c r="T5229" i="2" s="1"/>
  <c r="U5229" i="2" s="1"/>
  <c r="Q5230" i="2"/>
  <c r="S5230" i="2" s="1"/>
  <c r="T5230" i="2" s="1"/>
  <c r="U5230" i="2" s="1"/>
  <c r="Q5231" i="2"/>
  <c r="S5231" i="2" s="1"/>
  <c r="T5231" i="2" s="1"/>
  <c r="U5231" i="2" s="1"/>
  <c r="Q5232" i="2"/>
  <c r="S5232" i="2" s="1"/>
  <c r="Q5233" i="2"/>
  <c r="S5233" i="2" s="1"/>
  <c r="T5233" i="2" s="1"/>
  <c r="U5233" i="2" s="1"/>
  <c r="Q5234" i="2"/>
  <c r="S5234" i="2" s="1"/>
  <c r="Q5235" i="2"/>
  <c r="S5235" i="2" s="1"/>
  <c r="T5235" i="2" s="1"/>
  <c r="U5235" i="2" s="1"/>
  <c r="Q5236" i="2"/>
  <c r="S5236" i="2" s="1"/>
  <c r="T5236" i="2" s="1"/>
  <c r="U5236" i="2" s="1"/>
  <c r="Q5237" i="2"/>
  <c r="S5237" i="2" s="1"/>
  <c r="T5237" i="2" s="1"/>
  <c r="U5237" i="2" s="1"/>
  <c r="Q5238" i="2"/>
  <c r="S5238" i="2" s="1"/>
  <c r="T5238" i="2" s="1"/>
  <c r="U5238" i="2" s="1"/>
  <c r="Q5239" i="2"/>
  <c r="S5239" i="2" s="1"/>
  <c r="T5239" i="2" s="1"/>
  <c r="U5239" i="2" s="1"/>
  <c r="Q5240" i="2"/>
  <c r="S5240" i="2" s="1"/>
  <c r="Q5241" i="2"/>
  <c r="S5241" i="2" s="1"/>
  <c r="T5241" i="2" s="1"/>
  <c r="U5241" i="2" s="1"/>
  <c r="Q5242" i="2"/>
  <c r="S5242" i="2" s="1"/>
  <c r="T5242" i="2" s="1"/>
  <c r="U5242" i="2" s="1"/>
  <c r="Q5243" i="2"/>
  <c r="S5243" i="2" s="1"/>
  <c r="T5243" i="2" s="1"/>
  <c r="U5243" i="2" s="1"/>
  <c r="Q5244" i="2"/>
  <c r="S5244" i="2" s="1"/>
  <c r="Q5245" i="2"/>
  <c r="S5245" i="2" s="1"/>
  <c r="T5245" i="2" s="1"/>
  <c r="U5245" i="2" s="1"/>
  <c r="Q5246" i="2"/>
  <c r="S5246" i="2" s="1"/>
  <c r="T5246" i="2" s="1"/>
  <c r="U5246" i="2" s="1"/>
  <c r="Q5247" i="2"/>
  <c r="S5247" i="2" s="1"/>
  <c r="T5247" i="2" s="1"/>
  <c r="U5247" i="2" s="1"/>
  <c r="Q5248" i="2"/>
  <c r="S5248" i="2" s="1"/>
  <c r="Q5249" i="2"/>
  <c r="S5249" i="2" s="1"/>
  <c r="Q5250" i="2"/>
  <c r="S5250" i="2" s="1"/>
  <c r="Q5251" i="2"/>
  <c r="S5251" i="2" s="1"/>
  <c r="T5251" i="2" s="1"/>
  <c r="U5251" i="2" s="1"/>
  <c r="Q5252" i="2"/>
  <c r="S5252" i="2" s="1"/>
  <c r="Q5253" i="2"/>
  <c r="S5253" i="2" s="1"/>
  <c r="T5253" i="2" s="1"/>
  <c r="U5253" i="2" s="1"/>
  <c r="Q5254" i="2"/>
  <c r="S5254" i="2" s="1"/>
  <c r="T5254" i="2" s="1"/>
  <c r="U5254" i="2" s="1"/>
  <c r="Q5255" i="2"/>
  <c r="S5255" i="2" s="1"/>
  <c r="T5255" i="2" s="1"/>
  <c r="U5255" i="2" s="1"/>
  <c r="Q5256" i="2"/>
  <c r="S5256" i="2" s="1"/>
  <c r="T5256" i="2" s="1"/>
  <c r="U5256" i="2" s="1"/>
  <c r="Q5257" i="2"/>
  <c r="S5257" i="2" s="1"/>
  <c r="T5257" i="2" s="1"/>
  <c r="U5257" i="2" s="1"/>
  <c r="Q5258" i="2"/>
  <c r="S5258" i="2" s="1"/>
  <c r="Q5259" i="2"/>
  <c r="S5259" i="2" s="1"/>
  <c r="T5259" i="2" s="1"/>
  <c r="U5259" i="2" s="1"/>
  <c r="Q5260" i="2"/>
  <c r="S5260" i="2" s="1"/>
  <c r="Q5261" i="2"/>
  <c r="S5261" i="2" s="1"/>
  <c r="Q5262" i="2"/>
  <c r="S5262" i="2" s="1"/>
  <c r="T5262" i="2" s="1"/>
  <c r="U5262" i="2" s="1"/>
  <c r="Q5263" i="2"/>
  <c r="S5263" i="2" s="1"/>
  <c r="Q5264" i="2"/>
  <c r="S5264" i="2" s="1"/>
  <c r="T5264" i="2" s="1"/>
  <c r="U5264" i="2" s="1"/>
  <c r="Q5265" i="2"/>
  <c r="S5265" i="2" s="1"/>
  <c r="T5265" i="2" s="1"/>
  <c r="U5265" i="2" s="1"/>
  <c r="Q5266" i="2"/>
  <c r="S5266" i="2" s="1"/>
  <c r="T5266" i="2" s="1"/>
  <c r="U5266" i="2" s="1"/>
  <c r="Q5267" i="2"/>
  <c r="S5267" i="2" s="1"/>
  <c r="T5267" i="2" s="1"/>
  <c r="U5267" i="2" s="1"/>
  <c r="Q5268" i="2"/>
  <c r="S5268" i="2" s="1"/>
  <c r="T5268" i="2" s="1"/>
  <c r="U5268" i="2" s="1"/>
  <c r="Q5269" i="2"/>
  <c r="S5269" i="2" s="1"/>
  <c r="Q5270" i="2"/>
  <c r="S5270" i="2" s="1"/>
  <c r="T5270" i="2" s="1"/>
  <c r="U5270" i="2" s="1"/>
  <c r="Q5271" i="2"/>
  <c r="S5271" i="2" s="1"/>
  <c r="T5271" i="2" s="1"/>
  <c r="U5271" i="2" s="1"/>
  <c r="Q5272" i="2"/>
  <c r="S5272" i="2" s="1"/>
  <c r="T5272" i="2" s="1"/>
  <c r="U5272" i="2" s="1"/>
  <c r="Q5273" i="2"/>
  <c r="S5273" i="2" s="1"/>
  <c r="Q5274" i="2"/>
  <c r="S5274" i="2" s="1"/>
  <c r="Q5275" i="2"/>
  <c r="S5275" i="2" s="1"/>
  <c r="T5275" i="2" s="1"/>
  <c r="U5275" i="2" s="1"/>
  <c r="Q5276" i="2"/>
  <c r="S5276" i="2" s="1"/>
  <c r="Q5277" i="2"/>
  <c r="S5277" i="2" s="1"/>
  <c r="T5277" i="2" s="1"/>
  <c r="U5277" i="2" s="1"/>
  <c r="Q5278" i="2"/>
  <c r="S5278" i="2" s="1"/>
  <c r="T5278" i="2" s="1"/>
  <c r="U5278" i="2" s="1"/>
  <c r="Q5279" i="2"/>
  <c r="S5279" i="2" s="1"/>
  <c r="T5279" i="2" s="1"/>
  <c r="U5279" i="2" s="1"/>
  <c r="Q5280" i="2"/>
  <c r="S5280" i="2" s="1"/>
  <c r="T5280" i="2" s="1"/>
  <c r="U5280" i="2" s="1"/>
  <c r="Q5281" i="2"/>
  <c r="S5281" i="2" s="1"/>
  <c r="Q5282" i="2"/>
  <c r="S5282" i="2" s="1"/>
  <c r="T5282" i="2" s="1"/>
  <c r="U5282" i="2" s="1"/>
  <c r="Q5283" i="2"/>
  <c r="S5283" i="2" s="1"/>
  <c r="T5283" i="2" s="1"/>
  <c r="U5283" i="2" s="1"/>
  <c r="Q5284" i="2"/>
  <c r="S5284" i="2" s="1"/>
  <c r="T5284" i="2" s="1"/>
  <c r="U5284" i="2" s="1"/>
  <c r="Q5285" i="2"/>
  <c r="S5285" i="2" s="1"/>
  <c r="Q5286" i="2"/>
  <c r="S5286" i="2" s="1"/>
  <c r="T5286" i="2" s="1"/>
  <c r="U5286" i="2" s="1"/>
  <c r="Q5287" i="2"/>
  <c r="S5287" i="2" s="1"/>
  <c r="T5287" i="2" s="1"/>
  <c r="U5287" i="2" s="1"/>
  <c r="Q5288" i="2"/>
  <c r="S5288" i="2" s="1"/>
  <c r="T5288" i="2" s="1"/>
  <c r="U5288" i="2" s="1"/>
  <c r="Q5289" i="2"/>
  <c r="S5289" i="2" s="1"/>
  <c r="T5289" i="2" s="1"/>
  <c r="U5289" i="2" s="1"/>
  <c r="Q5290" i="2"/>
  <c r="S5290" i="2" s="1"/>
  <c r="Q5291" i="2"/>
  <c r="S5291" i="2" s="1"/>
  <c r="T5291" i="2" s="1"/>
  <c r="U5291" i="2" s="1"/>
  <c r="Q5292" i="2"/>
  <c r="S5292" i="2" s="1"/>
  <c r="Q5293" i="2"/>
  <c r="S5293" i="2" s="1"/>
  <c r="T5293" i="2" s="1"/>
  <c r="U5293" i="2" s="1"/>
  <c r="Q5294" i="2"/>
  <c r="S5294" i="2" s="1"/>
  <c r="T5294" i="2" s="1"/>
  <c r="U5294" i="2" s="1"/>
  <c r="Q5295" i="2"/>
  <c r="S5295" i="2" s="1"/>
  <c r="T5295" i="2" s="1"/>
  <c r="U5295" i="2" s="1"/>
  <c r="Q5296" i="2"/>
  <c r="S5296" i="2" s="1"/>
  <c r="T5296" i="2" s="1"/>
  <c r="U5296" i="2" s="1"/>
  <c r="Q5297" i="2"/>
  <c r="S5297" i="2" s="1"/>
  <c r="Q5298" i="2"/>
  <c r="S5298" i="2" s="1"/>
  <c r="T5298" i="2" s="1"/>
  <c r="U5298" i="2" s="1"/>
  <c r="Q5299" i="2"/>
  <c r="S5299" i="2" s="1"/>
  <c r="Q5300" i="2"/>
  <c r="S5300" i="2" s="1"/>
  <c r="T5300" i="2" s="1"/>
  <c r="U5300" i="2" s="1"/>
  <c r="Q5301" i="2"/>
  <c r="S5301" i="2" s="1"/>
  <c r="T5301" i="2" s="1"/>
  <c r="U5301" i="2" s="1"/>
  <c r="Q5302" i="2"/>
  <c r="S5302" i="2" s="1"/>
  <c r="Q5303" i="2"/>
  <c r="S5303" i="2" s="1"/>
  <c r="T5303" i="2" s="1"/>
  <c r="U5303" i="2" s="1"/>
  <c r="Q5304" i="2"/>
  <c r="S5304" i="2" s="1"/>
  <c r="T5304" i="2" s="1"/>
  <c r="U5304" i="2" s="1"/>
  <c r="Q5305" i="2"/>
  <c r="S5305" i="2" s="1"/>
  <c r="T5305" i="2" s="1"/>
  <c r="U5305" i="2" s="1"/>
  <c r="Q5306" i="2"/>
  <c r="S5306" i="2" s="1"/>
  <c r="Q5307" i="2"/>
  <c r="S5307" i="2" s="1"/>
  <c r="T5307" i="2" s="1"/>
  <c r="U5307" i="2" s="1"/>
  <c r="Q5308" i="2"/>
  <c r="S5308" i="2" s="1"/>
  <c r="T5308" i="2" s="1"/>
  <c r="U5308" i="2" s="1"/>
  <c r="Q5309" i="2"/>
  <c r="S5309" i="2" s="1"/>
  <c r="T5309" i="2" s="1"/>
  <c r="U5309" i="2" s="1"/>
  <c r="Q5310" i="2"/>
  <c r="S5310" i="2" s="1"/>
  <c r="T5310" i="2" s="1"/>
  <c r="U5310" i="2" s="1"/>
  <c r="Q5311" i="2"/>
  <c r="S5311" i="2" s="1"/>
  <c r="T5311" i="2" s="1"/>
  <c r="U5311" i="2" s="1"/>
  <c r="Q5312" i="2"/>
  <c r="S5312" i="2" s="1"/>
  <c r="T5312" i="2" s="1"/>
  <c r="U5312" i="2" s="1"/>
  <c r="Q5313" i="2"/>
  <c r="S5313" i="2" s="1"/>
  <c r="T5313" i="2" s="1"/>
  <c r="U5313" i="2" s="1"/>
  <c r="Q5314" i="2"/>
  <c r="S5314" i="2" s="1"/>
  <c r="T5314" i="2" s="1"/>
  <c r="U5314" i="2" s="1"/>
  <c r="Q5315" i="2"/>
  <c r="S5315" i="2" s="1"/>
  <c r="T5315" i="2" s="1"/>
  <c r="U5315" i="2" s="1"/>
  <c r="Q5316" i="2"/>
  <c r="S5316" i="2" s="1"/>
  <c r="T5316" i="2" s="1"/>
  <c r="U5316" i="2" s="1"/>
  <c r="Q5317" i="2"/>
  <c r="S5317" i="2" s="1"/>
  <c r="T5317" i="2" s="1"/>
  <c r="U5317" i="2" s="1"/>
  <c r="Q5318" i="2"/>
  <c r="S5318" i="2" s="1"/>
  <c r="T5318" i="2" s="1"/>
  <c r="U5318" i="2" s="1"/>
  <c r="Q5319" i="2"/>
  <c r="S5319" i="2" s="1"/>
  <c r="T5319" i="2" s="1"/>
  <c r="U5319" i="2" s="1"/>
  <c r="Q5320" i="2"/>
  <c r="S5320" i="2" s="1"/>
  <c r="T5320" i="2" s="1"/>
  <c r="U5320" i="2" s="1"/>
  <c r="Q5321" i="2"/>
  <c r="S5321" i="2" s="1"/>
  <c r="T5321" i="2" s="1"/>
  <c r="U5321" i="2" s="1"/>
  <c r="Q5322" i="2"/>
  <c r="S5322" i="2" s="1"/>
  <c r="T5322" i="2" s="1"/>
  <c r="U5322" i="2" s="1"/>
  <c r="Q5323" i="2"/>
  <c r="S5323" i="2" s="1"/>
  <c r="Q5324" i="2"/>
  <c r="S5324" i="2" s="1"/>
  <c r="T5324" i="2" s="1"/>
  <c r="U5324" i="2" s="1"/>
  <c r="Q5325" i="2"/>
  <c r="S5325" i="2" s="1"/>
  <c r="T5325" i="2" s="1"/>
  <c r="U5325" i="2" s="1"/>
  <c r="Q5326" i="2"/>
  <c r="S5326" i="2" s="1"/>
  <c r="T5326" i="2" s="1"/>
  <c r="U5326" i="2" s="1"/>
  <c r="Q5327" i="2"/>
  <c r="S5327" i="2" s="1"/>
  <c r="T5327" i="2" s="1"/>
  <c r="U5327" i="2" s="1"/>
  <c r="Q5328" i="2"/>
  <c r="S5328" i="2" s="1"/>
  <c r="T5328" i="2" s="1"/>
  <c r="U5328" i="2" s="1"/>
  <c r="Q5329" i="2"/>
  <c r="S5329" i="2" s="1"/>
  <c r="Q5330" i="2"/>
  <c r="S5330" i="2" s="1"/>
  <c r="T5330" i="2" s="1"/>
  <c r="U5330" i="2" s="1"/>
  <c r="Q5331" i="2"/>
  <c r="S5331" i="2" s="1"/>
  <c r="T5331" i="2" s="1"/>
  <c r="U5331" i="2" s="1"/>
  <c r="Q5332" i="2"/>
  <c r="S5332" i="2" s="1"/>
  <c r="Q5333" i="2"/>
  <c r="S5333" i="2" s="1"/>
  <c r="T5333" i="2" s="1"/>
  <c r="U5333" i="2" s="1"/>
  <c r="Q5334" i="2"/>
  <c r="S5334" i="2" s="1"/>
  <c r="T5334" i="2" s="1"/>
  <c r="U5334" i="2" s="1"/>
  <c r="Q5335" i="2"/>
  <c r="S5335" i="2" s="1"/>
  <c r="Q5336" i="2"/>
  <c r="S5336" i="2" s="1"/>
  <c r="T5336" i="2" s="1"/>
  <c r="U5336" i="2" s="1"/>
  <c r="Q5337" i="2"/>
  <c r="S5337" i="2" s="1"/>
  <c r="T5337" i="2" s="1"/>
  <c r="U5337" i="2" s="1"/>
  <c r="Q5338" i="2"/>
  <c r="S5338" i="2" s="1"/>
  <c r="Q5339" i="2"/>
  <c r="S5339" i="2" s="1"/>
  <c r="T5339" i="2" s="1"/>
  <c r="U5339" i="2" s="1"/>
  <c r="Q5340" i="2"/>
  <c r="S5340" i="2" s="1"/>
  <c r="T5340" i="2" s="1"/>
  <c r="U5340" i="2" s="1"/>
  <c r="Q5341" i="2"/>
  <c r="S5341" i="2" s="1"/>
  <c r="T5341" i="2" s="1"/>
  <c r="U5341" i="2" s="1"/>
  <c r="Q5342" i="2"/>
  <c r="S5342" i="2" s="1"/>
  <c r="T5342" i="2" s="1"/>
  <c r="U5342" i="2" s="1"/>
  <c r="Q5343" i="2"/>
  <c r="S5343" i="2" s="1"/>
  <c r="Q5344" i="2"/>
  <c r="S5344" i="2" s="1"/>
  <c r="Q5345" i="2"/>
  <c r="S5345" i="2" s="1"/>
  <c r="T5345" i="2" s="1"/>
  <c r="U5345" i="2" s="1"/>
  <c r="Q5346" i="2"/>
  <c r="S5346" i="2" s="1"/>
  <c r="Q5347" i="2"/>
  <c r="S5347" i="2" s="1"/>
  <c r="Q5348" i="2"/>
  <c r="S5348" i="2" s="1"/>
  <c r="Q5349" i="2"/>
  <c r="S5349" i="2" s="1"/>
  <c r="T5349" i="2" s="1"/>
  <c r="U5349" i="2" s="1"/>
  <c r="Q5350" i="2"/>
  <c r="S5350" i="2" s="1"/>
  <c r="Q5351" i="2"/>
  <c r="S5351" i="2" s="1"/>
  <c r="Q5352" i="2"/>
  <c r="S5352" i="2" s="1"/>
  <c r="Q5353" i="2"/>
  <c r="S5353" i="2" s="1"/>
  <c r="Q5354" i="2"/>
  <c r="S5354" i="2" s="1"/>
  <c r="T5354" i="2" s="1"/>
  <c r="U5354" i="2" s="1"/>
  <c r="Q5355" i="2"/>
  <c r="S5355" i="2" s="1"/>
  <c r="T5355" i="2" s="1"/>
  <c r="U5355" i="2" s="1"/>
  <c r="Q5356" i="2"/>
  <c r="S5356" i="2" s="1"/>
  <c r="T5356" i="2" s="1"/>
  <c r="U5356" i="2" s="1"/>
  <c r="Q5357" i="2"/>
  <c r="S5357" i="2" s="1"/>
  <c r="T5357" i="2" s="1"/>
  <c r="U5357" i="2" s="1"/>
  <c r="Q5358" i="2"/>
  <c r="S5358" i="2" s="1"/>
  <c r="T5358" i="2" s="1"/>
  <c r="U5358" i="2" s="1"/>
  <c r="Q5359" i="2"/>
  <c r="S5359" i="2" s="1"/>
  <c r="T5359" i="2" s="1"/>
  <c r="U5359" i="2" s="1"/>
  <c r="Q5360" i="2"/>
  <c r="S5360" i="2" s="1"/>
  <c r="T5360" i="2" s="1"/>
  <c r="U5360" i="2" s="1"/>
  <c r="Q5361" i="2"/>
  <c r="S5361" i="2" s="1"/>
  <c r="T5361" i="2" s="1"/>
  <c r="U5361" i="2" s="1"/>
  <c r="Q5362" i="2"/>
  <c r="S5362" i="2" s="1"/>
  <c r="Q5363" i="2"/>
  <c r="S5363" i="2" s="1"/>
  <c r="T5363" i="2" s="1"/>
  <c r="U5363" i="2" s="1"/>
  <c r="Q5364" i="2"/>
  <c r="S5364" i="2" s="1"/>
  <c r="Q5365" i="2"/>
  <c r="S5365" i="2" s="1"/>
  <c r="T5365" i="2" s="1"/>
  <c r="U5365" i="2" s="1"/>
  <c r="Q5366" i="2"/>
  <c r="S5366" i="2" s="1"/>
  <c r="T5366" i="2" s="1"/>
  <c r="U5366" i="2" s="1"/>
  <c r="Q5367" i="2"/>
  <c r="S5367" i="2" s="1"/>
  <c r="T5367" i="2" s="1"/>
  <c r="U5367" i="2" s="1"/>
  <c r="Q5368" i="2"/>
  <c r="S5368" i="2" s="1"/>
  <c r="Q5369" i="2"/>
  <c r="S5369" i="2" s="1"/>
  <c r="Q5370" i="2"/>
  <c r="S5370" i="2" s="1"/>
  <c r="T5370" i="2" s="1"/>
  <c r="U5370" i="2" s="1"/>
  <c r="Q5371" i="2"/>
  <c r="S5371" i="2" s="1"/>
  <c r="Q5372" i="2"/>
  <c r="S5372" i="2" s="1"/>
  <c r="T5372" i="2" s="1"/>
  <c r="U5372" i="2" s="1"/>
  <c r="Q5373" i="2"/>
  <c r="S5373" i="2" s="1"/>
  <c r="Q5374" i="2"/>
  <c r="S5374" i="2" s="1"/>
  <c r="T5374" i="2" s="1"/>
  <c r="U5374" i="2" s="1"/>
  <c r="Q5375" i="2"/>
  <c r="S5375" i="2" s="1"/>
  <c r="T5375" i="2" s="1"/>
  <c r="U5375" i="2" s="1"/>
  <c r="Q5376" i="2"/>
  <c r="S5376" i="2" s="1"/>
  <c r="T5376" i="2" s="1"/>
  <c r="U5376" i="2" s="1"/>
  <c r="Q5377" i="2"/>
  <c r="S5377" i="2" s="1"/>
  <c r="T5377" i="2" s="1"/>
  <c r="U5377" i="2" s="1"/>
  <c r="Q5378" i="2"/>
  <c r="S5378" i="2" s="1"/>
  <c r="Q5379" i="2"/>
  <c r="S5379" i="2" s="1"/>
  <c r="T5379" i="2" s="1"/>
  <c r="U5379" i="2" s="1"/>
  <c r="Q5380" i="2"/>
  <c r="S5380" i="2" s="1"/>
  <c r="Q5381" i="2"/>
  <c r="S5381" i="2" s="1"/>
  <c r="T5381" i="2" s="1"/>
  <c r="U5381" i="2" s="1"/>
  <c r="Q5382" i="2"/>
  <c r="S5382" i="2" s="1"/>
  <c r="T5382" i="2" s="1"/>
  <c r="U5382" i="2" s="1"/>
  <c r="Q5383" i="2"/>
  <c r="S5383" i="2" s="1"/>
  <c r="T5383" i="2" s="1"/>
  <c r="U5383" i="2" s="1"/>
  <c r="Q5384" i="2"/>
  <c r="S5384" i="2" s="1"/>
  <c r="Q5385" i="2"/>
  <c r="S5385" i="2" s="1"/>
  <c r="T5385" i="2" s="1"/>
  <c r="U5385" i="2" s="1"/>
  <c r="Q5386" i="2"/>
  <c r="S5386" i="2" s="1"/>
  <c r="Q5387" i="2"/>
  <c r="S5387" i="2" s="1"/>
  <c r="T5387" i="2" s="1"/>
  <c r="U5387" i="2" s="1"/>
  <c r="Q5388" i="2"/>
  <c r="S5388" i="2" s="1"/>
  <c r="Q5389" i="2"/>
  <c r="S5389" i="2" s="1"/>
  <c r="Q5390" i="2"/>
  <c r="S5390" i="2" s="1"/>
  <c r="T5390" i="2" s="1"/>
  <c r="U5390" i="2" s="1"/>
  <c r="Q5391" i="2"/>
  <c r="S5391" i="2" s="1"/>
  <c r="T5391" i="2" s="1"/>
  <c r="U5391" i="2" s="1"/>
  <c r="Q5392" i="2"/>
  <c r="S5392" i="2" s="1"/>
  <c r="T5392" i="2" s="1"/>
  <c r="U5392" i="2" s="1"/>
  <c r="Q5393" i="2"/>
  <c r="S5393" i="2" s="1"/>
  <c r="T5393" i="2" s="1"/>
  <c r="U5393" i="2" s="1"/>
  <c r="Q5394" i="2"/>
  <c r="S5394" i="2" s="1"/>
  <c r="T5394" i="2" s="1"/>
  <c r="U5394" i="2" s="1"/>
  <c r="Q5395" i="2"/>
  <c r="S5395" i="2" s="1"/>
  <c r="T5395" i="2" s="1"/>
  <c r="U5395" i="2" s="1"/>
  <c r="Q5396" i="2"/>
  <c r="S5396" i="2" s="1"/>
  <c r="Q5397" i="2"/>
  <c r="S5397" i="2" s="1"/>
  <c r="Q5398" i="2"/>
  <c r="S5398" i="2" s="1"/>
  <c r="Q5399" i="2"/>
  <c r="S5399" i="2" s="1"/>
  <c r="Q5400" i="2"/>
  <c r="S5400" i="2" s="1"/>
  <c r="Q5401" i="2"/>
  <c r="S5401" i="2" s="1"/>
  <c r="T5401" i="2" s="1"/>
  <c r="U5401" i="2" s="1"/>
  <c r="Q5402" i="2"/>
  <c r="S5402" i="2" s="1"/>
  <c r="Q5403" i="2"/>
  <c r="S5403" i="2" s="1"/>
  <c r="Q5404" i="2"/>
  <c r="S5404" i="2" s="1"/>
  <c r="Q5405" i="2"/>
  <c r="S5405" i="2" s="1"/>
  <c r="T5405" i="2" s="1"/>
  <c r="U5405" i="2" s="1"/>
  <c r="Q5406" i="2"/>
  <c r="S5406" i="2" s="1"/>
  <c r="T5406" i="2" s="1"/>
  <c r="U5406" i="2" s="1"/>
  <c r="Q5407" i="2"/>
  <c r="S5407" i="2" s="1"/>
  <c r="T5407" i="2" s="1"/>
  <c r="U5407" i="2" s="1"/>
  <c r="Q5408" i="2"/>
  <c r="S5408" i="2" s="1"/>
  <c r="Q5409" i="2"/>
  <c r="S5409" i="2" s="1"/>
  <c r="Q5410" i="2"/>
  <c r="S5410" i="2" s="1"/>
  <c r="Q5411" i="2"/>
  <c r="S5411" i="2" s="1"/>
  <c r="Q5412" i="2"/>
  <c r="S5412" i="2" s="1"/>
  <c r="T5412" i="2" s="1"/>
  <c r="U5412" i="2" s="1"/>
  <c r="Q5413" i="2"/>
  <c r="S5413" i="2" s="1"/>
  <c r="T5413" i="2" s="1"/>
  <c r="U5413" i="2" s="1"/>
  <c r="Q5414" i="2"/>
  <c r="S5414" i="2" s="1"/>
  <c r="T5414" i="2" s="1"/>
  <c r="U5414" i="2" s="1"/>
  <c r="Q5415" i="2"/>
  <c r="S5415" i="2" s="1"/>
  <c r="T5415" i="2" s="1"/>
  <c r="U5415" i="2" s="1"/>
  <c r="Q5416" i="2"/>
  <c r="S5416" i="2" s="1"/>
  <c r="Q5417" i="2"/>
  <c r="S5417" i="2" s="1"/>
  <c r="T5417" i="2" s="1"/>
  <c r="U5417" i="2" s="1"/>
  <c r="Q5418" i="2"/>
  <c r="S5418" i="2" s="1"/>
  <c r="T5418" i="2" s="1"/>
  <c r="U5418" i="2" s="1"/>
  <c r="Q5419" i="2"/>
  <c r="S5419" i="2" s="1"/>
  <c r="Q5420" i="2"/>
  <c r="S5420" i="2" s="1"/>
  <c r="T5420" i="2" s="1"/>
  <c r="U5420" i="2" s="1"/>
  <c r="Q5421" i="2"/>
  <c r="S5421" i="2" s="1"/>
  <c r="Q5422" i="2"/>
  <c r="S5422" i="2" s="1"/>
  <c r="T5422" i="2" s="1"/>
  <c r="U5422" i="2" s="1"/>
  <c r="Q5423" i="2"/>
  <c r="S5423" i="2" s="1"/>
  <c r="T5423" i="2" s="1"/>
  <c r="U5423" i="2" s="1"/>
  <c r="Q5424" i="2"/>
  <c r="S5424" i="2" s="1"/>
  <c r="T5424" i="2" s="1"/>
  <c r="U5424" i="2" s="1"/>
  <c r="Q5425" i="2"/>
  <c r="S5425" i="2" s="1"/>
  <c r="T5425" i="2" s="1"/>
  <c r="U5425" i="2" s="1"/>
  <c r="Q5426" i="2"/>
  <c r="S5426" i="2" s="1"/>
  <c r="T5426" i="2" s="1"/>
  <c r="U5426" i="2" s="1"/>
  <c r="Q5427" i="2"/>
  <c r="S5427" i="2" s="1"/>
  <c r="T5427" i="2" s="1"/>
  <c r="U5427" i="2" s="1"/>
  <c r="Q5428" i="2"/>
  <c r="S5428" i="2" s="1"/>
  <c r="T5428" i="2" s="1"/>
  <c r="U5428" i="2" s="1"/>
  <c r="Q5429" i="2"/>
  <c r="S5429" i="2" s="1"/>
  <c r="T5429" i="2" s="1"/>
  <c r="U5429" i="2" s="1"/>
  <c r="Q5430" i="2"/>
  <c r="S5430" i="2" s="1"/>
  <c r="T5430" i="2" s="1"/>
  <c r="U5430" i="2" s="1"/>
  <c r="Q5431" i="2"/>
  <c r="S5431" i="2" s="1"/>
  <c r="T5431" i="2" s="1"/>
  <c r="U5431" i="2" s="1"/>
  <c r="Q5432" i="2"/>
  <c r="S5432" i="2" s="1"/>
  <c r="T5432" i="2" s="1"/>
  <c r="U5432" i="2" s="1"/>
  <c r="Q5433" i="2"/>
  <c r="S5433" i="2" s="1"/>
  <c r="Q5434" i="2"/>
  <c r="S5434" i="2" s="1"/>
  <c r="Q5435" i="2"/>
  <c r="S5435" i="2" s="1"/>
  <c r="T5435" i="2" s="1"/>
  <c r="U5435" i="2" s="1"/>
  <c r="Q5436" i="2"/>
  <c r="S5436" i="2" s="1"/>
  <c r="Q5437" i="2"/>
  <c r="S5437" i="2" s="1"/>
  <c r="T5437" i="2" s="1"/>
  <c r="U5437" i="2" s="1"/>
  <c r="Q5438" i="2"/>
  <c r="S5438" i="2" s="1"/>
  <c r="T5438" i="2" s="1"/>
  <c r="U5438" i="2" s="1"/>
  <c r="Q5439" i="2"/>
  <c r="S5439" i="2" s="1"/>
  <c r="T5439" i="2" s="1"/>
  <c r="U5439" i="2" s="1"/>
  <c r="Q5440" i="2"/>
  <c r="S5440" i="2" s="1"/>
  <c r="T5440" i="2" s="1"/>
  <c r="U5440" i="2" s="1"/>
  <c r="Q5441" i="2"/>
  <c r="S5441" i="2" s="1"/>
  <c r="Q5442" i="2"/>
  <c r="S5442" i="2" s="1"/>
  <c r="T5442" i="2" s="1"/>
  <c r="U5442" i="2" s="1"/>
  <c r="Q5443" i="2"/>
  <c r="S5443" i="2" s="1"/>
  <c r="Q5444" i="2"/>
  <c r="S5444" i="2" s="1"/>
  <c r="T5444" i="2" s="1"/>
  <c r="U5444" i="2" s="1"/>
  <c r="Q5445" i="2"/>
  <c r="S5445" i="2" s="1"/>
  <c r="Q5446" i="2"/>
  <c r="S5446" i="2" s="1"/>
  <c r="T5446" i="2" s="1"/>
  <c r="U5446" i="2" s="1"/>
  <c r="Q5447" i="2"/>
  <c r="S5447" i="2" s="1"/>
  <c r="Q5448" i="2"/>
  <c r="S5448" i="2" s="1"/>
  <c r="T5448" i="2" s="1"/>
  <c r="U5448" i="2" s="1"/>
  <c r="Q5449" i="2"/>
  <c r="S5449" i="2" s="1"/>
  <c r="Q5450" i="2"/>
  <c r="S5450" i="2" s="1"/>
  <c r="T5450" i="2" s="1"/>
  <c r="U5450" i="2" s="1"/>
  <c r="Q5451" i="2"/>
  <c r="S5451" i="2" s="1"/>
  <c r="T5451" i="2" s="1"/>
  <c r="U5451" i="2" s="1"/>
  <c r="Q5452" i="2"/>
  <c r="S5452" i="2" s="1"/>
  <c r="T5452" i="2" s="1"/>
  <c r="U5452" i="2" s="1"/>
  <c r="Q5453" i="2"/>
  <c r="S5453" i="2" s="1"/>
  <c r="T5453" i="2" s="1"/>
  <c r="U5453" i="2" s="1"/>
  <c r="Q5454" i="2"/>
  <c r="S5454" i="2" s="1"/>
  <c r="T5454" i="2" s="1"/>
  <c r="U5454" i="2" s="1"/>
  <c r="Q5455" i="2"/>
  <c r="S5455" i="2" s="1"/>
  <c r="T5455" i="2" s="1"/>
  <c r="U5455" i="2" s="1"/>
  <c r="Q5456" i="2"/>
  <c r="S5456" i="2" s="1"/>
  <c r="T5456" i="2" s="1"/>
  <c r="U5456" i="2" s="1"/>
  <c r="Q5457" i="2"/>
  <c r="S5457" i="2" s="1"/>
  <c r="Q5458" i="2"/>
  <c r="S5458" i="2" s="1"/>
  <c r="T5458" i="2" s="1"/>
  <c r="U5458" i="2" s="1"/>
  <c r="Q5459" i="2"/>
  <c r="S5459" i="2" s="1"/>
  <c r="Q5460" i="2"/>
  <c r="S5460" i="2" s="1"/>
  <c r="T5460" i="2" s="1"/>
  <c r="U5460" i="2" s="1"/>
  <c r="Q5461" i="2"/>
  <c r="S5461" i="2" s="1"/>
  <c r="Q5462" i="2"/>
  <c r="S5462" i="2" s="1"/>
  <c r="Q5463" i="2"/>
  <c r="S5463" i="2" s="1"/>
  <c r="Q5464" i="2"/>
  <c r="S5464" i="2" s="1"/>
  <c r="T5464" i="2" s="1"/>
  <c r="U5464" i="2" s="1"/>
  <c r="Q5465" i="2"/>
  <c r="S5465" i="2" s="1"/>
  <c r="Q5466" i="2"/>
  <c r="S5466" i="2" s="1"/>
  <c r="T5466" i="2" s="1"/>
  <c r="U5466" i="2" s="1"/>
  <c r="Q5467" i="2"/>
  <c r="S5467" i="2" s="1"/>
  <c r="Q5468" i="2"/>
  <c r="S5468" i="2" s="1"/>
  <c r="Q5469" i="2"/>
  <c r="S5469" i="2" s="1"/>
  <c r="T5469" i="2" s="1"/>
  <c r="U5469" i="2" s="1"/>
  <c r="Q5470" i="2"/>
  <c r="S5470" i="2" s="1"/>
  <c r="Q5471" i="2"/>
  <c r="S5471" i="2" s="1"/>
  <c r="T5471" i="2" s="1"/>
  <c r="U5471" i="2" s="1"/>
  <c r="Q5472" i="2"/>
  <c r="S5472" i="2" s="1"/>
  <c r="T5472" i="2" s="1"/>
  <c r="U5472" i="2" s="1"/>
  <c r="Q5473" i="2"/>
  <c r="S5473" i="2" s="1"/>
  <c r="T5473" i="2" s="1"/>
  <c r="U5473" i="2" s="1"/>
  <c r="Q5474" i="2"/>
  <c r="S5474" i="2" s="1"/>
  <c r="T5474" i="2" s="1"/>
  <c r="U5474" i="2" s="1"/>
  <c r="Q5475" i="2"/>
  <c r="S5475" i="2" s="1"/>
  <c r="T5475" i="2" s="1"/>
  <c r="U5475" i="2" s="1"/>
  <c r="Q5476" i="2"/>
  <c r="S5476" i="2" s="1"/>
  <c r="T5476" i="2" s="1"/>
  <c r="U5476" i="2" s="1"/>
  <c r="Q5477" i="2"/>
  <c r="S5477" i="2" s="1"/>
  <c r="Q5478" i="2"/>
  <c r="S5478" i="2" s="1"/>
  <c r="T5478" i="2" s="1"/>
  <c r="U5478" i="2" s="1"/>
  <c r="Q5479" i="2"/>
  <c r="S5479" i="2" s="1"/>
  <c r="T5479" i="2" s="1"/>
  <c r="U5479" i="2" s="1"/>
  <c r="Q5480" i="2"/>
  <c r="S5480" i="2" s="1"/>
  <c r="Q5481" i="2"/>
  <c r="S5481" i="2" s="1"/>
  <c r="Q5482" i="2"/>
  <c r="S5482" i="2" s="1"/>
  <c r="T5482" i="2" s="1"/>
  <c r="U5482" i="2" s="1"/>
  <c r="Q5483" i="2"/>
  <c r="S5483" i="2" s="1"/>
  <c r="T5483" i="2" s="1"/>
  <c r="U5483" i="2" s="1"/>
  <c r="Q5484" i="2"/>
  <c r="S5484" i="2" s="1"/>
  <c r="T5484" i="2" s="1"/>
  <c r="U5484" i="2" s="1"/>
  <c r="Q5485" i="2"/>
  <c r="S5485" i="2" s="1"/>
  <c r="T5485" i="2" s="1"/>
  <c r="U5485" i="2" s="1"/>
  <c r="Q5486" i="2"/>
  <c r="S5486" i="2" s="1"/>
  <c r="T5486" i="2" s="1"/>
  <c r="U5486" i="2" s="1"/>
  <c r="Q5487" i="2"/>
  <c r="S5487" i="2" s="1"/>
  <c r="Q5488" i="2"/>
  <c r="S5488" i="2" s="1"/>
  <c r="Q5489" i="2"/>
  <c r="S5489" i="2" s="1"/>
  <c r="T5489" i="2" s="1"/>
  <c r="U5489" i="2" s="1"/>
  <c r="Q5490" i="2"/>
  <c r="S5490" i="2" s="1"/>
  <c r="Q5491" i="2"/>
  <c r="S5491" i="2" s="1"/>
  <c r="Q5492" i="2"/>
  <c r="S5492" i="2" s="1"/>
  <c r="Q5493" i="2"/>
  <c r="S5493" i="2" s="1"/>
  <c r="Q5494" i="2"/>
  <c r="S5494" i="2" s="1"/>
  <c r="Q5495" i="2"/>
  <c r="S5495" i="2" s="1"/>
  <c r="T5495" i="2" s="1"/>
  <c r="U5495" i="2" s="1"/>
  <c r="Q5496" i="2"/>
  <c r="S5496" i="2" s="1"/>
  <c r="T5496" i="2" s="1"/>
  <c r="U5496" i="2" s="1"/>
  <c r="Q5497" i="2"/>
  <c r="S5497" i="2" s="1"/>
  <c r="T5497" i="2" s="1"/>
  <c r="U5497" i="2" s="1"/>
  <c r="Q5498" i="2"/>
  <c r="S5498" i="2" s="1"/>
  <c r="T5498" i="2" s="1"/>
  <c r="U5498" i="2" s="1"/>
  <c r="Q5499" i="2"/>
  <c r="S5499" i="2" s="1"/>
  <c r="T5499" i="2" s="1"/>
  <c r="U5499" i="2" s="1"/>
  <c r="Q5500" i="2"/>
  <c r="S5500" i="2" s="1"/>
  <c r="T5500" i="2" s="1"/>
  <c r="U5500" i="2" s="1"/>
  <c r="Q5501" i="2"/>
  <c r="S5501" i="2" s="1"/>
  <c r="T5501" i="2" s="1"/>
  <c r="U5501" i="2" s="1"/>
  <c r="Q5502" i="2"/>
  <c r="S5502" i="2" s="1"/>
  <c r="T5502" i="2" s="1"/>
  <c r="U5502" i="2" s="1"/>
  <c r="Q5503" i="2"/>
  <c r="S5503" i="2" s="1"/>
  <c r="T5503" i="2" s="1"/>
  <c r="U5503" i="2" s="1"/>
  <c r="Q5504" i="2"/>
  <c r="S5504" i="2" s="1"/>
  <c r="T5504" i="2" s="1"/>
  <c r="U5504" i="2" s="1"/>
  <c r="Q5505" i="2"/>
  <c r="S5505" i="2" s="1"/>
  <c r="Q5506" i="2"/>
  <c r="S5506" i="2" s="1"/>
  <c r="Q5507" i="2"/>
  <c r="S5507" i="2" s="1"/>
  <c r="Q5508" i="2"/>
  <c r="S5508" i="2" s="1"/>
  <c r="T5508" i="2" s="1"/>
  <c r="U5508" i="2" s="1"/>
  <c r="Q5509" i="2"/>
  <c r="S5509" i="2" s="1"/>
  <c r="Q5510" i="2"/>
  <c r="S5510" i="2" s="1"/>
  <c r="T5510" i="2" s="1"/>
  <c r="U5510" i="2" s="1"/>
  <c r="Q5511" i="2"/>
  <c r="S5511" i="2" s="1"/>
  <c r="T5511" i="2" s="1"/>
  <c r="U5511" i="2" s="1"/>
  <c r="Q5512" i="2"/>
  <c r="S5512" i="2" s="1"/>
  <c r="T5512" i="2" s="1"/>
  <c r="U5512" i="2" s="1"/>
  <c r="Q5513" i="2"/>
  <c r="S5513" i="2" s="1"/>
  <c r="T5513" i="2" s="1"/>
  <c r="U5513" i="2" s="1"/>
  <c r="Q5514" i="2"/>
  <c r="S5514" i="2" s="1"/>
  <c r="T5514" i="2" s="1"/>
  <c r="U5514" i="2" s="1"/>
  <c r="Q5515" i="2"/>
  <c r="S5515" i="2" s="1"/>
  <c r="T5515" i="2" s="1"/>
  <c r="U5515" i="2" s="1"/>
  <c r="Q5516" i="2"/>
  <c r="S5516" i="2" s="1"/>
  <c r="Q5517" i="2"/>
  <c r="S5517" i="2" s="1"/>
  <c r="T5517" i="2" s="1"/>
  <c r="U5517" i="2" s="1"/>
  <c r="Q5518" i="2"/>
  <c r="S5518" i="2" s="1"/>
  <c r="Q5519" i="2"/>
  <c r="S5519" i="2" s="1"/>
  <c r="T5519" i="2" s="1"/>
  <c r="U5519" i="2" s="1"/>
  <c r="Q5520" i="2"/>
  <c r="S5520" i="2" s="1"/>
  <c r="T5520" i="2" s="1"/>
  <c r="U5520" i="2" s="1"/>
  <c r="Q5521" i="2"/>
  <c r="S5521" i="2" s="1"/>
  <c r="T5521" i="2" s="1"/>
  <c r="U5521" i="2" s="1"/>
  <c r="Q5522" i="2"/>
  <c r="S5522" i="2" s="1"/>
  <c r="T5522" i="2" s="1"/>
  <c r="U5522" i="2" s="1"/>
  <c r="Q5523" i="2"/>
  <c r="S5523" i="2" s="1"/>
  <c r="Q5524" i="2"/>
  <c r="S5524" i="2" s="1"/>
  <c r="T5524" i="2" s="1"/>
  <c r="U5524" i="2" s="1"/>
  <c r="Q5525" i="2"/>
  <c r="S5525" i="2" s="1"/>
  <c r="T5525" i="2" s="1"/>
  <c r="U5525" i="2" s="1"/>
  <c r="Q5526" i="2"/>
  <c r="S5526" i="2" s="1"/>
  <c r="T5526" i="2" s="1"/>
  <c r="U5526" i="2" s="1"/>
  <c r="Q5527" i="2"/>
  <c r="S5527" i="2" s="1"/>
  <c r="Q5528" i="2"/>
  <c r="S5528" i="2" s="1"/>
  <c r="T5528" i="2" s="1"/>
  <c r="U5528" i="2" s="1"/>
  <c r="Q5529" i="2"/>
  <c r="S5529" i="2" s="1"/>
  <c r="Q5530" i="2"/>
  <c r="S5530" i="2" s="1"/>
  <c r="T5530" i="2" s="1"/>
  <c r="U5530" i="2" s="1"/>
  <c r="Q5531" i="2"/>
  <c r="S5531" i="2" s="1"/>
  <c r="Q5532" i="2"/>
  <c r="S5532" i="2" s="1"/>
  <c r="Q5533" i="2"/>
  <c r="S5533" i="2" s="1"/>
  <c r="T5533" i="2" s="1"/>
  <c r="U5533" i="2" s="1"/>
  <c r="Q5534" i="2"/>
  <c r="S5534" i="2" s="1"/>
  <c r="Q5535" i="2"/>
  <c r="S5535" i="2" s="1"/>
  <c r="T5535" i="2" s="1"/>
  <c r="U5535" i="2" s="1"/>
  <c r="Q5536" i="2"/>
  <c r="S5536" i="2" s="1"/>
  <c r="T5536" i="2" s="1"/>
  <c r="U5536" i="2" s="1"/>
  <c r="Q5537" i="2"/>
  <c r="S5537" i="2" s="1"/>
  <c r="T5537" i="2" s="1"/>
  <c r="U5537" i="2" s="1"/>
  <c r="Q5538" i="2"/>
  <c r="S5538" i="2" s="1"/>
  <c r="T5538" i="2" s="1"/>
  <c r="U5538" i="2" s="1"/>
  <c r="Q5539" i="2"/>
  <c r="S5539" i="2" s="1"/>
  <c r="Q5540" i="2"/>
  <c r="S5540" i="2" s="1"/>
  <c r="T5540" i="2" s="1"/>
  <c r="U5540" i="2" s="1"/>
  <c r="Q5541" i="2"/>
  <c r="S5541" i="2" s="1"/>
  <c r="Q5542" i="2"/>
  <c r="S5542" i="2" s="1"/>
  <c r="T5542" i="2" s="1"/>
  <c r="U5542" i="2" s="1"/>
  <c r="Q5543" i="2"/>
  <c r="S5543" i="2" s="1"/>
  <c r="Q5544" i="2"/>
  <c r="S5544" i="2" s="1"/>
  <c r="T5544" i="2" s="1"/>
  <c r="U5544" i="2" s="1"/>
  <c r="Q5545" i="2"/>
  <c r="S5545" i="2" s="1"/>
  <c r="T5545" i="2" s="1"/>
  <c r="U5545" i="2" s="1"/>
  <c r="Q5546" i="2"/>
  <c r="S5546" i="2" s="1"/>
  <c r="Q5547" i="2"/>
  <c r="S5547" i="2" s="1"/>
  <c r="Q5548" i="2"/>
  <c r="S5548" i="2" s="1"/>
  <c r="T5548" i="2" s="1"/>
  <c r="U5548" i="2" s="1"/>
  <c r="Q5549" i="2"/>
  <c r="S5549" i="2" s="1"/>
  <c r="T5549" i="2" s="1"/>
  <c r="U5549" i="2" s="1"/>
  <c r="Q5550" i="2"/>
  <c r="S5550" i="2" s="1"/>
  <c r="Q5551" i="2"/>
  <c r="S5551" i="2" s="1"/>
  <c r="Q5552" i="2"/>
  <c r="S5552" i="2" s="1"/>
  <c r="T5552" i="2" s="1"/>
  <c r="U5552" i="2" s="1"/>
  <c r="Q5553" i="2"/>
  <c r="S5553" i="2" s="1"/>
  <c r="T5553" i="2" s="1"/>
  <c r="U5553" i="2" s="1"/>
  <c r="Q5554" i="2"/>
  <c r="S5554" i="2" s="1"/>
  <c r="T5554" i="2" s="1"/>
  <c r="U5554" i="2" s="1"/>
  <c r="Q5555" i="2"/>
  <c r="S5555" i="2" s="1"/>
  <c r="Q5556" i="2"/>
  <c r="S5556" i="2" s="1"/>
  <c r="T5556" i="2" s="1"/>
  <c r="U5556" i="2" s="1"/>
  <c r="Q5557" i="2"/>
  <c r="S5557" i="2" s="1"/>
  <c r="Q5558" i="2"/>
  <c r="S5558" i="2" s="1"/>
  <c r="T5558" i="2" s="1"/>
  <c r="U5558" i="2" s="1"/>
  <c r="Q5559" i="2"/>
  <c r="S5559" i="2" s="1"/>
  <c r="Q5560" i="2"/>
  <c r="S5560" i="2" s="1"/>
  <c r="T5560" i="2" s="1"/>
  <c r="U5560" i="2" s="1"/>
  <c r="Q5561" i="2"/>
  <c r="S5561" i="2" s="1"/>
  <c r="T5561" i="2" s="1"/>
  <c r="U5561" i="2" s="1"/>
  <c r="Q5562" i="2"/>
  <c r="S5562" i="2" s="1"/>
  <c r="T5562" i="2" s="1"/>
  <c r="U5562" i="2" s="1"/>
  <c r="Q5563" i="2"/>
  <c r="S5563" i="2" s="1"/>
  <c r="T5563" i="2" s="1"/>
  <c r="U5563" i="2" s="1"/>
  <c r="Q5564" i="2"/>
  <c r="S5564" i="2" s="1"/>
  <c r="Q5565" i="2"/>
  <c r="S5565" i="2" s="1"/>
  <c r="T5565" i="2" s="1"/>
  <c r="U5565" i="2" s="1"/>
  <c r="Q5566" i="2"/>
  <c r="S5566" i="2" s="1"/>
  <c r="T5566" i="2" s="1"/>
  <c r="U5566" i="2" s="1"/>
  <c r="Q5567" i="2"/>
  <c r="S5567" i="2" s="1"/>
  <c r="T5567" i="2" s="1"/>
  <c r="U5567" i="2" s="1"/>
  <c r="Q5568" i="2"/>
  <c r="S5568" i="2" s="1"/>
  <c r="T5568" i="2" s="1"/>
  <c r="U5568" i="2" s="1"/>
  <c r="Q5569" i="2"/>
  <c r="S5569" i="2" s="1"/>
  <c r="Q5570" i="2"/>
  <c r="S5570" i="2" s="1"/>
  <c r="T5570" i="2" s="1"/>
  <c r="U5570" i="2" s="1"/>
  <c r="Q5571" i="2"/>
  <c r="S5571" i="2" s="1"/>
  <c r="Q5572" i="2"/>
  <c r="S5572" i="2" s="1"/>
  <c r="T5572" i="2" s="1"/>
  <c r="U5572" i="2" s="1"/>
  <c r="Q5573" i="2"/>
  <c r="S5573" i="2" s="1"/>
  <c r="T5573" i="2" s="1"/>
  <c r="U5573" i="2" s="1"/>
  <c r="Q5574" i="2"/>
  <c r="S5574" i="2" s="1"/>
  <c r="T5574" i="2" s="1"/>
  <c r="U5574" i="2" s="1"/>
  <c r="Q5575" i="2"/>
  <c r="S5575" i="2" s="1"/>
  <c r="T5575" i="2" s="1"/>
  <c r="U5575" i="2" s="1"/>
  <c r="Q5576" i="2"/>
  <c r="S5576" i="2" s="1"/>
  <c r="T5576" i="2" s="1"/>
  <c r="U5576" i="2" s="1"/>
  <c r="Q5577" i="2"/>
  <c r="S5577" i="2" s="1"/>
  <c r="T5577" i="2" s="1"/>
  <c r="U5577" i="2" s="1"/>
  <c r="Q5578" i="2"/>
  <c r="S5578" i="2" s="1"/>
  <c r="T5578" i="2" s="1"/>
  <c r="U5578" i="2" s="1"/>
  <c r="Q5579" i="2"/>
  <c r="S5579" i="2" s="1"/>
  <c r="T5579" i="2" s="1"/>
  <c r="U5579" i="2" s="1"/>
  <c r="Q5580" i="2"/>
  <c r="S5580" i="2" s="1"/>
  <c r="T5580" i="2" s="1"/>
  <c r="U5580" i="2" s="1"/>
  <c r="Q5581" i="2"/>
  <c r="S5581" i="2" s="1"/>
  <c r="T5581" i="2" s="1"/>
  <c r="U5581" i="2" s="1"/>
  <c r="Q5582" i="2"/>
  <c r="S5582" i="2" s="1"/>
  <c r="T5582" i="2" s="1"/>
  <c r="U5582" i="2" s="1"/>
  <c r="Q5583" i="2"/>
  <c r="S5583" i="2" s="1"/>
  <c r="T5583" i="2" s="1"/>
  <c r="U5583" i="2" s="1"/>
  <c r="Q5584" i="2"/>
  <c r="S5584" i="2" s="1"/>
  <c r="Q5585" i="2"/>
  <c r="S5585" i="2" s="1"/>
  <c r="Q5586" i="2"/>
  <c r="S5586" i="2" s="1"/>
  <c r="T5586" i="2" s="1"/>
  <c r="U5586" i="2" s="1"/>
  <c r="Q5587" i="2"/>
  <c r="S5587" i="2" s="1"/>
  <c r="T5587" i="2" s="1"/>
  <c r="U5587" i="2" s="1"/>
  <c r="Q5588" i="2"/>
  <c r="S5588" i="2" s="1"/>
  <c r="T5588" i="2" s="1"/>
  <c r="U5588" i="2" s="1"/>
  <c r="Q5589" i="2"/>
  <c r="S5589" i="2" s="1"/>
  <c r="T5589" i="2" s="1"/>
  <c r="U5589" i="2" s="1"/>
  <c r="Q5590" i="2"/>
  <c r="S5590" i="2" s="1"/>
  <c r="T5590" i="2" s="1"/>
  <c r="U5590" i="2" s="1"/>
  <c r="Q5591" i="2"/>
  <c r="S5591" i="2" s="1"/>
  <c r="Q5592" i="2"/>
  <c r="S5592" i="2" s="1"/>
  <c r="T5592" i="2" s="1"/>
  <c r="U5592" i="2" s="1"/>
  <c r="Q5593" i="2"/>
  <c r="S5593" i="2" s="1"/>
  <c r="T5593" i="2" s="1"/>
  <c r="U5593" i="2" s="1"/>
  <c r="Q5594" i="2"/>
  <c r="S5594" i="2" s="1"/>
  <c r="T5594" i="2" s="1"/>
  <c r="U5594" i="2" s="1"/>
  <c r="Q5595" i="2"/>
  <c r="S5595" i="2" s="1"/>
  <c r="T5595" i="2" s="1"/>
  <c r="U5595" i="2" s="1"/>
  <c r="Q5596" i="2"/>
  <c r="S5596" i="2" s="1"/>
  <c r="T5596" i="2" s="1"/>
  <c r="U5596" i="2" s="1"/>
  <c r="Q5597" i="2"/>
  <c r="S5597" i="2" s="1"/>
  <c r="T5597" i="2" s="1"/>
  <c r="U5597" i="2" s="1"/>
  <c r="Q5598" i="2"/>
  <c r="S5598" i="2" s="1"/>
  <c r="Q5599" i="2"/>
  <c r="S5599" i="2" s="1"/>
  <c r="T5599" i="2" s="1"/>
  <c r="U5599" i="2" s="1"/>
  <c r="Q5600" i="2"/>
  <c r="S5600" i="2" s="1"/>
  <c r="T5600" i="2" s="1"/>
  <c r="U5600" i="2" s="1"/>
  <c r="Q5601" i="2"/>
  <c r="S5601" i="2" s="1"/>
  <c r="Q5602" i="2"/>
  <c r="S5602" i="2" s="1"/>
  <c r="T5602" i="2" s="1"/>
  <c r="U5602" i="2" s="1"/>
  <c r="Q5603" i="2"/>
  <c r="S5603" i="2" s="1"/>
  <c r="T5603" i="2" s="1"/>
  <c r="U5603" i="2" s="1"/>
  <c r="Q5604" i="2"/>
  <c r="S5604" i="2" s="1"/>
  <c r="T5604" i="2" s="1"/>
  <c r="U5604" i="2" s="1"/>
  <c r="Q5605" i="2"/>
  <c r="S5605" i="2" s="1"/>
  <c r="T5605" i="2" s="1"/>
  <c r="U5605" i="2" s="1"/>
  <c r="Q5606" i="2"/>
  <c r="S5606" i="2" s="1"/>
  <c r="T5606" i="2" s="1"/>
  <c r="U5606" i="2" s="1"/>
  <c r="Q5607" i="2"/>
  <c r="S5607" i="2" s="1"/>
  <c r="T5607" i="2" s="1"/>
  <c r="U5607" i="2" s="1"/>
  <c r="Q5608" i="2"/>
  <c r="S5608" i="2" s="1"/>
  <c r="T5608" i="2" s="1"/>
  <c r="U5608" i="2" s="1"/>
  <c r="Q5609" i="2"/>
  <c r="S5609" i="2" s="1"/>
  <c r="Q5610" i="2"/>
  <c r="S5610" i="2" s="1"/>
  <c r="T5610" i="2" s="1"/>
  <c r="U5610" i="2" s="1"/>
  <c r="Q5611" i="2"/>
  <c r="S5611" i="2" s="1"/>
  <c r="T5611" i="2" s="1"/>
  <c r="U5611" i="2" s="1"/>
  <c r="Q5612" i="2"/>
  <c r="S5612" i="2" s="1"/>
  <c r="Q5613" i="2"/>
  <c r="S5613" i="2" s="1"/>
  <c r="Q5614" i="2"/>
  <c r="S5614" i="2" s="1"/>
  <c r="T5614" i="2" s="1"/>
  <c r="U5614" i="2" s="1"/>
  <c r="Q5615" i="2"/>
  <c r="S5615" i="2" s="1"/>
  <c r="T5615" i="2" s="1"/>
  <c r="U5615" i="2" s="1"/>
  <c r="Q5616" i="2"/>
  <c r="S5616" i="2" s="1"/>
  <c r="T5616" i="2" s="1"/>
  <c r="U5616" i="2" s="1"/>
  <c r="Q5617" i="2"/>
  <c r="S5617" i="2" s="1"/>
  <c r="T5617" i="2" s="1"/>
  <c r="U5617" i="2" s="1"/>
  <c r="Q5618" i="2"/>
  <c r="S5618" i="2" s="1"/>
  <c r="T5618" i="2" s="1"/>
  <c r="U5618" i="2" s="1"/>
  <c r="Q5619" i="2"/>
  <c r="S5619" i="2" s="1"/>
  <c r="T5619" i="2" s="1"/>
  <c r="U5619" i="2" s="1"/>
  <c r="Q5620" i="2"/>
  <c r="S5620" i="2" s="1"/>
  <c r="T5620" i="2" s="1"/>
  <c r="U5620" i="2" s="1"/>
  <c r="Q5621" i="2"/>
  <c r="S5621" i="2" s="1"/>
  <c r="Q5622" i="2"/>
  <c r="S5622" i="2" s="1"/>
  <c r="Q5623" i="2"/>
  <c r="S5623" i="2" s="1"/>
  <c r="Q5624" i="2"/>
  <c r="S5624" i="2" s="1"/>
  <c r="T5624" i="2" s="1"/>
  <c r="U5624" i="2" s="1"/>
  <c r="Q5625" i="2"/>
  <c r="S5625" i="2" s="1"/>
  <c r="T5625" i="2" s="1"/>
  <c r="U5625" i="2" s="1"/>
  <c r="Q5626" i="2"/>
  <c r="S5626" i="2" s="1"/>
  <c r="Q5627" i="2"/>
  <c r="S5627" i="2" s="1"/>
  <c r="Q5628" i="2"/>
  <c r="S5628" i="2" s="1"/>
  <c r="T5628" i="2" s="1"/>
  <c r="U5628" i="2" s="1"/>
  <c r="Q5629" i="2"/>
  <c r="S5629" i="2" s="1"/>
  <c r="Q5630" i="2"/>
  <c r="S5630" i="2" s="1"/>
  <c r="T5630" i="2" s="1"/>
  <c r="U5630" i="2" s="1"/>
  <c r="Q5631" i="2"/>
  <c r="S5631" i="2" s="1"/>
  <c r="T5631" i="2" s="1"/>
  <c r="U5631" i="2" s="1"/>
  <c r="Q5632" i="2"/>
  <c r="S5632" i="2" s="1"/>
  <c r="T5632" i="2" s="1"/>
  <c r="U5632" i="2" s="1"/>
  <c r="Q5633" i="2"/>
  <c r="S5633" i="2" s="1"/>
  <c r="T5633" i="2" s="1"/>
  <c r="U5633" i="2" s="1"/>
  <c r="Q5634" i="2"/>
  <c r="S5634" i="2" s="1"/>
  <c r="T5634" i="2" s="1"/>
  <c r="U5634" i="2" s="1"/>
  <c r="Q5635" i="2"/>
  <c r="S5635" i="2" s="1"/>
  <c r="T5635" i="2" s="1"/>
  <c r="U5635" i="2" s="1"/>
  <c r="Q5636" i="2"/>
  <c r="S5636" i="2" s="1"/>
  <c r="T5636" i="2" s="1"/>
  <c r="U5636" i="2" s="1"/>
  <c r="Q5637" i="2"/>
  <c r="S5637" i="2" s="1"/>
  <c r="T5637" i="2" s="1"/>
  <c r="U5637" i="2" s="1"/>
  <c r="Q5638" i="2"/>
  <c r="S5638" i="2" s="1"/>
  <c r="T5638" i="2" s="1"/>
  <c r="U5638" i="2" s="1"/>
  <c r="Q5639" i="2"/>
  <c r="S5639" i="2" s="1"/>
  <c r="T5639" i="2" s="1"/>
  <c r="U5639" i="2" s="1"/>
  <c r="Q5640" i="2"/>
  <c r="S5640" i="2" s="1"/>
  <c r="T5640" i="2" s="1"/>
  <c r="U5640" i="2" s="1"/>
  <c r="Q5641" i="2"/>
  <c r="S5641" i="2" s="1"/>
  <c r="Q5642" i="2"/>
  <c r="S5642" i="2" s="1"/>
  <c r="Q5643" i="2"/>
  <c r="S5643" i="2" s="1"/>
  <c r="Q5644" i="2"/>
  <c r="S5644" i="2" s="1"/>
  <c r="Q5645" i="2"/>
  <c r="S5645" i="2" s="1"/>
  <c r="T5645" i="2" s="1"/>
  <c r="U5645" i="2" s="1"/>
  <c r="Q5646" i="2"/>
  <c r="S5646" i="2" s="1"/>
  <c r="T5646" i="2" s="1"/>
  <c r="U5646" i="2" s="1"/>
  <c r="Q5647" i="2"/>
  <c r="S5647" i="2" s="1"/>
  <c r="T5647" i="2" s="1"/>
  <c r="U5647" i="2" s="1"/>
  <c r="Q5648" i="2"/>
  <c r="S5648" i="2" s="1"/>
  <c r="T5648" i="2" s="1"/>
  <c r="U5648" i="2" s="1"/>
  <c r="Q5649" i="2"/>
  <c r="S5649" i="2" s="1"/>
  <c r="T5649" i="2" s="1"/>
  <c r="U5649" i="2" s="1"/>
  <c r="Q5650" i="2"/>
  <c r="S5650" i="2" s="1"/>
  <c r="T5650" i="2" s="1"/>
  <c r="U5650" i="2" s="1"/>
  <c r="Q5651" i="2"/>
  <c r="S5651" i="2" s="1"/>
  <c r="T5651" i="2" s="1"/>
  <c r="U5651" i="2" s="1"/>
  <c r="Q5652" i="2"/>
  <c r="S5652" i="2" s="1"/>
  <c r="T5652" i="2" s="1"/>
  <c r="U5652" i="2" s="1"/>
  <c r="Q5653" i="2"/>
  <c r="S5653" i="2" s="1"/>
  <c r="Q5654" i="2"/>
  <c r="S5654" i="2" s="1"/>
  <c r="T5654" i="2" s="1"/>
  <c r="U5654" i="2" s="1"/>
  <c r="Q5655" i="2"/>
  <c r="S5655" i="2" s="1"/>
  <c r="T5655" i="2" s="1"/>
  <c r="U5655" i="2" s="1"/>
  <c r="Q5656" i="2"/>
  <c r="S5656" i="2" s="1"/>
  <c r="T5656" i="2" s="1"/>
  <c r="U5656" i="2" s="1"/>
  <c r="Q5657" i="2"/>
  <c r="S5657" i="2" s="1"/>
  <c r="T5657" i="2" s="1"/>
  <c r="U5657" i="2" s="1"/>
  <c r="Q5658" i="2"/>
  <c r="S5658" i="2" s="1"/>
  <c r="T5658" i="2" s="1"/>
  <c r="U5658" i="2" s="1"/>
  <c r="Q5659" i="2"/>
  <c r="S5659" i="2" s="1"/>
  <c r="Q5660" i="2"/>
  <c r="S5660" i="2" s="1"/>
  <c r="T5660" i="2" s="1"/>
  <c r="U5660" i="2" s="1"/>
  <c r="Q5661" i="2"/>
  <c r="S5661" i="2" s="1"/>
  <c r="Q5662" i="2"/>
  <c r="S5662" i="2" s="1"/>
  <c r="T5662" i="2" s="1"/>
  <c r="U5662" i="2" s="1"/>
  <c r="Q5663" i="2"/>
  <c r="S5663" i="2" s="1"/>
  <c r="T5663" i="2" s="1"/>
  <c r="U5663" i="2" s="1"/>
  <c r="Q5664" i="2"/>
  <c r="S5664" i="2" s="1"/>
  <c r="T5664" i="2" s="1"/>
  <c r="U5664" i="2" s="1"/>
  <c r="Q5665" i="2"/>
  <c r="S5665" i="2" s="1"/>
  <c r="T5665" i="2" s="1"/>
  <c r="U5665" i="2" s="1"/>
  <c r="Q5666" i="2"/>
  <c r="S5666" i="2" s="1"/>
  <c r="T5666" i="2" s="1"/>
  <c r="U5666" i="2" s="1"/>
  <c r="Q5667" i="2"/>
  <c r="S5667" i="2" s="1"/>
  <c r="T5667" i="2" s="1"/>
  <c r="U5667" i="2" s="1"/>
  <c r="Q5668" i="2"/>
  <c r="S5668" i="2" s="1"/>
  <c r="T5668" i="2" s="1"/>
  <c r="U5668" i="2" s="1"/>
  <c r="Q5669" i="2"/>
  <c r="S5669" i="2" s="1"/>
  <c r="Q5670" i="2"/>
  <c r="S5670" i="2" s="1"/>
  <c r="T5670" i="2" s="1"/>
  <c r="U5670" i="2" s="1"/>
  <c r="Q5671" i="2"/>
  <c r="S5671" i="2" s="1"/>
  <c r="T5671" i="2" s="1"/>
  <c r="U5671" i="2" s="1"/>
  <c r="Q5672" i="2"/>
  <c r="S5672" i="2" s="1"/>
  <c r="Q5673" i="2"/>
  <c r="S5673" i="2" s="1"/>
  <c r="Q5674" i="2"/>
  <c r="S5674" i="2" s="1"/>
  <c r="T5674" i="2" s="1"/>
  <c r="U5674" i="2" s="1"/>
  <c r="Q5675" i="2"/>
  <c r="S5675" i="2" s="1"/>
  <c r="T5675" i="2" s="1"/>
  <c r="U5675" i="2" s="1"/>
  <c r="Q5676" i="2"/>
  <c r="S5676" i="2" s="1"/>
  <c r="T5676" i="2" s="1"/>
  <c r="U5676" i="2" s="1"/>
  <c r="Q5677" i="2"/>
  <c r="S5677" i="2" s="1"/>
  <c r="T5677" i="2" s="1"/>
  <c r="U5677" i="2" s="1"/>
  <c r="Q5678" i="2"/>
  <c r="S5678" i="2" s="1"/>
  <c r="Q5679" i="2"/>
  <c r="S5679" i="2" s="1"/>
  <c r="T5679" i="2" s="1"/>
  <c r="U5679" i="2" s="1"/>
  <c r="Q5680" i="2"/>
  <c r="S5680" i="2" s="1"/>
  <c r="Q5681" i="2"/>
  <c r="S5681" i="2" s="1"/>
  <c r="Q5682" i="2"/>
  <c r="S5682" i="2" s="1"/>
  <c r="T5682" i="2" s="1"/>
  <c r="U5682" i="2" s="1"/>
  <c r="Q5683" i="2"/>
  <c r="S5683" i="2" s="1"/>
  <c r="T5683" i="2" s="1"/>
  <c r="U5683" i="2" s="1"/>
  <c r="Q5684" i="2"/>
  <c r="S5684" i="2" s="1"/>
  <c r="Q5685" i="2"/>
  <c r="S5685" i="2" s="1"/>
  <c r="T5685" i="2" s="1"/>
  <c r="U5685" i="2" s="1"/>
  <c r="Q5686" i="2"/>
  <c r="S5686" i="2" s="1"/>
  <c r="Q5687" i="2"/>
  <c r="S5687" i="2" s="1"/>
  <c r="Q5688" i="2"/>
  <c r="S5688" i="2" s="1"/>
  <c r="T5688" i="2" s="1"/>
  <c r="U5688" i="2" s="1"/>
  <c r="Q5689" i="2"/>
  <c r="S5689" i="2" s="1"/>
  <c r="T5689" i="2" s="1"/>
  <c r="U5689" i="2" s="1"/>
  <c r="Q5690" i="2"/>
  <c r="S5690" i="2" s="1"/>
  <c r="T5690" i="2" s="1"/>
  <c r="U5690" i="2" s="1"/>
  <c r="Q5691" i="2"/>
  <c r="S5691" i="2" s="1"/>
  <c r="T5691" i="2" s="1"/>
  <c r="U5691" i="2" s="1"/>
  <c r="Q5692" i="2"/>
  <c r="S5692" i="2" s="1"/>
  <c r="T5692" i="2" s="1"/>
  <c r="U5692" i="2" s="1"/>
  <c r="Q5693" i="2"/>
  <c r="S5693" i="2" s="1"/>
  <c r="Q5694" i="2"/>
  <c r="S5694" i="2" s="1"/>
  <c r="T5694" i="2" s="1"/>
  <c r="U5694" i="2" s="1"/>
  <c r="Q5695" i="2"/>
  <c r="S5695" i="2" s="1"/>
  <c r="T5695" i="2" s="1"/>
  <c r="U5695" i="2" s="1"/>
  <c r="Q5696" i="2"/>
  <c r="S5696" i="2" s="1"/>
  <c r="T5696" i="2" s="1"/>
  <c r="U5696" i="2" s="1"/>
  <c r="Q5697" i="2"/>
  <c r="S5697" i="2" s="1"/>
  <c r="Q5698" i="2"/>
  <c r="S5698" i="2" s="1"/>
  <c r="Q5699" i="2"/>
  <c r="S5699" i="2" s="1"/>
  <c r="T5699" i="2" s="1"/>
  <c r="U5699" i="2" s="1"/>
  <c r="Q5700" i="2"/>
  <c r="S5700" i="2" s="1"/>
  <c r="T5700" i="2" s="1"/>
  <c r="U5700" i="2" s="1"/>
  <c r="Q5701" i="2"/>
  <c r="S5701" i="2" s="1"/>
  <c r="T5701" i="2" s="1"/>
  <c r="U5701" i="2" s="1"/>
  <c r="Q5702" i="2"/>
  <c r="S5702" i="2" s="1"/>
  <c r="Q5703" i="2"/>
  <c r="S5703" i="2" s="1"/>
  <c r="T5703" i="2" s="1"/>
  <c r="U5703" i="2" s="1"/>
  <c r="Q5704" i="2"/>
  <c r="S5704" i="2" s="1"/>
  <c r="T5704" i="2" s="1"/>
  <c r="U5704" i="2" s="1"/>
  <c r="Q5705" i="2"/>
  <c r="S5705" i="2" s="1"/>
  <c r="T5705" i="2" s="1"/>
  <c r="U5705" i="2" s="1"/>
  <c r="Q5706" i="2"/>
  <c r="S5706" i="2" s="1"/>
  <c r="T5706" i="2" s="1"/>
  <c r="U5706" i="2" s="1"/>
  <c r="Q5707" i="2"/>
  <c r="S5707" i="2" s="1"/>
  <c r="T5707" i="2" s="1"/>
  <c r="U5707" i="2" s="1"/>
  <c r="Q5708" i="2"/>
  <c r="S5708" i="2" s="1"/>
  <c r="Q5709" i="2"/>
  <c r="S5709" i="2" s="1"/>
  <c r="T5709" i="2" s="1"/>
  <c r="U5709" i="2" s="1"/>
  <c r="Q5710" i="2"/>
  <c r="S5710" i="2" s="1"/>
  <c r="Q5711" i="2"/>
  <c r="S5711" i="2" s="1"/>
  <c r="T5711" i="2" s="1"/>
  <c r="U5711" i="2" s="1"/>
  <c r="Q5712" i="2"/>
  <c r="S5712" i="2" s="1"/>
  <c r="T5712" i="2" s="1"/>
  <c r="U5712" i="2" s="1"/>
  <c r="Q5713" i="2"/>
  <c r="S5713" i="2" s="1"/>
  <c r="T5713" i="2" s="1"/>
  <c r="U5713" i="2" s="1"/>
  <c r="Q5714" i="2"/>
  <c r="S5714" i="2" s="1"/>
  <c r="T5714" i="2" s="1"/>
  <c r="U5714" i="2" s="1"/>
  <c r="Q5715" i="2"/>
  <c r="S5715" i="2" s="1"/>
  <c r="Q5716" i="2"/>
  <c r="S5716" i="2" s="1"/>
  <c r="Q5717" i="2"/>
  <c r="S5717" i="2" s="1"/>
  <c r="T5717" i="2" s="1"/>
  <c r="U5717" i="2" s="1"/>
  <c r="Q5718" i="2"/>
  <c r="S5718" i="2" s="1"/>
  <c r="T5718" i="2" s="1"/>
  <c r="U5718" i="2" s="1"/>
  <c r="Q5719" i="2"/>
  <c r="S5719" i="2" s="1"/>
  <c r="T5719" i="2" s="1"/>
  <c r="U5719" i="2" s="1"/>
  <c r="Q5720" i="2"/>
  <c r="S5720" i="2" s="1"/>
  <c r="T5720" i="2" s="1"/>
  <c r="U5720" i="2" s="1"/>
  <c r="Q5721" i="2"/>
  <c r="S5721" i="2" s="1"/>
  <c r="T5721" i="2" s="1"/>
  <c r="U5721" i="2" s="1"/>
  <c r="Q5722" i="2"/>
  <c r="S5722" i="2" s="1"/>
  <c r="Q5723" i="2"/>
  <c r="S5723" i="2" s="1"/>
  <c r="T5723" i="2" s="1"/>
  <c r="U5723" i="2" s="1"/>
  <c r="Q5724" i="2"/>
  <c r="S5724" i="2" s="1"/>
  <c r="T5724" i="2" s="1"/>
  <c r="U5724" i="2" s="1"/>
  <c r="Q5725" i="2"/>
  <c r="S5725" i="2" s="1"/>
  <c r="T5725" i="2" s="1"/>
  <c r="U5725" i="2" s="1"/>
  <c r="Q5726" i="2"/>
  <c r="S5726" i="2" s="1"/>
  <c r="Q5727" i="2"/>
  <c r="S5727" i="2" s="1"/>
  <c r="T5727" i="2" s="1"/>
  <c r="U5727" i="2" s="1"/>
  <c r="Q5728" i="2"/>
  <c r="S5728" i="2" s="1"/>
  <c r="Q5729" i="2"/>
  <c r="S5729" i="2" s="1"/>
  <c r="T5729" i="2" s="1"/>
  <c r="U5729" i="2" s="1"/>
  <c r="Q5730" i="2"/>
  <c r="S5730" i="2" s="1"/>
  <c r="T5730" i="2" s="1"/>
  <c r="U5730" i="2" s="1"/>
  <c r="Q5731" i="2"/>
  <c r="S5731" i="2" s="1"/>
  <c r="T5731" i="2" s="1"/>
  <c r="U5731" i="2" s="1"/>
  <c r="Q5732" i="2"/>
  <c r="S5732" i="2" s="1"/>
  <c r="T5732" i="2" s="1"/>
  <c r="U5732" i="2" s="1"/>
  <c r="Q5733" i="2"/>
  <c r="S5733" i="2" s="1"/>
  <c r="T5733" i="2" s="1"/>
  <c r="U5733" i="2" s="1"/>
  <c r="Q5734" i="2"/>
  <c r="S5734" i="2" s="1"/>
  <c r="T5734" i="2" s="1"/>
  <c r="U5734" i="2" s="1"/>
  <c r="Q5735" i="2"/>
  <c r="S5735" i="2" s="1"/>
  <c r="T5735" i="2" s="1"/>
  <c r="U5735" i="2" s="1"/>
  <c r="Q5736" i="2"/>
  <c r="S5736" i="2" s="1"/>
  <c r="T5736" i="2" s="1"/>
  <c r="U5736" i="2" s="1"/>
  <c r="Q5737" i="2"/>
  <c r="S5737" i="2" s="1"/>
  <c r="T5737" i="2" s="1"/>
  <c r="U5737" i="2" s="1"/>
  <c r="Q5738" i="2"/>
  <c r="S5738" i="2" s="1"/>
  <c r="T5738" i="2" s="1"/>
  <c r="U5738" i="2" s="1"/>
  <c r="Q5739" i="2"/>
  <c r="S5739" i="2" s="1"/>
  <c r="T5739" i="2" s="1"/>
  <c r="U5739" i="2" s="1"/>
  <c r="Q5740" i="2"/>
  <c r="S5740" i="2" s="1"/>
  <c r="T5740" i="2" s="1"/>
  <c r="U5740" i="2" s="1"/>
  <c r="Q5741" i="2"/>
  <c r="S5741" i="2" s="1"/>
  <c r="Q5742" i="2"/>
  <c r="S5742" i="2" s="1"/>
  <c r="T5742" i="2" s="1"/>
  <c r="U5742" i="2" s="1"/>
  <c r="Q5743" i="2"/>
  <c r="S5743" i="2" s="1"/>
  <c r="Q5744" i="2"/>
  <c r="S5744" i="2" s="1"/>
  <c r="T5744" i="2" s="1"/>
  <c r="U5744" i="2" s="1"/>
  <c r="Q5745" i="2"/>
  <c r="S5745" i="2" s="1"/>
  <c r="T5745" i="2" s="1"/>
  <c r="U5745" i="2" s="1"/>
  <c r="Q5746" i="2"/>
  <c r="S5746" i="2" s="1"/>
  <c r="T5746" i="2" s="1"/>
  <c r="U5746" i="2" s="1"/>
  <c r="Q5747" i="2"/>
  <c r="S5747" i="2" s="1"/>
  <c r="T5747" i="2" s="1"/>
  <c r="U5747" i="2" s="1"/>
  <c r="Q5748" i="2"/>
  <c r="S5748" i="2" s="1"/>
  <c r="T5748" i="2" s="1"/>
  <c r="U5748" i="2" s="1"/>
  <c r="Q5749" i="2"/>
  <c r="S5749" i="2" s="1"/>
  <c r="T5749" i="2" s="1"/>
  <c r="U5749" i="2" s="1"/>
  <c r="Q5750" i="2"/>
  <c r="S5750" i="2" s="1"/>
  <c r="T5750" i="2" s="1"/>
  <c r="U5750" i="2" s="1"/>
  <c r="Q5751" i="2"/>
  <c r="S5751" i="2" s="1"/>
  <c r="T5751" i="2" s="1"/>
  <c r="U5751" i="2" s="1"/>
  <c r="Q5752" i="2"/>
  <c r="S5752" i="2" s="1"/>
  <c r="T5752" i="2" s="1"/>
  <c r="U5752" i="2" s="1"/>
  <c r="Q5753" i="2"/>
  <c r="S5753" i="2" s="1"/>
  <c r="T5753" i="2" s="1"/>
  <c r="U5753" i="2" s="1"/>
  <c r="Q5754" i="2"/>
  <c r="S5754" i="2" s="1"/>
  <c r="T5754" i="2" s="1"/>
  <c r="U5754" i="2" s="1"/>
  <c r="Q5755" i="2"/>
  <c r="S5755" i="2" s="1"/>
  <c r="T5755" i="2" s="1"/>
  <c r="U5755" i="2" s="1"/>
  <c r="Q5756" i="2"/>
  <c r="S5756" i="2" s="1"/>
  <c r="Q5757" i="2"/>
  <c r="S5757" i="2" s="1"/>
  <c r="T5757" i="2" s="1"/>
  <c r="U5757" i="2" s="1"/>
  <c r="Q5758" i="2"/>
  <c r="S5758" i="2" s="1"/>
  <c r="T5758" i="2" s="1"/>
  <c r="U5758" i="2" s="1"/>
  <c r="Q5759" i="2"/>
  <c r="S5759" i="2" s="1"/>
  <c r="Q5760" i="2"/>
  <c r="S5760" i="2" s="1"/>
  <c r="T5760" i="2" s="1"/>
  <c r="U5760" i="2" s="1"/>
  <c r="Q5761" i="2"/>
  <c r="S5761" i="2" s="1"/>
  <c r="T5761" i="2" s="1"/>
  <c r="U5761" i="2" s="1"/>
  <c r="Q5762" i="2"/>
  <c r="S5762" i="2" s="1"/>
  <c r="T5762" i="2" s="1"/>
  <c r="U5762" i="2" s="1"/>
  <c r="Q5763" i="2"/>
  <c r="S5763" i="2" s="1"/>
  <c r="T5763" i="2" s="1"/>
  <c r="U5763" i="2" s="1"/>
  <c r="Q5764" i="2"/>
  <c r="S5764" i="2" s="1"/>
  <c r="T5764" i="2" s="1"/>
  <c r="U5764" i="2" s="1"/>
  <c r="Q5765" i="2"/>
  <c r="S5765" i="2" s="1"/>
  <c r="T5765" i="2" s="1"/>
  <c r="U5765" i="2" s="1"/>
  <c r="Q5766" i="2"/>
  <c r="S5766" i="2" s="1"/>
  <c r="T5766" i="2" s="1"/>
  <c r="U5766" i="2" s="1"/>
  <c r="Q5767" i="2"/>
  <c r="S5767" i="2" s="1"/>
  <c r="Q5768" i="2"/>
  <c r="S5768" i="2" s="1"/>
  <c r="Q5769" i="2"/>
  <c r="S5769" i="2" s="1"/>
  <c r="Q5770" i="2"/>
  <c r="S5770" i="2" s="1"/>
  <c r="T5770" i="2" s="1"/>
  <c r="U5770" i="2" s="1"/>
  <c r="Q5771" i="2"/>
  <c r="S5771" i="2" s="1"/>
  <c r="T5771" i="2" s="1"/>
  <c r="U5771" i="2" s="1"/>
  <c r="Q5772" i="2"/>
  <c r="S5772" i="2" s="1"/>
  <c r="Q5773" i="2"/>
  <c r="S5773" i="2" s="1"/>
  <c r="T5773" i="2" s="1"/>
  <c r="U5773" i="2" s="1"/>
  <c r="Q5774" i="2"/>
  <c r="S5774" i="2" s="1"/>
  <c r="T5774" i="2" s="1"/>
  <c r="U5774" i="2" s="1"/>
  <c r="Q5775" i="2"/>
  <c r="S5775" i="2" s="1"/>
  <c r="Q5776" i="2"/>
  <c r="S5776" i="2" s="1"/>
  <c r="Q5777" i="2"/>
  <c r="S5777" i="2" s="1"/>
  <c r="T5777" i="2" s="1"/>
  <c r="U5777" i="2" s="1"/>
  <c r="Q5778" i="2"/>
  <c r="S5778" i="2" s="1"/>
  <c r="Q5779" i="2"/>
  <c r="S5779" i="2" s="1"/>
  <c r="T5779" i="2" s="1"/>
  <c r="U5779" i="2" s="1"/>
  <c r="Q5780" i="2"/>
  <c r="S5780" i="2" s="1"/>
  <c r="T5780" i="2" s="1"/>
  <c r="U5780" i="2" s="1"/>
  <c r="Q5781" i="2"/>
  <c r="S5781" i="2" s="1"/>
  <c r="T5781" i="2" s="1"/>
  <c r="U5781" i="2" s="1"/>
  <c r="Q5782" i="2"/>
  <c r="S5782" i="2" s="1"/>
  <c r="Q5783" i="2"/>
  <c r="S5783" i="2" s="1"/>
  <c r="T5783" i="2" s="1"/>
  <c r="U5783" i="2" s="1"/>
  <c r="Q5784" i="2"/>
  <c r="S5784" i="2" s="1"/>
  <c r="T5784" i="2" s="1"/>
  <c r="U5784" i="2" s="1"/>
  <c r="Q5785" i="2"/>
  <c r="S5785" i="2" s="1"/>
  <c r="Q5786" i="2"/>
  <c r="S5786" i="2" s="1"/>
  <c r="T5786" i="2" s="1"/>
  <c r="U5786" i="2" s="1"/>
  <c r="Q5787" i="2"/>
  <c r="S5787" i="2" s="1"/>
  <c r="T5787" i="2" s="1"/>
  <c r="U5787" i="2" s="1"/>
  <c r="Q5788" i="2"/>
  <c r="S5788" i="2" s="1"/>
  <c r="T5788" i="2" s="1"/>
  <c r="U5788" i="2" s="1"/>
  <c r="Q5789" i="2"/>
  <c r="S5789" i="2" s="1"/>
  <c r="T5789" i="2" s="1"/>
  <c r="U5789" i="2" s="1"/>
  <c r="Q5790" i="2"/>
  <c r="S5790" i="2" s="1"/>
  <c r="T5790" i="2" s="1"/>
  <c r="U5790" i="2" s="1"/>
  <c r="Q5791" i="2"/>
  <c r="S5791" i="2" s="1"/>
  <c r="Q5792" i="2"/>
  <c r="S5792" i="2" s="1"/>
  <c r="T5792" i="2" s="1"/>
  <c r="U5792" i="2" s="1"/>
  <c r="Q5793" i="2"/>
  <c r="S5793" i="2" s="1"/>
  <c r="T5793" i="2" s="1"/>
  <c r="U5793" i="2" s="1"/>
  <c r="Q5794" i="2"/>
  <c r="S5794" i="2" s="1"/>
  <c r="T5794" i="2" s="1"/>
  <c r="U5794" i="2" s="1"/>
  <c r="Q5795" i="2"/>
  <c r="S5795" i="2" s="1"/>
  <c r="T5795" i="2" s="1"/>
  <c r="U5795" i="2" s="1"/>
  <c r="Q5796" i="2"/>
  <c r="S5796" i="2" s="1"/>
  <c r="T5796" i="2" s="1"/>
  <c r="U5796" i="2" s="1"/>
  <c r="Q5797" i="2"/>
  <c r="S5797" i="2" s="1"/>
  <c r="Q5798" i="2"/>
  <c r="S5798" i="2" s="1"/>
  <c r="T5798" i="2" s="1"/>
  <c r="U5798" i="2" s="1"/>
  <c r="Q5799" i="2"/>
  <c r="S5799" i="2" s="1"/>
  <c r="T5799" i="2" s="1"/>
  <c r="U5799" i="2" s="1"/>
  <c r="Q5800" i="2"/>
  <c r="S5800" i="2" s="1"/>
  <c r="T5800" i="2" s="1"/>
  <c r="U5800" i="2" s="1"/>
  <c r="Q5801" i="2"/>
  <c r="S5801" i="2" s="1"/>
  <c r="Q5802" i="2"/>
  <c r="S5802" i="2" s="1"/>
  <c r="T5802" i="2" s="1"/>
  <c r="U5802" i="2" s="1"/>
  <c r="Q5803" i="2"/>
  <c r="S5803" i="2" s="1"/>
  <c r="Q5804" i="2"/>
  <c r="S5804" i="2" s="1"/>
  <c r="T5804" i="2" s="1"/>
  <c r="U5804" i="2" s="1"/>
  <c r="Q5805" i="2"/>
  <c r="S5805" i="2" s="1"/>
  <c r="Q5806" i="2"/>
  <c r="S5806" i="2" s="1"/>
  <c r="T5806" i="2" s="1"/>
  <c r="U5806" i="2" s="1"/>
  <c r="Q5807" i="2"/>
  <c r="S5807" i="2" s="1"/>
  <c r="Q5808" i="2"/>
  <c r="S5808" i="2" s="1"/>
  <c r="T5808" i="2" s="1"/>
  <c r="U5808" i="2" s="1"/>
  <c r="Q5809" i="2"/>
  <c r="S5809" i="2" s="1"/>
  <c r="T5809" i="2" s="1"/>
  <c r="U5809" i="2" s="1"/>
  <c r="Q5810" i="2"/>
  <c r="S5810" i="2" s="1"/>
  <c r="T5810" i="2" s="1"/>
  <c r="U5810" i="2" s="1"/>
  <c r="Q5811" i="2"/>
  <c r="S5811" i="2" s="1"/>
  <c r="T5811" i="2" s="1"/>
  <c r="U5811" i="2" s="1"/>
  <c r="Q5812" i="2"/>
  <c r="S5812" i="2" s="1"/>
  <c r="Q5813" i="2"/>
  <c r="S5813" i="2" s="1"/>
  <c r="T5813" i="2" s="1"/>
  <c r="U5813" i="2" s="1"/>
  <c r="Q5814" i="2"/>
  <c r="S5814" i="2" s="1"/>
  <c r="T5814" i="2" s="1"/>
  <c r="U5814" i="2" s="1"/>
  <c r="Q5815" i="2"/>
  <c r="S5815" i="2" s="1"/>
  <c r="T5815" i="2" s="1"/>
  <c r="U5815" i="2" s="1"/>
  <c r="Q5816" i="2"/>
  <c r="S5816" i="2" s="1"/>
  <c r="Q5817" i="2"/>
  <c r="S5817" i="2" s="1"/>
  <c r="T5817" i="2" s="1"/>
  <c r="U5817" i="2" s="1"/>
  <c r="Q5818" i="2"/>
  <c r="S5818" i="2" s="1"/>
  <c r="Q5819" i="2"/>
  <c r="S5819" i="2" s="1"/>
  <c r="T5819" i="2" s="1"/>
  <c r="U5819" i="2" s="1"/>
  <c r="Q5820" i="2"/>
  <c r="S5820" i="2" s="1"/>
  <c r="Q5821" i="2"/>
  <c r="S5821" i="2" s="1"/>
  <c r="T5821" i="2" s="1"/>
  <c r="U5821" i="2" s="1"/>
  <c r="Q5822" i="2"/>
  <c r="S5822" i="2" s="1"/>
  <c r="Q5823" i="2"/>
  <c r="S5823" i="2" s="1"/>
  <c r="T5823" i="2" s="1"/>
  <c r="U5823" i="2" s="1"/>
  <c r="Q5824" i="2"/>
  <c r="S5824" i="2" s="1"/>
  <c r="T5824" i="2" s="1"/>
  <c r="U5824" i="2" s="1"/>
  <c r="Q5825" i="2"/>
  <c r="S5825" i="2" s="1"/>
  <c r="Q5826" i="2"/>
  <c r="S5826" i="2" s="1"/>
  <c r="T5826" i="2" s="1"/>
  <c r="U5826" i="2" s="1"/>
  <c r="Q5827" i="2"/>
  <c r="S5827" i="2" s="1"/>
  <c r="T5827" i="2" s="1"/>
  <c r="U5827" i="2" s="1"/>
  <c r="Q5828" i="2"/>
  <c r="S5828" i="2" s="1"/>
  <c r="T5828" i="2" s="1"/>
  <c r="U5828" i="2" s="1"/>
  <c r="Q5829" i="2"/>
  <c r="S5829" i="2" s="1"/>
  <c r="T5829" i="2" s="1"/>
  <c r="U5829" i="2" s="1"/>
  <c r="Q5830" i="2"/>
  <c r="S5830" i="2" s="1"/>
  <c r="Q5831" i="2"/>
  <c r="S5831" i="2" s="1"/>
  <c r="T5831" i="2" s="1"/>
  <c r="U5831" i="2" s="1"/>
  <c r="Q5832" i="2"/>
  <c r="S5832" i="2" s="1"/>
  <c r="Q5833" i="2"/>
  <c r="S5833" i="2" s="1"/>
  <c r="T5833" i="2" s="1"/>
  <c r="U5833" i="2" s="1"/>
  <c r="Q5834" i="2"/>
  <c r="S5834" i="2" s="1"/>
  <c r="T5834" i="2" s="1"/>
  <c r="U5834" i="2" s="1"/>
  <c r="Q5835" i="2"/>
  <c r="S5835" i="2" s="1"/>
  <c r="Q5836" i="2"/>
  <c r="S5836" i="2" s="1"/>
  <c r="T5836" i="2" s="1"/>
  <c r="U5836" i="2" s="1"/>
  <c r="Q5837" i="2"/>
  <c r="S5837" i="2" s="1"/>
  <c r="T5837" i="2" s="1"/>
  <c r="U5837" i="2" s="1"/>
  <c r="Q5838" i="2"/>
  <c r="S5838" i="2" s="1"/>
  <c r="T5838" i="2" s="1"/>
  <c r="U5838" i="2" s="1"/>
  <c r="Q5839" i="2"/>
  <c r="S5839" i="2" s="1"/>
  <c r="T5839" i="2" s="1"/>
  <c r="U5839" i="2" s="1"/>
  <c r="Q5840" i="2"/>
  <c r="S5840" i="2" s="1"/>
  <c r="Q5841" i="2"/>
  <c r="S5841" i="2" s="1"/>
  <c r="Q5842" i="2"/>
  <c r="S5842" i="2" s="1"/>
  <c r="T5842" i="2" s="1"/>
  <c r="U5842" i="2" s="1"/>
  <c r="Q5843" i="2"/>
  <c r="S5843" i="2" s="1"/>
  <c r="Q5844" i="2"/>
  <c r="S5844" i="2" s="1"/>
  <c r="Q5845" i="2"/>
  <c r="S5845" i="2" s="1"/>
  <c r="T5845" i="2" s="1"/>
  <c r="U5845" i="2" s="1"/>
  <c r="Q5846" i="2"/>
  <c r="S5846" i="2" s="1"/>
  <c r="T5846" i="2" s="1"/>
  <c r="U5846" i="2" s="1"/>
  <c r="Q5847" i="2"/>
  <c r="S5847" i="2" s="1"/>
  <c r="T5847" i="2" s="1"/>
  <c r="U5847" i="2" s="1"/>
  <c r="Q5848" i="2"/>
  <c r="S5848" i="2" s="1"/>
  <c r="T5848" i="2" s="1"/>
  <c r="U5848" i="2" s="1"/>
  <c r="Q5849" i="2"/>
  <c r="S5849" i="2" s="1"/>
  <c r="T5849" i="2" s="1"/>
  <c r="U5849" i="2" s="1"/>
  <c r="Q5850" i="2"/>
  <c r="S5850" i="2" s="1"/>
  <c r="T5850" i="2" s="1"/>
  <c r="U5850" i="2" s="1"/>
  <c r="Q5851" i="2"/>
  <c r="S5851" i="2" s="1"/>
  <c r="T5851" i="2" s="1"/>
  <c r="U5851" i="2" s="1"/>
  <c r="Q5852" i="2"/>
  <c r="S5852" i="2" s="1"/>
  <c r="Q5853" i="2"/>
  <c r="S5853" i="2" s="1"/>
  <c r="T5853" i="2" s="1"/>
  <c r="U5853" i="2" s="1"/>
  <c r="Q5854" i="2"/>
  <c r="S5854" i="2" s="1"/>
  <c r="T5854" i="2" s="1"/>
  <c r="U5854" i="2" s="1"/>
  <c r="Q5855" i="2"/>
  <c r="S5855" i="2" s="1"/>
  <c r="T5855" i="2" s="1"/>
  <c r="U5855" i="2" s="1"/>
  <c r="Q5856" i="2"/>
  <c r="S5856" i="2" s="1"/>
  <c r="T5856" i="2" s="1"/>
  <c r="U5856" i="2" s="1"/>
  <c r="Q5857" i="2"/>
  <c r="S5857" i="2" s="1"/>
  <c r="T5857" i="2" s="1"/>
  <c r="U5857" i="2" s="1"/>
  <c r="Q5858" i="2"/>
  <c r="S5858" i="2" s="1"/>
  <c r="Q5859" i="2"/>
  <c r="S5859" i="2" s="1"/>
  <c r="T5859" i="2" s="1"/>
  <c r="U5859" i="2" s="1"/>
  <c r="Q5860" i="2"/>
  <c r="S5860" i="2" s="1"/>
  <c r="T5860" i="2" s="1"/>
  <c r="U5860" i="2" s="1"/>
  <c r="Q5861" i="2"/>
  <c r="S5861" i="2" s="1"/>
  <c r="Q5862" i="2"/>
  <c r="S5862" i="2" s="1"/>
  <c r="Q5863" i="2"/>
  <c r="S5863" i="2" s="1"/>
  <c r="T5863" i="2" s="1"/>
  <c r="U5863" i="2" s="1"/>
  <c r="Q5864" i="2"/>
  <c r="S5864" i="2" s="1"/>
  <c r="T5864" i="2" s="1"/>
  <c r="U5864" i="2" s="1"/>
  <c r="Q5865" i="2"/>
  <c r="S5865" i="2" s="1"/>
  <c r="Q5866" i="2"/>
  <c r="S5866" i="2" s="1"/>
  <c r="T5866" i="2" s="1"/>
  <c r="U5866" i="2" s="1"/>
  <c r="Q5867" i="2"/>
  <c r="S5867" i="2" s="1"/>
  <c r="Q5868" i="2"/>
  <c r="S5868" i="2" s="1"/>
  <c r="T5868" i="2" s="1"/>
  <c r="U5868" i="2" s="1"/>
  <c r="Q5869" i="2"/>
  <c r="S5869" i="2" s="1"/>
  <c r="T5869" i="2" s="1"/>
  <c r="U5869" i="2" s="1"/>
  <c r="Q5870" i="2"/>
  <c r="S5870" i="2" s="1"/>
  <c r="T5870" i="2" s="1"/>
  <c r="U5870" i="2" s="1"/>
  <c r="Q5871" i="2"/>
  <c r="S5871" i="2" s="1"/>
  <c r="T5871" i="2" s="1"/>
  <c r="U5871" i="2" s="1"/>
  <c r="Q5872" i="2"/>
  <c r="S5872" i="2" s="1"/>
  <c r="T5872" i="2" s="1"/>
  <c r="U5872" i="2" s="1"/>
  <c r="Q5873" i="2"/>
  <c r="S5873" i="2" s="1"/>
  <c r="Q5874" i="2"/>
  <c r="S5874" i="2" s="1"/>
  <c r="T5874" i="2" s="1"/>
  <c r="U5874" i="2" s="1"/>
  <c r="Q5875" i="2"/>
  <c r="S5875" i="2" s="1"/>
  <c r="T5875" i="2" s="1"/>
  <c r="U5875" i="2" s="1"/>
  <c r="Q5876" i="2"/>
  <c r="S5876" i="2" s="1"/>
  <c r="Q5877" i="2"/>
  <c r="S5877" i="2" s="1"/>
  <c r="Q5878" i="2"/>
  <c r="S5878" i="2" s="1"/>
  <c r="T5878" i="2" s="1"/>
  <c r="U5878" i="2" s="1"/>
  <c r="Q5879" i="2"/>
  <c r="S5879" i="2" s="1"/>
  <c r="T5879" i="2" s="1"/>
  <c r="U5879" i="2" s="1"/>
  <c r="Q5880" i="2"/>
  <c r="S5880" i="2" s="1"/>
  <c r="Q5881" i="2"/>
  <c r="S5881" i="2" s="1"/>
  <c r="T5881" i="2" s="1"/>
  <c r="U5881" i="2" s="1"/>
  <c r="Q5882" i="2"/>
  <c r="S5882" i="2" s="1"/>
  <c r="T5882" i="2" s="1"/>
  <c r="U5882" i="2" s="1"/>
  <c r="Q5883" i="2"/>
  <c r="S5883" i="2" s="1"/>
  <c r="Q5884" i="2"/>
  <c r="S5884" i="2" s="1"/>
  <c r="Q5885" i="2"/>
  <c r="S5885" i="2" s="1"/>
  <c r="T5885" i="2" s="1"/>
  <c r="U5885" i="2" s="1"/>
  <c r="Q5886" i="2"/>
  <c r="S5886" i="2" s="1"/>
  <c r="Q5887" i="2"/>
  <c r="S5887" i="2" s="1"/>
  <c r="T5887" i="2" s="1"/>
  <c r="U5887" i="2" s="1"/>
  <c r="Q5888" i="2"/>
  <c r="S5888" i="2" s="1"/>
  <c r="T5888" i="2" s="1"/>
  <c r="U5888" i="2" s="1"/>
  <c r="Q5889" i="2"/>
  <c r="S5889" i="2" s="1"/>
  <c r="Q5890" i="2"/>
  <c r="S5890" i="2" s="1"/>
  <c r="Q5891" i="2"/>
  <c r="S5891" i="2" s="1"/>
  <c r="T5891" i="2" s="1"/>
  <c r="U5891" i="2" s="1"/>
  <c r="Q5892" i="2"/>
  <c r="S5892" i="2" s="1"/>
  <c r="T5892" i="2" s="1"/>
  <c r="U5892" i="2" s="1"/>
  <c r="Q5893" i="2"/>
  <c r="S5893" i="2" s="1"/>
  <c r="Q5894" i="2"/>
  <c r="S5894" i="2" s="1"/>
  <c r="T5894" i="2" s="1"/>
  <c r="U5894" i="2" s="1"/>
  <c r="Q5895" i="2"/>
  <c r="S5895" i="2" s="1"/>
  <c r="T5895" i="2" s="1"/>
  <c r="U5895" i="2" s="1"/>
  <c r="Q5896" i="2"/>
  <c r="S5896" i="2" s="1"/>
  <c r="T5896" i="2" s="1"/>
  <c r="U5896" i="2" s="1"/>
  <c r="Q5897" i="2"/>
  <c r="S5897" i="2" s="1"/>
  <c r="T5897" i="2" s="1"/>
  <c r="U5897" i="2" s="1"/>
  <c r="Q5898" i="2"/>
  <c r="S5898" i="2" s="1"/>
  <c r="Q5899" i="2"/>
  <c r="S5899" i="2" s="1"/>
  <c r="T5899" i="2" s="1"/>
  <c r="U5899" i="2" s="1"/>
  <c r="Q5900" i="2"/>
  <c r="S5900" i="2" s="1"/>
  <c r="T5900" i="2" s="1"/>
  <c r="U5900" i="2" s="1"/>
  <c r="Q5901" i="2"/>
  <c r="S5901" i="2" s="1"/>
  <c r="Q5902" i="2"/>
  <c r="S5902" i="2" s="1"/>
  <c r="T5902" i="2" s="1"/>
  <c r="U5902" i="2" s="1"/>
  <c r="Q5903" i="2"/>
  <c r="S5903" i="2" s="1"/>
  <c r="T5903" i="2" s="1"/>
  <c r="U5903" i="2" s="1"/>
  <c r="Q5904" i="2"/>
  <c r="S5904" i="2" s="1"/>
  <c r="T5904" i="2" s="1"/>
  <c r="U5904" i="2" s="1"/>
  <c r="Q5905" i="2"/>
  <c r="S5905" i="2" s="1"/>
  <c r="Q5906" i="2"/>
  <c r="S5906" i="2" s="1"/>
  <c r="T5906" i="2" s="1"/>
  <c r="U5906" i="2" s="1"/>
  <c r="Q5907" i="2"/>
  <c r="S5907" i="2" s="1"/>
  <c r="T5907" i="2" s="1"/>
  <c r="U5907" i="2" s="1"/>
  <c r="Q5908" i="2"/>
  <c r="S5908" i="2" s="1"/>
  <c r="T5908" i="2" s="1"/>
  <c r="U5908" i="2" s="1"/>
  <c r="Q5909" i="2"/>
  <c r="S5909" i="2" s="1"/>
  <c r="Q5910" i="2"/>
  <c r="S5910" i="2" s="1"/>
  <c r="Q5911" i="2"/>
  <c r="S5911" i="2" s="1"/>
  <c r="T5911" i="2" s="1"/>
  <c r="U5911" i="2" s="1"/>
  <c r="Q5912" i="2"/>
  <c r="S5912" i="2" s="1"/>
  <c r="T5912" i="2" s="1"/>
  <c r="U5912" i="2" s="1"/>
  <c r="Q5913" i="2"/>
  <c r="S5913" i="2" s="1"/>
  <c r="Q5914" i="2"/>
  <c r="S5914" i="2" s="1"/>
  <c r="T5914" i="2" s="1"/>
  <c r="U5914" i="2" s="1"/>
  <c r="Q5915" i="2"/>
  <c r="S5915" i="2" s="1"/>
  <c r="T5915" i="2" s="1"/>
  <c r="U5915" i="2" s="1"/>
  <c r="Q5916" i="2"/>
  <c r="S5916" i="2" s="1"/>
  <c r="T5916" i="2" s="1"/>
  <c r="U5916" i="2" s="1"/>
  <c r="Q5917" i="2"/>
  <c r="S5917" i="2" s="1"/>
  <c r="T5917" i="2" s="1"/>
  <c r="U5917" i="2" s="1"/>
  <c r="Q5918" i="2"/>
  <c r="S5918" i="2" s="1"/>
  <c r="Q5919" i="2"/>
  <c r="S5919" i="2" s="1"/>
  <c r="Q5920" i="2"/>
  <c r="S5920" i="2" s="1"/>
  <c r="T5920" i="2" s="1"/>
  <c r="U5920" i="2" s="1"/>
  <c r="Q5921" i="2"/>
  <c r="S5921" i="2" s="1"/>
  <c r="T5921" i="2" s="1"/>
  <c r="U5921" i="2" s="1"/>
  <c r="Q5922" i="2"/>
  <c r="S5922" i="2" s="1"/>
  <c r="T5922" i="2" s="1"/>
  <c r="U5922" i="2" s="1"/>
  <c r="Q5923" i="2"/>
  <c r="S5923" i="2" s="1"/>
  <c r="T5923" i="2" s="1"/>
  <c r="U5923" i="2" s="1"/>
  <c r="Q5924" i="2"/>
  <c r="S5924" i="2" s="1"/>
  <c r="Q5925" i="2"/>
  <c r="S5925" i="2" s="1"/>
  <c r="T5925" i="2" s="1"/>
  <c r="U5925" i="2" s="1"/>
  <c r="Q5926" i="2"/>
  <c r="S5926" i="2" s="1"/>
  <c r="T5926" i="2" s="1"/>
  <c r="U5926" i="2" s="1"/>
  <c r="Q5927" i="2"/>
  <c r="S5927" i="2" s="1"/>
  <c r="T5927" i="2" s="1"/>
  <c r="U5927" i="2" s="1"/>
  <c r="Q5928" i="2"/>
  <c r="S5928" i="2" s="1"/>
  <c r="T5928" i="2" s="1"/>
  <c r="U5928" i="2" s="1"/>
  <c r="Q5929" i="2"/>
  <c r="S5929" i="2" s="1"/>
  <c r="T5929" i="2" s="1"/>
  <c r="U5929" i="2" s="1"/>
  <c r="Q5930" i="2"/>
  <c r="S5930" i="2" s="1"/>
  <c r="T5930" i="2" s="1"/>
  <c r="U5930" i="2" s="1"/>
  <c r="Q5931" i="2"/>
  <c r="S5931" i="2" s="1"/>
  <c r="T5931" i="2" s="1"/>
  <c r="U5931" i="2" s="1"/>
  <c r="Q5932" i="2"/>
  <c r="S5932" i="2" s="1"/>
  <c r="T5932" i="2" s="1"/>
  <c r="U5932" i="2" s="1"/>
  <c r="Q5933" i="2"/>
  <c r="S5933" i="2" s="1"/>
  <c r="Q5934" i="2"/>
  <c r="S5934" i="2" s="1"/>
  <c r="T5934" i="2" s="1"/>
  <c r="U5934" i="2" s="1"/>
  <c r="Q5935" i="2"/>
  <c r="S5935" i="2" s="1"/>
  <c r="T5935" i="2" s="1"/>
  <c r="U5935" i="2" s="1"/>
  <c r="Q5936" i="2"/>
  <c r="S5936" i="2" s="1"/>
  <c r="T5936" i="2" s="1"/>
  <c r="U5936" i="2" s="1"/>
  <c r="Q5937" i="2"/>
  <c r="S5937" i="2" s="1"/>
  <c r="T5937" i="2" s="1"/>
  <c r="U5937" i="2" s="1"/>
  <c r="Q5938" i="2"/>
  <c r="S5938" i="2" s="1"/>
  <c r="Q5939" i="2"/>
  <c r="S5939" i="2" s="1"/>
  <c r="Q5940" i="2"/>
  <c r="S5940" i="2" s="1"/>
  <c r="T5940" i="2" s="1"/>
  <c r="U5940" i="2" s="1"/>
  <c r="Q5941" i="2"/>
  <c r="S5941" i="2" s="1"/>
  <c r="T5941" i="2" s="1"/>
  <c r="U5941" i="2" s="1"/>
  <c r="Q5942" i="2"/>
  <c r="S5942" i="2" s="1"/>
  <c r="T5942" i="2" s="1"/>
  <c r="U5942" i="2" s="1"/>
  <c r="Q5943" i="2"/>
  <c r="S5943" i="2" s="1"/>
  <c r="T5943" i="2" s="1"/>
  <c r="U5943" i="2" s="1"/>
  <c r="Q5944" i="2"/>
  <c r="S5944" i="2" s="1"/>
  <c r="Q5945" i="2"/>
  <c r="S5945" i="2" s="1"/>
  <c r="T5945" i="2" s="1"/>
  <c r="U5945" i="2" s="1"/>
  <c r="Q5946" i="2"/>
  <c r="S5946" i="2" s="1"/>
  <c r="Q5947" i="2"/>
  <c r="S5947" i="2" s="1"/>
  <c r="Q5948" i="2"/>
  <c r="S5948" i="2" s="1"/>
  <c r="T5948" i="2" s="1"/>
  <c r="U5948" i="2" s="1"/>
  <c r="Q5949" i="2"/>
  <c r="S5949" i="2" s="1"/>
  <c r="T5949" i="2" s="1"/>
  <c r="U5949" i="2" s="1"/>
  <c r="Q5950" i="2"/>
  <c r="S5950" i="2" s="1"/>
  <c r="T5950" i="2" s="1"/>
  <c r="U5950" i="2" s="1"/>
  <c r="Q5951" i="2"/>
  <c r="S5951" i="2" s="1"/>
  <c r="T5951" i="2" s="1"/>
  <c r="U5951" i="2" s="1"/>
  <c r="Q5952" i="2"/>
  <c r="S5952" i="2" s="1"/>
  <c r="T5952" i="2" s="1"/>
  <c r="U5952" i="2" s="1"/>
  <c r="Q5953" i="2"/>
  <c r="S5953" i="2" s="1"/>
  <c r="T5953" i="2" s="1"/>
  <c r="U5953" i="2" s="1"/>
  <c r="Q5954" i="2"/>
  <c r="S5954" i="2" s="1"/>
  <c r="T5954" i="2" s="1"/>
  <c r="U5954" i="2" s="1"/>
  <c r="Q5955" i="2"/>
  <c r="S5955" i="2" s="1"/>
  <c r="Q5956" i="2"/>
  <c r="S5956" i="2" s="1"/>
  <c r="Q5957" i="2"/>
  <c r="S5957" i="2" s="1"/>
  <c r="T5957" i="2" s="1"/>
  <c r="U5957" i="2" s="1"/>
  <c r="Q5958" i="2"/>
  <c r="S5958" i="2" s="1"/>
  <c r="T5958" i="2" s="1"/>
  <c r="U5958" i="2" s="1"/>
  <c r="Q5959" i="2"/>
  <c r="S5959" i="2" s="1"/>
  <c r="T5959" i="2" s="1"/>
  <c r="U5959" i="2" s="1"/>
  <c r="Q5960" i="2"/>
  <c r="S5960" i="2" s="1"/>
  <c r="T5960" i="2" s="1"/>
  <c r="U5960" i="2" s="1"/>
  <c r="Q5961" i="2"/>
  <c r="S5961" i="2" s="1"/>
  <c r="T5961" i="2" s="1"/>
  <c r="U5961" i="2" s="1"/>
  <c r="Q5962" i="2"/>
  <c r="S5962" i="2" s="1"/>
  <c r="T5962" i="2" s="1"/>
  <c r="U5962" i="2" s="1"/>
  <c r="Q5963" i="2"/>
  <c r="S5963" i="2" s="1"/>
  <c r="T5963" i="2" s="1"/>
  <c r="U5963" i="2" s="1"/>
  <c r="Q5964" i="2"/>
  <c r="S5964" i="2" s="1"/>
  <c r="Q5965" i="2"/>
  <c r="S5965" i="2" s="1"/>
  <c r="T5965" i="2" s="1"/>
  <c r="U5965" i="2" s="1"/>
  <c r="Q5966" i="2"/>
  <c r="S5966" i="2" s="1"/>
  <c r="Q5967" i="2"/>
  <c r="S5967" i="2" s="1"/>
  <c r="T5967" i="2" s="1"/>
  <c r="U5967" i="2" s="1"/>
  <c r="Q5968" i="2"/>
  <c r="S5968" i="2" s="1"/>
  <c r="T5968" i="2" s="1"/>
  <c r="U5968" i="2" s="1"/>
  <c r="Q5969" i="2"/>
  <c r="S5969" i="2" s="1"/>
  <c r="Q5970" i="2"/>
  <c r="S5970" i="2" s="1"/>
  <c r="Q5971" i="2"/>
  <c r="S5971" i="2" s="1"/>
  <c r="Q5972" i="2"/>
  <c r="S5972" i="2" s="1"/>
  <c r="T5972" i="2" s="1"/>
  <c r="U5972" i="2" s="1"/>
  <c r="Q5973" i="2"/>
  <c r="S5973" i="2" s="1"/>
  <c r="Q5974" i="2"/>
  <c r="S5974" i="2" s="1"/>
  <c r="T5974" i="2" s="1"/>
  <c r="U5974" i="2" s="1"/>
  <c r="Q5975" i="2"/>
  <c r="S5975" i="2" s="1"/>
  <c r="T5975" i="2" s="1"/>
  <c r="U5975" i="2" s="1"/>
  <c r="Q5976" i="2"/>
  <c r="S5976" i="2" s="1"/>
  <c r="T5976" i="2" s="1"/>
  <c r="U5976" i="2" s="1"/>
  <c r="Q5977" i="2"/>
  <c r="S5977" i="2" s="1"/>
  <c r="T5977" i="2" s="1"/>
  <c r="U5977" i="2" s="1"/>
  <c r="Q5978" i="2"/>
  <c r="S5978" i="2" s="1"/>
  <c r="T5978" i="2" s="1"/>
  <c r="U5978" i="2" s="1"/>
  <c r="Q5979" i="2"/>
  <c r="S5979" i="2" s="1"/>
  <c r="T5979" i="2" s="1"/>
  <c r="U5979" i="2" s="1"/>
  <c r="Q5980" i="2"/>
  <c r="S5980" i="2" s="1"/>
  <c r="T5980" i="2" s="1"/>
  <c r="U5980" i="2" s="1"/>
  <c r="Q5981" i="2"/>
  <c r="S5981" i="2" s="1"/>
  <c r="T5981" i="2" s="1"/>
  <c r="U5981" i="2" s="1"/>
  <c r="Q5982" i="2"/>
  <c r="S5982" i="2" s="1"/>
  <c r="T5982" i="2" s="1"/>
  <c r="U5982" i="2" s="1"/>
  <c r="Q5983" i="2"/>
  <c r="S5983" i="2" s="1"/>
  <c r="T5983" i="2" s="1"/>
  <c r="U5983" i="2" s="1"/>
  <c r="Q5984" i="2"/>
  <c r="S5984" i="2" s="1"/>
  <c r="T5984" i="2" s="1"/>
  <c r="U5984" i="2" s="1"/>
  <c r="Q5985" i="2"/>
  <c r="S5985" i="2" s="1"/>
  <c r="Q5986" i="2"/>
  <c r="S5986" i="2" s="1"/>
  <c r="T5986" i="2" s="1"/>
  <c r="U5986" i="2" s="1"/>
  <c r="Q5987" i="2"/>
  <c r="S5987" i="2" s="1"/>
  <c r="Q5988" i="2"/>
  <c r="S5988" i="2" s="1"/>
  <c r="Q5989" i="2"/>
  <c r="S5989" i="2" s="1"/>
  <c r="Q5990" i="2"/>
  <c r="S5990" i="2" s="1"/>
  <c r="T5990" i="2" s="1"/>
  <c r="U5990" i="2" s="1"/>
  <c r="Q5991" i="2"/>
  <c r="S5991" i="2" s="1"/>
  <c r="T5991" i="2" s="1"/>
  <c r="U5991" i="2" s="1"/>
  <c r="Q5992" i="2"/>
  <c r="S5992" i="2" s="1"/>
  <c r="T5992" i="2" s="1"/>
  <c r="U5992" i="2" s="1"/>
  <c r="Q5993" i="2"/>
  <c r="S5993" i="2" s="1"/>
  <c r="Q5994" i="2"/>
  <c r="S5994" i="2" s="1"/>
  <c r="Q5995" i="2"/>
  <c r="S5995" i="2" s="1"/>
  <c r="T5995" i="2" s="1"/>
  <c r="U5995" i="2" s="1"/>
  <c r="Q5996" i="2"/>
  <c r="S5996" i="2" s="1"/>
  <c r="T5996" i="2" s="1"/>
  <c r="U5996" i="2" s="1"/>
  <c r="Q5997" i="2"/>
  <c r="S5997" i="2" s="1"/>
  <c r="T5997" i="2" s="1"/>
  <c r="U5997" i="2" s="1"/>
  <c r="Q5998" i="2"/>
  <c r="S5998" i="2" s="1"/>
  <c r="T5998" i="2" s="1"/>
  <c r="U5998" i="2" s="1"/>
  <c r="Q5999" i="2"/>
  <c r="S5999" i="2" s="1"/>
  <c r="T5999" i="2" s="1"/>
  <c r="U5999" i="2" s="1"/>
  <c r="Q6000" i="2"/>
  <c r="S6000" i="2" s="1"/>
  <c r="Q6001" i="2"/>
  <c r="S6001" i="2" s="1"/>
  <c r="T6001" i="2" s="1"/>
  <c r="U6001" i="2" s="1"/>
  <c r="Q6002" i="2"/>
  <c r="S6002" i="2" s="1"/>
  <c r="T6002" i="2" s="1"/>
  <c r="U6002" i="2" s="1"/>
  <c r="Q6003" i="2"/>
  <c r="S6003" i="2" s="1"/>
  <c r="T6003" i="2" s="1"/>
  <c r="U6003" i="2" s="1"/>
  <c r="Q6004" i="2"/>
  <c r="S6004" i="2" s="1"/>
  <c r="T6004" i="2" s="1"/>
  <c r="U6004" i="2" s="1"/>
  <c r="Q6005" i="2"/>
  <c r="S6005" i="2" s="1"/>
  <c r="T6005" i="2" s="1"/>
  <c r="U6005" i="2" s="1"/>
  <c r="Q6006" i="2"/>
  <c r="S6006" i="2" s="1"/>
  <c r="T6006" i="2" s="1"/>
  <c r="U6006" i="2" s="1"/>
  <c r="Q6007" i="2"/>
  <c r="S6007" i="2" s="1"/>
  <c r="T6007" i="2" s="1"/>
  <c r="U6007" i="2" s="1"/>
  <c r="Q6008" i="2"/>
  <c r="S6008" i="2" s="1"/>
  <c r="T6008" i="2" s="1"/>
  <c r="U6008" i="2" s="1"/>
  <c r="Q6009" i="2"/>
  <c r="S6009" i="2" s="1"/>
  <c r="T6009" i="2" s="1"/>
  <c r="U6009" i="2" s="1"/>
  <c r="Q6010" i="2"/>
  <c r="S6010" i="2" s="1"/>
  <c r="T6010" i="2" s="1"/>
  <c r="U6010" i="2" s="1"/>
  <c r="Q6011" i="2"/>
  <c r="S6011" i="2" s="1"/>
  <c r="T6011" i="2" s="1"/>
  <c r="U6011" i="2" s="1"/>
  <c r="Q6012" i="2"/>
  <c r="S6012" i="2" s="1"/>
  <c r="T6012" i="2" s="1"/>
  <c r="U6012" i="2" s="1"/>
  <c r="Q6013" i="2"/>
  <c r="S6013" i="2" s="1"/>
  <c r="Q6014" i="2"/>
  <c r="S6014" i="2" s="1"/>
  <c r="T6014" i="2" s="1"/>
  <c r="U6014" i="2" s="1"/>
  <c r="Q6015" i="2"/>
  <c r="S6015" i="2" s="1"/>
  <c r="Q6016" i="2"/>
  <c r="S6016" i="2" s="1"/>
  <c r="T6016" i="2" s="1"/>
  <c r="U6016" i="2" s="1"/>
  <c r="Q6017" i="2"/>
  <c r="S6017" i="2" s="1"/>
  <c r="T6017" i="2" s="1"/>
  <c r="U6017" i="2" s="1"/>
  <c r="Q6018" i="2"/>
  <c r="S6018" i="2" s="1"/>
  <c r="Q6019" i="2"/>
  <c r="S6019" i="2" s="1"/>
  <c r="Q6020" i="2"/>
  <c r="S6020" i="2" s="1"/>
  <c r="T6020" i="2" s="1"/>
  <c r="U6020" i="2" s="1"/>
  <c r="Q6021" i="2"/>
  <c r="S6021" i="2" s="1"/>
  <c r="T6021" i="2" s="1"/>
  <c r="U6021" i="2" s="1"/>
  <c r="Q6022" i="2"/>
  <c r="S6022" i="2" s="1"/>
  <c r="T6022" i="2" s="1"/>
  <c r="U6022" i="2" s="1"/>
  <c r="Q6023" i="2"/>
  <c r="S6023" i="2" s="1"/>
  <c r="T6023" i="2" s="1"/>
  <c r="U6023" i="2" s="1"/>
  <c r="Q6024" i="2"/>
  <c r="S6024" i="2" s="1"/>
  <c r="T6024" i="2" s="1"/>
  <c r="U6024" i="2" s="1"/>
  <c r="Q6025" i="2"/>
  <c r="S6025" i="2" s="1"/>
  <c r="T6025" i="2" s="1"/>
  <c r="U6025" i="2" s="1"/>
  <c r="Q6026" i="2"/>
  <c r="S6026" i="2" s="1"/>
  <c r="T6026" i="2" s="1"/>
  <c r="U6026" i="2" s="1"/>
  <c r="Q6027" i="2"/>
  <c r="S6027" i="2" s="1"/>
  <c r="Q6028" i="2"/>
  <c r="S6028" i="2" s="1"/>
  <c r="T6028" i="2" s="1"/>
  <c r="U6028" i="2" s="1"/>
  <c r="Q6029" i="2"/>
  <c r="S6029" i="2" s="1"/>
  <c r="T6029" i="2" s="1"/>
  <c r="U6029" i="2" s="1"/>
  <c r="Q6030" i="2"/>
  <c r="S6030" i="2" s="1"/>
  <c r="Q6031" i="2"/>
  <c r="S6031" i="2" s="1"/>
  <c r="Q6032" i="2"/>
  <c r="S6032" i="2" s="1"/>
  <c r="Q6033" i="2"/>
  <c r="S6033" i="2" s="1"/>
  <c r="T6033" i="2" s="1"/>
  <c r="U6033" i="2" s="1"/>
  <c r="Q6034" i="2"/>
  <c r="S6034" i="2" s="1"/>
  <c r="T6034" i="2" s="1"/>
  <c r="U6034" i="2" s="1"/>
  <c r="Q6035" i="2"/>
  <c r="S6035" i="2" s="1"/>
  <c r="T6035" i="2" s="1"/>
  <c r="U6035" i="2" s="1"/>
  <c r="Q6036" i="2"/>
  <c r="S6036" i="2" s="1"/>
  <c r="T6036" i="2" s="1"/>
  <c r="U6036" i="2" s="1"/>
  <c r="Q6037" i="2"/>
  <c r="S6037" i="2" s="1"/>
  <c r="T6037" i="2" s="1"/>
  <c r="U6037" i="2" s="1"/>
  <c r="Q6038" i="2"/>
  <c r="S6038" i="2" s="1"/>
  <c r="T6038" i="2" s="1"/>
  <c r="U6038" i="2" s="1"/>
  <c r="Q6039" i="2"/>
  <c r="S6039" i="2" s="1"/>
  <c r="T6039" i="2" s="1"/>
  <c r="U6039" i="2" s="1"/>
  <c r="Q6040" i="2"/>
  <c r="S6040" i="2" s="1"/>
  <c r="Q6041" i="2"/>
  <c r="S6041" i="2" s="1"/>
  <c r="Q6042" i="2"/>
  <c r="S6042" i="2" s="1"/>
  <c r="T6042" i="2" s="1"/>
  <c r="U6042" i="2" s="1"/>
  <c r="Q6043" i="2"/>
  <c r="S6043" i="2" s="1"/>
  <c r="T6043" i="2" s="1"/>
  <c r="U6043" i="2" s="1"/>
  <c r="Q6044" i="2"/>
  <c r="S6044" i="2" s="1"/>
  <c r="T6044" i="2" s="1"/>
  <c r="U6044" i="2" s="1"/>
  <c r="Q6045" i="2"/>
  <c r="S6045" i="2" s="1"/>
  <c r="T6045" i="2" s="1"/>
  <c r="U6045" i="2" s="1"/>
  <c r="Q6046" i="2"/>
  <c r="S6046" i="2" s="1"/>
  <c r="Q6047" i="2"/>
  <c r="S6047" i="2" s="1"/>
  <c r="T6047" i="2" s="1"/>
  <c r="U6047" i="2" s="1"/>
  <c r="Q6048" i="2"/>
  <c r="S6048" i="2" s="1"/>
  <c r="T6048" i="2" s="1"/>
  <c r="U6048" i="2" s="1"/>
  <c r="Q6049" i="2"/>
  <c r="S6049" i="2" s="1"/>
  <c r="Q6050" i="2"/>
  <c r="S6050" i="2" s="1"/>
  <c r="Q6051" i="2"/>
  <c r="S6051" i="2" s="1"/>
  <c r="T6051" i="2" s="1"/>
  <c r="U6051" i="2" s="1"/>
  <c r="Q6052" i="2"/>
  <c r="S6052" i="2" s="1"/>
  <c r="T6052" i="2" s="1"/>
  <c r="U6052" i="2" s="1"/>
  <c r="Q6053" i="2"/>
  <c r="S6053" i="2" s="1"/>
  <c r="T6053" i="2" s="1"/>
  <c r="U6053" i="2" s="1"/>
  <c r="Q6054" i="2"/>
  <c r="S6054" i="2" s="1"/>
  <c r="T6054" i="2" s="1"/>
  <c r="U6054" i="2" s="1"/>
  <c r="Q6055" i="2"/>
  <c r="S6055" i="2" s="1"/>
  <c r="T6055" i="2" s="1"/>
  <c r="U6055" i="2" s="1"/>
  <c r="Q6056" i="2"/>
  <c r="S6056" i="2" s="1"/>
  <c r="T6056" i="2" s="1"/>
  <c r="U6056" i="2" s="1"/>
  <c r="Q6057" i="2"/>
  <c r="S6057" i="2" s="1"/>
  <c r="Q6058" i="2"/>
  <c r="S6058" i="2" s="1"/>
  <c r="T6058" i="2" s="1"/>
  <c r="U6058" i="2" s="1"/>
  <c r="Q6059" i="2"/>
  <c r="S6059" i="2" s="1"/>
  <c r="Q6060" i="2"/>
  <c r="S6060" i="2" s="1"/>
  <c r="T6060" i="2" s="1"/>
  <c r="U6060" i="2" s="1"/>
  <c r="Q6061" i="2"/>
  <c r="S6061" i="2" s="1"/>
  <c r="T6061" i="2" s="1"/>
  <c r="U6061" i="2" s="1"/>
  <c r="Q6062" i="2"/>
  <c r="S6062" i="2" s="1"/>
  <c r="Q6063" i="2"/>
  <c r="S6063" i="2" s="1"/>
  <c r="T6063" i="2" s="1"/>
  <c r="U6063" i="2" s="1"/>
  <c r="Q6064" i="2"/>
  <c r="S6064" i="2" s="1"/>
  <c r="T6064" i="2" s="1"/>
  <c r="U6064" i="2" s="1"/>
  <c r="Q6065" i="2"/>
  <c r="S6065" i="2" s="1"/>
  <c r="T6065" i="2" s="1"/>
  <c r="U6065" i="2" s="1"/>
  <c r="Q6066" i="2"/>
  <c r="S6066" i="2" s="1"/>
  <c r="T6066" i="2" s="1"/>
  <c r="U6066" i="2" s="1"/>
  <c r="Q6067" i="2"/>
  <c r="S6067" i="2" s="1"/>
  <c r="T6067" i="2" s="1"/>
  <c r="U6067" i="2" s="1"/>
  <c r="Q6068" i="2"/>
  <c r="S6068" i="2" s="1"/>
  <c r="Q6069" i="2"/>
  <c r="S6069" i="2" s="1"/>
  <c r="T6069" i="2" s="1"/>
  <c r="U6069" i="2" s="1"/>
  <c r="Q6070" i="2"/>
  <c r="S6070" i="2" s="1"/>
  <c r="T6070" i="2" s="1"/>
  <c r="U6070" i="2" s="1"/>
  <c r="Q6071" i="2"/>
  <c r="S6071" i="2" s="1"/>
  <c r="T6071" i="2" s="1"/>
  <c r="U6071" i="2" s="1"/>
  <c r="Q6072" i="2"/>
  <c r="S6072" i="2" s="1"/>
  <c r="Q6073" i="2"/>
  <c r="S6073" i="2" s="1"/>
  <c r="Q6074" i="2"/>
  <c r="S6074" i="2" s="1"/>
  <c r="Q6075" i="2"/>
  <c r="S6075" i="2" s="1"/>
  <c r="T6075" i="2" s="1"/>
  <c r="U6075" i="2" s="1"/>
  <c r="Q6076" i="2"/>
  <c r="S6076" i="2" s="1"/>
  <c r="T6076" i="2" s="1"/>
  <c r="U6076" i="2" s="1"/>
  <c r="Q6077" i="2"/>
  <c r="S6077" i="2" s="1"/>
  <c r="Q6078" i="2"/>
  <c r="S6078" i="2" s="1"/>
  <c r="Q6079" i="2"/>
  <c r="S6079" i="2" s="1"/>
  <c r="T6079" i="2" s="1"/>
  <c r="U6079" i="2" s="1"/>
  <c r="Q6080" i="2"/>
  <c r="S6080" i="2" s="1"/>
  <c r="Q6081" i="2"/>
  <c r="S6081" i="2" s="1"/>
  <c r="T6081" i="2" s="1"/>
  <c r="U6081" i="2" s="1"/>
  <c r="Q6082" i="2"/>
  <c r="S6082" i="2" s="1"/>
  <c r="T6082" i="2" s="1"/>
  <c r="U6082" i="2" s="1"/>
  <c r="Q6083" i="2"/>
  <c r="S6083" i="2" s="1"/>
  <c r="Q6084" i="2"/>
  <c r="S6084" i="2" s="1"/>
  <c r="Q6085" i="2"/>
  <c r="S6085" i="2" s="1"/>
  <c r="T6085" i="2" s="1"/>
  <c r="U6085" i="2" s="1"/>
  <c r="Q6086" i="2"/>
  <c r="S6086" i="2" s="1"/>
  <c r="T6086" i="2" s="1"/>
  <c r="U6086" i="2" s="1"/>
  <c r="Q6087" i="2"/>
  <c r="S6087" i="2" s="1"/>
  <c r="T6087" i="2" s="1"/>
  <c r="U6087" i="2" s="1"/>
  <c r="Q6088" i="2"/>
  <c r="S6088" i="2" s="1"/>
  <c r="T6088" i="2" s="1"/>
  <c r="U6088" i="2" s="1"/>
  <c r="Q6089" i="2"/>
  <c r="S6089" i="2" s="1"/>
  <c r="Q6090" i="2"/>
  <c r="S6090" i="2" s="1"/>
  <c r="T6090" i="2" s="1"/>
  <c r="U6090" i="2" s="1"/>
  <c r="Q6091" i="2"/>
  <c r="S6091" i="2" s="1"/>
  <c r="Q6092" i="2"/>
  <c r="S6092" i="2" s="1"/>
  <c r="T6092" i="2" s="1"/>
  <c r="U6092" i="2" s="1"/>
  <c r="Q6093" i="2"/>
  <c r="S6093" i="2" s="1"/>
  <c r="T6093" i="2" s="1"/>
  <c r="U6093" i="2" s="1"/>
  <c r="Q6094" i="2"/>
  <c r="S6094" i="2" s="1"/>
  <c r="T6094" i="2" s="1"/>
  <c r="U6094" i="2" s="1"/>
  <c r="Q6095" i="2"/>
  <c r="S6095" i="2" s="1"/>
  <c r="T6095" i="2" s="1"/>
  <c r="U6095" i="2" s="1"/>
  <c r="D3" i="1"/>
  <c r="D4" i="1"/>
  <c r="D5" i="1"/>
  <c r="B13" i="1"/>
  <c r="D13" i="1" s="1"/>
  <c r="C13" i="1"/>
  <c r="B12" i="1"/>
  <c r="D12" i="1" s="1"/>
  <c r="B10" i="1"/>
  <c r="D10" i="1" s="1"/>
  <c r="B11" i="1"/>
  <c r="D11" i="1" s="1"/>
  <c r="B9" i="1"/>
  <c r="D9" i="1" s="1"/>
  <c r="B8" i="1"/>
  <c r="D8" i="1" s="1"/>
  <c r="B7" i="1"/>
  <c r="D7" i="1" s="1"/>
  <c r="B6" i="1"/>
  <c r="D6" i="1" s="1"/>
  <c r="B5" i="1"/>
  <c r="B4" i="1"/>
  <c r="B3" i="1"/>
  <c r="B2" i="1"/>
  <c r="D2" i="1" s="1"/>
  <c r="T2" i="2" l="1"/>
  <c r="B14" i="1"/>
  <c r="D14" i="1" s="1"/>
  <c r="U2" i="2" l="1"/>
  <c r="B15" i="1"/>
  <c r="D15" i="1" s="1"/>
  <c r="B16" i="1" l="1"/>
  <c r="D16" i="1" s="1"/>
  <c r="B17" i="1"/>
  <c r="D1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FA1DA2-88D6-4B99-AA20-1ED425BCE988}" keepAlive="1" name="Query - claims" description="Connection to the 'claims' query in the workbook." type="5" refreshedVersion="8" background="1" saveData="1">
    <dbPr connection="Provider=Microsoft.Mashup.OleDb.1;Data Source=$Workbook$;Location=claims;Extended Properties=&quot;&quot;" command="SELECT * FROM [claims]"/>
  </connection>
  <connection id="2" xr16:uid="{3B9C5088-6FE5-4AF5-A147-2D5D8205BEC1}" keepAlive="1" name="Query - cpt_codes" description="Connection to the 'cpt_codes' query in the workbook." type="5" refreshedVersion="8" background="1" saveData="1">
    <dbPr connection="Provider=Microsoft.Mashup.OleDb.1;Data Source=$Workbook$;Location=cpt_codes;Extended Properties=&quot;&quot;" command="SELECT * FROM [cpt_codes]"/>
  </connection>
  <connection id="3" xr16:uid="{B7A006CF-0132-4678-A1EA-9C3CE3898875}" keepAlive="1" name="Query - payers" description="Connection to the 'payers' query in the workbook." type="5" refreshedVersion="8" background="1" saveData="1">
    <dbPr connection="Provider=Microsoft.Mashup.OleDb.1;Data Source=$Workbook$;Location=payers;Extended Properties=&quot;&quot;" command="SELECT * FROM [payers]"/>
  </connection>
</connections>
</file>

<file path=xl/sharedStrings.xml><?xml version="1.0" encoding="utf-8"?>
<sst xmlns="http://schemas.openxmlformats.org/spreadsheetml/2006/main" count="42838" uniqueCount="9118">
  <si>
    <t>claim_id</t>
  </si>
  <si>
    <t>patient_id</t>
  </si>
  <si>
    <t>payer_id</t>
  </si>
  <si>
    <t>clinic_id</t>
  </si>
  <si>
    <t>cpt_code</t>
  </si>
  <si>
    <t>units</t>
  </si>
  <si>
    <t>service_date</t>
  </si>
  <si>
    <t>submit_date</t>
  </si>
  <si>
    <t>billed_amount</t>
  </si>
  <si>
    <t>allowed_amount</t>
  </si>
  <si>
    <t>paid_amount</t>
  </si>
  <si>
    <t>patient_responsibility</t>
  </si>
  <si>
    <t>claim_status</t>
  </si>
  <si>
    <t>denial_carc</t>
  </si>
  <si>
    <t>adjudication_date</t>
  </si>
  <si>
    <t>paid_date</t>
  </si>
  <si>
    <t>CLM100001</t>
  </si>
  <si>
    <t>PT10383</t>
  </si>
  <si>
    <t>P05</t>
  </si>
  <si>
    <t>C02</t>
  </si>
  <si>
    <t>99213</t>
  </si>
  <si>
    <t>Paid</t>
  </si>
  <si>
    <t/>
  </si>
  <si>
    <t>CLM100002</t>
  </si>
  <si>
    <t>PT13315</t>
  </si>
  <si>
    <t>P04</t>
  </si>
  <si>
    <t>C01</t>
  </si>
  <si>
    <t>20610</t>
  </si>
  <si>
    <t>CLM100003</t>
  </si>
  <si>
    <t>PT12988</t>
  </si>
  <si>
    <t>C04</t>
  </si>
  <si>
    <t>97110</t>
  </si>
  <si>
    <t>Denied</t>
  </si>
  <si>
    <t>CO-16</t>
  </si>
  <si>
    <t>CLM100005</t>
  </si>
  <si>
    <t>PT12745</t>
  </si>
  <si>
    <t>P06</t>
  </si>
  <si>
    <t>C03</t>
  </si>
  <si>
    <t>J1745</t>
  </si>
  <si>
    <t>CLM100006</t>
  </si>
  <si>
    <t>PT12804</t>
  </si>
  <si>
    <t>J0702</t>
  </si>
  <si>
    <t>CLM100007</t>
  </si>
  <si>
    <t>PT10870</t>
  </si>
  <si>
    <t>29881</t>
  </si>
  <si>
    <t>CLM100008</t>
  </si>
  <si>
    <t>PT11635</t>
  </si>
  <si>
    <t>P07</t>
  </si>
  <si>
    <t>96413</t>
  </si>
  <si>
    <t>CO-50</t>
  </si>
  <si>
    <t>CLM100009</t>
  </si>
  <si>
    <t>PT11563</t>
  </si>
  <si>
    <t>P03</t>
  </si>
  <si>
    <t>CLM100010</t>
  </si>
  <si>
    <t>PT10456</t>
  </si>
  <si>
    <t>CLM100011</t>
  </si>
  <si>
    <t>PT13447</t>
  </si>
  <si>
    <t>99214</t>
  </si>
  <si>
    <t>CLM100012</t>
  </si>
  <si>
    <t>PT13406</t>
  </si>
  <si>
    <t>P01</t>
  </si>
  <si>
    <t>CLM100014</t>
  </si>
  <si>
    <t>PT12920</t>
  </si>
  <si>
    <t>CLM100015</t>
  </si>
  <si>
    <t>PT10029</t>
  </si>
  <si>
    <t>CLM100016</t>
  </si>
  <si>
    <t>PT10877</t>
  </si>
  <si>
    <t>CLM100017</t>
  </si>
  <si>
    <t>PT13279</t>
  </si>
  <si>
    <t>Pending</t>
  </si>
  <si>
    <t>CLM100018</t>
  </si>
  <si>
    <t>PT10207</t>
  </si>
  <si>
    <t>CLM100019</t>
  </si>
  <si>
    <t>PT10674</t>
  </si>
  <si>
    <t>CLM100020</t>
  </si>
  <si>
    <t>PT10634</t>
  </si>
  <si>
    <t>P02</t>
  </si>
  <si>
    <t>CLM100021</t>
  </si>
  <si>
    <t>PT13492</t>
  </si>
  <si>
    <t>P08</t>
  </si>
  <si>
    <t>CLM100022</t>
  </si>
  <si>
    <t>PT11653</t>
  </si>
  <si>
    <t>CLM100023</t>
  </si>
  <si>
    <t>PT10977</t>
  </si>
  <si>
    <t>CLM100024</t>
  </si>
  <si>
    <t>PT10300</t>
  </si>
  <si>
    <t>CLM100025</t>
  </si>
  <si>
    <t>PT12735</t>
  </si>
  <si>
    <t>99204</t>
  </si>
  <si>
    <t>CLM100026</t>
  </si>
  <si>
    <t>PT11404</t>
  </si>
  <si>
    <t>97140</t>
  </si>
  <si>
    <t>CLM100027</t>
  </si>
  <si>
    <t>PT10458</t>
  </si>
  <si>
    <t>CLM100028</t>
  </si>
  <si>
    <t>PT11262</t>
  </si>
  <si>
    <t>CLM100029</t>
  </si>
  <si>
    <t>PT10969</t>
  </si>
  <si>
    <t>CO-4</t>
  </si>
  <si>
    <t>CLM100030</t>
  </si>
  <si>
    <t>PT11092</t>
  </si>
  <si>
    <t>CLM100031</t>
  </si>
  <si>
    <t>PT10913</t>
  </si>
  <si>
    <t>CLM100032</t>
  </si>
  <si>
    <t>PT12783</t>
  </si>
  <si>
    <t>CLM100033</t>
  </si>
  <si>
    <t>PT11787</t>
  </si>
  <si>
    <t>CLM100034</t>
  </si>
  <si>
    <t>PT11491</t>
  </si>
  <si>
    <t>CLM100035</t>
  </si>
  <si>
    <t>PT12270</t>
  </si>
  <si>
    <t>CLM100036</t>
  </si>
  <si>
    <t>PT11244</t>
  </si>
  <si>
    <t>73721</t>
  </si>
  <si>
    <t>CLM100037</t>
  </si>
  <si>
    <t>PT12698</t>
  </si>
  <si>
    <t>CLM100038</t>
  </si>
  <si>
    <t>PT13303</t>
  </si>
  <si>
    <t>CLM100039</t>
  </si>
  <si>
    <t>PT12024</t>
  </si>
  <si>
    <t>CLM100040</t>
  </si>
  <si>
    <t>PT10720</t>
  </si>
  <si>
    <t>CLM100041</t>
  </si>
  <si>
    <t>PT13093</t>
  </si>
  <si>
    <t>CO-27</t>
  </si>
  <si>
    <t>CLM100042</t>
  </si>
  <si>
    <t>PT13440</t>
  </si>
  <si>
    <t>CLM100043</t>
  </si>
  <si>
    <t>PT10947</t>
  </si>
  <si>
    <t>CLM100044</t>
  </si>
  <si>
    <t>PT11595</t>
  </si>
  <si>
    <t>CLM100045</t>
  </si>
  <si>
    <t>PT11716</t>
  </si>
  <si>
    <t>CLM100046</t>
  </si>
  <si>
    <t>PT10522</t>
  </si>
  <si>
    <t>CLM100047</t>
  </si>
  <si>
    <t>PT10866</t>
  </si>
  <si>
    <t>CO-29</t>
  </si>
  <si>
    <t>CLM100048</t>
  </si>
  <si>
    <t>PT10079</t>
  </si>
  <si>
    <t>CLM100049</t>
  </si>
  <si>
    <t>PT12544</t>
  </si>
  <si>
    <t>CLM100050</t>
  </si>
  <si>
    <t>PT12481</t>
  </si>
  <si>
    <t>CLM100051</t>
  </si>
  <si>
    <t>PT12928</t>
  </si>
  <si>
    <t>CLM100052</t>
  </si>
  <si>
    <t>PT10051</t>
  </si>
  <si>
    <t>CLM100053</t>
  </si>
  <si>
    <t>PT11904</t>
  </si>
  <si>
    <t>CLM100054</t>
  </si>
  <si>
    <t>PT12334</t>
  </si>
  <si>
    <t>CLM100055</t>
  </si>
  <si>
    <t>PT12276</t>
  </si>
  <si>
    <t>CLM100056</t>
  </si>
  <si>
    <t>PT11835</t>
  </si>
  <si>
    <t>CLM100057</t>
  </si>
  <si>
    <t>PT11441</t>
  </si>
  <si>
    <t>CLM100058</t>
  </si>
  <si>
    <t>PT10758</t>
  </si>
  <si>
    <t>CLM100059</t>
  </si>
  <si>
    <t>PT12266</t>
  </si>
  <si>
    <t>CLM100060</t>
  </si>
  <si>
    <t>PT10755</t>
  </si>
  <si>
    <t>CLM100062</t>
  </si>
  <si>
    <t>PT11845</t>
  </si>
  <si>
    <t>CLM100063</t>
  </si>
  <si>
    <t>PT11083</t>
  </si>
  <si>
    <t>CO-11</t>
  </si>
  <si>
    <t>CLM100064</t>
  </si>
  <si>
    <t>PT10291</t>
  </si>
  <si>
    <t>CLM100065</t>
  </si>
  <si>
    <t>PT10920</t>
  </si>
  <si>
    <t>CLM100066</t>
  </si>
  <si>
    <t>PT12820</t>
  </si>
  <si>
    <t>CLM100067</t>
  </si>
  <si>
    <t>PT12472</t>
  </si>
  <si>
    <t>CLM100068</t>
  </si>
  <si>
    <t>PT10164</t>
  </si>
  <si>
    <t>CLM100069</t>
  </si>
  <si>
    <t>PT12014</t>
  </si>
  <si>
    <t>CLM100070</t>
  </si>
  <si>
    <t>PT11862</t>
  </si>
  <si>
    <t>CLM100071</t>
  </si>
  <si>
    <t>PT10222</t>
  </si>
  <si>
    <t>72148</t>
  </si>
  <si>
    <t>CLM100072</t>
  </si>
  <si>
    <t>PT12907</t>
  </si>
  <si>
    <t>CLM100073</t>
  </si>
  <si>
    <t>PT12653</t>
  </si>
  <si>
    <t>CLM100074</t>
  </si>
  <si>
    <t>PT10285</t>
  </si>
  <si>
    <t>CLM100075</t>
  </si>
  <si>
    <t>PT13430</t>
  </si>
  <si>
    <t>CLM100076</t>
  </si>
  <si>
    <t>PT12856</t>
  </si>
  <si>
    <t>CLM100077</t>
  </si>
  <si>
    <t>PT12718</t>
  </si>
  <si>
    <t>CLM100078</t>
  </si>
  <si>
    <t>PT10408</t>
  </si>
  <si>
    <t>CLM100079</t>
  </si>
  <si>
    <t>PT11386</t>
  </si>
  <si>
    <t>CLM100080</t>
  </si>
  <si>
    <t>PT12529</t>
  </si>
  <si>
    <t>CLM100081</t>
  </si>
  <si>
    <t>PT11817</t>
  </si>
  <si>
    <t>CLM100082</t>
  </si>
  <si>
    <t>PT10737</t>
  </si>
  <si>
    <t>CLM100083</t>
  </si>
  <si>
    <t>PT13295</t>
  </si>
  <si>
    <t>CLM100084</t>
  </si>
  <si>
    <t>PT13462</t>
  </si>
  <si>
    <t>CLM100085</t>
  </si>
  <si>
    <t>PT10089</t>
  </si>
  <si>
    <t>CLM100086</t>
  </si>
  <si>
    <t>PT13272</t>
  </si>
  <si>
    <t>CLM100087</t>
  </si>
  <si>
    <t>PT11265</t>
  </si>
  <si>
    <t>CLM100088</t>
  </si>
  <si>
    <t>PT12174</t>
  </si>
  <si>
    <t>CLM100089</t>
  </si>
  <si>
    <t>PT13294</t>
  </si>
  <si>
    <t>CLM100090</t>
  </si>
  <si>
    <t>PT10057</t>
  </si>
  <si>
    <t>CLM100091</t>
  </si>
  <si>
    <t>PT11521</t>
  </si>
  <si>
    <t>CLM100092</t>
  </si>
  <si>
    <t>PT12871</t>
  </si>
  <si>
    <t>CLM100093</t>
  </si>
  <si>
    <t>PT11591</t>
  </si>
  <si>
    <t>CLM100094</t>
  </si>
  <si>
    <t>PT10889</t>
  </si>
  <si>
    <t>CLM100095</t>
  </si>
  <si>
    <t>PT11630</t>
  </si>
  <si>
    <t>CLM100096</t>
  </si>
  <si>
    <t>PT13223</t>
  </si>
  <si>
    <t>CLM100097</t>
  </si>
  <si>
    <t>PT13230</t>
  </si>
  <si>
    <t>CLM100098</t>
  </si>
  <si>
    <t>PT10064</t>
  </si>
  <si>
    <t>CLM100099</t>
  </si>
  <si>
    <t>PT11851</t>
  </si>
  <si>
    <t>CLM100100</t>
  </si>
  <si>
    <t>PT12810</t>
  </si>
  <si>
    <t>CLM100101</t>
  </si>
  <si>
    <t>PT12397</t>
  </si>
  <si>
    <t>CLM100102</t>
  </si>
  <si>
    <t>PT11761</t>
  </si>
  <si>
    <t>CLM100103</t>
  </si>
  <si>
    <t>PT11533</t>
  </si>
  <si>
    <t>CLM100104</t>
  </si>
  <si>
    <t>PT12744</t>
  </si>
  <si>
    <t>CLM100105</t>
  </si>
  <si>
    <t>PT10424</t>
  </si>
  <si>
    <t>CLM100106</t>
  </si>
  <si>
    <t>PT13461</t>
  </si>
  <si>
    <t>CLM100107</t>
  </si>
  <si>
    <t>PT11391</t>
  </si>
  <si>
    <t>CLM100108</t>
  </si>
  <si>
    <t>PT11540</t>
  </si>
  <si>
    <t>CLM100109</t>
  </si>
  <si>
    <t>PT10637</t>
  </si>
  <si>
    <t>CLM100110</t>
  </si>
  <si>
    <t>PT11413</t>
  </si>
  <si>
    <t>CLM100111</t>
  </si>
  <si>
    <t>PT10031</t>
  </si>
  <si>
    <t>CLM100112</t>
  </si>
  <si>
    <t>PT12049</t>
  </si>
  <si>
    <t>CLM100113</t>
  </si>
  <si>
    <t>PT11656</t>
  </si>
  <si>
    <t>CLM100114</t>
  </si>
  <si>
    <t>PT10996</t>
  </si>
  <si>
    <t>CLM100115</t>
  </si>
  <si>
    <t>PT12090</t>
  </si>
  <si>
    <t>CLM100116</t>
  </si>
  <si>
    <t>PT12467</t>
  </si>
  <si>
    <t>CLM100117</t>
  </si>
  <si>
    <t>PT12789</t>
  </si>
  <si>
    <t>CLM100118</t>
  </si>
  <si>
    <t>CLM100119</t>
  </si>
  <si>
    <t>PT12519</t>
  </si>
  <si>
    <t>CO-18</t>
  </si>
  <si>
    <t>CLM100120</t>
  </si>
  <si>
    <t>PT12925</t>
  </si>
  <si>
    <t>CLM100121</t>
  </si>
  <si>
    <t>PT11527</t>
  </si>
  <si>
    <t>CLM100122</t>
  </si>
  <si>
    <t>PT12689</t>
  </si>
  <si>
    <t>CLM100123</t>
  </si>
  <si>
    <t>PT10528</t>
  </si>
  <si>
    <t>CLM100124</t>
  </si>
  <si>
    <t>PT10382</t>
  </si>
  <si>
    <t>CLM100125</t>
  </si>
  <si>
    <t>PT10563</t>
  </si>
  <si>
    <t>CLM100126</t>
  </si>
  <si>
    <t>PT12446</t>
  </si>
  <si>
    <t>CLM100127</t>
  </si>
  <si>
    <t>PT11682</t>
  </si>
  <si>
    <t>CLM100128</t>
  </si>
  <si>
    <t>PT13312</t>
  </si>
  <si>
    <t>CLM100129</t>
  </si>
  <si>
    <t>PT13345</t>
  </si>
  <si>
    <t>CLM100130</t>
  </si>
  <si>
    <t>PT11167</t>
  </si>
  <si>
    <t>CLM100131</t>
  </si>
  <si>
    <t>PT11431</t>
  </si>
  <si>
    <t>CLM100132</t>
  </si>
  <si>
    <t>CLM100133</t>
  </si>
  <si>
    <t>PT10455</t>
  </si>
  <si>
    <t>CLM100134</t>
  </si>
  <si>
    <t>PT12588</t>
  </si>
  <si>
    <t>CLM100135</t>
  </si>
  <si>
    <t>PT12144</t>
  </si>
  <si>
    <t>CLM100137</t>
  </si>
  <si>
    <t>PT12383</t>
  </si>
  <si>
    <t>CO-197</t>
  </si>
  <si>
    <t>CLM100138</t>
  </si>
  <si>
    <t>PT12587</t>
  </si>
  <si>
    <t>CLM100139</t>
  </si>
  <si>
    <t>PT13339</t>
  </si>
  <si>
    <t>CLM100140</t>
  </si>
  <si>
    <t>PT11359</t>
  </si>
  <si>
    <t>CLM100141</t>
  </si>
  <si>
    <t>PT13281</t>
  </si>
  <si>
    <t>CLM100142</t>
  </si>
  <si>
    <t>PT12707</t>
  </si>
  <si>
    <t>CLM100143</t>
  </si>
  <si>
    <t>PT11124</t>
  </si>
  <si>
    <t>CLM100144</t>
  </si>
  <si>
    <t>PT10584</t>
  </si>
  <si>
    <t>CLM100145</t>
  </si>
  <si>
    <t>PT11519</t>
  </si>
  <si>
    <t>CLM100146</t>
  </si>
  <si>
    <t>PT13013</t>
  </si>
  <si>
    <t>CLM100147</t>
  </si>
  <si>
    <t>PT10819</t>
  </si>
  <si>
    <t>CLM100148</t>
  </si>
  <si>
    <t>PT11309</t>
  </si>
  <si>
    <t>CLM100149</t>
  </si>
  <si>
    <t>PT10823</t>
  </si>
  <si>
    <t>CLM100150</t>
  </si>
  <si>
    <t>PT10269</t>
  </si>
  <si>
    <t>CLM100151</t>
  </si>
  <si>
    <t>PT12785</t>
  </si>
  <si>
    <t>CLM100152</t>
  </si>
  <si>
    <t>PT13405</t>
  </si>
  <si>
    <t>CLM100153</t>
  </si>
  <si>
    <t>PT10804</t>
  </si>
  <si>
    <t>CLM100154</t>
  </si>
  <si>
    <t>PT10701</t>
  </si>
  <si>
    <t>CLM100155</t>
  </si>
  <si>
    <t>PT12667</t>
  </si>
  <si>
    <t>CLM100156</t>
  </si>
  <si>
    <t>PT11237</t>
  </si>
  <si>
    <t>CLM100157</t>
  </si>
  <si>
    <t>PT13007</t>
  </si>
  <si>
    <t>CLM100158</t>
  </si>
  <si>
    <t>PT10577</t>
  </si>
  <si>
    <t>CLM100159</t>
  </si>
  <si>
    <t>PT10777</t>
  </si>
  <si>
    <t>CLM100160</t>
  </si>
  <si>
    <t>PT10986</t>
  </si>
  <si>
    <t>CLM100161</t>
  </si>
  <si>
    <t>PT10209</t>
  </si>
  <si>
    <t>CLM100162</t>
  </si>
  <si>
    <t>PT10527</t>
  </si>
  <si>
    <t>CLM100163</t>
  </si>
  <si>
    <t>PT13293</t>
  </si>
  <si>
    <t>CLM100164</t>
  </si>
  <si>
    <t>PT12431</t>
  </si>
  <si>
    <t>CLM100165</t>
  </si>
  <si>
    <t>PT13263</t>
  </si>
  <si>
    <t>CLM100166</t>
  </si>
  <si>
    <t>PT12390</t>
  </si>
  <si>
    <t>CLM100167</t>
  </si>
  <si>
    <t>PT11691</t>
  </si>
  <si>
    <t>CLM100168</t>
  </si>
  <si>
    <t>PT10565</t>
  </si>
  <si>
    <t>CLM100169</t>
  </si>
  <si>
    <t>PT13162</t>
  </si>
  <si>
    <t>CLM100170</t>
  </si>
  <si>
    <t>PT11219</t>
  </si>
  <si>
    <t>CLM100171</t>
  </si>
  <si>
    <t>PT12348</t>
  </si>
  <si>
    <t>CLM100172</t>
  </si>
  <si>
    <t>CLM100173</t>
  </si>
  <si>
    <t>PT10993</t>
  </si>
  <si>
    <t>CLM100174</t>
  </si>
  <si>
    <t>PT10021</t>
  </si>
  <si>
    <t>CLM100175</t>
  </si>
  <si>
    <t>PT12191</t>
  </si>
  <si>
    <t>CLM100176</t>
  </si>
  <si>
    <t>PT13227</t>
  </si>
  <si>
    <t>CLM100177</t>
  </si>
  <si>
    <t>PT10549</t>
  </si>
  <si>
    <t>CLM100178</t>
  </si>
  <si>
    <t>PT12325</t>
  </si>
  <si>
    <t>CLM100179</t>
  </si>
  <si>
    <t>PT11016</t>
  </si>
  <si>
    <t>CLM100180</t>
  </si>
  <si>
    <t>PT10254</t>
  </si>
  <si>
    <t>CLM100181</t>
  </si>
  <si>
    <t>PT12517</t>
  </si>
  <si>
    <t>CLM100182</t>
  </si>
  <si>
    <t>PT13102</t>
  </si>
  <si>
    <t>CLM100183</t>
  </si>
  <si>
    <t>PT10252</t>
  </si>
  <si>
    <t>CLM100184</t>
  </si>
  <si>
    <t>PT10372</t>
  </si>
  <si>
    <t>CLM100185</t>
  </si>
  <si>
    <t>PT10012</t>
  </si>
  <si>
    <t>CLM100186</t>
  </si>
  <si>
    <t>PT11933</t>
  </si>
  <si>
    <t>CLM100187</t>
  </si>
  <si>
    <t>PT11538</t>
  </si>
  <si>
    <t>CLM100188</t>
  </si>
  <si>
    <t>PT12981</t>
  </si>
  <si>
    <t>CLM100189</t>
  </si>
  <si>
    <t>PT12969</t>
  </si>
  <si>
    <t>CLM100190</t>
  </si>
  <si>
    <t>PT11002</t>
  </si>
  <si>
    <t>CLM100191</t>
  </si>
  <si>
    <t>PT11306</t>
  </si>
  <si>
    <t>CLM100192</t>
  </si>
  <si>
    <t>PT12564</t>
  </si>
  <si>
    <t>CLM100193</t>
  </si>
  <si>
    <t>PT10753</t>
  </si>
  <si>
    <t>CLM100194</t>
  </si>
  <si>
    <t>PT11706</t>
  </si>
  <si>
    <t>CLM100195</t>
  </si>
  <si>
    <t>PT10211</t>
  </si>
  <si>
    <t>CLM100196</t>
  </si>
  <si>
    <t>PT11963</t>
  </si>
  <si>
    <t>CLM100197</t>
  </si>
  <si>
    <t>PT11624</t>
  </si>
  <si>
    <t>CLM100198</t>
  </si>
  <si>
    <t>PT11908</t>
  </si>
  <si>
    <t>CLM100199</t>
  </si>
  <si>
    <t>CLM100200</t>
  </si>
  <si>
    <t>PT11054</t>
  </si>
  <si>
    <t>CLM100201</t>
  </si>
  <si>
    <t>CLM100202</t>
  </si>
  <si>
    <t>CLM100203</t>
  </si>
  <si>
    <t>PT10027</t>
  </si>
  <si>
    <t>CLM100204</t>
  </si>
  <si>
    <t>PT13302</t>
  </si>
  <si>
    <t>CLM100205</t>
  </si>
  <si>
    <t>PT11880</t>
  </si>
  <si>
    <t>CLM100206</t>
  </si>
  <si>
    <t>PT11544</t>
  </si>
  <si>
    <t>CLM100207</t>
  </si>
  <si>
    <t>PT10390</t>
  </si>
  <si>
    <t>CLM100209</t>
  </si>
  <si>
    <t>PT10315</t>
  </si>
  <si>
    <t>CLM100210</t>
  </si>
  <si>
    <t>PT12051</t>
  </si>
  <si>
    <t>CLM100211</t>
  </si>
  <si>
    <t>PT13168</t>
  </si>
  <si>
    <t>CLM100212</t>
  </si>
  <si>
    <t>CLM100213</t>
  </si>
  <si>
    <t>PT11297</t>
  </si>
  <si>
    <t>CLM100214</t>
  </si>
  <si>
    <t>PT10423</t>
  </si>
  <si>
    <t>CLM100215</t>
  </si>
  <si>
    <t>PT12342</t>
  </si>
  <si>
    <t>CLM100216</t>
  </si>
  <si>
    <t>PT11030</t>
  </si>
  <si>
    <t>CLM100217</t>
  </si>
  <si>
    <t>PT11556</t>
  </si>
  <si>
    <t>CLM100218</t>
  </si>
  <si>
    <t>PT11631</t>
  </si>
  <si>
    <t>CLM100219</t>
  </si>
  <si>
    <t>PT11495</t>
  </si>
  <si>
    <t>CLM100220</t>
  </si>
  <si>
    <t>PT13404</t>
  </si>
  <si>
    <t>CLM100221</t>
  </si>
  <si>
    <t>PT12449</t>
  </si>
  <si>
    <t>CLM100222</t>
  </si>
  <si>
    <t>PT10348</t>
  </si>
  <si>
    <t>CLM100223</t>
  </si>
  <si>
    <t>PT13082</t>
  </si>
  <si>
    <t>CLM100224</t>
  </si>
  <si>
    <t>PT11602</t>
  </si>
  <si>
    <t>CLM100225</t>
  </si>
  <si>
    <t>PT11426</t>
  </si>
  <si>
    <t>CLM100226</t>
  </si>
  <si>
    <t>PT10092</t>
  </si>
  <si>
    <t>CLM100227</t>
  </si>
  <si>
    <t>PT11892</t>
  </si>
  <si>
    <t>CLM100228</t>
  </si>
  <si>
    <t>PT12886</t>
  </si>
  <si>
    <t>CLM100229</t>
  </si>
  <si>
    <t>PT12445</t>
  </si>
  <si>
    <t>CLM100230</t>
  </si>
  <si>
    <t>PT12752</t>
  </si>
  <si>
    <t>CLM100231</t>
  </si>
  <si>
    <t>PT12354</t>
  </si>
  <si>
    <t>CLM100232</t>
  </si>
  <si>
    <t>PT13448</t>
  </si>
  <si>
    <t>CLM100233</t>
  </si>
  <si>
    <t>PT11675</t>
  </si>
  <si>
    <t>CLM100234</t>
  </si>
  <si>
    <t>PT10688</t>
  </si>
  <si>
    <t>CLM100235</t>
  </si>
  <si>
    <t>PT13112</t>
  </si>
  <si>
    <t>CLM100236</t>
  </si>
  <si>
    <t>CLM100237</t>
  </si>
  <si>
    <t>PT12499</t>
  </si>
  <si>
    <t>CLM100238</t>
  </si>
  <si>
    <t>PT11185</t>
  </si>
  <si>
    <t>CLM100239</t>
  </si>
  <si>
    <t>PT11022</t>
  </si>
  <si>
    <t>CLM100240</t>
  </si>
  <si>
    <t>PT13254</t>
  </si>
  <si>
    <t>CLM100241</t>
  </si>
  <si>
    <t>PT12993</t>
  </si>
  <si>
    <t>CLM100242</t>
  </si>
  <si>
    <t>PT11383</t>
  </si>
  <si>
    <t>CLM100243</t>
  </si>
  <si>
    <t>PT10066</t>
  </si>
  <si>
    <t>CLM100244</t>
  </si>
  <si>
    <t>PT11122</t>
  </si>
  <si>
    <t>CLM100245</t>
  </si>
  <si>
    <t>CLM100246</t>
  </si>
  <si>
    <t>PT11567</t>
  </si>
  <si>
    <t>CLM100247</t>
  </si>
  <si>
    <t>PT11438</t>
  </si>
  <si>
    <t>CLM100248</t>
  </si>
  <si>
    <t>PT11439</t>
  </si>
  <si>
    <t>CLM100249</t>
  </si>
  <si>
    <t>PT13190</t>
  </si>
  <si>
    <t>CLM100250</t>
  </si>
  <si>
    <t>PT10980</t>
  </si>
  <si>
    <t>CLM100251</t>
  </si>
  <si>
    <t>PT10540</t>
  </si>
  <si>
    <t>CLM100252</t>
  </si>
  <si>
    <t>PT10883</t>
  </si>
  <si>
    <t>CLM100253</t>
  </si>
  <si>
    <t>PT10337</t>
  </si>
  <si>
    <t>CLM100254</t>
  </si>
  <si>
    <t>PT11270</t>
  </si>
  <si>
    <t>CLM100255</t>
  </si>
  <si>
    <t>PT12493</t>
  </si>
  <si>
    <t>CLM100256</t>
  </si>
  <si>
    <t>PT10683</t>
  </si>
  <si>
    <t>CLM100257</t>
  </si>
  <si>
    <t>PT11077</t>
  </si>
  <si>
    <t>CLM100258</t>
  </si>
  <si>
    <t>PT12350</t>
  </si>
  <si>
    <t>CLM100259</t>
  </si>
  <si>
    <t>PT10614</t>
  </si>
  <si>
    <t>CLM100260</t>
  </si>
  <si>
    <t>PT10489</t>
  </si>
  <si>
    <t>CLM100261</t>
  </si>
  <si>
    <t>PT13460</t>
  </si>
  <si>
    <t>CLM100262</t>
  </si>
  <si>
    <t>PT13000</t>
  </si>
  <si>
    <t>CLM100263</t>
  </si>
  <si>
    <t>PT13108</t>
  </si>
  <si>
    <t>CLM100264</t>
  </si>
  <si>
    <t>PT10381</t>
  </si>
  <si>
    <t>CLM100265</t>
  </si>
  <si>
    <t>PT12070</t>
  </si>
  <si>
    <t>CLM100266</t>
  </si>
  <si>
    <t>PT12870</t>
  </si>
  <si>
    <t>CLM100267</t>
  </si>
  <si>
    <t>PT11841</t>
  </si>
  <si>
    <t>CLM100268</t>
  </si>
  <si>
    <t>PT13384</t>
  </si>
  <si>
    <t>CLM100269</t>
  </si>
  <si>
    <t>PT12773</t>
  </si>
  <si>
    <t>CLM100270</t>
  </si>
  <si>
    <t>PT13251</t>
  </si>
  <si>
    <t>CLM100271</t>
  </si>
  <si>
    <t>PT12385</t>
  </si>
  <si>
    <t>CLM100272</t>
  </si>
  <si>
    <t>PT10174</t>
  </si>
  <si>
    <t>CLM100274</t>
  </si>
  <si>
    <t>PT12651</t>
  </si>
  <si>
    <t>CLM100275</t>
  </si>
  <si>
    <t>PT13285</t>
  </si>
  <si>
    <t>CLM100276</t>
  </si>
  <si>
    <t>PT10120</t>
  </si>
  <si>
    <t>CLM100277</t>
  </si>
  <si>
    <t>PT13129</t>
  </si>
  <si>
    <t>CLM100278</t>
  </si>
  <si>
    <t>PT12423</t>
  </si>
  <si>
    <t>CLM100279</t>
  </si>
  <si>
    <t>PT10719</t>
  </si>
  <si>
    <t>CLM100280</t>
  </si>
  <si>
    <t>PT10534</t>
  </si>
  <si>
    <t>CLM100281</t>
  </si>
  <si>
    <t>PT12400</t>
  </si>
  <si>
    <t>CLM100282</t>
  </si>
  <si>
    <t>PT10713</t>
  </si>
  <si>
    <t>CLM100283</t>
  </si>
  <si>
    <t>PT10727</t>
  </si>
  <si>
    <t>CLM100284</t>
  </si>
  <si>
    <t>CLM100285</t>
  </si>
  <si>
    <t>PT11829</t>
  </si>
  <si>
    <t>CLM100286</t>
  </si>
  <si>
    <t>CLM100287</t>
  </si>
  <si>
    <t>PT10666</t>
  </si>
  <si>
    <t>CLM100288</t>
  </si>
  <si>
    <t>PT12998</t>
  </si>
  <si>
    <t>CLM100289</t>
  </si>
  <si>
    <t>PT10414</t>
  </si>
  <si>
    <t>CLM100290</t>
  </si>
  <si>
    <t>PT10392</t>
  </si>
  <si>
    <t>CLM100291</t>
  </si>
  <si>
    <t>PT10397</t>
  </si>
  <si>
    <t>CLM100292</t>
  </si>
  <si>
    <t>PT10373</t>
  </si>
  <si>
    <t>CLM100293</t>
  </si>
  <si>
    <t>PT10619</t>
  </si>
  <si>
    <t>CLM100294</t>
  </si>
  <si>
    <t>PT12267</t>
  </si>
  <si>
    <t>CLM100295</t>
  </si>
  <si>
    <t>PT13497</t>
  </si>
  <si>
    <t>CLM100296</t>
  </si>
  <si>
    <t>PT10708</t>
  </si>
  <si>
    <t>CLM100297</t>
  </si>
  <si>
    <t>CLM100298</t>
  </si>
  <si>
    <t>PT10460</t>
  </si>
  <si>
    <t>CLM100299</t>
  </si>
  <si>
    <t>PT11683</t>
  </si>
  <si>
    <t>CLM100300</t>
  </si>
  <si>
    <t>PT10158</t>
  </si>
  <si>
    <t>CLM100301</t>
  </si>
  <si>
    <t>PT13452</t>
  </si>
  <si>
    <t>CLM100302</t>
  </si>
  <si>
    <t>PT11103</t>
  </si>
  <si>
    <t>CLM100303</t>
  </si>
  <si>
    <t>PT12110</t>
  </si>
  <si>
    <t>CLM100304</t>
  </si>
  <si>
    <t>PT13411</t>
  </si>
  <si>
    <t>CLM100305</t>
  </si>
  <si>
    <t>PT12790</t>
  </si>
  <si>
    <t>CLM100306</t>
  </si>
  <si>
    <t>PT13431</t>
  </si>
  <si>
    <t>CLM100307</t>
  </si>
  <si>
    <t>PT11102</t>
  </si>
  <si>
    <t>CLM100308</t>
  </si>
  <si>
    <t>PT10034</t>
  </si>
  <si>
    <t>CLM100309</t>
  </si>
  <si>
    <t>PT11911</t>
  </si>
  <si>
    <t>CLM100310</t>
  </si>
  <si>
    <t>PT12299</t>
  </si>
  <si>
    <t>CLM100311</t>
  </si>
  <si>
    <t>PT12912</t>
  </si>
  <si>
    <t>CLM100312</t>
  </si>
  <si>
    <t>PT10573</t>
  </si>
  <si>
    <t>CLM100313</t>
  </si>
  <si>
    <t>PT11405</t>
  </si>
  <si>
    <t>CLM100314</t>
  </si>
  <si>
    <t>PT11203</t>
  </si>
  <si>
    <t>CLM100315</t>
  </si>
  <si>
    <t>PT11722</t>
  </si>
  <si>
    <t>CLM100316</t>
  </si>
  <si>
    <t>PT11934</t>
  </si>
  <si>
    <t>CLM100318</t>
  </si>
  <si>
    <t>PT12584</t>
  </si>
  <si>
    <t>CLM100319</t>
  </si>
  <si>
    <t>PT10530</t>
  </si>
  <si>
    <t>CLM100320</t>
  </si>
  <si>
    <t>PT10073</t>
  </si>
  <si>
    <t>CLM100321</t>
  </si>
  <si>
    <t>PT10684</t>
  </si>
  <si>
    <t>CLM100322</t>
  </si>
  <si>
    <t>PT13325</t>
  </si>
  <si>
    <t>CLM100323</t>
  </si>
  <si>
    <t>PT11536</t>
  </si>
  <si>
    <t>CLM100324</t>
  </si>
  <si>
    <t>PT10506</t>
  </si>
  <si>
    <t>CLM100325</t>
  </si>
  <si>
    <t>PT12550</t>
  </si>
  <si>
    <t>CLM100326</t>
  </si>
  <si>
    <t>CLM100327</t>
  </si>
  <si>
    <t>PT11354</t>
  </si>
  <si>
    <t>CLM100328</t>
  </si>
  <si>
    <t>PT11048</t>
  </si>
  <si>
    <t>CLM100329</t>
  </si>
  <si>
    <t>PT11280</t>
  </si>
  <si>
    <t>CLM100330</t>
  </si>
  <si>
    <t>PT10749</t>
  </si>
  <si>
    <t>CLM100331</t>
  </si>
  <si>
    <t>PT13264</t>
  </si>
  <si>
    <t>CLM100332</t>
  </si>
  <si>
    <t>PT12503</t>
  </si>
  <si>
    <t>CLM100334</t>
  </si>
  <si>
    <t>PT12126</t>
  </si>
  <si>
    <t>CLM100335</t>
  </si>
  <si>
    <t>PT10047</t>
  </si>
  <si>
    <t>CLM100336</t>
  </si>
  <si>
    <t>PT10206</t>
  </si>
  <si>
    <t>CLM100337</t>
  </si>
  <si>
    <t>PT13052</t>
  </si>
  <si>
    <t>CLM100338</t>
  </si>
  <si>
    <t>PT12681</t>
  </si>
  <si>
    <t>CLM100339</t>
  </si>
  <si>
    <t>PT12932</t>
  </si>
  <si>
    <t>CLM100340</t>
  </si>
  <si>
    <t>PT12875</t>
  </si>
  <si>
    <t>CLM100341</t>
  </si>
  <si>
    <t>PT12935</t>
  </si>
  <si>
    <t>CLM100342</t>
  </si>
  <si>
    <t>CLM100343</t>
  </si>
  <si>
    <t>PT11318</t>
  </si>
  <si>
    <t>CLM100344</t>
  </si>
  <si>
    <t>PT13453</t>
  </si>
  <si>
    <t>CLM100345</t>
  </si>
  <si>
    <t>PT12063</t>
  </si>
  <si>
    <t>CLM100346</t>
  </si>
  <si>
    <t>PT13470</t>
  </si>
  <si>
    <t>CLM100347</t>
  </si>
  <si>
    <t>PT10599</t>
  </si>
  <si>
    <t>CLM100348</t>
  </si>
  <si>
    <t>PT10918</t>
  </si>
  <si>
    <t>CLM100349</t>
  </si>
  <si>
    <t>CLM100350</t>
  </si>
  <si>
    <t>PT13092</t>
  </si>
  <si>
    <t>CLM100351</t>
  </si>
  <si>
    <t>PT10166</t>
  </si>
  <si>
    <t>CLM100352</t>
  </si>
  <si>
    <t>PT10629</t>
  </si>
  <si>
    <t>CLM100353</t>
  </si>
  <si>
    <t>CLM100354</t>
  </si>
  <si>
    <t>PT11477</t>
  </si>
  <si>
    <t>CLM100355</t>
  </si>
  <si>
    <t>PT10163</t>
  </si>
  <si>
    <t>CLM100356</t>
  </si>
  <si>
    <t>PT12106</t>
  </si>
  <si>
    <t>CLM100357</t>
  </si>
  <si>
    <t>CLM100358</t>
  </si>
  <si>
    <t>PT12648</t>
  </si>
  <si>
    <t>CLM100359</t>
  </si>
  <si>
    <t>PT11059</t>
  </si>
  <si>
    <t>CLM100360</t>
  </si>
  <si>
    <t>PT13096</t>
  </si>
  <si>
    <t>CLM100361</t>
  </si>
  <si>
    <t>PT11562</t>
  </si>
  <si>
    <t>CLM100362</t>
  </si>
  <si>
    <t>PT12597</t>
  </si>
  <si>
    <t>CLM100363</t>
  </si>
  <si>
    <t>PT12443</t>
  </si>
  <si>
    <t>CLM100364</t>
  </si>
  <si>
    <t>PT10904</t>
  </si>
  <si>
    <t>CLM100365</t>
  </si>
  <si>
    <t>PT10299</t>
  </si>
  <si>
    <t>CLM100366</t>
  </si>
  <si>
    <t>PT11301</t>
  </si>
  <si>
    <t>CLM100367</t>
  </si>
  <si>
    <t>PT11008</t>
  </si>
  <si>
    <t>CLM100368</t>
  </si>
  <si>
    <t>PT11895</t>
  </si>
  <si>
    <t>CLM100369</t>
  </si>
  <si>
    <t>PT13004</t>
  </si>
  <si>
    <t>CLM100370</t>
  </si>
  <si>
    <t>PT12259</t>
  </si>
  <si>
    <t>CLM100371</t>
  </si>
  <si>
    <t>PT11625</t>
  </si>
  <si>
    <t>CLM100372</t>
  </si>
  <si>
    <t>PT13014</t>
  </si>
  <si>
    <t>CLM100373</t>
  </si>
  <si>
    <t>PT11923</t>
  </si>
  <si>
    <t>CLM100374</t>
  </si>
  <si>
    <t>PT12370</t>
  </si>
  <si>
    <t>CLM100375</t>
  </si>
  <si>
    <t>PT11445</t>
  </si>
  <si>
    <t>CLM100376</t>
  </si>
  <si>
    <t>CLM100377</t>
  </si>
  <si>
    <t>CLM100378</t>
  </si>
  <si>
    <t>PT11057</t>
  </si>
  <si>
    <t>CLM100379</t>
  </si>
  <si>
    <t>PT10887</t>
  </si>
  <si>
    <t>CLM100380</t>
  </si>
  <si>
    <t>PT12552</t>
  </si>
  <si>
    <t>CLM100381</t>
  </si>
  <si>
    <t>PT13385</t>
  </si>
  <si>
    <t>CLM100382</t>
  </si>
  <si>
    <t>PT11975</t>
  </si>
  <si>
    <t>CLM100383</t>
  </si>
  <si>
    <t>PT10939</t>
  </si>
  <si>
    <t>CLM100384</t>
  </si>
  <si>
    <t>PT11042</t>
  </si>
  <si>
    <t>CLM100385</t>
  </si>
  <si>
    <t>PT12128</t>
  </si>
  <si>
    <t>CLM100386</t>
  </si>
  <si>
    <t>PT12195</t>
  </si>
  <si>
    <t>CLM100387</t>
  </si>
  <si>
    <t>PT11981</t>
  </si>
  <si>
    <t>CLM100388</t>
  </si>
  <si>
    <t>PT10941</t>
  </si>
  <si>
    <t>CLM100389</t>
  </si>
  <si>
    <t>CLM100390</t>
  </si>
  <si>
    <t>PT12967</t>
  </si>
  <si>
    <t>CLM100391</t>
  </si>
  <si>
    <t>PT13483</t>
  </si>
  <si>
    <t>CLM100392</t>
  </si>
  <si>
    <t>PT10644</t>
  </si>
  <si>
    <t>CLM100393</t>
  </si>
  <si>
    <t>PT11425</t>
  </si>
  <si>
    <t>CLM100394</t>
  </si>
  <si>
    <t>PT12102</t>
  </si>
  <si>
    <t>CLM100395</t>
  </si>
  <si>
    <t>PT12403</t>
  </si>
  <si>
    <t>CLM100396</t>
  </si>
  <si>
    <t>PT12115</t>
  </si>
  <si>
    <t>CLM100397</t>
  </si>
  <si>
    <t>PT12349</t>
  </si>
  <si>
    <t>CLM100398</t>
  </si>
  <si>
    <t>PT10938</t>
  </si>
  <si>
    <t>CLM100399</t>
  </si>
  <si>
    <t>PT13473</t>
  </si>
  <si>
    <t>CLM100400</t>
  </si>
  <si>
    <t>PT11629</t>
  </si>
  <si>
    <t>CLM100401</t>
  </si>
  <si>
    <t>PT11872</t>
  </si>
  <si>
    <t>CLM100402</t>
  </si>
  <si>
    <t>PT10766</t>
  </si>
  <si>
    <t>CLM100403</t>
  </si>
  <si>
    <t>PT11145</t>
  </si>
  <si>
    <t>CLM100404</t>
  </si>
  <si>
    <t>PT10965</t>
  </si>
  <si>
    <t>CLM100405</t>
  </si>
  <si>
    <t>PT13216</t>
  </si>
  <si>
    <t>CLM100406</t>
  </si>
  <si>
    <t>PT11951</t>
  </si>
  <si>
    <t>CLM100407</t>
  </si>
  <si>
    <t>PT12362</t>
  </si>
  <si>
    <t>CLM100408</t>
  </si>
  <si>
    <t>PT10321</t>
  </si>
  <si>
    <t>CLM100409</t>
  </si>
  <si>
    <t>PT10324</t>
  </si>
  <si>
    <t>CLM100410</t>
  </si>
  <si>
    <t>PT13198</t>
  </si>
  <si>
    <t>CLM100412</t>
  </si>
  <si>
    <t>PT12146</t>
  </si>
  <si>
    <t>CLM100413</t>
  </si>
  <si>
    <t>PT11815</t>
  </si>
  <si>
    <t>CLM100414</t>
  </si>
  <si>
    <t>PT12246</t>
  </si>
  <si>
    <t>CLM100415</t>
  </si>
  <si>
    <t>PT11422</t>
  </si>
  <si>
    <t>CLM100416</t>
  </si>
  <si>
    <t>PT11174</t>
  </si>
  <si>
    <t>CLM100417</t>
  </si>
  <si>
    <t>PT11616</t>
  </si>
  <si>
    <t>CLM100418</t>
  </si>
  <si>
    <t>PT12842</t>
  </si>
  <si>
    <t>CLM100419</t>
  </si>
  <si>
    <t>PT12530</t>
  </si>
  <si>
    <t>CLM100420</t>
  </si>
  <si>
    <t>PT10033</t>
  </si>
  <si>
    <t>CLM100421</t>
  </si>
  <si>
    <t>PT10229</t>
  </si>
  <si>
    <t>CLM100422</t>
  </si>
  <si>
    <t>PT11576</t>
  </si>
  <si>
    <t>CLM100423</t>
  </si>
  <si>
    <t>PT11593</t>
  </si>
  <si>
    <t>CLM100424</t>
  </si>
  <si>
    <t>PT12730</t>
  </si>
  <si>
    <t>CLM100425</t>
  </si>
  <si>
    <t>PT11946</t>
  </si>
  <si>
    <t>CLM100426</t>
  </si>
  <si>
    <t>PT12640</t>
  </si>
  <si>
    <t>CLM100427</t>
  </si>
  <si>
    <t>PT13299</t>
  </si>
  <si>
    <t>CLM100428</t>
  </si>
  <si>
    <t>PT12321</t>
  </si>
  <si>
    <t>CLM100429</t>
  </si>
  <si>
    <t>PT12175</t>
  </si>
  <si>
    <t>CLM100430</t>
  </si>
  <si>
    <t>PT13178</t>
  </si>
  <si>
    <t>CLM100431</t>
  </si>
  <si>
    <t>PT10631</t>
  </si>
  <si>
    <t>CLM100432</t>
  </si>
  <si>
    <t>PT11988</t>
  </si>
  <si>
    <t>CLM100433</t>
  </si>
  <si>
    <t>PT10053</t>
  </si>
  <si>
    <t>CLM100434</t>
  </si>
  <si>
    <t>PT12166</t>
  </si>
  <si>
    <t>CLM100435</t>
  </si>
  <si>
    <t>PT10776</t>
  </si>
  <si>
    <t>CLM100436</t>
  </si>
  <si>
    <t>PT12252</t>
  </si>
  <si>
    <t>CLM100437</t>
  </si>
  <si>
    <t>CLM100438</t>
  </si>
  <si>
    <t>PT11832</t>
  </si>
  <si>
    <t>CLM100439</t>
  </si>
  <si>
    <t>PT11289</t>
  </si>
  <si>
    <t>CLM100440</t>
  </si>
  <si>
    <t>PT12336</t>
  </si>
  <si>
    <t>CLM100441</t>
  </si>
  <si>
    <t>PT12438</t>
  </si>
  <si>
    <t>CLM100442</t>
  </si>
  <si>
    <t>PT13155</t>
  </si>
  <si>
    <t>CLM100443</t>
  </si>
  <si>
    <t>PT12313</t>
  </si>
  <si>
    <t>CLM100444</t>
  </si>
  <si>
    <t>PT11075</t>
  </si>
  <si>
    <t>CLM100445</t>
  </si>
  <si>
    <t>PT10992</t>
  </si>
  <si>
    <t>CLM100446</t>
  </si>
  <si>
    <t>PT12432</t>
  </si>
  <si>
    <t>CLM100447</t>
  </si>
  <si>
    <t>PT13351</t>
  </si>
  <si>
    <t>CLM100448</t>
  </si>
  <si>
    <t>PT11406</t>
  </si>
  <si>
    <t>CLM100449</t>
  </si>
  <si>
    <t>PT12247</t>
  </si>
  <si>
    <t>CLM100450</t>
  </si>
  <si>
    <t>PT12715</t>
  </si>
  <si>
    <t>CLM100451</t>
  </si>
  <si>
    <t>PT11292</t>
  </si>
  <si>
    <t>CLM100452</t>
  </si>
  <si>
    <t>PT11611</t>
  </si>
  <si>
    <t>CLM100453</t>
  </si>
  <si>
    <t>PT12563</t>
  </si>
  <si>
    <t>CLM100454</t>
  </si>
  <si>
    <t>PT12132</t>
  </si>
  <si>
    <t>CLM100455</t>
  </si>
  <si>
    <t>PT12220</t>
  </si>
  <si>
    <t>CLM100456</t>
  </si>
  <si>
    <t>PT13154</t>
  </si>
  <si>
    <t>CLM100457</t>
  </si>
  <si>
    <t>PT12978</t>
  </si>
  <si>
    <t>CLM100458</t>
  </si>
  <si>
    <t>PT13191</t>
  </si>
  <si>
    <t>CLM100459</t>
  </si>
  <si>
    <t>PT12815</t>
  </si>
  <si>
    <t>CLM100460</t>
  </si>
  <si>
    <t>CLM100461</t>
  </si>
  <si>
    <t>PT13103</t>
  </si>
  <si>
    <t>CLM100462</t>
  </si>
  <si>
    <t>PT12490</t>
  </si>
  <si>
    <t>CLM100463</t>
  </si>
  <si>
    <t>CLM100464</t>
  </si>
  <si>
    <t>CLM100465</t>
  </si>
  <si>
    <t>PT11898</t>
  </si>
  <si>
    <t>CLM100466</t>
  </si>
  <si>
    <t>PT12417</t>
  </si>
  <si>
    <t>CLM100467</t>
  </si>
  <si>
    <t>PT12892</t>
  </si>
  <si>
    <t>CLM100468</t>
  </si>
  <si>
    <t>PT10664</t>
  </si>
  <si>
    <t>CLM100469</t>
  </si>
  <si>
    <t>PT10830</t>
  </si>
  <si>
    <t>CLM100470</t>
  </si>
  <si>
    <t>PT11858</t>
  </si>
  <si>
    <t>CLM100471</t>
  </si>
  <si>
    <t>PT10200</t>
  </si>
  <si>
    <t>CLM100472</t>
  </si>
  <si>
    <t>PT11707</t>
  </si>
  <si>
    <t>CLM100473</t>
  </si>
  <si>
    <t>PT10146</t>
  </si>
  <si>
    <t>CLM100474</t>
  </si>
  <si>
    <t>PT11348</t>
  </si>
  <si>
    <t>CLM100475</t>
  </si>
  <si>
    <t>PT10359</t>
  </si>
  <si>
    <t>CLM100476</t>
  </si>
  <si>
    <t>PT12017</t>
  </si>
  <si>
    <t>CLM100477</t>
  </si>
  <si>
    <t>PT10849</t>
  </si>
  <si>
    <t>CLM100478</t>
  </si>
  <si>
    <t>PT11260</t>
  </si>
  <si>
    <t>CLM100479</t>
  </si>
  <si>
    <t>PT13408</t>
  </si>
  <si>
    <t>CLM100480</t>
  </si>
  <si>
    <t>PT11372</t>
  </si>
  <si>
    <t>CLM100481</t>
  </si>
  <si>
    <t>PT13274</t>
  </si>
  <si>
    <t>CLM100482</t>
  </si>
  <si>
    <t>PT13204</t>
  </si>
  <si>
    <t>CLM100484</t>
  </si>
  <si>
    <t>PT10379</t>
  </si>
  <si>
    <t>CLM100485</t>
  </si>
  <si>
    <t>PT10840</t>
  </si>
  <si>
    <t>CLM100486</t>
  </si>
  <si>
    <t>PT11365</t>
  </si>
  <si>
    <t>CLM100487</t>
  </si>
  <si>
    <t>PT10611</t>
  </si>
  <si>
    <t>CLM100488</t>
  </si>
  <si>
    <t>PT10579</t>
  </si>
  <si>
    <t>CLM100489</t>
  </si>
  <si>
    <t>PT10352</t>
  </si>
  <si>
    <t>CLM100490</t>
  </si>
  <si>
    <t>PT13095</t>
  </si>
  <si>
    <t>CLM100491</t>
  </si>
  <si>
    <t>PT10916</t>
  </si>
  <si>
    <t>CLM100492</t>
  </si>
  <si>
    <t>PT11856</t>
  </si>
  <si>
    <t>CLM100493</t>
  </si>
  <si>
    <t>PT13348</t>
  </si>
  <si>
    <t>CLM100494</t>
  </si>
  <si>
    <t>PT12244</t>
  </si>
  <si>
    <t>CLM100495</t>
  </si>
  <si>
    <t>CLM100497</t>
  </si>
  <si>
    <t>PT11341</t>
  </si>
  <si>
    <t>CLM100498</t>
  </si>
  <si>
    <t>PT11597</t>
  </si>
  <si>
    <t>CLM100499</t>
  </si>
  <si>
    <t>PT11780</t>
  </si>
  <si>
    <t>CLM100500</t>
  </si>
  <si>
    <t>PT10003</t>
  </si>
  <si>
    <t>CLM100501</t>
  </si>
  <si>
    <t>PT12915</t>
  </si>
  <si>
    <t>CLM100502</t>
  </si>
  <si>
    <t>CLM100503</t>
  </si>
  <si>
    <t>CLM100504</t>
  </si>
  <si>
    <t>CLM100505</t>
  </si>
  <si>
    <t>PT12990</t>
  </si>
  <si>
    <t>CLM100506</t>
  </si>
  <si>
    <t>PT12511</t>
  </si>
  <si>
    <t>CLM100507</t>
  </si>
  <si>
    <t>CLM100508</t>
  </si>
  <si>
    <t>PT12688</t>
  </si>
  <si>
    <t>CLM100509</t>
  </si>
  <si>
    <t>PT11127</t>
  </si>
  <si>
    <t>CLM100510</t>
  </si>
  <si>
    <t>PT10740</t>
  </si>
  <si>
    <t>CLM100511</t>
  </si>
  <si>
    <t>CLM100512</t>
  </si>
  <si>
    <t>PT11900</t>
  </si>
  <si>
    <t>CLM100513</t>
  </si>
  <si>
    <t>PT10048</t>
  </si>
  <si>
    <t>CLM100514</t>
  </si>
  <si>
    <t>PT13458</t>
  </si>
  <si>
    <t>CLM100515</t>
  </si>
  <si>
    <t>CLM100516</t>
  </si>
  <si>
    <t>CLM100517</t>
  </si>
  <si>
    <t>PT12455</t>
  </si>
  <si>
    <t>CLM100518</t>
  </si>
  <si>
    <t>PT11037</t>
  </si>
  <si>
    <t>CLM100519</t>
  </si>
  <si>
    <t>PT12734</t>
  </si>
  <si>
    <t>CLM100520</t>
  </si>
  <si>
    <t>PT11804</t>
  </si>
  <si>
    <t>CLM100521</t>
  </si>
  <si>
    <t>PT11808</t>
  </si>
  <si>
    <t>CLM100522</t>
  </si>
  <si>
    <t>PT11091</t>
  </si>
  <si>
    <t>CLM100523</t>
  </si>
  <si>
    <t>PT13457</t>
  </si>
  <si>
    <t>CLM100524</t>
  </si>
  <si>
    <t>PT11640</t>
  </si>
  <si>
    <t>CLM100525</t>
  </si>
  <si>
    <t>CLM100526</t>
  </si>
  <si>
    <t>PT13011</t>
  </si>
  <si>
    <t>CLM100527</t>
  </si>
  <si>
    <t>PT12187</t>
  </si>
  <si>
    <t>CLM100528</t>
  </si>
  <si>
    <t>PT12777</t>
  </si>
  <si>
    <t>CLM100529</t>
  </si>
  <si>
    <t>PT10994</t>
  </si>
  <si>
    <t>CLM100530</t>
  </si>
  <si>
    <t>PT10467</t>
  </si>
  <si>
    <t>CLM100531</t>
  </si>
  <si>
    <t>PT10494</t>
  </si>
  <si>
    <t>CLM100532</t>
  </si>
  <si>
    <t>CLM100533</t>
  </si>
  <si>
    <t>PT13185</t>
  </si>
  <si>
    <t>CLM100534</t>
  </si>
  <si>
    <t>PT11687</t>
  </si>
  <si>
    <t>CLM100535</t>
  </si>
  <si>
    <t>PT11424</t>
  </si>
  <si>
    <t>CLM100536</t>
  </si>
  <si>
    <t>PT11132</t>
  </si>
  <si>
    <t>CLM100537</t>
  </si>
  <si>
    <t>PT10176</t>
  </si>
  <si>
    <t>CLM100538</t>
  </si>
  <si>
    <t>PT10647</t>
  </si>
  <si>
    <t>CLM100539</t>
  </si>
  <si>
    <t>PT13060</t>
  </si>
  <si>
    <t>CLM100540</t>
  </si>
  <si>
    <t>PT12396</t>
  </si>
  <si>
    <t>CLM100541</t>
  </si>
  <si>
    <t>PT11104</t>
  </si>
  <si>
    <t>CLM100542</t>
  </si>
  <si>
    <t>CLM100543</t>
  </si>
  <si>
    <t>PT12137</t>
  </si>
  <si>
    <t>CLM100544</t>
  </si>
  <si>
    <t>CLM100545</t>
  </si>
  <si>
    <t>PT12853</t>
  </si>
  <si>
    <t>CLM100546</t>
  </si>
  <si>
    <t>PT11965</t>
  </si>
  <si>
    <t>CLM100547</t>
  </si>
  <si>
    <t>PT11517</t>
  </si>
  <si>
    <t>CLM100548</t>
  </si>
  <si>
    <t>PT13226</t>
  </si>
  <si>
    <t>CLM100549</t>
  </si>
  <si>
    <t>PT11497</t>
  </si>
  <si>
    <t>CLM100550</t>
  </si>
  <si>
    <t>PT12658</t>
  </si>
  <si>
    <t>CLM100551</t>
  </si>
  <si>
    <t>PT10259</t>
  </si>
  <si>
    <t>CLM100552</t>
  </si>
  <si>
    <t>PT13276</t>
  </si>
  <si>
    <t>CLM100553</t>
  </si>
  <si>
    <t>CLM100554</t>
  </si>
  <si>
    <t>PT11194</t>
  </si>
  <si>
    <t>CLM100555</t>
  </si>
  <si>
    <t>PT13222</t>
  </si>
  <si>
    <t>CLM100556</t>
  </si>
  <si>
    <t>PT12533</t>
  </si>
  <si>
    <t>CLM100557</t>
  </si>
  <si>
    <t>PT10478</t>
  </si>
  <si>
    <t>CLM100558</t>
  </si>
  <si>
    <t>PT11836</t>
  </si>
  <si>
    <t>CLM100559</t>
  </si>
  <si>
    <t>PT11311</t>
  </si>
  <si>
    <t>CLM100560</t>
  </si>
  <si>
    <t>PT13275</t>
  </si>
  <si>
    <t>CLM100561</t>
  </si>
  <si>
    <t>PT11645</t>
  </si>
  <si>
    <t>CLM100562</t>
  </si>
  <si>
    <t>PT12205</t>
  </si>
  <si>
    <t>CLM100563</t>
  </si>
  <si>
    <t>PT12731</t>
  </si>
  <si>
    <t>CLM100564</t>
  </si>
  <si>
    <t>CLM100565</t>
  </si>
  <si>
    <t>PT12984</t>
  </si>
  <si>
    <t>CLM100566</t>
  </si>
  <si>
    <t>PT10362</t>
  </si>
  <si>
    <t>CLM100567</t>
  </si>
  <si>
    <t>PT10761</t>
  </si>
  <si>
    <t>CLM100568</t>
  </si>
  <si>
    <t>PT10508</t>
  </si>
  <si>
    <t>CLM100569</t>
  </si>
  <si>
    <t>PT10273</t>
  </si>
  <si>
    <t>CLM100570</t>
  </si>
  <si>
    <t>PT10667</t>
  </si>
  <si>
    <t>CLM100571</t>
  </si>
  <si>
    <t>PT11458</t>
  </si>
  <si>
    <t>CLM100572</t>
  </si>
  <si>
    <t>PT13386</t>
  </si>
  <si>
    <t>CLM100573</t>
  </si>
  <si>
    <t>PT11152</t>
  </si>
  <si>
    <t>CLM100574</t>
  </si>
  <si>
    <t>PT11709</t>
  </si>
  <si>
    <t>CLM100575</t>
  </si>
  <si>
    <t>PT12447</t>
  </si>
  <si>
    <t>CLM100576</t>
  </si>
  <si>
    <t>PT10859</t>
  </si>
  <si>
    <t>CLM100577</t>
  </si>
  <si>
    <t>PT10134</t>
  </si>
  <si>
    <t>CLM100578</t>
  </si>
  <si>
    <t>PT10841</t>
  </si>
  <si>
    <t>CLM100579</t>
  </si>
  <si>
    <t>PT10657</t>
  </si>
  <si>
    <t>CLM100580</t>
  </si>
  <si>
    <t>PT12200</t>
  </si>
  <si>
    <t>CLM100581</t>
  </si>
  <si>
    <t>CLM100582</t>
  </si>
  <si>
    <t>PT10336</t>
  </si>
  <si>
    <t>CLM100583</t>
  </si>
  <si>
    <t>PT11190</t>
  </si>
  <si>
    <t>CLM100584</t>
  </si>
  <si>
    <t>CLM100585</t>
  </si>
  <si>
    <t>PT10815</t>
  </si>
  <si>
    <t>CLM100586</t>
  </si>
  <si>
    <t>PT13097</t>
  </si>
  <si>
    <t>CLM100587</t>
  </si>
  <si>
    <t>PT10603</t>
  </si>
  <si>
    <t>CLM100588</t>
  </si>
  <si>
    <t>PT10733</t>
  </si>
  <si>
    <t>CLM100589</t>
  </si>
  <si>
    <t>PT12221</t>
  </si>
  <si>
    <t>CLM100590</t>
  </si>
  <si>
    <t>PT10147</t>
  </si>
  <si>
    <t>CLM100591</t>
  </si>
  <si>
    <t>PT11996</t>
  </si>
  <si>
    <t>CLM100592</t>
  </si>
  <si>
    <t>PT11078</t>
  </si>
  <si>
    <t>CLM100593</t>
  </si>
  <si>
    <t>PT11500</t>
  </si>
  <si>
    <t>CLM100594</t>
  </si>
  <si>
    <t>PT10468</t>
  </si>
  <si>
    <t>CLM100595</t>
  </si>
  <si>
    <t>PT10083</t>
  </si>
  <si>
    <t>CLM100596</t>
  </si>
  <si>
    <t>PT12034</t>
  </si>
  <si>
    <t>CLM100597</t>
  </si>
  <si>
    <t>PT13442</t>
  </si>
  <si>
    <t>CLM100598</t>
  </si>
  <si>
    <t>PT11119</t>
  </si>
  <si>
    <t>CLM100599</t>
  </si>
  <si>
    <t>PT11773</t>
  </si>
  <si>
    <t>CLM100600</t>
  </si>
  <si>
    <t>CLM100601</t>
  </si>
  <si>
    <t>PT12139</t>
  </si>
  <si>
    <t>CLM100602</t>
  </si>
  <si>
    <t>PT13465</t>
  </si>
  <si>
    <t>CLM100603</t>
  </si>
  <si>
    <t>PT11005</t>
  </si>
  <si>
    <t>CLM100604</t>
  </si>
  <si>
    <t>PT12697</t>
  </si>
  <si>
    <t>CLM100605</t>
  </si>
  <si>
    <t>PT11220</t>
  </si>
  <si>
    <t>CLM100606</t>
  </si>
  <si>
    <t>CLM100607</t>
  </si>
  <si>
    <t>PT13300</t>
  </si>
  <si>
    <t>CLM100608</t>
  </si>
  <si>
    <t>PT12865</t>
  </si>
  <si>
    <t>CLM100609</t>
  </si>
  <si>
    <t>PT13364</t>
  </si>
  <si>
    <t>CLM100610</t>
  </si>
  <si>
    <t>PT12750</t>
  </si>
  <si>
    <t>CLM100611</t>
  </si>
  <si>
    <t>PT10968</t>
  </si>
  <si>
    <t>CLM100612</t>
  </si>
  <si>
    <t>PT13326</t>
  </si>
  <si>
    <t>CLM100613</t>
  </si>
  <si>
    <t>PT13445</t>
  </si>
  <si>
    <t>CLM100614</t>
  </si>
  <si>
    <t>CLM100615</t>
  </si>
  <si>
    <t>PT12358</t>
  </si>
  <si>
    <t>CLM100616</t>
  </si>
  <si>
    <t>CLM100617</t>
  </si>
  <si>
    <t>PT13418</t>
  </si>
  <si>
    <t>CLM100618</t>
  </si>
  <si>
    <t>PT12531</t>
  </si>
  <si>
    <t>CLM100619</t>
  </si>
  <si>
    <t>CLM100620</t>
  </si>
  <si>
    <t>PT12457</t>
  </si>
  <si>
    <t>CLM100621</t>
  </si>
  <si>
    <t>PT11072</t>
  </si>
  <si>
    <t>CLM100622</t>
  </si>
  <si>
    <t>PT10869</t>
  </si>
  <si>
    <t>CLM100623</t>
  </si>
  <si>
    <t>PT12483</t>
  </si>
  <si>
    <t>CLM100624</t>
  </si>
  <si>
    <t>PT12377</t>
  </si>
  <si>
    <t>CLM100625</t>
  </si>
  <si>
    <t>PT11066</t>
  </si>
  <si>
    <t>CLM100626</t>
  </si>
  <si>
    <t>PT12510</t>
  </si>
  <si>
    <t>CLM100627</t>
  </si>
  <si>
    <t>PT13269</t>
  </si>
  <si>
    <t>CLM100628</t>
  </si>
  <si>
    <t>PT12297</t>
  </si>
  <si>
    <t>CLM100629</t>
  </si>
  <si>
    <t>PT13071</t>
  </si>
  <si>
    <t>CLM100630</t>
  </si>
  <si>
    <t>CLM100631</t>
  </si>
  <si>
    <t>PT13428</t>
  </si>
  <si>
    <t>CLM100633</t>
  </si>
  <si>
    <t>PT10865</t>
  </si>
  <si>
    <t>CLM100634</t>
  </si>
  <si>
    <t>PT13157</t>
  </si>
  <si>
    <t>CLM100635</t>
  </si>
  <si>
    <t>CLM100636</t>
  </si>
  <si>
    <t>PT11099</t>
  </si>
  <si>
    <t>CLM100637</t>
  </si>
  <si>
    <t>PT12770</t>
  </si>
  <si>
    <t>CLM100638</t>
  </si>
  <si>
    <t>PT13283</t>
  </si>
  <si>
    <t>CLM100639</t>
  </si>
  <si>
    <t>PT12706</t>
  </si>
  <si>
    <t>CLM100640</t>
  </si>
  <si>
    <t>PT10746</t>
  </si>
  <si>
    <t>CLM100641</t>
  </si>
  <si>
    <t>PT10864</t>
  </si>
  <si>
    <t>CLM100642</t>
  </si>
  <si>
    <t>PT10477</t>
  </si>
  <si>
    <t>CLM100643</t>
  </si>
  <si>
    <t>PT12526</t>
  </si>
  <si>
    <t>CLM100644</t>
  </si>
  <si>
    <t>PT10109</t>
  </si>
  <si>
    <t>CLM100645</t>
  </si>
  <si>
    <t>CLM100646</t>
  </si>
  <si>
    <t>PT13475</t>
  </si>
  <si>
    <t>CLM100647</t>
  </si>
  <si>
    <t>PT12163</t>
  </si>
  <si>
    <t>CLM100648</t>
  </si>
  <si>
    <t>CLM100649</t>
  </si>
  <si>
    <t>PT10537</t>
  </si>
  <si>
    <t>CLM100650</t>
  </si>
  <si>
    <t>PT12547</t>
  </si>
  <si>
    <t>CLM100651</t>
  </si>
  <si>
    <t>PT10961</t>
  </si>
  <si>
    <t>CLM100652</t>
  </si>
  <si>
    <t>PT12062</t>
  </si>
  <si>
    <t>CLM100653</t>
  </si>
  <si>
    <t>CLM100655</t>
  </si>
  <si>
    <t>PT11481</t>
  </si>
  <si>
    <t>CLM100656</t>
  </si>
  <si>
    <t>PT11004</t>
  </si>
  <si>
    <t>CLM100657</t>
  </si>
  <si>
    <t>PT13085</t>
  </si>
  <si>
    <t>CLM100658</t>
  </si>
  <si>
    <t>PT10121</t>
  </si>
  <si>
    <t>CLM100659</t>
  </si>
  <si>
    <t>PT11777</t>
  </si>
  <si>
    <t>CLM100660</t>
  </si>
  <si>
    <t>PT11211</t>
  </si>
  <si>
    <t>CLM100661</t>
  </si>
  <si>
    <t>PT12868</t>
  </si>
  <si>
    <t>CLM100662</t>
  </si>
  <si>
    <t>PT10808</t>
  </si>
  <si>
    <t>CLM100663</t>
  </si>
  <si>
    <t>PT12095</t>
  </si>
  <si>
    <t>CLM100664</t>
  </si>
  <si>
    <t>PT12069</t>
  </si>
  <si>
    <t>CLM100665</t>
  </si>
  <si>
    <t>CLM100666</t>
  </si>
  <si>
    <t>PT11165</t>
  </si>
  <si>
    <t>CLM100667</t>
  </si>
  <si>
    <t>PT13370</t>
  </si>
  <si>
    <t>CLM100669</t>
  </si>
  <si>
    <t>PT12393</t>
  </si>
  <si>
    <t>CLM100670</t>
  </si>
  <si>
    <t>PT13374</t>
  </si>
  <si>
    <t>CLM100672</t>
  </si>
  <si>
    <t>PT10451</t>
  </si>
  <si>
    <t>CLM100673</t>
  </si>
  <si>
    <t>PT10114</t>
  </si>
  <si>
    <t>CLM100674</t>
  </si>
  <si>
    <t>PT10276</t>
  </si>
  <si>
    <t>CLM100675</t>
  </si>
  <si>
    <t>PT13120</t>
  </si>
  <si>
    <t>CLM100676</t>
  </si>
  <si>
    <t>PT10953</t>
  </si>
  <si>
    <t>CLM100677</t>
  </si>
  <si>
    <t>PT12298</t>
  </si>
  <si>
    <t>CLM100678</t>
  </si>
  <si>
    <t>PT10492</t>
  </si>
  <si>
    <t>CLM100679</t>
  </si>
  <si>
    <t>PT10346</t>
  </si>
  <si>
    <t>CLM100681</t>
  </si>
  <si>
    <t>CLM100682</t>
  </si>
  <si>
    <t>PT11310</t>
  </si>
  <si>
    <t>CLM100683</t>
  </si>
  <si>
    <t>PT10268</t>
  </si>
  <si>
    <t>CLM100684</t>
  </si>
  <si>
    <t>PT11247</t>
  </si>
  <si>
    <t>CLM100685</t>
  </si>
  <si>
    <t>PT12273</t>
  </si>
  <si>
    <t>CLM100686</t>
  </si>
  <si>
    <t>PT12448</t>
  </si>
  <si>
    <t>CLM100687</t>
  </si>
  <si>
    <t>PT11231</t>
  </si>
  <si>
    <t>CLM100688</t>
  </si>
  <si>
    <t>PT12793</t>
  </si>
  <si>
    <t>CLM100689</t>
  </si>
  <si>
    <t>PT12833</t>
  </si>
  <si>
    <t>CLM100690</t>
  </si>
  <si>
    <t>PT13123</t>
  </si>
  <si>
    <t>CLM100691</t>
  </si>
  <si>
    <t>PT13329</t>
  </si>
  <si>
    <t>CLM100692</t>
  </si>
  <si>
    <t>PT10038</t>
  </si>
  <si>
    <t>CLM100693</t>
  </si>
  <si>
    <t>PT12022</t>
  </si>
  <si>
    <t>CLM100694</t>
  </si>
  <si>
    <t>PT11136</t>
  </si>
  <si>
    <t>CLM100695</t>
  </si>
  <si>
    <t>PT10521</t>
  </si>
  <si>
    <t>CLM100696</t>
  </si>
  <si>
    <t>PT12788</t>
  </si>
  <si>
    <t>CLM100697</t>
  </si>
  <si>
    <t>CLM100698</t>
  </si>
  <si>
    <t>PT10335</t>
  </si>
  <si>
    <t>CLM100699</t>
  </si>
  <si>
    <t>CLM100700</t>
  </si>
  <si>
    <t>PT13409</t>
  </si>
  <si>
    <t>CLM100701</t>
  </si>
  <si>
    <t>PT10248</t>
  </si>
  <si>
    <t>CLM100702</t>
  </si>
  <si>
    <t>PT10417</t>
  </si>
  <si>
    <t>CLM100703</t>
  </si>
  <si>
    <t>PT11572</t>
  </si>
  <si>
    <t>CLM100704</t>
  </si>
  <si>
    <t>PT12407</t>
  </si>
  <si>
    <t>CLM100705</t>
  </si>
  <si>
    <t>PT12968</t>
  </si>
  <si>
    <t>CLM100706</t>
  </si>
  <si>
    <t>PT11274</t>
  </si>
  <si>
    <t>CLM100707</t>
  </si>
  <si>
    <t>PT12077</t>
  </si>
  <si>
    <t>CLM100708</t>
  </si>
  <si>
    <t>PT11948</t>
  </si>
  <si>
    <t>CLM100709</t>
  </si>
  <si>
    <t>PT12031</t>
  </si>
  <si>
    <t>CLM100710</t>
  </si>
  <si>
    <t>PT13336</t>
  </si>
  <si>
    <t>CLM100711</t>
  </si>
  <si>
    <t>PT11803</t>
  </si>
  <si>
    <t>CLM100712</t>
  </si>
  <si>
    <t>PT12944</t>
  </si>
  <si>
    <t>CLM100713</t>
  </si>
  <si>
    <t>CLM100714</t>
  </si>
  <si>
    <t>PT10591</t>
  </si>
  <si>
    <t>CLM100715</t>
  </si>
  <si>
    <t>PT13499</t>
  </si>
  <si>
    <t>CLM100716</t>
  </si>
  <si>
    <t>PT12002</t>
  </si>
  <si>
    <t>CLM100717</t>
  </si>
  <si>
    <t>PT11979</t>
  </si>
  <si>
    <t>CLM100718</t>
  </si>
  <si>
    <t>PT10831</t>
  </si>
  <si>
    <t>CLM100719</t>
  </si>
  <si>
    <t>PT11208</t>
  </si>
  <si>
    <t>CLM100720</t>
  </si>
  <si>
    <t>PT11505</t>
  </si>
  <si>
    <t>CLM100721</t>
  </si>
  <si>
    <t>CLM100722</t>
  </si>
  <si>
    <t>PT10780</t>
  </si>
  <si>
    <t>CLM100723</t>
  </si>
  <si>
    <t>CLM100724</t>
  </si>
  <si>
    <t>PT11919</t>
  </si>
  <si>
    <t>CLM100725</t>
  </si>
  <si>
    <t>PT12365</t>
  </si>
  <si>
    <t>CLM100726</t>
  </si>
  <si>
    <t>PT13124</t>
  </si>
  <si>
    <t>CLM100727</t>
  </si>
  <si>
    <t>PT11561</t>
  </si>
  <si>
    <t>CLM100728</t>
  </si>
  <si>
    <t>CLM100729</t>
  </si>
  <si>
    <t>PT11192</t>
  </si>
  <si>
    <t>CLM100730</t>
  </si>
  <si>
    <t>CLM100731</t>
  </si>
  <si>
    <t>CLM100732</t>
  </si>
  <si>
    <t>PT13377</t>
  </si>
  <si>
    <t>CLM100733</t>
  </si>
  <si>
    <t>PT11420</t>
  </si>
  <si>
    <t>CLM100734</t>
  </si>
  <si>
    <t>PT11875</t>
  </si>
  <si>
    <t>CLM100735</t>
  </si>
  <si>
    <t>CLM100736</t>
  </si>
  <si>
    <t>PT11847</t>
  </si>
  <si>
    <t>CLM100737</t>
  </si>
  <si>
    <t>PT11985</t>
  </si>
  <si>
    <t>CLM100738</t>
  </si>
  <si>
    <t>PT11600</t>
  </si>
  <si>
    <t>CLM100739</t>
  </si>
  <si>
    <t>PT11599</t>
  </si>
  <si>
    <t>CLM100740</t>
  </si>
  <si>
    <t>CLM100741</t>
  </si>
  <si>
    <t>PT12965</t>
  </si>
  <si>
    <t>CLM100742</t>
  </si>
  <si>
    <t>PT11752</t>
  </si>
  <si>
    <t>CLM100743</t>
  </si>
  <si>
    <t>PT12662</t>
  </si>
  <si>
    <t>CLM100744</t>
  </si>
  <si>
    <t>PT11031</t>
  </si>
  <si>
    <t>CLM100745</t>
  </si>
  <si>
    <t>PT13487</t>
  </si>
  <si>
    <t>CLM100746</t>
  </si>
  <si>
    <t>PT10952</t>
  </si>
  <si>
    <t>CLM100747</t>
  </si>
  <si>
    <t>PT12970</t>
  </si>
  <si>
    <t>CLM100748</t>
  </si>
  <si>
    <t>PT12654</t>
  </si>
  <si>
    <t>CLM100749</t>
  </si>
  <si>
    <t>PT12135</t>
  </si>
  <si>
    <t>CLM100750</t>
  </si>
  <si>
    <t>PT10836</t>
  </si>
  <si>
    <t>CLM100751</t>
  </si>
  <si>
    <t>CLM100752</t>
  </si>
  <si>
    <t>CLM100753</t>
  </si>
  <si>
    <t>PT10340</t>
  </si>
  <si>
    <t>CLM100754</t>
  </si>
  <si>
    <t>PT10294</t>
  </si>
  <si>
    <t>CLM100755</t>
  </si>
  <si>
    <t>CLM100756</t>
  </si>
  <si>
    <t>PT10795</t>
  </si>
  <si>
    <t>CLM100757</t>
  </si>
  <si>
    <t>CLM100758</t>
  </si>
  <si>
    <t>PT11041</t>
  </si>
  <si>
    <t>CLM100759</t>
  </si>
  <si>
    <t>PT12123</t>
  </si>
  <si>
    <t>CLM100760</t>
  </si>
  <si>
    <t>CLM100761</t>
  </si>
  <si>
    <t>PT10689</t>
  </si>
  <si>
    <t>CLM100762</t>
  </si>
  <si>
    <t>PT10763</t>
  </si>
  <si>
    <t>CLM100763</t>
  </si>
  <si>
    <t>PT11674</t>
  </si>
  <si>
    <t>CLM100764</t>
  </si>
  <si>
    <t>CLM100765</t>
  </si>
  <si>
    <t>PT13118</t>
  </si>
  <si>
    <t>CLM100766</t>
  </si>
  <si>
    <t>CLM100767</t>
  </si>
  <si>
    <t>CLM100768</t>
  </si>
  <si>
    <t>PT12109</t>
  </si>
  <si>
    <t>CLM100769</t>
  </si>
  <si>
    <t>PT11819</t>
  </si>
  <si>
    <t>CLM100770</t>
  </si>
  <si>
    <t>PT12486</t>
  </si>
  <si>
    <t>CLM100771</t>
  </si>
  <si>
    <t>PT11912</t>
  </si>
  <si>
    <t>CLM100772</t>
  </si>
  <si>
    <t>PT12702</t>
  </si>
  <si>
    <t>CLM100773</t>
  </si>
  <si>
    <t>PT12725</t>
  </si>
  <si>
    <t>CLM100774</t>
  </si>
  <si>
    <t>PT12637</t>
  </si>
  <si>
    <t>CLM100775</t>
  </si>
  <si>
    <t>PT13033</t>
  </si>
  <si>
    <t>CLM100776</t>
  </si>
  <si>
    <t>PT11273</t>
  </si>
  <si>
    <t>CLM100777</t>
  </si>
  <si>
    <t>PT10436</t>
  </si>
  <si>
    <t>CLM100778</t>
  </si>
  <si>
    <t>PT13059</t>
  </si>
  <si>
    <t>CLM100779</t>
  </si>
  <si>
    <t>PT12027</t>
  </si>
  <si>
    <t>CLM100780</t>
  </si>
  <si>
    <t>CLM100781</t>
  </si>
  <si>
    <t>CLM100782</t>
  </si>
  <si>
    <t>PT10536</t>
  </si>
  <si>
    <t>CLM100783</t>
  </si>
  <si>
    <t>PT10593</t>
  </si>
  <si>
    <t>CLM100784</t>
  </si>
  <si>
    <t>PT10604</t>
  </si>
  <si>
    <t>CLM100785</t>
  </si>
  <si>
    <t>PT12430</t>
  </si>
  <si>
    <t>CLM100786</t>
  </si>
  <si>
    <t>PT12673</t>
  </si>
  <si>
    <t>CLM100787</t>
  </si>
  <si>
    <t>PT12675</t>
  </si>
  <si>
    <t>CLM100788</t>
  </si>
  <si>
    <t>PT11121</t>
  </si>
  <si>
    <t>CLM100789</t>
  </si>
  <si>
    <t>PT11660</t>
  </si>
  <si>
    <t>CLM100790</t>
  </si>
  <si>
    <t>PT13086</t>
  </si>
  <si>
    <t>CLM100791</t>
  </si>
  <si>
    <t>CLM100792</t>
  </si>
  <si>
    <t>CLM100793</t>
  </si>
  <si>
    <t>PT12482</t>
  </si>
  <si>
    <t>CLM100794</t>
  </si>
  <si>
    <t>CLM100795</t>
  </si>
  <si>
    <t>PT10341</t>
  </si>
  <si>
    <t>CLM100796</t>
  </si>
  <si>
    <t>PT12926</t>
  </si>
  <si>
    <t>CLM100797</t>
  </si>
  <si>
    <t>PT12801</t>
  </si>
  <si>
    <t>CLM100798</t>
  </si>
  <si>
    <t>PT11120</t>
  </si>
  <si>
    <t>CLM100799</t>
  </si>
  <si>
    <t>CLM100800</t>
  </si>
  <si>
    <t>PT13079</t>
  </si>
  <si>
    <t>CLM100801</t>
  </si>
  <si>
    <t>CLM100802</t>
  </si>
  <si>
    <t>PT12897</t>
  </si>
  <si>
    <t>CLM100803</t>
  </si>
  <si>
    <t>CLM100804</t>
  </si>
  <si>
    <t>CLM100805</t>
  </si>
  <si>
    <t>PT11964</t>
  </si>
  <si>
    <t>CLM100806</t>
  </si>
  <si>
    <t>CLM100807</t>
  </si>
  <si>
    <t>PT11503</t>
  </si>
  <si>
    <t>CLM100808</t>
  </si>
  <si>
    <t>PT12208</t>
  </si>
  <si>
    <t>CLM100809</t>
  </si>
  <si>
    <t>PT11896</t>
  </si>
  <si>
    <t>CLM100810</t>
  </si>
  <si>
    <t>PT11452</t>
  </si>
  <si>
    <t>CLM100811</t>
  </si>
  <si>
    <t>PT10926</t>
  </si>
  <si>
    <t>CLM100812</t>
  </si>
  <si>
    <t>PT10662</t>
  </si>
  <si>
    <t>CLM100813</t>
  </si>
  <si>
    <t>PT10129</t>
  </si>
  <si>
    <t>CLM100814</t>
  </si>
  <si>
    <t>PT10538</t>
  </si>
  <si>
    <t>CLM100815</t>
  </si>
  <si>
    <t>PT11779</t>
  </si>
  <si>
    <t>CLM100816</t>
  </si>
  <si>
    <t>PT11079</t>
  </si>
  <si>
    <t>CLM100817</t>
  </si>
  <si>
    <t>CLM100818</t>
  </si>
  <si>
    <t>PT11557</t>
  </si>
  <si>
    <t>CLM100819</t>
  </si>
  <si>
    <t>PT11437</t>
  </si>
  <si>
    <t>CLM100820</t>
  </si>
  <si>
    <t>PT11764</t>
  </si>
  <si>
    <t>CLM100821</t>
  </si>
  <si>
    <t>PT13043</t>
  </si>
  <si>
    <t>CLM100822</t>
  </si>
  <si>
    <t>PT12578</t>
  </si>
  <si>
    <t>CLM100823</t>
  </si>
  <si>
    <t>PT13117</t>
  </si>
  <si>
    <t>CLM100824</t>
  </si>
  <si>
    <t>PT11499</t>
  </si>
  <si>
    <t>CLM100825</t>
  </si>
  <si>
    <t>PT11186</t>
  </si>
  <si>
    <t>CLM100826</t>
  </si>
  <si>
    <t>PT12103</t>
  </si>
  <si>
    <t>CLM100827</t>
  </si>
  <si>
    <t>PT13238</t>
  </si>
  <si>
    <t>CLM100828</t>
  </si>
  <si>
    <t>PT11195</t>
  </si>
  <si>
    <t>CLM100829</t>
  </si>
  <si>
    <t>PT12889</t>
  </si>
  <si>
    <t>CLM100830</t>
  </si>
  <si>
    <t>PT10898</t>
  </si>
  <si>
    <t>CLM100831</t>
  </si>
  <si>
    <t>PT12678</t>
  </si>
  <si>
    <t>CLM100832</t>
  </si>
  <si>
    <t>CLM100833</t>
  </si>
  <si>
    <t>PT12652</t>
  </si>
  <si>
    <t>CLM100834</t>
  </si>
  <si>
    <t>PT11863</t>
  </si>
  <si>
    <t>CLM100835</t>
  </si>
  <si>
    <t>PT10179</t>
  </si>
  <si>
    <t>CLM100836</t>
  </si>
  <si>
    <t>CLM100837</t>
  </si>
  <si>
    <t>PT10998</t>
  </si>
  <si>
    <t>CLM100838</t>
  </si>
  <si>
    <t>PT13426</t>
  </si>
  <si>
    <t>CLM100839</t>
  </si>
  <si>
    <t>PT10416</t>
  </si>
  <si>
    <t>CLM100840</t>
  </si>
  <si>
    <t>PT11755</t>
  </si>
  <si>
    <t>CLM100841</t>
  </si>
  <si>
    <t>PT12710</t>
  </si>
  <si>
    <t>CLM100843</t>
  </si>
  <si>
    <t>PT12366</t>
  </si>
  <si>
    <t>CLM100844</t>
  </si>
  <si>
    <t>PT12464</t>
  </si>
  <si>
    <t>CLM100845</t>
  </si>
  <si>
    <t>CLM100846</t>
  </si>
  <si>
    <t>PT10011</t>
  </si>
  <si>
    <t>CLM100847</t>
  </si>
  <si>
    <t>PT13478</t>
  </si>
  <si>
    <t>CLM100849</t>
  </si>
  <si>
    <t>CLM100850</t>
  </si>
  <si>
    <t>PT13135</t>
  </si>
  <si>
    <t>CLM100851</t>
  </si>
  <si>
    <t>PT12061</t>
  </si>
  <si>
    <t>CLM100852</t>
  </si>
  <si>
    <t>PT11113</t>
  </si>
  <si>
    <t>CLM100853</t>
  </si>
  <si>
    <t>PT13344</t>
  </si>
  <si>
    <t>CLM100854</t>
  </si>
  <si>
    <t>PT11105</t>
  </si>
  <si>
    <t>CLM100855</t>
  </si>
  <si>
    <t>PT10768</t>
  </si>
  <si>
    <t>CLM100856</t>
  </si>
  <si>
    <t>PT10196</t>
  </si>
  <si>
    <t>CLM100857</t>
  </si>
  <si>
    <t>PT12878</t>
  </si>
  <si>
    <t>CLM100858</t>
  </si>
  <si>
    <t>PT11953</t>
  </si>
  <si>
    <t>CLM100859</t>
  </si>
  <si>
    <t>PT13149</t>
  </si>
  <si>
    <t>CLM100860</t>
  </si>
  <si>
    <t>PT11388</t>
  </si>
  <si>
    <t>CLM100861</t>
  </si>
  <si>
    <t>PT12322</t>
  </si>
  <si>
    <t>CLM100862</t>
  </si>
  <si>
    <t>PT12043</t>
  </si>
  <si>
    <t>CLM100863</t>
  </si>
  <si>
    <t>PT11938</t>
  </si>
  <si>
    <t>CLM100864</t>
  </si>
  <si>
    <t>PT11805</t>
  </si>
  <si>
    <t>CLM100865</t>
  </si>
  <si>
    <t>PT10233</t>
  </si>
  <si>
    <t>CLM100866</t>
  </si>
  <si>
    <t>CLM100867</t>
  </si>
  <si>
    <t>PT13146</t>
  </si>
  <si>
    <t>CLM100868</t>
  </si>
  <si>
    <t>PT11140</t>
  </si>
  <si>
    <t>CLM100869</t>
  </si>
  <si>
    <t>CLM100870</t>
  </si>
  <si>
    <t>PT10334</t>
  </si>
  <si>
    <t>CLM100871</t>
  </si>
  <si>
    <t>CLM100872</t>
  </si>
  <si>
    <t>CLM100873</t>
  </si>
  <si>
    <t>PT10058</t>
  </si>
  <si>
    <t>CLM100874</t>
  </si>
  <si>
    <t>CLM100875</t>
  </si>
  <si>
    <t>CLM100876</t>
  </si>
  <si>
    <t>PT12864</t>
  </si>
  <si>
    <t>CLM100877</t>
  </si>
  <si>
    <t>PT11528</t>
  </si>
  <si>
    <t>CLM100878</t>
  </si>
  <si>
    <t>CLM100879</t>
  </si>
  <si>
    <t>PT12231</t>
  </si>
  <si>
    <t>CLM100880</t>
  </si>
  <si>
    <t>CLM100881</t>
  </si>
  <si>
    <t>PT12757</t>
  </si>
  <si>
    <t>CLM100882</t>
  </si>
  <si>
    <t>CLM100883</t>
  </si>
  <si>
    <t>PT11757</t>
  </si>
  <si>
    <t>CLM100884</t>
  </si>
  <si>
    <t>PT12065</t>
  </si>
  <si>
    <t>CLM100885</t>
  </si>
  <si>
    <t>CLM100886</t>
  </si>
  <si>
    <t>CLM100887</t>
  </si>
  <si>
    <t>CLM100888</t>
  </si>
  <si>
    <t>PT12440</t>
  </si>
  <si>
    <t>CLM100889</t>
  </si>
  <si>
    <t>PT11694</t>
  </si>
  <si>
    <t>CLM100890</t>
  </si>
  <si>
    <t>PT10659</t>
  </si>
  <si>
    <t>CLM100891</t>
  </si>
  <si>
    <t>PT12238</t>
  </si>
  <si>
    <t>CLM100892</t>
  </si>
  <si>
    <t>PT11494</t>
  </si>
  <si>
    <t>CLM100893</t>
  </si>
  <si>
    <t>PT11786</t>
  </si>
  <si>
    <t>CLM100894</t>
  </si>
  <si>
    <t>PT10421</t>
  </si>
  <si>
    <t>CLM100895</t>
  </si>
  <si>
    <t>PT12487</t>
  </si>
  <si>
    <t>CLM100896</t>
  </si>
  <si>
    <t>CLM100897</t>
  </si>
  <si>
    <t>PT10594</t>
  </si>
  <si>
    <t>CLM100898</t>
  </si>
  <si>
    <t>CLM100899</t>
  </si>
  <si>
    <t>CLM100900</t>
  </si>
  <si>
    <t>PT11725</t>
  </si>
  <si>
    <t>CLM100901</t>
  </si>
  <si>
    <t>PT11891</t>
  </si>
  <si>
    <t>CLM100902</t>
  </si>
  <si>
    <t>PT11639</t>
  </si>
  <si>
    <t>CLM100903</t>
  </si>
  <si>
    <t>CLM100904</t>
  </si>
  <si>
    <t>PT10697</t>
  </si>
  <si>
    <t>CLM100905</t>
  </si>
  <si>
    <t>CLM100906</t>
  </si>
  <si>
    <t>PT10606</t>
  </si>
  <si>
    <t>CLM100907</t>
  </si>
  <si>
    <t>PT11080</t>
  </si>
  <si>
    <t>CLM100908</t>
  </si>
  <si>
    <t>PT10307</t>
  </si>
  <si>
    <t>CLM100909</t>
  </si>
  <si>
    <t>PT11283</t>
  </si>
  <si>
    <t>CLM100910</t>
  </si>
  <si>
    <t>PT11489</t>
  </si>
  <si>
    <t>CLM100911</t>
  </si>
  <si>
    <t>PT10418</t>
  </si>
  <si>
    <t>CLM100912</t>
  </si>
  <si>
    <t>PT11451</t>
  </si>
  <si>
    <t>CLM100913</t>
  </si>
  <si>
    <t>PT10794</t>
  </si>
  <si>
    <t>CLM100914</t>
  </si>
  <si>
    <t>PT10454</t>
  </si>
  <si>
    <t>CLM100915</t>
  </si>
  <si>
    <t>CLM100916</t>
  </si>
  <si>
    <t>CLM100917</t>
  </si>
  <si>
    <t>PT12728</t>
  </si>
  <si>
    <t>CLM100918</t>
  </si>
  <si>
    <t>PT11940</t>
  </si>
  <si>
    <t>CLM100919</t>
  </si>
  <si>
    <t>CLM100920</t>
  </si>
  <si>
    <t>PT11038</t>
  </si>
  <si>
    <t>CLM100921</t>
  </si>
  <si>
    <t>CLM100922</t>
  </si>
  <si>
    <t>PT10126</t>
  </si>
  <si>
    <t>CLM100923</t>
  </si>
  <si>
    <t>PT12780</t>
  </si>
  <si>
    <t>CLM100924</t>
  </si>
  <si>
    <t>PT12373</t>
  </si>
  <si>
    <t>CLM100925</t>
  </si>
  <si>
    <t>PT12807</t>
  </si>
  <si>
    <t>CLM100926</t>
  </si>
  <si>
    <t>PT10063</t>
  </si>
  <si>
    <t>CLM100927</t>
  </si>
  <si>
    <t>PT11160</t>
  </si>
  <si>
    <t>CLM100928</t>
  </si>
  <si>
    <t>PT11191</t>
  </si>
  <si>
    <t>CLM100929</t>
  </si>
  <si>
    <t>PT11272</t>
  </si>
  <si>
    <t>CLM100930</t>
  </si>
  <si>
    <t>PT12235</t>
  </si>
  <si>
    <t>CLM100931</t>
  </si>
  <si>
    <t>PT11751</t>
  </si>
  <si>
    <t>CLM100932</t>
  </si>
  <si>
    <t>CLM100933</t>
  </si>
  <si>
    <t>PT13437</t>
  </si>
  <si>
    <t>CLM100934</t>
  </si>
  <si>
    <t>PT12873</t>
  </si>
  <si>
    <t>CLM100935</t>
  </si>
  <si>
    <t>CLM100936</t>
  </si>
  <si>
    <t>CLM100937</t>
  </si>
  <si>
    <t>PT13365</t>
  </si>
  <si>
    <t>CLM100938</t>
  </si>
  <si>
    <t>PT10985</t>
  </si>
  <si>
    <t>CLM100939</t>
  </si>
  <si>
    <t>PT11580</t>
  </si>
  <si>
    <t>CLM100940</t>
  </si>
  <si>
    <t>PT10139</t>
  </si>
  <si>
    <t>CLM100941</t>
  </si>
  <si>
    <t>PT11465</t>
  </si>
  <si>
    <t>CLM100942</t>
  </si>
  <si>
    <t>PT12686</t>
  </si>
  <si>
    <t>CLM100943</t>
  </si>
  <si>
    <t>PT11932</t>
  </si>
  <si>
    <t>CLM100944</t>
  </si>
  <si>
    <t>PT12394</t>
  </si>
  <si>
    <t>CLM100945</t>
  </si>
  <si>
    <t>PT13161</t>
  </si>
  <si>
    <t>CLM100946</t>
  </si>
  <si>
    <t>PT13468</t>
  </si>
  <si>
    <t>CLM100947</t>
  </si>
  <si>
    <t>PT10801</t>
  </si>
  <si>
    <t>CLM100948</t>
  </si>
  <si>
    <t>CLM100949</t>
  </si>
  <si>
    <t>PT10778</t>
  </si>
  <si>
    <t>CLM100950</t>
  </si>
  <si>
    <t>CLM100951</t>
  </si>
  <si>
    <t>PT13392</t>
  </si>
  <si>
    <t>CLM100952</t>
  </si>
  <si>
    <t>PT12236</t>
  </si>
  <si>
    <t>CLM100953</t>
  </si>
  <si>
    <t>CLM100954</t>
  </si>
  <si>
    <t>PT12258</t>
  </si>
  <si>
    <t>CLM100955</t>
  </si>
  <si>
    <t>PT10087</t>
  </si>
  <si>
    <t>CLM100956</t>
  </si>
  <si>
    <t>PT11545</t>
  </si>
  <si>
    <t>CLM100957</t>
  </si>
  <si>
    <t>PT10975</t>
  </si>
  <si>
    <t>CLM100958</t>
  </si>
  <si>
    <t>PT12948</t>
  </si>
  <si>
    <t>CLM100959</t>
  </si>
  <si>
    <t>CLM100960</t>
  </si>
  <si>
    <t>PT10902</t>
  </si>
  <si>
    <t>CLM100961</t>
  </si>
  <si>
    <t>PT11419</t>
  </si>
  <si>
    <t>CLM100962</t>
  </si>
  <si>
    <t>PT10502</t>
  </si>
  <si>
    <t>CLM100963</t>
  </si>
  <si>
    <t>PT12409</t>
  </si>
  <si>
    <t>CLM100964</t>
  </si>
  <si>
    <t>PT10842</t>
  </si>
  <si>
    <t>CLM100965</t>
  </si>
  <si>
    <t>PT13318</t>
  </si>
  <si>
    <t>CLM100966</t>
  </si>
  <si>
    <t>CLM100967</t>
  </si>
  <si>
    <t>CLM100968</t>
  </si>
  <si>
    <t>CLM100969</t>
  </si>
  <si>
    <t>PT11801</t>
  </si>
  <si>
    <t>CLM100970</t>
  </si>
  <si>
    <t>PT10325</t>
  </si>
  <si>
    <t>CLM100971</t>
  </si>
  <si>
    <t>PT10601</t>
  </si>
  <si>
    <t>CLM100972</t>
  </si>
  <si>
    <t>PT10249</t>
  </si>
  <si>
    <t>CLM100973</t>
  </si>
  <si>
    <t>PT10463</t>
  </si>
  <si>
    <t>CLM100974</t>
  </si>
  <si>
    <t>PT10586</t>
  </si>
  <si>
    <t>CLM100975</t>
  </si>
  <si>
    <t>PT10182</t>
  </si>
  <si>
    <t>CLM100976</t>
  </si>
  <si>
    <t>PT10880</t>
  </si>
  <si>
    <t>CLM100977</t>
  </si>
  <si>
    <t>PT12352</t>
  </si>
  <si>
    <t>CLM100978</t>
  </si>
  <si>
    <t>CLM100979</t>
  </si>
  <si>
    <t>PT11822</t>
  </si>
  <si>
    <t>CLM100980</t>
  </si>
  <si>
    <t>PT11838</t>
  </si>
  <si>
    <t>CLM100981</t>
  </si>
  <si>
    <t>PT10483</t>
  </si>
  <si>
    <t>CLM100982</t>
  </si>
  <si>
    <t>CLM100983</t>
  </si>
  <si>
    <t>CLM100984</t>
  </si>
  <si>
    <t>CLM100985</t>
  </si>
  <si>
    <t>CLM100986</t>
  </si>
  <si>
    <t>PT11553</t>
  </si>
  <si>
    <t>CLM100987</t>
  </si>
  <si>
    <t>PT12151</t>
  </si>
  <si>
    <t>CLM100988</t>
  </si>
  <si>
    <t>PT11763</t>
  </si>
  <si>
    <t>CLM100989</t>
  </si>
  <si>
    <t>CLM100990</t>
  </si>
  <si>
    <t>PT12211</t>
  </si>
  <si>
    <t>CLM100991</t>
  </si>
  <si>
    <t>CLM100992</t>
  </si>
  <si>
    <t>PT11448</t>
  </si>
  <si>
    <t>CLM100993</t>
  </si>
  <si>
    <t>PT10157</t>
  </si>
  <si>
    <t>CLM100994</t>
  </si>
  <si>
    <t>PT10560</t>
  </si>
  <si>
    <t>CLM100995</t>
  </si>
  <si>
    <t>PT10013</t>
  </si>
  <si>
    <t>CLM100996</t>
  </si>
  <si>
    <t>PT12612</t>
  </si>
  <si>
    <t>CLM100997</t>
  </si>
  <si>
    <t>PT10395</t>
  </si>
  <si>
    <t>CLM100998</t>
  </si>
  <si>
    <t>CLM101000</t>
  </si>
  <si>
    <t>PT12764</t>
  </si>
  <si>
    <t>CLM101001</t>
  </si>
  <si>
    <t>PT12606</t>
  </si>
  <si>
    <t>CLM101002</t>
  </si>
  <si>
    <t>PT12958</t>
  </si>
  <si>
    <t>CLM101003</t>
  </si>
  <si>
    <t>PT13433</t>
  </si>
  <si>
    <t>CLM101004</t>
  </si>
  <si>
    <t>PT12054</t>
  </si>
  <si>
    <t>CLM101005</t>
  </si>
  <si>
    <t>CLM101006</t>
  </si>
  <si>
    <t>PT10391</t>
  </si>
  <si>
    <t>CLM101007</t>
  </si>
  <si>
    <t>CLM101008</t>
  </si>
  <si>
    <t>CLM101009</t>
  </si>
  <si>
    <t>PT10917</t>
  </si>
  <si>
    <t>CLM101010</t>
  </si>
  <si>
    <t>CLM101011</t>
  </si>
  <si>
    <t>PT13417</t>
  </si>
  <si>
    <t>CLM101012</t>
  </si>
  <si>
    <t>PT12670</t>
  </si>
  <si>
    <t>CLM101013</t>
  </si>
  <si>
    <t>CLM101014</t>
  </si>
  <si>
    <t>CLM101015</t>
  </si>
  <si>
    <t>PT12140</t>
  </si>
  <si>
    <t>CLM101016</t>
  </si>
  <si>
    <t>CLM101017</t>
  </si>
  <si>
    <t>PT10615</t>
  </si>
  <si>
    <t>CLM101018</t>
  </si>
  <si>
    <t>PT11435</t>
  </si>
  <si>
    <t>CLM101019</t>
  </si>
  <si>
    <t>PT11504</t>
  </si>
  <si>
    <t>CLM101020</t>
  </si>
  <si>
    <t>PT10419</t>
  </si>
  <si>
    <t>CLM101021</t>
  </si>
  <si>
    <t>PT10857</t>
  </si>
  <si>
    <t>CLM101022</t>
  </si>
  <si>
    <t>PT10213</t>
  </si>
  <si>
    <t>CLM101023</t>
  </si>
  <si>
    <t>PT13435</t>
  </si>
  <si>
    <t>CLM101024</t>
  </si>
  <si>
    <t>PT12847</t>
  </si>
  <si>
    <t>CLM101025</t>
  </si>
  <si>
    <t>PT12983</t>
  </si>
  <si>
    <t>CLM101026</t>
  </si>
  <si>
    <t>PT10385</t>
  </si>
  <si>
    <t>CLM101027</t>
  </si>
  <si>
    <t>PT11123</t>
  </si>
  <si>
    <t>CLM101028</t>
  </si>
  <si>
    <t>PT10156</t>
  </si>
  <si>
    <t>CLM101029</t>
  </si>
  <si>
    <t>PT11816</t>
  </si>
  <si>
    <t>CLM101030</t>
  </si>
  <si>
    <t>PT12905</t>
  </si>
  <si>
    <t>CLM101031</t>
  </si>
  <si>
    <t>PT10266</t>
  </si>
  <si>
    <t>CLM101032</t>
  </si>
  <si>
    <t>CLM101033</t>
  </si>
  <si>
    <t>PT10370</t>
  </si>
  <si>
    <t>CLM101034</t>
  </si>
  <si>
    <t>PT13061</t>
  </si>
  <si>
    <t>CLM101035</t>
  </si>
  <si>
    <t>PT11117</t>
  </si>
  <si>
    <t>CLM101036</t>
  </si>
  <si>
    <t>PT12814</t>
  </si>
  <si>
    <t>CLM101037</t>
  </si>
  <si>
    <t>CLM101038</t>
  </si>
  <si>
    <t>CLM101039</t>
  </si>
  <si>
    <t>PT11466</t>
  </si>
  <si>
    <t>CLM101040</t>
  </si>
  <si>
    <t>PT11034</t>
  </si>
  <si>
    <t>CLM101041</t>
  </si>
  <si>
    <t>PT12076</t>
  </si>
  <si>
    <t>CLM101042</t>
  </si>
  <si>
    <t>CLM101043</t>
  </si>
  <si>
    <t>CLM101044</t>
  </si>
  <si>
    <t>PT10369</t>
  </si>
  <si>
    <t>CLM101045</t>
  </si>
  <si>
    <t>CLM101046</t>
  </si>
  <si>
    <t>CLM101047</t>
  </si>
  <si>
    <t>PT13145</t>
  </si>
  <si>
    <t>CLM101048</t>
  </si>
  <si>
    <t>PT11236</t>
  </si>
  <si>
    <t>CLM101049</t>
  </si>
  <si>
    <t>PT11069</t>
  </si>
  <si>
    <t>CLM101050</t>
  </si>
  <si>
    <t>PT10658</t>
  </si>
  <si>
    <t>CLM101051</t>
  </si>
  <si>
    <t>PT13159</t>
  </si>
  <si>
    <t>CLM101052</t>
  </si>
  <si>
    <t>CLM101053</t>
  </si>
  <si>
    <t>PT10028</t>
  </si>
  <si>
    <t>CLM101054</t>
  </si>
  <si>
    <t>PT11885</t>
  </si>
  <si>
    <t>CLM101055</t>
  </si>
  <si>
    <t>PT11708</t>
  </si>
  <si>
    <t>CLM101056</t>
  </si>
  <si>
    <t>PT11414</t>
  </si>
  <si>
    <t>CLM101057</t>
  </si>
  <si>
    <t>PT13327</t>
  </si>
  <si>
    <t>CLM101058</t>
  </si>
  <si>
    <t>PT13427</t>
  </si>
  <si>
    <t>CLM101059</t>
  </si>
  <si>
    <t>PT10881</t>
  </si>
  <si>
    <t>CLM101060</t>
  </si>
  <si>
    <t>PT11116</t>
  </si>
  <si>
    <t>CLM101061</t>
  </si>
  <si>
    <t>CLM101062</t>
  </si>
  <si>
    <t>PT12217</t>
  </si>
  <si>
    <t>CLM101063</t>
  </si>
  <si>
    <t>PT12180</t>
  </si>
  <si>
    <t>CLM101064</t>
  </si>
  <si>
    <t>PT13063</t>
  </si>
  <si>
    <t>CLM101065</t>
  </si>
  <si>
    <t>PT11701</t>
  </si>
  <si>
    <t>CLM101066</t>
  </si>
  <si>
    <t>PT10894</t>
  </si>
  <si>
    <t>CLM101067</t>
  </si>
  <si>
    <t>CLM101068</t>
  </si>
  <si>
    <t>PT12193</t>
  </si>
  <si>
    <t>CLM101069</t>
  </si>
  <si>
    <t>PT11570</t>
  </si>
  <si>
    <t>CLM101070</t>
  </si>
  <si>
    <t>PT12337</t>
  </si>
  <si>
    <t>CLM101071</t>
  </si>
  <si>
    <t>PT13235</t>
  </si>
  <si>
    <t>CLM101072</t>
  </si>
  <si>
    <t>PT11200</t>
  </si>
  <si>
    <t>CLM101073</t>
  </si>
  <si>
    <t>PT11889</t>
  </si>
  <si>
    <t>CLM101074</t>
  </si>
  <si>
    <t>CLM101075</t>
  </si>
  <si>
    <t>PT11796</t>
  </si>
  <si>
    <t>CLM101076</t>
  </si>
  <si>
    <t>PT13225</t>
  </si>
  <si>
    <t>CLM101077</t>
  </si>
  <si>
    <t>CLM101078</t>
  </si>
  <si>
    <t>CLM101079</t>
  </si>
  <si>
    <t>PT12923</t>
  </si>
  <si>
    <t>CLM101080</t>
  </si>
  <si>
    <t>PT11573</t>
  </si>
  <si>
    <t>CLM101081</t>
  </si>
  <si>
    <t>PT12116</t>
  </si>
  <si>
    <t>CLM101082</t>
  </si>
  <si>
    <t>PT10265</t>
  </si>
  <si>
    <t>CLM101083</t>
  </si>
  <si>
    <t>PT13036</t>
  </si>
  <si>
    <t>CLM101084</t>
  </si>
  <si>
    <t>PT13268</t>
  </si>
  <si>
    <t>CLM101085</t>
  </si>
  <si>
    <t>CLM101086</t>
  </si>
  <si>
    <t>PT12398</t>
  </si>
  <si>
    <t>CLM101087</t>
  </si>
  <si>
    <t>PT10476</t>
  </si>
  <si>
    <t>CLM101088</t>
  </si>
  <si>
    <t>PT13184</t>
  </si>
  <si>
    <t>CLM101089</t>
  </si>
  <si>
    <t>PT11108</t>
  </si>
  <si>
    <t>CLM101090</t>
  </si>
  <si>
    <t>CLM101091</t>
  </si>
  <si>
    <t>PT12756</t>
  </si>
  <si>
    <t>CLM101092</t>
  </si>
  <si>
    <t>PT13139</t>
  </si>
  <si>
    <t>CLM101093</t>
  </si>
  <si>
    <t>PT11622</t>
  </si>
  <si>
    <t>CLM101094</t>
  </si>
  <si>
    <t>CLM101095</t>
  </si>
  <si>
    <t>PT10023</t>
  </si>
  <si>
    <t>CLM101096</t>
  </si>
  <si>
    <t>PT12711</t>
  </si>
  <si>
    <t>CLM101097</t>
  </si>
  <si>
    <t>PT13266</t>
  </si>
  <si>
    <t>CLM101098</t>
  </si>
  <si>
    <t>PT13199</t>
  </si>
  <si>
    <t>CLM101099</t>
  </si>
  <si>
    <t>CLM101100</t>
  </si>
  <si>
    <t>PT13376</t>
  </si>
  <si>
    <t>CLM101101</t>
  </si>
  <si>
    <t>PT12280</t>
  </si>
  <si>
    <t>CLM101102</t>
  </si>
  <si>
    <t>CLM101103</t>
  </si>
  <si>
    <t>PT10574</t>
  </si>
  <si>
    <t>CLM101104</t>
  </si>
  <si>
    <t>CLM101105</t>
  </si>
  <si>
    <t>CLM101106</t>
  </si>
  <si>
    <t>PT12664</t>
  </si>
  <si>
    <t>CLM101107</t>
  </si>
  <si>
    <t>PT11644</t>
  </si>
  <si>
    <t>CLM101108</t>
  </si>
  <si>
    <t>CLM101109</t>
  </si>
  <si>
    <t>PT10773</t>
  </si>
  <si>
    <t>CLM101110</t>
  </si>
  <si>
    <t>PT10942</t>
  </si>
  <si>
    <t>CLM101111</t>
  </si>
  <si>
    <t>PT10504</t>
  </si>
  <si>
    <t>CLM101112</t>
  </si>
  <si>
    <t>CLM101113</t>
  </si>
  <si>
    <t>PT11473</t>
  </si>
  <si>
    <t>CLM101114</t>
  </si>
  <si>
    <t>PT11778</t>
  </si>
  <si>
    <t>CLM101115</t>
  </si>
  <si>
    <t>PT11125</t>
  </si>
  <si>
    <t>CLM101116</t>
  </si>
  <si>
    <t>PT13030</t>
  </si>
  <si>
    <t>CLM101117</t>
  </si>
  <si>
    <t>CLM101118</t>
  </si>
  <si>
    <t>PT11927</t>
  </si>
  <si>
    <t>CLM101119</t>
  </si>
  <si>
    <t>PT10410</t>
  </si>
  <si>
    <t>CLM101120</t>
  </si>
  <si>
    <t>PT11275</t>
  </si>
  <si>
    <t>CLM101121</t>
  </si>
  <si>
    <t>PT12018</t>
  </si>
  <si>
    <t>CLM101122</t>
  </si>
  <si>
    <t>CLM101123</t>
  </si>
  <si>
    <t>CLM101125</t>
  </si>
  <si>
    <t>CLM101126</t>
  </si>
  <si>
    <t>PT12684</t>
  </si>
  <si>
    <t>CLM101127</t>
  </si>
  <si>
    <t>PT13126</t>
  </si>
  <si>
    <t>CLM101128</t>
  </si>
  <si>
    <t>CLM101129</t>
  </si>
  <si>
    <t>CLM101130</t>
  </si>
  <si>
    <t>PT12841</t>
  </si>
  <si>
    <t>CLM101131</t>
  </si>
  <si>
    <t>PT12497</t>
  </si>
  <si>
    <t>CLM101132</t>
  </si>
  <si>
    <t>CLM101133</t>
  </si>
  <si>
    <t>CLM101134</t>
  </si>
  <si>
    <t>PT12973</t>
  </si>
  <si>
    <t>CLM101135</t>
  </si>
  <si>
    <t>PT10951</t>
  </si>
  <si>
    <t>CLM101136</t>
  </si>
  <si>
    <t>PT11398</t>
  </si>
  <si>
    <t>CLM101137</t>
  </si>
  <si>
    <t>CLM101138</t>
  </si>
  <si>
    <t>PT10232</t>
  </si>
  <si>
    <t>CLM101139</t>
  </si>
  <si>
    <t>CLM101140</t>
  </si>
  <si>
    <t>PT12296</t>
  </si>
  <si>
    <t>CLM101141</t>
  </si>
  <si>
    <t>PT10481</t>
  </si>
  <si>
    <t>CLM101142</t>
  </si>
  <si>
    <t>PT13228</t>
  </si>
  <si>
    <t>CLM101143</t>
  </si>
  <si>
    <t>CLM101144</t>
  </si>
  <si>
    <t>PT11468</t>
  </si>
  <si>
    <t>CLM101145</t>
  </si>
  <si>
    <t>CLM101146</t>
  </si>
  <si>
    <t>PT11296</t>
  </si>
  <si>
    <t>CLM101147</t>
  </si>
  <si>
    <t>CLM101148</t>
  </si>
  <si>
    <t>PT13099</t>
  </si>
  <si>
    <t>CLM101149</t>
  </si>
  <si>
    <t>PT10597</t>
  </si>
  <si>
    <t>CLM101150</t>
  </si>
  <si>
    <t>PT12512</t>
  </si>
  <si>
    <t>CLM101151</t>
  </si>
  <si>
    <t>CLM101152</t>
  </si>
  <si>
    <t>PT12278</t>
  </si>
  <si>
    <t>CLM101153</t>
  </si>
  <si>
    <t>PT13290</t>
  </si>
  <si>
    <t>CLM101154</t>
  </si>
  <si>
    <t>PT13258</t>
  </si>
  <si>
    <t>CLM101155</t>
  </si>
  <si>
    <t>PT12269</t>
  </si>
  <si>
    <t>CLM101156</t>
  </si>
  <si>
    <t>PT10090</t>
  </si>
  <si>
    <t>CLM101157</t>
  </si>
  <si>
    <t>PT12922</t>
  </si>
  <si>
    <t>CLM101158</t>
  </si>
  <si>
    <t>PT11353</t>
  </si>
  <si>
    <t>CLM101159</t>
  </si>
  <si>
    <t>PT12406</t>
  </si>
  <si>
    <t>CLM101160</t>
  </si>
  <si>
    <t>PT13423</t>
  </si>
  <si>
    <t>CLM101161</t>
  </si>
  <si>
    <t>PT12852</t>
  </si>
  <si>
    <t>CLM101162</t>
  </si>
  <si>
    <t>PT11067</t>
  </si>
  <si>
    <t>CLM101163</t>
  </si>
  <si>
    <t>PT12281</t>
  </si>
  <si>
    <t>CLM101164</t>
  </si>
  <si>
    <t>PT12326</t>
  </si>
  <si>
    <t>CLM101165</t>
  </si>
  <si>
    <t>PT12893</t>
  </si>
  <si>
    <t>CLM101166</t>
  </si>
  <si>
    <t>PT11193</t>
  </si>
  <si>
    <t>CLM101167</t>
  </si>
  <si>
    <t>CLM101168</t>
  </si>
  <si>
    <t>PT10771</t>
  </si>
  <si>
    <t>CLM101169</t>
  </si>
  <si>
    <t>PT13100</t>
  </si>
  <si>
    <t>CLM101170</t>
  </si>
  <si>
    <t>CLM101171</t>
  </si>
  <si>
    <t>PT12160</t>
  </si>
  <si>
    <t>CLM101172</t>
  </si>
  <si>
    <t>PT11240</t>
  </si>
  <si>
    <t>CLM101173</t>
  </si>
  <si>
    <t>PT10298</t>
  </si>
  <si>
    <t>CLM101174</t>
  </si>
  <si>
    <t>PT11189</t>
  </si>
  <si>
    <t>CLM101175</t>
  </si>
  <si>
    <t>PT12452</t>
  </si>
  <si>
    <t>CLM101176</t>
  </si>
  <si>
    <t>PT11676</t>
  </si>
  <si>
    <t>CLM101177</t>
  </si>
  <si>
    <t>PT10171</t>
  </si>
  <si>
    <t>CLM101178</t>
  </si>
  <si>
    <t>PT12001</t>
  </si>
  <si>
    <t>CLM101179</t>
  </si>
  <si>
    <t>PT10444</t>
  </si>
  <si>
    <t>CLM101180</t>
  </si>
  <si>
    <t>PT11920</t>
  </si>
  <si>
    <t>CLM101181</t>
  </si>
  <si>
    <t>PT11810</t>
  </si>
  <si>
    <t>CLM101182</t>
  </si>
  <si>
    <t>PT10625</t>
  </si>
  <si>
    <t>CLM101183</t>
  </si>
  <si>
    <t>PT12569</t>
  </si>
  <si>
    <t>CLM101184</t>
  </si>
  <si>
    <t>PT11679</t>
  </si>
  <si>
    <t>CLM101185</t>
  </si>
  <si>
    <t>PT10239</t>
  </si>
  <si>
    <t>CLM101186</t>
  </si>
  <si>
    <t>PT11156</t>
  </si>
  <si>
    <t>CLM101187</t>
  </si>
  <si>
    <t>PT11860</t>
  </si>
  <si>
    <t>CLM101188</t>
  </si>
  <si>
    <t>PT11507</t>
  </si>
  <si>
    <t>CLM101189</t>
  </si>
  <si>
    <t>PT10852</t>
  </si>
  <si>
    <t>CLM101190</t>
  </si>
  <si>
    <t>PT12962</t>
  </si>
  <si>
    <t>CLM101191</t>
  </si>
  <si>
    <t>PT11535</t>
  </si>
  <si>
    <t>CLM101192</t>
  </si>
  <si>
    <t>PT10208</t>
  </si>
  <si>
    <t>CLM101193</t>
  </si>
  <si>
    <t>CLM101194</t>
  </si>
  <si>
    <t>PT13024</t>
  </si>
  <si>
    <t>CLM101195</t>
  </si>
  <si>
    <t>PT10216</t>
  </si>
  <si>
    <t>CLM101196</t>
  </si>
  <si>
    <t>CLM101197</t>
  </si>
  <si>
    <t>CLM101198</t>
  </si>
  <si>
    <t>CLM101199</t>
  </si>
  <si>
    <t>PT12395</t>
  </si>
  <si>
    <t>CLM101200</t>
  </si>
  <si>
    <t>PT10282</t>
  </si>
  <si>
    <t>CLM101201</t>
  </si>
  <si>
    <t>PT12913</t>
  </si>
  <si>
    <t>CLM101202</t>
  </si>
  <si>
    <t>PT10786</t>
  </si>
  <si>
    <t>CLM101203</t>
  </si>
  <si>
    <t>PT12700</t>
  </si>
  <si>
    <t>CLM101204</t>
  </si>
  <si>
    <t>CLM101205</t>
  </si>
  <si>
    <t>PT12945</t>
  </si>
  <si>
    <t>CLM101206</t>
  </si>
  <si>
    <t>PT12084</t>
  </si>
  <si>
    <t>CLM101207</t>
  </si>
  <si>
    <t>PT13016</t>
  </si>
  <si>
    <t>CLM101208</t>
  </si>
  <si>
    <t>PT12509</t>
  </si>
  <si>
    <t>CLM101209</t>
  </si>
  <si>
    <t>PT11584</t>
  </si>
  <si>
    <t>CLM101210</t>
  </si>
  <si>
    <t>PT10757</t>
  </si>
  <si>
    <t>CLM101211</t>
  </si>
  <si>
    <t>CLM101212</t>
  </si>
  <si>
    <t>PT11412</t>
  </si>
  <si>
    <t>CLM101213</t>
  </si>
  <si>
    <t>PT13349</t>
  </si>
  <si>
    <t>CLM101214</t>
  </si>
  <si>
    <t>CLM101215</t>
  </si>
  <si>
    <t>PT10934</t>
  </si>
  <si>
    <t>CLM101216</t>
  </si>
  <si>
    <t>PT11899</t>
  </si>
  <si>
    <t>CLM101217</t>
  </si>
  <si>
    <t>CLM101218</t>
  </si>
  <si>
    <t>PT11109</t>
  </si>
  <si>
    <t>CLM101219</t>
  </si>
  <si>
    <t>PT11447</t>
  </si>
  <si>
    <t>CLM101220</t>
  </si>
  <si>
    <t>PT10886</t>
  </si>
  <si>
    <t>CLM101221</t>
  </si>
  <si>
    <t>CLM101222</t>
  </si>
  <si>
    <t>PT11831</t>
  </si>
  <si>
    <t>CLM101223</t>
  </si>
  <si>
    <t>CLM101224</t>
  </si>
  <si>
    <t>PT13331</t>
  </si>
  <si>
    <t>CLM101225</t>
  </si>
  <si>
    <t>PT10274</t>
  </si>
  <si>
    <t>CLM101226</t>
  </si>
  <si>
    <t>PT12593</t>
  </si>
  <si>
    <t>CLM101227</t>
  </si>
  <si>
    <t>PT13375</t>
  </si>
  <si>
    <t>CLM101228</t>
  </si>
  <si>
    <t>CLM101229</t>
  </si>
  <si>
    <t>PT10322</t>
  </si>
  <si>
    <t>CLM101230</t>
  </si>
  <si>
    <t>PT11867</t>
  </si>
  <si>
    <t>CLM101231</t>
  </si>
  <si>
    <t>PT10580</t>
  </si>
  <si>
    <t>CLM101232</t>
  </si>
  <si>
    <t>PT12636</t>
  </si>
  <si>
    <t>CLM101233</t>
  </si>
  <si>
    <t>CLM101234</t>
  </si>
  <si>
    <t>CLM101235</t>
  </si>
  <si>
    <t>PT10931</t>
  </si>
  <si>
    <t>CLM101236</t>
  </si>
  <si>
    <t>CLM101237</t>
  </si>
  <si>
    <t>CLM101238</t>
  </si>
  <si>
    <t>PT13395</t>
  </si>
  <si>
    <t>CLM101239</t>
  </si>
  <si>
    <t>PT11608</t>
  </si>
  <si>
    <t>CLM101240</t>
  </si>
  <si>
    <t>PT10461</t>
  </si>
  <si>
    <t>CLM101241</t>
  </si>
  <si>
    <t>PT11478</t>
  </si>
  <si>
    <t>CLM101242</t>
  </si>
  <si>
    <t>PT10845</t>
  </si>
  <si>
    <t>CLM101243</t>
  </si>
  <si>
    <t>CLM101244</t>
  </si>
  <si>
    <t>PT10219</t>
  </si>
  <si>
    <t>CLM101245</t>
  </si>
  <si>
    <t>CLM101246</t>
  </si>
  <si>
    <t>PT11864</t>
  </si>
  <si>
    <t>CLM101247</t>
  </si>
  <si>
    <t>PT10152</t>
  </si>
  <si>
    <t>CLM101248</t>
  </si>
  <si>
    <t>PT11153</t>
  </si>
  <si>
    <t>CLM101249</t>
  </si>
  <si>
    <t>PT12289</t>
  </si>
  <si>
    <t>CLM101250</t>
  </si>
  <si>
    <t>PT12974</t>
  </si>
  <si>
    <t>CLM101251</t>
  </si>
  <si>
    <t>PT12767</t>
  </si>
  <si>
    <t>CLM101252</t>
  </si>
  <si>
    <t>CLM101253</t>
  </si>
  <si>
    <t>PT13486</t>
  </si>
  <si>
    <t>CLM101254</t>
  </si>
  <si>
    <t>PT10425</t>
  </si>
  <si>
    <t>CLM101255</t>
  </si>
  <si>
    <t>CLM101256</t>
  </si>
  <si>
    <t>CLM101257</t>
  </si>
  <si>
    <t>CLM101258</t>
  </si>
  <si>
    <t>PT10487</t>
  </si>
  <si>
    <t>CLM101259</t>
  </si>
  <si>
    <t>PT12601</t>
  </si>
  <si>
    <t>CLM101260</t>
  </si>
  <si>
    <t>PT13083</t>
  </si>
  <si>
    <t>CLM101261</t>
  </si>
  <si>
    <t>PT13109</t>
  </si>
  <si>
    <t>CLM101262</t>
  </si>
  <si>
    <t>CLM101263</t>
  </si>
  <si>
    <t>CLM101264</t>
  </si>
  <si>
    <t>CLM101265</t>
  </si>
  <si>
    <t>CLM101266</t>
  </si>
  <si>
    <t>PT12797</t>
  </si>
  <si>
    <t>CLM101267</t>
  </si>
  <si>
    <t>PT11794</t>
  </si>
  <si>
    <t>CLM101268</t>
  </si>
  <si>
    <t>PT11142</t>
  </si>
  <si>
    <t>CLM101269</t>
  </si>
  <si>
    <t>PT10495</t>
  </si>
  <si>
    <t>CLM101270</t>
  </si>
  <si>
    <t>CLM101271</t>
  </si>
  <si>
    <t>CLM101272</t>
  </si>
  <si>
    <t>CLM101273</t>
  </si>
  <si>
    <t>PT12088</t>
  </si>
  <si>
    <t>CLM101274</t>
  </si>
  <si>
    <t>PT12562</t>
  </si>
  <si>
    <t>CLM101275</t>
  </si>
  <si>
    <t>CLM101276</t>
  </si>
  <si>
    <t>PT12456</t>
  </si>
  <si>
    <t>CLM101277</t>
  </si>
  <si>
    <t>PT13304</t>
  </si>
  <si>
    <t>CLM101278</t>
  </si>
  <si>
    <t>PT11922</t>
  </si>
  <si>
    <t>CLM101279</t>
  </si>
  <si>
    <t>PT10933</t>
  </si>
  <si>
    <t>CLM101280</t>
  </si>
  <si>
    <t>PT13147</t>
  </si>
  <si>
    <t>CLM101281</t>
  </si>
  <si>
    <t>PT12382</t>
  </si>
  <si>
    <t>CLM101282</t>
  </si>
  <si>
    <t>CLM101283</t>
  </si>
  <si>
    <t>CLM101284</t>
  </si>
  <si>
    <t>PT12324</t>
  </si>
  <si>
    <t>CLM101285</t>
  </si>
  <si>
    <t>PT13113</t>
  </si>
  <si>
    <t>CLM101286</t>
  </si>
  <si>
    <t>PT10839</t>
  </si>
  <si>
    <t>CLM101287</t>
  </si>
  <si>
    <t>PT12263</t>
  </si>
  <si>
    <t>CLM101288</t>
  </si>
  <si>
    <t>PT10832</t>
  </si>
  <si>
    <t>CLM101289</t>
  </si>
  <si>
    <t>PT11664</t>
  </si>
  <si>
    <t>CLM101290</t>
  </si>
  <si>
    <t>CLM101291</t>
  </si>
  <si>
    <t>CLM101292</t>
  </si>
  <si>
    <t>CLM101293</t>
  </si>
  <si>
    <t>PT10099</t>
  </si>
  <si>
    <t>CLM101294</t>
  </si>
  <si>
    <t>CLM101295</t>
  </si>
  <si>
    <t>CLM101296</t>
  </si>
  <si>
    <t>PT12848</t>
  </si>
  <si>
    <t>CLM101297</t>
  </si>
  <si>
    <t>CLM101298</t>
  </si>
  <si>
    <t>PT11180</t>
  </si>
  <si>
    <t>CLM101299</t>
  </si>
  <si>
    <t>CLM101300</t>
  </si>
  <si>
    <t>PT11333</t>
  </si>
  <si>
    <t>CLM101301</t>
  </si>
  <si>
    <t>CLM101302</t>
  </si>
  <si>
    <t>PT10556</t>
  </si>
  <si>
    <t>CLM101303</t>
  </si>
  <si>
    <t>PT13221</t>
  </si>
  <si>
    <t>CLM101304</t>
  </si>
  <si>
    <t>PT10847</t>
  </si>
  <si>
    <t>CLM101305</t>
  </si>
  <si>
    <t>PT10882</t>
  </si>
  <si>
    <t>CLM101306</t>
  </si>
  <si>
    <t>PT10582</t>
  </si>
  <si>
    <t>CLM101307</t>
  </si>
  <si>
    <t>CLM101308</t>
  </si>
  <si>
    <t>PT12450</t>
  </si>
  <si>
    <t>CLM101309</t>
  </si>
  <si>
    <t>PT10045</t>
  </si>
  <si>
    <t>CLM101310</t>
  </si>
  <si>
    <t>PT13270</t>
  </si>
  <si>
    <t>CLM101311</t>
  </si>
  <si>
    <t>PT12729</t>
  </si>
  <si>
    <t>CLM101312</t>
  </si>
  <si>
    <t>PT12996</t>
  </si>
  <si>
    <t>CLM101313</t>
  </si>
  <si>
    <t>PT11713</t>
  </si>
  <si>
    <t>CLM101314</t>
  </si>
  <si>
    <t>PT10669</t>
  </si>
  <si>
    <t>CLM101315</t>
  </si>
  <si>
    <t>PT13484</t>
  </si>
  <si>
    <t>CLM101316</t>
  </si>
  <si>
    <t>CLM101317</t>
  </si>
  <si>
    <t>PT11344</t>
  </si>
  <si>
    <t>CLM101318</t>
  </si>
  <si>
    <t>PT13209</t>
  </si>
  <si>
    <t>CLM101319</t>
  </si>
  <si>
    <t>PT13174</t>
  </si>
  <si>
    <t>CLM101320</t>
  </si>
  <si>
    <t>CLM101321</t>
  </si>
  <si>
    <t>PT13261</t>
  </si>
  <si>
    <t>CLM101322</t>
  </si>
  <si>
    <t>PT10008</t>
  </si>
  <si>
    <t>CLM101323</t>
  </si>
  <si>
    <t>PT11352</t>
  </si>
  <si>
    <t>CLM101324</t>
  </si>
  <si>
    <t>CLM101325</t>
  </si>
  <si>
    <t>PT12108</t>
  </si>
  <si>
    <t>CLM101326</t>
  </si>
  <si>
    <t>PT11712</t>
  </si>
  <si>
    <t>CLM101327</t>
  </si>
  <si>
    <t>CLM101328</t>
  </si>
  <si>
    <t>PT12904</t>
  </si>
  <si>
    <t>CLM101329</t>
  </si>
  <si>
    <t>PT12038</t>
  </si>
  <si>
    <t>CLM101330</t>
  </si>
  <si>
    <t>PT13208</t>
  </si>
  <si>
    <t>CLM101331</t>
  </si>
  <si>
    <t>PT10828</t>
  </si>
  <si>
    <t>CLM101333</t>
  </si>
  <si>
    <t>CLM101334</t>
  </si>
  <si>
    <t>CLM101335</t>
  </si>
  <si>
    <t>PT13419</t>
  </si>
  <si>
    <t>CLM101336</t>
  </si>
  <si>
    <t>CLM101337</t>
  </si>
  <si>
    <t>CLM101338</t>
  </si>
  <si>
    <t>CLM101339</t>
  </si>
  <si>
    <t>CLM101340</t>
  </si>
  <si>
    <t>CLM101341</t>
  </si>
  <si>
    <t>CLM101342</t>
  </si>
  <si>
    <t>PT10500</t>
  </si>
  <si>
    <t>CLM101343</t>
  </si>
  <si>
    <t>CLM101344</t>
  </si>
  <si>
    <t>PT10122</t>
  </si>
  <si>
    <t>CLM101345</t>
  </si>
  <si>
    <t>PT12543</t>
  </si>
  <si>
    <t>CLM101346</t>
  </si>
  <si>
    <t>PT11510</t>
  </si>
  <si>
    <t>CLM101347</t>
  </si>
  <si>
    <t>PT11702</t>
  </si>
  <si>
    <t>CLM101348</t>
  </si>
  <si>
    <t>PT10490</t>
  </si>
  <si>
    <t>CLM101349</t>
  </si>
  <si>
    <t>PT10224</t>
  </si>
  <si>
    <t>CLM101350</t>
  </si>
  <si>
    <t>PT11490</t>
  </si>
  <si>
    <t>CLM101351</t>
  </si>
  <si>
    <t>PT12150</t>
  </si>
  <si>
    <t>CLM101352</t>
  </si>
  <si>
    <t>PT13324</t>
  </si>
  <si>
    <t>CLM101353</t>
  </si>
  <si>
    <t>PT11277</t>
  </si>
  <si>
    <t>CLM101354</t>
  </si>
  <si>
    <t>PT11662</t>
  </si>
  <si>
    <t>CLM101355</t>
  </si>
  <si>
    <t>PT12583</t>
  </si>
  <si>
    <t>CLM101357</t>
  </si>
  <si>
    <t>CLM101358</t>
  </si>
  <si>
    <t>CLM101360</t>
  </si>
  <si>
    <t>PT10542</t>
  </si>
  <si>
    <t>CLM101361</t>
  </si>
  <si>
    <t>PT12669</t>
  </si>
  <si>
    <t>CLM101362</t>
  </si>
  <si>
    <t>PT11331</t>
  </si>
  <si>
    <t>CLM101363</t>
  </si>
  <si>
    <t>PT12006</t>
  </si>
  <si>
    <t>CLM101364</t>
  </si>
  <si>
    <t>PT11693</t>
  </si>
  <si>
    <t>CLM101365</t>
  </si>
  <si>
    <t>PT12819</t>
  </si>
  <si>
    <t>CLM101366</t>
  </si>
  <si>
    <t>CLM101367</t>
  </si>
  <si>
    <t>PT13057</t>
  </si>
  <si>
    <t>CLM101368</t>
  </si>
  <si>
    <t>PT12570</t>
  </si>
  <si>
    <t>CLM101369</t>
  </si>
  <si>
    <t>PT11970</t>
  </si>
  <si>
    <t>CLM101370</t>
  </si>
  <si>
    <t>PT10393</t>
  </si>
  <si>
    <t>CLM101371</t>
  </si>
  <si>
    <t>PT12019</t>
  </si>
  <si>
    <t>CLM101372</t>
  </si>
  <si>
    <t>PT10420</t>
  </si>
  <si>
    <t>CLM101373</t>
  </si>
  <si>
    <t>CLM101374</t>
  </si>
  <si>
    <t>PT10180</t>
  </si>
  <si>
    <t>CLM101375</t>
  </si>
  <si>
    <t>PT13259</t>
  </si>
  <si>
    <t>CLM101376</t>
  </si>
  <si>
    <t>CLM101377</t>
  </si>
  <si>
    <t>PT10185</t>
  </si>
  <si>
    <t>CLM101378</t>
  </si>
  <si>
    <t>PT11501</t>
  </si>
  <si>
    <t>CLM101379</t>
  </si>
  <si>
    <t>CLM101380</t>
  </si>
  <si>
    <t>PT11090</t>
  </si>
  <si>
    <t>CLM101381</t>
  </si>
  <si>
    <t>PT13394</t>
  </si>
  <si>
    <t>CLM101382</t>
  </si>
  <si>
    <t>PT10803</t>
  </si>
  <si>
    <t>CLM101383</t>
  </si>
  <si>
    <t>CLM101384</t>
  </si>
  <si>
    <t>CLM101385</t>
  </si>
  <si>
    <t>PT11063</t>
  </si>
  <si>
    <t>CLM101386</t>
  </si>
  <si>
    <t>PT12121</t>
  </si>
  <si>
    <t>CLM101387</t>
  </si>
  <si>
    <t>CLM101388</t>
  </si>
  <si>
    <t>PT10338</t>
  </si>
  <si>
    <t>CLM101389</t>
  </si>
  <si>
    <t>CLM101390</t>
  </si>
  <si>
    <t>CLM101391</t>
  </si>
  <si>
    <t>PT12053</t>
  </si>
  <si>
    <t>CLM101392</t>
  </si>
  <si>
    <t>CLM101393</t>
  </si>
  <si>
    <t>CLM101394</t>
  </si>
  <si>
    <t>PT11680</t>
  </si>
  <si>
    <t>CLM101395</t>
  </si>
  <si>
    <t>PT10515</t>
  </si>
  <si>
    <t>CLM101396</t>
  </si>
  <si>
    <t>CLM101397</t>
  </si>
  <si>
    <t>PT12164</t>
  </si>
  <si>
    <t>CLM101398</t>
  </si>
  <si>
    <t>PT11669</t>
  </si>
  <si>
    <t>CLM101399</t>
  </si>
  <si>
    <t>PT10876</t>
  </si>
  <si>
    <t>CLM101400</t>
  </si>
  <si>
    <t>CLM101401</t>
  </si>
  <si>
    <t>CLM101402</t>
  </si>
  <si>
    <t>PT12172</t>
  </si>
  <si>
    <t>CLM101403</t>
  </si>
  <si>
    <t>PT12759</t>
  </si>
  <si>
    <t>CLM101404</t>
  </si>
  <si>
    <t>PT12155</t>
  </si>
  <si>
    <t>CLM101405</t>
  </si>
  <si>
    <t>PT11910</t>
  </si>
  <si>
    <t>CLM101406</t>
  </si>
  <si>
    <t>PT10160</t>
  </si>
  <si>
    <t>CLM101407</t>
  </si>
  <si>
    <t>CLM101408</t>
  </si>
  <si>
    <t>CLM101409</t>
  </si>
  <si>
    <t>CLM101410</t>
  </si>
  <si>
    <t>PT12154</t>
  </si>
  <si>
    <t>CLM101411</t>
  </si>
  <si>
    <t>PT13098</t>
  </si>
  <si>
    <t>CLM101412</t>
  </si>
  <si>
    <t>PT10149</t>
  </si>
  <si>
    <t>CLM101413</t>
  </si>
  <si>
    <t>PT13244</t>
  </si>
  <si>
    <t>CLM101414</t>
  </si>
  <si>
    <t>PT12130</t>
  </si>
  <si>
    <t>CLM101415</t>
  </si>
  <si>
    <t>PT10409</t>
  </si>
  <si>
    <t>CLM101416</t>
  </si>
  <si>
    <t>CLM101417</t>
  </si>
  <si>
    <t>CLM101418</t>
  </si>
  <si>
    <t>PT10868</t>
  </si>
  <si>
    <t>CLM101419</t>
  </si>
  <si>
    <t>PT12078</t>
  </si>
  <si>
    <t>CLM101420</t>
  </si>
  <si>
    <t>CLM101421</t>
  </si>
  <si>
    <t>PT12628</t>
  </si>
  <si>
    <t>CLM101422</t>
  </si>
  <si>
    <t>PT12315</t>
  </si>
  <si>
    <t>CLM101423</t>
  </si>
  <si>
    <t>PT10443</t>
  </si>
  <si>
    <t>CLM101424</t>
  </si>
  <si>
    <t>PT12548</t>
  </si>
  <si>
    <t>CLM101425</t>
  </si>
  <si>
    <t>PT10712</t>
  </si>
  <si>
    <t>CLM101426</t>
  </si>
  <si>
    <t>PT12692</t>
  </si>
  <si>
    <t>CLM101427</t>
  </si>
  <si>
    <t>PT12498</t>
  </si>
  <si>
    <t>CLM101428</t>
  </si>
  <si>
    <t>PT11666</t>
  </si>
  <si>
    <t>CLM101429</t>
  </si>
  <si>
    <t>PT13306</t>
  </si>
  <si>
    <t>CLM101430</t>
  </si>
  <si>
    <t>CLM101431</t>
  </si>
  <si>
    <t>PT12459</t>
  </si>
  <si>
    <t>CLM101432</t>
  </si>
  <si>
    <t>PT10271</t>
  </si>
  <si>
    <t>CLM101433</t>
  </si>
  <si>
    <t>PT11670</t>
  </si>
  <si>
    <t>CLM101434</t>
  </si>
  <si>
    <t>CLM101435</t>
  </si>
  <si>
    <t>PT11411</t>
  </si>
  <si>
    <t>CLM101436</t>
  </si>
  <si>
    <t>PT13150</t>
  </si>
  <si>
    <t>CLM101437</t>
  </si>
  <si>
    <t>PT11286</t>
  </si>
  <si>
    <t>CLM101438</t>
  </si>
  <si>
    <t>PT13073</t>
  </si>
  <si>
    <t>CLM101439</t>
  </si>
  <si>
    <t>PT12427</t>
  </si>
  <si>
    <t>CLM101440</t>
  </si>
  <si>
    <t>CLM101441</t>
  </si>
  <si>
    <t>CLM101442</t>
  </si>
  <si>
    <t>CLM101443</t>
  </si>
  <si>
    <t>PT12226</t>
  </si>
  <si>
    <t>CLM101444</t>
  </si>
  <si>
    <t>PT11649</t>
  </si>
  <si>
    <t>CLM101446</t>
  </si>
  <si>
    <t>PT10345</t>
  </si>
  <si>
    <t>CLM101447</t>
  </si>
  <si>
    <t>CLM101448</t>
  </si>
  <si>
    <t>PT11340</t>
  </si>
  <si>
    <t>CLM101449</t>
  </si>
  <si>
    <t>PT10648</t>
  </si>
  <si>
    <t>CLM101450</t>
  </si>
  <si>
    <t>CLM101451</t>
  </si>
  <si>
    <t>CLM101452</t>
  </si>
  <si>
    <t>PT10375</t>
  </si>
  <si>
    <t>CLM101453</t>
  </si>
  <si>
    <t>CLM101454</t>
  </si>
  <si>
    <t>CLM101455</t>
  </si>
  <si>
    <t>PT12023</t>
  </si>
  <si>
    <t>CLM101456</t>
  </si>
  <si>
    <t>PT10212</t>
  </si>
  <si>
    <t>CLM101457</t>
  </si>
  <si>
    <t>PT12219</t>
  </si>
  <si>
    <t>CLM101458</t>
  </si>
  <si>
    <t>CLM101459</t>
  </si>
  <si>
    <t>PT13400</t>
  </si>
  <si>
    <t>CLM101461</t>
  </si>
  <si>
    <t>CLM101462</t>
  </si>
  <si>
    <t>PT11498</t>
  </si>
  <si>
    <t>CLM101463</t>
  </si>
  <si>
    <t>PT12766</t>
  </si>
  <si>
    <t>CLM101464</t>
  </si>
  <si>
    <t>PT13434</t>
  </si>
  <si>
    <t>CLM101465</t>
  </si>
  <si>
    <t>PT12985</t>
  </si>
  <si>
    <t>CLM101466</t>
  </si>
  <si>
    <t>PT10065</t>
  </si>
  <si>
    <t>CLM101467</t>
  </si>
  <si>
    <t>PT13179</t>
  </si>
  <si>
    <t>CLM101468</t>
  </si>
  <si>
    <t>CLM101469</t>
  </si>
  <si>
    <t>CLM101470</t>
  </si>
  <si>
    <t>PT11223</t>
  </si>
  <si>
    <t>CLM101471</t>
  </si>
  <si>
    <t>CLM101472</t>
  </si>
  <si>
    <t>PT11361</t>
  </si>
  <si>
    <t>CLM101473</t>
  </si>
  <si>
    <t>PT10297</t>
  </si>
  <si>
    <t>CLM101474</t>
  </si>
  <si>
    <t>PT13023</t>
  </si>
  <si>
    <t>CLM101475</t>
  </si>
  <si>
    <t>PT10590</t>
  </si>
  <si>
    <t>CLM101476</t>
  </si>
  <si>
    <t>CLM101477</t>
  </si>
  <si>
    <t>PT12898</t>
  </si>
  <si>
    <t>CLM101478</t>
  </si>
  <si>
    <t>PT10241</t>
  </si>
  <si>
    <t>CLM101479</t>
  </si>
  <si>
    <t>CLM101480</t>
  </si>
  <si>
    <t>CLM101481</t>
  </si>
  <si>
    <t>PT11566</t>
  </si>
  <si>
    <t>CLM101482</t>
  </si>
  <si>
    <t>PT10812</t>
  </si>
  <si>
    <t>CLM101483</t>
  </si>
  <si>
    <t>PT10744</t>
  </si>
  <si>
    <t>CLM101484</t>
  </si>
  <si>
    <t>PT11339</t>
  </si>
  <si>
    <t>CLM101485</t>
  </si>
  <si>
    <t>PT12877</t>
  </si>
  <si>
    <t>CLM101486</t>
  </si>
  <si>
    <t>PT10896</t>
  </si>
  <si>
    <t>CLM101487</t>
  </si>
  <si>
    <t>CLM101488</t>
  </si>
  <si>
    <t>PT13111</t>
  </si>
  <si>
    <t>CLM101489</t>
  </si>
  <si>
    <t>PT10535</t>
  </si>
  <si>
    <t>CLM101490</t>
  </si>
  <si>
    <t>CLM101491</t>
  </si>
  <si>
    <t>PT11430</t>
  </si>
  <si>
    <t>CLM101493</t>
  </si>
  <si>
    <t>PT11139</t>
  </si>
  <si>
    <t>CLM101494</t>
  </si>
  <si>
    <t>CLM101495</t>
  </si>
  <si>
    <t>PT10378</t>
  </si>
  <si>
    <t>CLM101496</t>
  </si>
  <si>
    <t>PT11925</t>
  </si>
  <si>
    <t>CLM101497</t>
  </si>
  <si>
    <t>CLM101498</t>
  </si>
  <si>
    <t>CLM101499</t>
  </si>
  <si>
    <t>PT10151</t>
  </si>
  <si>
    <t>CLM101500</t>
  </si>
  <si>
    <t>PT11234</t>
  </si>
  <si>
    <t>CLM101501</t>
  </si>
  <si>
    <t>PT10035</t>
  </si>
  <si>
    <t>CLM101502</t>
  </si>
  <si>
    <t>PT10793</t>
  </si>
  <si>
    <t>CLM101503</t>
  </si>
  <si>
    <t>CLM101504</t>
  </si>
  <si>
    <t>PT12251</t>
  </si>
  <si>
    <t>CLM101505</t>
  </si>
  <si>
    <t>PT10663</t>
  </si>
  <si>
    <t>CLM101506</t>
  </si>
  <si>
    <t>CLM101507</t>
  </si>
  <si>
    <t>PT12033</t>
  </si>
  <si>
    <t>CLM101508</t>
  </si>
  <si>
    <t>PT11523</t>
  </si>
  <si>
    <t>CLM101509</t>
  </si>
  <si>
    <t>PT10243</t>
  </si>
  <si>
    <t>CLM101510</t>
  </si>
  <si>
    <t>PT11840</t>
  </si>
  <si>
    <t>CLM101511</t>
  </si>
  <si>
    <t>CLM101512</t>
  </si>
  <si>
    <t>CLM101513</t>
  </si>
  <si>
    <t>PT10817</t>
  </si>
  <si>
    <t>CLM101514</t>
  </si>
  <si>
    <t>PT11744</t>
  </si>
  <si>
    <t>CLM101515</t>
  </si>
  <si>
    <t>PT10641</t>
  </si>
  <si>
    <t>CLM101516</t>
  </si>
  <si>
    <t>PT13496</t>
  </si>
  <si>
    <t>CLM101517</t>
  </si>
  <si>
    <t>PT11033</t>
  </si>
  <si>
    <t>CLM101518</t>
  </si>
  <si>
    <t>PT12500</t>
  </si>
  <si>
    <t>CLM101519</t>
  </si>
  <si>
    <t>PT10813</t>
  </si>
  <si>
    <t>CLM101520</t>
  </si>
  <si>
    <t>PT10407</t>
  </si>
  <si>
    <t>CLM101521</t>
  </si>
  <si>
    <t>PT13018</t>
  </si>
  <si>
    <t>CLM101522</t>
  </si>
  <si>
    <t>CLM101523</t>
  </si>
  <si>
    <t>CLM101524</t>
  </si>
  <si>
    <t>PT10963</t>
  </si>
  <si>
    <t>CLM101525</t>
  </si>
  <si>
    <t>PT12709</t>
  </si>
  <si>
    <t>CLM101526</t>
  </si>
  <si>
    <t>CLM101527</t>
  </si>
  <si>
    <t>PT13449</t>
  </si>
  <si>
    <t>CLM101528</t>
  </si>
  <si>
    <t>CLM101529</t>
  </si>
  <si>
    <t>PT11094</t>
  </si>
  <si>
    <t>CLM101530</t>
  </si>
  <si>
    <t>PT11749</t>
  </si>
  <si>
    <t>CLM101531</t>
  </si>
  <si>
    <t>PT10438</t>
  </si>
  <si>
    <t>CLM101532</t>
  </si>
  <si>
    <t>PT12477</t>
  </si>
  <si>
    <t>CLM101533</t>
  </si>
  <si>
    <t>CLM101534</t>
  </si>
  <si>
    <t>PT13381</t>
  </si>
  <si>
    <t>CLM101535</t>
  </si>
  <si>
    <t>PT12515</t>
  </si>
  <si>
    <t>CLM101536</t>
  </si>
  <si>
    <t>PT11740</t>
  </si>
  <si>
    <t>CLM101537</t>
  </si>
  <si>
    <t>CLM101538</t>
  </si>
  <si>
    <t>PT10764</t>
  </si>
  <si>
    <t>CLM101539</t>
  </si>
  <si>
    <t>PT12029</t>
  </si>
  <si>
    <t>CLM101540</t>
  </si>
  <si>
    <t>CLM101541</t>
  </si>
  <si>
    <t>PT12435</t>
  </si>
  <si>
    <t>CLM101542</t>
  </si>
  <si>
    <t>PT11813</t>
  </si>
  <si>
    <t>CLM101543</t>
  </si>
  <si>
    <t>PT12525</t>
  </si>
  <si>
    <t>CLM101544</t>
  </si>
  <si>
    <t>PT12075</t>
  </si>
  <si>
    <t>CLM101545</t>
  </si>
  <si>
    <t>CLM101547</t>
  </si>
  <si>
    <t>PT13410</t>
  </si>
  <si>
    <t>CLM101548</t>
  </si>
  <si>
    <t>PT11525</t>
  </si>
  <si>
    <t>CLM101549</t>
  </si>
  <si>
    <t>CLM101550</t>
  </si>
  <si>
    <t>PT10204</t>
  </si>
  <si>
    <t>CLM101551</t>
  </si>
  <si>
    <t>CLM101552</t>
  </si>
  <si>
    <t>CLM101553</t>
  </si>
  <si>
    <t>CLM101554</t>
  </si>
  <si>
    <t>PT10623</t>
  </si>
  <si>
    <t>CLM101555</t>
  </si>
  <si>
    <t>PT13128</t>
  </si>
  <si>
    <t>CLM101556</t>
  </si>
  <si>
    <t>PT12184</t>
  </si>
  <si>
    <t>CLM101557</t>
  </si>
  <si>
    <t>CLM101558</t>
  </si>
  <si>
    <t>PT11827</t>
  </si>
  <si>
    <t>CLM101559</t>
  </si>
  <si>
    <t>CLM101560</t>
  </si>
  <si>
    <t>CLM101561</t>
  </si>
  <si>
    <t>CLM101562</t>
  </si>
  <si>
    <t>PT10314</t>
  </si>
  <si>
    <t>CLM101563</t>
  </si>
  <si>
    <t>PT12794</t>
  </si>
  <si>
    <t>CLM101564</t>
  </si>
  <si>
    <t>PT12004</t>
  </si>
  <si>
    <t>CLM101565</t>
  </si>
  <si>
    <t>CLM101566</t>
  </si>
  <si>
    <t>PT11583</t>
  </si>
  <si>
    <t>CLM101567</t>
  </si>
  <si>
    <t>PT11251</t>
  </si>
  <si>
    <t>CLM101568</t>
  </si>
  <si>
    <t>PT11173</t>
  </si>
  <si>
    <t>CLM101569</t>
  </si>
  <si>
    <t>PT11071</t>
  </si>
  <si>
    <t>CLM101570</t>
  </si>
  <si>
    <t>CLM101571</t>
  </si>
  <si>
    <t>PT12099</t>
  </si>
  <si>
    <t>CLM101572</t>
  </si>
  <si>
    <t>PT12828</t>
  </si>
  <si>
    <t>CLM101573</t>
  </si>
  <si>
    <t>PT13439</t>
  </si>
  <si>
    <t>CLM101574</t>
  </si>
  <si>
    <t>PT10716</t>
  </si>
  <si>
    <t>CLM101575</t>
  </si>
  <si>
    <t>PT10618</t>
  </si>
  <si>
    <t>CLM101576</t>
  </si>
  <si>
    <t>CLM101577</t>
  </si>
  <si>
    <t>CLM101578</t>
  </si>
  <si>
    <t>PT12771</t>
  </si>
  <si>
    <t>CLM101579</t>
  </si>
  <si>
    <t>PT12661</t>
  </si>
  <si>
    <t>CLM101580</t>
  </si>
  <si>
    <t>PT10142</t>
  </si>
  <si>
    <t>CLM101581</t>
  </si>
  <si>
    <t>PT11349</t>
  </si>
  <si>
    <t>CLM101582</t>
  </si>
  <si>
    <t>CLM101583</t>
  </si>
  <si>
    <t>PT13308</t>
  </si>
  <si>
    <t>CLM101584</t>
  </si>
  <si>
    <t>PT13166</t>
  </si>
  <si>
    <t>CLM101585</t>
  </si>
  <si>
    <t>PT10652</t>
  </si>
  <si>
    <t>CLM101586</t>
  </si>
  <si>
    <t>PT13201</t>
  </si>
  <si>
    <t>CLM101587</t>
  </si>
  <si>
    <t>PT10095</t>
  </si>
  <si>
    <t>CLM101588</t>
  </si>
  <si>
    <t>CLM101589</t>
  </si>
  <si>
    <t>PT13211</t>
  </si>
  <si>
    <t>CLM101590</t>
  </si>
  <si>
    <t>CLM101591</t>
  </si>
  <si>
    <t>PT10564</t>
  </si>
  <si>
    <t>CLM101592</t>
  </si>
  <si>
    <t>PT12953</t>
  </si>
  <si>
    <t>CLM101593</t>
  </si>
  <si>
    <t>CLM101594</t>
  </si>
  <si>
    <t>CLM101595</t>
  </si>
  <si>
    <t>CLM101596</t>
  </si>
  <si>
    <t>CLM101598</t>
  </si>
  <si>
    <t>PT10374</t>
  </si>
  <si>
    <t>CLM101599</t>
  </si>
  <si>
    <t>PT11290</t>
  </si>
  <si>
    <t>CLM101600</t>
  </si>
  <si>
    <t>PT13362</t>
  </si>
  <si>
    <t>CLM101601</t>
  </si>
  <si>
    <t>CLM101602</t>
  </si>
  <si>
    <t>PT11692</t>
  </si>
  <si>
    <t>CLM101603</t>
  </si>
  <si>
    <t>PT12557</t>
  </si>
  <si>
    <t>CLM101604</t>
  </si>
  <si>
    <t>PT10145</t>
  </si>
  <si>
    <t>CLM101605</t>
  </si>
  <si>
    <t>PT11793</t>
  </si>
  <si>
    <t>CLM101606</t>
  </si>
  <si>
    <t>CLM101607</t>
  </si>
  <si>
    <t>PT13480</t>
  </si>
  <si>
    <t>CLM101608</t>
  </si>
  <si>
    <t>CLM101609</t>
  </si>
  <si>
    <t>PT13136</t>
  </si>
  <si>
    <t>CLM101610</t>
  </si>
  <si>
    <t>PT10956</t>
  </si>
  <si>
    <t>CLM101611</t>
  </si>
  <si>
    <t>CLM101612</t>
  </si>
  <si>
    <t>PT10957</t>
  </si>
  <si>
    <t>CLM101613</t>
  </si>
  <si>
    <t>CLM101614</t>
  </si>
  <si>
    <t>CLM101615</t>
  </si>
  <si>
    <t>CLM101616</t>
  </si>
  <si>
    <t>CLM101617</t>
  </si>
  <si>
    <t>CLM101618</t>
  </si>
  <si>
    <t>PT10263</t>
  </si>
  <si>
    <t>CLM101619</t>
  </si>
  <si>
    <t>PT11417</t>
  </si>
  <si>
    <t>CLM101620</t>
  </si>
  <si>
    <t>PT12332</t>
  </si>
  <si>
    <t>CLM101621</t>
  </si>
  <si>
    <t>CLM101622</t>
  </si>
  <si>
    <t>PT11256</t>
  </si>
  <si>
    <t>CLM101623</t>
  </si>
  <si>
    <t>CLM101624</t>
  </si>
  <si>
    <t>PT10433</t>
  </si>
  <si>
    <t>CLM101625</t>
  </si>
  <si>
    <t>CLM101626</t>
  </si>
  <si>
    <t>PT11000</t>
  </si>
  <si>
    <t>CLM101627</t>
  </si>
  <si>
    <t>CLM101628</t>
  </si>
  <si>
    <t>PT11368</t>
  </si>
  <si>
    <t>CLM101629</t>
  </si>
  <si>
    <t>PT11276</t>
  </si>
  <si>
    <t>CLM101630</t>
  </si>
  <si>
    <t>PT11874</t>
  </si>
  <si>
    <t>CLM101631</t>
  </si>
  <si>
    <t>CLM101632</t>
  </si>
  <si>
    <t>CLM101633</t>
  </si>
  <si>
    <t>CLM101634</t>
  </si>
  <si>
    <t>CLM101635</t>
  </si>
  <si>
    <t>CLM101636</t>
  </si>
  <si>
    <t>CLM101637</t>
  </si>
  <si>
    <t>PT10554</t>
  </si>
  <si>
    <t>CLM101638</t>
  </si>
  <si>
    <t>PT10270</t>
  </si>
  <si>
    <t>CLM101639</t>
  </si>
  <si>
    <t>PT10851</t>
  </si>
  <si>
    <t>CLM101640</t>
  </si>
  <si>
    <t>PT10520</t>
  </si>
  <si>
    <t>CLM101641</t>
  </si>
  <si>
    <t>PT10807</t>
  </si>
  <si>
    <t>CLM101642</t>
  </si>
  <si>
    <t>CLM101643</t>
  </si>
  <si>
    <t>PT13040</t>
  </si>
  <si>
    <t>CLM101644</t>
  </si>
  <si>
    <t>PT10488</t>
  </si>
  <si>
    <t>CLM101645</t>
  </si>
  <si>
    <t>CLM101646</t>
  </si>
  <si>
    <t>PT11569</t>
  </si>
  <si>
    <t>CLM101647</t>
  </si>
  <si>
    <t>PT11230</t>
  </si>
  <si>
    <t>CLM101648</t>
  </si>
  <si>
    <t>PT11408</t>
  </si>
  <si>
    <t>CLM101649</t>
  </si>
  <si>
    <t>CLM101650</t>
  </si>
  <si>
    <t>CLM101651</t>
  </si>
  <si>
    <t>CLM101653</t>
  </si>
  <si>
    <t>PT11887</t>
  </si>
  <si>
    <t>CLM101654</t>
  </si>
  <si>
    <t>PT10317</t>
  </si>
  <si>
    <t>CLM101655</t>
  </si>
  <si>
    <t>PT11514</t>
  </si>
  <si>
    <t>CLM101656</t>
  </si>
  <si>
    <t>PT11098</t>
  </si>
  <si>
    <t>CLM101657</t>
  </si>
  <si>
    <t>PT11609</t>
  </si>
  <si>
    <t>CLM101658</t>
  </si>
  <si>
    <t>PT12857</t>
  </si>
  <si>
    <t>CLM101660</t>
  </si>
  <si>
    <t>CLM101661</t>
  </si>
  <si>
    <t>PT10215</t>
  </si>
  <si>
    <t>CLM101662</t>
  </si>
  <si>
    <t>CLM101663</t>
  </si>
  <si>
    <t>CLM101664</t>
  </si>
  <si>
    <t>PT12989</t>
  </si>
  <si>
    <t>CLM101665</t>
  </si>
  <si>
    <t>CLM101666</t>
  </si>
  <si>
    <t>PT10670</t>
  </si>
  <si>
    <t>CLM101667</t>
  </si>
  <si>
    <t>CLM101668</t>
  </si>
  <si>
    <t>PT12577</t>
  </si>
  <si>
    <t>CLM101669</t>
  </si>
  <si>
    <t>PT12987</t>
  </si>
  <si>
    <t>CLM101670</t>
  </si>
  <si>
    <t>CLM101671</t>
  </si>
  <si>
    <t>PT12549</t>
  </si>
  <si>
    <t>CLM101672</t>
  </si>
  <si>
    <t>CLM101673</t>
  </si>
  <si>
    <t>PT12621</t>
  </si>
  <si>
    <t>CLM101674</t>
  </si>
  <si>
    <t>PT13493</t>
  </si>
  <si>
    <t>CLM101675</t>
  </si>
  <si>
    <t>PT12257</t>
  </si>
  <si>
    <t>CLM101676</t>
  </si>
  <si>
    <t>CLM101677</t>
  </si>
  <si>
    <t>CLM101678</t>
  </si>
  <si>
    <t>PT11959</t>
  </si>
  <si>
    <t>CLM101679</t>
  </si>
  <si>
    <t>PT12599</t>
  </si>
  <si>
    <t>CLM101680</t>
  </si>
  <si>
    <t>PT10731</t>
  </si>
  <si>
    <t>CLM101681</t>
  </si>
  <si>
    <t>CLM101682</t>
  </si>
  <si>
    <t>PT13248</t>
  </si>
  <si>
    <t>CLM101683</t>
  </si>
  <si>
    <t>PT10234</t>
  </si>
  <si>
    <t>CLM101684</t>
  </si>
  <si>
    <t>PT13273</t>
  </si>
  <si>
    <t>CLM101685</t>
  </si>
  <si>
    <t>CLM101686</t>
  </si>
  <si>
    <t>CLM101687</t>
  </si>
  <si>
    <t>CLM101688</t>
  </si>
  <si>
    <t>PT10303</t>
  </si>
  <si>
    <t>CLM101689</t>
  </si>
  <si>
    <t>PT12657</t>
  </si>
  <si>
    <t>CLM101690</t>
  </si>
  <si>
    <t>CLM101691</t>
  </si>
  <si>
    <t>PT10955</t>
  </si>
  <si>
    <t>CLM101692</t>
  </si>
  <si>
    <t>PT11115</t>
  </si>
  <si>
    <t>CLM101693</t>
  </si>
  <si>
    <t>CLM101694</t>
  </si>
  <si>
    <t>PT11579</t>
  </si>
  <si>
    <t>CLM101695</t>
  </si>
  <si>
    <t>CLM101696</t>
  </si>
  <si>
    <t>PT12331</t>
  </si>
  <si>
    <t>CLM101697</t>
  </si>
  <si>
    <t>CLM101698</t>
  </si>
  <si>
    <t>PT13087</t>
  </si>
  <si>
    <t>CLM101699</t>
  </si>
  <si>
    <t>PT13084</t>
  </si>
  <si>
    <t>CLM101700</t>
  </si>
  <si>
    <t>PT12153</t>
  </si>
  <si>
    <t>CLM101701</t>
  </si>
  <si>
    <t>PT12357</t>
  </si>
  <si>
    <t>CLM101702</t>
  </si>
  <si>
    <t>CLM101703</t>
  </si>
  <si>
    <t>PT12581</t>
  </si>
  <si>
    <t>CLM101704</t>
  </si>
  <si>
    <t>CLM101705</t>
  </si>
  <si>
    <t>PT10835</t>
  </si>
  <si>
    <t>CLM101706</t>
  </si>
  <si>
    <t>PT10009</t>
  </si>
  <si>
    <t>CLM101707</t>
  </si>
  <si>
    <t>PT11062</t>
  </si>
  <si>
    <t>CLM101708</t>
  </si>
  <si>
    <t>PT11214</t>
  </si>
  <si>
    <t>CLM101709</t>
  </si>
  <si>
    <t>PT10076</t>
  </si>
  <si>
    <t>CLM101710</t>
  </si>
  <si>
    <t>PT10133</t>
  </si>
  <si>
    <t>CLM101711</t>
  </si>
  <si>
    <t>CLM101712</t>
  </si>
  <si>
    <t>CLM101713</t>
  </si>
  <si>
    <t>CLM101714</t>
  </si>
  <si>
    <t>CLM101715</t>
  </si>
  <si>
    <t>PT11806</t>
  </si>
  <si>
    <t>CLM101716</t>
  </si>
  <si>
    <t>PT10581</t>
  </si>
  <si>
    <t>CLM101717</t>
  </si>
  <si>
    <t>PT10945</t>
  </si>
  <si>
    <t>CLM101718</t>
  </si>
  <si>
    <t>PT10191</t>
  </si>
  <si>
    <t>CLM101719</t>
  </si>
  <si>
    <t>CLM101720</t>
  </si>
  <si>
    <t>PT12705</t>
  </si>
  <si>
    <t>CLM101721</t>
  </si>
  <si>
    <t>CLM101722</t>
  </si>
  <si>
    <t>PT11390</t>
  </si>
  <si>
    <t>CLM101723</t>
  </si>
  <si>
    <t>PT11020</t>
  </si>
  <si>
    <t>CLM101724</t>
  </si>
  <si>
    <t>CLM101725</t>
  </si>
  <si>
    <t>PT11861</t>
  </si>
  <si>
    <t>CLM101726</t>
  </si>
  <si>
    <t>PT12844</t>
  </si>
  <si>
    <t>CLM101727</t>
  </si>
  <si>
    <t>CLM101728</t>
  </si>
  <si>
    <t>PT13481</t>
  </si>
  <si>
    <t>CLM101729</t>
  </si>
  <si>
    <t>PT12083</t>
  </si>
  <si>
    <t>CLM101730</t>
  </si>
  <si>
    <t>PT13137</t>
  </si>
  <si>
    <t>CLM101731</t>
  </si>
  <si>
    <t>PT10655</t>
  </si>
  <si>
    <t>CLM101732</t>
  </si>
  <si>
    <t>PT11469</t>
  </si>
  <si>
    <t>CLM101733</t>
  </si>
  <si>
    <t>CLM101734</t>
  </si>
  <si>
    <t>CLM101735</t>
  </si>
  <si>
    <t>CLM101736</t>
  </si>
  <si>
    <t>CLM101737</t>
  </si>
  <si>
    <t>PT13203</t>
  </si>
  <si>
    <t>CLM101738</t>
  </si>
  <si>
    <t>PT11783</t>
  </si>
  <si>
    <t>CLM101739</t>
  </si>
  <si>
    <t>CLM101740</t>
  </si>
  <si>
    <t>PT12039</t>
  </si>
  <si>
    <t>CLM101741</t>
  </si>
  <si>
    <t>CLM101742</t>
  </si>
  <si>
    <t>CLM101743</t>
  </si>
  <si>
    <t>PT12867</t>
  </si>
  <si>
    <t>CLM101744</t>
  </si>
  <si>
    <t>PT12356</t>
  </si>
  <si>
    <t>CLM101745</t>
  </si>
  <si>
    <t>CLM101746</t>
  </si>
  <si>
    <t>PT11317</t>
  </si>
  <si>
    <t>CLM101747</t>
  </si>
  <si>
    <t>PT11711</t>
  </si>
  <si>
    <t>CLM101748</t>
  </si>
  <si>
    <t>CLM101749</t>
  </si>
  <si>
    <t>PT10834</t>
  </si>
  <si>
    <t>CLM101750</t>
  </si>
  <si>
    <t>PT11628</t>
  </si>
  <si>
    <t>CLM101751</t>
  </si>
  <si>
    <t>PT10924</t>
  </si>
  <si>
    <t>CLM101752</t>
  </si>
  <si>
    <t>CLM101753</t>
  </si>
  <si>
    <t>PT12600</t>
  </si>
  <si>
    <t>CLM101754</t>
  </si>
  <si>
    <t>CLM101755</t>
  </si>
  <si>
    <t>PT11543</t>
  </si>
  <si>
    <t>CLM101756</t>
  </si>
  <si>
    <t>CLM101757</t>
  </si>
  <si>
    <t>PT10559</t>
  </si>
  <si>
    <t>CLM101758</t>
  </si>
  <si>
    <t>PT10257</t>
  </si>
  <si>
    <t>CLM101759</t>
  </si>
  <si>
    <t>PT12808</t>
  </si>
  <si>
    <t>CLM101760</t>
  </si>
  <si>
    <t>CLM101761</t>
  </si>
  <si>
    <t>PT11199</t>
  </si>
  <si>
    <t>CLM101762</t>
  </si>
  <si>
    <t>PT10040</t>
  </si>
  <si>
    <t>CLM101763</t>
  </si>
  <si>
    <t>PT10074</t>
  </si>
  <si>
    <t>CLM101764</t>
  </si>
  <si>
    <t>PT12726</t>
  </si>
  <si>
    <t>CLM101765</t>
  </si>
  <si>
    <t>PT11703</t>
  </si>
  <si>
    <t>CLM101766</t>
  </si>
  <si>
    <t>CLM101767</t>
  </si>
  <si>
    <t>CLM101768</t>
  </si>
  <si>
    <t>CLM101769</t>
  </si>
  <si>
    <t>PT11210</t>
  </si>
  <si>
    <t>CLM101770</t>
  </si>
  <si>
    <t>PT11232</t>
  </si>
  <si>
    <t>CLM101771</t>
  </si>
  <si>
    <t>CLM101772</t>
  </si>
  <si>
    <t>CLM101773</t>
  </si>
  <si>
    <t>PT12188</t>
  </si>
  <si>
    <t>CLM101774</t>
  </si>
  <si>
    <t>CLM101775</t>
  </si>
  <si>
    <t>PT12594</t>
  </si>
  <si>
    <t>CLM101776</t>
  </si>
  <si>
    <t>CLM101777</t>
  </si>
  <si>
    <t>PT12003</t>
  </si>
  <si>
    <t>CLM101778</t>
  </si>
  <si>
    <t>PT12454</t>
  </si>
  <si>
    <t>CLM101779</t>
  </si>
  <si>
    <t>PT10459</t>
  </si>
  <si>
    <t>CLM101780</t>
  </si>
  <si>
    <t>PT10150</t>
  </si>
  <si>
    <t>CLM101781</t>
  </si>
  <si>
    <t>PT12639</t>
  </si>
  <si>
    <t>CLM101782</t>
  </si>
  <si>
    <t>PT11168</t>
  </si>
  <si>
    <t>CLM101783</t>
  </si>
  <si>
    <t>PT10927</t>
  </si>
  <si>
    <t>CLM101784</t>
  </si>
  <si>
    <t>CLM101785</t>
  </si>
  <si>
    <t>CLM101786</t>
  </si>
  <si>
    <t>CLM101787</t>
  </si>
  <si>
    <t>CLM101788</t>
  </si>
  <si>
    <t>PT11134</t>
  </si>
  <si>
    <t>CLM101789</t>
  </si>
  <si>
    <t>CLM101790</t>
  </si>
  <si>
    <t>PT12426</t>
  </si>
  <si>
    <t>CLM101791</t>
  </si>
  <si>
    <t>PT13074</t>
  </si>
  <si>
    <t>CLM101792</t>
  </si>
  <si>
    <t>PT11742</t>
  </si>
  <si>
    <t>CLM101793</t>
  </si>
  <si>
    <t>CLM101794</t>
  </si>
  <si>
    <t>PT12361</t>
  </si>
  <si>
    <t>CLM101795</t>
  </si>
  <si>
    <t>PT11916</t>
  </si>
  <si>
    <t>CLM101796</t>
  </si>
  <si>
    <t>PT10366</t>
  </si>
  <si>
    <t>CLM101797</t>
  </si>
  <si>
    <t>PT10518</t>
  </si>
  <si>
    <t>CLM101798</t>
  </si>
  <si>
    <t>PT10514</t>
  </si>
  <si>
    <t>CLM101799</t>
  </si>
  <si>
    <t>PT12057</t>
  </si>
  <si>
    <t>CLM101800</t>
  </si>
  <si>
    <t>PT12855</t>
  </si>
  <si>
    <t>CLM101801</t>
  </si>
  <si>
    <t>PT10856</t>
  </si>
  <si>
    <t>CLM101802</t>
  </si>
  <si>
    <t>CLM101803</t>
  </si>
  <si>
    <t>CLM101804</t>
  </si>
  <si>
    <t>PT10982</t>
  </si>
  <si>
    <t>CLM101805</t>
  </si>
  <si>
    <t>PT10313</t>
  </si>
  <si>
    <t>CLM101807</t>
  </si>
  <si>
    <t>PT10153</t>
  </si>
  <si>
    <t>CLM101808</t>
  </si>
  <si>
    <t>CLM101809</t>
  </si>
  <si>
    <t>CLM101810</t>
  </si>
  <si>
    <t>PT12333</t>
  </si>
  <si>
    <t>CLM101811</t>
  </si>
  <si>
    <t>CLM101812</t>
  </si>
  <si>
    <t>PT12264</t>
  </si>
  <si>
    <t>CLM101813</t>
  </si>
  <si>
    <t>CLM101814</t>
  </si>
  <si>
    <t>PT12938</t>
  </si>
  <si>
    <t>CLM101815</t>
  </si>
  <si>
    <t>PT10094</t>
  </si>
  <si>
    <t>CLM101816</t>
  </si>
  <si>
    <t>CLM101817</t>
  </si>
  <si>
    <t>PT12824</t>
  </si>
  <si>
    <t>CLM101818</t>
  </si>
  <si>
    <t>PT10404</t>
  </si>
  <si>
    <t>CLM101819</t>
  </si>
  <si>
    <t>PT11047</t>
  </si>
  <si>
    <t>CLM101820</t>
  </si>
  <si>
    <t>PT10706</t>
  </si>
  <si>
    <t>CLM101821</t>
  </si>
  <si>
    <t>CLM101822</t>
  </si>
  <si>
    <t>PT13245</t>
  </si>
  <si>
    <t>CLM101823</t>
  </si>
  <si>
    <t>CLM101824</t>
  </si>
  <si>
    <t>PT12214</t>
  </si>
  <si>
    <t>CLM101825</t>
  </si>
  <si>
    <t>PT11295</t>
  </si>
  <si>
    <t>CLM101826</t>
  </si>
  <si>
    <t>PT11051</t>
  </si>
  <si>
    <t>CLM101827</t>
  </si>
  <si>
    <t>PT11627</t>
  </si>
  <si>
    <t>CLM101828</t>
  </si>
  <si>
    <t>CLM101829</t>
  </si>
  <si>
    <t>PT12468</t>
  </si>
  <si>
    <t>CLM101830</t>
  </si>
  <si>
    <t>CLM101831</t>
  </si>
  <si>
    <t>CLM101832</t>
  </si>
  <si>
    <t>PT10519</t>
  </si>
  <si>
    <t>CLM101833</t>
  </si>
  <si>
    <t>PT13068</t>
  </si>
  <si>
    <t>CLM101834</t>
  </si>
  <si>
    <t>PT10178</t>
  </si>
  <si>
    <t>CLM101835</t>
  </si>
  <si>
    <t>CLM101836</t>
  </si>
  <si>
    <t>PT10816</t>
  </si>
  <si>
    <t>CLM101837</t>
  </si>
  <si>
    <t>CLM101838</t>
  </si>
  <si>
    <t>CLM101839</t>
  </si>
  <si>
    <t>PT11574</t>
  </si>
  <si>
    <t>CLM101840</t>
  </si>
  <si>
    <t>PT13031</t>
  </si>
  <si>
    <t>CLM101841</t>
  </si>
  <si>
    <t>PT11966</t>
  </si>
  <si>
    <t>CLM101842</t>
  </si>
  <si>
    <t>PT12961</t>
  </si>
  <si>
    <t>CLM101843</t>
  </si>
  <si>
    <t>PT11350</t>
  </si>
  <si>
    <t>CLM101844</t>
  </si>
  <si>
    <t>PT11137</t>
  </si>
  <si>
    <t>CLM101845</t>
  </si>
  <si>
    <t>CLM101846</t>
  </si>
  <si>
    <t>CLM101847</t>
  </si>
  <si>
    <t>PT10576</t>
  </si>
  <si>
    <t>CLM101848</t>
  </si>
  <si>
    <t>PT11685</t>
  </si>
  <si>
    <t>CLM101849</t>
  </si>
  <si>
    <t>CLM101850</t>
  </si>
  <si>
    <t>CLM101851</t>
  </si>
  <si>
    <t>PT10523</t>
  </si>
  <si>
    <t>CLM101852</t>
  </si>
  <si>
    <t>PT10281</t>
  </si>
  <si>
    <t>CLM101853</t>
  </si>
  <si>
    <t>CLM101854</t>
  </si>
  <si>
    <t>PT11363</t>
  </si>
  <si>
    <t>CLM101855</t>
  </si>
  <si>
    <t>CLM101856</t>
  </si>
  <si>
    <t>PT10516</t>
  </si>
  <si>
    <t>CLM101857</t>
  </si>
  <si>
    <t>CLM101858</t>
  </si>
  <si>
    <t>CLM101859</t>
  </si>
  <si>
    <t>PT10061</t>
  </si>
  <si>
    <t>CLM101860</t>
  </si>
  <si>
    <t>PT11259</t>
  </si>
  <si>
    <t>CLM101861</t>
  </si>
  <si>
    <t>PT13454</t>
  </si>
  <si>
    <t>CLM101862</t>
  </si>
  <si>
    <t>PT13170</t>
  </si>
  <si>
    <t>CLM101863</t>
  </si>
  <si>
    <t>PT11381</t>
  </si>
  <si>
    <t>CLM101864</t>
  </si>
  <si>
    <t>PT11659</t>
  </si>
  <si>
    <t>CLM101865</t>
  </si>
  <si>
    <t>CLM101866</t>
  </si>
  <si>
    <t>CLM101867</t>
  </si>
  <si>
    <t>PT10430</t>
  </si>
  <si>
    <t>CLM101868</t>
  </si>
  <si>
    <t>CLM101869</t>
  </si>
  <si>
    <t>CLM101870</t>
  </si>
  <si>
    <t>CLM101871</t>
  </si>
  <si>
    <t>PT10678</t>
  </si>
  <si>
    <t>CLM101872</t>
  </si>
  <si>
    <t>CLM101873</t>
  </si>
  <si>
    <t>PT11029</t>
  </si>
  <si>
    <t>CLM101874</t>
  </si>
  <si>
    <t>PT10745</t>
  </si>
  <si>
    <t>CLM101875</t>
  </si>
  <si>
    <t>PT10695</t>
  </si>
  <si>
    <t>CLM101876</t>
  </si>
  <si>
    <t>CLM101877</t>
  </si>
  <si>
    <t>CLM101878</t>
  </si>
  <si>
    <t>CLM101879</t>
  </si>
  <si>
    <t>PT10891</t>
  </si>
  <si>
    <t>CLM101880</t>
  </si>
  <si>
    <t>PT13064</t>
  </si>
  <si>
    <t>CLM101881</t>
  </si>
  <si>
    <t>PT10096</t>
  </si>
  <si>
    <t>CLM101882</t>
  </si>
  <si>
    <t>CLM101883</t>
  </si>
  <si>
    <t>CLM101884</t>
  </si>
  <si>
    <t>CLM101885</t>
  </si>
  <si>
    <t>PT13049</t>
  </si>
  <si>
    <t>CLM101886</t>
  </si>
  <si>
    <t>CLM101887</t>
  </si>
  <si>
    <t>PT13160</t>
  </si>
  <si>
    <t>CLM101888</t>
  </si>
  <si>
    <t>CLM101889</t>
  </si>
  <si>
    <t>PT11302</t>
  </si>
  <si>
    <t>CLM101890</t>
  </si>
  <si>
    <t>CLM101891</t>
  </si>
  <si>
    <t>CLM101892</t>
  </si>
  <si>
    <t>PT12976</t>
  </si>
  <si>
    <t>CLM101893</t>
  </si>
  <si>
    <t>PT12957</t>
  </si>
  <si>
    <t>CLM101894</t>
  </si>
  <si>
    <t>PT10722</t>
  </si>
  <si>
    <t>CLM101895</t>
  </si>
  <si>
    <t>CLM101896</t>
  </si>
  <si>
    <t>PT13017</t>
  </si>
  <si>
    <t>CLM101897</t>
  </si>
  <si>
    <t>PT10602</t>
  </si>
  <si>
    <t>CLM101898</t>
  </si>
  <si>
    <t>PT13119</t>
  </si>
  <si>
    <t>CLM101899</t>
  </si>
  <si>
    <t>PT11183</t>
  </si>
  <si>
    <t>CLM101900</t>
  </si>
  <si>
    <t>CLM101901</t>
  </si>
  <si>
    <t>PT12779</t>
  </si>
  <si>
    <t>CLM101902</t>
  </si>
  <si>
    <t>PT10329</t>
  </si>
  <si>
    <t>CLM101903</t>
  </si>
  <si>
    <t>CLM101904</t>
  </si>
  <si>
    <t>CLM101905</t>
  </si>
  <si>
    <t>PT12215</t>
  </si>
  <si>
    <t>CLM101906</t>
  </si>
  <si>
    <t>PT11853</t>
  </si>
  <si>
    <t>CLM101907</t>
  </si>
  <si>
    <t>PT11084</t>
  </si>
  <si>
    <t>CLM101908</t>
  </si>
  <si>
    <t>PT13467</t>
  </si>
  <si>
    <t>CLM101909</t>
  </si>
  <si>
    <t>PT10762</t>
  </si>
  <si>
    <t>CLM101910</t>
  </si>
  <si>
    <t>PT10642</t>
  </si>
  <si>
    <t>CLM101911</t>
  </si>
  <si>
    <t>PT10464</t>
  </si>
  <si>
    <t>CLM101912</t>
  </si>
  <si>
    <t>CLM101913</t>
  </si>
  <si>
    <t>PT10668</t>
  </si>
  <si>
    <t>CLM101914</t>
  </si>
  <si>
    <t>CLM101915</t>
  </si>
  <si>
    <t>PT10231</t>
  </si>
  <si>
    <t>CLM101916</t>
  </si>
  <si>
    <t>CLM101917</t>
  </si>
  <si>
    <t>CLM101918</t>
  </si>
  <si>
    <t>PT11939</t>
  </si>
  <si>
    <t>CLM101919</t>
  </si>
  <si>
    <t>PT12542</t>
  </si>
  <si>
    <t>CLM101920</t>
  </si>
  <si>
    <t>PT11107</t>
  </si>
  <si>
    <t>CLM101921</t>
  </si>
  <si>
    <t>PT12119</t>
  </si>
  <si>
    <t>CLM101922</t>
  </si>
  <si>
    <t>PT12055</t>
  </si>
  <si>
    <t>CLM101923</t>
  </si>
  <si>
    <t>CLM101924</t>
  </si>
  <si>
    <t>PT12412</t>
  </si>
  <si>
    <t>CLM101925</t>
  </si>
  <si>
    <t>PT11774</t>
  </si>
  <si>
    <t>CLM101926</t>
  </si>
  <si>
    <t>CLM101927</t>
  </si>
  <si>
    <t>PT11484</t>
  </si>
  <si>
    <t>CLM101928</t>
  </si>
  <si>
    <t>CLM101929</t>
  </si>
  <si>
    <t>CLM101930</t>
  </si>
  <si>
    <t>PT11177</t>
  </si>
  <si>
    <t>CLM101931</t>
  </si>
  <si>
    <t>PT10550</t>
  </si>
  <si>
    <t>CLM101932</t>
  </si>
  <si>
    <t>PT12650</t>
  </si>
  <si>
    <t>CLM101933</t>
  </si>
  <si>
    <t>PT12206</t>
  </si>
  <si>
    <t>CLM101934</t>
  </si>
  <si>
    <t>CLM101935</t>
  </si>
  <si>
    <t>PT11941</t>
  </si>
  <si>
    <t>CLM101936</t>
  </si>
  <si>
    <t>PT11821</t>
  </si>
  <si>
    <t>CLM101937</t>
  </si>
  <si>
    <t>PT12633</t>
  </si>
  <si>
    <t>CLM101939</t>
  </si>
  <si>
    <t>PT12143</t>
  </si>
  <si>
    <t>CLM101940</t>
  </si>
  <si>
    <t>PT12554</t>
  </si>
  <si>
    <t>CLM101941</t>
  </si>
  <si>
    <t>CLM101942</t>
  </si>
  <si>
    <t>PT13148</t>
  </si>
  <si>
    <t>CLM101943</t>
  </si>
  <si>
    <t>PT10677</t>
  </si>
  <si>
    <t>CLM101944</t>
  </si>
  <si>
    <t>PT11150</t>
  </si>
  <si>
    <t>CLM101945</t>
  </si>
  <si>
    <t>PT11973</t>
  </si>
  <si>
    <t>CLM101946</t>
  </si>
  <si>
    <t>CLM101947</t>
  </si>
  <si>
    <t>PT11866</t>
  </si>
  <si>
    <t>CLM101948</t>
  </si>
  <si>
    <t>CLM101949</t>
  </si>
  <si>
    <t>PT12699</t>
  </si>
  <si>
    <t>CLM101950</t>
  </si>
  <si>
    <t>PT12117</t>
  </si>
  <si>
    <t>CLM101951</t>
  </si>
  <si>
    <t>PT12085</t>
  </si>
  <si>
    <t>CLM101952</t>
  </si>
  <si>
    <t>PT13241</t>
  </si>
  <si>
    <t>CLM101953</t>
  </si>
  <si>
    <t>PT13158</t>
  </si>
  <si>
    <t>CLM101954</t>
  </si>
  <si>
    <t>PT13077</t>
  </si>
  <si>
    <t>CLM101955</t>
  </si>
  <si>
    <t>PT11637</t>
  </si>
  <si>
    <t>CLM101956</t>
  </si>
  <si>
    <t>PT10569</t>
  </si>
  <si>
    <t>CLM101957</t>
  </si>
  <si>
    <t>PT11667</t>
  </si>
  <si>
    <t>CLM101958</t>
  </si>
  <si>
    <t>PT11943</t>
  </si>
  <si>
    <t>CLM101959</t>
  </si>
  <si>
    <t>PT12009</t>
  </si>
  <si>
    <t>CLM101960</t>
  </si>
  <si>
    <t>CLM101961</t>
  </si>
  <si>
    <t>PT10960</t>
  </si>
  <si>
    <t>CLM101962</t>
  </si>
  <si>
    <t>CLM101963</t>
  </si>
  <si>
    <t>CLM101964</t>
  </si>
  <si>
    <t>PT13220</t>
  </si>
  <si>
    <t>CLM101965</t>
  </si>
  <si>
    <t>PT10022</t>
  </si>
  <si>
    <t>CLM101966</t>
  </si>
  <si>
    <t>PT12375</t>
  </si>
  <si>
    <t>CLM101967</t>
  </si>
  <si>
    <t>CLM101968</t>
  </si>
  <si>
    <t>PT12101</t>
  </si>
  <si>
    <t>CLM101969</t>
  </si>
  <si>
    <t>CLM101970</t>
  </si>
  <si>
    <t>PT12314</t>
  </si>
  <si>
    <t>CLM101971</t>
  </si>
  <si>
    <t>CLM101972</t>
  </si>
  <si>
    <t>PT11868</t>
  </si>
  <si>
    <t>CLM101973</t>
  </si>
  <si>
    <t>PT10024</t>
  </si>
  <si>
    <t>CLM101974</t>
  </si>
  <si>
    <t>CLM101975</t>
  </si>
  <si>
    <t>CLM101976</t>
  </si>
  <si>
    <t>PT11453</t>
  </si>
  <si>
    <t>CLM101977</t>
  </si>
  <si>
    <t>PT10995</t>
  </si>
  <si>
    <t>CLM101978</t>
  </si>
  <si>
    <t>PT12120</t>
  </si>
  <si>
    <t>CLM101979</t>
  </si>
  <si>
    <t>CLM101980</t>
  </si>
  <si>
    <t>CLM101981</t>
  </si>
  <si>
    <t>CLM101982</t>
  </si>
  <si>
    <t>CLM101983</t>
  </si>
  <si>
    <t>CLM101984</t>
  </si>
  <si>
    <t>PT10633</t>
  </si>
  <si>
    <t>CLM101985</t>
  </si>
  <si>
    <t>CLM101986</t>
  </si>
  <si>
    <t>PT10068</t>
  </si>
  <si>
    <t>CLM101987</t>
  </si>
  <si>
    <t>CLM101988</t>
  </si>
  <si>
    <t>PT10227</t>
  </si>
  <si>
    <t>CLM101989</t>
  </si>
  <si>
    <t>PT12288</t>
  </si>
  <si>
    <t>CLM101991</t>
  </si>
  <si>
    <t>CLM101992</t>
  </si>
  <si>
    <t>PT11268</t>
  </si>
  <si>
    <t>CLM101993</t>
  </si>
  <si>
    <t>CLM101994</t>
  </si>
  <si>
    <t>CLM101995</t>
  </si>
  <si>
    <t>PT12419</t>
  </si>
  <si>
    <t>CLM101996</t>
  </si>
  <si>
    <t>CLM101997</t>
  </si>
  <si>
    <t>CLM101998</t>
  </si>
  <si>
    <t>PT10367</t>
  </si>
  <si>
    <t>CLM101999</t>
  </si>
  <si>
    <t>PT10788</t>
  </si>
  <si>
    <t>CLM102000</t>
  </si>
  <si>
    <t>CLM102001</t>
  </si>
  <si>
    <t>PT13363</t>
  </si>
  <si>
    <t>CLM102002</t>
  </si>
  <si>
    <t>PT12474</t>
  </si>
  <si>
    <t>CLM102003</t>
  </si>
  <si>
    <t>PT13142</t>
  </si>
  <si>
    <t>CLM102004</t>
  </si>
  <si>
    <t>CLM102005</t>
  </si>
  <si>
    <t>CLM102006</t>
  </si>
  <si>
    <t>PT12060</t>
  </si>
  <si>
    <t>CLM102007</t>
  </si>
  <si>
    <t>PT12931</t>
  </si>
  <si>
    <t>CLM102008</t>
  </si>
  <si>
    <t>CLM102009</t>
  </si>
  <si>
    <t>PT10132</t>
  </si>
  <si>
    <t>CLM102010</t>
  </si>
  <si>
    <t>PT11955</t>
  </si>
  <si>
    <t>CLM102011</t>
  </si>
  <si>
    <t>CLM102012</t>
  </si>
  <si>
    <t>PT13292</t>
  </si>
  <si>
    <t>CLM102013</t>
  </si>
  <si>
    <t>PT11488</t>
  </si>
  <si>
    <t>CLM102014</t>
  </si>
  <si>
    <t>PT11590</t>
  </si>
  <si>
    <t>CLM102015</t>
  </si>
  <si>
    <t>CLM102016</t>
  </si>
  <si>
    <t>CLM102017</t>
  </si>
  <si>
    <t>CLM102018</t>
  </si>
  <si>
    <t>CLM102019</t>
  </si>
  <si>
    <t>CLM102020</t>
  </si>
  <si>
    <t>PT12942</t>
  </si>
  <si>
    <t>CLM102021</t>
  </si>
  <si>
    <t>CLM102022</t>
  </si>
  <si>
    <t>CLM102023</t>
  </si>
  <si>
    <t>CLM102024</t>
  </si>
  <si>
    <t>CLM102025</t>
  </si>
  <si>
    <t>PT10734</t>
  </si>
  <si>
    <t>CLM102026</t>
  </si>
  <si>
    <t>PT10875</t>
  </si>
  <si>
    <t>CLM102027</t>
  </si>
  <si>
    <t>PT13106</t>
  </si>
  <si>
    <t>CLM102028</t>
  </si>
  <si>
    <t>CLM102029</t>
  </si>
  <si>
    <t>PT11532</t>
  </si>
  <si>
    <t>CLM102030</t>
  </si>
  <si>
    <t>PT10760</t>
  </si>
  <si>
    <t>CLM102031</t>
  </si>
  <si>
    <t>PT11658</t>
  </si>
  <si>
    <t>CLM102032</t>
  </si>
  <si>
    <t>CLM102033</t>
  </si>
  <si>
    <t>CLM102034</t>
  </si>
  <si>
    <t>PT12114</t>
  </si>
  <si>
    <t>CLM102035</t>
  </si>
  <si>
    <t>CLM102036</t>
  </si>
  <si>
    <t>CLM102037</t>
  </si>
  <si>
    <t>PT10874</t>
  </si>
  <si>
    <t>CLM102038</t>
  </si>
  <si>
    <t>CLM102039</t>
  </si>
  <si>
    <t>CLM102040</t>
  </si>
  <si>
    <t>CLM102041</t>
  </si>
  <si>
    <t>PT13401</t>
  </si>
  <si>
    <t>CLM102043</t>
  </si>
  <si>
    <t>PT12437</t>
  </si>
  <si>
    <t>CLM102044</t>
  </si>
  <si>
    <t>CLM102046</t>
  </si>
  <si>
    <t>PT10539</t>
  </si>
  <si>
    <t>CLM102047</t>
  </si>
  <si>
    <t>CLM102048</t>
  </si>
  <si>
    <t>CLM102049</t>
  </si>
  <si>
    <t>PT11396</t>
  </si>
  <si>
    <t>CLM102050</t>
  </si>
  <si>
    <t>PT11844</t>
  </si>
  <si>
    <t>CLM102051</t>
  </si>
  <si>
    <t>CLM102052</t>
  </si>
  <si>
    <t>PT10100</t>
  </si>
  <si>
    <t>CLM102053</t>
  </si>
  <si>
    <t>PT12778</t>
  </si>
  <si>
    <t>CLM102054</t>
  </si>
  <si>
    <t>CLM102055</t>
  </si>
  <si>
    <t>PT12141</t>
  </si>
  <si>
    <t>CLM102056</t>
  </si>
  <si>
    <t>PT11382</t>
  </si>
  <si>
    <t>CLM102057</t>
  </si>
  <si>
    <t>CLM102058</t>
  </si>
  <si>
    <t>PT10069</t>
  </si>
  <si>
    <t>CLM102059</t>
  </si>
  <si>
    <t>CLM102060</t>
  </si>
  <si>
    <t>CLM102061</t>
  </si>
  <si>
    <t>PT12391</t>
  </si>
  <si>
    <t>CLM102062</t>
  </si>
  <si>
    <t>PT11594</t>
  </si>
  <si>
    <t>CLM102063</t>
  </si>
  <si>
    <t>PT11225</t>
  </si>
  <si>
    <t>CLM102064</t>
  </si>
  <si>
    <t>PT12694</t>
  </si>
  <si>
    <t>CLM102065</t>
  </si>
  <si>
    <t>PT11449</t>
  </si>
  <si>
    <t>CLM102066</t>
  </si>
  <si>
    <t>PT10394</t>
  </si>
  <si>
    <t>CLM102067</t>
  </si>
  <si>
    <t>CLM102068</t>
  </si>
  <si>
    <t>PT13436</t>
  </si>
  <si>
    <t>CLM102069</t>
  </si>
  <si>
    <t>PT11758</t>
  </si>
  <si>
    <t>CLM102070</t>
  </si>
  <si>
    <t>CLM102071</t>
  </si>
  <si>
    <t>CLM102072</t>
  </si>
  <si>
    <t>PT12306</t>
  </si>
  <si>
    <t>CLM102073</t>
  </si>
  <si>
    <t>PT10901</t>
  </si>
  <si>
    <t>CLM102074</t>
  </si>
  <si>
    <t>CLM102075</t>
  </si>
  <si>
    <t>CLM102076</t>
  </si>
  <si>
    <t>CLM102077</t>
  </si>
  <si>
    <t>PT11513</t>
  </si>
  <si>
    <t>CLM102078</t>
  </si>
  <si>
    <t>PT12806</t>
  </si>
  <si>
    <t>CLM102079</t>
  </si>
  <si>
    <t>CLM102080</t>
  </si>
  <si>
    <t>PT12092</t>
  </si>
  <si>
    <t>CLM102081</t>
  </si>
  <si>
    <t>PT10485</t>
  </si>
  <si>
    <t>CLM102082</t>
  </si>
  <si>
    <t>PT12708</t>
  </si>
  <si>
    <t>CLM102083</t>
  </si>
  <si>
    <t>PT12124</t>
  </si>
  <si>
    <t>CLM102084</t>
  </si>
  <si>
    <t>CLM102085</t>
  </si>
  <si>
    <t>CLM102086</t>
  </si>
  <si>
    <t>PT10428</t>
  </si>
  <si>
    <t>CLM102087</t>
  </si>
  <si>
    <t>PT13485</t>
  </si>
  <si>
    <t>CLM102088</t>
  </si>
  <si>
    <t>PT12387</t>
  </si>
  <si>
    <t>CLM102089</t>
  </si>
  <si>
    <t>PT11462</t>
  </si>
  <si>
    <t>CLM102090</t>
  </si>
  <si>
    <t>PT11221</t>
  </si>
  <si>
    <t>CLM102091</t>
  </si>
  <si>
    <t>CLM102092</t>
  </si>
  <si>
    <t>PT12910</t>
  </si>
  <si>
    <t>CLM102093</t>
  </si>
  <si>
    <t>PT10928</t>
  </si>
  <si>
    <t>CLM102094</t>
  </si>
  <si>
    <t>CLM102095</t>
  </si>
  <si>
    <t>CLM102096</t>
  </si>
  <si>
    <t>PT10661</t>
  </si>
  <si>
    <t>CLM102097</t>
  </si>
  <si>
    <t>CLM102098</t>
  </si>
  <si>
    <t>PT11178</t>
  </si>
  <si>
    <t>CLM102099</t>
  </si>
  <si>
    <t>PT13156</t>
  </si>
  <si>
    <t>CLM102100</t>
  </si>
  <si>
    <t>PT10772</t>
  </si>
  <si>
    <t>CLM102101</t>
  </si>
  <si>
    <t>PT10571</t>
  </si>
  <si>
    <t>CLM102102</t>
  </si>
  <si>
    <t>PT11100</t>
  </si>
  <si>
    <t>CLM102103</t>
  </si>
  <si>
    <t>CLM102104</t>
  </si>
  <si>
    <t>CLM102105</t>
  </si>
  <si>
    <t>CLM102106</t>
  </si>
  <si>
    <t>PT12508</t>
  </si>
  <si>
    <t>CLM102107</t>
  </si>
  <si>
    <t>CLM102108</t>
  </si>
  <si>
    <t>CLM102109</t>
  </si>
  <si>
    <t>CLM102110</t>
  </si>
  <si>
    <t>PT11548</t>
  </si>
  <si>
    <t>CLM102111</t>
  </si>
  <si>
    <t>CLM102112</t>
  </si>
  <si>
    <t>PT12388</t>
  </si>
  <si>
    <t>CLM102113</t>
  </si>
  <si>
    <t>CLM102115</t>
  </si>
  <si>
    <t>PT11990</t>
  </si>
  <si>
    <t>CLM102116</t>
  </si>
  <si>
    <t>CLM102117</t>
  </si>
  <si>
    <t>CLM102118</t>
  </si>
  <si>
    <t>PT11373</t>
  </si>
  <si>
    <t>CLM102119</t>
  </si>
  <si>
    <t>CLM102120</t>
  </si>
  <si>
    <t>PT13476</t>
  </si>
  <si>
    <t>CLM102121</t>
  </si>
  <si>
    <t>CLM102122</t>
  </si>
  <si>
    <t>PT10850</t>
  </si>
  <si>
    <t>CLM102123</t>
  </si>
  <si>
    <t>CLM102124</t>
  </si>
  <si>
    <t>PT11753</t>
  </si>
  <si>
    <t>CLM102125</t>
  </si>
  <si>
    <t>CLM102126</t>
  </si>
  <si>
    <t>CLM102127</t>
  </si>
  <si>
    <t>PT11095</t>
  </si>
  <si>
    <t>CLM102128</t>
  </si>
  <si>
    <t>CLM102129</t>
  </si>
  <si>
    <t>PT13132</t>
  </si>
  <si>
    <t>CLM102130</t>
  </si>
  <si>
    <t>CLM102131</t>
  </si>
  <si>
    <t>PT10422</t>
  </si>
  <si>
    <t>CLM102132</t>
  </si>
  <si>
    <t>PT11327</t>
  </si>
  <si>
    <t>CLM102133</t>
  </si>
  <si>
    <t>PT11212</t>
  </si>
  <si>
    <t>CLM102134</t>
  </si>
  <si>
    <t>PT10415</t>
  </si>
  <si>
    <t>CLM102135</t>
  </si>
  <si>
    <t>CLM102136</t>
  </si>
  <si>
    <t>CLM102137</t>
  </si>
  <si>
    <t>CLM102138</t>
  </si>
  <si>
    <t>PT11410</t>
  </si>
  <si>
    <t>CLM102139</t>
  </si>
  <si>
    <t>PT11619</t>
  </si>
  <si>
    <t>CLM102140</t>
  </si>
  <si>
    <t>PT11196</t>
  </si>
  <si>
    <t>CLM102141</t>
  </si>
  <si>
    <t>CLM102142</t>
  </si>
  <si>
    <t>CLM102143</t>
  </si>
  <si>
    <t>PT12307</t>
  </si>
  <si>
    <t>CLM102144</t>
  </si>
  <si>
    <t>PT11028</t>
  </si>
  <si>
    <t>CLM102145</t>
  </si>
  <si>
    <t>CLM102146</t>
  </si>
  <si>
    <t>PT13152</t>
  </si>
  <si>
    <t>CLM102147</t>
  </si>
  <si>
    <t>CLM102148</t>
  </si>
  <si>
    <t>PT13205</t>
  </si>
  <si>
    <t>CLM102149</t>
  </si>
  <si>
    <t>CLM102150</t>
  </si>
  <si>
    <t>PT13164</t>
  </si>
  <si>
    <t>CLM102151</t>
  </si>
  <si>
    <t>CLM102152</t>
  </si>
  <si>
    <t>CLM102153</t>
  </si>
  <si>
    <t>CLM102154</t>
  </si>
  <si>
    <t>CLM102155</t>
  </si>
  <si>
    <t>CLM102156</t>
  </si>
  <si>
    <t>PT11772</t>
  </si>
  <si>
    <t>CLM102157</t>
  </si>
  <si>
    <t>PT10639</t>
  </si>
  <si>
    <t>CLM102158</t>
  </si>
  <si>
    <t>PT12717</t>
  </si>
  <si>
    <t>CLM102159</t>
  </si>
  <si>
    <t>CLM102160</t>
  </si>
  <si>
    <t>PT11686</t>
  </si>
  <si>
    <t>CLM102161</t>
  </si>
  <si>
    <t>CLM102162</t>
  </si>
  <si>
    <t>CLM102163</t>
  </si>
  <si>
    <t>CLM102164</t>
  </si>
  <si>
    <t>PT13193</t>
  </si>
  <si>
    <t>CLM102166</t>
  </si>
  <si>
    <t>CLM102167</t>
  </si>
  <si>
    <t>CLM102168</t>
  </si>
  <si>
    <t>PT13001</t>
  </si>
  <si>
    <t>CLM102169</t>
  </si>
  <si>
    <t>CLM102170</t>
  </si>
  <si>
    <t>PT11026</t>
  </si>
  <si>
    <t>CLM102171</t>
  </si>
  <si>
    <t>PT13212</t>
  </si>
  <si>
    <t>CLM102172</t>
  </si>
  <si>
    <t>PT12320</t>
  </si>
  <si>
    <t>CLM102173</t>
  </si>
  <si>
    <t>CLM102174</t>
  </si>
  <si>
    <t>PT10912</t>
  </si>
  <si>
    <t>CLM102175</t>
  </si>
  <si>
    <t>PT11961</t>
  </si>
  <si>
    <t>CLM102176</t>
  </si>
  <si>
    <t>PT11323</t>
  </si>
  <si>
    <t>CLM102177</t>
  </si>
  <si>
    <t>CLM102178</t>
  </si>
  <si>
    <t>PT11878</t>
  </si>
  <si>
    <t>CLM102179</t>
  </si>
  <si>
    <t>PT10673</t>
  </si>
  <si>
    <t>CLM102180</t>
  </si>
  <si>
    <t>PT13474</t>
  </si>
  <si>
    <t>CLM102181</t>
  </si>
  <si>
    <t>PT12478</t>
  </si>
  <si>
    <t>CLM102182</t>
  </si>
  <si>
    <t>PT10108</t>
  </si>
  <si>
    <t>CLM102183</t>
  </si>
  <si>
    <t>CLM102184</t>
  </si>
  <si>
    <t>CLM102185</t>
  </si>
  <si>
    <t>PT11530</t>
  </si>
  <si>
    <t>CLM102186</t>
  </si>
  <si>
    <t>CLM102187</t>
  </si>
  <si>
    <t>CLM102188</t>
  </si>
  <si>
    <t>PT13042</t>
  </si>
  <si>
    <t>CLM102189</t>
  </si>
  <si>
    <t>CLM102190</t>
  </si>
  <si>
    <t>PT10328</t>
  </si>
  <si>
    <t>CLM102191</t>
  </si>
  <si>
    <t>CLM102192</t>
  </si>
  <si>
    <t>PT10638</t>
  </si>
  <si>
    <t>CLM102193</t>
  </si>
  <si>
    <t>PT12591</t>
  </si>
  <si>
    <t>CLM102194</t>
  </si>
  <si>
    <t>CLM102195</t>
  </si>
  <si>
    <t>CLM102196</t>
  </si>
  <si>
    <t>PT10848</t>
  </si>
  <si>
    <t>CLM102197</t>
  </si>
  <si>
    <t>CLM102198</t>
  </si>
  <si>
    <t>PT12145</t>
  </si>
  <si>
    <t>CLM102199</t>
  </si>
  <si>
    <t>CLM102200</t>
  </si>
  <si>
    <t>PT10903</t>
  </si>
  <si>
    <t>CLM102201</t>
  </si>
  <si>
    <t>PT12094</t>
  </si>
  <si>
    <t>CLM102202</t>
  </si>
  <si>
    <t>CLM102203</t>
  </si>
  <si>
    <t>PT13352</t>
  </si>
  <si>
    <t>CLM102204</t>
  </si>
  <si>
    <t>CLM102205</t>
  </si>
  <si>
    <t>PT10017</t>
  </si>
  <si>
    <t>CLM102206</t>
  </si>
  <si>
    <t>CLM102207</t>
  </si>
  <si>
    <t>CLM102208</t>
  </si>
  <si>
    <t>PT12642</t>
  </si>
  <si>
    <t>CLM102209</t>
  </si>
  <si>
    <t>CLM102210</t>
  </si>
  <si>
    <t>PT10566</t>
  </si>
  <si>
    <t>CLM102211</t>
  </si>
  <si>
    <t>PT10838</t>
  </si>
  <si>
    <t>CLM102212</t>
  </si>
  <si>
    <t>PT12613</t>
  </si>
  <si>
    <t>CLM102213</t>
  </si>
  <si>
    <t>PT11146</t>
  </si>
  <si>
    <t>CLM102214</t>
  </si>
  <si>
    <t>CLM102215</t>
  </si>
  <si>
    <t>CLM102217</t>
  </si>
  <si>
    <t>PT10782</t>
  </si>
  <si>
    <t>CLM102218</t>
  </si>
  <si>
    <t>CLM102219</t>
  </si>
  <si>
    <t>CLM102220</t>
  </si>
  <si>
    <t>CLM102221</t>
  </si>
  <si>
    <t>CLM102223</t>
  </si>
  <si>
    <t>CLM102224</t>
  </si>
  <si>
    <t>PT12701</t>
  </si>
  <si>
    <t>CLM102225</t>
  </si>
  <si>
    <t>CLM102226</t>
  </si>
  <si>
    <t>PT10732</t>
  </si>
  <si>
    <t>CLM102227</t>
  </si>
  <si>
    <t>CLM102228</t>
  </si>
  <si>
    <t>PT12311</t>
  </si>
  <si>
    <t>CLM102229</t>
  </si>
  <si>
    <t>CLM102230</t>
  </si>
  <si>
    <t>PT13195</t>
  </si>
  <si>
    <t>CLM102231</t>
  </si>
  <si>
    <t>CLM102232</t>
  </si>
  <si>
    <t>PT12535</t>
  </si>
  <si>
    <t>CLM102233</t>
  </si>
  <si>
    <t>PT11433</t>
  </si>
  <si>
    <t>CLM102234</t>
  </si>
  <si>
    <t>CLM102235</t>
  </si>
  <si>
    <t>CLM102236</t>
  </si>
  <si>
    <t>CLM102237</t>
  </si>
  <si>
    <t>CLM102238</t>
  </si>
  <si>
    <t>CLM102239</t>
  </si>
  <si>
    <t>CLM102240</t>
  </si>
  <si>
    <t>CLM102242</t>
  </si>
  <si>
    <t>PT12837</t>
  </si>
  <si>
    <t>CLM102243</t>
  </si>
  <si>
    <t>PT10140</t>
  </si>
  <si>
    <t>CLM102244</t>
  </si>
  <si>
    <t>CLM102245</t>
  </si>
  <si>
    <t>PT12641</t>
  </si>
  <si>
    <t>CLM102246</t>
  </si>
  <si>
    <t>CLM102247</t>
  </si>
  <si>
    <t>CLM102248</t>
  </si>
  <si>
    <t>CLM102249</t>
  </si>
  <si>
    <t>CLM102250</t>
  </si>
  <si>
    <t>CLM102251</t>
  </si>
  <si>
    <t>CLM102252</t>
  </si>
  <si>
    <t>PT12036</t>
  </si>
  <si>
    <t>CLM102253</t>
  </si>
  <si>
    <t>CLM102254</t>
  </si>
  <si>
    <t>PT10402</t>
  </si>
  <si>
    <t>CLM102255</t>
  </si>
  <si>
    <t>CLM102256</t>
  </si>
  <si>
    <t>PT11741</t>
  </si>
  <si>
    <t>CLM102257</t>
  </si>
  <si>
    <t>PT13346</t>
  </si>
  <si>
    <t>CLM102258</t>
  </si>
  <si>
    <t>CLM102259</t>
  </si>
  <si>
    <t>CLM102260</t>
  </si>
  <si>
    <t>CLM102261</t>
  </si>
  <si>
    <t>PT11443</t>
  </si>
  <si>
    <t>CLM102262</t>
  </si>
  <si>
    <t>CLM102263</t>
  </si>
  <si>
    <t>CLM102264</t>
  </si>
  <si>
    <t>PT11392</t>
  </si>
  <si>
    <t>CLM102265</t>
  </si>
  <si>
    <t>CLM102266</t>
  </si>
  <si>
    <t>CLM102267</t>
  </si>
  <si>
    <t>CLM102268</t>
  </si>
  <si>
    <t>CLM102269</t>
  </si>
  <si>
    <t>CLM102270</t>
  </si>
  <si>
    <t>CLM102271</t>
  </si>
  <si>
    <t>CLM102272</t>
  </si>
  <si>
    <t>CLM102273</t>
  </si>
  <si>
    <t>PT10651</t>
  </si>
  <si>
    <t>CLM102274</t>
  </si>
  <si>
    <t>CLM102275</t>
  </si>
  <si>
    <t>PT12179</t>
  </si>
  <si>
    <t>CLM102276</t>
  </si>
  <si>
    <t>CLM102277</t>
  </si>
  <si>
    <t>PT10989</t>
  </si>
  <si>
    <t>CLM102278</t>
  </si>
  <si>
    <t>CLM102279</t>
  </si>
  <si>
    <t>CLM102280</t>
  </si>
  <si>
    <t>PT10978</t>
  </si>
  <si>
    <t>CLM102281</t>
  </si>
  <si>
    <t>PT10750</t>
  </si>
  <si>
    <t>CLM102282</t>
  </si>
  <si>
    <t>PT11401</t>
  </si>
  <si>
    <t>CLM102283</t>
  </si>
  <si>
    <t>PT11409</t>
  </si>
  <si>
    <t>CLM102284</t>
  </si>
  <si>
    <t>CLM102285</t>
  </si>
  <si>
    <t>PT10117</t>
  </si>
  <si>
    <t>CLM102286</t>
  </si>
  <si>
    <t>PT11736</t>
  </si>
  <si>
    <t>CLM102287</t>
  </si>
  <si>
    <t>PT10242</t>
  </si>
  <si>
    <t>CLM102288</t>
  </si>
  <si>
    <t>CLM102289</t>
  </si>
  <si>
    <t>CLM102290</t>
  </si>
  <si>
    <t>PT11512</t>
  </si>
  <si>
    <t>CLM102291</t>
  </si>
  <si>
    <t>PT11930</t>
  </si>
  <si>
    <t>CLM102292</t>
  </si>
  <si>
    <t>PT13065</t>
  </si>
  <si>
    <t>CLM102293</t>
  </si>
  <si>
    <t>PT12721</t>
  </si>
  <si>
    <t>CLM102294</t>
  </si>
  <si>
    <t>PT11915</t>
  </si>
  <si>
    <t>CLM102295</t>
  </si>
  <si>
    <t>CLM102296</t>
  </si>
  <si>
    <t>CLM102297</t>
  </si>
  <si>
    <t>PT12635</t>
  </si>
  <si>
    <t>CLM102298</t>
  </si>
  <si>
    <t>CLM102299</t>
  </si>
  <si>
    <t>PT11114</t>
  </si>
  <si>
    <t>CLM102300</t>
  </si>
  <si>
    <t>PT12197</t>
  </si>
  <si>
    <t>CLM102301</t>
  </si>
  <si>
    <t>CLM102302</t>
  </si>
  <si>
    <t>PT10692</t>
  </si>
  <si>
    <t>CLM102303</t>
  </si>
  <si>
    <t>PT12201</t>
  </si>
  <si>
    <t>CLM102304</t>
  </si>
  <si>
    <t>CLM102305</t>
  </si>
  <si>
    <t>CLM102306</t>
  </si>
  <si>
    <t>PT10426</t>
  </si>
  <si>
    <t>CLM102307</t>
  </si>
  <si>
    <t>CLM102308</t>
  </si>
  <si>
    <t>PT11857</t>
  </si>
  <si>
    <t>CLM102309</t>
  </si>
  <si>
    <t>CLM102310</t>
  </si>
  <si>
    <t>PT11524</t>
  </si>
  <si>
    <t>CLM102311</t>
  </si>
  <si>
    <t>PT10890</t>
  </si>
  <si>
    <t>CLM102312</t>
  </si>
  <si>
    <t>CLM102313</t>
  </si>
  <si>
    <t>PT12748</t>
  </si>
  <si>
    <t>CLM102314</t>
  </si>
  <si>
    <t>PT11025</t>
  </si>
  <si>
    <t>CLM102315</t>
  </si>
  <si>
    <t>CLM102316</t>
  </si>
  <si>
    <t>CLM102317</t>
  </si>
  <si>
    <t>PT11976</t>
  </si>
  <si>
    <t>CLM102318</t>
  </si>
  <si>
    <t>PT12225</t>
  </si>
  <si>
    <t>CLM102319</t>
  </si>
  <si>
    <t>CLM102320</t>
  </si>
  <si>
    <t>PT11166</t>
  </si>
  <si>
    <t>CLM102321</t>
  </si>
  <si>
    <t>CLM102322</t>
  </si>
  <si>
    <t>CLM102323</t>
  </si>
  <si>
    <t>PT13350</t>
  </si>
  <si>
    <t>CLM102324</t>
  </si>
  <si>
    <t>PT10363</t>
  </si>
  <si>
    <t>CLM102325</t>
  </si>
  <si>
    <t>PT10466</t>
  </si>
  <si>
    <t>CLM102326</t>
  </si>
  <si>
    <t>PT10470</t>
  </si>
  <si>
    <t>CLM102327</t>
  </si>
  <si>
    <t>PT11271</t>
  </si>
  <si>
    <t>CLM102328</t>
  </si>
  <si>
    <t>CLM102329</t>
  </si>
  <si>
    <t>CLM102330</t>
  </si>
  <si>
    <t>PT11321</t>
  </si>
  <si>
    <t>CLM102331</t>
  </si>
  <si>
    <t>CLM102332</t>
  </si>
  <si>
    <t>PT11303</t>
  </si>
  <si>
    <t>CLM102333</t>
  </si>
  <si>
    <t>PT13175</t>
  </si>
  <si>
    <t>CLM102334</t>
  </si>
  <si>
    <t>CLM102335</t>
  </si>
  <si>
    <t>PT11714</t>
  </si>
  <si>
    <t>CLM102336</t>
  </si>
  <si>
    <t>PT11958</t>
  </si>
  <si>
    <t>CLM102337</t>
  </si>
  <si>
    <t>CLM102338</t>
  </si>
  <si>
    <t>CLM102339</t>
  </si>
  <si>
    <t>CLM102340</t>
  </si>
  <si>
    <t>CLM102341</t>
  </si>
  <si>
    <t>PT11914</t>
  </si>
  <si>
    <t>CLM102342</t>
  </si>
  <si>
    <t>CLM102343</t>
  </si>
  <si>
    <t>CLM102344</t>
  </si>
  <si>
    <t>PT10380</t>
  </si>
  <si>
    <t>CLM102345</t>
  </si>
  <si>
    <t>PT11204</t>
  </si>
  <si>
    <t>CLM102346</t>
  </si>
  <si>
    <t>CLM102347</t>
  </si>
  <si>
    <t>CLM102348</t>
  </si>
  <si>
    <t>PT10085</t>
  </si>
  <si>
    <t>CLM102349</t>
  </si>
  <si>
    <t>CLM102350</t>
  </si>
  <si>
    <t>CLM102351</t>
  </si>
  <si>
    <t>CLM102352</t>
  </si>
  <si>
    <t>CLM102353</t>
  </si>
  <si>
    <t>PT12631</t>
  </si>
  <si>
    <t>CLM102354</t>
  </si>
  <si>
    <t>PT10107</t>
  </si>
  <si>
    <t>CLM102355</t>
  </si>
  <si>
    <t>CLM102356</t>
  </si>
  <si>
    <t>CLM102357</t>
  </si>
  <si>
    <t>CLM102358</t>
  </si>
  <si>
    <t>PT10186</t>
  </si>
  <si>
    <t>CLM102359</t>
  </si>
  <si>
    <t>CLM102360</t>
  </si>
  <si>
    <t>PT11325</t>
  </si>
  <si>
    <t>CLM102361</t>
  </si>
  <si>
    <t>PT11001</t>
  </si>
  <si>
    <t>CLM102362</t>
  </si>
  <si>
    <t>CLM102363</t>
  </si>
  <si>
    <t>CLM102364</t>
  </si>
  <si>
    <t>CLM102365</t>
  </si>
  <si>
    <t>CLM102366</t>
  </si>
  <si>
    <t>PT11837</t>
  </si>
  <si>
    <t>CLM102367</t>
  </si>
  <si>
    <t>PT12204</t>
  </si>
  <si>
    <t>CLM102368</t>
  </si>
  <si>
    <t>CLM102370</t>
  </si>
  <si>
    <t>CLM102371</t>
  </si>
  <si>
    <t>CLM102372</t>
  </si>
  <si>
    <t>CLM102373</t>
  </si>
  <si>
    <t>PT11496</t>
  </si>
  <si>
    <t>CLM102374</t>
  </si>
  <si>
    <t>PT10055</t>
  </si>
  <si>
    <t>CLM102375</t>
  </si>
  <si>
    <t>CLM102376</t>
  </si>
  <si>
    <t>CLM102377</t>
  </si>
  <si>
    <t>CLM102378</t>
  </si>
  <si>
    <t>PT13415</t>
  </si>
  <si>
    <t>CLM102379</t>
  </si>
  <si>
    <t>CLM102380</t>
  </si>
  <si>
    <t>PT10071</t>
  </si>
  <si>
    <t>CLM102381</t>
  </si>
  <si>
    <t>PT10997</t>
  </si>
  <si>
    <t>CLM102382</t>
  </si>
  <si>
    <t>PT13056</t>
  </si>
  <si>
    <t>CLM102383</t>
  </si>
  <si>
    <t>PT13091</t>
  </si>
  <si>
    <t>CLM102384</t>
  </si>
  <si>
    <t>PT12105</t>
  </si>
  <si>
    <t>CLM102385</t>
  </si>
  <si>
    <t>PT12159</t>
  </si>
  <si>
    <t>CLM102386</t>
  </si>
  <si>
    <t>PT12891</t>
  </si>
  <si>
    <t>CLM102387</t>
  </si>
  <si>
    <t>CLM102388</t>
  </si>
  <si>
    <t>PT12999</t>
  </si>
  <si>
    <t>CLM102389</t>
  </si>
  <si>
    <t>PT12485</t>
  </si>
  <si>
    <t>CLM102390</t>
  </si>
  <si>
    <t>PT10710</t>
  </si>
  <si>
    <t>CLM102391</t>
  </si>
  <si>
    <t>PT11021</t>
  </si>
  <si>
    <t>CLM102392</t>
  </si>
  <si>
    <t>PT11842</t>
  </si>
  <si>
    <t>CLM102393</t>
  </si>
  <si>
    <t>CLM102395</t>
  </si>
  <si>
    <t>PT11397</t>
  </si>
  <si>
    <t>CLM102396</t>
  </si>
  <si>
    <t>PT12845</t>
  </si>
  <si>
    <t>CLM102397</t>
  </si>
  <si>
    <t>CLM102398</t>
  </si>
  <si>
    <t>PT12592</t>
  </si>
  <si>
    <t>CLM102399</t>
  </si>
  <si>
    <t>CLM102400</t>
  </si>
  <si>
    <t>PT12016</t>
  </si>
  <si>
    <t>CLM102401</t>
  </si>
  <si>
    <t>CLM102402</t>
  </si>
  <si>
    <t>PT10361</t>
  </si>
  <si>
    <t>CLM102403</t>
  </si>
  <si>
    <t>CLM102404</t>
  </si>
  <si>
    <t>PT11954</t>
  </si>
  <si>
    <t>CLM102405</t>
  </si>
  <si>
    <t>PT11784</t>
  </si>
  <si>
    <t>CLM102406</t>
  </si>
  <si>
    <t>CLM102407</t>
  </si>
  <si>
    <t>CLM102408</t>
  </si>
  <si>
    <t>CLM102409</t>
  </si>
  <si>
    <t>CLM102410</t>
  </si>
  <si>
    <t>PT12294</t>
  </si>
  <si>
    <t>CLM102411</t>
  </si>
  <si>
    <t>CLM102412</t>
  </si>
  <si>
    <t>PT13359</t>
  </si>
  <si>
    <t>CLM102413</t>
  </si>
  <si>
    <t>CLM102414</t>
  </si>
  <si>
    <t>PT10650</t>
  </si>
  <si>
    <t>CLM102415</t>
  </si>
  <si>
    <t>CLM102416</t>
  </si>
  <si>
    <t>PT12353</t>
  </si>
  <si>
    <t>CLM102417</t>
  </si>
  <si>
    <t>CLM102418</t>
  </si>
  <si>
    <t>PT12605</t>
  </si>
  <si>
    <t>CLM102419</t>
  </si>
  <si>
    <t>PT11053</t>
  </si>
  <si>
    <t>CLM102420</t>
  </si>
  <si>
    <t>PT10973</t>
  </si>
  <si>
    <t>CLM102421</t>
  </si>
  <si>
    <t>PT13107</t>
  </si>
  <si>
    <t>CLM102422</t>
  </si>
  <si>
    <t>PT11250</t>
  </si>
  <si>
    <t>CLM102423</t>
  </si>
  <si>
    <t>CLM102424</t>
  </si>
  <si>
    <t>PT10897</t>
  </si>
  <si>
    <t>CLM102425</t>
  </si>
  <si>
    <t>CLM102426</t>
  </si>
  <si>
    <t>PT10557</t>
  </si>
  <si>
    <t>CLM102427</t>
  </si>
  <si>
    <t>CLM102428</t>
  </si>
  <si>
    <t>PT11314</t>
  </si>
  <si>
    <t>CLM102429</t>
  </si>
  <si>
    <t>PT11582</t>
  </si>
  <si>
    <t>CLM102430</t>
  </si>
  <si>
    <t>PT10010</t>
  </si>
  <si>
    <t>CLM102431</t>
  </si>
  <si>
    <t>CLM102432</t>
  </si>
  <si>
    <t>PT10676</t>
  </si>
  <si>
    <t>CLM102433</t>
  </si>
  <si>
    <t>CLM102434</t>
  </si>
  <si>
    <t>CLM102435</t>
  </si>
  <si>
    <t>CLM102436</t>
  </si>
  <si>
    <t>PT11222</t>
  </si>
  <si>
    <t>CLM102437</t>
  </si>
  <si>
    <t>CLM102438</t>
  </si>
  <si>
    <t>PT11643</t>
  </si>
  <si>
    <t>CLM102439</t>
  </si>
  <si>
    <t>CLM102440</t>
  </si>
  <si>
    <t>CLM102441</t>
  </si>
  <si>
    <t>PT12572</t>
  </si>
  <si>
    <t>CLM102442</t>
  </si>
  <si>
    <t>CLM102443</t>
  </si>
  <si>
    <t>PT12950</t>
  </si>
  <si>
    <t>CLM102444</t>
  </si>
  <si>
    <t>PT12045</t>
  </si>
  <si>
    <t>CLM102445</t>
  </si>
  <si>
    <t>CLM102446</t>
  </si>
  <si>
    <t>PT10729</t>
  </si>
  <si>
    <t>CLM102448</t>
  </si>
  <si>
    <t>CLM102449</t>
  </si>
  <si>
    <t>CLM102450</t>
  </si>
  <si>
    <t>CLM102451</t>
  </si>
  <si>
    <t>CLM102452</t>
  </si>
  <si>
    <t>PT11789</t>
  </si>
  <si>
    <t>CLM102453</t>
  </si>
  <si>
    <t>PT10971</t>
  </si>
  <si>
    <t>CLM102454</t>
  </si>
  <si>
    <t>CLM102455</t>
  </si>
  <si>
    <t>PT13297</t>
  </si>
  <si>
    <t>CLM102456</t>
  </si>
  <si>
    <t>PT11849</t>
  </si>
  <si>
    <t>CLM102457</t>
  </si>
  <si>
    <t>PT10312</t>
  </si>
  <si>
    <t>CLM102458</t>
  </si>
  <si>
    <t>CLM102459</t>
  </si>
  <si>
    <t>PT11820</t>
  </si>
  <si>
    <t>CLM102460</t>
  </si>
  <si>
    <t>CLM102461</t>
  </si>
  <si>
    <t>PT12218</t>
  </si>
  <si>
    <t>CLM102462</t>
  </si>
  <si>
    <t>PT11727</t>
  </si>
  <si>
    <t>CLM102463</t>
  </si>
  <si>
    <t>PT11724</t>
  </si>
  <si>
    <t>CLM102464</t>
  </si>
  <si>
    <t>CLM102465</t>
  </si>
  <si>
    <t>CLM102466</t>
  </si>
  <si>
    <t>CLM102467</t>
  </si>
  <si>
    <t>CLM102468</t>
  </si>
  <si>
    <t>PT10769</t>
  </si>
  <si>
    <t>CLM102469</t>
  </si>
  <si>
    <t>CLM102470</t>
  </si>
  <si>
    <t>PT12254</t>
  </si>
  <si>
    <t>CLM102471</t>
  </si>
  <si>
    <t>PT12233</t>
  </si>
  <si>
    <t>CLM102472</t>
  </si>
  <si>
    <t>CLM102473</t>
  </si>
  <si>
    <t>CLM102474</t>
  </si>
  <si>
    <t>CLM102475</t>
  </si>
  <si>
    <t>PT10019</t>
  </si>
  <si>
    <t>CLM102476</t>
  </si>
  <si>
    <t>CLM102477</t>
  </si>
  <si>
    <t>PT11329</t>
  </si>
  <si>
    <t>CLM102478</t>
  </si>
  <si>
    <t>CLM102479</t>
  </si>
  <si>
    <t>PT11081</t>
  </si>
  <si>
    <t>CLM102480</t>
  </si>
  <si>
    <t>PT13455</t>
  </si>
  <si>
    <t>CLM102481</t>
  </si>
  <si>
    <t>CLM102482</t>
  </si>
  <si>
    <t>CLM102483</t>
  </si>
  <si>
    <t>CLM102484</t>
  </si>
  <si>
    <t>PT13037</t>
  </si>
  <si>
    <t>CLM102485</t>
  </si>
  <si>
    <t>PT10277</t>
  </si>
  <si>
    <t>CLM102486</t>
  </si>
  <si>
    <t>PT11918</t>
  </si>
  <si>
    <t>CLM102487</t>
  </si>
  <si>
    <t>PT13053</t>
  </si>
  <si>
    <t>CLM102488</t>
  </si>
  <si>
    <t>CLM102489</t>
  </si>
  <si>
    <t>CLM102490</t>
  </si>
  <si>
    <t>CLM102491</t>
  </si>
  <si>
    <t>PT13188</t>
  </si>
  <si>
    <t>CLM102492</t>
  </si>
  <si>
    <t>CLM102493</t>
  </si>
  <si>
    <t>CLM102494</t>
  </si>
  <si>
    <t>CLM102495</t>
  </si>
  <si>
    <t>PT10172</t>
  </si>
  <si>
    <t>CLM102496</t>
  </si>
  <si>
    <t>CLM102497</t>
  </si>
  <si>
    <t>PT10653</t>
  </si>
  <si>
    <t>CLM102499</t>
  </si>
  <si>
    <t>CLM102500</t>
  </si>
  <si>
    <t>CLM102501</t>
  </si>
  <si>
    <t>PT12537</t>
  </si>
  <si>
    <t>CLM102502</t>
  </si>
  <si>
    <t>PT12663</t>
  </si>
  <si>
    <t>CLM102503</t>
  </si>
  <si>
    <t>PT11399</t>
  </si>
  <si>
    <t>CLM102504</t>
  </si>
  <si>
    <t>CLM102505</t>
  </si>
  <si>
    <t>CLM102506</t>
  </si>
  <si>
    <t>PT12741</t>
  </si>
  <si>
    <t>CLM102507</t>
  </si>
  <si>
    <t>PT10929</t>
  </si>
  <si>
    <t>CLM102508</t>
  </si>
  <si>
    <t>CLM102509</t>
  </si>
  <si>
    <t>PT12645</t>
  </si>
  <si>
    <t>CLM102510</t>
  </si>
  <si>
    <t>PT13242</t>
  </si>
  <si>
    <t>CLM102511</t>
  </si>
  <si>
    <t>CLM102512</t>
  </si>
  <si>
    <t>PT13078</t>
  </si>
  <si>
    <t>CLM102513</t>
  </si>
  <si>
    <t>PT11482</t>
  </si>
  <si>
    <t>CLM102515</t>
  </si>
  <si>
    <t>PT12624</t>
  </si>
  <si>
    <t>CLM102516</t>
  </si>
  <si>
    <t>PT11978</t>
  </si>
  <si>
    <t>CLM102517</t>
  </si>
  <si>
    <t>CLM102518</t>
  </si>
  <si>
    <t>PT10240</t>
  </si>
  <si>
    <t>CLM102519</t>
  </si>
  <si>
    <t>PT12012</t>
  </si>
  <si>
    <t>CLM102520</t>
  </si>
  <si>
    <t>PT11351</t>
  </si>
  <si>
    <t>CLM102521</t>
  </si>
  <si>
    <t>CLM102522</t>
  </si>
  <si>
    <t>PT11766</t>
  </si>
  <si>
    <t>CLM102523</t>
  </si>
  <si>
    <t>CLM102524</t>
  </si>
  <si>
    <t>CLM102525</t>
  </si>
  <si>
    <t>PT12536</t>
  </si>
  <si>
    <t>CLM102526</t>
  </si>
  <si>
    <t>PT11252</t>
  </si>
  <si>
    <t>CLM102527</t>
  </si>
  <si>
    <t>PT13240</t>
  </si>
  <si>
    <t>CLM102528</t>
  </si>
  <si>
    <t>PT11971</t>
  </si>
  <si>
    <t>CLM102529</t>
  </si>
  <si>
    <t>PT10624</t>
  </si>
  <si>
    <t>CLM102530</t>
  </si>
  <si>
    <t>CLM102531</t>
  </si>
  <si>
    <t>PT11328</t>
  </si>
  <si>
    <t>CLM102532</t>
  </si>
  <si>
    <t>CLM102533</t>
  </si>
  <si>
    <t>CLM102534</t>
  </si>
  <si>
    <t>PT12930</t>
  </si>
  <si>
    <t>CLM102535</t>
  </si>
  <si>
    <t>PT11364</t>
  </si>
  <si>
    <t>CLM102536</t>
  </si>
  <si>
    <t>PT11677</t>
  </si>
  <si>
    <t>CLM102537</t>
  </si>
  <si>
    <t>PT12933</t>
  </si>
  <si>
    <t>CLM102538</t>
  </si>
  <si>
    <t>CLM102539</t>
  </si>
  <si>
    <t>PT10098</t>
  </si>
  <si>
    <t>CLM102540</t>
  </si>
  <si>
    <t>CLM102541</t>
  </si>
  <si>
    <t>CLM102542</t>
  </si>
  <si>
    <t>CLM102543</t>
  </si>
  <si>
    <t>PT12196</t>
  </si>
  <si>
    <t>CLM102544</t>
  </si>
  <si>
    <t>CLM102545</t>
  </si>
  <si>
    <t>PT12185</t>
  </si>
  <si>
    <t>CLM102546</t>
  </si>
  <si>
    <t>CLM102547</t>
  </si>
  <si>
    <t>PT11552</t>
  </si>
  <si>
    <t>CLM102548</t>
  </si>
  <si>
    <t>CLM102549</t>
  </si>
  <si>
    <t>PT10858</t>
  </si>
  <si>
    <t>CLM102550</t>
  </si>
  <si>
    <t>PT12881</t>
  </si>
  <si>
    <t>CLM102551</t>
  </si>
  <si>
    <t>CLM102552</t>
  </si>
  <si>
    <t>PT11188</t>
  </si>
  <si>
    <t>CLM102553</t>
  </si>
  <si>
    <t>CLM102554</t>
  </si>
  <si>
    <t>CLM102555</t>
  </si>
  <si>
    <t>PT10072</t>
  </si>
  <si>
    <t>CLM102556</t>
  </si>
  <si>
    <t>PT12839</t>
  </si>
  <si>
    <t>CLM102557</t>
  </si>
  <si>
    <t>PT10228</t>
  </si>
  <si>
    <t>CLM102558</t>
  </si>
  <si>
    <t>CLM102559</t>
  </si>
  <si>
    <t>PT11379</t>
  </si>
  <si>
    <t>CLM102560</t>
  </si>
  <si>
    <t>CLM102561</t>
  </si>
  <si>
    <t>PT13396</t>
  </si>
  <si>
    <t>CLM102562</t>
  </si>
  <si>
    <t>PT10783</t>
  </si>
  <si>
    <t>CLM102563</t>
  </si>
  <si>
    <t>PT10450</t>
  </si>
  <si>
    <t>CLM102564</t>
  </si>
  <si>
    <t>PT10026</t>
  </si>
  <si>
    <t>CLM102565</t>
  </si>
  <si>
    <t>CLM102566</t>
  </si>
  <si>
    <t>PT13182</t>
  </si>
  <si>
    <t>CLM102567</t>
  </si>
  <si>
    <t>CLM102568</t>
  </si>
  <si>
    <t>CLM102569</t>
  </si>
  <si>
    <t>PT10005</t>
  </si>
  <si>
    <t>CLM102570</t>
  </si>
  <si>
    <t>CLM102571</t>
  </si>
  <si>
    <t>CLM102572</t>
  </si>
  <si>
    <t>PT10015</t>
  </si>
  <si>
    <t>CLM102573</t>
  </si>
  <si>
    <t>CLM102574</t>
  </si>
  <si>
    <t>CLM102575</t>
  </si>
  <si>
    <t>PT11663</t>
  </si>
  <si>
    <t>CLM102576</t>
  </si>
  <si>
    <t>CLM102577</t>
  </si>
  <si>
    <t>PT10284</t>
  </si>
  <si>
    <t>CLM102578</t>
  </si>
  <si>
    <t>PT13134</t>
  </si>
  <si>
    <t>CLM102579</t>
  </si>
  <si>
    <t>PT12161</t>
  </si>
  <si>
    <t>CLM102580</t>
  </si>
  <si>
    <t>CLM102581</t>
  </si>
  <si>
    <t>PT12872</t>
  </si>
  <si>
    <t>CLM102582</t>
  </si>
  <si>
    <t>CLM102583</t>
  </si>
  <si>
    <t>CLM102584</t>
  </si>
  <si>
    <t>CLM102585</t>
  </si>
  <si>
    <t>PT11962</t>
  </si>
  <si>
    <t>CLM102586</t>
  </si>
  <si>
    <t>PT13133</t>
  </si>
  <si>
    <t>CLM102587</t>
  </si>
  <si>
    <t>PT13378</t>
  </si>
  <si>
    <t>CLM102588</t>
  </si>
  <si>
    <t>PT13072</t>
  </si>
  <si>
    <t>CLM102589</t>
  </si>
  <si>
    <t>PT12573</t>
  </si>
  <si>
    <t>CLM102590</t>
  </si>
  <si>
    <t>CLM102591</t>
  </si>
  <si>
    <t>PT10711</t>
  </si>
  <si>
    <t>CLM102592</t>
  </si>
  <si>
    <t>PT11338</t>
  </si>
  <si>
    <t>CLM102593</t>
  </si>
  <si>
    <t>PT10570</t>
  </si>
  <si>
    <t>CLM102594</t>
  </si>
  <si>
    <t>CLM102596</t>
  </si>
  <si>
    <t>CLM102597</t>
  </si>
  <si>
    <t>CLM102598</t>
  </si>
  <si>
    <t>CLM102599</t>
  </si>
  <si>
    <t>CLM102600</t>
  </si>
  <si>
    <t>PT12341</t>
  </si>
  <si>
    <t>CLM102601</t>
  </si>
  <si>
    <t>PT11888</t>
  </si>
  <si>
    <t>CLM102602</t>
  </si>
  <si>
    <t>CLM102603</t>
  </si>
  <si>
    <t>PT10304</t>
  </si>
  <si>
    <t>CLM102604</t>
  </si>
  <si>
    <t>CLM102605</t>
  </si>
  <si>
    <t>PT13194</t>
  </si>
  <si>
    <t>CLM102606</t>
  </si>
  <si>
    <t>CLM102607</t>
  </si>
  <si>
    <t>CLM102608</t>
  </si>
  <si>
    <t>CLM102609</t>
  </si>
  <si>
    <t>CLM102610</t>
  </si>
  <si>
    <t>PT12991</t>
  </si>
  <si>
    <t>CLM102611</t>
  </si>
  <si>
    <t>PT12611</t>
  </si>
  <si>
    <t>CLM102612</t>
  </si>
  <si>
    <t>CLM102613</t>
  </si>
  <si>
    <t>PT10262</t>
  </si>
  <si>
    <t>CLM102614</t>
  </si>
  <si>
    <t>PT12007</t>
  </si>
  <si>
    <t>CLM102615</t>
  </si>
  <si>
    <t>CLM102617</t>
  </si>
  <si>
    <t>PT10628</t>
  </si>
  <si>
    <t>CLM102619</t>
  </si>
  <si>
    <t>CLM102620</t>
  </si>
  <si>
    <t>PT11035</t>
  </si>
  <si>
    <t>CLM102621</t>
  </si>
  <si>
    <t>PT10112</t>
  </si>
  <si>
    <t>CLM102622</t>
  </si>
  <si>
    <t>PT13301</t>
  </si>
  <si>
    <t>CLM102623</t>
  </si>
  <si>
    <t>CLM102624</t>
  </si>
  <si>
    <t>PT11110</t>
  </si>
  <si>
    <t>CLM102625</t>
  </si>
  <si>
    <t>CLM102626</t>
  </si>
  <si>
    <t>PT11824</t>
  </si>
  <si>
    <t>CLM102627</t>
  </si>
  <si>
    <t>CLM102628</t>
  </si>
  <si>
    <t>CLM102629</t>
  </si>
  <si>
    <t>CLM102630</t>
  </si>
  <si>
    <t>CLM102631</t>
  </si>
  <si>
    <t>CLM102632</t>
  </si>
  <si>
    <t>PT10687</t>
  </si>
  <si>
    <t>CLM102633</t>
  </si>
  <si>
    <t>CLM102634</t>
  </si>
  <si>
    <t>CLM102635</t>
  </si>
  <si>
    <t>PT12850</t>
  </si>
  <si>
    <t>CLM102636</t>
  </si>
  <si>
    <t>CLM102637</t>
  </si>
  <si>
    <t>CLM102638</t>
  </si>
  <si>
    <t>PT13202</t>
  </si>
  <si>
    <t>CLM102639</t>
  </si>
  <si>
    <t>CLM102640</t>
  </si>
  <si>
    <t>CLM102641</t>
  </si>
  <si>
    <t>PT12566</t>
  </si>
  <si>
    <t>CLM102642</t>
  </si>
  <si>
    <t>CLM102643</t>
  </si>
  <si>
    <t>PT11255</t>
  </si>
  <si>
    <t>CLM102645</t>
  </si>
  <si>
    <t>CLM102646</t>
  </si>
  <si>
    <t>PT11157</t>
  </si>
  <si>
    <t>CLM102647</t>
  </si>
  <si>
    <t>PT12982</t>
  </si>
  <si>
    <t>CLM102648</t>
  </si>
  <si>
    <t>PT13313</t>
  </si>
  <si>
    <t>CLM102649</t>
  </si>
  <si>
    <t>PT11995</t>
  </si>
  <si>
    <t>CLM102650</t>
  </si>
  <si>
    <t>PT10301</t>
  </si>
  <si>
    <t>CLM102651</t>
  </si>
  <si>
    <t>PT12714</t>
  </si>
  <si>
    <t>CLM102652</t>
  </si>
  <si>
    <t>PT12216</t>
  </si>
  <si>
    <t>CLM102653</t>
  </si>
  <si>
    <t>PT12749</t>
  </si>
  <si>
    <t>CLM102654</t>
  </si>
  <si>
    <t>CLM102655</t>
  </si>
  <si>
    <t>CLM102656</t>
  </si>
  <si>
    <t>CLM102657</t>
  </si>
  <si>
    <t>CLM102658</t>
  </si>
  <si>
    <t>CLM102659</t>
  </si>
  <si>
    <t>CLM102660</t>
  </si>
  <si>
    <t>PT10600</t>
  </si>
  <si>
    <t>CLM102661</t>
  </si>
  <si>
    <t>PT12672</t>
  </si>
  <si>
    <t>CLM102662</t>
  </si>
  <si>
    <t>PT12242</t>
  </si>
  <si>
    <t>CLM102663</t>
  </si>
  <si>
    <t>PT11726</t>
  </si>
  <si>
    <t>CLM102664</t>
  </si>
  <si>
    <t>PT13459</t>
  </si>
  <si>
    <t>CLM102665</t>
  </si>
  <si>
    <t>PT10724</t>
  </si>
  <si>
    <t>CLM102666</t>
  </si>
  <si>
    <t>CLM102667</t>
  </si>
  <si>
    <t>PT10627</t>
  </si>
  <si>
    <t>CLM102668</t>
  </si>
  <si>
    <t>CLM102669</t>
  </si>
  <si>
    <t>PT11585</t>
  </si>
  <si>
    <t>CLM102670</t>
  </si>
  <si>
    <t>PT12604</t>
  </si>
  <si>
    <t>CLM102671</t>
  </si>
  <si>
    <t>CLM102672</t>
  </si>
  <si>
    <t>CLM102673</t>
  </si>
  <si>
    <t>CLM102674</t>
  </si>
  <si>
    <t>PT10921</t>
  </si>
  <si>
    <t>CLM102675</t>
  </si>
  <si>
    <t>PT12743</t>
  </si>
  <si>
    <t>CLM102676</t>
  </si>
  <si>
    <t>PT12975</t>
  </si>
  <si>
    <t>CLM102677</t>
  </si>
  <si>
    <t>PT12880</t>
  </si>
  <si>
    <t>CLM102678</t>
  </si>
  <si>
    <t>PT12655</t>
  </si>
  <si>
    <t>CLM102679</t>
  </si>
  <si>
    <t>CLM102680</t>
  </si>
  <si>
    <t>CLM102681</t>
  </si>
  <si>
    <t>CLM102682</t>
  </si>
  <si>
    <t>CLM102683</t>
  </si>
  <si>
    <t>PT12133</t>
  </si>
  <si>
    <t>CLM102684</t>
  </si>
  <si>
    <t>CLM102685</t>
  </si>
  <si>
    <t>CLM102686</t>
  </si>
  <si>
    <t>PT12832</t>
  </si>
  <si>
    <t>CLM102688</t>
  </si>
  <si>
    <t>CLM102689</t>
  </si>
  <si>
    <t>CLM102690</t>
  </si>
  <si>
    <t>CLM102691</t>
  </si>
  <si>
    <t>PT12941</t>
  </si>
  <si>
    <t>CLM102692</t>
  </si>
  <si>
    <t>PT11249</t>
  </si>
  <si>
    <t>CLM102693</t>
  </si>
  <si>
    <t>PT10330</t>
  </si>
  <si>
    <t>CLM102694</t>
  </si>
  <si>
    <t>PT11735</t>
  </si>
  <si>
    <t>CLM102695</t>
  </si>
  <si>
    <t>PT11141</t>
  </si>
  <si>
    <t>CLM102696</t>
  </si>
  <si>
    <t>CLM102697</t>
  </si>
  <si>
    <t>CLM102698</t>
  </si>
  <si>
    <t>PT11960</t>
  </si>
  <si>
    <t>CLM102699</t>
  </si>
  <si>
    <t>CLM102700</t>
  </si>
  <si>
    <t>CLM102701</t>
  </si>
  <si>
    <t>CLM102702</t>
  </si>
  <si>
    <t>PT10532</t>
  </si>
  <si>
    <t>CLM102703</t>
  </si>
  <si>
    <t>PT11704</t>
  </si>
  <si>
    <t>CLM102704</t>
  </si>
  <si>
    <t>CLM102705</t>
  </si>
  <si>
    <t>CLM102706</t>
  </si>
  <si>
    <t>CLM102707</t>
  </si>
  <si>
    <t>CLM102708</t>
  </si>
  <si>
    <t>CLM102709</t>
  </si>
  <si>
    <t>PT11750</t>
  </si>
  <si>
    <t>CLM102710</t>
  </si>
  <si>
    <t>PT10612</t>
  </si>
  <si>
    <t>CLM102711</t>
  </si>
  <si>
    <t>PT10908</t>
  </si>
  <si>
    <t>CLM102712</t>
  </si>
  <si>
    <t>PT12046</t>
  </si>
  <si>
    <t>CLM102713</t>
  </si>
  <si>
    <t>CLM102714</t>
  </si>
  <si>
    <t>CLM102715</t>
  </si>
  <si>
    <t>CLM102716</t>
  </si>
  <si>
    <t>CLM102717</t>
  </si>
  <si>
    <t>CLM102718</t>
  </si>
  <si>
    <t>CLM102719</t>
  </si>
  <si>
    <t>PT10979</t>
  </si>
  <si>
    <t>CLM102720</t>
  </si>
  <si>
    <t>PT10130</t>
  </si>
  <si>
    <t>CLM102721</t>
  </si>
  <si>
    <t>CLM102722</t>
  </si>
  <si>
    <t>CLM102723</t>
  </si>
  <si>
    <t>PT10846</t>
  </si>
  <si>
    <t>CLM102724</t>
  </si>
  <si>
    <t>PT10290</t>
  </si>
  <si>
    <t>CLM102725</t>
  </si>
  <si>
    <t>PT12505</t>
  </si>
  <si>
    <t>CLM102726</t>
  </si>
  <si>
    <t>PT11814</t>
  </si>
  <si>
    <t>CLM102727</t>
  </si>
  <si>
    <t>PT10587</t>
  </si>
  <si>
    <t>CLM102728</t>
  </si>
  <si>
    <t>CLM102729</t>
  </si>
  <si>
    <t>CLM102730</t>
  </si>
  <si>
    <t>CLM102731</t>
  </si>
  <si>
    <t>CLM102732</t>
  </si>
  <si>
    <t>CLM102733</t>
  </si>
  <si>
    <t>PT10630</t>
  </si>
  <si>
    <t>CLM102734</t>
  </si>
  <si>
    <t>PT13035</t>
  </si>
  <si>
    <t>CLM102735</t>
  </si>
  <si>
    <t>PT12239</t>
  </si>
  <si>
    <t>CLM102736</t>
  </si>
  <si>
    <t>PT10353</t>
  </si>
  <si>
    <t>CLM102737</t>
  </si>
  <si>
    <t>PT12277</t>
  </si>
  <si>
    <t>CLM102738</t>
  </si>
  <si>
    <t>PT12344</t>
  </si>
  <si>
    <t>CLM102739</t>
  </si>
  <si>
    <t>CLM102740</t>
  </si>
  <si>
    <t>CLM102741</t>
  </si>
  <si>
    <t>PT13330</t>
  </si>
  <si>
    <t>CLM102742</t>
  </si>
  <si>
    <t>PT11760</t>
  </si>
  <si>
    <t>CLM102743</t>
  </si>
  <si>
    <t>CLM102744</t>
  </si>
  <si>
    <t>CLM102745</t>
  </si>
  <si>
    <t>CLM102746</t>
  </si>
  <si>
    <t>CLM102747</t>
  </si>
  <si>
    <t>PT13200</t>
  </si>
  <si>
    <t>CLM102748</t>
  </si>
  <si>
    <t>CLM102749</t>
  </si>
  <si>
    <t>CLM102750</t>
  </si>
  <si>
    <t>CLM102751</t>
  </si>
  <si>
    <t>CLM102752</t>
  </si>
  <si>
    <t>PT12304</t>
  </si>
  <si>
    <t>CLM102753</t>
  </si>
  <si>
    <t>PT12118</t>
  </si>
  <si>
    <t>CLM102754</t>
  </si>
  <si>
    <t>CLM102755</t>
  </si>
  <si>
    <t>PT13069</t>
  </si>
  <si>
    <t>CLM102756</t>
  </si>
  <si>
    <t>CLM102757</t>
  </si>
  <si>
    <t>CLM102759</t>
  </si>
  <si>
    <t>PT12047</t>
  </si>
  <si>
    <t>CLM102760</t>
  </si>
  <si>
    <t>PT12763</t>
  </si>
  <si>
    <t>CLM102761</t>
  </si>
  <si>
    <t>CLM102762</t>
  </si>
  <si>
    <t>CLM102763</t>
  </si>
  <si>
    <t>CLM102764</t>
  </si>
  <si>
    <t>CLM102765</t>
  </si>
  <si>
    <t>CLM102766</t>
  </si>
  <si>
    <t>PT13323</t>
  </si>
  <si>
    <t>CLM102767</t>
  </si>
  <si>
    <t>PT13038</t>
  </si>
  <si>
    <t>CLM102769</t>
  </si>
  <si>
    <t>CLM102770</t>
  </si>
  <si>
    <t>PT13342</t>
  </si>
  <si>
    <t>CLM102771</t>
  </si>
  <si>
    <t>PT10217</t>
  </si>
  <si>
    <t>CLM102772</t>
  </si>
  <si>
    <t>CLM102773</t>
  </si>
  <si>
    <t>CLM102774</t>
  </si>
  <si>
    <t>CLM102775</t>
  </si>
  <si>
    <t>PT10567</t>
  </si>
  <si>
    <t>CLM102776</t>
  </si>
  <si>
    <t>CLM102777</t>
  </si>
  <si>
    <t>PT10475</t>
  </si>
  <si>
    <t>CLM102778</t>
  </si>
  <si>
    <t>PT10987</t>
  </si>
  <si>
    <t>CLM102779</t>
  </si>
  <si>
    <t>PT12909</t>
  </si>
  <si>
    <t>CLM102780</t>
  </si>
  <si>
    <t>CLM102781</t>
  </si>
  <si>
    <t>PT13075</t>
  </si>
  <si>
    <t>CLM102782</t>
  </si>
  <si>
    <t>CLM102783</t>
  </si>
  <si>
    <t>PT11881</t>
  </si>
  <si>
    <t>CLM102784</t>
  </si>
  <si>
    <t>PT10056</t>
  </si>
  <si>
    <t>CLM102785</t>
  </si>
  <si>
    <t>CLM102786</t>
  </si>
  <si>
    <t>CLM102787</t>
  </si>
  <si>
    <t>PT12802</t>
  </si>
  <si>
    <t>CLM102788</t>
  </si>
  <si>
    <t>CLM102789</t>
  </si>
  <si>
    <t>PT12041</t>
  </si>
  <si>
    <t>CLM102790</t>
  </si>
  <si>
    <t>PT11791</t>
  </si>
  <si>
    <t>CLM102791</t>
  </si>
  <si>
    <t>CLM102792</t>
  </si>
  <si>
    <t>CLM102793</t>
  </si>
  <si>
    <t>PT12900</t>
  </si>
  <si>
    <t>CLM102794</t>
  </si>
  <si>
    <t>PT11636</t>
  </si>
  <si>
    <t>CLM102795</t>
  </si>
  <si>
    <t>CLM102796</t>
  </si>
  <si>
    <t>PT10144</t>
  </si>
  <si>
    <t>CLM102797</t>
  </si>
  <si>
    <t>CLM102798</t>
  </si>
  <si>
    <t>PT13320</t>
  </si>
  <si>
    <t>CLM102799</t>
  </si>
  <si>
    <t>CLM102800</t>
  </si>
  <si>
    <t>CLM102801</t>
  </si>
  <si>
    <t>CLM102802</t>
  </si>
  <si>
    <t>CLM102803</t>
  </si>
  <si>
    <t>PT12772</t>
  </si>
  <si>
    <t>CLM102804</t>
  </si>
  <si>
    <t>CLM102805</t>
  </si>
  <si>
    <t>PT11651</t>
  </si>
  <si>
    <t>CLM102806</t>
  </si>
  <si>
    <t>PT11010</t>
  </si>
  <si>
    <t>CLM102807</t>
  </si>
  <si>
    <t>PT10691</t>
  </si>
  <si>
    <t>CLM102808</t>
  </si>
  <si>
    <t>CLM102809</t>
  </si>
  <si>
    <t>PT13189</t>
  </si>
  <si>
    <t>CLM102810</t>
  </si>
  <si>
    <t>CLM102811</t>
  </si>
  <si>
    <t>CLM102812</t>
  </si>
  <si>
    <t>PT11745</t>
  </si>
  <si>
    <t>CLM102813</t>
  </si>
  <si>
    <t>CLM102814</t>
  </si>
  <si>
    <t>CLM102815</t>
  </si>
  <si>
    <t>CLM102816</t>
  </si>
  <si>
    <t>PT10059</t>
  </si>
  <si>
    <t>CLM102817</t>
  </si>
  <si>
    <t>CLM102818</t>
  </si>
  <si>
    <t>CLM102819</t>
  </si>
  <si>
    <t>CLM102820</t>
  </si>
  <si>
    <t>PT11618</t>
  </si>
  <si>
    <t>CLM102821</t>
  </si>
  <si>
    <t>PT11086</t>
  </si>
  <si>
    <t>CLM102822</t>
  </si>
  <si>
    <t>PT12809</t>
  </si>
  <si>
    <t>CLM102823</t>
  </si>
  <si>
    <t>CLM102824</t>
  </si>
  <si>
    <t>PT12691</t>
  </si>
  <si>
    <t>CLM102825</t>
  </si>
  <si>
    <t>CLM102827</t>
  </si>
  <si>
    <t>CLM102828</t>
  </si>
  <si>
    <t>PT10790</t>
  </si>
  <si>
    <t>CLM102829</t>
  </si>
  <si>
    <t>CLM102830</t>
  </si>
  <si>
    <t>PT13413</t>
  </si>
  <si>
    <t>CLM102831</t>
  </si>
  <si>
    <t>CLM102833</t>
  </si>
  <si>
    <t>PT13122</t>
  </si>
  <si>
    <t>CLM102834</t>
  </si>
  <si>
    <t>CLM102835</t>
  </si>
  <si>
    <t>CLM102836</t>
  </si>
  <si>
    <t>PT13231</t>
  </si>
  <si>
    <t>CLM102837</t>
  </si>
  <si>
    <t>CLM102838</t>
  </si>
  <si>
    <t>PT12736</t>
  </si>
  <si>
    <t>CLM102839</t>
  </si>
  <si>
    <t>PT10555</t>
  </si>
  <si>
    <t>CLM102840</t>
  </si>
  <si>
    <t>PT13464</t>
  </si>
  <si>
    <t>CLM102841</t>
  </si>
  <si>
    <t>CLM102842</t>
  </si>
  <si>
    <t>PT12822</t>
  </si>
  <si>
    <t>CLM102843</t>
  </si>
  <si>
    <t>CLM102844</t>
  </si>
  <si>
    <t>CLM102845</t>
  </si>
  <si>
    <t>CLM102846</t>
  </si>
  <si>
    <t>PT12724</t>
  </si>
  <si>
    <t>CLM102847</t>
  </si>
  <si>
    <t>CLM102848</t>
  </si>
  <si>
    <t>CLM102849</t>
  </si>
  <si>
    <t>CLM102850</t>
  </si>
  <si>
    <t>PT11634</t>
  </si>
  <si>
    <t>CLM102851</t>
  </si>
  <si>
    <t>CLM102852</t>
  </si>
  <si>
    <t>CLM102853</t>
  </si>
  <si>
    <t>PT10138</t>
  </si>
  <si>
    <t>CLM102854</t>
  </si>
  <si>
    <t>CLM102855</t>
  </si>
  <si>
    <t>CLM102857</t>
  </si>
  <si>
    <t>CLM102858</t>
  </si>
  <si>
    <t>CLM102859</t>
  </si>
  <si>
    <t>CLM102860</t>
  </si>
  <si>
    <t>PT10616</t>
  </si>
  <si>
    <t>CLM102861</t>
  </si>
  <si>
    <t>CLM102862</t>
  </si>
  <si>
    <t>PT10800</t>
  </si>
  <si>
    <t>CLM102863</t>
  </si>
  <si>
    <t>CLM102864</t>
  </si>
  <si>
    <t>PT10943</t>
  </si>
  <si>
    <t>CLM102865</t>
  </si>
  <si>
    <t>PT11551</t>
  </si>
  <si>
    <t>CLM102866</t>
  </si>
  <si>
    <t>CLM102867</t>
  </si>
  <si>
    <t>CLM102868</t>
  </si>
  <si>
    <t>CLM102869</t>
  </si>
  <si>
    <t>PT11456</t>
  </si>
  <si>
    <t>CLM102870</t>
  </si>
  <si>
    <t>PT10396</t>
  </si>
  <si>
    <t>CLM102871</t>
  </si>
  <si>
    <t>CLM102872</t>
  </si>
  <si>
    <t>PT13333</t>
  </si>
  <si>
    <t>CLM102873</t>
  </si>
  <si>
    <t>CLM102874</t>
  </si>
  <si>
    <t>PT12389</t>
  </si>
  <si>
    <t>CLM102875</t>
  </si>
  <si>
    <t>CLM102876</t>
  </si>
  <si>
    <t>PT11883</t>
  </si>
  <si>
    <t>CLM102877</t>
  </si>
  <si>
    <t>PT11647</t>
  </si>
  <si>
    <t>CLM102878</t>
  </si>
  <si>
    <t>PT10741</t>
  </si>
  <si>
    <t>CLM102879</t>
  </si>
  <si>
    <t>PT11969</t>
  </si>
  <si>
    <t>CLM102880</t>
  </si>
  <si>
    <t>PT11475</t>
  </si>
  <si>
    <t>CLM102881</t>
  </si>
  <si>
    <t>PT10948</t>
  </si>
  <si>
    <t>CLM102882</t>
  </si>
  <si>
    <t>CLM102883</t>
  </si>
  <si>
    <t>CLM102885</t>
  </si>
  <si>
    <t>CLM102886</t>
  </si>
  <si>
    <t>PT11378</t>
  </si>
  <si>
    <t>CLM102887</t>
  </si>
  <si>
    <t>PT10854</t>
  </si>
  <si>
    <t>CLM102888</t>
  </si>
  <si>
    <t>CLM102889</t>
  </si>
  <si>
    <t>PT10135</t>
  </si>
  <si>
    <t>CLM102890</t>
  </si>
  <si>
    <t>PT11690</t>
  </si>
  <si>
    <t>CLM102891</t>
  </si>
  <si>
    <t>CLM102893</t>
  </si>
  <si>
    <t>CLM102894</t>
  </si>
  <si>
    <t>PT11876</t>
  </si>
  <si>
    <t>CLM102895</t>
  </si>
  <si>
    <t>CLM102896</t>
  </si>
  <si>
    <t>PT11374</t>
  </si>
  <si>
    <t>CLM102897</t>
  </si>
  <si>
    <t>PT10018</t>
  </si>
  <si>
    <t>CLM102898</t>
  </si>
  <si>
    <t>PT12758</t>
  </si>
  <si>
    <t>CLM102899</t>
  </si>
  <si>
    <t>CLM102900</t>
  </si>
  <si>
    <t>PT11737</t>
  </si>
  <si>
    <t>CLM102901</t>
  </si>
  <si>
    <t>PT13355</t>
  </si>
  <si>
    <t>CLM102902</t>
  </si>
  <si>
    <t>CLM102903</t>
  </si>
  <si>
    <t>PT12290</t>
  </si>
  <si>
    <t>CLM102904</t>
  </si>
  <si>
    <t>PT13296</t>
  </si>
  <si>
    <t>CLM102905</t>
  </si>
  <si>
    <t>CLM102906</t>
  </si>
  <si>
    <t>PT11944</t>
  </si>
  <si>
    <t>CLM102907</t>
  </si>
  <si>
    <t>CLM102908</t>
  </si>
  <si>
    <t>CLM102909</t>
  </si>
  <si>
    <t>PT11989</t>
  </si>
  <si>
    <t>CLM102910</t>
  </si>
  <si>
    <t>CLM102911</t>
  </si>
  <si>
    <t>PT12424</t>
  </si>
  <si>
    <t>CLM102912</t>
  </si>
  <si>
    <t>CLM102913</t>
  </si>
  <si>
    <t>PT13115</t>
  </si>
  <si>
    <t>CLM102914</t>
  </si>
  <si>
    <t>CLM102915</t>
  </si>
  <si>
    <t>CLM102916</t>
  </si>
  <si>
    <t>PT11684</t>
  </si>
  <si>
    <t>CLM102917</t>
  </si>
  <si>
    <t>CLM102918</t>
  </si>
  <si>
    <t>PT11807</t>
  </si>
  <si>
    <t>CLM102919</t>
  </si>
  <si>
    <t>PT10872</t>
  </si>
  <si>
    <t>CLM102920</t>
  </si>
  <si>
    <t>PT12516</t>
  </si>
  <si>
    <t>CLM102921</t>
  </si>
  <si>
    <t>PT11006</t>
  </si>
  <si>
    <t>CLM102922</t>
  </si>
  <si>
    <t>PT12345</t>
  </si>
  <si>
    <t>CLM102923</t>
  </si>
  <si>
    <t>CLM102924</t>
  </si>
  <si>
    <t>CLM102925</t>
  </si>
  <si>
    <t>CLM102926</t>
  </si>
  <si>
    <t>PT12796</t>
  </si>
  <si>
    <t>CLM102927</t>
  </si>
  <si>
    <t>CLM102928</t>
  </si>
  <si>
    <t>CLM102929</t>
  </si>
  <si>
    <t>CLM102930</t>
  </si>
  <si>
    <t>CLM102931</t>
  </si>
  <si>
    <t>CLM102932</t>
  </si>
  <si>
    <t>CLM102933</t>
  </si>
  <si>
    <t>CLM102934</t>
  </si>
  <si>
    <t>CLM102935</t>
  </si>
  <si>
    <t>CLM102936</t>
  </si>
  <si>
    <t>PT12079</t>
  </si>
  <si>
    <t>CLM102937</t>
  </si>
  <si>
    <t>CLM102938</t>
  </si>
  <si>
    <t>CLM102939</t>
  </si>
  <si>
    <t>CLM102940</t>
  </si>
  <si>
    <t>CLM102941</t>
  </si>
  <si>
    <t>CLM102942</t>
  </si>
  <si>
    <t>CLM102943</t>
  </si>
  <si>
    <t>PT11446</t>
  </si>
  <si>
    <t>CLM102944</t>
  </si>
  <si>
    <t>PT10833</t>
  </si>
  <si>
    <t>CLM102945</t>
  </si>
  <si>
    <t>PT11235</t>
  </si>
  <si>
    <t>CLM102946</t>
  </si>
  <si>
    <t>CLM102947</t>
  </si>
  <si>
    <t>CLM102948</t>
  </si>
  <si>
    <t>PT12646</t>
  </si>
  <si>
    <t>CLM102949</t>
  </si>
  <si>
    <t>CLM102951</t>
  </si>
  <si>
    <t>PT11833</t>
  </si>
  <si>
    <t>CLM102952</t>
  </si>
  <si>
    <t>CLM102953</t>
  </si>
  <si>
    <t>CLM102954</t>
  </si>
  <si>
    <t>CLM102955</t>
  </si>
  <si>
    <t>CLM102956</t>
  </si>
  <si>
    <t>CLM102957</t>
  </si>
  <si>
    <t>CLM102958</t>
  </si>
  <si>
    <t>PT12202</t>
  </si>
  <si>
    <t>CLM102959</t>
  </si>
  <si>
    <t>CLM102960</t>
  </si>
  <si>
    <t>CLM102961</t>
  </si>
  <si>
    <t>PT12811</t>
  </si>
  <si>
    <t>CLM102962</t>
  </si>
  <si>
    <t>CLM102963</t>
  </si>
  <si>
    <t>PT12617</t>
  </si>
  <si>
    <t>CLM102964</t>
  </si>
  <si>
    <t>CLM102965</t>
  </si>
  <si>
    <t>CLM102966</t>
  </si>
  <si>
    <t>PT11308</t>
  </si>
  <si>
    <t>CLM102967</t>
  </si>
  <si>
    <t>CLM102968</t>
  </si>
  <si>
    <t>PT10006</t>
  </si>
  <si>
    <t>CLM102969</t>
  </si>
  <si>
    <t>CLM102970</t>
  </si>
  <si>
    <t>CLM102971</t>
  </si>
  <si>
    <t>CLM102972</t>
  </si>
  <si>
    <t>PT10445</t>
  </si>
  <si>
    <t>CLM102973</t>
  </si>
  <si>
    <t>CLM102974</t>
  </si>
  <si>
    <t>PT10907</t>
  </si>
  <si>
    <t>CLM102975</t>
  </si>
  <si>
    <t>PT11871</t>
  </si>
  <si>
    <t>CLM102976</t>
  </si>
  <si>
    <t>PT11459</t>
  </si>
  <si>
    <t>CLM102978</t>
  </si>
  <si>
    <t>CLM102979</t>
  </si>
  <si>
    <t>PT11154</t>
  </si>
  <si>
    <t>CLM102980</t>
  </si>
  <si>
    <t>CLM102981</t>
  </si>
  <si>
    <t>PT13027</t>
  </si>
  <si>
    <t>CLM102982</t>
  </si>
  <si>
    <t>CLM102983</t>
  </si>
  <si>
    <t>CLM102984</t>
  </si>
  <si>
    <t>CLM102985</t>
  </si>
  <si>
    <t>CLM102986</t>
  </si>
  <si>
    <t>CLM102987</t>
  </si>
  <si>
    <t>PT11550</t>
  </si>
  <si>
    <t>CLM102988</t>
  </si>
  <si>
    <t>CLM102989</t>
  </si>
  <si>
    <t>PT11999</t>
  </si>
  <si>
    <t>CLM102990</t>
  </si>
  <si>
    <t>CLM102991</t>
  </si>
  <si>
    <t>CLM102992</t>
  </si>
  <si>
    <t>PT12379</t>
  </si>
  <si>
    <t>CLM102993</t>
  </si>
  <si>
    <t>PT10081</t>
  </si>
  <si>
    <t>CLM102994</t>
  </si>
  <si>
    <t>PT12677</t>
  </si>
  <si>
    <t>CLM102995</t>
  </si>
  <si>
    <t>PT13286</t>
  </si>
  <si>
    <t>CLM102996</t>
  </si>
  <si>
    <t>PT10411</t>
  </si>
  <si>
    <t>CLM102997</t>
  </si>
  <si>
    <t>CLM102998</t>
  </si>
  <si>
    <t>PT10983</t>
  </si>
  <si>
    <t>CLM102999</t>
  </si>
  <si>
    <t>PT10199</t>
  </si>
  <si>
    <t>CLM103000</t>
  </si>
  <si>
    <t>CLM103001</t>
  </si>
  <si>
    <t>CLM103002</t>
  </si>
  <si>
    <t>PT11436</t>
  </si>
  <si>
    <t>CLM103003</t>
  </si>
  <si>
    <t>PT10609</t>
  </si>
  <si>
    <t>CLM103004</t>
  </si>
  <si>
    <t>CLM103005</t>
  </si>
  <si>
    <t>PT11531</t>
  </si>
  <si>
    <t>CLM103006</t>
  </si>
  <si>
    <t>CLM103007</t>
  </si>
  <si>
    <t>CLM103008</t>
  </si>
  <si>
    <t>CLM103009</t>
  </si>
  <si>
    <t>CLM103010</t>
  </si>
  <si>
    <t>CLM103011</t>
  </si>
  <si>
    <t>CLM103012</t>
  </si>
  <si>
    <t>CLM103013</t>
  </si>
  <si>
    <t>PT10247</t>
  </si>
  <si>
    <t>CLM103014</t>
  </si>
  <si>
    <t>CLM103015</t>
  </si>
  <si>
    <t>CLM103016</t>
  </si>
  <si>
    <t>CLM103017</t>
  </si>
  <si>
    <t>CLM103018</t>
  </si>
  <si>
    <t>CLM103019</t>
  </si>
  <si>
    <t>PT10016</t>
  </si>
  <si>
    <t>CLM103020</t>
  </si>
  <si>
    <t>PT13412</t>
  </si>
  <si>
    <t>CLM103021</t>
  </si>
  <si>
    <t>CLM103022</t>
  </si>
  <si>
    <t>PT10726</t>
  </si>
  <si>
    <t>CLM103023</t>
  </si>
  <si>
    <t>CLM103024</t>
  </si>
  <si>
    <t>CLM103025</t>
  </si>
  <si>
    <t>CLM103026</t>
  </si>
  <si>
    <t>PT12634</t>
  </si>
  <si>
    <t>CLM103027</t>
  </si>
  <si>
    <t>CLM103028</t>
  </si>
  <si>
    <t>CLM103029</t>
  </si>
  <si>
    <t>PT11785</t>
  </si>
  <si>
    <t>CLM103030</t>
  </si>
  <si>
    <t>CLM103031</t>
  </si>
  <si>
    <t>CLM103032</t>
  </si>
  <si>
    <t>CLM103033</t>
  </si>
  <si>
    <t>CLM103034</t>
  </si>
  <si>
    <t>PT11011</t>
  </si>
  <si>
    <t>CLM103035</t>
  </si>
  <si>
    <t>CLM103036</t>
  </si>
  <si>
    <t>CLM103038</t>
  </si>
  <si>
    <t>CLM103039</t>
  </si>
  <si>
    <t>CLM103040</t>
  </si>
  <si>
    <t>CLM103042</t>
  </si>
  <si>
    <t>PT10785</t>
  </si>
  <si>
    <t>CLM103043</t>
  </si>
  <si>
    <t>CLM103044</t>
  </si>
  <si>
    <t>PT12762</t>
  </si>
  <si>
    <t>CLM103045</t>
  </si>
  <si>
    <t>PT12030</t>
  </si>
  <si>
    <t>CLM103046</t>
  </si>
  <si>
    <t>PT10810</t>
  </si>
  <si>
    <t>CLM103047</t>
  </si>
  <si>
    <t>CLM103048</t>
  </si>
  <si>
    <t>PT12386</t>
  </si>
  <si>
    <t>CLM103049</t>
  </si>
  <si>
    <t>CLM103050</t>
  </si>
  <si>
    <t>CLM103051</t>
  </si>
  <si>
    <t>PT10583</t>
  </si>
  <si>
    <t>CLM103052</t>
  </si>
  <si>
    <t>CLM103053</t>
  </si>
  <si>
    <t>CLM103054</t>
  </si>
  <si>
    <t>CLM103055</t>
  </si>
  <si>
    <t>CLM103056</t>
  </si>
  <si>
    <t>CLM103057</t>
  </si>
  <si>
    <t>CLM103058</t>
  </si>
  <si>
    <t>CLM103059</t>
  </si>
  <si>
    <t>PT10531</t>
  </si>
  <si>
    <t>CLM103060</t>
  </si>
  <si>
    <t>CLM103061</t>
  </si>
  <si>
    <t>CLM103062</t>
  </si>
  <si>
    <t>CLM103063</t>
  </si>
  <si>
    <t>PT12011</t>
  </si>
  <si>
    <t>CLM103064</t>
  </si>
  <si>
    <t>CLM103065</t>
  </si>
  <si>
    <t>CLM103066</t>
  </si>
  <si>
    <t>PT12042</t>
  </si>
  <si>
    <t>CLM103067</t>
  </si>
  <si>
    <t>CLM103068</t>
  </si>
  <si>
    <t>CLM103069</t>
  </si>
  <si>
    <t>CLM103070</t>
  </si>
  <si>
    <t>CLM103071</t>
  </si>
  <si>
    <t>PT13110</t>
  </si>
  <si>
    <t>CLM103073</t>
  </si>
  <si>
    <t>PT11135</t>
  </si>
  <si>
    <t>CLM103074</t>
  </si>
  <si>
    <t>PT12818</t>
  </si>
  <si>
    <t>CLM103075</t>
  </si>
  <si>
    <t>CLM103076</t>
  </si>
  <si>
    <t>CLM103077</t>
  </si>
  <si>
    <t>CLM103078</t>
  </si>
  <si>
    <t>CLM103079</t>
  </si>
  <si>
    <t>CLM103080</t>
  </si>
  <si>
    <t>PT13144</t>
  </si>
  <si>
    <t>CLM103081</t>
  </si>
  <si>
    <t>CLM103082</t>
  </si>
  <si>
    <t>PT10860</t>
  </si>
  <si>
    <t>CLM103083</t>
  </si>
  <si>
    <t>PT10110</t>
  </si>
  <si>
    <t>CLM103084</t>
  </si>
  <si>
    <t>PT11476</t>
  </si>
  <si>
    <t>CLM103085</t>
  </si>
  <si>
    <t>CLM103086</t>
  </si>
  <si>
    <t>CLM103087</t>
  </si>
  <si>
    <t>CLM103088</t>
  </si>
  <si>
    <t>CLM103089</t>
  </si>
  <si>
    <t>CLM103090</t>
  </si>
  <si>
    <t>CLM103091</t>
  </si>
  <si>
    <t>CLM103092</t>
  </si>
  <si>
    <t>CLM103093</t>
  </si>
  <si>
    <t>PT12237</t>
  </si>
  <si>
    <t>CLM103094</t>
  </si>
  <si>
    <t>PT10572</t>
  </si>
  <si>
    <t>CLM103095</t>
  </si>
  <si>
    <t>CLM103096</t>
  </si>
  <si>
    <t>CLM103097</t>
  </si>
  <si>
    <t>PT12836</t>
  </si>
  <si>
    <t>CLM103098</t>
  </si>
  <si>
    <t>PT10636</t>
  </si>
  <si>
    <t>CLM103099</t>
  </si>
  <si>
    <t>CLM103100</t>
  </si>
  <si>
    <t>CLM103101</t>
  </si>
  <si>
    <t>CLM103102</t>
  </si>
  <si>
    <t>PT10165</t>
  </si>
  <si>
    <t>CLM103103</t>
  </si>
  <si>
    <t>CLM103104</t>
  </si>
  <si>
    <t>CLM103105</t>
  </si>
  <si>
    <t>CLM103106</t>
  </si>
  <si>
    <t>CLM103107</t>
  </si>
  <si>
    <t>CLM103108</t>
  </si>
  <si>
    <t>CLM103109</t>
  </si>
  <si>
    <t>CLM103110</t>
  </si>
  <si>
    <t>CLM103111</t>
  </si>
  <si>
    <t>PT10001</t>
  </si>
  <si>
    <t>CLM103112</t>
  </si>
  <si>
    <t>CLM103113</t>
  </si>
  <si>
    <t>CLM103114</t>
  </si>
  <si>
    <t>CLM103115</t>
  </si>
  <si>
    <t>CLM103116</t>
  </si>
  <si>
    <t>PT11733</t>
  </si>
  <si>
    <t>CLM103117</t>
  </si>
  <si>
    <t>CLM103118</t>
  </si>
  <si>
    <t>PT11179</t>
  </si>
  <si>
    <t>CLM103119</t>
  </si>
  <si>
    <t>PT11581</t>
  </si>
  <si>
    <t>CLM103120</t>
  </si>
  <si>
    <t>PT11839</t>
  </si>
  <si>
    <t>CLM103121</t>
  </si>
  <si>
    <t>CLM103122</t>
  </si>
  <si>
    <t>CLM103123</t>
  </si>
  <si>
    <t>PT11936</t>
  </si>
  <si>
    <t>CLM103124</t>
  </si>
  <si>
    <t>CLM103125</t>
  </si>
  <si>
    <t>PT11613</t>
  </si>
  <si>
    <t>CLM103126</t>
  </si>
  <si>
    <t>CLM103127</t>
  </si>
  <si>
    <t>PT10632</t>
  </si>
  <si>
    <t>CLM103128</t>
  </si>
  <si>
    <t>PT12890</t>
  </si>
  <si>
    <t>CLM103129</t>
  </si>
  <si>
    <t>PT13322</t>
  </si>
  <si>
    <t>CLM103130</t>
  </si>
  <si>
    <t>CLM103131</t>
  </si>
  <si>
    <t>PT12949</t>
  </si>
  <si>
    <t>CLM103132</t>
  </si>
  <si>
    <t>PT11823</t>
  </si>
  <si>
    <t>CLM103133</t>
  </si>
  <si>
    <t>PT10976</t>
  </si>
  <si>
    <t>CLM103134</t>
  </si>
  <si>
    <t>CLM103135</t>
  </si>
  <si>
    <t>CLM103136</t>
  </si>
  <si>
    <t>CLM103137</t>
  </si>
  <si>
    <t>CLM103138</t>
  </si>
  <si>
    <t>CLM103139</t>
  </si>
  <si>
    <t>CLM103140</t>
  </si>
  <si>
    <t>PT11646</t>
  </si>
  <si>
    <t>CLM103141</t>
  </si>
  <si>
    <t>CLM103142</t>
  </si>
  <si>
    <t>CLM103143</t>
  </si>
  <si>
    <t>PT12167</t>
  </si>
  <si>
    <t>CLM103144</t>
  </si>
  <si>
    <t>CLM103145</t>
  </si>
  <si>
    <t>CLM103146</t>
  </si>
  <si>
    <t>PT10990</t>
  </si>
  <si>
    <t>CLM103147</t>
  </si>
  <si>
    <t>CLM103148</t>
  </si>
  <si>
    <t>CLM103149</t>
  </si>
  <si>
    <t>CLM103150</t>
  </si>
  <si>
    <t>CLM103151</t>
  </si>
  <si>
    <t>PT12795</t>
  </si>
  <si>
    <t>CLM103152</t>
  </si>
  <si>
    <t>CLM103153</t>
  </si>
  <si>
    <t>CLM103154</t>
  </si>
  <si>
    <t>PT13328</t>
  </si>
  <si>
    <t>CLM103155</t>
  </si>
  <si>
    <t>CLM103156</t>
  </si>
  <si>
    <t>PT12596</t>
  </si>
  <si>
    <t>CLM103157</t>
  </si>
  <si>
    <t>CLM103158</t>
  </si>
  <si>
    <t>CLM103159</t>
  </si>
  <si>
    <t>CLM103160</t>
  </si>
  <si>
    <t>PT13054</t>
  </si>
  <si>
    <t>CLM103161</t>
  </si>
  <si>
    <t>CLM103162</t>
  </si>
  <si>
    <t>CLM103163</t>
  </si>
  <si>
    <t>CLM103164</t>
  </si>
  <si>
    <t>PT11917</t>
  </si>
  <si>
    <t>CLM103165</t>
  </si>
  <si>
    <t>CLM103166</t>
  </si>
  <si>
    <t>PT11788</t>
  </si>
  <si>
    <t>CLM103167</t>
  </si>
  <si>
    <t>CLM103168</t>
  </si>
  <si>
    <t>CLM103169</t>
  </si>
  <si>
    <t>CLM103171</t>
  </si>
  <si>
    <t>PT11606</t>
  </si>
  <si>
    <t>CLM103172</t>
  </si>
  <si>
    <t>PT12586</t>
  </si>
  <si>
    <t>CLM103173</t>
  </si>
  <si>
    <t>CLM103174</t>
  </si>
  <si>
    <t>CLM103175</t>
  </si>
  <si>
    <t>PT12643</t>
  </si>
  <si>
    <t>CLM103176</t>
  </si>
  <si>
    <t>CLM103177</t>
  </si>
  <si>
    <t>CLM103178</t>
  </si>
  <si>
    <t>CLM103179</t>
  </si>
  <si>
    <t>CLM103180</t>
  </si>
  <si>
    <t>PT12610</t>
  </si>
  <si>
    <t>CLM103181</t>
  </si>
  <si>
    <t>CLM103182</t>
  </si>
  <si>
    <t>PT10189</t>
  </si>
  <si>
    <t>CLM103183</t>
  </si>
  <si>
    <t>PT12614</t>
  </si>
  <si>
    <t>CLM103184</t>
  </si>
  <si>
    <t>PT11614</t>
  </si>
  <si>
    <t>CLM103185</t>
  </si>
  <si>
    <t>CLM103186</t>
  </si>
  <si>
    <t>PT12071</t>
  </si>
  <si>
    <t>CLM103187</t>
  </si>
  <si>
    <t>CLM103188</t>
  </si>
  <si>
    <t>CLM103189</t>
  </si>
  <si>
    <t>CLM103190</t>
  </si>
  <si>
    <t>CLM103191</t>
  </si>
  <si>
    <t>CLM103192</t>
  </si>
  <si>
    <t>CLM103193</t>
  </si>
  <si>
    <t>PT12786</t>
  </si>
  <si>
    <t>CLM103194</t>
  </si>
  <si>
    <t>PT11118</t>
  </si>
  <si>
    <t>CLM103195</t>
  </si>
  <si>
    <t>PT10113</t>
  </si>
  <si>
    <t>CLM103196</t>
  </si>
  <si>
    <t>CLM103197</t>
  </si>
  <si>
    <t>CLM103198</t>
  </si>
  <si>
    <t>CLM103199</t>
  </si>
  <si>
    <t>CLM103200</t>
  </si>
  <si>
    <t>CLM103201</t>
  </si>
  <si>
    <t>CLM103202</t>
  </si>
  <si>
    <t>PT10465</t>
  </si>
  <si>
    <t>CLM103203</t>
  </si>
  <si>
    <t>CLM103204</t>
  </si>
  <si>
    <t>CLM103205</t>
  </si>
  <si>
    <t>PT11534</t>
  </si>
  <si>
    <t>CLM103206</t>
  </si>
  <si>
    <t>CLM103207</t>
  </si>
  <si>
    <t>CLM103208</t>
  </si>
  <si>
    <t>CLM103209</t>
  </si>
  <si>
    <t>PT13088</t>
  </si>
  <si>
    <t>CLM103210</t>
  </si>
  <si>
    <t>CLM103211</t>
  </si>
  <si>
    <t>CLM103212</t>
  </si>
  <si>
    <t>CLM103213</t>
  </si>
  <si>
    <t>CLM103214</t>
  </si>
  <si>
    <t>CLM103215</t>
  </si>
  <si>
    <t>CLM103216</t>
  </si>
  <si>
    <t>CLM103217</t>
  </si>
  <si>
    <t>PT12089</t>
  </si>
  <si>
    <t>CLM103218</t>
  </si>
  <si>
    <t>PT11261</t>
  </si>
  <si>
    <t>CLM103219</t>
  </si>
  <si>
    <t>CLM103220</t>
  </si>
  <si>
    <t>PT12312</t>
  </si>
  <si>
    <t>CLM103221</t>
  </si>
  <si>
    <t>CLM103222</t>
  </si>
  <si>
    <t>CLM103223</t>
  </si>
  <si>
    <t>CLM103224</t>
  </si>
  <si>
    <t>CLM103225</t>
  </si>
  <si>
    <t>PT13340</t>
  </si>
  <si>
    <t>CLM103226</t>
  </si>
  <si>
    <t>PT11017</t>
  </si>
  <si>
    <t>CLM103227</t>
  </si>
  <si>
    <t>CLM103228</t>
  </si>
  <si>
    <t>CLM103229</t>
  </si>
  <si>
    <t>PT10376</t>
  </si>
  <si>
    <t>CLM103230</t>
  </si>
  <si>
    <t>PT12279</t>
  </si>
  <si>
    <t>CLM103231</t>
  </si>
  <si>
    <t>CLM103232</t>
  </si>
  <si>
    <t>CLM103233</t>
  </si>
  <si>
    <t>CLM103234</t>
  </si>
  <si>
    <t>CLM103235</t>
  </si>
  <si>
    <t>CLM103236</t>
  </si>
  <si>
    <t>CLM103237</t>
  </si>
  <si>
    <t>CLM103238</t>
  </si>
  <si>
    <t>CLM103239</t>
  </si>
  <si>
    <t>CLM103240</t>
  </si>
  <si>
    <t>PT11385</t>
  </si>
  <si>
    <t>CLM103241</t>
  </si>
  <si>
    <t>CLM103242</t>
  </si>
  <si>
    <t>PT12616</t>
  </si>
  <si>
    <t>CLM103243</t>
  </si>
  <si>
    <t>CLM103244</t>
  </si>
  <si>
    <t>CLM103245</t>
  </si>
  <si>
    <t>PT10694</t>
  </si>
  <si>
    <t>CLM103246</t>
  </si>
  <si>
    <t>CLM103247</t>
  </si>
  <si>
    <t>CLM103248</t>
  </si>
  <si>
    <t>CLM103249</t>
  </si>
  <si>
    <t>PT13347</t>
  </si>
  <si>
    <t>CLM103250</t>
  </si>
  <si>
    <t>CLM103251</t>
  </si>
  <si>
    <t>PT11337</t>
  </si>
  <si>
    <t>CLM103252</t>
  </si>
  <si>
    <t>PT13215</t>
  </si>
  <si>
    <t>CLM103253</t>
  </si>
  <si>
    <t>CLM103254</t>
  </si>
  <si>
    <t>PT12960</t>
  </si>
  <si>
    <t>CLM103255</t>
  </si>
  <si>
    <t>PT11444</t>
  </si>
  <si>
    <t>CLM103256</t>
  </si>
  <si>
    <t>CLM103257</t>
  </si>
  <si>
    <t>CLM103258</t>
  </si>
  <si>
    <t>CLM103259</t>
  </si>
  <si>
    <t>CLM103260</t>
  </si>
  <si>
    <t>CLM103261</t>
  </si>
  <si>
    <t>CLM103262</t>
  </si>
  <si>
    <t>CLM103263</t>
  </si>
  <si>
    <t>CLM103264</t>
  </si>
  <si>
    <t>PT10250</t>
  </si>
  <si>
    <t>CLM103265</t>
  </si>
  <si>
    <t>PT10911</t>
  </si>
  <si>
    <t>CLM103266</t>
  </si>
  <si>
    <t>CLM103267</t>
  </si>
  <si>
    <t>CLM103268</t>
  </si>
  <si>
    <t>PT10787</t>
  </si>
  <si>
    <t>CLM103269</t>
  </si>
  <si>
    <t>PT11377</t>
  </si>
  <si>
    <t>CLM103270</t>
  </si>
  <si>
    <t>PT12589</t>
  </si>
  <si>
    <t>CLM103271</t>
  </si>
  <si>
    <t>PT11170</t>
  </si>
  <si>
    <t>CLM103272</t>
  </si>
  <si>
    <t>CLM103273</t>
  </si>
  <si>
    <t>PT11479</t>
  </si>
  <si>
    <t>CLM103274</t>
  </si>
  <si>
    <t>CLM103275</t>
  </si>
  <si>
    <t>PT13425</t>
  </si>
  <si>
    <t>CLM103276</t>
  </si>
  <si>
    <t>CLM103277</t>
  </si>
  <si>
    <t>CLM103278</t>
  </si>
  <si>
    <t>PT12523</t>
  </si>
  <si>
    <t>CLM103279</t>
  </si>
  <si>
    <t>CLM103280</t>
  </si>
  <si>
    <t>CLM103281</t>
  </si>
  <si>
    <t>PT13284</t>
  </si>
  <si>
    <t>CLM103282</t>
  </si>
  <si>
    <t>CLM103283</t>
  </si>
  <si>
    <t>PT12134</t>
  </si>
  <si>
    <t>CLM103284</t>
  </si>
  <si>
    <t>CLM103285</t>
  </si>
  <si>
    <t>CLM103286</t>
  </si>
  <si>
    <t>CLM103287</t>
  </si>
  <si>
    <t>PT13463</t>
  </si>
  <si>
    <t>CLM103288</t>
  </si>
  <si>
    <t>CLM103289</t>
  </si>
  <si>
    <t>PT11064</t>
  </si>
  <si>
    <t>CLM103290</t>
  </si>
  <si>
    <t>CLM103291</t>
  </si>
  <si>
    <t>CLM103292</t>
  </si>
  <si>
    <t>CLM103293</t>
  </si>
  <si>
    <t>PT13278</t>
  </si>
  <si>
    <t>CLM103294</t>
  </si>
  <si>
    <t>PT11263</t>
  </si>
  <si>
    <t>CLM103295</t>
  </si>
  <si>
    <t>CLM103296</t>
  </si>
  <si>
    <t>PT12812</t>
  </si>
  <si>
    <t>CLM103297</t>
  </si>
  <si>
    <t>PT12660</t>
  </si>
  <si>
    <t>CLM103298</t>
  </si>
  <si>
    <t>CLM103299</t>
  </si>
  <si>
    <t>PT13477</t>
  </si>
  <si>
    <t>CLM103300</t>
  </si>
  <si>
    <t>CLM103301</t>
  </si>
  <si>
    <t>PT13029</t>
  </si>
  <si>
    <t>CLM103302</t>
  </si>
  <si>
    <t>CLM103303</t>
  </si>
  <si>
    <t>CLM103304</t>
  </si>
  <si>
    <t>PT12404</t>
  </si>
  <si>
    <t>CLM103305</t>
  </si>
  <si>
    <t>CLM103306</t>
  </si>
  <si>
    <t>PT10097</t>
  </si>
  <si>
    <t>CLM103307</t>
  </si>
  <si>
    <t>CLM103308</t>
  </si>
  <si>
    <t>PT12896</t>
  </si>
  <si>
    <t>CLM103309</t>
  </si>
  <si>
    <t>CLM103310</t>
  </si>
  <si>
    <t>PT10125</t>
  </si>
  <si>
    <t>CLM103311</t>
  </si>
  <si>
    <t>PT12739</t>
  </si>
  <si>
    <t>CLM103312</t>
  </si>
  <si>
    <t>PT10671</t>
  </si>
  <si>
    <t>CLM103313</t>
  </si>
  <si>
    <t>PT11884</t>
  </si>
  <si>
    <t>CLM103314</t>
  </si>
  <si>
    <t>CLM103315</t>
  </si>
  <si>
    <t>PT12418</t>
  </si>
  <si>
    <t>CLM103316</t>
  </si>
  <si>
    <t>PT12186</t>
  </si>
  <si>
    <t>CLM103317</t>
  </si>
  <si>
    <t>CLM103318</t>
  </si>
  <si>
    <t>CLM103319</t>
  </si>
  <si>
    <t>CLM103320</t>
  </si>
  <si>
    <t>CLM103321</t>
  </si>
  <si>
    <t>PT11434</t>
  </si>
  <si>
    <t>CLM103322</t>
  </si>
  <si>
    <t>CLM103323</t>
  </si>
  <si>
    <t>PT11284</t>
  </si>
  <si>
    <t>CLM103324</t>
  </si>
  <si>
    <t>CLM103325</t>
  </si>
  <si>
    <t>CLM103326</t>
  </si>
  <si>
    <t>PT12162</t>
  </si>
  <si>
    <t>CLM103327</t>
  </si>
  <si>
    <t>CLM103328</t>
  </si>
  <si>
    <t>PT10480</t>
  </si>
  <si>
    <t>CLM103329</t>
  </si>
  <si>
    <t>CLM103330</t>
  </si>
  <si>
    <t>CLM103331</t>
  </si>
  <si>
    <t>CLM103332</t>
  </si>
  <si>
    <t>CLM103333</t>
  </si>
  <si>
    <t>CLM103334</t>
  </si>
  <si>
    <t>CLM103335</t>
  </si>
  <si>
    <t>CLM103336</t>
  </si>
  <si>
    <t>CLM103337</t>
  </si>
  <si>
    <t>CLM103338</t>
  </si>
  <si>
    <t>CLM103339</t>
  </si>
  <si>
    <t>CLM103340</t>
  </si>
  <si>
    <t>CLM103341</t>
  </si>
  <si>
    <t>PT12929</t>
  </si>
  <si>
    <t>CLM103342</t>
  </si>
  <si>
    <t>CLM103343</t>
  </si>
  <si>
    <t>CLM103344</t>
  </si>
  <si>
    <t>PT12874</t>
  </si>
  <si>
    <t>CLM103345</t>
  </si>
  <si>
    <t>CLM103346</t>
  </si>
  <si>
    <t>CLM103347</t>
  </si>
  <si>
    <t>CLM103348</t>
  </si>
  <si>
    <t>PT10797</t>
  </si>
  <si>
    <t>CLM103349</t>
  </si>
  <si>
    <t>CLM103350</t>
  </si>
  <si>
    <t>CLM103351</t>
  </si>
  <si>
    <t>CLM103352</t>
  </si>
  <si>
    <t>PT13151</t>
  </si>
  <si>
    <t>CLM103354</t>
  </si>
  <si>
    <t>CLM103355</t>
  </si>
  <si>
    <t>CLM103356</t>
  </si>
  <si>
    <t>PT11748</t>
  </si>
  <si>
    <t>CLM103357</t>
  </si>
  <si>
    <t>PT12703</t>
  </si>
  <si>
    <t>CLM103358</t>
  </si>
  <si>
    <t>CLM103359</t>
  </si>
  <si>
    <t>CLM103360</t>
  </si>
  <si>
    <t>CLM103361</t>
  </si>
  <si>
    <t>CLM103362</t>
  </si>
  <si>
    <t>CLM103363</t>
  </si>
  <si>
    <t>CLM103364</t>
  </si>
  <si>
    <t>CLM103365</t>
  </si>
  <si>
    <t>CLM103366</t>
  </si>
  <si>
    <t>PT10221</t>
  </si>
  <si>
    <t>CLM103367</t>
  </si>
  <si>
    <t>CLM103368</t>
  </si>
  <si>
    <t>PT12441</t>
  </si>
  <si>
    <t>CLM103369</t>
  </si>
  <si>
    <t>CLM103370</t>
  </si>
  <si>
    <t>CLM103371</t>
  </si>
  <si>
    <t>PT11036</t>
  </si>
  <si>
    <t>CLM103372</t>
  </si>
  <si>
    <t>PT13498</t>
  </si>
  <si>
    <t>CLM103373</t>
  </si>
  <si>
    <t>PT13089</t>
  </si>
  <si>
    <t>CLM103374</t>
  </si>
  <si>
    <t>CLM103375</t>
  </si>
  <si>
    <t>PT13237</t>
  </si>
  <si>
    <t>CLM103376</t>
  </si>
  <si>
    <t>PT12489</t>
  </si>
  <si>
    <t>CLM103377</t>
  </si>
  <si>
    <t>CLM103378</t>
  </si>
  <si>
    <t>CLM103379</t>
  </si>
  <si>
    <t>PT10984</t>
  </si>
  <si>
    <t>CLM103380</t>
  </si>
  <si>
    <t>CLM103381</t>
  </si>
  <si>
    <t>PT10826</t>
  </si>
  <si>
    <t>CLM103382</t>
  </si>
  <si>
    <t>PT11879</t>
  </si>
  <si>
    <t>CLM103383</t>
  </si>
  <si>
    <t>PT12716</t>
  </si>
  <si>
    <t>CLM103384</t>
  </si>
  <si>
    <t>CLM103385</t>
  </si>
  <si>
    <t>CLM103386</t>
  </si>
  <si>
    <t>PT11738</t>
  </si>
  <si>
    <t>CLM103387</t>
  </si>
  <si>
    <t>PT11800</t>
  </si>
  <si>
    <t>CLM103388</t>
  </si>
  <si>
    <t>CLM103389</t>
  </si>
  <si>
    <t>PT12558</t>
  </si>
  <si>
    <t>CLM103390</t>
  </si>
  <si>
    <t>PT11905</t>
  </si>
  <si>
    <t>CLM103391</t>
  </si>
  <si>
    <t>CLM103392</t>
  </si>
  <si>
    <t>PT10610</t>
  </si>
  <si>
    <t>CLM103393</t>
  </si>
  <si>
    <t>CLM103394</t>
  </si>
  <si>
    <t>PT10844</t>
  </si>
  <si>
    <t>CLM103396</t>
  </si>
  <si>
    <t>CLM103397</t>
  </si>
  <si>
    <t>CLM103399</t>
  </si>
  <si>
    <t>CLM103400</t>
  </si>
  <si>
    <t>PT13249</t>
  </si>
  <si>
    <t>CLM103401</t>
  </si>
  <si>
    <t>PT10452</t>
  </si>
  <si>
    <t>CLM103402</t>
  </si>
  <si>
    <t>PT11681</t>
  </si>
  <si>
    <t>CLM103403</t>
  </si>
  <si>
    <t>PT12946</t>
  </si>
  <si>
    <t>CLM103404</t>
  </si>
  <si>
    <t>CLM103405</t>
  </si>
  <si>
    <t>CLM103406</t>
  </si>
  <si>
    <t>CLM103407</t>
  </si>
  <si>
    <t>CLM103408</t>
  </si>
  <si>
    <t>CLM103409</t>
  </si>
  <si>
    <t>CLM103410</t>
  </si>
  <si>
    <t>CLM103411</t>
  </si>
  <si>
    <t>PT12676</t>
  </si>
  <si>
    <t>CLM103412</t>
  </si>
  <si>
    <t>CLM103413</t>
  </si>
  <si>
    <t>PT11407</t>
  </si>
  <si>
    <t>CLM103414</t>
  </si>
  <si>
    <t>PT12444</t>
  </si>
  <si>
    <t>CLM103415</t>
  </si>
  <si>
    <t>PT12405</t>
  </si>
  <si>
    <t>CLM103416</t>
  </si>
  <si>
    <t>PT13420</t>
  </si>
  <si>
    <t>CLM103417</t>
  </si>
  <si>
    <t>CLM103418</t>
  </si>
  <si>
    <t>CLM103419</t>
  </si>
  <si>
    <t>CLM103420</t>
  </si>
  <si>
    <t>PT13171</t>
  </si>
  <si>
    <t>CLM103421</t>
  </si>
  <si>
    <t>PT13353</t>
  </si>
  <si>
    <t>CLM103422</t>
  </si>
  <si>
    <t>CLM103423</t>
  </si>
  <si>
    <t>PT12846</t>
  </si>
  <si>
    <t>CLM103425</t>
  </si>
  <si>
    <t>PT10398</t>
  </si>
  <si>
    <t>CLM103426</t>
  </si>
  <si>
    <t>CLM103427</t>
  </si>
  <si>
    <t>CLM103428</t>
  </si>
  <si>
    <t>CLM103429</t>
  </si>
  <si>
    <t>CLM103430</t>
  </si>
  <si>
    <t>PT11241</t>
  </si>
  <si>
    <t>CLM103431</t>
  </si>
  <si>
    <t>CLM103432</t>
  </si>
  <si>
    <t>CLM103433</t>
  </si>
  <si>
    <t>PT12228</t>
  </si>
  <si>
    <t>CLM103434</t>
  </si>
  <si>
    <t>CLM103435</t>
  </si>
  <si>
    <t>PT11775</t>
  </si>
  <si>
    <t>CLM103436</t>
  </si>
  <si>
    <t>PT10568</t>
  </si>
  <si>
    <t>CLM103437</t>
  </si>
  <si>
    <t>PT11389</t>
  </si>
  <si>
    <t>CLM103438</t>
  </si>
  <si>
    <t>CLM103439</t>
  </si>
  <si>
    <t>PT12340</t>
  </si>
  <si>
    <t>CLM103440</t>
  </si>
  <si>
    <t>CLM103441</t>
  </si>
  <si>
    <t>CLM103442</t>
  </si>
  <si>
    <t>PT10251</t>
  </si>
  <si>
    <t>CLM103443</t>
  </si>
  <si>
    <t>CLM103444</t>
  </si>
  <si>
    <t>PT12422</t>
  </si>
  <si>
    <t>CLM103445</t>
  </si>
  <si>
    <t>CLM103446</t>
  </si>
  <si>
    <t>CLM103447</t>
  </si>
  <si>
    <t>PT12914</t>
  </si>
  <si>
    <t>CLM103448</t>
  </si>
  <si>
    <t>CLM103449</t>
  </si>
  <si>
    <t>PT12360</t>
  </si>
  <si>
    <t>CLM103450</t>
  </si>
  <si>
    <t>PT11299</t>
  </si>
  <si>
    <t>CLM103452</t>
  </si>
  <si>
    <t>CLM103453</t>
  </si>
  <si>
    <t>PT12884</t>
  </si>
  <si>
    <t>CLM103454</t>
  </si>
  <si>
    <t>PT11886</t>
  </si>
  <si>
    <t>CLM103455</t>
  </si>
  <si>
    <t>PT12781</t>
  </si>
  <si>
    <t>CLM103456</t>
  </si>
  <si>
    <t>PT12253</t>
  </si>
  <si>
    <t>CLM103457</t>
  </si>
  <si>
    <t>PT10351</t>
  </si>
  <si>
    <t>CLM103458</t>
  </si>
  <si>
    <t>CLM103459</t>
  </si>
  <si>
    <t>CLM103460</t>
  </si>
  <si>
    <t>CLM103461</t>
  </si>
  <si>
    <t>PT10261</t>
  </si>
  <si>
    <t>CLM103462</t>
  </si>
  <si>
    <t>CLM103463</t>
  </si>
  <si>
    <t>PT10037</t>
  </si>
  <si>
    <t>CLM103464</t>
  </si>
  <si>
    <t>CLM103465</t>
  </si>
  <si>
    <t>CLM103466</t>
  </si>
  <si>
    <t>PT11187</t>
  </si>
  <si>
    <t>CLM103467</t>
  </si>
  <si>
    <t>PT13471</t>
  </si>
  <si>
    <t>CLM103468</t>
  </si>
  <si>
    <t>CLM103469</t>
  </si>
  <si>
    <t>PT11700</t>
  </si>
  <si>
    <t>CLM103470</t>
  </si>
  <si>
    <t>CLM103471</t>
  </si>
  <si>
    <t>PT10260</t>
  </si>
  <si>
    <t>CLM103472</t>
  </si>
  <si>
    <t>CLM103473</t>
  </si>
  <si>
    <t>CLM103474</t>
  </si>
  <si>
    <t>PT12475</t>
  </si>
  <si>
    <t>CLM103475</t>
  </si>
  <si>
    <t>PT12854</t>
  </si>
  <si>
    <t>CLM103476</t>
  </si>
  <si>
    <t>PT12494</t>
  </si>
  <si>
    <t>CLM103478</t>
  </si>
  <si>
    <t>CLM103479</t>
  </si>
  <si>
    <t>CLM103480</t>
  </si>
  <si>
    <t>CLM103481</t>
  </si>
  <si>
    <t>CLM103482</t>
  </si>
  <si>
    <t>CLM103483</t>
  </si>
  <si>
    <t>PT11474</t>
  </si>
  <si>
    <t>CLM103484</t>
  </si>
  <si>
    <t>CLM103485</t>
  </si>
  <si>
    <t>PT12223</t>
  </si>
  <si>
    <t>CLM103486</t>
  </si>
  <si>
    <t>CLM103487</t>
  </si>
  <si>
    <t>PT13399</t>
  </si>
  <si>
    <t>CLM103488</t>
  </si>
  <si>
    <t>CLM103489</t>
  </si>
  <si>
    <t>CLM103490</t>
  </si>
  <si>
    <t>PT12458</t>
  </si>
  <si>
    <t>CLM103491</t>
  </si>
  <si>
    <t>CLM103492</t>
  </si>
  <si>
    <t>PT12378</t>
  </si>
  <si>
    <t>CLM103493</t>
  </si>
  <si>
    <t>PT12644</t>
  </si>
  <si>
    <t>CLM103494</t>
  </si>
  <si>
    <t>CLM103495</t>
  </si>
  <si>
    <t>CLM103496</t>
  </si>
  <si>
    <t>CLM103497</t>
  </si>
  <si>
    <t>PT11360</t>
  </si>
  <si>
    <t>CLM103498</t>
  </si>
  <si>
    <t>CLM103499</t>
  </si>
  <si>
    <t>CLM103500</t>
  </si>
  <si>
    <t>PT13173</t>
  </si>
  <si>
    <t>CLM103501</t>
  </si>
  <si>
    <t>CLM103502</t>
  </si>
  <si>
    <t>CLM103504</t>
  </si>
  <si>
    <t>CLM103505</t>
  </si>
  <si>
    <t>CLM103506</t>
  </si>
  <si>
    <t>PT13167</t>
  </si>
  <si>
    <t>CLM103507</t>
  </si>
  <si>
    <t>PT11415</t>
  </si>
  <si>
    <t>CLM103508</t>
  </si>
  <si>
    <t>CLM103509</t>
  </si>
  <si>
    <t>PT12746</t>
  </si>
  <si>
    <t>CLM103510</t>
  </si>
  <si>
    <t>PT11493</t>
  </si>
  <si>
    <t>CLM103511</t>
  </si>
  <si>
    <t>CLM103512</t>
  </si>
  <si>
    <t>CLM103513</t>
  </si>
  <si>
    <t>PT10457</t>
  </si>
  <si>
    <t>CLM103514</t>
  </si>
  <si>
    <t>CLM103515</t>
  </si>
  <si>
    <t>CLM103516</t>
  </si>
  <si>
    <t>CLM103517</t>
  </si>
  <si>
    <t>CLM103518</t>
  </si>
  <si>
    <t>PT10105</t>
  </si>
  <si>
    <t>CLM103519</t>
  </si>
  <si>
    <t>PT10190</t>
  </si>
  <si>
    <t>CLM103520</t>
  </si>
  <si>
    <t>CLM103521</t>
  </si>
  <si>
    <t>CLM103523</t>
  </si>
  <si>
    <t>CLM103524</t>
  </si>
  <si>
    <t>PT11790</t>
  </si>
  <si>
    <t>CLM103525</t>
  </si>
  <si>
    <t>CLM103526</t>
  </si>
  <si>
    <t>CLM103527</t>
  </si>
  <si>
    <t>CLM103528</t>
  </si>
  <si>
    <t>CLM103529</t>
  </si>
  <si>
    <t>PT10863</t>
  </si>
  <si>
    <t>CLM103530</t>
  </si>
  <si>
    <t>CLM103531</t>
  </si>
  <si>
    <t>PT11560</t>
  </si>
  <si>
    <t>CLM103532</t>
  </si>
  <si>
    <t>PT11648</t>
  </si>
  <si>
    <t>CLM103533</t>
  </si>
  <si>
    <t>PT12000</t>
  </si>
  <si>
    <t>CLM103534</t>
  </si>
  <si>
    <t>CLM103535</t>
  </si>
  <si>
    <t>PT11085</t>
  </si>
  <si>
    <t>CLM103536</t>
  </si>
  <si>
    <t>CLM103537</t>
  </si>
  <si>
    <t>PT13421</t>
  </si>
  <si>
    <t>CLM103538</t>
  </si>
  <si>
    <t>CLM103539</t>
  </si>
  <si>
    <t>CLM103540</t>
  </si>
  <si>
    <t>CLM103541</t>
  </si>
  <si>
    <t>PT12817</t>
  </si>
  <si>
    <t>CLM103542</t>
  </si>
  <si>
    <t>CLM103543</t>
  </si>
  <si>
    <t>CLM103544</t>
  </si>
  <si>
    <t>CLM103545</t>
  </si>
  <si>
    <t>CLM103546</t>
  </si>
  <si>
    <t>CLM103547</t>
  </si>
  <si>
    <t>CLM103548</t>
  </si>
  <si>
    <t>PT10309</t>
  </si>
  <si>
    <t>CLM103549</t>
  </si>
  <si>
    <t>PT12787</t>
  </si>
  <si>
    <t>CLM103550</t>
  </si>
  <si>
    <t>PT10046</t>
  </si>
  <si>
    <t>CLM103551</t>
  </si>
  <si>
    <t>CLM103552</t>
  </si>
  <si>
    <t>PT10354</t>
  </si>
  <si>
    <t>CLM103553</t>
  </si>
  <si>
    <t>CLM103554</t>
  </si>
  <si>
    <t>PT10592</t>
  </si>
  <si>
    <t>CLM103555</t>
  </si>
  <si>
    <t>CLM103556</t>
  </si>
  <si>
    <t>CLM103557</t>
  </si>
  <si>
    <t>CLM103558</t>
  </si>
  <si>
    <t>CLM103559</t>
  </si>
  <si>
    <t>PT12369</t>
  </si>
  <si>
    <t>CLM103560</t>
  </si>
  <si>
    <t>CLM103561</t>
  </si>
  <si>
    <t>CLM103562</t>
  </si>
  <si>
    <t>CLM103563</t>
  </si>
  <si>
    <t>PT12768</t>
  </si>
  <si>
    <t>CLM103564</t>
  </si>
  <si>
    <t>CLM103565</t>
  </si>
  <si>
    <t>CLM103566</t>
  </si>
  <si>
    <t>PT12380</t>
  </si>
  <si>
    <t>CLM103567</t>
  </si>
  <si>
    <t>PT11158</t>
  </si>
  <si>
    <t>CLM103568</t>
  </si>
  <si>
    <t>CLM103569</t>
  </si>
  <si>
    <t>PT10316</t>
  </si>
  <si>
    <t>CLM103570</t>
  </si>
  <si>
    <t>PT10431</t>
  </si>
  <si>
    <t>CLM103571</t>
  </si>
  <si>
    <t>CLM103572</t>
  </si>
  <si>
    <t>PT11362</t>
  </si>
  <si>
    <t>CLM103573</t>
  </si>
  <si>
    <t>CLM103574</t>
  </si>
  <si>
    <t>PT10400</t>
  </si>
  <si>
    <t>CLM103575</t>
  </si>
  <si>
    <t>CLM103576</t>
  </si>
  <si>
    <t>CLM103577</t>
  </si>
  <si>
    <t>PT11642</t>
  </si>
  <si>
    <t>CLM103578</t>
  </si>
  <si>
    <t>CLM103579</t>
  </si>
  <si>
    <t>CLM103580</t>
  </si>
  <si>
    <t>CLM103581</t>
  </si>
  <si>
    <t>PT11890</t>
  </si>
  <si>
    <t>CLM103582</t>
  </si>
  <si>
    <t>CLM103583</t>
  </si>
  <si>
    <t>CLM103584</t>
  </si>
  <si>
    <t>CLM103585</t>
  </si>
  <si>
    <t>CLM103586</t>
  </si>
  <si>
    <t>PT10255</t>
  </si>
  <si>
    <t>CLM103587</t>
  </si>
  <si>
    <t>CLM103588</t>
  </si>
  <si>
    <t>CLM103589</t>
  </si>
  <si>
    <t>CLM103590</t>
  </si>
  <si>
    <t>CLM103591</t>
  </si>
  <si>
    <t>CLM103592</t>
  </si>
  <si>
    <t>CLM103593</t>
  </si>
  <si>
    <t>PT11018</t>
  </si>
  <si>
    <t>CLM103594</t>
  </si>
  <si>
    <t>CLM103595</t>
  </si>
  <si>
    <t>CLM103596</t>
  </si>
  <si>
    <t>CLM103597</t>
  </si>
  <si>
    <t>CLM103598</t>
  </si>
  <si>
    <t>CLM103599</t>
  </si>
  <si>
    <t>CLM103600</t>
  </si>
  <si>
    <t>PT10824</t>
  </si>
  <si>
    <t>CLM103601</t>
  </si>
  <si>
    <t>CLM103602</t>
  </si>
  <si>
    <t>CLM103603</t>
  </si>
  <si>
    <t>PT12025</t>
  </si>
  <si>
    <t>CLM103604</t>
  </si>
  <si>
    <t>CLM103605</t>
  </si>
  <si>
    <t>CLM103606</t>
  </si>
  <si>
    <t>PT12625</t>
  </si>
  <si>
    <t>CLM103607</t>
  </si>
  <si>
    <t>CLM103608</t>
  </si>
  <si>
    <t>PT10292</t>
  </si>
  <si>
    <t>CLM103609</t>
  </si>
  <si>
    <t>CLM103610</t>
  </si>
  <si>
    <t>CLM103611</t>
  </si>
  <si>
    <t>CLM103612</t>
  </si>
  <si>
    <t>CLM103613</t>
  </si>
  <si>
    <t>CLM103614</t>
  </si>
  <si>
    <t>CLM103615</t>
  </si>
  <si>
    <t>CLM103616</t>
  </si>
  <si>
    <t>PT10062</t>
  </si>
  <si>
    <t>CLM103617</t>
  </si>
  <si>
    <t>PT12963</t>
  </si>
  <si>
    <t>CLM103618</t>
  </si>
  <si>
    <t>PT11395</t>
  </si>
  <si>
    <t>CLM103619</t>
  </si>
  <si>
    <t>CLM103620</t>
  </si>
  <si>
    <t>PT10371</t>
  </si>
  <si>
    <t>CLM103621</t>
  </si>
  <si>
    <t>PT11380</t>
  </si>
  <si>
    <t>CLM103622</t>
  </si>
  <si>
    <t>CLM103623</t>
  </si>
  <si>
    <t>CLM103624</t>
  </si>
  <si>
    <t>CLM103625</t>
  </si>
  <si>
    <t>PT11345</t>
  </si>
  <si>
    <t>CLM103626</t>
  </si>
  <si>
    <t>CLM103627</t>
  </si>
  <si>
    <t>PT11285</t>
  </si>
  <si>
    <t>CLM103628</t>
  </si>
  <si>
    <t>CLM103629</t>
  </si>
  <si>
    <t>CLM103630</t>
  </si>
  <si>
    <t>PT11719</t>
  </si>
  <si>
    <t>CLM103631</t>
  </si>
  <si>
    <t>CLM103632</t>
  </si>
  <si>
    <t>CLM103633</t>
  </si>
  <si>
    <t>CLM103634</t>
  </si>
  <si>
    <t>PT11155</t>
  </si>
  <si>
    <t>CLM103635</t>
  </si>
  <si>
    <t>CLM103636</t>
  </si>
  <si>
    <t>CLM103637</t>
  </si>
  <si>
    <t>CLM103638</t>
  </si>
  <si>
    <t>CLM103639</t>
  </si>
  <si>
    <t>PT10237</t>
  </si>
  <si>
    <t>CLM103640</t>
  </si>
  <si>
    <t>CLM103641</t>
  </si>
  <si>
    <t>PT10360</t>
  </si>
  <si>
    <t>CLM103642</t>
  </si>
  <si>
    <t>CLM103643</t>
  </si>
  <si>
    <t>CLM103644</t>
  </si>
  <si>
    <t>CLM103645</t>
  </si>
  <si>
    <t>CLM103646</t>
  </si>
  <si>
    <t>CLM103647</t>
  </si>
  <si>
    <t>PT11782</t>
  </si>
  <si>
    <t>CLM103648</t>
  </si>
  <si>
    <t>CLM103649</t>
  </si>
  <si>
    <t>CLM103650</t>
  </si>
  <si>
    <t>PT11986</t>
  </si>
  <si>
    <t>CLM103651</t>
  </si>
  <si>
    <t>PT11455</t>
  </si>
  <si>
    <t>CLM103652</t>
  </si>
  <si>
    <t>CLM103653</t>
  </si>
  <si>
    <t>CLM103654</t>
  </si>
  <si>
    <t>PT13391</t>
  </si>
  <si>
    <t>CLM103655</t>
  </si>
  <si>
    <t>CLM103656</t>
  </si>
  <si>
    <t>PT12753</t>
  </si>
  <si>
    <t>CLM103657</t>
  </si>
  <si>
    <t>CLM103658</t>
  </si>
  <si>
    <t>PT11082</t>
  </si>
  <si>
    <t>CLM103659</t>
  </si>
  <si>
    <t>PT11770</t>
  </si>
  <si>
    <t>CLM103660</t>
  </si>
  <si>
    <t>PT12401</t>
  </si>
  <si>
    <t>CLM103661</t>
  </si>
  <si>
    <t>CLM103662</t>
  </si>
  <si>
    <t>CLM103663</t>
  </si>
  <si>
    <t>CLM103664</t>
  </si>
  <si>
    <t>CLM103665</t>
  </si>
  <si>
    <t>CLM103666</t>
  </si>
  <si>
    <t>PT10386</t>
  </si>
  <si>
    <t>CLM103667</t>
  </si>
  <si>
    <t>PT12647</t>
  </si>
  <si>
    <t>CLM103668</t>
  </si>
  <si>
    <t>CLM103669</t>
  </si>
  <si>
    <t>CLM103670</t>
  </si>
  <si>
    <t>CLM103671</t>
  </si>
  <si>
    <t>CLM103672</t>
  </si>
  <si>
    <t>CLM103673</t>
  </si>
  <si>
    <t>CLM103674</t>
  </si>
  <si>
    <t>CLM103675</t>
  </si>
  <si>
    <t>PT10032</t>
  </si>
  <si>
    <t>CLM103676</t>
  </si>
  <si>
    <t>CLM103677</t>
  </si>
  <si>
    <t>CLM103678</t>
  </si>
  <si>
    <t>CLM103679</t>
  </si>
  <si>
    <t>CLM103680</t>
  </si>
  <si>
    <t>PT12317</t>
  </si>
  <si>
    <t>CLM103681</t>
  </si>
  <si>
    <t>PT12147</t>
  </si>
  <si>
    <t>CLM103682</t>
  </si>
  <si>
    <t>CLM103683</t>
  </si>
  <si>
    <t>CLM103684</t>
  </si>
  <si>
    <t>PT10238</t>
  </si>
  <si>
    <t>CLM103685</t>
  </si>
  <si>
    <t>CLM103686</t>
  </si>
  <si>
    <t>CLM103687</t>
  </si>
  <si>
    <t>CLM103688</t>
  </si>
  <si>
    <t>PT11229</t>
  </si>
  <si>
    <t>CLM103689</t>
  </si>
  <si>
    <t>CLM103690</t>
  </si>
  <si>
    <t>PT12556</t>
  </si>
  <si>
    <t>CLM103691</t>
  </si>
  <si>
    <t>CLM103692</t>
  </si>
  <si>
    <t>PT10585</t>
  </si>
  <si>
    <t>CLM103693</t>
  </si>
  <si>
    <t>CLM103694</t>
  </si>
  <si>
    <t>CLM103695</t>
  </si>
  <si>
    <t>PT10154</t>
  </si>
  <si>
    <t>CLM103696</t>
  </si>
  <si>
    <t>PT11506</t>
  </si>
  <si>
    <t>CLM103697</t>
  </si>
  <si>
    <t>CLM103698</t>
  </si>
  <si>
    <t>PT10453</t>
  </si>
  <si>
    <t>CLM103699</t>
  </si>
  <si>
    <t>PT11148</t>
  </si>
  <si>
    <t>CLM103700</t>
  </si>
  <si>
    <t>CLM103701</t>
  </si>
  <si>
    <t>CLM103702</t>
  </si>
  <si>
    <t>CLM103703</t>
  </si>
  <si>
    <t>PT11440</t>
  </si>
  <si>
    <t>CLM103704</t>
  </si>
  <si>
    <t>CLM103705</t>
  </si>
  <si>
    <t>CLM103706</t>
  </si>
  <si>
    <t>CLM103707</t>
  </si>
  <si>
    <t>CLM103708</t>
  </si>
  <si>
    <t>PT13488</t>
  </si>
  <si>
    <t>CLM103709</t>
  </si>
  <si>
    <t>CLM103710</t>
  </si>
  <si>
    <t>CLM103711</t>
  </si>
  <si>
    <t>CLM103712</t>
  </si>
  <si>
    <t>CLM103713</t>
  </si>
  <si>
    <t>CLM103714</t>
  </si>
  <si>
    <t>CLM103715</t>
  </si>
  <si>
    <t>PT10479</t>
  </si>
  <si>
    <t>CLM103716</t>
  </si>
  <si>
    <t>CLM103717</t>
  </si>
  <si>
    <t>CLM103718</t>
  </si>
  <si>
    <t>CLM103719</t>
  </si>
  <si>
    <t>CLM103720</t>
  </si>
  <si>
    <t>CLM103721</t>
  </si>
  <si>
    <t>CLM103722</t>
  </si>
  <si>
    <t>CLM103723</t>
  </si>
  <si>
    <t>CLM103724</t>
  </si>
  <si>
    <t>CLM103725</t>
  </si>
  <si>
    <t>CLM103726</t>
  </si>
  <si>
    <t>CLM103727</t>
  </si>
  <si>
    <t>CLM103728</t>
  </si>
  <si>
    <t>PT13005</t>
  </si>
  <si>
    <t>CLM103729</t>
  </si>
  <si>
    <t>CLM103730</t>
  </si>
  <si>
    <t>CLM103731</t>
  </si>
  <si>
    <t>PT13438</t>
  </si>
  <si>
    <t>CLM103732</t>
  </si>
  <si>
    <t>CLM103733</t>
  </si>
  <si>
    <t>CLM103734</t>
  </si>
  <si>
    <t>PT10413</t>
  </si>
  <si>
    <t>CLM103735</t>
  </si>
  <si>
    <t>CLM103736</t>
  </si>
  <si>
    <t>CLM103737</t>
  </si>
  <si>
    <t>CLM103738</t>
  </si>
  <si>
    <t>CLM103739</t>
  </si>
  <si>
    <t>CLM103740</t>
  </si>
  <si>
    <t>CLM103741</t>
  </si>
  <si>
    <t>CLM103742</t>
  </si>
  <si>
    <t>CLM103743</t>
  </si>
  <si>
    <t>CLM103744</t>
  </si>
  <si>
    <t>PT12093</t>
  </si>
  <si>
    <t>CLM103745</t>
  </si>
  <si>
    <t>PT12302</t>
  </si>
  <si>
    <t>CLM103746</t>
  </si>
  <si>
    <t>PT12522</t>
  </si>
  <si>
    <t>CLM103747</t>
  </si>
  <si>
    <t>CLM103748</t>
  </si>
  <si>
    <t>CLM103749</t>
  </si>
  <si>
    <t>CLM103750</t>
  </si>
  <si>
    <t>CLM103751</t>
  </si>
  <si>
    <t>PT10608</t>
  </si>
  <si>
    <t>CLM103752</t>
  </si>
  <si>
    <t>PT10192</t>
  </si>
  <si>
    <t>CLM103753</t>
  </si>
  <si>
    <t>CLM103754</t>
  </si>
  <si>
    <t>CLM103755</t>
  </si>
  <si>
    <t>CLM103756</t>
  </si>
  <si>
    <t>CLM103757</t>
  </si>
  <si>
    <t>PT12618</t>
  </si>
  <si>
    <t>CLM103758</t>
  </si>
  <si>
    <t>CLM103759</t>
  </si>
  <si>
    <t>CLM103760</t>
  </si>
  <si>
    <t>CLM103761</t>
  </si>
  <si>
    <t>CLM103762</t>
  </si>
  <si>
    <t>PT10930</t>
  </si>
  <si>
    <t>CLM103763</t>
  </si>
  <si>
    <t>CLM103764</t>
  </si>
  <si>
    <t>PT12540</t>
  </si>
  <si>
    <t>CLM103765</t>
  </si>
  <si>
    <t>CLM103766</t>
  </si>
  <si>
    <t>CLM103767</t>
  </si>
  <si>
    <t>PT11164</t>
  </si>
  <si>
    <t>CLM103768</t>
  </si>
  <si>
    <t>CLM103769</t>
  </si>
  <si>
    <t>CLM103770</t>
  </si>
  <si>
    <t>PT11346</t>
  </si>
  <si>
    <t>CLM103771</t>
  </si>
  <si>
    <t>PT11935</t>
  </si>
  <si>
    <t>CLM103772</t>
  </si>
  <si>
    <t>CLM103773</t>
  </si>
  <si>
    <t>PT12546</t>
  </si>
  <si>
    <t>CLM103774</t>
  </si>
  <si>
    <t>CLM103775</t>
  </si>
  <si>
    <t>CLM103776</t>
  </si>
  <si>
    <t>CLM103777</t>
  </si>
  <si>
    <t>PT11852</t>
  </si>
  <si>
    <t>CLM103778</t>
  </si>
  <si>
    <t>CLM103779</t>
  </si>
  <si>
    <t>CLM103780</t>
  </si>
  <si>
    <t>PT11732</t>
  </si>
  <si>
    <t>CLM103781</t>
  </si>
  <si>
    <t>CLM103782</t>
  </si>
  <si>
    <t>CLM103783</t>
  </si>
  <si>
    <t>CLM103784</t>
  </si>
  <si>
    <t>PT11175</t>
  </si>
  <si>
    <t>CLM103785</t>
  </si>
  <si>
    <t>CLM103786</t>
  </si>
  <si>
    <t>CLM103787</t>
  </si>
  <si>
    <t>CLM103788</t>
  </si>
  <si>
    <t>PT13141</t>
  </si>
  <si>
    <t>CLM103789</t>
  </si>
  <si>
    <t>CLM103790</t>
  </si>
  <si>
    <t>PT11855</t>
  </si>
  <si>
    <t>CLM103791</t>
  </si>
  <si>
    <t>CLM103792</t>
  </si>
  <si>
    <t>CLM103793</t>
  </si>
  <si>
    <t>PT11485</t>
  </si>
  <si>
    <t>CLM103794</t>
  </si>
  <si>
    <t>CLM103795</t>
  </si>
  <si>
    <t>CLM103796</t>
  </si>
  <si>
    <t>CLM103797</t>
  </si>
  <si>
    <t>CLM103798</t>
  </si>
  <si>
    <t>PT12473</t>
  </si>
  <si>
    <t>CLM103799</t>
  </si>
  <si>
    <t>CLM103800</t>
  </si>
  <si>
    <t>CLM103801</t>
  </si>
  <si>
    <t>CLM103802</t>
  </si>
  <si>
    <t>CLM103803</t>
  </si>
  <si>
    <t>CLM103804</t>
  </si>
  <si>
    <t>PT12977</t>
  </si>
  <si>
    <t>CLM103805</t>
  </si>
  <si>
    <t>PT12190</t>
  </si>
  <si>
    <t>CLM103806</t>
  </si>
  <si>
    <t>CLM103807</t>
  </si>
  <si>
    <t>CLM103808</t>
  </si>
  <si>
    <t>CLM103809</t>
  </si>
  <si>
    <t>CLM103810</t>
  </si>
  <si>
    <t>CLM103811</t>
  </si>
  <si>
    <t>CLM103812</t>
  </si>
  <si>
    <t>CLM103813</t>
  </si>
  <si>
    <t>CLM103814</t>
  </si>
  <si>
    <t>CLM103815</t>
  </si>
  <si>
    <t>PT12415</t>
  </si>
  <si>
    <t>CLM103816</t>
  </si>
  <si>
    <t>CLM103817</t>
  </si>
  <si>
    <t>PT12073</t>
  </si>
  <si>
    <t>CLM103818</t>
  </si>
  <si>
    <t>CLM103819</t>
  </si>
  <si>
    <t>CLM103820</t>
  </si>
  <si>
    <t>CLM103821</t>
  </si>
  <si>
    <t>PT13039</t>
  </si>
  <si>
    <t>CLM103822</t>
  </si>
  <si>
    <t>PT11248</t>
  </si>
  <si>
    <t>CLM103823</t>
  </si>
  <si>
    <t>CLM103824</t>
  </si>
  <si>
    <t>CLM103825</t>
  </si>
  <si>
    <t>CLM103826</t>
  </si>
  <si>
    <t>CLM103827</t>
  </si>
  <si>
    <t>CLM103828</t>
  </si>
  <si>
    <t>CLM103829</t>
  </si>
  <si>
    <t>CLM103830</t>
  </si>
  <si>
    <t>PT10049</t>
  </si>
  <si>
    <t>CLM103831</t>
  </si>
  <si>
    <t>CLM103832</t>
  </si>
  <si>
    <t>PT12695</t>
  </si>
  <si>
    <t>CLM103833</t>
  </si>
  <si>
    <t>PT11253</t>
  </si>
  <si>
    <t>CLM103835</t>
  </si>
  <si>
    <t>CLM103836</t>
  </si>
  <si>
    <t>PT12774</t>
  </si>
  <si>
    <t>CLM103837</t>
  </si>
  <si>
    <t>CLM103838</t>
  </si>
  <si>
    <t>PT12712</t>
  </si>
  <si>
    <t>CLM103839</t>
  </si>
  <si>
    <t>PT12911</t>
  </si>
  <si>
    <t>CLM103840</t>
  </si>
  <si>
    <t>CLM103841</t>
  </si>
  <si>
    <t>CLM103842</t>
  </si>
  <si>
    <t>CLM103843</t>
  </si>
  <si>
    <t>CLM103844</t>
  </si>
  <si>
    <t>PT12502</t>
  </si>
  <si>
    <t>CLM103845</t>
  </si>
  <si>
    <t>CLM103846</t>
  </si>
  <si>
    <t>CLM103847</t>
  </si>
  <si>
    <t>PT10020</t>
  </si>
  <si>
    <t>CLM103848</t>
  </si>
  <si>
    <t>PT12028</t>
  </si>
  <si>
    <t>CLM103849</t>
  </si>
  <si>
    <t>PT10936</t>
  </si>
  <si>
    <t>CLM103850</t>
  </si>
  <si>
    <t>CLM103851</t>
  </si>
  <si>
    <t>CLM103852</t>
  </si>
  <si>
    <t>CLM103853</t>
  </si>
  <si>
    <t>PT10821</t>
  </si>
  <si>
    <t>CLM103854</t>
  </si>
  <si>
    <t>CLM103855</t>
  </si>
  <si>
    <t>PT10922</t>
  </si>
  <si>
    <t>CLM103856</t>
  </si>
  <si>
    <t>CLM103857</t>
  </si>
  <si>
    <t>CLM103858</t>
  </si>
  <si>
    <t>CLM103859</t>
  </si>
  <si>
    <t>CLM103860</t>
  </si>
  <si>
    <t>CLM103861</t>
  </si>
  <si>
    <t>PT13207</t>
  </si>
  <si>
    <t>CLM103862</t>
  </si>
  <si>
    <t>PT11921</t>
  </si>
  <si>
    <t>CLM103863</t>
  </si>
  <si>
    <t>CLM103864</t>
  </si>
  <si>
    <t>CLM103865</t>
  </si>
  <si>
    <t>CLM103866</t>
  </si>
  <si>
    <t>CLM103867</t>
  </si>
  <si>
    <t>PT11515</t>
  </si>
  <si>
    <t>CLM103868</t>
  </si>
  <si>
    <t>CLM103869</t>
  </si>
  <si>
    <t>PT13282</t>
  </si>
  <si>
    <t>CLM103870</t>
  </si>
  <si>
    <t>CLM103871</t>
  </si>
  <si>
    <t>PT13050</t>
  </si>
  <si>
    <t>CLM103872</t>
  </si>
  <si>
    <t>CLM103873</t>
  </si>
  <si>
    <t>PT11027</t>
  </si>
  <si>
    <t>CLM103874</t>
  </si>
  <si>
    <t>CLM103875</t>
  </si>
  <si>
    <t>CLM103876</t>
  </si>
  <si>
    <t>PT12851</t>
  </si>
  <si>
    <t>CLM103877</t>
  </si>
  <si>
    <t>CLM103879</t>
  </si>
  <si>
    <t>CLM103880</t>
  </si>
  <si>
    <t>CLM103881</t>
  </si>
  <si>
    <t>CLM103882</t>
  </si>
  <si>
    <t>CLM103883</t>
  </si>
  <si>
    <t>PT11575</t>
  </si>
  <si>
    <t>CLM103884</t>
  </si>
  <si>
    <t>CLM103885</t>
  </si>
  <si>
    <t>PT10275</t>
  </si>
  <si>
    <t>CLM103886</t>
  </si>
  <si>
    <t>PT11695</t>
  </si>
  <si>
    <t>CLM103887</t>
  </si>
  <si>
    <t>CLM103888</t>
  </si>
  <si>
    <t>CLM103889</t>
  </si>
  <si>
    <t>PT10915</t>
  </si>
  <si>
    <t>CLM103890</t>
  </si>
  <si>
    <t>CLM103891</t>
  </si>
  <si>
    <t>CLM103892</t>
  </si>
  <si>
    <t>CLM103893</t>
  </si>
  <si>
    <t>PT10547</t>
  </si>
  <si>
    <t>CLM103894</t>
  </si>
  <si>
    <t>CLM103895</t>
  </si>
  <si>
    <t>CLM103896</t>
  </si>
  <si>
    <t>CLM103897</t>
  </si>
  <si>
    <t>CLM103898</t>
  </si>
  <si>
    <t>PT12830</t>
  </si>
  <si>
    <t>CLM103899</t>
  </si>
  <si>
    <t>CLM103900</t>
  </si>
  <si>
    <t>CLM103901</t>
  </si>
  <si>
    <t>CLM103902</t>
  </si>
  <si>
    <t>PT13335</t>
  </si>
  <si>
    <t>CLM103903</t>
  </si>
  <si>
    <t>PT10946</t>
  </si>
  <si>
    <t>CLM103904</t>
  </si>
  <si>
    <t>CLM103905</t>
  </si>
  <si>
    <t>PT10524</t>
  </si>
  <si>
    <t>CLM103906</t>
  </si>
  <si>
    <t>PT10906</t>
  </si>
  <si>
    <t>CLM103907</t>
  </si>
  <si>
    <t>PT12623</t>
  </si>
  <si>
    <t>CLM103908</t>
  </si>
  <si>
    <t>CLM103909</t>
  </si>
  <si>
    <t>PT11705</t>
  </si>
  <si>
    <t>CLM103910</t>
  </si>
  <si>
    <t>CLM103911</t>
  </si>
  <si>
    <t>PT11278</t>
  </si>
  <si>
    <t>CLM103912</t>
  </si>
  <si>
    <t>CLM103913</t>
  </si>
  <si>
    <t>CLM103914</t>
  </si>
  <si>
    <t>PT11245</t>
  </si>
  <si>
    <t>CLM103915</t>
  </si>
  <si>
    <t>PT11305</t>
  </si>
  <si>
    <t>CLM103916</t>
  </si>
  <si>
    <t>CLM103917</t>
  </si>
  <si>
    <t>PT10743</t>
  </si>
  <si>
    <t>CLM103918</t>
  </si>
  <si>
    <t>PT10044</t>
  </si>
  <si>
    <t>CLM103919</t>
  </si>
  <si>
    <t>CLM103920</t>
  </si>
  <si>
    <t>CLM103921</t>
  </si>
  <si>
    <t>CLM103922</t>
  </si>
  <si>
    <t>CLM103923</t>
  </si>
  <si>
    <t>CLM103924</t>
  </si>
  <si>
    <t>CLM103925</t>
  </si>
  <si>
    <t>PT12156</t>
  </si>
  <si>
    <t>CLM103926</t>
  </si>
  <si>
    <t>CLM103927</t>
  </si>
  <si>
    <t>CLM103928</t>
  </si>
  <si>
    <t>PT10235</t>
  </si>
  <si>
    <t>CLM103929</t>
  </si>
  <si>
    <t>PT11516</t>
  </si>
  <si>
    <t>CLM103930</t>
  </si>
  <si>
    <t>PT10543</t>
  </si>
  <si>
    <t>CLM103931</t>
  </si>
  <si>
    <t>CLM103932</t>
  </si>
  <si>
    <t>PT12293</t>
  </si>
  <si>
    <t>CLM103933</t>
  </si>
  <si>
    <t>CLM103934</t>
  </si>
  <si>
    <t>CLM103935</t>
  </si>
  <si>
    <t>PT12813</t>
  </si>
  <si>
    <t>CLM103936</t>
  </si>
  <si>
    <t>CLM103937</t>
  </si>
  <si>
    <t>CLM103938</t>
  </si>
  <si>
    <t>CLM103939</t>
  </si>
  <si>
    <t>CLM103940</t>
  </si>
  <si>
    <t>CLM103941</t>
  </si>
  <si>
    <t>PT10742</t>
  </si>
  <si>
    <t>CLM103942</t>
  </si>
  <si>
    <t>CLM103943</t>
  </si>
  <si>
    <t>CLM103944</t>
  </si>
  <si>
    <t>CLM103945</t>
  </si>
  <si>
    <t>CLM103946</t>
  </si>
  <si>
    <t>PT11578</t>
  </si>
  <si>
    <t>CLM103947</t>
  </si>
  <si>
    <t>PT12462</t>
  </si>
  <si>
    <t>CLM103948</t>
  </si>
  <si>
    <t>CLM103949</t>
  </si>
  <si>
    <t>PT11967</t>
  </si>
  <si>
    <t>CLM103950</t>
  </si>
  <si>
    <t>PT11050</t>
  </si>
  <si>
    <t>CLM103951</t>
  </si>
  <si>
    <t>CLM103952</t>
  </si>
  <si>
    <t>PT12615</t>
  </si>
  <si>
    <t>CLM103953</t>
  </si>
  <si>
    <t>PT13062</t>
  </si>
  <si>
    <t>CLM103954</t>
  </si>
  <si>
    <t>PT11239</t>
  </si>
  <si>
    <t>CLM103955</t>
  </si>
  <si>
    <t>PT13388</t>
  </si>
  <si>
    <t>CLM103956</t>
  </si>
  <si>
    <t>CLM103957</t>
  </si>
  <si>
    <t>PT13256</t>
  </si>
  <si>
    <t>CLM103958</t>
  </si>
  <si>
    <t>PT12862</t>
  </si>
  <si>
    <t>CLM103959</t>
  </si>
  <si>
    <t>CLM103960</t>
  </si>
  <si>
    <t>CLM103961</t>
  </si>
  <si>
    <t>CLM103962</t>
  </si>
  <si>
    <t>PT12355</t>
  </si>
  <si>
    <t>CLM103963</t>
  </si>
  <si>
    <t>CLM103964</t>
  </si>
  <si>
    <t>PT10102</t>
  </si>
  <si>
    <t>CLM103966</t>
  </si>
  <si>
    <t>CLM103968</t>
  </si>
  <si>
    <t>CLM103969</t>
  </si>
  <si>
    <t>PT12303</t>
  </si>
  <si>
    <t>CLM103970</t>
  </si>
  <si>
    <t>CLM103971</t>
  </si>
  <si>
    <t>PT11460</t>
  </si>
  <si>
    <t>CLM103972</t>
  </si>
  <si>
    <t>CLM103973</t>
  </si>
  <si>
    <t>CLM103974</t>
  </si>
  <si>
    <t>PT10964</t>
  </si>
  <si>
    <t>CLM103975</t>
  </si>
  <si>
    <t>PT10802</t>
  </si>
  <si>
    <t>CLM103976</t>
  </si>
  <si>
    <t>CLM103977</t>
  </si>
  <si>
    <t>CLM103978</t>
  </si>
  <si>
    <t>CLM103979</t>
  </si>
  <si>
    <t>CLM103980</t>
  </si>
  <si>
    <t>CLM103981</t>
  </si>
  <si>
    <t>PT11559</t>
  </si>
  <si>
    <t>CLM103982</t>
  </si>
  <si>
    <t>CLM103983</t>
  </si>
  <si>
    <t>CLM103984</t>
  </si>
  <si>
    <t>CLM103985</t>
  </si>
  <si>
    <t>CLM103986</t>
  </si>
  <si>
    <t>CLM103987</t>
  </si>
  <si>
    <t>PT10792</t>
  </si>
  <si>
    <t>CLM103988</t>
  </si>
  <si>
    <t>CLM103990</t>
  </si>
  <si>
    <t>CLM103991</t>
  </si>
  <si>
    <t>PT10119</t>
  </si>
  <si>
    <t>CLM103992</t>
  </si>
  <si>
    <t>PT12192</t>
  </si>
  <si>
    <t>CLM103993</t>
  </si>
  <si>
    <t>PT12791</t>
  </si>
  <si>
    <t>CLM103994</t>
  </si>
  <si>
    <t>CLM103995</t>
  </si>
  <si>
    <t>PT10469</t>
  </si>
  <si>
    <t>CLM103996</t>
  </si>
  <si>
    <t>CLM103997</t>
  </si>
  <si>
    <t>CLM103998</t>
  </si>
  <si>
    <t>CLM103999</t>
  </si>
  <si>
    <t>CLM104000</t>
  </si>
  <si>
    <t>PT12638</t>
  </si>
  <si>
    <t>CLM104001</t>
  </si>
  <si>
    <t>CLM104002</t>
  </si>
  <si>
    <t>PT12799</t>
  </si>
  <si>
    <t>CLM104003</t>
  </si>
  <si>
    <t>CLM104004</t>
  </si>
  <si>
    <t>PT13341</t>
  </si>
  <si>
    <t>CLM104005</t>
  </si>
  <si>
    <t>CLM104006</t>
  </si>
  <si>
    <t>CLM104007</t>
  </si>
  <si>
    <t>CLM104008</t>
  </si>
  <si>
    <t>CLM104009</t>
  </si>
  <si>
    <t>CLM104010</t>
  </si>
  <si>
    <t>CLM104011</t>
  </si>
  <si>
    <t>PT11013</t>
  </si>
  <si>
    <t>CLM104012</t>
  </si>
  <si>
    <t>CLM104013</t>
  </si>
  <si>
    <t>CLM104014</t>
  </si>
  <si>
    <t>PT13383</t>
  </si>
  <si>
    <t>CLM104015</t>
  </si>
  <si>
    <t>CLM104016</t>
  </si>
  <si>
    <t>PT11894</t>
  </si>
  <si>
    <t>CLM104017</t>
  </si>
  <si>
    <t>PT12761</t>
  </si>
  <si>
    <t>CLM104018</t>
  </si>
  <si>
    <t>CLM104019</t>
  </si>
  <si>
    <t>CLM104020</t>
  </si>
  <si>
    <t>CLM104021</t>
  </si>
  <si>
    <t>PT11854</t>
  </si>
  <si>
    <t>CLM104022</t>
  </si>
  <si>
    <t>CLM104023</t>
  </si>
  <si>
    <t>CLM104024</t>
  </si>
  <si>
    <t>PT13219</t>
  </si>
  <si>
    <t>CLM104025</t>
  </si>
  <si>
    <t>PT10681</t>
  </si>
  <si>
    <t>CLM104026</t>
  </si>
  <si>
    <t>CLM104027</t>
  </si>
  <si>
    <t>PT10682</t>
  </si>
  <si>
    <t>CLM104028</t>
  </si>
  <si>
    <t>CLM104029</t>
  </si>
  <si>
    <t>CLM104030</t>
  </si>
  <si>
    <t>CLM104031</t>
  </si>
  <si>
    <t>CLM104032</t>
  </si>
  <si>
    <t>PT10264</t>
  </si>
  <si>
    <t>CLM104033</t>
  </si>
  <si>
    <t>CLM104034</t>
  </si>
  <si>
    <t>CLM104035</t>
  </si>
  <si>
    <t>CLM104036</t>
  </si>
  <si>
    <t>CLM104037</t>
  </si>
  <si>
    <t>CLM104038</t>
  </si>
  <si>
    <t>CLM104039</t>
  </si>
  <si>
    <t>PT13214</t>
  </si>
  <si>
    <t>CLM104040</t>
  </si>
  <si>
    <t>CLM104041</t>
  </si>
  <si>
    <t>CLM104042</t>
  </si>
  <si>
    <t>CLM104043</t>
  </si>
  <si>
    <t>CLM104044</t>
  </si>
  <si>
    <t>PT12274</t>
  </si>
  <si>
    <t>CLM104045</t>
  </si>
  <si>
    <t>CLM104046</t>
  </si>
  <si>
    <t>CLM104047</t>
  </si>
  <si>
    <t>PT10558</t>
  </si>
  <si>
    <t>CLM104048</t>
  </si>
  <si>
    <t>CLM104049</t>
  </si>
  <si>
    <t>CLM104050</t>
  </si>
  <si>
    <t>CLM104051</t>
  </si>
  <si>
    <t>PT10442</t>
  </si>
  <si>
    <t>CLM104052</t>
  </si>
  <si>
    <t>PT12429</t>
  </si>
  <si>
    <t>CLM104053</t>
  </si>
  <si>
    <t>PT13176</t>
  </si>
  <si>
    <t>CLM104054</t>
  </si>
  <si>
    <t>CLM104055</t>
  </si>
  <si>
    <t>PT12622</t>
  </si>
  <si>
    <t>CLM104056</t>
  </si>
  <si>
    <t>CLM104057</t>
  </si>
  <si>
    <t>PT11734</t>
  </si>
  <si>
    <t>CLM104058</t>
  </si>
  <si>
    <t>CLM104059</t>
  </si>
  <si>
    <t>CLM104060</t>
  </si>
  <si>
    <t>CLM104061</t>
  </si>
  <si>
    <t>PT10548</t>
  </si>
  <si>
    <t>CLM104062</t>
  </si>
  <si>
    <t>CLM104063</t>
  </si>
  <si>
    <t>CLM104064</t>
  </si>
  <si>
    <t>CLM104065</t>
  </si>
  <si>
    <t>CLM104066</t>
  </si>
  <si>
    <t>CLM104067</t>
  </si>
  <si>
    <t>CLM104068</t>
  </si>
  <si>
    <t>PT10553</t>
  </si>
  <si>
    <t>CLM104069</t>
  </si>
  <si>
    <t>CLM104070</t>
  </si>
  <si>
    <t>CLM104071</t>
  </si>
  <si>
    <t>PT12148</t>
  </si>
  <si>
    <t>CLM104072</t>
  </si>
  <si>
    <t>CLM104073</t>
  </si>
  <si>
    <t>CLM104074</t>
  </si>
  <si>
    <t>CLM104075</t>
  </si>
  <si>
    <t>PT13432</t>
  </si>
  <si>
    <t>CLM104076</t>
  </si>
  <si>
    <t>PT11233</t>
  </si>
  <si>
    <t>CLM104077</t>
  </si>
  <si>
    <t>CLM104078</t>
  </si>
  <si>
    <t>PT10091</t>
  </si>
  <si>
    <t>CLM104079</t>
  </si>
  <si>
    <t>CLM104080</t>
  </si>
  <si>
    <t>CLM104081</t>
  </si>
  <si>
    <t>CLM104082</t>
  </si>
  <si>
    <t>CLM104083</t>
  </si>
  <si>
    <t>CLM104084</t>
  </si>
  <si>
    <t>PT13197</t>
  </si>
  <si>
    <t>CLM104085</t>
  </si>
  <si>
    <t>PT10680</t>
  </si>
  <si>
    <t>CLM104086</t>
  </si>
  <si>
    <t>PT10723</t>
  </si>
  <si>
    <t>CLM104087</t>
  </si>
  <si>
    <t>CLM104088</t>
  </si>
  <si>
    <t>CLM104089</t>
  </si>
  <si>
    <t>PT11699</t>
  </si>
  <si>
    <t>CLM104090</t>
  </si>
  <si>
    <t>PT10805</t>
  </si>
  <si>
    <t>CLM104091</t>
  </si>
  <si>
    <t>PT11394</t>
  </si>
  <si>
    <t>CLM104092</t>
  </si>
  <si>
    <t>CLM104093</t>
  </si>
  <si>
    <t>CLM104094</t>
  </si>
  <si>
    <t>CLM104095</t>
  </si>
  <si>
    <t>CLM104096</t>
  </si>
  <si>
    <t>CLM104097</t>
  </si>
  <si>
    <t>PT11731</t>
  </si>
  <si>
    <t>CLM104098</t>
  </si>
  <si>
    <t>PT13026</t>
  </si>
  <si>
    <t>CLM104099</t>
  </si>
  <si>
    <t>CLM104100</t>
  </si>
  <si>
    <t>CLM104101</t>
  </si>
  <si>
    <t>CLM104102</t>
  </si>
  <si>
    <t>PT11129</t>
  </si>
  <si>
    <t>CLM104103</t>
  </si>
  <si>
    <t>CLM104104</t>
  </si>
  <si>
    <t>CLM104105</t>
  </si>
  <si>
    <t>PT10104</t>
  </si>
  <si>
    <t>CLM104106</t>
  </si>
  <si>
    <t>CLM104107</t>
  </si>
  <si>
    <t>CLM104108</t>
  </si>
  <si>
    <t>CLM104109</t>
  </si>
  <si>
    <t>CLM104110</t>
  </si>
  <si>
    <t>CLM104111</t>
  </si>
  <si>
    <t>CLM104112</t>
  </si>
  <si>
    <t>CLM104113</t>
  </si>
  <si>
    <t>PT10596</t>
  </si>
  <si>
    <t>CLM104114</t>
  </si>
  <si>
    <t>CLM104115</t>
  </si>
  <si>
    <t>CLM104117</t>
  </si>
  <si>
    <t>CLM104118</t>
  </si>
  <si>
    <t>CLM104119</t>
  </si>
  <si>
    <t>PT12561</t>
  </si>
  <si>
    <t>CLM104120</t>
  </si>
  <si>
    <t>CLM104121</t>
  </si>
  <si>
    <t>CLM104122</t>
  </si>
  <si>
    <t>CLM104123</t>
  </si>
  <si>
    <t>CLM104124</t>
  </si>
  <si>
    <t>PT12782</t>
  </si>
  <si>
    <t>CLM104125</t>
  </si>
  <si>
    <t>CLM104126</t>
  </si>
  <si>
    <t>PT11601</t>
  </si>
  <si>
    <t>CLM104127</t>
  </si>
  <si>
    <t>CLM104128</t>
  </si>
  <si>
    <t>CLM104129</t>
  </si>
  <si>
    <t>CLM104130</t>
  </si>
  <si>
    <t>PT10197</t>
  </si>
  <si>
    <t>CLM104131</t>
  </si>
  <si>
    <t>CLM104132</t>
  </si>
  <si>
    <t>CLM104133</t>
  </si>
  <si>
    <t>PT13382</t>
  </si>
  <si>
    <t>CLM104134</t>
  </si>
  <si>
    <t>PT10214</t>
  </si>
  <si>
    <t>CLM104135</t>
  </si>
  <si>
    <t>CLM104136</t>
  </si>
  <si>
    <t>PT12451</t>
  </si>
  <si>
    <t>CLM104137</t>
  </si>
  <si>
    <t>CLM104138</t>
  </si>
  <si>
    <t>CLM104139</t>
  </si>
  <si>
    <t>CLM104140</t>
  </si>
  <si>
    <t>PT10512</t>
  </si>
  <si>
    <t>CLM104141</t>
  </si>
  <si>
    <t>PT10693</t>
  </si>
  <si>
    <t>CLM104142</t>
  </si>
  <si>
    <t>CLM104143</t>
  </si>
  <si>
    <t>PT11442</t>
  </si>
  <si>
    <t>CLM104144</t>
  </si>
  <si>
    <t>PT12997</t>
  </si>
  <si>
    <t>CLM104145</t>
  </si>
  <si>
    <t>CLM104146</t>
  </si>
  <si>
    <t>CLM104147</t>
  </si>
  <si>
    <t>CLM104148</t>
  </si>
  <si>
    <t>CLM104149</t>
  </si>
  <si>
    <t>PT13094</t>
  </si>
  <si>
    <t>CLM104150</t>
  </si>
  <si>
    <t>CLM104151</t>
  </si>
  <si>
    <t>CLM104152</t>
  </si>
  <si>
    <t>CLM104153</t>
  </si>
  <si>
    <t>CLM104154</t>
  </si>
  <si>
    <t>CLM104155</t>
  </si>
  <si>
    <t>PT12080</t>
  </si>
  <si>
    <t>CLM104156</t>
  </si>
  <si>
    <t>PT13288</t>
  </si>
  <si>
    <t>CLM104157</t>
  </si>
  <si>
    <t>PT12082</t>
  </si>
  <si>
    <t>CLM104158</t>
  </si>
  <si>
    <t>CLM104159</t>
  </si>
  <si>
    <t>CLM104160</t>
  </si>
  <si>
    <t>CLM104161</t>
  </si>
  <si>
    <t>CLM104162</t>
  </si>
  <si>
    <t>PT12972</t>
  </si>
  <si>
    <t>CLM104163</t>
  </si>
  <si>
    <t>CLM104164</t>
  </si>
  <si>
    <t>CLM104165</t>
  </si>
  <si>
    <t>CLM104166</t>
  </si>
  <si>
    <t>CLM104167</t>
  </si>
  <si>
    <t>CLM104168</t>
  </si>
  <si>
    <t>PT10278</t>
  </si>
  <si>
    <t>CLM104169</t>
  </si>
  <si>
    <t>CLM104170</t>
  </si>
  <si>
    <t>CLM104171</t>
  </si>
  <si>
    <t>CLM104172</t>
  </si>
  <si>
    <t>CLM104173</t>
  </si>
  <si>
    <t>CLM104174</t>
  </si>
  <si>
    <t>PT11665</t>
  </si>
  <si>
    <t>CLM104175</t>
  </si>
  <si>
    <t>CLM104176</t>
  </si>
  <si>
    <t>CLM104177</t>
  </si>
  <si>
    <t>CLM104178</t>
  </si>
  <si>
    <t>PT11802</t>
  </si>
  <si>
    <t>CLM104179</t>
  </si>
  <si>
    <t>CLM104180</t>
  </si>
  <si>
    <t>CLM104181</t>
  </si>
  <si>
    <t>CLM104182</t>
  </si>
  <si>
    <t>PT10377</t>
  </si>
  <si>
    <t>CLM104183</t>
  </si>
  <si>
    <t>CLM104184</t>
  </si>
  <si>
    <t>CLM104185</t>
  </si>
  <si>
    <t>PT11652</t>
  </si>
  <si>
    <t>CLM104186</t>
  </si>
  <si>
    <t>CLM104187</t>
  </si>
  <si>
    <t>PT13217</t>
  </si>
  <si>
    <t>CLM104188</t>
  </si>
  <si>
    <t>PT12740</t>
  </si>
  <si>
    <t>CLM104189</t>
  </si>
  <si>
    <t>CLM104190</t>
  </si>
  <si>
    <t>CLM104191</t>
  </si>
  <si>
    <t>PT10205</t>
  </si>
  <si>
    <t>CLM104192</t>
  </si>
  <si>
    <t>CLM104193</t>
  </si>
  <si>
    <t>CLM104194</t>
  </si>
  <si>
    <t>CLM104195</t>
  </si>
  <si>
    <t>CLM104196</t>
  </si>
  <si>
    <t>CLM104197</t>
  </si>
  <si>
    <t>CLM104198</t>
  </si>
  <si>
    <t>CLM104199</t>
  </si>
  <si>
    <t>PT10305</t>
  </si>
  <si>
    <t>CLM104200</t>
  </si>
  <si>
    <t>PT10861</t>
  </si>
  <si>
    <t>CLM104201</t>
  </si>
  <si>
    <t>PT13482</t>
  </si>
  <si>
    <t>CLM104202</t>
  </si>
  <si>
    <t>PT11769</t>
  </si>
  <si>
    <t>CLM104203</t>
  </si>
  <si>
    <t>CLM104204</t>
  </si>
  <si>
    <t>PT12335</t>
  </si>
  <si>
    <t>CLM104205</t>
  </si>
  <si>
    <t>CLM104206</t>
  </si>
  <si>
    <t>CLM104207</t>
  </si>
  <si>
    <t>CLM104208</t>
  </si>
  <si>
    <t>PT11982</t>
  </si>
  <si>
    <t>CLM104209</t>
  </si>
  <si>
    <t>CLM104210</t>
  </si>
  <si>
    <t>CLM104211</t>
  </si>
  <si>
    <t>CLM104212</t>
  </si>
  <si>
    <t>CLM104213</t>
  </si>
  <si>
    <t>PT11019</t>
  </si>
  <si>
    <t>CLM104214</t>
  </si>
  <si>
    <t>PT12310</t>
  </si>
  <si>
    <t>CLM104215</t>
  </si>
  <si>
    <t>CLM104216</t>
  </si>
  <si>
    <t>CLM104217</t>
  </si>
  <si>
    <t>PT10007</t>
  </si>
  <si>
    <t>CLM104218</t>
  </si>
  <si>
    <t>CLM104219</t>
  </si>
  <si>
    <t>CLM104220</t>
  </si>
  <si>
    <t>PT12098</t>
  </si>
  <si>
    <t>CLM104221</t>
  </si>
  <si>
    <t>CLM104222</t>
  </si>
  <si>
    <t>CLM104223</t>
  </si>
  <si>
    <t>CLM104224</t>
  </si>
  <si>
    <t>CLM104225</t>
  </si>
  <si>
    <t>CLM104226</t>
  </si>
  <si>
    <t>CLM104227</t>
  </si>
  <si>
    <t>CLM104228</t>
  </si>
  <si>
    <t>PT10899</t>
  </si>
  <si>
    <t>CLM104229</t>
  </si>
  <si>
    <t>CLM104230</t>
  </si>
  <si>
    <t>PT12551</t>
  </si>
  <si>
    <t>CLM104231</t>
  </si>
  <si>
    <t>CLM104232</t>
  </si>
  <si>
    <t>CLM104233</t>
  </si>
  <si>
    <t>PT10195</t>
  </si>
  <si>
    <t>CLM104234</t>
  </si>
  <si>
    <t>CLM104235</t>
  </si>
  <si>
    <t>CLM104236</t>
  </si>
  <si>
    <t>CLM104237</t>
  </si>
  <si>
    <t>CLM104238</t>
  </si>
  <si>
    <t>PT10042</t>
  </si>
  <si>
    <t>CLM104239</t>
  </si>
  <si>
    <t>CLM104240</t>
  </si>
  <si>
    <t>PT12568</t>
  </si>
  <si>
    <t>CLM104241</t>
  </si>
  <si>
    <t>CLM104242</t>
  </si>
  <si>
    <t>PT13218</t>
  </si>
  <si>
    <t>CLM104243</t>
  </si>
  <si>
    <t>CLM104244</t>
  </si>
  <si>
    <t>CLM104245</t>
  </si>
  <si>
    <t>CLM104246</t>
  </si>
  <si>
    <t>CLM104247</t>
  </si>
  <si>
    <t>PT11073</t>
  </si>
  <si>
    <t>CLM104248</t>
  </si>
  <si>
    <t>CLM104249</t>
  </si>
  <si>
    <t>CLM104250</t>
  </si>
  <si>
    <t>CLM104251</t>
  </si>
  <si>
    <t>CLM104252</t>
  </si>
  <si>
    <t>PT13232</t>
  </si>
  <si>
    <t>CLM104253</t>
  </si>
  <si>
    <t>CLM104254</t>
  </si>
  <si>
    <t>CLM104255</t>
  </si>
  <si>
    <t>CLM104256</t>
  </si>
  <si>
    <t>PT12142</t>
  </si>
  <si>
    <t>CLM104257</t>
  </si>
  <si>
    <t>CLM104258</t>
  </si>
  <si>
    <t>CLM104259</t>
  </si>
  <si>
    <t>CLM104260</t>
  </si>
  <si>
    <t>CLM104261</t>
  </si>
  <si>
    <t>CLM104262</t>
  </si>
  <si>
    <t>PT12248</t>
  </si>
  <si>
    <t>CLM104263</t>
  </si>
  <si>
    <t>PT11330</t>
  </si>
  <si>
    <t>CLM104264</t>
  </si>
  <si>
    <t>CLM104265</t>
  </si>
  <si>
    <t>CLM104266</t>
  </si>
  <si>
    <t>PT11877</t>
  </si>
  <si>
    <t>CLM104267</t>
  </si>
  <si>
    <t>PT11626</t>
  </si>
  <si>
    <t>CLM104268</t>
  </si>
  <si>
    <t>PT11657</t>
  </si>
  <si>
    <t>CLM104269</t>
  </si>
  <si>
    <t>CLM104270</t>
  </si>
  <si>
    <t>CLM104271</t>
  </si>
  <si>
    <t>PT11598</t>
  </si>
  <si>
    <t>CLM104272</t>
  </si>
  <si>
    <t>CLM104273</t>
  </si>
  <si>
    <t>PT10796</t>
  </si>
  <si>
    <t>CLM104274</t>
  </si>
  <si>
    <t>PT12411</t>
  </si>
  <si>
    <t>CLM104275</t>
  </si>
  <si>
    <t>PT12834</t>
  </si>
  <si>
    <t>CLM104276</t>
  </si>
  <si>
    <t>PT10884</t>
  </si>
  <si>
    <t>CLM104277</t>
  </si>
  <si>
    <t>CLM104278</t>
  </si>
  <si>
    <t>PT10578</t>
  </si>
  <si>
    <t>CLM104279</t>
  </si>
  <si>
    <t>PT10308</t>
  </si>
  <si>
    <t>CLM104280</t>
  </si>
  <si>
    <t>CLM104281</t>
  </si>
  <si>
    <t>CLM104282</t>
  </si>
  <si>
    <t>PT13183</t>
  </si>
  <si>
    <t>CLM104283</t>
  </si>
  <si>
    <t>PT11728</t>
  </si>
  <si>
    <t>CLM104284</t>
  </si>
  <si>
    <t>PT13012</t>
  </si>
  <si>
    <t>CLM104285</t>
  </si>
  <si>
    <t>PT12097</t>
  </si>
  <si>
    <t>CLM104286</t>
  </si>
  <si>
    <t>CLM104287</t>
  </si>
  <si>
    <t>CLM104288</t>
  </si>
  <si>
    <t>CLM104289</t>
  </si>
  <si>
    <t>CLM104290</t>
  </si>
  <si>
    <t>CLM104291</t>
  </si>
  <si>
    <t>CLM104292</t>
  </si>
  <si>
    <t>CLM104293</t>
  </si>
  <si>
    <t>PT12420</t>
  </si>
  <si>
    <t>CLM104294</t>
  </si>
  <si>
    <t>PT10358</t>
  </si>
  <si>
    <t>CLM104295</t>
  </si>
  <si>
    <t>CLM104296</t>
  </si>
  <si>
    <t>CLM104297</t>
  </si>
  <si>
    <t>CLM104298</t>
  </si>
  <si>
    <t>PT12346</t>
  </si>
  <si>
    <t>CLM104299</t>
  </si>
  <si>
    <t>CLM104300</t>
  </si>
  <si>
    <t>PT12835</t>
  </si>
  <si>
    <t>CLM104301</t>
  </si>
  <si>
    <t>CLM104302</t>
  </si>
  <si>
    <t>CLM104303</t>
  </si>
  <si>
    <t>PT11828</t>
  </si>
  <si>
    <t>CLM104304</t>
  </si>
  <si>
    <t>CLM104305</t>
  </si>
  <si>
    <t>CLM104306</t>
  </si>
  <si>
    <t>CLM104307</t>
  </si>
  <si>
    <t>CLM104308</t>
  </si>
  <si>
    <t>CLM104309</t>
  </si>
  <si>
    <t>PT12096</t>
  </si>
  <si>
    <t>CLM104310</t>
  </si>
  <si>
    <t>CLM104311</t>
  </si>
  <si>
    <t>CLM104312</t>
  </si>
  <si>
    <t>CLM104313</t>
  </si>
  <si>
    <t>CLM104314</t>
  </si>
  <si>
    <t>CLM104315</t>
  </si>
  <si>
    <t>CLM104316</t>
  </si>
  <si>
    <t>PT12829</t>
  </si>
  <si>
    <t>CLM104317</t>
  </si>
  <si>
    <t>PT11312</t>
  </si>
  <si>
    <t>CLM104318</t>
  </si>
  <si>
    <t>PT11997</t>
  </si>
  <si>
    <t>CLM104319</t>
  </si>
  <si>
    <t>PT10484</t>
  </si>
  <si>
    <t>CLM104320</t>
  </si>
  <si>
    <t>CLM104321</t>
  </si>
  <si>
    <t>CLM104322</t>
  </si>
  <si>
    <t>CLM104323</t>
  </si>
  <si>
    <t>PT13181</t>
  </si>
  <si>
    <t>CLM104324</t>
  </si>
  <si>
    <t>CLM104325</t>
  </si>
  <si>
    <t>CLM104326</t>
  </si>
  <si>
    <t>CLM104328</t>
  </si>
  <si>
    <t>CLM104329</t>
  </si>
  <si>
    <t>PT12765</t>
  </si>
  <si>
    <t>CLM104330</t>
  </si>
  <si>
    <t>CLM104331</t>
  </si>
  <si>
    <t>CLM104332</t>
  </si>
  <si>
    <t>PT10665</t>
  </si>
  <si>
    <t>CLM104333</t>
  </si>
  <si>
    <t>CLM104334</t>
  </si>
  <si>
    <t>CLM104335</t>
  </si>
  <si>
    <t>PT12212</t>
  </si>
  <si>
    <t>CLM104336</t>
  </si>
  <si>
    <t>PT12243</t>
  </si>
  <si>
    <t>CLM104337</t>
  </si>
  <si>
    <t>CLM104338</t>
  </si>
  <si>
    <t>CLM104339</t>
  </si>
  <si>
    <t>CLM104340</t>
  </si>
  <si>
    <t>PT10855</t>
  </si>
  <si>
    <t>CLM104341</t>
  </si>
  <si>
    <t>PT10705</t>
  </si>
  <si>
    <t>CLM104342</t>
  </si>
  <si>
    <t>CLM104343</t>
  </si>
  <si>
    <t>PT13422</t>
  </si>
  <si>
    <t>CLM104344</t>
  </si>
  <si>
    <t>PT12363</t>
  </si>
  <si>
    <t>CLM104345</t>
  </si>
  <si>
    <t>CLM104346</t>
  </si>
  <si>
    <t>CLM104347</t>
  </si>
  <si>
    <t>PT11754</t>
  </si>
  <si>
    <t>CLM104348</t>
  </si>
  <si>
    <t>CLM104349</t>
  </si>
  <si>
    <t>CLM104350</t>
  </si>
  <si>
    <t>CLM104351</t>
  </si>
  <si>
    <t>PT12066</t>
  </si>
  <si>
    <t>CLM104352</t>
  </si>
  <si>
    <t>CLM104353</t>
  </si>
  <si>
    <t>PT11087</t>
  </si>
  <si>
    <t>CLM104354</t>
  </si>
  <si>
    <t>CLM104355</t>
  </si>
  <si>
    <t>CLM104356</t>
  </si>
  <si>
    <t>CLM104357</t>
  </si>
  <si>
    <t>PT12671</t>
  </si>
  <si>
    <t>CLM104358</t>
  </si>
  <si>
    <t>CLM104359</t>
  </si>
  <si>
    <t>PT12742</t>
  </si>
  <si>
    <t>CLM104360</t>
  </si>
  <si>
    <t>CLM104361</t>
  </si>
  <si>
    <t>CLM104362</t>
  </si>
  <si>
    <t>CLM104363</t>
  </si>
  <si>
    <t>CLM104364</t>
  </si>
  <si>
    <t>CLM104365</t>
  </si>
  <si>
    <t>PT12408</t>
  </si>
  <si>
    <t>CLM104366</t>
  </si>
  <si>
    <t>CLM104367</t>
  </si>
  <si>
    <t>PT12037</t>
  </si>
  <si>
    <t>CLM104369</t>
  </si>
  <si>
    <t>CLM104370</t>
  </si>
  <si>
    <t>PT12894</t>
  </si>
  <si>
    <t>CLM104371</t>
  </si>
  <si>
    <t>PT10491</t>
  </si>
  <si>
    <t>CLM104372</t>
  </si>
  <si>
    <t>PT11811</t>
  </si>
  <si>
    <t>CLM104373</t>
  </si>
  <si>
    <t>CLM104374</t>
  </si>
  <si>
    <t>CLM104375</t>
  </si>
  <si>
    <t>CLM104376</t>
  </si>
  <si>
    <t>CLM104377</t>
  </si>
  <si>
    <t>CLM104378</t>
  </si>
  <si>
    <t>PT11937</t>
  </si>
  <si>
    <t>CLM104379</t>
  </si>
  <si>
    <t>CLM104380</t>
  </si>
  <si>
    <t>CLM104381</t>
  </si>
  <si>
    <t>PT13372</t>
  </si>
  <si>
    <t>CLM104382</t>
  </si>
  <si>
    <t>CLM104383</t>
  </si>
  <si>
    <t>CLM104384</t>
  </si>
  <si>
    <t>CLM104385</t>
  </si>
  <si>
    <t>CLM104386</t>
  </si>
  <si>
    <t>PT10441</t>
  </si>
  <si>
    <t>CLM104387</t>
  </si>
  <si>
    <t>PT11161</t>
  </si>
  <si>
    <t>CLM104388</t>
  </si>
  <si>
    <t>CLM104389</t>
  </si>
  <si>
    <t>CLM104390</t>
  </si>
  <si>
    <t>CLM104391</t>
  </si>
  <si>
    <t>PT10473</t>
  </si>
  <si>
    <t>CLM104392</t>
  </si>
  <si>
    <t>PT10562</t>
  </si>
  <si>
    <t>CLM104393</t>
  </si>
  <si>
    <t>CLM104394</t>
  </si>
  <si>
    <t>PT12168</t>
  </si>
  <si>
    <t>CLM104395</t>
  </si>
  <si>
    <t>CLM104396</t>
  </si>
  <si>
    <t>CLM104397</t>
  </si>
  <si>
    <t>CLM104398</t>
  </si>
  <si>
    <t>PT12917</t>
  </si>
  <si>
    <t>CLM104399</t>
  </si>
  <si>
    <t>CLM104400</t>
  </si>
  <si>
    <t>CLM104401</t>
  </si>
  <si>
    <t>CLM104402</t>
  </si>
  <si>
    <t>CLM104403</t>
  </si>
  <si>
    <t>CLM104404</t>
  </si>
  <si>
    <t>PT10349</t>
  </si>
  <si>
    <t>CLM104405</t>
  </si>
  <si>
    <t>CLM104406</t>
  </si>
  <si>
    <t>CLM104407</t>
  </si>
  <si>
    <t>PT11931</t>
  </si>
  <si>
    <t>CLM104408</t>
  </si>
  <si>
    <t>CLM104409</t>
  </si>
  <si>
    <t>CLM104410</t>
  </si>
  <si>
    <t>PT13090</t>
  </si>
  <si>
    <t>CLM104411</t>
  </si>
  <si>
    <t>CLM104412</t>
  </si>
  <si>
    <t>CLM104413</t>
  </si>
  <si>
    <t>CLM104414</t>
  </si>
  <si>
    <t>CLM104415</t>
  </si>
  <si>
    <t>CLM104416</t>
  </si>
  <si>
    <t>CLM104417</t>
  </si>
  <si>
    <t>CLM104418</t>
  </si>
  <si>
    <t>PT12318</t>
  </si>
  <si>
    <t>CLM104419</t>
  </si>
  <si>
    <t>CLM104420</t>
  </si>
  <si>
    <t>CLM104421</t>
  </si>
  <si>
    <t>PT11076</t>
  </si>
  <si>
    <t>CLM104422</t>
  </si>
  <si>
    <t>CLM104423</t>
  </si>
  <si>
    <t>CLM104424</t>
  </si>
  <si>
    <t>PT13125</t>
  </si>
  <si>
    <t>CLM104425</t>
  </si>
  <si>
    <t>CLM104426</t>
  </si>
  <si>
    <t>CLM104427</t>
  </si>
  <si>
    <t>CLM104428</t>
  </si>
  <si>
    <t>CLM104429</t>
  </si>
  <si>
    <t>PT11181</t>
  </si>
  <si>
    <t>CLM104430</t>
  </si>
  <si>
    <t>PT11587</t>
  </si>
  <si>
    <t>CLM104431</t>
  </si>
  <si>
    <t>CLM104432</t>
  </si>
  <si>
    <t>CLM104433</t>
  </si>
  <si>
    <t>PT12496</t>
  </si>
  <si>
    <t>CLM104434</t>
  </si>
  <si>
    <t>CLM104435</t>
  </si>
  <si>
    <t>CLM104436</t>
  </si>
  <si>
    <t>CLM104437</t>
  </si>
  <si>
    <t>CLM104438</t>
  </si>
  <si>
    <t>CLM104439</t>
  </si>
  <si>
    <t>CLM104440</t>
  </si>
  <si>
    <t>PT10497</t>
  </si>
  <si>
    <t>CLM104441</t>
  </si>
  <si>
    <t>CLM104442</t>
  </si>
  <si>
    <t>CLM104443</t>
  </si>
  <si>
    <t>PT10698</t>
  </si>
  <si>
    <t>CLM104444</t>
  </si>
  <si>
    <t>CLM104445</t>
  </si>
  <si>
    <t>CLM104446</t>
  </si>
  <si>
    <t>PT12271</t>
  </si>
  <si>
    <t>CLM104447</t>
  </si>
  <si>
    <t>CLM104448</t>
  </si>
  <si>
    <t>CLM104449</t>
  </si>
  <si>
    <t>CLM104450</t>
  </si>
  <si>
    <t>CLM104451</t>
  </si>
  <si>
    <t>CLM104452</t>
  </si>
  <si>
    <t>CLM104453</t>
  </si>
  <si>
    <t>CLM104454</t>
  </si>
  <si>
    <t>CLM104455</t>
  </si>
  <si>
    <t>CLM104456</t>
  </si>
  <si>
    <t>PT12747</t>
  </si>
  <si>
    <t>CLM104457</t>
  </si>
  <si>
    <t>CLM104458</t>
  </si>
  <si>
    <t>PT13066</t>
  </si>
  <si>
    <t>CLM104459</t>
  </si>
  <si>
    <t>PT11467</t>
  </si>
  <si>
    <t>CLM104460</t>
  </si>
  <si>
    <t>CLM104461</t>
  </si>
  <si>
    <t>CLM104462</t>
  </si>
  <si>
    <t>PT10598</t>
  </si>
  <si>
    <t>CLM104463</t>
  </si>
  <si>
    <t>PT11612</t>
  </si>
  <si>
    <t>CLM104465</t>
  </si>
  <si>
    <t>PT11768</t>
  </si>
  <si>
    <t>CLM104466</t>
  </si>
  <si>
    <t>CLM104467</t>
  </si>
  <si>
    <t>CLM104468</t>
  </si>
  <si>
    <t>CLM104469</t>
  </si>
  <si>
    <t>CLM104470</t>
  </si>
  <si>
    <t>CLM104471</t>
  </si>
  <si>
    <t>CLM104472</t>
  </si>
  <si>
    <t>CLM104473</t>
  </si>
  <si>
    <t>CLM104474</t>
  </si>
  <si>
    <t>PT10432</t>
  </si>
  <si>
    <t>CLM104475</t>
  </si>
  <si>
    <t>PT10256</t>
  </si>
  <si>
    <t>CLM104476</t>
  </si>
  <si>
    <t>CLM104477</t>
  </si>
  <si>
    <t>PT10280</t>
  </si>
  <si>
    <t>CLM104478</t>
  </si>
  <si>
    <t>PT11432</t>
  </si>
  <si>
    <t>CLM104479</t>
  </si>
  <si>
    <t>PT10510</t>
  </si>
  <si>
    <t>CLM104480</t>
  </si>
  <si>
    <t>PT12287</t>
  </si>
  <si>
    <t>CLM104481</t>
  </si>
  <si>
    <t>CLM104482</t>
  </si>
  <si>
    <t>CLM104483</t>
  </si>
  <si>
    <t>CLM104484</t>
  </si>
  <si>
    <t>CLM104485</t>
  </si>
  <si>
    <t>CLM104486</t>
  </si>
  <si>
    <t>CLM104487</t>
  </si>
  <si>
    <t>CLM104488</t>
  </si>
  <si>
    <t>PT11720</t>
  </si>
  <si>
    <t>CLM104489</t>
  </si>
  <si>
    <t>CLM104490</t>
  </si>
  <si>
    <t>CLM104491</t>
  </si>
  <si>
    <t>PT12111</t>
  </si>
  <si>
    <t>CLM104492</t>
  </si>
  <si>
    <t>CLM104493</t>
  </si>
  <si>
    <t>CLM104494</t>
  </si>
  <si>
    <t>CLM104495</t>
  </si>
  <si>
    <t>CLM104496</t>
  </si>
  <si>
    <t>PT11870</t>
  </si>
  <si>
    <t>CLM104497</t>
  </si>
  <si>
    <t>PT11254</t>
  </si>
  <si>
    <t>CLM104498</t>
  </si>
  <si>
    <t>CLM104499</t>
  </si>
  <si>
    <t>CLM104500</t>
  </si>
  <si>
    <t>CLM104501</t>
  </si>
  <si>
    <t>CLM104502</t>
  </si>
  <si>
    <t>PT10799</t>
  </si>
  <si>
    <t>CLM104503</t>
  </si>
  <si>
    <t>PT12866</t>
  </si>
  <si>
    <t>CLM104504</t>
  </si>
  <si>
    <t>CLM104505</t>
  </si>
  <si>
    <t>CLM104506</t>
  </si>
  <si>
    <t>PT12538</t>
  </si>
  <si>
    <t>CLM104507</t>
  </si>
  <si>
    <t>CLM104508</t>
  </si>
  <si>
    <t>PT10357</t>
  </si>
  <si>
    <t>CLM104509</t>
  </si>
  <si>
    <t>PT13131</t>
  </si>
  <si>
    <t>CLM104510</t>
  </si>
  <si>
    <t>CLM104512</t>
  </si>
  <si>
    <t>CLM104513</t>
  </si>
  <si>
    <t>CLM104514</t>
  </si>
  <si>
    <t>PT11945</t>
  </si>
  <si>
    <t>CLM104515</t>
  </si>
  <si>
    <t>CLM104516</t>
  </si>
  <si>
    <t>CLM104517</t>
  </si>
  <si>
    <t>PT13289</t>
  </si>
  <si>
    <t>CLM104518</t>
  </si>
  <si>
    <t>CLM104519</t>
  </si>
  <si>
    <t>CLM104520</t>
  </si>
  <si>
    <t>PT10728</t>
  </si>
  <si>
    <t>CLM104521</t>
  </si>
  <si>
    <t>PT10124</t>
  </si>
  <si>
    <t>CLM104522</t>
  </si>
  <si>
    <t>CLM104523</t>
  </si>
  <si>
    <t>PT11228</t>
  </si>
  <si>
    <t>CLM104524</t>
  </si>
  <si>
    <t>CLM104525</t>
  </si>
  <si>
    <t>CLM104526</t>
  </si>
  <si>
    <t>CLM104527</t>
  </si>
  <si>
    <t>CLM104528</t>
  </si>
  <si>
    <t>PT10403</t>
  </si>
  <si>
    <t>CLM104529</t>
  </si>
  <si>
    <t>CLM104530</t>
  </si>
  <si>
    <t>CLM104531</t>
  </si>
  <si>
    <t>PT10703</t>
  </si>
  <si>
    <t>CLM104532</t>
  </si>
  <si>
    <t>CLM104533</t>
  </si>
  <si>
    <t>CLM104534</t>
  </si>
  <si>
    <t>PT12608</t>
  </si>
  <si>
    <t>CLM104535</t>
  </si>
  <si>
    <t>CLM104536</t>
  </si>
  <si>
    <t>CLM104537</t>
  </si>
  <si>
    <t>PT12461</t>
  </si>
  <si>
    <t>CLM104538</t>
  </si>
  <si>
    <t>CLM104539</t>
  </si>
  <si>
    <t>CLM104540</t>
  </si>
  <si>
    <t>CLM104541</t>
  </si>
  <si>
    <t>CLM104542</t>
  </si>
  <si>
    <t>PT11795</t>
  </si>
  <si>
    <t>CLM104543</t>
  </si>
  <si>
    <t>CLM104544</t>
  </si>
  <si>
    <t>CLM104545</t>
  </si>
  <si>
    <t>PT12268</t>
  </si>
  <si>
    <t>CLM104546</t>
  </si>
  <si>
    <t>CLM104547</t>
  </si>
  <si>
    <t>CLM104548</t>
  </si>
  <si>
    <t>CLM104549</t>
  </si>
  <si>
    <t>PT12585</t>
  </si>
  <si>
    <t>CLM104550</t>
  </si>
  <si>
    <t>CLM104551</t>
  </si>
  <si>
    <t>PT13224</t>
  </si>
  <si>
    <t>CLM104552</t>
  </si>
  <si>
    <t>CLM104553</t>
  </si>
  <si>
    <t>CLM104554</t>
  </si>
  <si>
    <t>CLM104555</t>
  </si>
  <si>
    <t>CLM104556</t>
  </si>
  <si>
    <t>CLM104557</t>
  </si>
  <si>
    <t>CLM104558</t>
  </si>
  <si>
    <t>PT13255</t>
  </si>
  <si>
    <t>CLM104559</t>
  </si>
  <si>
    <t>CLM104561</t>
  </si>
  <si>
    <t>PT10245</t>
  </si>
  <si>
    <t>CLM104562</t>
  </si>
  <si>
    <t>PT11307</t>
  </si>
  <si>
    <t>CLM104563</t>
  </si>
  <si>
    <t>CLM104564</t>
  </si>
  <si>
    <t>PT10588</t>
  </si>
  <si>
    <t>CLM104565</t>
  </si>
  <si>
    <t>CLM104566</t>
  </si>
  <si>
    <t>CLM104567</t>
  </si>
  <si>
    <t>CLM104568</t>
  </si>
  <si>
    <t>PT10101</t>
  </si>
  <si>
    <t>CLM104569</t>
  </si>
  <si>
    <t>PT10552</t>
  </si>
  <si>
    <t>CLM104570</t>
  </si>
  <si>
    <t>PT11471</t>
  </si>
  <si>
    <t>CLM104571</t>
  </si>
  <si>
    <t>PT13048</t>
  </si>
  <si>
    <t>CLM104572</t>
  </si>
  <si>
    <t>CLM104573</t>
  </si>
  <si>
    <t>CLM104574</t>
  </si>
  <si>
    <t>PT11607</t>
  </si>
  <si>
    <t>CLM104575</t>
  </si>
  <si>
    <t>CLM104576</t>
  </si>
  <si>
    <t>CLM104577</t>
  </si>
  <si>
    <t>CLM104578</t>
  </si>
  <si>
    <t>CLM104579</t>
  </si>
  <si>
    <t>PT13130</t>
  </si>
  <si>
    <t>CLM104580</t>
  </si>
  <si>
    <t>CLM104581</t>
  </si>
  <si>
    <t>PT10030</t>
  </si>
  <si>
    <t>CLM104582</t>
  </si>
  <si>
    <t>CLM104583</t>
  </si>
  <si>
    <t>CLM104584</t>
  </si>
  <si>
    <t>PT12230</t>
  </si>
  <si>
    <t>CLM104585</t>
  </si>
  <si>
    <t>PT11859</t>
  </si>
  <si>
    <t>CLM104586</t>
  </si>
  <si>
    <t>CLM104587</t>
  </si>
  <si>
    <t>CLM104588</t>
  </si>
  <si>
    <t>CLM104589</t>
  </si>
  <si>
    <t>PT10900</t>
  </si>
  <si>
    <t>CLM104590</t>
  </si>
  <si>
    <t>PT11128</t>
  </si>
  <si>
    <t>CLM104591</t>
  </si>
  <si>
    <t>PT12514</t>
  </si>
  <si>
    <t>CLM104592</t>
  </si>
  <si>
    <t>CLM104593</t>
  </si>
  <si>
    <t>CLM104594</t>
  </si>
  <si>
    <t>PT11825</t>
  </si>
  <si>
    <t>CLM104595</t>
  </si>
  <si>
    <t>PT12283</t>
  </si>
  <si>
    <t>CLM104596</t>
  </si>
  <si>
    <t>CLM104597</t>
  </si>
  <si>
    <t>CLM104598</t>
  </si>
  <si>
    <t>CLM104599</t>
  </si>
  <si>
    <t>CLM104600</t>
  </si>
  <si>
    <t>PT10356</t>
  </si>
  <si>
    <t>CLM104601</t>
  </si>
  <si>
    <t>CLM104602</t>
  </si>
  <si>
    <t>CLM104603</t>
  </si>
  <si>
    <t>CLM104604</t>
  </si>
  <si>
    <t>CLM104605</t>
  </si>
  <si>
    <t>PT11746</t>
  </si>
  <si>
    <t>CLM104606</t>
  </si>
  <si>
    <t>CLM104607</t>
  </si>
  <si>
    <t>CLM104608</t>
  </si>
  <si>
    <t>PT10509</t>
  </si>
  <si>
    <t>CLM104609</t>
  </si>
  <si>
    <t>CLM104610</t>
  </si>
  <si>
    <t>CLM104611</t>
  </si>
  <si>
    <t>CLM104612</t>
  </si>
  <si>
    <t>CLM104613</t>
  </si>
  <si>
    <t>PT11045</t>
  </si>
  <si>
    <t>CLM104614</t>
  </si>
  <si>
    <t>CLM104615</t>
  </si>
  <si>
    <t>CLM104616</t>
  </si>
  <si>
    <t>CLM104617</t>
  </si>
  <si>
    <t>PT11319</t>
  </si>
  <si>
    <t>CLM104618</t>
  </si>
  <si>
    <t>CLM104619</t>
  </si>
  <si>
    <t>CLM104620</t>
  </si>
  <si>
    <t>CLM104621</t>
  </si>
  <si>
    <t>CLM104622</t>
  </si>
  <si>
    <t>PT12301</t>
  </si>
  <si>
    <t>CLM104623</t>
  </si>
  <si>
    <t>CLM104624</t>
  </si>
  <si>
    <t>PT12181</t>
  </si>
  <si>
    <t>CLM104626</t>
  </si>
  <si>
    <t>PT13280</t>
  </si>
  <si>
    <t>CLM104627</t>
  </si>
  <si>
    <t>CLM104628</t>
  </si>
  <si>
    <t>PT12571</t>
  </si>
  <si>
    <t>CLM104629</t>
  </si>
  <si>
    <t>PT11376</t>
  </si>
  <si>
    <t>CLM104630</t>
  </si>
  <si>
    <t>CLM104631</t>
  </si>
  <si>
    <t>CLM104632</t>
  </si>
  <si>
    <t>CLM104633</t>
  </si>
  <si>
    <t>CLM104634</t>
  </si>
  <si>
    <t>CLM104635</t>
  </si>
  <si>
    <t>PT12330</t>
  </si>
  <si>
    <t>CLM104636</t>
  </si>
  <si>
    <t>CLM104637</t>
  </si>
  <si>
    <t>CLM104638</t>
  </si>
  <si>
    <t>CLM104639</t>
  </si>
  <si>
    <t>CLM104640</t>
  </si>
  <si>
    <t>CLM104641</t>
  </si>
  <si>
    <t>PT12803</t>
  </si>
  <si>
    <t>CLM104642</t>
  </si>
  <si>
    <t>PT10589</t>
  </si>
  <si>
    <t>CLM104643</t>
  </si>
  <si>
    <t>CLM104644</t>
  </si>
  <si>
    <t>CLM104645</t>
  </si>
  <si>
    <t>CLM104646</t>
  </si>
  <si>
    <t>CLM104647</t>
  </si>
  <si>
    <t>PT10295</t>
  </si>
  <si>
    <t>CLM104648</t>
  </si>
  <si>
    <t>CLM104649</t>
  </si>
  <si>
    <t>CLM104650</t>
  </si>
  <si>
    <t>CLM104651</t>
  </si>
  <si>
    <t>CLM104652</t>
  </si>
  <si>
    <t>PT12659</t>
  </si>
  <si>
    <t>CLM104653</t>
  </si>
  <si>
    <t>CLM104654</t>
  </si>
  <si>
    <t>PT11913</t>
  </si>
  <si>
    <t>CLM104655</t>
  </si>
  <si>
    <t>CLM104656</t>
  </si>
  <si>
    <t>CLM104657</t>
  </si>
  <si>
    <t>CLM104658</t>
  </si>
  <si>
    <t>CLM104659</t>
  </si>
  <si>
    <t>CLM104660</t>
  </si>
  <si>
    <t>CLM104661</t>
  </si>
  <si>
    <t>CLM104662</t>
  </si>
  <si>
    <t>PT11324</t>
  </si>
  <si>
    <t>CLM104663</t>
  </si>
  <si>
    <t>CLM104664</t>
  </si>
  <si>
    <t>PT11558</t>
  </si>
  <si>
    <t>CLM104665</t>
  </si>
  <si>
    <t>CLM104666</t>
  </si>
  <si>
    <t>CLM104667</t>
  </si>
  <si>
    <t>CLM104668</t>
  </si>
  <si>
    <t>CLM104669</t>
  </si>
  <si>
    <t>CLM104670</t>
  </si>
  <si>
    <t>CLM104671</t>
  </si>
  <si>
    <t>PT10293</t>
  </si>
  <si>
    <t>CLM104672</t>
  </si>
  <si>
    <t>CLM104673</t>
  </si>
  <si>
    <t>CLM104674</t>
  </si>
  <si>
    <t>PT10320</t>
  </si>
  <si>
    <t>CLM104675</t>
  </si>
  <si>
    <t>CLM104676</t>
  </si>
  <si>
    <t>PT10187</t>
  </si>
  <si>
    <t>CLM104677</t>
  </si>
  <si>
    <t>CLM104678</t>
  </si>
  <si>
    <t>PT11798</t>
  </si>
  <si>
    <t>CLM104679</t>
  </si>
  <si>
    <t>CLM104680</t>
  </si>
  <si>
    <t>CLM104681</t>
  </si>
  <si>
    <t>CLM104682</t>
  </si>
  <si>
    <t>CLM104683</t>
  </si>
  <si>
    <t>PT10086</t>
  </si>
  <si>
    <t>CLM104684</t>
  </si>
  <si>
    <t>CLM104685</t>
  </si>
  <si>
    <t>PT13121</t>
  </si>
  <si>
    <t>CLM104686</t>
  </si>
  <si>
    <t>CLM104687</t>
  </si>
  <si>
    <t>PT12916</t>
  </si>
  <si>
    <t>CLM104688</t>
  </si>
  <si>
    <t>CLM104689</t>
  </si>
  <si>
    <t>CLM104690</t>
  </si>
  <si>
    <t>CLM104691</t>
  </si>
  <si>
    <t>CLM104692</t>
  </si>
  <si>
    <t>CLM104693</t>
  </si>
  <si>
    <t>CLM104694</t>
  </si>
  <si>
    <t>PT11897</t>
  </si>
  <si>
    <t>CLM104695</t>
  </si>
  <si>
    <t>PT13456</t>
  </si>
  <si>
    <t>CLM104697</t>
  </si>
  <si>
    <t>CLM104698</t>
  </si>
  <si>
    <t>CLM104699</t>
  </si>
  <si>
    <t>CLM104700</t>
  </si>
  <si>
    <t>PT10811</t>
  </si>
  <si>
    <t>CLM104701</t>
  </si>
  <si>
    <t>CLM104702</t>
  </si>
  <si>
    <t>CLM104703</t>
  </si>
  <si>
    <t>CLM104704</t>
  </si>
  <si>
    <t>PT11671</t>
  </si>
  <si>
    <t>CLM104705</t>
  </si>
  <si>
    <t>CLM104706</t>
  </si>
  <si>
    <t>CLM104707</t>
  </si>
  <si>
    <t>CLM104708</t>
  </si>
  <si>
    <t>CLM104709</t>
  </si>
  <si>
    <t>PT10486</t>
  </si>
  <si>
    <t>CLM104710</t>
  </si>
  <si>
    <t>CLM104711</t>
  </si>
  <si>
    <t>CLM104713</t>
  </si>
  <si>
    <t>CLM104714</t>
  </si>
  <si>
    <t>CLM104715</t>
  </si>
  <si>
    <t>PT10039</t>
  </si>
  <si>
    <t>CLM104716</t>
  </si>
  <si>
    <t>PT10434</t>
  </si>
  <si>
    <t>CLM104717</t>
  </si>
  <si>
    <t>PT12501</t>
  </si>
  <si>
    <t>CLM104718</t>
  </si>
  <si>
    <t>CLM104719</t>
  </si>
  <si>
    <t>CLM104720</t>
  </si>
  <si>
    <t>CLM104721</t>
  </si>
  <si>
    <t>PT12590</t>
  </si>
  <si>
    <t>CLM104722</t>
  </si>
  <si>
    <t>CLM104723</t>
  </si>
  <si>
    <t>PT13451</t>
  </si>
  <si>
    <t>CLM104724</t>
  </si>
  <si>
    <t>CLM104725</t>
  </si>
  <si>
    <t>CLM104726</t>
  </si>
  <si>
    <t>CLM104727</t>
  </si>
  <si>
    <t>CLM104728</t>
  </si>
  <si>
    <t>CLM104729</t>
  </si>
  <si>
    <t>CLM104730</t>
  </si>
  <si>
    <t>CLM104731</t>
  </si>
  <si>
    <t>CLM104732</t>
  </si>
  <si>
    <t>PT12157</t>
  </si>
  <si>
    <t>CLM104733</t>
  </si>
  <si>
    <t>CLM104734</t>
  </si>
  <si>
    <t>CLM104735</t>
  </si>
  <si>
    <t>PT12903</t>
  </si>
  <si>
    <t>CLM104736</t>
  </si>
  <si>
    <t>PT12127</t>
  </si>
  <si>
    <t>CLM104737</t>
  </si>
  <si>
    <t>PT11539</t>
  </si>
  <si>
    <t>CLM104738</t>
  </si>
  <si>
    <t>PT11993</t>
  </si>
  <si>
    <t>CLM104739</t>
  </si>
  <si>
    <t>PT11615</t>
  </si>
  <si>
    <t>CLM104740</t>
  </si>
  <si>
    <t>CLM104741</t>
  </si>
  <si>
    <t>PT11968</t>
  </si>
  <si>
    <t>CLM104742</t>
  </si>
  <si>
    <t>CLM104743</t>
  </si>
  <si>
    <t>CLM104744</t>
  </si>
  <si>
    <t>CLM104746</t>
  </si>
  <si>
    <t>CLM104747</t>
  </si>
  <si>
    <t>PT12553</t>
  </si>
  <si>
    <t>CLM104748</t>
  </si>
  <si>
    <t>CLM104749</t>
  </si>
  <si>
    <t>CLM104750</t>
  </si>
  <si>
    <t>CLM104751</t>
  </si>
  <si>
    <t>CLM104752</t>
  </si>
  <si>
    <t>CLM104753</t>
  </si>
  <si>
    <t>CLM104754</t>
  </si>
  <si>
    <t>PT10279</t>
  </si>
  <si>
    <t>CLM104755</t>
  </si>
  <si>
    <t>CLM104756</t>
  </si>
  <si>
    <t>CLM104757</t>
  </si>
  <si>
    <t>CLM104758</t>
  </si>
  <si>
    <t>PT10223</t>
  </si>
  <si>
    <t>CLM104759</t>
  </si>
  <si>
    <t>PT11097</t>
  </si>
  <si>
    <t>CLM104760</t>
  </si>
  <si>
    <t>PT12372</t>
  </si>
  <si>
    <t>CLM104761</t>
  </si>
  <si>
    <t>CLM104762</t>
  </si>
  <si>
    <t>CLM104763</t>
  </si>
  <si>
    <t>CLM104764</t>
  </si>
  <si>
    <t>CLM104765</t>
  </si>
  <si>
    <t>CLM104766</t>
  </si>
  <si>
    <t>PT10967</t>
  </si>
  <si>
    <t>CLM104767</t>
  </si>
  <si>
    <t>PT12234</t>
  </si>
  <si>
    <t>CLM104768</t>
  </si>
  <si>
    <t>CLM104769</t>
  </si>
  <si>
    <t>CLM104770</t>
  </si>
  <si>
    <t>PT11334</t>
  </si>
  <si>
    <t>CLM104771</t>
  </si>
  <si>
    <t>CLM104772</t>
  </si>
  <si>
    <t>CLM104773</t>
  </si>
  <si>
    <t>CLM104774</t>
  </si>
  <si>
    <t>CLM104775</t>
  </si>
  <si>
    <t>CLM104776</t>
  </si>
  <si>
    <t>CLM104777</t>
  </si>
  <si>
    <t>CLM104778</t>
  </si>
  <si>
    <t>CLM104779</t>
  </si>
  <si>
    <t>CLM104780</t>
  </si>
  <si>
    <t>PT11171</t>
  </si>
  <si>
    <t>CLM104781</t>
  </si>
  <si>
    <t>CLM104782</t>
  </si>
  <si>
    <t>CLM104783</t>
  </si>
  <si>
    <t>CLM104784</t>
  </si>
  <si>
    <t>CLM104785</t>
  </si>
  <si>
    <t>CLM104786</t>
  </si>
  <si>
    <t>CLM104787</t>
  </si>
  <si>
    <t>CLM104788</t>
  </si>
  <si>
    <t>PT12630</t>
  </si>
  <si>
    <t>CLM104789</t>
  </si>
  <si>
    <t>CLM104790</t>
  </si>
  <si>
    <t>CLM104791</t>
  </si>
  <si>
    <t>CLM104792</t>
  </si>
  <si>
    <t>CLM104793</t>
  </si>
  <si>
    <t>CLM104794</t>
  </si>
  <si>
    <t>CLM104795</t>
  </si>
  <si>
    <t>CLM104796</t>
  </si>
  <si>
    <t>CLM104797</t>
  </si>
  <si>
    <t>CLM104798</t>
  </si>
  <si>
    <t>CLM104799</t>
  </si>
  <si>
    <t>CLM104800</t>
  </si>
  <si>
    <t>CLM104801</t>
  </si>
  <si>
    <t>CLM104802</t>
  </si>
  <si>
    <t>CLM104803</t>
  </si>
  <si>
    <t>PT12719</t>
  </si>
  <si>
    <t>CLM104804</t>
  </si>
  <si>
    <t>CLM104805</t>
  </si>
  <si>
    <t>CLM104806</t>
  </si>
  <si>
    <t>CLM104808</t>
  </si>
  <si>
    <t>CLM104809</t>
  </si>
  <si>
    <t>PT10115</t>
  </si>
  <si>
    <t>CLM104810</t>
  </si>
  <si>
    <t>CLM104811</t>
  </si>
  <si>
    <t>PT11909</t>
  </si>
  <si>
    <t>CLM104812</t>
  </si>
  <si>
    <t>CLM104813</t>
  </si>
  <si>
    <t>CLM104814</t>
  </si>
  <si>
    <t>PT12470</t>
  </si>
  <si>
    <t>CLM104815</t>
  </si>
  <si>
    <t>CLM104816</t>
  </si>
  <si>
    <t>CLM104817</t>
  </si>
  <si>
    <t>PT12760</t>
  </si>
  <si>
    <t>CLM104818</t>
  </si>
  <si>
    <t>PT13003</t>
  </si>
  <si>
    <t>CLM104819</t>
  </si>
  <si>
    <t>CLM104820</t>
  </si>
  <si>
    <t>PT13163</t>
  </si>
  <si>
    <t>CLM104821</t>
  </si>
  <si>
    <t>CLM104822</t>
  </si>
  <si>
    <t>CLM104823</t>
  </si>
  <si>
    <t>CLM104824</t>
  </si>
  <si>
    <t>PT12040</t>
  </si>
  <si>
    <t>CLM104825</t>
  </si>
  <si>
    <t>PT12805</t>
  </si>
  <si>
    <t>CLM104826</t>
  </si>
  <si>
    <t>CLM104827</t>
  </si>
  <si>
    <t>CLM104828</t>
  </si>
  <si>
    <t>CLM104829</t>
  </si>
  <si>
    <t>CLM104830</t>
  </si>
  <si>
    <t>CLM104831</t>
  </si>
  <si>
    <t>CLM104832</t>
  </si>
  <si>
    <t>PT10143</t>
  </si>
  <si>
    <t>CLM104833</t>
  </si>
  <si>
    <t>CLM104834</t>
  </si>
  <si>
    <t>CLM104835</t>
  </si>
  <si>
    <t>CLM104836</t>
  </si>
  <si>
    <t>CLM104837</t>
  </si>
  <si>
    <t>CLM104838</t>
  </si>
  <si>
    <t>CLM104839</t>
  </si>
  <si>
    <t>PT13010</t>
  </si>
  <si>
    <t>CLM104840</t>
  </si>
  <si>
    <t>CLM104841</t>
  </si>
  <si>
    <t>CLM104842</t>
  </si>
  <si>
    <t>PT12480</t>
  </si>
  <si>
    <t>CLM104843</t>
  </si>
  <si>
    <t>CLM104844</t>
  </si>
  <si>
    <t>CLM104845</t>
  </si>
  <si>
    <t>PT12685</t>
  </si>
  <si>
    <t>CLM104846</t>
  </si>
  <si>
    <t>CLM104847</t>
  </si>
  <si>
    <t>PT11480</t>
  </si>
  <si>
    <t>CLM104848</t>
  </si>
  <si>
    <t>CLM104849</t>
  </si>
  <si>
    <t>PT12255</t>
  </si>
  <si>
    <t>CLM104850</t>
  </si>
  <si>
    <t>CLM104851</t>
  </si>
  <si>
    <t>PT10944</t>
  </si>
  <si>
    <t>CLM104852</t>
  </si>
  <si>
    <t>CLM104853</t>
  </si>
  <si>
    <t>CLM104854</t>
  </si>
  <si>
    <t>PT10014</t>
  </si>
  <si>
    <t>CLM104855</t>
  </si>
  <si>
    <t>CLM104856</t>
  </si>
  <si>
    <t>CLM104857</t>
  </si>
  <si>
    <t>PT13046</t>
  </si>
  <si>
    <t>CLM104858</t>
  </si>
  <si>
    <t>CLM104859</t>
  </si>
  <si>
    <t>CLM104860</t>
  </si>
  <si>
    <t>PT12250</t>
  </si>
  <si>
    <t>CLM104861</t>
  </si>
  <si>
    <t>CLM104862</t>
  </si>
  <si>
    <t>CLM104863</t>
  </si>
  <si>
    <t>CLM104864</t>
  </si>
  <si>
    <t>CLM104865</t>
  </si>
  <si>
    <t>PT13443</t>
  </si>
  <si>
    <t>CLM104866</t>
  </si>
  <si>
    <t>PT10201</t>
  </si>
  <si>
    <t>CLM104867</t>
  </si>
  <si>
    <t>CLM104868</t>
  </si>
  <si>
    <t>CLM104869</t>
  </si>
  <si>
    <t>CLM104870</t>
  </si>
  <si>
    <t>CLM104871</t>
  </si>
  <si>
    <t>CLM104872</t>
  </si>
  <si>
    <t>CLM104873</t>
  </si>
  <si>
    <t>CLM104874</t>
  </si>
  <si>
    <t>CLM104875</t>
  </si>
  <si>
    <t>CLM104876</t>
  </si>
  <si>
    <t>CLM104877</t>
  </si>
  <si>
    <t>PT12506</t>
  </si>
  <si>
    <t>CLM104878</t>
  </si>
  <si>
    <t>CLM104879</t>
  </si>
  <si>
    <t>CLM104880</t>
  </si>
  <si>
    <t>PT11111</t>
  </si>
  <si>
    <t>CLM104881</t>
  </si>
  <si>
    <t>PT12050</t>
  </si>
  <si>
    <t>CLM104882</t>
  </si>
  <si>
    <t>PT12627</t>
  </si>
  <si>
    <t>CLM104883</t>
  </si>
  <si>
    <t>PT12491</t>
  </si>
  <si>
    <t>CLM104884</t>
  </si>
  <si>
    <t>CLM104885</t>
  </si>
  <si>
    <t>CLM104886</t>
  </si>
  <si>
    <t>PT10401</t>
  </si>
  <si>
    <t>CLM104887</t>
  </si>
  <si>
    <t>CLM104888</t>
  </si>
  <si>
    <t>PT11577</t>
  </si>
  <si>
    <t>CLM104889</t>
  </si>
  <si>
    <t>CLM104890</t>
  </si>
  <si>
    <t>CLM104891</t>
  </si>
  <si>
    <t>PT11901</t>
  </si>
  <si>
    <t>CLM104892</t>
  </si>
  <si>
    <t>PT13021</t>
  </si>
  <si>
    <t>CLM104893</t>
  </si>
  <si>
    <t>CLM104894</t>
  </si>
  <si>
    <t>CLM104895</t>
  </si>
  <si>
    <t>CLM104896</t>
  </si>
  <si>
    <t>CLM104897</t>
  </si>
  <si>
    <t>PT11873</t>
  </si>
  <si>
    <t>CLM104898</t>
  </si>
  <si>
    <t>CLM104899</t>
  </si>
  <si>
    <t>CLM104900</t>
  </si>
  <si>
    <t>PT11882</t>
  </si>
  <si>
    <t>CLM104901</t>
  </si>
  <si>
    <t>CLM104902</t>
  </si>
  <si>
    <t>CLM104903</t>
  </si>
  <si>
    <t>CLM104904</t>
  </si>
  <si>
    <t>CLM104905</t>
  </si>
  <si>
    <t>CLM104906</t>
  </si>
  <si>
    <t>CLM104907</t>
  </si>
  <si>
    <t>CLM104908</t>
  </si>
  <si>
    <t>CLM104909</t>
  </si>
  <si>
    <t>CLM104910</t>
  </si>
  <si>
    <t>CLM104911</t>
  </si>
  <si>
    <t>CLM104912</t>
  </si>
  <si>
    <t>CLM104913</t>
  </si>
  <si>
    <t>CLM104914</t>
  </si>
  <si>
    <t>CLM104915</t>
  </si>
  <si>
    <t>PT12567</t>
  </si>
  <si>
    <t>CLM104916</t>
  </si>
  <si>
    <t>PT12971</t>
  </si>
  <si>
    <t>CLM104917</t>
  </si>
  <si>
    <t>PT12980</t>
  </si>
  <si>
    <t>CLM104918</t>
  </si>
  <si>
    <t>PT11074</t>
  </si>
  <si>
    <t>CLM104919</t>
  </si>
  <si>
    <t>CLM104920</t>
  </si>
  <si>
    <t>CLM104921</t>
  </si>
  <si>
    <t>CLM104922</t>
  </si>
  <si>
    <t>CLM104923</t>
  </si>
  <si>
    <t>CLM104924</t>
  </si>
  <si>
    <t>CLM104925</t>
  </si>
  <si>
    <t>PT12194</t>
  </si>
  <si>
    <t>CLM104926</t>
  </si>
  <si>
    <t>CLM104927</t>
  </si>
  <si>
    <t>CLM104928</t>
  </si>
  <si>
    <t>CLM104929</t>
  </si>
  <si>
    <t>PT13424</t>
  </si>
  <si>
    <t>CLM104930</t>
  </si>
  <si>
    <t>PT12300</t>
  </si>
  <si>
    <t>CLM104931</t>
  </si>
  <si>
    <t>CLM104932</t>
  </si>
  <si>
    <t>CLM104933</t>
  </si>
  <si>
    <t>CLM104934</t>
  </si>
  <si>
    <t>CLM104935</t>
  </si>
  <si>
    <t>CLM104936</t>
  </si>
  <si>
    <t>CLM104937</t>
  </si>
  <si>
    <t>CLM104938</t>
  </si>
  <si>
    <t>CLM104939</t>
  </si>
  <si>
    <t>PT10620</t>
  </si>
  <si>
    <t>CLM104940</t>
  </si>
  <si>
    <t>CLM104941</t>
  </si>
  <si>
    <t>CLM104942</t>
  </si>
  <si>
    <t>PT12421</t>
  </si>
  <si>
    <t>CLM104943</t>
  </si>
  <si>
    <t>CLM104944</t>
  </si>
  <si>
    <t>PT12579</t>
  </si>
  <si>
    <t>CLM104945</t>
  </si>
  <si>
    <t>PT10739</t>
  </si>
  <si>
    <t>CLM104946</t>
  </si>
  <si>
    <t>CLM104947</t>
  </si>
  <si>
    <t>CLM104948</t>
  </si>
  <si>
    <t>PT11589</t>
  </si>
  <si>
    <t>CLM104949</t>
  </si>
  <si>
    <t>PT12171</t>
  </si>
  <si>
    <t>CLM104950</t>
  </si>
  <si>
    <t>CLM104951</t>
  </si>
  <si>
    <t>CLM104952</t>
  </si>
  <si>
    <t>PT10193</t>
  </si>
  <si>
    <t>CLM104953</t>
  </si>
  <si>
    <t>CLM104954</t>
  </si>
  <si>
    <t>PT11998</t>
  </si>
  <si>
    <t>CLM104955</t>
  </si>
  <si>
    <t>CLM104956</t>
  </si>
  <si>
    <t>CLM104957</t>
  </si>
  <si>
    <t>CLM104958</t>
  </si>
  <si>
    <t>CLM104959</t>
  </si>
  <si>
    <t>CLM104960</t>
  </si>
  <si>
    <t>CLM104961</t>
  </si>
  <si>
    <t>PT10709</t>
  </si>
  <si>
    <t>CLM104962</t>
  </si>
  <si>
    <t>CLM104963</t>
  </si>
  <si>
    <t>CLM104964</t>
  </si>
  <si>
    <t>CLM104965</t>
  </si>
  <si>
    <t>CLM104966</t>
  </si>
  <si>
    <t>CLM104967</t>
  </si>
  <si>
    <t>PT12863</t>
  </si>
  <si>
    <t>CLM104968</t>
  </si>
  <si>
    <t>CLM104969</t>
  </si>
  <si>
    <t>CLM104970</t>
  </si>
  <si>
    <t>CLM104971</t>
  </si>
  <si>
    <t>CLM104972</t>
  </si>
  <si>
    <t>PT11641</t>
  </si>
  <si>
    <t>CLM104973</t>
  </si>
  <si>
    <t>CLM104974</t>
  </si>
  <si>
    <t>CLM104975</t>
  </si>
  <si>
    <t>PT11633</t>
  </si>
  <si>
    <t>CLM104976</t>
  </si>
  <si>
    <t>CLM104977</t>
  </si>
  <si>
    <t>CLM104978</t>
  </si>
  <si>
    <t>CLM104979</t>
  </si>
  <si>
    <t>CLM104980</t>
  </si>
  <si>
    <t>CLM104981</t>
  </si>
  <si>
    <t>PT12113</t>
  </si>
  <si>
    <t>CLM104982</t>
  </si>
  <si>
    <t>CLM104983</t>
  </si>
  <si>
    <t>CLM104984</t>
  </si>
  <si>
    <t>PT13058</t>
  </si>
  <si>
    <t>CLM104985</t>
  </si>
  <si>
    <t>CLM104986</t>
  </si>
  <si>
    <t>CLM104987</t>
  </si>
  <si>
    <t>CLM104988</t>
  </si>
  <si>
    <t>CLM104989</t>
  </si>
  <si>
    <t>CLM104990</t>
  </si>
  <si>
    <t>PT11205</t>
  </si>
  <si>
    <t>CLM104991</t>
  </si>
  <si>
    <t>CLM104992</t>
  </si>
  <si>
    <t>CLM104993</t>
  </si>
  <si>
    <t>CLM104995</t>
  </si>
  <si>
    <t>CLM104997</t>
  </si>
  <si>
    <t>CLM104998</t>
  </si>
  <si>
    <t>CLM105000</t>
  </si>
  <si>
    <t>CLM105001</t>
  </si>
  <si>
    <t>CLM105002</t>
  </si>
  <si>
    <t>CLM105003</t>
  </si>
  <si>
    <t>PT10718</t>
  </si>
  <si>
    <t>CLM105004</t>
  </si>
  <si>
    <t>CLM105005</t>
  </si>
  <si>
    <t>CLM105006</t>
  </si>
  <si>
    <t>PT13101</t>
  </si>
  <si>
    <t>CLM105007</t>
  </si>
  <si>
    <t>CLM105008</t>
  </si>
  <si>
    <t>CLM105010</t>
  </si>
  <si>
    <t>PT12227</t>
  </si>
  <si>
    <t>CLM105011</t>
  </si>
  <si>
    <t>CLM105012</t>
  </si>
  <si>
    <t>CLM105013</t>
  </si>
  <si>
    <t>CLM105014</t>
  </si>
  <si>
    <t>CLM105015</t>
  </si>
  <si>
    <t>PT11605</t>
  </si>
  <si>
    <t>CLM105016</t>
  </si>
  <si>
    <t>PT12178</t>
  </si>
  <si>
    <t>CLM105017</t>
  </si>
  <si>
    <t>CLM105018</t>
  </si>
  <si>
    <t>CLM105019</t>
  </si>
  <si>
    <t>CLM105020</t>
  </si>
  <si>
    <t>PT12754</t>
  </si>
  <si>
    <t>CLM105021</t>
  </si>
  <si>
    <t>CLM105022</t>
  </si>
  <si>
    <t>PT11715</t>
  </si>
  <si>
    <t>CLM105023</t>
  </si>
  <si>
    <t>CLM105024</t>
  </si>
  <si>
    <t>CLM105025</t>
  </si>
  <si>
    <t>CLM105026</t>
  </si>
  <si>
    <t>CLM105027</t>
  </si>
  <si>
    <t>CLM105028</t>
  </si>
  <si>
    <t>CLM105029</t>
  </si>
  <si>
    <t>PT12560</t>
  </si>
  <si>
    <t>CLM105030</t>
  </si>
  <si>
    <t>PT11809</t>
  </si>
  <si>
    <t>CLM105031</t>
  </si>
  <si>
    <t>CLM105032</t>
  </si>
  <si>
    <t>PT12182</t>
  </si>
  <si>
    <t>CLM105033</t>
  </si>
  <si>
    <t>CLM105034</t>
  </si>
  <si>
    <t>CLM105035</t>
  </si>
  <si>
    <t>CLM105036</t>
  </si>
  <si>
    <t>CLM105037</t>
  </si>
  <si>
    <t>PT11792</t>
  </si>
  <si>
    <t>CLM105038</t>
  </si>
  <si>
    <t>PT11830</t>
  </si>
  <si>
    <t>CLM105039</t>
  </si>
  <si>
    <t>CLM105040</t>
  </si>
  <si>
    <t>CLM105041</t>
  </si>
  <si>
    <t>CLM105042</t>
  </si>
  <si>
    <t>PT12792</t>
  </si>
  <si>
    <t>CLM105043</t>
  </si>
  <si>
    <t>PT10781</t>
  </si>
  <si>
    <t>CLM105044</t>
  </si>
  <si>
    <t>CLM105045</t>
  </si>
  <si>
    <t>CLM105046</t>
  </si>
  <si>
    <t>CLM105047</t>
  </si>
  <si>
    <t>CLM105048</t>
  </si>
  <si>
    <t>CLM105049</t>
  </si>
  <si>
    <t>CLM105050</t>
  </si>
  <si>
    <t>CLM105051</t>
  </si>
  <si>
    <t>PT10368</t>
  </si>
  <si>
    <t>CLM105052</t>
  </si>
  <si>
    <t>PT10605</t>
  </si>
  <si>
    <t>CLM105053</t>
  </si>
  <si>
    <t>CLM105054</t>
  </si>
  <si>
    <t>CLM105055</t>
  </si>
  <si>
    <t>CLM105056</t>
  </si>
  <si>
    <t>PT13044</t>
  </si>
  <si>
    <t>CLM105057</t>
  </si>
  <si>
    <t>CLM105058</t>
  </si>
  <si>
    <t>CLM105059</t>
  </si>
  <si>
    <t>PT12849</t>
  </si>
  <si>
    <t>CLM105060</t>
  </si>
  <si>
    <t>CLM105061</t>
  </si>
  <si>
    <t>PT10343</t>
  </si>
  <si>
    <t>CLM105062</t>
  </si>
  <si>
    <t>CLM105063</t>
  </si>
  <si>
    <t>CLM105064</t>
  </si>
  <si>
    <t>CLM105065</t>
  </si>
  <si>
    <t>CLM105066</t>
  </si>
  <si>
    <t>CLM105067</t>
  </si>
  <si>
    <t>PT11907</t>
  </si>
  <si>
    <t>CLM105068</t>
  </si>
  <si>
    <t>CLM105069</t>
  </si>
  <si>
    <t>CLM105070</t>
  </si>
  <si>
    <t>PT13354</t>
  </si>
  <si>
    <t>CLM105071</t>
  </si>
  <si>
    <t>CLM105072</t>
  </si>
  <si>
    <t>CLM105073</t>
  </si>
  <si>
    <t>CLM105074</t>
  </si>
  <si>
    <t>CLM105075</t>
  </si>
  <si>
    <t>CLM105076</t>
  </si>
  <si>
    <t>CLM105077</t>
  </si>
  <si>
    <t>CLM105078</t>
  </si>
  <si>
    <t>PT10310</t>
  </si>
  <si>
    <t>CLM105079</t>
  </si>
  <si>
    <t>CLM105080</t>
  </si>
  <si>
    <t>PT11384</t>
  </si>
  <si>
    <t>CLM105081</t>
  </si>
  <si>
    <t>CLM105082</t>
  </si>
  <si>
    <t>CLM105083</t>
  </si>
  <si>
    <t>CLM105084</t>
  </si>
  <si>
    <t>CLM105086</t>
  </si>
  <si>
    <t>CLM105087</t>
  </si>
  <si>
    <t>PT12272</t>
  </si>
  <si>
    <t>CLM105088</t>
  </si>
  <si>
    <t>PT13373</t>
  </si>
  <si>
    <t>CLM105089</t>
  </si>
  <si>
    <t>PT10198</t>
  </si>
  <si>
    <t>CLM105090</t>
  </si>
  <si>
    <t>CLM105091</t>
  </si>
  <si>
    <t>CLM105092</t>
  </si>
  <si>
    <t>PT11009</t>
  </si>
  <si>
    <t>CLM105093</t>
  </si>
  <si>
    <t>PT11678</t>
  </si>
  <si>
    <t>CLM105094</t>
  </si>
  <si>
    <t>CLM105095</t>
  </si>
  <si>
    <t>CLM105096</t>
  </si>
  <si>
    <t>CLM105097</t>
  </si>
  <si>
    <t>CLM105098</t>
  </si>
  <si>
    <t>CLM105099</t>
  </si>
  <si>
    <t>CLM105100</t>
  </si>
  <si>
    <t>PT10541</t>
  </si>
  <si>
    <t>CLM105101</t>
  </si>
  <si>
    <t>PT11375</t>
  </si>
  <si>
    <t>CLM105102</t>
  </si>
  <si>
    <t>PT11661</t>
  </si>
  <si>
    <t>CLM105103</t>
  </si>
  <si>
    <t>PT11209</t>
  </si>
  <si>
    <t>CLM105104</t>
  </si>
  <si>
    <t>PT11416</t>
  </si>
  <si>
    <t>CLM105105</t>
  </si>
  <si>
    <t>CLM105106</t>
  </si>
  <si>
    <t>CLM105107</t>
  </si>
  <si>
    <t>CLM105108</t>
  </si>
  <si>
    <t>CLM105109</t>
  </si>
  <si>
    <t>CLM105110</t>
  </si>
  <si>
    <t>CLM105111</t>
  </si>
  <si>
    <t>PT13489</t>
  </si>
  <si>
    <t>CLM105112</t>
  </si>
  <si>
    <t>CLM105113</t>
  </si>
  <si>
    <t>PT13247</t>
  </si>
  <si>
    <t>CLM105114</t>
  </si>
  <si>
    <t>PT11869</t>
  </si>
  <si>
    <t>CLM105115</t>
  </si>
  <si>
    <t>PT11520</t>
  </si>
  <si>
    <t>CLM105116</t>
  </si>
  <si>
    <t>CLM105117</t>
  </si>
  <si>
    <t>CLM105118</t>
  </si>
  <si>
    <t>CLM105119</t>
  </si>
  <si>
    <t>PT10399</t>
  </si>
  <si>
    <t>CLM105120</t>
  </si>
  <si>
    <t>PT10675</t>
  </si>
  <si>
    <t>CLM105121</t>
  </si>
  <si>
    <t>PT10344</t>
  </si>
  <si>
    <t>CLM105122</t>
  </si>
  <si>
    <t>CLM105123</t>
  </si>
  <si>
    <t>CLM105124</t>
  </si>
  <si>
    <t>CLM105125</t>
  </si>
  <si>
    <t>CLM105126</t>
  </si>
  <si>
    <t>CLM105127</t>
  </si>
  <si>
    <t>CLM105128</t>
  </si>
  <si>
    <t>CLM105129</t>
  </si>
  <si>
    <t>CLM105130</t>
  </si>
  <si>
    <t>CLM105131</t>
  </si>
  <si>
    <t>PT10910</t>
  </si>
  <si>
    <t>CLM105132</t>
  </si>
  <si>
    <t>CLM105133</t>
  </si>
  <si>
    <t>CLM105134</t>
  </si>
  <si>
    <t>CLM105135</t>
  </si>
  <si>
    <t>PT12541</t>
  </si>
  <si>
    <t>CLM105136</t>
  </si>
  <si>
    <t>PT12107</t>
  </si>
  <si>
    <t>CLM105137</t>
  </si>
  <si>
    <t>CLM105138</t>
  </si>
  <si>
    <t>PT10168</t>
  </si>
  <si>
    <t>CLM105139</t>
  </si>
  <si>
    <t>CLM105140</t>
  </si>
  <si>
    <t>CLM105141</t>
  </si>
  <si>
    <t>CLM105142</t>
  </si>
  <si>
    <t>CLM105144</t>
  </si>
  <si>
    <t>CLM105145</t>
  </si>
  <si>
    <t>PT12934</t>
  </si>
  <si>
    <t>CLM105146</t>
  </si>
  <si>
    <t>CLM105147</t>
  </si>
  <si>
    <t>CLM105148</t>
  </si>
  <si>
    <t>PT10202</t>
  </si>
  <si>
    <t>CLM105149</t>
  </si>
  <si>
    <t>CLM105150</t>
  </si>
  <si>
    <t>CLM105151</t>
  </si>
  <si>
    <t>CLM105152</t>
  </si>
  <si>
    <t>PT12068</t>
  </si>
  <si>
    <t>CLM105153</t>
  </si>
  <si>
    <t>CLM105154</t>
  </si>
  <si>
    <t>CLM105155</t>
  </si>
  <si>
    <t>CLM105156</t>
  </si>
  <si>
    <t>CLM105157</t>
  </si>
  <si>
    <t>CLM105158</t>
  </si>
  <si>
    <t>CLM105159</t>
  </si>
  <si>
    <t>CLM105160</t>
  </si>
  <si>
    <t>CLM105161</t>
  </si>
  <si>
    <t>CLM105162</t>
  </si>
  <si>
    <t>CLM105163</t>
  </si>
  <si>
    <t>CLM105164</t>
  </si>
  <si>
    <t>CLM105165</t>
  </si>
  <si>
    <t>CLM105166</t>
  </si>
  <si>
    <t>CLM105167</t>
  </si>
  <si>
    <t>CLM105168</t>
  </si>
  <si>
    <t>CLM105169</t>
  </si>
  <si>
    <t>CLM105170</t>
  </si>
  <si>
    <t>CLM105171</t>
  </si>
  <si>
    <t>CLM105172</t>
  </si>
  <si>
    <t>CLM105173</t>
  </si>
  <si>
    <t>CLM105174</t>
  </si>
  <si>
    <t>PT13491</t>
  </si>
  <si>
    <t>CLM105175</t>
  </si>
  <si>
    <t>CLM105176</t>
  </si>
  <si>
    <t>CLM105177</t>
  </si>
  <si>
    <t>PT10754</t>
  </si>
  <si>
    <t>CLM105178</t>
  </si>
  <si>
    <t>CLM105179</t>
  </si>
  <si>
    <t>CLM105180</t>
  </si>
  <si>
    <t>CLM105181</t>
  </si>
  <si>
    <t>PT10827</t>
  </si>
  <si>
    <t>CLM105182</t>
  </si>
  <si>
    <t>CLM105184</t>
  </si>
  <si>
    <t>CLM105185</t>
  </si>
  <si>
    <t>CLM105186</t>
  </si>
  <si>
    <t>CLM105187</t>
  </si>
  <si>
    <t>CLM105188</t>
  </si>
  <si>
    <t>CLM105189</t>
  </si>
  <si>
    <t>CLM105190</t>
  </si>
  <si>
    <t>CLM105191</t>
  </si>
  <si>
    <t>CLM105192</t>
  </si>
  <si>
    <t>PT11366</t>
  </si>
  <si>
    <t>CLM105193</t>
  </si>
  <si>
    <t>CLM105194</t>
  </si>
  <si>
    <t>CLM105195</t>
  </si>
  <si>
    <t>PT13337</t>
  </si>
  <si>
    <t>CLM105196</t>
  </si>
  <si>
    <t>CLM105197</t>
  </si>
  <si>
    <t>PT10116</t>
  </si>
  <si>
    <t>CLM105198</t>
  </si>
  <si>
    <t>CLM105199</t>
  </si>
  <si>
    <t>CLM105200</t>
  </si>
  <si>
    <t>CLM105201</t>
  </si>
  <si>
    <t>PT11213</t>
  </si>
  <si>
    <t>CLM105202</t>
  </si>
  <si>
    <t>PT10774</t>
  </si>
  <si>
    <t>CLM105203</t>
  </si>
  <si>
    <t>CLM105204</t>
  </si>
  <si>
    <t>CLM105205</t>
  </si>
  <si>
    <t>CLM105206</t>
  </si>
  <si>
    <t>PT10779</t>
  </si>
  <si>
    <t>CLM105207</t>
  </si>
  <si>
    <t>CLM105208</t>
  </si>
  <si>
    <t>PT10888</t>
  </si>
  <si>
    <t>CLM105209</t>
  </si>
  <si>
    <t>PT11621</t>
  </si>
  <si>
    <t>CLM105210</t>
  </si>
  <si>
    <t>CLM105211</t>
  </si>
  <si>
    <t>CLM105212</t>
  </si>
  <si>
    <t>CLM105213</t>
  </si>
  <si>
    <t>PT11765</t>
  </si>
  <si>
    <t>CLM105214</t>
  </si>
  <si>
    <t>CLM105215</t>
  </si>
  <si>
    <t>PT12995</t>
  </si>
  <si>
    <t>CLM105216</t>
  </si>
  <si>
    <t>CLM105217</t>
  </si>
  <si>
    <t>CLM105218</t>
  </si>
  <si>
    <t>CLM105219</t>
  </si>
  <si>
    <t>CLM105220</t>
  </si>
  <si>
    <t>CLM105221</t>
  </si>
  <si>
    <t>CLM105222</t>
  </si>
  <si>
    <t>PT12210</t>
  </si>
  <si>
    <t>CLM105223</t>
  </si>
  <si>
    <t>PT11650</t>
  </si>
  <si>
    <t>CLM105224</t>
  </si>
  <si>
    <t>CLM105225</t>
  </si>
  <si>
    <t>CLM105226</t>
  </si>
  <si>
    <t>CLM105227</t>
  </si>
  <si>
    <t>CLM105228</t>
  </si>
  <si>
    <t>CLM105229</t>
  </si>
  <si>
    <t>CLM105230</t>
  </si>
  <si>
    <t>CLM105231</t>
  </si>
  <si>
    <t>CLM105232</t>
  </si>
  <si>
    <t>CLM105233</t>
  </si>
  <si>
    <t>CLM105234</t>
  </si>
  <si>
    <t>CLM105235</t>
  </si>
  <si>
    <t>PT12821</t>
  </si>
  <si>
    <t>CLM105236</t>
  </si>
  <si>
    <t>CLM105237</t>
  </si>
  <si>
    <t>CLM105238</t>
  </si>
  <si>
    <t>CLM105239</t>
  </si>
  <si>
    <t>PT13393</t>
  </si>
  <si>
    <t>CLM105240</t>
  </si>
  <si>
    <t>CLM105242</t>
  </si>
  <si>
    <t>PT11697</t>
  </si>
  <si>
    <t>CLM105243</t>
  </si>
  <si>
    <t>CLM105244</t>
  </si>
  <si>
    <t>CLM105245</t>
  </si>
  <si>
    <t>CLM105246</t>
  </si>
  <si>
    <t>PT10220</t>
  </si>
  <si>
    <t>CLM105247</t>
  </si>
  <si>
    <t>PT11049</t>
  </si>
  <si>
    <t>CLM105248</t>
  </si>
  <si>
    <t>CLM105249</t>
  </si>
  <si>
    <t>PT11492</t>
  </si>
  <si>
    <t>CLM105250</t>
  </si>
  <si>
    <t>CLM105251</t>
  </si>
  <si>
    <t>CLM105252</t>
  </si>
  <si>
    <t>CLM105253</t>
  </si>
  <si>
    <t>PT12607</t>
  </si>
  <si>
    <t>CLM105254</t>
  </si>
  <si>
    <t>CLM105255</t>
  </si>
  <si>
    <t>CLM105256</t>
  </si>
  <si>
    <t>CLM105257</t>
  </si>
  <si>
    <t>CLM105258</t>
  </si>
  <si>
    <t>PT12518</t>
  </si>
  <si>
    <t>CLM105259</t>
  </si>
  <si>
    <t>PT10162</t>
  </si>
  <si>
    <t>CLM105260</t>
  </si>
  <si>
    <t>CLM105261</t>
  </si>
  <si>
    <t>PT10511</t>
  </si>
  <si>
    <t>CLM105262</t>
  </si>
  <si>
    <t>CLM105263</t>
  </si>
  <si>
    <t>CLM105264</t>
  </si>
  <si>
    <t>CLM105265</t>
  </si>
  <si>
    <t>CLM105266</t>
  </si>
  <si>
    <t>PT13143</t>
  </si>
  <si>
    <t>CLM105267</t>
  </si>
  <si>
    <t>CLM105268</t>
  </si>
  <si>
    <t>CLM105269</t>
  </si>
  <si>
    <t>CLM105270</t>
  </si>
  <si>
    <t>CLM105271</t>
  </si>
  <si>
    <t>CLM105272</t>
  </si>
  <si>
    <t>CLM105273</t>
  </si>
  <si>
    <t>CLM105274</t>
  </si>
  <si>
    <t>CLM105275</t>
  </si>
  <si>
    <t>CLM105276</t>
  </si>
  <si>
    <t>CLM105277</t>
  </si>
  <si>
    <t>CLM105278</t>
  </si>
  <si>
    <t>CLM105279</t>
  </si>
  <si>
    <t>CLM105280</t>
  </si>
  <si>
    <t>CLM105281</t>
  </si>
  <si>
    <t>CLM105282</t>
  </si>
  <si>
    <t>PT11147</t>
  </si>
  <si>
    <t>CLM105283</t>
  </si>
  <si>
    <t>CLM105284</t>
  </si>
  <si>
    <t>CLM105285</t>
  </si>
  <si>
    <t>CLM105286</t>
  </si>
  <si>
    <t>CLM105287</t>
  </si>
  <si>
    <t>PT12295</t>
  </si>
  <si>
    <t>CLM105288</t>
  </si>
  <si>
    <t>CLM105289</t>
  </si>
  <si>
    <t>CLM105290</t>
  </si>
  <si>
    <t>CLM105291</t>
  </si>
  <si>
    <t>CLM105292</t>
  </si>
  <si>
    <t>CLM105293</t>
  </si>
  <si>
    <t>CLM105294</t>
  </si>
  <si>
    <t>PT11421</t>
  </si>
  <si>
    <t>CLM105295</t>
  </si>
  <si>
    <t>CLM105296</t>
  </si>
  <si>
    <t>PT11604</t>
  </si>
  <si>
    <t>CLM105297</t>
  </si>
  <si>
    <t>CLM105298</t>
  </si>
  <si>
    <t>CLM105299</t>
  </si>
  <si>
    <t>CLM105300</t>
  </si>
  <si>
    <t>PT11472</t>
  </si>
  <si>
    <t>CLM105301</t>
  </si>
  <si>
    <t>CLM105302</t>
  </si>
  <si>
    <t>CLM105303</t>
  </si>
  <si>
    <t>CLM105304</t>
  </si>
  <si>
    <t>CLM105305</t>
  </si>
  <si>
    <t>CLM105306</t>
  </si>
  <si>
    <t>CLM105307</t>
  </si>
  <si>
    <t>CLM105308</t>
  </si>
  <si>
    <t>CLM105309</t>
  </si>
  <si>
    <t>CLM105310</t>
  </si>
  <si>
    <t>PT10311</t>
  </si>
  <si>
    <t>CLM105311</t>
  </si>
  <si>
    <t>PT11929</t>
  </si>
  <si>
    <t>CLM105312</t>
  </si>
  <si>
    <t>CLM105313</t>
  </si>
  <si>
    <t>CLM105314</t>
  </si>
  <si>
    <t>CLM105315</t>
  </si>
  <si>
    <t>PT13380</t>
  </si>
  <si>
    <t>CLM105316</t>
  </si>
  <si>
    <t>PT11402</t>
  </si>
  <si>
    <t>CLM105317</t>
  </si>
  <si>
    <t>CLM105318</t>
  </si>
  <si>
    <t>CLM105319</t>
  </si>
  <si>
    <t>PT12784</t>
  </si>
  <si>
    <t>CLM105320</t>
  </si>
  <si>
    <t>CLM105321</t>
  </si>
  <si>
    <t>CLM105322</t>
  </si>
  <si>
    <t>CLM105323</t>
  </si>
  <si>
    <t>PT10879</t>
  </si>
  <si>
    <t>CLM105324</t>
  </si>
  <si>
    <t>CLM105325</t>
  </si>
  <si>
    <t>CLM105326</t>
  </si>
  <si>
    <t>CLM105327</t>
  </si>
  <si>
    <t>PT11767</t>
  </si>
  <si>
    <t>CLM105328</t>
  </si>
  <si>
    <t>PT11638</t>
  </si>
  <si>
    <t>CLM105329</t>
  </si>
  <si>
    <t>CLM105330</t>
  </si>
  <si>
    <t>CLM105331</t>
  </si>
  <si>
    <t>CLM105332</t>
  </si>
  <si>
    <t>CLM105333</t>
  </si>
  <si>
    <t>CLM105334</t>
  </si>
  <si>
    <t>CLM105335</t>
  </si>
  <si>
    <t>CLM105336</t>
  </si>
  <si>
    <t>PT11206</t>
  </si>
  <si>
    <t>CLM105337</t>
  </si>
  <si>
    <t>CLM105338</t>
  </si>
  <si>
    <t>PT13369</t>
  </si>
  <si>
    <t>CLM105339</t>
  </si>
  <si>
    <t>CLM105340</t>
  </si>
  <si>
    <t>CLM105341</t>
  </si>
  <si>
    <t>CLM105342</t>
  </si>
  <si>
    <t>CLM105343</t>
  </si>
  <si>
    <t>CLM105344</t>
  </si>
  <si>
    <t>CLM105345</t>
  </si>
  <si>
    <t>PT13466</t>
  </si>
  <si>
    <t>CLM105346</t>
  </si>
  <si>
    <t>CLM105347</t>
  </si>
  <si>
    <t>PT13490</t>
  </si>
  <si>
    <t>CLM105348</t>
  </si>
  <si>
    <t>CLM105349</t>
  </si>
  <si>
    <t>PT12901</t>
  </si>
  <si>
    <t>CLM105350</t>
  </si>
  <si>
    <t>CLM105351</t>
  </si>
  <si>
    <t>CLM105352</t>
  </si>
  <si>
    <t>CLM105353</t>
  </si>
  <si>
    <t>CLM105354</t>
  </si>
  <si>
    <t>PT12827</t>
  </si>
  <si>
    <t>CLM105355</t>
  </si>
  <si>
    <t>CLM105356</t>
  </si>
  <si>
    <t>CLM105357</t>
  </si>
  <si>
    <t>CLM105358</t>
  </si>
  <si>
    <t>CLM105359</t>
  </si>
  <si>
    <t>CLM105360</t>
  </si>
  <si>
    <t>PT10770</t>
  </si>
  <si>
    <t>CLM105361</t>
  </si>
  <si>
    <t>CLM105362</t>
  </si>
  <si>
    <t>CLM105363</t>
  </si>
  <si>
    <t>CLM105364</t>
  </si>
  <si>
    <t>PT12859</t>
  </si>
  <si>
    <t>CLM105365</t>
  </si>
  <si>
    <t>CLM105366</t>
  </si>
  <si>
    <t>CLM105367</t>
  </si>
  <si>
    <t>CLM105368</t>
  </si>
  <si>
    <t>CLM105369</t>
  </si>
  <si>
    <t>CLM105370</t>
  </si>
  <si>
    <t>CLM105371</t>
  </si>
  <si>
    <t>PT13379</t>
  </si>
  <si>
    <t>CLM105372</t>
  </si>
  <si>
    <t>CLM105373</t>
  </si>
  <si>
    <t>CLM105374</t>
  </si>
  <si>
    <t>CLM105375</t>
  </si>
  <si>
    <t>CLM105376</t>
  </si>
  <si>
    <t>CLM105377</t>
  </si>
  <si>
    <t>CLM105378</t>
  </si>
  <si>
    <t>CLM105379</t>
  </si>
  <si>
    <t>CLM105380</t>
  </si>
  <si>
    <t>CLM105381</t>
  </si>
  <si>
    <t>CLM105382</t>
  </si>
  <si>
    <t>CLM105383</t>
  </si>
  <si>
    <t>CLM105384</t>
  </si>
  <si>
    <t>CLM105385</t>
  </si>
  <si>
    <t>CLM105386</t>
  </si>
  <si>
    <t>CLM105387</t>
  </si>
  <si>
    <t>CLM105388</t>
  </si>
  <si>
    <t>PT13472</t>
  </si>
  <si>
    <t>CLM105389</t>
  </si>
  <si>
    <t>CLM105390</t>
  </si>
  <si>
    <t>PT12428</t>
  </si>
  <si>
    <t>CLM105391</t>
  </si>
  <si>
    <t>CLM105392</t>
  </si>
  <si>
    <t>PT10332</t>
  </si>
  <si>
    <t>CLM105393</t>
  </si>
  <si>
    <t>CLM105394</t>
  </si>
  <si>
    <t>CLM105395</t>
  </si>
  <si>
    <t>CLM105396</t>
  </si>
  <si>
    <t>CLM105397</t>
  </si>
  <si>
    <t>CLM105398</t>
  </si>
  <si>
    <t>CLM105399</t>
  </si>
  <si>
    <t>CLM105400</t>
  </si>
  <si>
    <t>CLM105401</t>
  </si>
  <si>
    <t>PT12052</t>
  </si>
  <si>
    <t>CLM105402</t>
  </si>
  <si>
    <t>CLM105403</t>
  </si>
  <si>
    <t>CLM105404</t>
  </si>
  <si>
    <t>PT12992</t>
  </si>
  <si>
    <t>CLM105405</t>
  </si>
  <si>
    <t>CLM105406</t>
  </si>
  <si>
    <t>CLM105407</t>
  </si>
  <si>
    <t>CLM105408</t>
  </si>
  <si>
    <t>PT11281</t>
  </si>
  <si>
    <t>CLM105409</t>
  </si>
  <si>
    <t>PT12598</t>
  </si>
  <si>
    <t>CLM105410</t>
  </si>
  <si>
    <t>CLM105411</t>
  </si>
  <si>
    <t>CLM105412</t>
  </si>
  <si>
    <t>CLM105413</t>
  </si>
  <si>
    <t>PT11068</t>
  </si>
  <si>
    <t>CLM105414</t>
  </si>
  <si>
    <t>CLM105415</t>
  </si>
  <si>
    <t>CLM105416</t>
  </si>
  <si>
    <t>PT12260</t>
  </si>
  <si>
    <t>CLM105417</t>
  </si>
  <si>
    <t>CLM105418</t>
  </si>
  <si>
    <t>CLM105419</t>
  </si>
  <si>
    <t>PT11144</t>
  </si>
  <si>
    <t>CLM105420</t>
  </si>
  <si>
    <t>PT12955</t>
  </si>
  <si>
    <t>CLM105421</t>
  </si>
  <si>
    <t>CLM105422</t>
  </si>
  <si>
    <t>CLM105423</t>
  </si>
  <si>
    <t>CLM105424</t>
  </si>
  <si>
    <t>CLM105425</t>
  </si>
  <si>
    <t>CLM105426</t>
  </si>
  <si>
    <t>CLM105427</t>
  </si>
  <si>
    <t>CLM105428</t>
  </si>
  <si>
    <t>CLM105429</t>
  </si>
  <si>
    <t>CLM105430</t>
  </si>
  <si>
    <t>CLM105431</t>
  </si>
  <si>
    <t>PT13233</t>
  </si>
  <si>
    <t>CLM105432</t>
  </si>
  <si>
    <t>CLM105433</t>
  </si>
  <si>
    <t>CLM105434</t>
  </si>
  <si>
    <t>CLM105435</t>
  </si>
  <si>
    <t>CLM105436</t>
  </si>
  <si>
    <t>CLM105437</t>
  </si>
  <si>
    <t>CLM105438</t>
  </si>
  <si>
    <t>CLM105439</t>
  </si>
  <si>
    <t>CLM105440</t>
  </si>
  <si>
    <t>CLM105441</t>
  </si>
  <si>
    <t>PT10405</t>
  </si>
  <si>
    <t>CLM105442</t>
  </si>
  <si>
    <t>CLM105443</t>
  </si>
  <si>
    <t>CLM105444</t>
  </si>
  <si>
    <t>CLM105445</t>
  </si>
  <si>
    <t>CLM105446</t>
  </si>
  <si>
    <t>CLM105447</t>
  </si>
  <si>
    <t>CLM105448</t>
  </si>
  <si>
    <t>CLM105449</t>
  </si>
  <si>
    <t>CLM105450</t>
  </si>
  <si>
    <t>CLM105451</t>
  </si>
  <si>
    <t>PT11762</t>
  </si>
  <si>
    <t>CLM105452</t>
  </si>
  <si>
    <t>CLM105453</t>
  </si>
  <si>
    <t>CLM105454</t>
  </si>
  <si>
    <t>CLM105455</t>
  </si>
  <si>
    <t>CLM105456</t>
  </si>
  <si>
    <t>CLM105457</t>
  </si>
  <si>
    <t>CLM105458</t>
  </si>
  <si>
    <t>CLM105459</t>
  </si>
  <si>
    <t>PT13020</t>
  </si>
  <si>
    <t>CLM105460</t>
  </si>
  <si>
    <t>PT12966</t>
  </si>
  <si>
    <t>CLM105461</t>
  </si>
  <si>
    <t>CLM105462</t>
  </si>
  <si>
    <t>CLM105463</t>
  </si>
  <si>
    <t>CLM105464</t>
  </si>
  <si>
    <t>CLM105465</t>
  </si>
  <si>
    <t>CLM105466</t>
  </si>
  <si>
    <t>PT12368</t>
  </si>
  <si>
    <t>CLM105467</t>
  </si>
  <si>
    <t>CLM105468</t>
  </si>
  <si>
    <t>CLM105469</t>
  </si>
  <si>
    <t>CLM105470</t>
  </si>
  <si>
    <t>CLM105471</t>
  </si>
  <si>
    <t>CLM105472</t>
  </si>
  <si>
    <t>CLM105473</t>
  </si>
  <si>
    <t>CLM105474</t>
  </si>
  <si>
    <t>PT13338</t>
  </si>
  <si>
    <t>CLM105475</t>
  </si>
  <si>
    <t>CLM105476</t>
  </si>
  <si>
    <t>CLM105477</t>
  </si>
  <si>
    <t>CLM105478</t>
  </si>
  <si>
    <t>CLM105479</t>
  </si>
  <si>
    <t>PT12899</t>
  </si>
  <si>
    <t>CLM105480</t>
  </si>
  <si>
    <t>CLM105481</t>
  </si>
  <si>
    <t>CLM105482</t>
  </si>
  <si>
    <t>CLM105483</t>
  </si>
  <si>
    <t>CLM105484</t>
  </si>
  <si>
    <t>PT10525</t>
  </si>
  <si>
    <t>CLM105485</t>
  </si>
  <si>
    <t>PT13368</t>
  </si>
  <si>
    <t>CLM105486</t>
  </si>
  <si>
    <t>PT10893</t>
  </si>
  <si>
    <t>CLM105487</t>
  </si>
  <si>
    <t>CLM105488</t>
  </si>
  <si>
    <t>CLM105489</t>
  </si>
  <si>
    <t>CLM105490</t>
  </si>
  <si>
    <t>CLM105491</t>
  </si>
  <si>
    <t>CLM105492</t>
  </si>
  <si>
    <t>CLM105493</t>
  </si>
  <si>
    <t>CLM105494</t>
  </si>
  <si>
    <t>CLM105495</t>
  </si>
  <si>
    <t>PT12399</t>
  </si>
  <si>
    <t>CLM105496</t>
  </si>
  <si>
    <t>CLM105497</t>
  </si>
  <si>
    <t>CLM105498</t>
  </si>
  <si>
    <t>CLM105499</t>
  </si>
  <si>
    <t>PT12265</t>
  </si>
  <si>
    <t>CLM105500</t>
  </si>
  <si>
    <t>CLM105501</t>
  </si>
  <si>
    <t>PT10621</t>
  </si>
  <si>
    <t>CLM105502</t>
  </si>
  <si>
    <t>CLM105503</t>
  </si>
  <si>
    <t>CLM105504</t>
  </si>
  <si>
    <t>PT11850</t>
  </si>
  <si>
    <t>CLM105505</t>
  </si>
  <si>
    <t>CLM105506</t>
  </si>
  <si>
    <t>CLM105507</t>
  </si>
  <si>
    <t>CLM105508</t>
  </si>
  <si>
    <t>CLM105509</t>
  </si>
  <si>
    <t>CLM105510</t>
  </si>
  <si>
    <t>PT12738</t>
  </si>
  <si>
    <t>CLM105512</t>
  </si>
  <si>
    <t>CLM105513</t>
  </si>
  <si>
    <t>CLM105514</t>
  </si>
  <si>
    <t>PT10649</t>
  </si>
  <si>
    <t>CLM105515</t>
  </si>
  <si>
    <t>CLM105516</t>
  </si>
  <si>
    <t>CLM105517</t>
  </si>
  <si>
    <t>PT11718</t>
  </si>
  <si>
    <t>CLM105518</t>
  </si>
  <si>
    <t>CLM105519</t>
  </si>
  <si>
    <t>CLM105520</t>
  </si>
  <si>
    <t>CLM105521</t>
  </si>
  <si>
    <t>CLM105522</t>
  </si>
  <si>
    <t>CLM105523</t>
  </si>
  <si>
    <t>CLM105524</t>
  </si>
  <si>
    <t>PT10474</t>
  </si>
  <si>
    <t>CLM105525</t>
  </si>
  <si>
    <t>CLM105526</t>
  </si>
  <si>
    <t>PT10789</t>
  </si>
  <si>
    <t>CLM105527</t>
  </si>
  <si>
    <t>CLM105528</t>
  </si>
  <si>
    <t>CLM105529</t>
  </si>
  <si>
    <t>PT12074</t>
  </si>
  <si>
    <t>CLM105530</t>
  </si>
  <si>
    <t>CLM105532</t>
  </si>
  <si>
    <t>CLM105533</t>
  </si>
  <si>
    <t>PT12769</t>
  </si>
  <si>
    <t>CLM105535</t>
  </si>
  <si>
    <t>CLM105536</t>
  </si>
  <si>
    <t>CLM105537</t>
  </si>
  <si>
    <t>CLM105538</t>
  </si>
  <si>
    <t>CLM105539</t>
  </si>
  <si>
    <t>CLM105540</t>
  </si>
  <si>
    <t>PT13260</t>
  </si>
  <si>
    <t>CLM105541</t>
  </si>
  <si>
    <t>CLM105542</t>
  </si>
  <si>
    <t>CLM105543</t>
  </si>
  <si>
    <t>CLM105544</t>
  </si>
  <si>
    <t>CLM105545</t>
  </si>
  <si>
    <t>CLM105546</t>
  </si>
  <si>
    <t>CLM105547</t>
  </si>
  <si>
    <t>PT12936</t>
  </si>
  <si>
    <t>CLM105548</t>
  </si>
  <si>
    <t>CLM105549</t>
  </si>
  <si>
    <t>CLM105550</t>
  </si>
  <si>
    <t>CLM105551</t>
  </si>
  <si>
    <t>PT12209</t>
  </si>
  <si>
    <t>CLM105552</t>
  </si>
  <si>
    <t>CLM105553</t>
  </si>
  <si>
    <t>CLM105554</t>
  </si>
  <si>
    <t>CLM105555</t>
  </si>
  <si>
    <t>PT11347</t>
  </si>
  <si>
    <t>CLM105556</t>
  </si>
  <si>
    <t>CLM105557</t>
  </si>
  <si>
    <t>CLM105558</t>
  </si>
  <si>
    <t>CLM105559</t>
  </si>
  <si>
    <t>PT12858</t>
  </si>
  <si>
    <t>CLM105560</t>
  </si>
  <si>
    <t>CLM105561</t>
  </si>
  <si>
    <t>CLM105562</t>
  </si>
  <si>
    <t>CLM105563</t>
  </si>
  <si>
    <t>CLM105564</t>
  </si>
  <si>
    <t>CLM105565</t>
  </si>
  <si>
    <t>CLM105566</t>
  </si>
  <si>
    <t>CLM105567</t>
  </si>
  <si>
    <t>CLM105568</t>
  </si>
  <si>
    <t>CLM105569</t>
  </si>
  <si>
    <t>CLM105570</t>
  </si>
  <si>
    <t>CLM105571</t>
  </si>
  <si>
    <t>CLM105572</t>
  </si>
  <si>
    <t>CLM105573</t>
  </si>
  <si>
    <t>CLM105574</t>
  </si>
  <si>
    <t>CLM105575</t>
  </si>
  <si>
    <t>CLM105576</t>
  </si>
  <si>
    <t>CLM105577</t>
  </si>
  <si>
    <t>CLM105578</t>
  </si>
  <si>
    <t>CLM105579</t>
  </si>
  <si>
    <t>CLM105580</t>
  </si>
  <si>
    <t>CLM105581</t>
  </si>
  <si>
    <t>CLM105582</t>
  </si>
  <si>
    <t>CLM105583</t>
  </si>
  <si>
    <t>CLM105584</t>
  </si>
  <si>
    <t>CLM105585</t>
  </si>
  <si>
    <t>CLM105586</t>
  </si>
  <si>
    <t>CLM105587</t>
  </si>
  <si>
    <t>CLM105588</t>
  </si>
  <si>
    <t>CLM105589</t>
  </si>
  <si>
    <t>CLM105590</t>
  </si>
  <si>
    <t>CLM105591</t>
  </si>
  <si>
    <t>CLM105592</t>
  </si>
  <si>
    <t>CLM105593</t>
  </si>
  <si>
    <t>PT12152</t>
  </si>
  <si>
    <t>CLM105594</t>
  </si>
  <si>
    <t>CLM105595</t>
  </si>
  <si>
    <t>CLM105596</t>
  </si>
  <si>
    <t>PT11215</t>
  </si>
  <si>
    <t>CLM105597</t>
  </si>
  <si>
    <t>CLM105598</t>
  </si>
  <si>
    <t>CLM105599</t>
  </si>
  <si>
    <t>CLM105600</t>
  </si>
  <si>
    <t>CLM105601</t>
  </si>
  <si>
    <t>CLM105602</t>
  </si>
  <si>
    <t>CLM105603</t>
  </si>
  <si>
    <t>CLM105604</t>
  </si>
  <si>
    <t>CLM105605</t>
  </si>
  <si>
    <t>PT11089</t>
  </si>
  <si>
    <t>CLM105606</t>
  </si>
  <si>
    <t>CLM105607</t>
  </si>
  <si>
    <t>CLM105608</t>
  </si>
  <si>
    <t>CLM105609</t>
  </si>
  <si>
    <t>CLM105610</t>
  </si>
  <si>
    <t>CLM105611</t>
  </si>
  <si>
    <t>CLM105612</t>
  </si>
  <si>
    <t>CLM105613</t>
  </si>
  <si>
    <t>CLM105614</t>
  </si>
  <si>
    <t>CLM105615</t>
  </si>
  <si>
    <t>CLM105616</t>
  </si>
  <si>
    <t>CLM105617</t>
  </si>
  <si>
    <t>PT10093</t>
  </si>
  <si>
    <t>CLM105618</t>
  </si>
  <si>
    <t>CLM105619</t>
  </si>
  <si>
    <t>CLM105620</t>
  </si>
  <si>
    <t>PT10958</t>
  </si>
  <si>
    <t>CLM105621</t>
  </si>
  <si>
    <t>CLM105622</t>
  </si>
  <si>
    <t>CLM105623</t>
  </si>
  <si>
    <t>CLM105624</t>
  </si>
  <si>
    <t>CLM105625</t>
  </si>
  <si>
    <t>CLM105626</t>
  </si>
  <si>
    <t>CLM105627</t>
  </si>
  <si>
    <t>CLM105628</t>
  </si>
  <si>
    <t>CLM105629</t>
  </si>
  <si>
    <t>CLM105630</t>
  </si>
  <si>
    <t>PT11169</t>
  </si>
  <si>
    <t>CLM105631</t>
  </si>
  <si>
    <t>CLM105632</t>
  </si>
  <si>
    <t>PT12100</t>
  </si>
  <si>
    <t>CLM105633</t>
  </si>
  <si>
    <t>CLM105634</t>
  </si>
  <si>
    <t>CLM105635</t>
  </si>
  <si>
    <t>CLM105636</t>
  </si>
  <si>
    <t>CLM105638</t>
  </si>
  <si>
    <t>CLM105639</t>
  </si>
  <si>
    <t>CLM105640</t>
  </si>
  <si>
    <t>CLM105641</t>
  </si>
  <si>
    <t>PT10613</t>
  </si>
  <si>
    <t>CLM105642</t>
  </si>
  <si>
    <t>CLM105643</t>
  </si>
  <si>
    <t>CLM105644</t>
  </si>
  <si>
    <t>CLM105645</t>
  </si>
  <si>
    <t>PT12951</t>
  </si>
  <si>
    <t>CLM105646</t>
  </si>
  <si>
    <t>CLM105647</t>
  </si>
  <si>
    <t>PT10561</t>
  </si>
  <si>
    <t>CLM105648</t>
  </si>
  <si>
    <t>CLM105649</t>
  </si>
  <si>
    <t>CLM105650</t>
  </si>
  <si>
    <t>PT10155</t>
  </si>
  <si>
    <t>CLM105651</t>
  </si>
  <si>
    <t>CLM105652</t>
  </si>
  <si>
    <t>CLM105653</t>
  </si>
  <si>
    <t>CLM105654</t>
  </si>
  <si>
    <t>CLM105655</t>
  </si>
  <si>
    <t>CLM105656</t>
  </si>
  <si>
    <t>CLM105657</t>
  </si>
  <si>
    <t>CLM105658</t>
  </si>
  <si>
    <t>PT12816</t>
  </si>
  <si>
    <t>CLM105659</t>
  </si>
  <si>
    <t>PT10088</t>
  </si>
  <si>
    <t>CLM105660</t>
  </si>
  <si>
    <t>CLM105661</t>
  </si>
  <si>
    <t>CLM105662</t>
  </si>
  <si>
    <t>PT13140</t>
  </si>
  <si>
    <t>CLM105663</t>
  </si>
  <si>
    <t>CLM105664</t>
  </si>
  <si>
    <t>CLM105665</t>
  </si>
  <si>
    <t>CLM105666</t>
  </si>
  <si>
    <t>CLM105667</t>
  </si>
  <si>
    <t>CLM105668</t>
  </si>
  <si>
    <t>CLM105669</t>
  </si>
  <si>
    <t>CLM105670</t>
  </si>
  <si>
    <t>CLM105671</t>
  </si>
  <si>
    <t>CLM105672</t>
  </si>
  <si>
    <t>CLM105673</t>
  </si>
  <si>
    <t>CLM105674</t>
  </si>
  <si>
    <t>CLM105675</t>
  </si>
  <si>
    <t>PT12885</t>
  </si>
  <si>
    <t>CLM105676</t>
  </si>
  <si>
    <t>PT10296</t>
  </si>
  <si>
    <t>CLM105677</t>
  </si>
  <si>
    <t>CLM105678</t>
  </si>
  <si>
    <t>CLM105679</t>
  </si>
  <si>
    <t>CLM105680</t>
  </si>
  <si>
    <t>CLM105681</t>
  </si>
  <si>
    <t>CLM105682</t>
  </si>
  <si>
    <t>CLM105683</t>
  </si>
  <si>
    <t>PT10052</t>
  </si>
  <si>
    <t>CLM105684</t>
  </si>
  <si>
    <t>PT12956</t>
  </si>
  <si>
    <t>CLM105685</t>
  </si>
  <si>
    <t>PT10501</t>
  </si>
  <si>
    <t>CLM105686</t>
  </si>
  <si>
    <t>CLM105687</t>
  </si>
  <si>
    <t>CLM105688</t>
  </si>
  <si>
    <t>CLM105689</t>
  </si>
  <si>
    <t>PT10283</t>
  </si>
  <si>
    <t>CLM105690</t>
  </si>
  <si>
    <t>CLM105691</t>
  </si>
  <si>
    <t>CLM105692</t>
  </si>
  <si>
    <t>PT11564</t>
  </si>
  <si>
    <t>CLM105693</t>
  </si>
  <si>
    <t>CLM105694</t>
  </si>
  <si>
    <t>CLM105695</t>
  </si>
  <si>
    <t>CLM105696</t>
  </si>
  <si>
    <t>PT11529</t>
  </si>
  <si>
    <t>CLM105697</t>
  </si>
  <si>
    <t>PT12575</t>
  </si>
  <si>
    <t>CLM105698</t>
  </si>
  <si>
    <t>CLM105699</t>
  </si>
  <si>
    <t>CLM105700</t>
  </si>
  <si>
    <t>CLM105701</t>
  </si>
  <si>
    <t>CLM105702</t>
  </si>
  <si>
    <t>PT12224</t>
  </si>
  <si>
    <t>CLM105703</t>
  </si>
  <si>
    <t>CLM105704</t>
  </si>
  <si>
    <t>CLM105705</t>
  </si>
  <si>
    <t>CLM105706</t>
  </si>
  <si>
    <t>CLM105707</t>
  </si>
  <si>
    <t>CLM105708</t>
  </si>
  <si>
    <t>CLM105709</t>
  </si>
  <si>
    <t>PT11400</t>
  </si>
  <si>
    <t>CLM105710</t>
  </si>
  <si>
    <t>CLM105711</t>
  </si>
  <si>
    <t>CLM105712</t>
  </si>
  <si>
    <t>PT12256</t>
  </si>
  <si>
    <t>CLM105713</t>
  </si>
  <si>
    <t>CLM105714</t>
  </si>
  <si>
    <t>CLM105715</t>
  </si>
  <si>
    <t>CLM105716</t>
  </si>
  <si>
    <t>PT10136</t>
  </si>
  <si>
    <t>CLM105717</t>
  </si>
  <si>
    <t>PT11926</t>
  </si>
  <si>
    <t>CLM105718</t>
  </si>
  <si>
    <t>CLM105719</t>
  </si>
  <si>
    <t>CLM105720</t>
  </si>
  <si>
    <t>CLM105721</t>
  </si>
  <si>
    <t>PT11403</t>
  </si>
  <si>
    <t>CLM105722</t>
  </si>
  <si>
    <t>CLM105723</t>
  </si>
  <si>
    <t>CLM105724</t>
  </si>
  <si>
    <t>CLM105725</t>
  </si>
  <si>
    <t>CLM105726</t>
  </si>
  <si>
    <t>PT12285</t>
  </si>
  <si>
    <t>CLM105727</t>
  </si>
  <si>
    <t>PT10183</t>
  </si>
  <si>
    <t>CLM105728</t>
  </si>
  <si>
    <t>CLM105729</t>
  </si>
  <si>
    <t>CLM105730</t>
  </si>
  <si>
    <t>CLM105731</t>
  </si>
  <si>
    <t>PT12994</t>
  </si>
  <si>
    <t>CLM105732</t>
  </si>
  <si>
    <t>CLM105733</t>
  </si>
  <si>
    <t>PT11518</t>
  </si>
  <si>
    <t>CLM105734</t>
  </si>
  <si>
    <t>CLM105735</t>
  </si>
  <si>
    <t>CLM105736</t>
  </si>
  <si>
    <t>CLM105737</t>
  </si>
  <si>
    <t>CLM105738</t>
  </si>
  <si>
    <t>CLM105739</t>
  </si>
  <si>
    <t>CLM105740</t>
  </si>
  <si>
    <t>CLM105741</t>
  </si>
  <si>
    <t>CLM105742</t>
  </si>
  <si>
    <t>PT10751</t>
  </si>
  <si>
    <t>CLM105743</t>
  </si>
  <si>
    <t>CLM105744</t>
  </si>
  <si>
    <t>CLM105745</t>
  </si>
  <si>
    <t>CLM105746</t>
  </si>
  <si>
    <t>PT13165</t>
  </si>
  <si>
    <t>CLM105747</t>
  </si>
  <si>
    <t>CLM105748</t>
  </si>
  <si>
    <t>CLM105749</t>
  </si>
  <si>
    <t>CLM105750</t>
  </si>
  <si>
    <t>CLM105751</t>
  </si>
  <si>
    <t>CLM105752</t>
  </si>
  <si>
    <t>CLM105753</t>
  </si>
  <si>
    <t>CLM105755</t>
  </si>
  <si>
    <t>PT11542</t>
  </si>
  <si>
    <t>CLM105756</t>
  </si>
  <si>
    <t>CLM105757</t>
  </si>
  <si>
    <t>CLM105758</t>
  </si>
  <si>
    <t>CLM105759</t>
  </si>
  <si>
    <t>CLM105760</t>
  </si>
  <si>
    <t>CLM105761</t>
  </si>
  <si>
    <t>CLM105762</t>
  </si>
  <si>
    <t>CLM105763</t>
  </si>
  <si>
    <t>PT12895</t>
  </si>
  <si>
    <t>CLM105764</t>
  </si>
  <si>
    <t>PT13317</t>
  </si>
  <si>
    <t>CLM105765</t>
  </si>
  <si>
    <t>CLM105766</t>
  </si>
  <si>
    <t>CLM105767</t>
  </si>
  <si>
    <t>CLM105768</t>
  </si>
  <si>
    <t>CLM105769</t>
  </si>
  <si>
    <t>CLM105770</t>
  </si>
  <si>
    <t>CLM105771</t>
  </si>
  <si>
    <t>PT10493</t>
  </si>
  <si>
    <t>CLM105772</t>
  </si>
  <si>
    <t>CLM105773</t>
  </si>
  <si>
    <t>PT13416</t>
  </si>
  <si>
    <t>CLM105774</t>
  </si>
  <si>
    <t>CLM105775</t>
  </si>
  <si>
    <t>PT11130</t>
  </si>
  <si>
    <t>CLM105776</t>
  </si>
  <si>
    <t>CLM105777</t>
  </si>
  <si>
    <t>CLM105778</t>
  </si>
  <si>
    <t>CLM105779</t>
  </si>
  <si>
    <t>CLM105780</t>
  </si>
  <si>
    <t>CLM105781</t>
  </si>
  <si>
    <t>CLM105782</t>
  </si>
  <si>
    <t>CLM105783</t>
  </si>
  <si>
    <t>CLM105784</t>
  </si>
  <si>
    <t>CLM105785</t>
  </si>
  <si>
    <t>CLM105786</t>
  </si>
  <si>
    <t>CLM105787</t>
  </si>
  <si>
    <t>CLM105788</t>
  </si>
  <si>
    <t>CLM105789</t>
  </si>
  <si>
    <t>CLM105790</t>
  </si>
  <si>
    <t>CLM105791</t>
  </si>
  <si>
    <t>PT10704</t>
  </si>
  <si>
    <t>CLM105792</t>
  </si>
  <si>
    <t>CLM105793</t>
  </si>
  <si>
    <t>CLM105794</t>
  </si>
  <si>
    <t>CLM105795</t>
  </si>
  <si>
    <t>CLM105796</t>
  </si>
  <si>
    <t>CLM105797</t>
  </si>
  <si>
    <t>CLM105798</t>
  </si>
  <si>
    <t>CLM105799</t>
  </si>
  <si>
    <t>PT12720</t>
  </si>
  <si>
    <t>CLM105800</t>
  </si>
  <si>
    <t>CLM105801</t>
  </si>
  <si>
    <t>CLM105802</t>
  </si>
  <si>
    <t>CLM105803</t>
  </si>
  <si>
    <t>CLM105804</t>
  </si>
  <si>
    <t>CLM105805</t>
  </si>
  <si>
    <t>CLM105806</t>
  </si>
  <si>
    <t>CLM105807</t>
  </si>
  <si>
    <t>CLM105808</t>
  </si>
  <si>
    <t>CLM105809</t>
  </si>
  <si>
    <t>CLM105810</t>
  </si>
  <si>
    <t>CLM105811</t>
  </si>
  <si>
    <t>CLM105812</t>
  </si>
  <si>
    <t>CLM105813</t>
  </si>
  <si>
    <t>CLM105814</t>
  </si>
  <si>
    <t>CLM105815</t>
  </si>
  <si>
    <t>CLM105816</t>
  </si>
  <si>
    <t>CLM105817</t>
  </si>
  <si>
    <t>CLM105818</t>
  </si>
  <si>
    <t>PT11698</t>
  </si>
  <si>
    <t>CLM105819</t>
  </si>
  <si>
    <t>CLM105820</t>
  </si>
  <si>
    <t>PT10809</t>
  </si>
  <si>
    <t>CLM105821</t>
  </si>
  <si>
    <t>CLM105822</t>
  </si>
  <si>
    <t>CLM105823</t>
  </si>
  <si>
    <t>PT13034</t>
  </si>
  <si>
    <t>CLM105824</t>
  </si>
  <si>
    <t>CLM105825</t>
  </si>
  <si>
    <t>CLM105826</t>
  </si>
  <si>
    <t>CLM105827</t>
  </si>
  <si>
    <t>CLM105828</t>
  </si>
  <si>
    <t>PT13229</t>
  </si>
  <si>
    <t>CLM105829</t>
  </si>
  <si>
    <t>CLM105830</t>
  </si>
  <si>
    <t>CLM105831</t>
  </si>
  <si>
    <t>CLM105832</t>
  </si>
  <si>
    <t>CLM105833</t>
  </si>
  <si>
    <t>CLM105834</t>
  </si>
  <si>
    <t>CLM105835</t>
  </si>
  <si>
    <t>CLM105836</t>
  </si>
  <si>
    <t>CLM105837</t>
  </si>
  <si>
    <t>CLM105838</t>
  </si>
  <si>
    <t>CLM105840</t>
  </si>
  <si>
    <t>CLM105841</t>
  </si>
  <si>
    <t>CLM105842</t>
  </si>
  <si>
    <t>PT11093</t>
  </si>
  <si>
    <t>CLM105843</t>
  </si>
  <si>
    <t>PT11226</t>
  </si>
  <si>
    <t>CLM105844</t>
  </si>
  <si>
    <t>PT10267</t>
  </si>
  <si>
    <t>CLM105845</t>
  </si>
  <si>
    <t>CLM105846</t>
  </si>
  <si>
    <t>CLM105848</t>
  </si>
  <si>
    <t>CLM105849</t>
  </si>
  <si>
    <t>PT10173</t>
  </si>
  <si>
    <t>CLM105850</t>
  </si>
  <si>
    <t>PT11112</t>
  </si>
  <si>
    <t>CLM105851</t>
  </si>
  <si>
    <t>CLM105853</t>
  </si>
  <si>
    <t>CLM105854</t>
  </si>
  <si>
    <t>CLM105855</t>
  </si>
  <si>
    <t>CLM105856</t>
  </si>
  <si>
    <t>PT13444</t>
  </si>
  <si>
    <t>CLM105857</t>
  </si>
  <si>
    <t>PT12008</t>
  </si>
  <si>
    <t>CLM105858</t>
  </si>
  <si>
    <t>CLM105859</t>
  </si>
  <si>
    <t>CLM105860</t>
  </si>
  <si>
    <t>CLM105861</t>
  </si>
  <si>
    <t>PT10981</t>
  </si>
  <si>
    <t>CLM105862</t>
  </si>
  <si>
    <t>CLM105863</t>
  </si>
  <si>
    <t>CLM105864</t>
  </si>
  <si>
    <t>CLM105865</t>
  </si>
  <si>
    <t>CLM105866</t>
  </si>
  <si>
    <t>PT10738</t>
  </si>
  <si>
    <t>CLM105867</t>
  </si>
  <si>
    <t>CLM105868</t>
  </si>
  <si>
    <t>CLM105869</t>
  </si>
  <si>
    <t>CLM105870</t>
  </si>
  <si>
    <t>CLM105871</t>
  </si>
  <si>
    <t>CLM105872</t>
  </si>
  <si>
    <t>CLM105873</t>
  </si>
  <si>
    <t>CLM105874</t>
  </si>
  <si>
    <t>CLM105875</t>
  </si>
  <si>
    <t>CLM105876</t>
  </si>
  <si>
    <t>CLM105877</t>
  </si>
  <si>
    <t>CLM105878</t>
  </si>
  <si>
    <t>CLM105879</t>
  </si>
  <si>
    <t>CLM105880</t>
  </si>
  <si>
    <t>CLM105881</t>
  </si>
  <si>
    <t>PT12351</t>
  </si>
  <si>
    <t>CLM105882</t>
  </si>
  <si>
    <t>CLM105883</t>
  </si>
  <si>
    <t>PT10226</t>
  </si>
  <si>
    <t>CLM105884</t>
  </si>
  <si>
    <t>CLM105885</t>
  </si>
  <si>
    <t>CLM105886</t>
  </si>
  <si>
    <t>CLM105887</t>
  </si>
  <si>
    <t>CLM105888</t>
  </si>
  <si>
    <t>CLM105889</t>
  </si>
  <si>
    <t>CLM105890</t>
  </si>
  <si>
    <t>PT10607</t>
  </si>
  <si>
    <t>CLM105891</t>
  </si>
  <si>
    <t>CLM105892</t>
  </si>
  <si>
    <t>CLM105893</t>
  </si>
  <si>
    <t>CLM105894</t>
  </si>
  <si>
    <t>CLM105895</t>
  </si>
  <si>
    <t>CLM105896</t>
  </si>
  <si>
    <t>PT11264</t>
  </si>
  <si>
    <t>CLM105897</t>
  </si>
  <si>
    <t>CLM105898</t>
  </si>
  <si>
    <t>CLM105899</t>
  </si>
  <si>
    <t>CLM105900</t>
  </si>
  <si>
    <t>CLM105901</t>
  </si>
  <si>
    <t>CLM105902</t>
  </si>
  <si>
    <t>PT10498</t>
  </si>
  <si>
    <t>CLM105903</t>
  </si>
  <si>
    <t>CLM105904</t>
  </si>
  <si>
    <t>CLM105905</t>
  </si>
  <si>
    <t>CLM105906</t>
  </si>
  <si>
    <t>CLM105907</t>
  </si>
  <si>
    <t>CLM105908</t>
  </si>
  <si>
    <t>PT12308</t>
  </si>
  <si>
    <t>CLM105909</t>
  </si>
  <si>
    <t>CLM105910</t>
  </si>
  <si>
    <t>PT11207</t>
  </si>
  <si>
    <t>CLM105911</t>
  </si>
  <si>
    <t>CLM105912</t>
  </si>
  <si>
    <t>PT11282</t>
  </si>
  <si>
    <t>CLM105913</t>
  </si>
  <si>
    <t>CLM105914</t>
  </si>
  <si>
    <t>CLM105915</t>
  </si>
  <si>
    <t>CLM105916</t>
  </si>
  <si>
    <t>CLM105917</t>
  </si>
  <si>
    <t>CLM105919</t>
  </si>
  <si>
    <t>CLM105920</t>
  </si>
  <si>
    <t>PT13267</t>
  </si>
  <si>
    <t>CLM105921</t>
  </si>
  <si>
    <t>CLM105922</t>
  </si>
  <si>
    <t>CLM105923</t>
  </si>
  <si>
    <t>PT10972</t>
  </si>
  <si>
    <t>CLM105924</t>
  </si>
  <si>
    <t>CLM105925</t>
  </si>
  <si>
    <t>CLM105926</t>
  </si>
  <si>
    <t>CLM105927</t>
  </si>
  <si>
    <t>CLM105928</t>
  </si>
  <si>
    <t>CLM105929</t>
  </si>
  <si>
    <t>CLM105930</t>
  </si>
  <si>
    <t>CLM105931</t>
  </si>
  <si>
    <t>CLM105932</t>
  </si>
  <si>
    <t>CLM105933</t>
  </si>
  <si>
    <t>CLM105934</t>
  </si>
  <si>
    <t>CLM105935</t>
  </si>
  <si>
    <t>CLM105936</t>
  </si>
  <si>
    <t>CLM105937</t>
  </si>
  <si>
    <t>CLM105938</t>
  </si>
  <si>
    <t>CLM105939</t>
  </si>
  <si>
    <t>CLM105940</t>
  </si>
  <si>
    <t>PT10950</t>
  </si>
  <si>
    <t>CLM105941</t>
  </si>
  <si>
    <t>CLM105942</t>
  </si>
  <si>
    <t>CLM105943</t>
  </si>
  <si>
    <t>CLM105944</t>
  </si>
  <si>
    <t>CLM105945</t>
  </si>
  <si>
    <t>CLM105946</t>
  </si>
  <si>
    <t>CLM105947</t>
  </si>
  <si>
    <t>CLM105948</t>
  </si>
  <si>
    <t>CLM105949</t>
  </si>
  <si>
    <t>CLM105950</t>
  </si>
  <si>
    <t>PT12183</t>
  </si>
  <si>
    <t>CLM105951</t>
  </si>
  <si>
    <t>CLM105952</t>
  </si>
  <si>
    <t>CLM105953</t>
  </si>
  <si>
    <t>CLM105954</t>
  </si>
  <si>
    <t>CLM105955</t>
  </si>
  <si>
    <t>PT11355</t>
  </si>
  <si>
    <t>CLM105956</t>
  </si>
  <si>
    <t>CLM105957</t>
  </si>
  <si>
    <t>CLM105958</t>
  </si>
  <si>
    <t>CLM105959</t>
  </si>
  <si>
    <t>CLM105960</t>
  </si>
  <si>
    <t>CLM105961</t>
  </si>
  <si>
    <t>CLM105962</t>
  </si>
  <si>
    <t>CLM105963</t>
  </si>
  <si>
    <t>CLM105964</t>
  </si>
  <si>
    <t>PT11336</t>
  </si>
  <si>
    <t>CLM105965</t>
  </si>
  <si>
    <t>PT10940</t>
  </si>
  <si>
    <t>CLM105966</t>
  </si>
  <si>
    <t>CLM105967</t>
  </si>
  <si>
    <t>CLM105968</t>
  </si>
  <si>
    <t>CLM105969</t>
  </si>
  <si>
    <t>CLM105970</t>
  </si>
  <si>
    <t>CLM105971</t>
  </si>
  <si>
    <t>CLM105972</t>
  </si>
  <si>
    <t>CLM105973</t>
  </si>
  <si>
    <t>CLM105974</t>
  </si>
  <si>
    <t>CLM105975</t>
  </si>
  <si>
    <t>PT10148</t>
  </si>
  <si>
    <t>CLM105976</t>
  </si>
  <si>
    <t>CLM105977</t>
  </si>
  <si>
    <t>PT12086</t>
  </si>
  <si>
    <t>CLM105978</t>
  </si>
  <si>
    <t>CLM105979</t>
  </si>
  <si>
    <t>PT12282</t>
  </si>
  <si>
    <t>CLM105980</t>
  </si>
  <si>
    <t>CLM105981</t>
  </si>
  <si>
    <t>CLM105982</t>
  </si>
  <si>
    <t>CLM105983</t>
  </si>
  <si>
    <t>CLM105984</t>
  </si>
  <si>
    <t>CLM105985</t>
  </si>
  <si>
    <t>CLM105986</t>
  </si>
  <si>
    <t>CLM105987</t>
  </si>
  <si>
    <t>CLM105988</t>
  </si>
  <si>
    <t>CLM105989</t>
  </si>
  <si>
    <t>CLM105990</t>
  </si>
  <si>
    <t>CLM105991</t>
  </si>
  <si>
    <t>CLM105992</t>
  </si>
  <si>
    <t>CLM105993</t>
  </si>
  <si>
    <t>CLM105994</t>
  </si>
  <si>
    <t>CLM105995</t>
  </si>
  <si>
    <t>CLM105996</t>
  </si>
  <si>
    <t>CLM105997</t>
  </si>
  <si>
    <t>CLM105998</t>
  </si>
  <si>
    <t>PT10435</t>
  </si>
  <si>
    <t>CLM105999</t>
  </si>
  <si>
    <t>CLM106000</t>
  </si>
  <si>
    <t>CLM106001</t>
  </si>
  <si>
    <t>PT10272</t>
  </si>
  <si>
    <t>CLM106002</t>
  </si>
  <si>
    <t>CLM106003</t>
  </si>
  <si>
    <t>PT11257</t>
  </si>
  <si>
    <t>CLM106004</t>
  </si>
  <si>
    <t>CLM106005</t>
  </si>
  <si>
    <t>CLM106006</t>
  </si>
  <si>
    <t>PT10326</t>
  </si>
  <si>
    <t>CLM106007</t>
  </si>
  <si>
    <t>CLM106008</t>
  </si>
  <si>
    <t>CLM106009</t>
  </si>
  <si>
    <t>CLM106010</t>
  </si>
  <si>
    <t>CLM106011</t>
  </si>
  <si>
    <t>CLM106012</t>
  </si>
  <si>
    <t>PT13070</t>
  </si>
  <si>
    <t>CLM106013</t>
  </si>
  <si>
    <t>PT13495</t>
  </si>
  <si>
    <t>CLM106014</t>
  </si>
  <si>
    <t>CLM106015</t>
  </si>
  <si>
    <t>CLM106016</t>
  </si>
  <si>
    <t>CLM106017</t>
  </si>
  <si>
    <t>CLM106018</t>
  </si>
  <si>
    <t>CLM106019</t>
  </si>
  <si>
    <t>CLM106020</t>
  </si>
  <si>
    <t>CLM106021</t>
  </si>
  <si>
    <t>CLM106022</t>
  </si>
  <si>
    <t>CLM106023</t>
  </si>
  <si>
    <t>PT12947</t>
  </si>
  <si>
    <t>CLM106024</t>
  </si>
  <si>
    <t>PT11689</t>
  </si>
  <si>
    <t>CLM106025</t>
  </si>
  <si>
    <t>CLM106026</t>
  </si>
  <si>
    <t>CLM106027</t>
  </si>
  <si>
    <t>CLM106028</t>
  </si>
  <si>
    <t>CLM106029</t>
  </si>
  <si>
    <t>PT10595</t>
  </si>
  <si>
    <t>CLM106030</t>
  </si>
  <si>
    <t>CLM106031</t>
  </si>
  <si>
    <t>CLM106032</t>
  </si>
  <si>
    <t>CLM106034</t>
  </si>
  <si>
    <t>CLM106035</t>
  </si>
  <si>
    <t>CLM106036</t>
  </si>
  <si>
    <t>PT11483</t>
  </si>
  <si>
    <t>CLM106037</t>
  </si>
  <si>
    <t>PT11673</t>
  </si>
  <si>
    <t>CLM106038</t>
  </si>
  <si>
    <t>CLM106039</t>
  </si>
  <si>
    <t>CLM106040</t>
  </si>
  <si>
    <t>PT10103</t>
  </si>
  <si>
    <t>CLM106041</t>
  </si>
  <si>
    <t>CLM106042</t>
  </si>
  <si>
    <t>CLM106043</t>
  </si>
  <si>
    <t>PT11387</t>
  </si>
  <si>
    <t>CLM106044</t>
  </si>
  <si>
    <t>CLM106045</t>
  </si>
  <si>
    <t>CLM106046</t>
  </si>
  <si>
    <t>CLM106047</t>
  </si>
  <si>
    <t>CLM106048</t>
  </si>
  <si>
    <t>CLM106049</t>
  </si>
  <si>
    <t>CLM106050</t>
  </si>
  <si>
    <t>PT13172</t>
  </si>
  <si>
    <t>CLM106051</t>
  </si>
  <si>
    <t>CLM106052</t>
  </si>
  <si>
    <t>CLM106053</t>
  </si>
  <si>
    <t>CLM106054</t>
  </si>
  <si>
    <t>CLM106055</t>
  </si>
  <si>
    <t>CLM106056</t>
  </si>
  <si>
    <t>CLM106057</t>
  </si>
  <si>
    <t>CLM106058</t>
  </si>
  <si>
    <t>PT11994</t>
  </si>
  <si>
    <t>CLM106059</t>
  </si>
  <si>
    <t>PT10472</t>
  </si>
  <si>
    <t>CLM106060</t>
  </si>
  <si>
    <t>CLM106061</t>
  </si>
  <si>
    <t>CLM106062</t>
  </si>
  <si>
    <t>CLM106063</t>
  </si>
  <si>
    <t>CLM106064</t>
  </si>
  <si>
    <t>CLM106065</t>
  </si>
  <si>
    <t>CLM106066</t>
  </si>
  <si>
    <t>PT10499</t>
  </si>
  <si>
    <t>CLM106067</t>
  </si>
  <si>
    <t>PT11454</t>
  </si>
  <si>
    <t>CLM106068</t>
  </si>
  <si>
    <t>PT11096</t>
  </si>
  <si>
    <t>CLM106069</t>
  </si>
  <si>
    <t>CLM106070</t>
  </si>
  <si>
    <t>CLM106071</t>
  </si>
  <si>
    <t>CLM106072</t>
  </si>
  <si>
    <t>PT12674</t>
  </si>
  <si>
    <t>CLM106073</t>
  </si>
  <si>
    <t>CLM106074</t>
  </si>
  <si>
    <t>CLM106075</t>
  </si>
  <si>
    <t>CLM106076</t>
  </si>
  <si>
    <t>CLM106077</t>
  </si>
  <si>
    <t>CLM106078</t>
  </si>
  <si>
    <t>CLM106079</t>
  </si>
  <si>
    <t>PT10533</t>
  </si>
  <si>
    <t>CLM106080</t>
  </si>
  <si>
    <t>CLM106081</t>
  </si>
  <si>
    <t>CLM106082</t>
  </si>
  <si>
    <t>CLM106083</t>
  </si>
  <si>
    <t>CLM106084</t>
  </si>
  <si>
    <t>CLM106085</t>
  </si>
  <si>
    <t>CLM106086</t>
  </si>
  <si>
    <t>CLM106087</t>
  </si>
  <si>
    <t>CLM106089</t>
  </si>
  <si>
    <t>CLM106090</t>
  </si>
  <si>
    <t>PT10545</t>
  </si>
  <si>
    <t>CLM106091</t>
  </si>
  <si>
    <t>PT12149</t>
  </si>
  <si>
    <t>CLM106092</t>
  </si>
  <si>
    <t>CLM106093</t>
  </si>
  <si>
    <t>CLM106094</t>
  </si>
  <si>
    <t>CLM106095</t>
  </si>
  <si>
    <t>CLM106096</t>
  </si>
  <si>
    <t>CLM106097</t>
  </si>
  <si>
    <t>CLM106098</t>
  </si>
  <si>
    <t>CLM106099</t>
  </si>
  <si>
    <t>CLM106100</t>
  </si>
  <si>
    <t>CLM106101</t>
  </si>
  <si>
    <t>CLM106102</t>
  </si>
  <si>
    <t>CLM106103</t>
  </si>
  <si>
    <t>CLM106104</t>
  </si>
  <si>
    <t>CLM106105</t>
  </si>
  <si>
    <t>CLM106106</t>
  </si>
  <si>
    <t>CLM106107</t>
  </si>
  <si>
    <t>CLM106108</t>
  </si>
  <si>
    <t>CLM106109</t>
  </si>
  <si>
    <t>CLM106110</t>
  </si>
  <si>
    <t>CLM106111</t>
  </si>
  <si>
    <t>CLM106112</t>
  </si>
  <si>
    <t>CLM106113</t>
  </si>
  <si>
    <t>CLM106114</t>
  </si>
  <si>
    <t>CLM106115</t>
  </si>
  <si>
    <t>CLM106116</t>
  </si>
  <si>
    <t>PT11655</t>
  </si>
  <si>
    <t>CLM106117</t>
  </si>
  <si>
    <t>CLM106118</t>
  </si>
  <si>
    <t>CLM106119</t>
  </si>
  <si>
    <t>CLM106120</t>
  </si>
  <si>
    <t>CLM106121</t>
  </si>
  <si>
    <t>CLM106122</t>
  </si>
  <si>
    <t>CLM106123</t>
  </si>
  <si>
    <t>CLM106124</t>
  </si>
  <si>
    <t>CLM106125</t>
  </si>
  <si>
    <t>CLM106126</t>
  </si>
  <si>
    <t>CLM106127</t>
  </si>
  <si>
    <t>CLM106128</t>
  </si>
  <si>
    <t>CLM106129</t>
  </si>
  <si>
    <t>CLM106130</t>
  </si>
  <si>
    <t>CLM106131</t>
  </si>
  <si>
    <t>CLM106132</t>
  </si>
  <si>
    <t>CLM106133</t>
  </si>
  <si>
    <t>CLM106134</t>
  </si>
  <si>
    <t>CLM106135</t>
  </si>
  <si>
    <t>CLM106136</t>
  </si>
  <si>
    <t>CLM106137</t>
  </si>
  <si>
    <t>CLM106138</t>
  </si>
  <si>
    <t>CLM106139</t>
  </si>
  <si>
    <t>CLM106140</t>
  </si>
  <si>
    <t>CLM106141</t>
  </si>
  <si>
    <t>CLM106142</t>
  </si>
  <si>
    <t>CLM106143</t>
  </si>
  <si>
    <t>CLM106144</t>
  </si>
  <si>
    <t>CLM106145</t>
  </si>
  <si>
    <t>CLM106146</t>
  </si>
  <si>
    <t>CLM106147</t>
  </si>
  <si>
    <t>CLM106148</t>
  </si>
  <si>
    <t>CLM106149</t>
  </si>
  <si>
    <t>CLM106150</t>
  </si>
  <si>
    <t>CLM106151</t>
  </si>
  <si>
    <t>CLM106152</t>
  </si>
  <si>
    <t>CLM106153</t>
  </si>
  <si>
    <t>PT11991</t>
  </si>
  <si>
    <t>CLM106154</t>
  </si>
  <si>
    <t>CLM106155</t>
  </si>
  <si>
    <t>CLM106156</t>
  </si>
  <si>
    <t>CLM106157</t>
  </si>
  <si>
    <t>CLM106158</t>
  </si>
  <si>
    <t>CLM106159</t>
  </si>
  <si>
    <t>CLM106160</t>
  </si>
  <si>
    <t>CLM106161</t>
  </si>
  <si>
    <t>CLM106162</t>
  </si>
  <si>
    <t>CLM106163</t>
  </si>
  <si>
    <t>CLM106164</t>
  </si>
  <si>
    <t>CLM106165</t>
  </si>
  <si>
    <t>CLM106166</t>
  </si>
  <si>
    <t>CLM106167</t>
  </si>
  <si>
    <t>CLM106168</t>
  </si>
  <si>
    <t>CLM106169</t>
  </si>
  <si>
    <t>CLM106170</t>
  </si>
  <si>
    <t>CLM106171</t>
  </si>
  <si>
    <t>CLM106172</t>
  </si>
  <si>
    <t>CLM106173</t>
  </si>
  <si>
    <t>CLM106174</t>
  </si>
  <si>
    <t>CLM106175</t>
  </si>
  <si>
    <t>CLM106176</t>
  </si>
  <si>
    <t>CLM106177</t>
  </si>
  <si>
    <t>CLM106178</t>
  </si>
  <si>
    <t>CLM106179</t>
  </si>
  <si>
    <t>CLM106180</t>
  </si>
  <si>
    <t>CLM106181</t>
  </si>
  <si>
    <t>PT12329</t>
  </si>
  <si>
    <t>CLM106182</t>
  </si>
  <si>
    <t>CLM106183</t>
  </si>
  <si>
    <t>CLM106184</t>
  </si>
  <si>
    <t>CLM106185</t>
  </si>
  <si>
    <t>CLM106186</t>
  </si>
  <si>
    <t>CLM106187</t>
  </si>
  <si>
    <t>PT13022</t>
  </si>
  <si>
    <t>CLM106188</t>
  </si>
  <si>
    <t>CLM106189</t>
  </si>
  <si>
    <t>CLM106190</t>
  </si>
  <si>
    <t>CLM106191</t>
  </si>
  <si>
    <t>CLM106192</t>
  </si>
  <si>
    <t>CLM106193</t>
  </si>
  <si>
    <t>CLM106194</t>
  </si>
  <si>
    <t>CLM106195</t>
  </si>
  <si>
    <t>CLM106196</t>
  </si>
  <si>
    <t>CLM106197</t>
  </si>
  <si>
    <t>CLM106198</t>
  </si>
  <si>
    <t>CLM106199</t>
  </si>
  <si>
    <t>PT11043</t>
  </si>
  <si>
    <t>CLM106200</t>
  </si>
  <si>
    <t>description</t>
  </si>
  <si>
    <t>service_category</t>
  </si>
  <si>
    <t>standard_charge</t>
  </si>
  <si>
    <t>Office visit, established, low</t>
  </si>
  <si>
    <t>E/M</t>
  </si>
  <si>
    <t>Office visit, established, moderate</t>
  </si>
  <si>
    <t>Office visit, new, moderate</t>
  </si>
  <si>
    <t>Therapeutic exercise, 15 min</t>
  </si>
  <si>
    <t>Therapy</t>
  </si>
  <si>
    <t>Manual therapy, 15 min</t>
  </si>
  <si>
    <t>MRI lumbar spine w/o contrast</t>
  </si>
  <si>
    <t>Imaging</t>
  </si>
  <si>
    <t>MRI knee w/o contrast</t>
  </si>
  <si>
    <t>Joint injection, major joint</t>
  </si>
  <si>
    <t>Procedure</t>
  </si>
  <si>
    <t>Betamethasone injection, 3 mg</t>
  </si>
  <si>
    <t>Drug</t>
  </si>
  <si>
    <t>Infliximab injection, 10 mg</t>
  </si>
  <si>
    <t>Specialty Drug</t>
  </si>
  <si>
    <t>Chemo/infusion admin, first hour</t>
  </si>
  <si>
    <t>Infusion</t>
  </si>
  <si>
    <t>Knee arthroscopy w/ meniscectomy</t>
  </si>
  <si>
    <t>Surgery</t>
  </si>
  <si>
    <t>payer_name</t>
  </si>
  <si>
    <t>payer_type</t>
  </si>
  <si>
    <t>avg_contract_days_to_pay</t>
  </si>
  <si>
    <t>Blue Horizon Commercial</t>
  </si>
  <si>
    <t>Commercial</t>
  </si>
  <si>
    <t>Summit Health Commercial</t>
  </si>
  <si>
    <t>Keystone Commercial PPO</t>
  </si>
  <si>
    <t>Medicare Part B</t>
  </si>
  <si>
    <t>Medicare</t>
  </si>
  <si>
    <t>Sunshine Medicare Advantage</t>
  </si>
  <si>
    <t>Medicare Advantage</t>
  </si>
  <si>
    <t>Florida Medicaid</t>
  </si>
  <si>
    <t>Medicaid</t>
  </si>
  <si>
    <t>Coastal Medicaid MCO</t>
  </si>
  <si>
    <t>Medicaid Managed Care</t>
  </si>
  <si>
    <t>Self-Pay</t>
  </si>
  <si>
    <t>contract_rate</t>
  </si>
  <si>
    <t>Check</t>
  </si>
  <si>
    <t>Result</t>
  </si>
  <si>
    <t>Expected</t>
  </si>
  <si>
    <t>Match?</t>
  </si>
  <si>
    <t>Claims rows</t>
  </si>
  <si>
    <t>Payers rows</t>
  </si>
  <si>
    <t>CPT rows</t>
  </si>
  <si>
    <t>Contract rows</t>
  </si>
  <si>
    <t>Total paid</t>
  </si>
  <si>
    <t>Total allowed</t>
  </si>
  <si>
    <t>Total billed</t>
  </si>
  <si>
    <t>Blank paid_amount</t>
  </si>
  <si>
    <t>Pending claims</t>
  </si>
  <si>
    <t>Denied claims</t>
  </si>
  <si>
    <t>Paid claims</t>
  </si>
  <si>
    <t>Unique claim_id</t>
  </si>
  <si>
    <t>std_charge</t>
  </si>
  <si>
    <t>expected_payment</t>
  </si>
  <si>
    <t>variance</t>
  </si>
  <si>
    <t>underpaid_flag</t>
  </si>
  <si>
    <t>Total expected</t>
  </si>
  <si>
    <t>Total variance</t>
  </si>
  <si>
    <t>underpaid count</t>
  </si>
  <si>
    <t>Underpaid $</t>
  </si>
  <si>
    <t>service_month</t>
  </si>
  <si>
    <t>Row Labels</t>
  </si>
  <si>
    <t>Grand Total</t>
  </si>
  <si>
    <t>Count of claim_id</t>
  </si>
  <si>
    <t>Underpaid</t>
  </si>
  <si>
    <t>Sum of variance</t>
  </si>
  <si>
    <t>Payer Underpayment Analysis</t>
  </si>
  <si>
    <t>Expected payment</t>
  </si>
  <si>
    <t>Allowed amount</t>
  </si>
  <si>
    <t>underpaid claims</t>
  </si>
  <si>
    <t>underpaid $</t>
  </si>
  <si>
    <t>Underpaid rate</t>
  </si>
  <si>
    <t>Avg underpayment/claim</t>
  </si>
  <si>
    <t>Revenue Leakage</t>
  </si>
  <si>
    <t>Top underpaying payer</t>
  </si>
  <si>
    <t>2025-10</t>
  </si>
  <si>
    <t>2025-11</t>
  </si>
  <si>
    <t>2025-12</t>
  </si>
  <si>
    <t>2026-01</t>
  </si>
  <si>
    <t>2026-02</t>
  </si>
  <si>
    <t>2026-03</t>
  </si>
  <si>
    <t>2026-04</t>
  </si>
  <si>
    <t>2026-05</t>
  </si>
  <si>
    <t>2026-06</t>
  </si>
  <si>
    <t>2026-07</t>
  </si>
  <si>
    <t>2026-08</t>
  </si>
  <si>
    <t>2026-09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</si>
</sst>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71" formatCode="0.0%"/>
    <numFmt numFmtId="172" formatCode="_(* #,##0_);_(* \(#,##0\);_(* &quot;-&quot;??_);_(@_)"/>
  </numFmts>
  <fonts count="4">
    <font>
      <sz val="11"/>
      <color theme="1"/>
      <name val="Aptos Narrow"/>
      <family val="2"/>
      <scheme val="minor"/>
    </font>
    <font>
      <sz val="11"/>
      <color theme="1"/>
      <name val="Aptos Narrow"/>
      <family val="2"/>
      <scheme val="minor"/>
    </font>
    <font>
      <sz val="10"/>
      <color theme="1"/>
      <name val="Arial Unicode MS"/>
    </font>
    <font>
      <b/>
      <sz val="18"/>
      <color theme="1"/>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applyAlignment="1">
      <alignment wrapText="1"/>
    </xf>
    <xf numFmtId="9" fontId="0" fillId="0" borderId="0" xfId="3" applyFont="1"/>
    <xf numFmtId="0" fontId="0" fillId="0" borderId="0" xfId="0" applyAlignment="1">
      <alignment vertical="center" wrapText="1"/>
    </xf>
    <xf numFmtId="0" fontId="2" fillId="0" borderId="0" xfId="0" applyFont="1" applyAlignment="1">
      <alignment vertical="center" wrapText="1"/>
    </xf>
    <xf numFmtId="0" fontId="0" fillId="0" borderId="0" xfId="0" pivotButton="1"/>
    <xf numFmtId="0" fontId="0" fillId="0" borderId="0" xfId="0" applyAlignment="1">
      <alignment horizontal="left"/>
    </xf>
    <xf numFmtId="0" fontId="3" fillId="0" borderId="0" xfId="0" applyFont="1"/>
    <xf numFmtId="44" fontId="0" fillId="0" borderId="0" xfId="2" applyFont="1"/>
    <xf numFmtId="171" fontId="0" fillId="0" borderId="0" xfId="3" applyNumberFormat="1" applyFont="1"/>
    <xf numFmtId="172" fontId="0" fillId="0" borderId="0" xfId="1" applyNumberFormat="1" applyFont="1"/>
  </cellXfs>
  <cellStyles count="4">
    <cellStyle name="Comma" xfId="1" builtinId="3"/>
    <cellStyle name="Currency" xfId="2" builtinId="4"/>
    <cellStyle name="Normal" xfId="0" builtinId="0"/>
    <cellStyle name="Percent" xfId="3" builtinId="5"/>
  </cellStyles>
  <dxfs count="30">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[Paayer Underpayment Analysis.xlsx]Pivot_Payer!PivotTable1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Underpaid</a:t>
            </a:r>
            <a:r>
              <a:rPr lang="en-US" baseline="0"/>
              <a:t> $</a:t>
            </a:r>
            <a:r>
              <a:rPr lang="en-US"/>
              <a:t> by</a:t>
            </a:r>
            <a:r>
              <a:rPr lang="en-US" baseline="0"/>
              <a:t> Payer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Pivot_Payer!$C$3</c:f>
              <c:strCache>
                <c:ptCount val="1"/>
                <c:pt idx="0">
                  <c:v>Sum of variance</c:v>
                </c:pt>
              </c:strCache>
            </c:strRef>
          </c:tx>
          <c:spPr>
            <a:solidFill>
              <a:schemeClr val="accent2"/>
            </a:solidFill>
            <a:ln>
              <a:noFill/>
            </a:ln>
            <a:effectLst/>
          </c:spPr>
          <c:invertIfNegative val="0"/>
          <c:cat>
            <c:strRef>
              <c:f>Pivot_Payer!$A$4:$A$11</c:f>
              <c:strCache>
                <c:ptCount val="7"/>
                <c:pt idx="0">
                  <c:v>Summit Health Commercial</c:v>
                </c:pt>
                <c:pt idx="1">
                  <c:v>Blue Horizon Commercial</c:v>
                </c:pt>
                <c:pt idx="2">
                  <c:v>Medicare Part B</c:v>
                </c:pt>
                <c:pt idx="3">
                  <c:v>Keystone Commercial PPO</c:v>
                </c:pt>
                <c:pt idx="4">
                  <c:v>Sunshine Medicare Advantage</c:v>
                </c:pt>
                <c:pt idx="5">
                  <c:v>Florida Medicaid</c:v>
                </c:pt>
                <c:pt idx="6">
                  <c:v>Coastal Medicaid MCO</c:v>
                </c:pt>
              </c:strCache>
            </c:strRef>
          </c:cat>
          <c:val>
            <c:numRef>
              <c:f>Pivot_Payer!$C$4:$C$11</c:f>
              <c:numCache>
                <c:formatCode>General</c:formatCode>
                <c:ptCount val="7"/>
                <c:pt idx="0">
                  <c:v>33646.419999999976</c:v>
                </c:pt>
                <c:pt idx="1">
                  <c:v>29896.080000000024</c:v>
                </c:pt>
                <c:pt idx="2">
                  <c:v>14184.739999999996</c:v>
                </c:pt>
                <c:pt idx="3">
                  <c:v>11666.130000000006</c:v>
                </c:pt>
                <c:pt idx="4">
                  <c:v>10661.950000000008</c:v>
                </c:pt>
                <c:pt idx="5">
                  <c:v>4975.7500000000009</c:v>
                </c:pt>
                <c:pt idx="6">
                  <c:v>2863.8</c:v>
                </c:pt>
              </c:numCache>
            </c:numRef>
          </c:val>
          <c:extLst>
            <c:ext xmlns:c16="http://schemas.microsoft.com/office/drawing/2014/chart" uri="{C3380CC4-5D6E-409C-BE32-E72D297353CC}">
              <c16:uniqueId val="{00000000-4596-46CB-833A-778A7A136D8B}"/>
            </c:ext>
          </c:extLst>
        </c:ser>
        <c:dLbls>
          <c:showLegendKey val="0"/>
          <c:showVal val="0"/>
          <c:showCatName val="0"/>
          <c:showSerName val="0"/>
          <c:showPercent val="0"/>
          <c:showBubbleSize val="0"/>
        </c:dLbls>
        <c:gapWidth val="219"/>
        <c:axId val="141119616"/>
        <c:axId val="141122976"/>
      </c:barChart>
      <c:lineChart>
        <c:grouping val="standard"/>
        <c:varyColors val="0"/>
        <c:ser>
          <c:idx val="0"/>
          <c:order val="0"/>
          <c:tx>
            <c:strRef>
              <c:f>Pivot_Payer!$B$3</c:f>
              <c:strCache>
                <c:ptCount val="1"/>
                <c:pt idx="0">
                  <c:v>Count of claim_id</c:v>
                </c:pt>
              </c:strCache>
            </c:strRef>
          </c:tx>
          <c:spPr>
            <a:ln w="28575" cap="rnd">
              <a:solidFill>
                <a:schemeClr val="accent1"/>
              </a:solidFill>
              <a:round/>
            </a:ln>
            <a:effectLst/>
          </c:spPr>
          <c:marker>
            <c:symbol val="none"/>
          </c:marker>
          <c:cat>
            <c:strRef>
              <c:f>Pivot_Payer!$A$4:$A$11</c:f>
              <c:strCache>
                <c:ptCount val="7"/>
                <c:pt idx="0">
                  <c:v>Summit Health Commercial</c:v>
                </c:pt>
                <c:pt idx="1">
                  <c:v>Blue Horizon Commercial</c:v>
                </c:pt>
                <c:pt idx="2">
                  <c:v>Medicare Part B</c:v>
                </c:pt>
                <c:pt idx="3">
                  <c:v>Keystone Commercial PPO</c:v>
                </c:pt>
                <c:pt idx="4">
                  <c:v>Sunshine Medicare Advantage</c:v>
                </c:pt>
                <c:pt idx="5">
                  <c:v>Florida Medicaid</c:v>
                </c:pt>
                <c:pt idx="6">
                  <c:v>Coastal Medicaid MCO</c:v>
                </c:pt>
              </c:strCache>
            </c:strRef>
          </c:cat>
          <c:val>
            <c:numRef>
              <c:f>Pivot_Payer!$B$4:$B$11</c:f>
              <c:numCache>
                <c:formatCode>General</c:formatCode>
                <c:ptCount val="7"/>
                <c:pt idx="0">
                  <c:v>315</c:v>
                </c:pt>
                <c:pt idx="1">
                  <c:v>376</c:v>
                </c:pt>
                <c:pt idx="2">
                  <c:v>259</c:v>
                </c:pt>
                <c:pt idx="3">
                  <c:v>134</c:v>
                </c:pt>
                <c:pt idx="4">
                  <c:v>152</c:v>
                </c:pt>
                <c:pt idx="5">
                  <c:v>115</c:v>
                </c:pt>
                <c:pt idx="6">
                  <c:v>108</c:v>
                </c:pt>
              </c:numCache>
            </c:numRef>
          </c:val>
          <c:smooth val="0"/>
          <c:extLst>
            <c:ext xmlns:c16="http://schemas.microsoft.com/office/drawing/2014/chart" uri="{C3380CC4-5D6E-409C-BE32-E72D297353CC}">
              <c16:uniqueId val="{00000001-4596-46CB-833A-778A7A136D8B}"/>
            </c:ext>
          </c:extLst>
        </c:ser>
        <c:dLbls>
          <c:showLegendKey val="0"/>
          <c:showVal val="0"/>
          <c:showCatName val="0"/>
          <c:showSerName val="0"/>
          <c:showPercent val="0"/>
          <c:showBubbleSize val="0"/>
        </c:dLbls>
        <c:marker val="1"/>
        <c:smooth val="0"/>
        <c:axId val="325013248"/>
        <c:axId val="325024288"/>
      </c:lineChart>
      <c:catAx>
        <c:axId val="1411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2976"/>
        <c:crosses val="autoZero"/>
        <c:auto val="1"/>
        <c:lblAlgn val="ctr"/>
        <c:lblOffset val="100"/>
        <c:noMultiLvlLbl val="0"/>
      </c:catAx>
      <c:valAx>
        <c:axId val="14112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9616"/>
        <c:crosses val="autoZero"/>
        <c:crossBetween val="between"/>
      </c:valAx>
      <c:valAx>
        <c:axId val="3250242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13248"/>
        <c:crosses val="max"/>
        <c:crossBetween val="between"/>
      </c:valAx>
      <c:catAx>
        <c:axId val="325013248"/>
        <c:scaling>
          <c:orientation val="minMax"/>
        </c:scaling>
        <c:delete val="1"/>
        <c:axPos val="b"/>
        <c:numFmt formatCode="General" sourceLinked="1"/>
        <c:majorTickMark val="out"/>
        <c:minorTickMark val="none"/>
        <c:tickLblPos val="nextTo"/>
        <c:crossAx val="3250242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[Paayer Underpayment Analysis.xlsx]Pivot_CPT!PivotTable2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Underpaid</a:t>
            </a:r>
            <a:r>
              <a:rPr lang="en-US" baseline="0"/>
              <a:t> $ by CPT Code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Pivot_CPT!$C$3</c:f>
              <c:strCache>
                <c:ptCount val="1"/>
                <c:pt idx="0">
                  <c:v>Sum of variance</c:v>
                </c:pt>
              </c:strCache>
            </c:strRef>
          </c:tx>
          <c:spPr>
            <a:solidFill>
              <a:schemeClr val="accent2"/>
            </a:solidFill>
            <a:ln>
              <a:noFill/>
            </a:ln>
            <a:effectLst/>
          </c:spPr>
          <c:invertIfNegative val="0"/>
          <c:cat>
            <c:strRef>
              <c:f>Pivot_CPT!$A$4:$A$16</c:f>
              <c:strCache>
                <c:ptCount val="12"/>
                <c:pt idx="0">
                  <c:v>J1745</c:v>
                </c:pt>
                <c:pt idx="1">
                  <c:v>29881</c:v>
                </c:pt>
                <c:pt idx="2">
                  <c:v>72148</c:v>
                </c:pt>
                <c:pt idx="3">
                  <c:v>73721</c:v>
                </c:pt>
                <c:pt idx="4">
                  <c:v>99214</c:v>
                </c:pt>
                <c:pt idx="5">
                  <c:v>99204</c:v>
                </c:pt>
                <c:pt idx="6">
                  <c:v>96413</c:v>
                </c:pt>
                <c:pt idx="7">
                  <c:v>99213</c:v>
                </c:pt>
                <c:pt idx="8">
                  <c:v>20610</c:v>
                </c:pt>
                <c:pt idx="9">
                  <c:v>97110</c:v>
                </c:pt>
                <c:pt idx="10">
                  <c:v>97140</c:v>
                </c:pt>
                <c:pt idx="11">
                  <c:v>J0702</c:v>
                </c:pt>
              </c:strCache>
            </c:strRef>
          </c:cat>
          <c:val>
            <c:numRef>
              <c:f>Pivot_CPT!$C$4:$C$16</c:f>
              <c:numCache>
                <c:formatCode>General</c:formatCode>
                <c:ptCount val="12"/>
                <c:pt idx="0">
                  <c:v>80360.039999999979</c:v>
                </c:pt>
                <c:pt idx="1">
                  <c:v>12568.719999999996</c:v>
                </c:pt>
                <c:pt idx="2">
                  <c:v>3310.9400000000005</c:v>
                </c:pt>
                <c:pt idx="3">
                  <c:v>2750.8399999999997</c:v>
                </c:pt>
                <c:pt idx="4">
                  <c:v>2628.2499999999991</c:v>
                </c:pt>
                <c:pt idx="5">
                  <c:v>1896.08</c:v>
                </c:pt>
                <c:pt idx="6">
                  <c:v>1396.7099999999991</c:v>
                </c:pt>
                <c:pt idx="7">
                  <c:v>1048.2899999999995</c:v>
                </c:pt>
                <c:pt idx="8">
                  <c:v>661.43</c:v>
                </c:pt>
                <c:pt idx="9">
                  <c:v>517.9699999999998</c:v>
                </c:pt>
                <c:pt idx="10">
                  <c:v>424.72</c:v>
                </c:pt>
                <c:pt idx="11">
                  <c:v>330.87999999999988</c:v>
                </c:pt>
              </c:numCache>
            </c:numRef>
          </c:val>
          <c:extLst>
            <c:ext xmlns:c16="http://schemas.microsoft.com/office/drawing/2014/chart" uri="{C3380CC4-5D6E-409C-BE32-E72D297353CC}">
              <c16:uniqueId val="{00000000-2E9E-42C7-895C-5CF7AB41BA1A}"/>
            </c:ext>
          </c:extLst>
        </c:ser>
        <c:dLbls>
          <c:showLegendKey val="0"/>
          <c:showVal val="0"/>
          <c:showCatName val="0"/>
          <c:showSerName val="0"/>
          <c:showPercent val="0"/>
          <c:showBubbleSize val="0"/>
        </c:dLbls>
        <c:gapWidth val="219"/>
        <c:axId val="1883020032"/>
        <c:axId val="1883026272"/>
      </c:barChart>
      <c:lineChart>
        <c:grouping val="standard"/>
        <c:varyColors val="0"/>
        <c:ser>
          <c:idx val="0"/>
          <c:order val="0"/>
          <c:tx>
            <c:strRef>
              <c:f>Pivot_CPT!$B$3</c:f>
              <c:strCache>
                <c:ptCount val="1"/>
                <c:pt idx="0">
                  <c:v>Count of claim_id</c:v>
                </c:pt>
              </c:strCache>
            </c:strRef>
          </c:tx>
          <c:spPr>
            <a:ln w="28575" cap="rnd">
              <a:solidFill>
                <a:schemeClr val="accent1"/>
              </a:solidFill>
              <a:round/>
            </a:ln>
            <a:effectLst/>
          </c:spPr>
          <c:marker>
            <c:symbol val="none"/>
          </c:marker>
          <c:cat>
            <c:strRef>
              <c:f>Pivot_CPT!$A$4:$A$16</c:f>
              <c:strCache>
                <c:ptCount val="12"/>
                <c:pt idx="0">
                  <c:v>J1745</c:v>
                </c:pt>
                <c:pt idx="1">
                  <c:v>29881</c:v>
                </c:pt>
                <c:pt idx="2">
                  <c:v>72148</c:v>
                </c:pt>
                <c:pt idx="3">
                  <c:v>73721</c:v>
                </c:pt>
                <c:pt idx="4">
                  <c:v>99214</c:v>
                </c:pt>
                <c:pt idx="5">
                  <c:v>99204</c:v>
                </c:pt>
                <c:pt idx="6">
                  <c:v>96413</c:v>
                </c:pt>
                <c:pt idx="7">
                  <c:v>99213</c:v>
                </c:pt>
                <c:pt idx="8">
                  <c:v>20610</c:v>
                </c:pt>
                <c:pt idx="9">
                  <c:v>97110</c:v>
                </c:pt>
                <c:pt idx="10">
                  <c:v>97140</c:v>
                </c:pt>
                <c:pt idx="11">
                  <c:v>J0702</c:v>
                </c:pt>
              </c:strCache>
            </c:strRef>
          </c:cat>
          <c:val>
            <c:numRef>
              <c:f>Pivot_CPT!$B$4:$B$16</c:f>
              <c:numCache>
                <c:formatCode>General</c:formatCode>
                <c:ptCount val="12"/>
                <c:pt idx="0">
                  <c:v>80</c:v>
                </c:pt>
                <c:pt idx="1">
                  <c:v>66</c:v>
                </c:pt>
                <c:pt idx="2">
                  <c:v>68</c:v>
                </c:pt>
                <c:pt idx="3">
                  <c:v>68</c:v>
                </c:pt>
                <c:pt idx="4">
                  <c:v>288</c:v>
                </c:pt>
                <c:pt idx="5">
                  <c:v>179</c:v>
                </c:pt>
                <c:pt idx="6">
                  <c:v>75</c:v>
                </c:pt>
                <c:pt idx="7">
                  <c:v>179</c:v>
                </c:pt>
                <c:pt idx="8">
                  <c:v>69</c:v>
                </c:pt>
                <c:pt idx="9">
                  <c:v>91</c:v>
                </c:pt>
                <c:pt idx="10">
                  <c:v>86</c:v>
                </c:pt>
                <c:pt idx="11">
                  <c:v>210</c:v>
                </c:pt>
              </c:numCache>
            </c:numRef>
          </c:val>
          <c:smooth val="0"/>
          <c:extLst>
            <c:ext xmlns:c16="http://schemas.microsoft.com/office/drawing/2014/chart" uri="{C3380CC4-5D6E-409C-BE32-E72D297353CC}">
              <c16:uniqueId val="{00000001-2E9E-42C7-895C-5CF7AB41BA1A}"/>
            </c:ext>
          </c:extLst>
        </c:ser>
        <c:dLbls>
          <c:showLegendKey val="0"/>
          <c:showVal val="0"/>
          <c:showCatName val="0"/>
          <c:showSerName val="0"/>
          <c:showPercent val="0"/>
          <c:showBubbleSize val="0"/>
        </c:dLbls>
        <c:marker val="1"/>
        <c:smooth val="0"/>
        <c:axId val="1883025312"/>
        <c:axId val="1883024352"/>
      </c:lineChart>
      <c:catAx>
        <c:axId val="188302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26272"/>
        <c:crosses val="autoZero"/>
        <c:auto val="1"/>
        <c:lblAlgn val="ctr"/>
        <c:lblOffset val="100"/>
        <c:noMultiLvlLbl val="0"/>
      </c:catAx>
      <c:valAx>
        <c:axId val="188302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20032"/>
        <c:crosses val="autoZero"/>
        <c:crossBetween val="between"/>
      </c:valAx>
      <c:valAx>
        <c:axId val="18830243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25312"/>
        <c:crosses val="max"/>
        <c:crossBetween val="between"/>
      </c:valAx>
      <c:catAx>
        <c:axId val="1883025312"/>
        <c:scaling>
          <c:orientation val="minMax"/>
        </c:scaling>
        <c:delete val="1"/>
        <c:axPos val="b"/>
        <c:numFmt formatCode="General" sourceLinked="1"/>
        <c:majorTickMark val="out"/>
        <c:minorTickMark val="none"/>
        <c:tickLblPos val="nextTo"/>
        <c:crossAx val="1883024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[Paayer Underpayment Analysis.xlsx]Pivot_month!PivotTable3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Underpaid</a:t>
            </a:r>
            <a:r>
              <a:rPr lang="en-US" baseline="0"/>
              <a:t> $ by Service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Pivot_month!$C$3</c:f>
              <c:strCache>
                <c:ptCount val="1"/>
                <c:pt idx="0">
                  <c:v>Sum of variance</c:v>
                </c:pt>
              </c:strCache>
            </c:strRef>
          </c:tx>
          <c:spPr>
            <a:solidFill>
              <a:schemeClr val="accent2"/>
            </a:solidFill>
            <a:ln>
              <a:noFill/>
            </a:ln>
            <a:effectLst/>
          </c:spPr>
          <c:invertIfNegative val="0"/>
          <c:cat>
            <c:strRef>
              <c:f>Pivot_month!$A$4:$A$16</c:f>
              <c:strCache>
                <c:ptCount val="12"/>
                <c:pt idx="0">
                  <c:v>2025-10</c:v>
                </c:pt>
                <c:pt idx="1">
                  <c:v>2025-11</c:v>
                </c:pt>
                <c:pt idx="2">
                  <c:v>2025-12</c:v>
                </c:pt>
                <c:pt idx="3">
                  <c:v>2026-01</c:v>
                </c:pt>
                <c:pt idx="4">
                  <c:v>2026-02</c:v>
                </c:pt>
                <c:pt idx="5">
                  <c:v>2026-03</c:v>
                </c:pt>
                <c:pt idx="6">
                  <c:v>2026-04</c:v>
                </c:pt>
                <c:pt idx="7">
                  <c:v>2026-05</c:v>
                </c:pt>
                <c:pt idx="8">
                  <c:v>2026-06</c:v>
                </c:pt>
                <c:pt idx="9">
                  <c:v>2026-07</c:v>
                </c:pt>
                <c:pt idx="10">
                  <c:v>2026-08</c:v>
                </c:pt>
                <c:pt idx="11">
                  <c:v>2026-09</c:v>
                </c:pt>
              </c:strCache>
            </c:strRef>
          </c:cat>
          <c:val>
            <c:numRef>
              <c:f>Pivot_month!$C$4:$C$16</c:f>
              <c:numCache>
                <c:formatCode>General</c:formatCode>
                <c:ptCount val="12"/>
                <c:pt idx="0">
                  <c:v>10659.510000000006</c:v>
                </c:pt>
                <c:pt idx="1">
                  <c:v>4071.76</c:v>
                </c:pt>
                <c:pt idx="2">
                  <c:v>11882.73</c:v>
                </c:pt>
                <c:pt idx="3">
                  <c:v>6135.1200000000008</c:v>
                </c:pt>
                <c:pt idx="4">
                  <c:v>11018.490000000003</c:v>
                </c:pt>
                <c:pt idx="5">
                  <c:v>4128.7299999999987</c:v>
                </c:pt>
                <c:pt idx="6">
                  <c:v>13326.040000000003</c:v>
                </c:pt>
                <c:pt idx="7">
                  <c:v>13628.070000000002</c:v>
                </c:pt>
                <c:pt idx="8">
                  <c:v>16236.240000000003</c:v>
                </c:pt>
                <c:pt idx="9">
                  <c:v>8490.6699999999983</c:v>
                </c:pt>
                <c:pt idx="10">
                  <c:v>7903.1600000000026</c:v>
                </c:pt>
                <c:pt idx="11">
                  <c:v>414.34999999999985</c:v>
                </c:pt>
              </c:numCache>
            </c:numRef>
          </c:val>
          <c:extLst>
            <c:ext xmlns:c16="http://schemas.microsoft.com/office/drawing/2014/chart" uri="{C3380CC4-5D6E-409C-BE32-E72D297353CC}">
              <c16:uniqueId val="{00000000-047D-4ED5-9624-8DAE753761F7}"/>
            </c:ext>
          </c:extLst>
        </c:ser>
        <c:dLbls>
          <c:showLegendKey val="0"/>
          <c:showVal val="0"/>
          <c:showCatName val="0"/>
          <c:showSerName val="0"/>
          <c:showPercent val="0"/>
          <c:showBubbleSize val="0"/>
        </c:dLbls>
        <c:gapWidth val="219"/>
        <c:axId val="2066289984"/>
        <c:axId val="2066289024"/>
      </c:barChart>
      <c:lineChart>
        <c:grouping val="standard"/>
        <c:varyColors val="0"/>
        <c:ser>
          <c:idx val="0"/>
          <c:order val="0"/>
          <c:tx>
            <c:strRef>
              <c:f>Pivot_month!$B$3</c:f>
              <c:strCache>
                <c:ptCount val="1"/>
                <c:pt idx="0">
                  <c:v>Count of claim_id</c:v>
                </c:pt>
              </c:strCache>
            </c:strRef>
          </c:tx>
          <c:spPr>
            <a:ln w="28575" cap="rnd">
              <a:solidFill>
                <a:schemeClr val="accent1"/>
              </a:solidFill>
              <a:round/>
            </a:ln>
            <a:effectLst/>
          </c:spPr>
          <c:marker>
            <c:symbol val="none"/>
          </c:marker>
          <c:cat>
            <c:strRef>
              <c:f>Pivot_month!$A$4:$A$16</c:f>
              <c:strCache>
                <c:ptCount val="12"/>
                <c:pt idx="0">
                  <c:v>2025-10</c:v>
                </c:pt>
                <c:pt idx="1">
                  <c:v>2025-11</c:v>
                </c:pt>
                <c:pt idx="2">
                  <c:v>2025-12</c:v>
                </c:pt>
                <c:pt idx="3">
                  <c:v>2026-01</c:v>
                </c:pt>
                <c:pt idx="4">
                  <c:v>2026-02</c:v>
                </c:pt>
                <c:pt idx="5">
                  <c:v>2026-03</c:v>
                </c:pt>
                <c:pt idx="6">
                  <c:v>2026-04</c:v>
                </c:pt>
                <c:pt idx="7">
                  <c:v>2026-05</c:v>
                </c:pt>
                <c:pt idx="8">
                  <c:v>2026-06</c:v>
                </c:pt>
                <c:pt idx="9">
                  <c:v>2026-07</c:v>
                </c:pt>
                <c:pt idx="10">
                  <c:v>2026-08</c:v>
                </c:pt>
                <c:pt idx="11">
                  <c:v>2026-09</c:v>
                </c:pt>
              </c:strCache>
            </c:strRef>
          </c:cat>
          <c:val>
            <c:numRef>
              <c:f>Pivot_month!$B$4:$B$16</c:f>
              <c:numCache>
                <c:formatCode>General</c:formatCode>
                <c:ptCount val="12"/>
                <c:pt idx="0">
                  <c:v>135</c:v>
                </c:pt>
                <c:pt idx="1">
                  <c:v>133</c:v>
                </c:pt>
                <c:pt idx="2">
                  <c:v>137</c:v>
                </c:pt>
                <c:pt idx="3">
                  <c:v>117</c:v>
                </c:pt>
                <c:pt idx="4">
                  <c:v>141</c:v>
                </c:pt>
                <c:pt idx="5">
                  <c:v>127</c:v>
                </c:pt>
                <c:pt idx="6">
                  <c:v>153</c:v>
                </c:pt>
                <c:pt idx="7">
                  <c:v>150</c:v>
                </c:pt>
                <c:pt idx="8">
                  <c:v>136</c:v>
                </c:pt>
                <c:pt idx="9">
                  <c:v>125</c:v>
                </c:pt>
                <c:pt idx="10">
                  <c:v>92</c:v>
                </c:pt>
                <c:pt idx="11">
                  <c:v>13</c:v>
                </c:pt>
              </c:numCache>
            </c:numRef>
          </c:val>
          <c:smooth val="0"/>
          <c:extLst>
            <c:ext xmlns:c16="http://schemas.microsoft.com/office/drawing/2014/chart" uri="{C3380CC4-5D6E-409C-BE32-E72D297353CC}">
              <c16:uniqueId val="{00000001-047D-4ED5-9624-8DAE753761F7}"/>
            </c:ext>
          </c:extLst>
        </c:ser>
        <c:dLbls>
          <c:showLegendKey val="0"/>
          <c:showVal val="0"/>
          <c:showCatName val="0"/>
          <c:showSerName val="0"/>
          <c:showPercent val="0"/>
          <c:showBubbleSize val="0"/>
        </c:dLbls>
        <c:marker val="1"/>
        <c:smooth val="0"/>
        <c:axId val="220841664"/>
        <c:axId val="220842144"/>
      </c:lineChart>
      <c:catAx>
        <c:axId val="20662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289024"/>
        <c:crosses val="autoZero"/>
        <c:auto val="1"/>
        <c:lblAlgn val="ctr"/>
        <c:lblOffset val="100"/>
        <c:noMultiLvlLbl val="0"/>
      </c:catAx>
      <c:valAx>
        <c:axId val="206628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289984"/>
        <c:crosses val="autoZero"/>
        <c:crossBetween val="between"/>
      </c:valAx>
      <c:valAx>
        <c:axId val="2208421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41664"/>
        <c:crosses val="max"/>
        <c:crossBetween val="between"/>
      </c:valAx>
      <c:catAx>
        <c:axId val="220841664"/>
        <c:scaling>
          <c:orientation val="minMax"/>
        </c:scaling>
        <c:delete val="1"/>
        <c:axPos val="b"/>
        <c:numFmt formatCode="General" sourceLinked="1"/>
        <c:majorTickMark val="out"/>
        <c:minorTickMark val="none"/>
        <c:tickLblPos val="nextTo"/>
        <c:crossAx val="2208421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600073</xdr:colOff>
      <xdr:row>19</xdr:row>
      <xdr:rowOff>9523</xdr:rowOff>
    </xdr:from>
    <xdr:to>
      <xdr:col>12</xdr:col>
      <xdr:colOff>600073</xdr:colOff>
      <xdr:row>35</xdr:row>
      <xdr:rowOff>161923</xdr:rowOff>
    </xdr:to>
    <xdr:graphicFrame macro="">
      <xdr:nvGraphicFramePr>
        <xdr:cNvPr id="2" name="Chart 1">
          <a:extLst>
            <a:ext uri="{FF2B5EF4-FFF2-40B4-BE49-F238E27FC236}">
              <a16:creationId xmlns:a16="http://schemas.microsoft.com/office/drawing/2014/main" id="{B88CBE41-16E5-BEE9-0ED3-954D6D786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2</xdr:row>
      <xdr:rowOff>9525</xdr:rowOff>
    </xdr:from>
    <xdr:to>
      <xdr:col>13</xdr:col>
      <xdr:colOff>9525</xdr:colOff>
      <xdr:row>18</xdr:row>
      <xdr:rowOff>161925</xdr:rowOff>
    </xdr:to>
    <xdr:graphicFrame macro="">
      <xdr:nvGraphicFramePr>
        <xdr:cNvPr id="3" name="Chart 1">
          <a:extLst>
            <a:ext uri="{FF2B5EF4-FFF2-40B4-BE49-F238E27FC236}">
              <a16:creationId xmlns:a16="http://schemas.microsoft.com/office/drawing/2014/main" id="{A14E2AA9-61C4-484B-A169-455B8D1EB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35</xdr:row>
      <xdr:rowOff>171450</xdr:rowOff>
    </xdr:from>
    <xdr:to>
      <xdr:col>13</xdr:col>
      <xdr:colOff>28575</xdr:colOff>
      <xdr:row>52</xdr:row>
      <xdr:rowOff>133350</xdr:rowOff>
    </xdr:to>
    <xdr:graphicFrame macro="">
      <xdr:nvGraphicFramePr>
        <xdr:cNvPr id="5" name="Chart 1">
          <a:extLst>
            <a:ext uri="{FF2B5EF4-FFF2-40B4-BE49-F238E27FC236}">
              <a16:creationId xmlns:a16="http://schemas.microsoft.com/office/drawing/2014/main" id="{62EA45CB-0ED0-8BD4-FF28-596A1B56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12</xdr:row>
      <xdr:rowOff>41275</xdr:rowOff>
    </xdr:from>
    <xdr:to>
      <xdr:col>0</xdr:col>
      <xdr:colOff>1838325</xdr:colOff>
      <xdr:row>26</xdr:row>
      <xdr:rowOff>41275</xdr:rowOff>
    </xdr:to>
    <mc:AlternateContent xmlns:mc="http://schemas.openxmlformats.org/markup-compatibility/2006">
      <mc:Choice xmlns:a14="http://schemas.microsoft.com/office/drawing/2010/main" Requires="a14">
        <xdr:graphicFrame macro="">
          <xdr:nvGraphicFramePr>
            <xdr:cNvPr id="6" name="clinic_id">
              <a:extLst>
                <a:ext uri="{FF2B5EF4-FFF2-40B4-BE49-F238E27FC236}">
                  <a16:creationId xmlns:a16="http://schemas.microsoft.com/office/drawing/2014/main" id="{FE9A247B-0430-5F63-96B0-FBEA9F6E33E6}"/>
                </a:ext>
              </a:extLst>
            </xdr:cNvPr>
            <xdr:cNvGraphicFramePr/>
          </xdr:nvGraphicFramePr>
          <xdr:xfrm>
            <a:off x="0" y="0"/>
            <a:ext cx="0" cy="0"/>
          </xdr:xfrm>
          <a:graphic>
            <a:graphicData uri="http://schemas.microsoft.com/office/drawing/2010/slicer">
              <sle:slicer xmlns:sle="http://schemas.microsoft.com/office/drawing/2010/slicer" name="clinic_id"/>
            </a:graphicData>
          </a:graphic>
        </xdr:graphicFrame>
      </mc:Choice>
      <mc:Fallback>
        <xdr:sp macro="" textlink="">
          <xdr:nvSpPr>
            <xdr:cNvPr id="0" name=""/>
            <xdr:cNvSpPr>
              <a:spLocks noTextEdit="1"/>
            </xdr:cNvSpPr>
          </xdr:nvSpPr>
          <xdr:spPr>
            <a:xfrm>
              <a:off x="28575" y="2441575"/>
              <a:ext cx="18097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1828800</xdr:colOff>
      <xdr:row>12</xdr:row>
      <xdr:rowOff>41275</xdr:rowOff>
    </xdr:from>
    <xdr:to>
      <xdr:col>1</xdr:col>
      <xdr:colOff>654050</xdr:colOff>
      <xdr:row>26</xdr:row>
      <xdr:rowOff>41275</xdr:rowOff>
    </xdr:to>
    <mc:AlternateContent xmlns:mc="http://schemas.openxmlformats.org/markup-compatibility/2006">
      <mc:Choice xmlns:a14="http://schemas.microsoft.com/office/drawing/2010/main" Requires="a14">
        <xdr:graphicFrame macro="">
          <xdr:nvGraphicFramePr>
            <xdr:cNvPr id="7" name="payer_name">
              <a:extLst>
                <a:ext uri="{FF2B5EF4-FFF2-40B4-BE49-F238E27FC236}">
                  <a16:creationId xmlns:a16="http://schemas.microsoft.com/office/drawing/2014/main" id="{7DF8658F-CC18-8361-9082-2B81DB44D315}"/>
                </a:ext>
              </a:extLst>
            </xdr:cNvPr>
            <xdr:cNvGraphicFramePr/>
          </xdr:nvGraphicFramePr>
          <xdr:xfrm>
            <a:off x="0" y="0"/>
            <a:ext cx="0" cy="0"/>
          </xdr:xfrm>
          <a:graphic>
            <a:graphicData uri="http://schemas.microsoft.com/office/drawing/2010/slicer">
              <sle:slicer xmlns:sle="http://schemas.microsoft.com/office/drawing/2010/slicer" name="payer_name"/>
            </a:graphicData>
          </a:graphic>
        </xdr:graphicFrame>
      </mc:Choice>
      <mc:Fallback>
        <xdr:sp macro="" textlink="">
          <xdr:nvSpPr>
            <xdr:cNvPr id="0" name=""/>
            <xdr:cNvSpPr>
              <a:spLocks noTextEdit="1"/>
            </xdr:cNvSpPr>
          </xdr:nvSpPr>
          <xdr:spPr>
            <a:xfrm>
              <a:off x="1828800" y="2441575"/>
              <a:ext cx="18161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den waiters" refreshedDate="46317.447421412035" createdVersion="8" refreshedVersion="8" minRefreshableVersion="3" recordCount="6094" xr:uid="{CE6905F1-64EF-4145-B104-89406660196F}">
  <cacheSource type="worksheet">
    <worksheetSource name="tblClaims"/>
  </cacheSource>
  <cacheFields count="23">
    <cacheField name="claim_id" numFmtId="0">
      <sharedItems/>
    </cacheField>
    <cacheField name="patient_id" numFmtId="0">
      <sharedItems/>
    </cacheField>
    <cacheField name="payer_id" numFmtId="0">
      <sharedItems/>
    </cacheField>
    <cacheField name="clinic_id" numFmtId="0">
      <sharedItems count="4">
        <s v="C02"/>
        <s v="C01"/>
        <s v="C04"/>
        <s v="C03"/>
      </sharedItems>
    </cacheField>
    <cacheField name="cpt_code" numFmtId="0">
      <sharedItems count="12">
        <s v="99213"/>
        <s v="20610"/>
        <s v="97110"/>
        <s v="J1745"/>
        <s v="J0702"/>
        <s v="29881"/>
        <s v="96413"/>
        <s v="99214"/>
        <s v="99204"/>
        <s v="97140"/>
        <s v="73721"/>
        <s v="72148"/>
      </sharedItems>
    </cacheField>
    <cacheField name="units" numFmtId="0">
      <sharedItems containsSemiMixedTypes="0" containsString="0" containsNumber="1" containsInteger="1" minValue="1" maxValue="30"/>
    </cacheField>
    <cacheField name="service_date" numFmtId="14">
      <sharedItems containsSemiMixedTypes="0" containsNonDate="0" containsDate="1" containsString="0" minDate="2025-10-01T00:00:00" maxDate="2026-09-30T00:00:00"/>
    </cacheField>
    <cacheField name="submit_date" numFmtId="14">
      <sharedItems containsSemiMixedTypes="0" containsNonDate="0" containsDate="1" containsString="0" minDate="2025-10-02T00:00:00" maxDate="2026-10-01T00:00:00"/>
    </cacheField>
    <cacheField name="billed_amount" numFmtId="0">
      <sharedItems containsSemiMixedTypes="0" containsString="0" containsNumber="1" minValue="36.86" maxValue="44799.11"/>
    </cacheField>
    <cacheField name="allowed_amount" numFmtId="0">
      <sharedItems containsString="0" containsBlank="1" containsNumber="1" minValue="8.5500000000000007" maxValue="22185.3"/>
    </cacheField>
    <cacheField name="paid_amount" numFmtId="0">
      <sharedItems containsString="0" containsBlank="1" containsNumber="1" minValue="7.06" maxValue="22185.3"/>
    </cacheField>
    <cacheField name="patient_responsibility" numFmtId="0">
      <sharedItems containsString="0" containsBlank="1" containsNumber="1" minValue="0" maxValue="4371.8999999999996"/>
    </cacheField>
    <cacheField name="claim_status" numFmtId="0">
      <sharedItems/>
    </cacheField>
    <cacheField name="denial_carc" numFmtId="0">
      <sharedItems/>
    </cacheField>
    <cacheField name="adjudication_date" numFmtId="14">
      <sharedItems containsNonDate="0" containsDate="1" containsString="0" containsBlank="1" minDate="2025-10-12T00:00:00" maxDate="2026-10-01T00:00:00"/>
    </cacheField>
    <cacheField name="paid_date" numFmtId="14">
      <sharedItems containsNonDate="0" containsDate="1" containsString="0" containsBlank="1" minDate="2025-10-12T00:00:00" maxDate="2026-10-01T00:00:00"/>
    </cacheField>
    <cacheField name="std_charge" numFmtId="0">
      <sharedItems containsSemiMixedTypes="0" containsString="0" containsNumber="1" containsInteger="1" minValue="38" maxValue="4800"/>
    </cacheField>
    <cacheField name="contract_rate" numFmtId="0">
      <sharedItems containsSemiMixedTypes="0" containsString="0" containsNumber="1" minValue="0.27" maxValue="1"/>
    </cacheField>
    <cacheField name="expected_payment" numFmtId="0">
      <sharedItems containsSemiMixedTypes="0" containsString="0" containsNumber="1" minValue="10.26" maxValue="20445"/>
    </cacheField>
    <cacheField name="variance" numFmtId="0">
      <sharedItems containsMixedTypes="1" containsNumber="1" minValue="-2610.2999999999993" maxValue="3180.9699999999993"/>
    </cacheField>
    <cacheField name="underpaid_flag" numFmtId="0">
      <sharedItems count="3">
        <s v="OK"/>
        <s v="Underpaid"/>
        <s v=""/>
      </sharedItems>
    </cacheField>
    <cacheField name="payer_name" numFmtId="0">
      <sharedItems count="8">
        <s v="Sunshine Medicare Advantage"/>
        <s v="Medicare Part B"/>
        <s v="Florida Medicaid"/>
        <s v="Coastal Medicaid MCO"/>
        <s v="Keystone Commercial PPO"/>
        <s v="Blue Horizon Commercial"/>
        <s v="Summit Health Commercial"/>
        <s v="Self-Pay"/>
      </sharedItems>
    </cacheField>
    <cacheField name="service_month" numFmtId="0">
      <sharedItems count="12">
        <s v="2026-02"/>
        <s v="2026-07"/>
        <s v="2026-03"/>
        <s v="2025-11"/>
        <s v="2026-08"/>
        <s v="2026-01"/>
        <s v="2025-12"/>
        <s v="2026-05"/>
        <s v="2026-09"/>
        <s v="2025-10"/>
        <s v="2026-04"/>
        <s v="2026-06"/>
      </sharedItems>
    </cacheField>
  </cacheFields>
  <extLst>
    <ext xmlns:x14="http://schemas.microsoft.com/office/spreadsheetml/2009/9/main" uri="{725AE2AE-9491-48be-B2B4-4EB974FC3084}">
      <x14:pivotCacheDefinition pivotCacheId="167817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94">
  <r>
    <s v="CLM100001"/>
    <s v="PT10383"/>
    <s v="P05"/>
    <x v="0"/>
    <x v="0"/>
    <n v="1"/>
    <d v="2026-02-03T00:00:00"/>
    <d v="2026-02-09T00:00:00"/>
    <n v="142.59"/>
    <n v="61.2"/>
    <n v="61.2"/>
    <n v="0"/>
    <s v="Paid"/>
    <s v=""/>
    <d v="2026-04-15T00:00:00"/>
    <d v="2026-04-15T00:00:00"/>
    <n v="145"/>
    <n v="0.38"/>
    <n v="55.1"/>
    <n v="-6.1000000000000014"/>
    <x v="0"/>
    <x v="0"/>
    <x v="0"/>
  </r>
  <r>
    <s v="CLM100002"/>
    <s v="PT13315"/>
    <s v="P04"/>
    <x v="1"/>
    <x v="1"/>
    <n v="1"/>
    <d v="2026-07-15T00:00:00"/>
    <d v="2026-07-20T00:00:00"/>
    <n v="235.66"/>
    <n v="77.459999999999994"/>
    <n v="69.709999999999994"/>
    <n v="7.75"/>
    <s v="Paid"/>
    <s v=""/>
    <d v="2026-08-09T00:00:00"/>
    <d v="2026-08-09T00:00:00"/>
    <n v="240"/>
    <n v="0.36"/>
    <n v="86.4"/>
    <n v="8.9400000000000119"/>
    <x v="1"/>
    <x v="1"/>
    <x v="1"/>
  </r>
  <r>
    <s v="CLM100003"/>
    <s v="PT12988"/>
    <s v="P05"/>
    <x v="2"/>
    <x v="2"/>
    <n v="1"/>
    <d v="2026-03-24T00:00:00"/>
    <d v="2026-04-06T00:00:00"/>
    <n v="60.72"/>
    <m/>
    <m/>
    <m/>
    <s v="Denied"/>
    <s v="CO-16"/>
    <d v="2026-05-05T00:00:00"/>
    <m/>
    <n v="62"/>
    <n v="0.38"/>
    <n v="23.56"/>
    <s v=""/>
    <x v="2"/>
    <x v="0"/>
    <x v="2"/>
  </r>
  <r>
    <s v="CLM100005"/>
    <s v="PT12745"/>
    <s v="P06"/>
    <x v="3"/>
    <x v="3"/>
    <n v="30"/>
    <d v="2025-11-21T00:00:00"/>
    <d v="2025-11-26T00:00:00"/>
    <n v="42920.51"/>
    <n v="11120.5"/>
    <n v="11120.5"/>
    <n v="0"/>
    <s v="Paid"/>
    <s v=""/>
    <d v="2025-12-22T00:00:00"/>
    <d v="2025-12-22T00:00:00"/>
    <n v="1450"/>
    <n v="0.27"/>
    <n v="11745"/>
    <n v="624.5"/>
    <x v="1"/>
    <x v="2"/>
    <x v="3"/>
  </r>
  <r>
    <s v="CLM100006"/>
    <s v="PT12804"/>
    <s v="P04"/>
    <x v="1"/>
    <x v="4"/>
    <n v="1"/>
    <d v="2026-08-08T00:00:00"/>
    <d v="2026-08-12T00:00:00"/>
    <n v="38.31"/>
    <n v="13.63"/>
    <n v="13.63"/>
    <n v="0"/>
    <s v="Paid"/>
    <s v=""/>
    <d v="2026-08-28T00:00:00"/>
    <d v="2026-08-28T00:00:00"/>
    <n v="38"/>
    <n v="0.36"/>
    <n v="13.68"/>
    <n v="4.9999999999998934E-2"/>
    <x v="0"/>
    <x v="1"/>
    <x v="4"/>
  </r>
  <r>
    <s v="CLM100007"/>
    <s v="PT10870"/>
    <s v="P05"/>
    <x v="1"/>
    <x v="5"/>
    <n v="1"/>
    <d v="2026-01-26T00:00:00"/>
    <d v="2026-02-02T00:00:00"/>
    <n v="4892.68"/>
    <n v="1618.87"/>
    <n v="1456.98"/>
    <n v="161.88999999999999"/>
    <s v="Paid"/>
    <s v=""/>
    <d v="2026-04-30T00:00:00"/>
    <d v="2026-04-30T00:00:00"/>
    <n v="4800"/>
    <n v="0.38"/>
    <n v="1824"/>
    <n v="205.13000000000011"/>
    <x v="1"/>
    <x v="0"/>
    <x v="5"/>
  </r>
  <r>
    <s v="CLM100008"/>
    <s v="PT11635"/>
    <s v="P07"/>
    <x v="3"/>
    <x v="6"/>
    <n v="1"/>
    <d v="2026-08-26T00:00:00"/>
    <d v="2026-08-28T00:00:00"/>
    <n v="418.96"/>
    <m/>
    <m/>
    <m/>
    <s v="Denied"/>
    <s v="CO-50"/>
    <d v="2026-09-24T00:00:00"/>
    <m/>
    <n v="420"/>
    <n v="0.28000000000000003"/>
    <n v="117.6"/>
    <s v=""/>
    <x v="2"/>
    <x v="3"/>
    <x v="4"/>
  </r>
  <r>
    <s v="CLM100009"/>
    <s v="PT11563"/>
    <s v="P03"/>
    <x v="2"/>
    <x v="2"/>
    <n v="1"/>
    <d v="2025-11-16T00:00:00"/>
    <d v="2025-11-17T00:00:00"/>
    <n v="63.34"/>
    <n v="30.83"/>
    <n v="24.66"/>
    <n v="6.17"/>
    <s v="Paid"/>
    <s v=""/>
    <d v="2025-12-17T00:00:00"/>
    <d v="2025-12-17T00:00:00"/>
    <n v="62"/>
    <n v="0.47"/>
    <n v="29.14"/>
    <n v="-1.6899999999999977"/>
    <x v="0"/>
    <x v="4"/>
    <x v="3"/>
  </r>
  <r>
    <s v="CLM100010"/>
    <s v="PT10456"/>
    <s v="P04"/>
    <x v="0"/>
    <x v="4"/>
    <n v="1"/>
    <d v="2026-07-11T00:00:00"/>
    <d v="2026-07-12T00:00:00"/>
    <n v="38.82"/>
    <n v="14.77"/>
    <n v="13.29"/>
    <n v="1.48"/>
    <s v="Paid"/>
    <s v=""/>
    <d v="2026-07-25T00:00:00"/>
    <d v="2026-07-25T00:00:00"/>
    <n v="38"/>
    <n v="0.36"/>
    <n v="13.68"/>
    <n v="-1.0899999999999999"/>
    <x v="0"/>
    <x v="1"/>
    <x v="1"/>
  </r>
  <r>
    <s v="CLM100011"/>
    <s v="PT13447"/>
    <s v="P03"/>
    <x v="1"/>
    <x v="7"/>
    <n v="1"/>
    <d v="2026-02-12T00:00:00"/>
    <d v="2026-02-18T00:00:00"/>
    <n v="215.95"/>
    <n v="89.54"/>
    <n v="80.59"/>
    <n v="8.9499999999999993"/>
    <s v="Paid"/>
    <s v=""/>
    <d v="2026-04-01T00:00:00"/>
    <d v="2026-04-01T00:00:00"/>
    <n v="210"/>
    <n v="0.47"/>
    <n v="98.7"/>
    <n v="9.1599999999999966"/>
    <x v="1"/>
    <x v="4"/>
    <x v="0"/>
  </r>
  <r>
    <s v="CLM100012"/>
    <s v="PT13406"/>
    <s v="P01"/>
    <x v="0"/>
    <x v="7"/>
    <n v="1"/>
    <d v="2025-12-22T00:00:00"/>
    <d v="2025-12-29T00:00:00"/>
    <n v="210.5"/>
    <n v="80.010000000000005"/>
    <n v="72.010000000000005"/>
    <n v="8"/>
    <s v="Paid"/>
    <s v=""/>
    <d v="2026-01-25T00:00:00"/>
    <d v="2026-01-25T00:00:00"/>
    <n v="210"/>
    <n v="0.45"/>
    <n v="94.5"/>
    <n v="14.489999999999995"/>
    <x v="1"/>
    <x v="5"/>
    <x v="6"/>
  </r>
  <r>
    <s v="CLM100014"/>
    <s v="PT12920"/>
    <s v="P04"/>
    <x v="3"/>
    <x v="3"/>
    <n v="10"/>
    <d v="2026-07-09T00:00:00"/>
    <d v="2026-07-18T00:00:00"/>
    <n v="14295.6"/>
    <n v="4684.97"/>
    <n v="4684.97"/>
    <n v="0"/>
    <s v="Paid"/>
    <s v=""/>
    <d v="2026-08-05T00:00:00"/>
    <d v="2026-08-05T00:00:00"/>
    <n v="1450"/>
    <n v="0.36"/>
    <n v="5220"/>
    <n v="535.02999999999975"/>
    <x v="1"/>
    <x v="1"/>
    <x v="1"/>
  </r>
  <r>
    <s v="CLM100015"/>
    <s v="PT10029"/>
    <s v="P04"/>
    <x v="1"/>
    <x v="4"/>
    <n v="1"/>
    <d v="2026-05-13T00:00:00"/>
    <d v="2026-05-16T00:00:00"/>
    <n v="38.909999999999997"/>
    <n v="12.11"/>
    <n v="12.11"/>
    <n v="0"/>
    <s v="Paid"/>
    <s v=""/>
    <d v="2026-06-09T00:00:00"/>
    <d v="2026-06-09T00:00:00"/>
    <n v="38"/>
    <n v="0.36"/>
    <n v="13.68"/>
    <n v="1.5700000000000003"/>
    <x v="1"/>
    <x v="1"/>
    <x v="7"/>
  </r>
  <r>
    <s v="CLM100016"/>
    <s v="PT10877"/>
    <s v="P01"/>
    <x v="1"/>
    <x v="4"/>
    <n v="1"/>
    <d v="2025-11-04T00:00:00"/>
    <d v="2025-11-12T00:00:00"/>
    <n v="38.92"/>
    <m/>
    <m/>
    <m/>
    <s v="Denied"/>
    <s v="CO-16"/>
    <d v="2025-12-11T00:00:00"/>
    <m/>
    <n v="38"/>
    <n v="0.45"/>
    <n v="17.100000000000001"/>
    <s v=""/>
    <x v="2"/>
    <x v="5"/>
    <x v="3"/>
  </r>
  <r>
    <s v="CLM100017"/>
    <s v="PT13279"/>
    <s v="P01"/>
    <x v="2"/>
    <x v="2"/>
    <n v="2"/>
    <d v="2026-09-03T00:00:00"/>
    <d v="2026-09-06T00:00:00"/>
    <n v="122.92"/>
    <m/>
    <m/>
    <m/>
    <s v="Pending"/>
    <s v=""/>
    <m/>
    <m/>
    <n v="62"/>
    <n v="0.45"/>
    <n v="55.8"/>
    <s v=""/>
    <x v="2"/>
    <x v="5"/>
    <x v="8"/>
  </r>
  <r>
    <s v="CLM100018"/>
    <s v="PT10207"/>
    <s v="P01"/>
    <x v="2"/>
    <x v="2"/>
    <n v="2"/>
    <d v="2026-07-02T00:00:00"/>
    <d v="2026-07-03T00:00:00"/>
    <n v="121.32"/>
    <n v="47.38"/>
    <n v="47.38"/>
    <n v="0"/>
    <s v="Paid"/>
    <s v=""/>
    <d v="2026-08-05T00:00:00"/>
    <d v="2026-08-05T00:00:00"/>
    <n v="62"/>
    <n v="0.45"/>
    <n v="55.8"/>
    <n v="8.4199999999999946"/>
    <x v="1"/>
    <x v="5"/>
    <x v="1"/>
  </r>
  <r>
    <s v="CLM100019"/>
    <s v="PT10674"/>
    <s v="P06"/>
    <x v="3"/>
    <x v="7"/>
    <n v="1"/>
    <d v="2025-11-17T00:00:00"/>
    <d v="2025-11-25T00:00:00"/>
    <n v="215.37"/>
    <n v="57.89"/>
    <n v="57.89"/>
    <n v="0"/>
    <s v="Paid"/>
    <s v=""/>
    <d v="2026-01-06T00:00:00"/>
    <d v="2026-01-06T00:00:00"/>
    <n v="210"/>
    <n v="0.27"/>
    <n v="56.7"/>
    <n v="-1.1899999999999977"/>
    <x v="0"/>
    <x v="2"/>
    <x v="3"/>
  </r>
  <r>
    <s v="CLM100020"/>
    <s v="PT10634"/>
    <s v="P02"/>
    <x v="0"/>
    <x v="4"/>
    <n v="1"/>
    <d v="2026-05-21T00:00:00"/>
    <d v="2026-05-26T00:00:00"/>
    <n v="37.51"/>
    <n v="17.45"/>
    <n v="13.96"/>
    <n v="3.49"/>
    <s v="Paid"/>
    <s v=""/>
    <d v="2026-07-06T00:00:00"/>
    <d v="2026-07-06T00:00:00"/>
    <n v="38"/>
    <n v="0.43"/>
    <n v="16.34"/>
    <n v="-1.1099999999999994"/>
    <x v="0"/>
    <x v="6"/>
    <x v="7"/>
  </r>
  <r>
    <s v="CLM100021"/>
    <s v="PT13492"/>
    <s v="P08"/>
    <x v="1"/>
    <x v="7"/>
    <n v="1"/>
    <d v="2026-07-24T00:00:00"/>
    <d v="2026-07-25T00:00:00"/>
    <n v="212.97"/>
    <m/>
    <m/>
    <m/>
    <s v="Pending"/>
    <s v=""/>
    <m/>
    <m/>
    <n v="210"/>
    <n v="1"/>
    <n v="210"/>
    <s v=""/>
    <x v="2"/>
    <x v="7"/>
    <x v="1"/>
  </r>
  <r>
    <s v="CLM100022"/>
    <s v="PT11653"/>
    <s v="P08"/>
    <x v="0"/>
    <x v="0"/>
    <n v="1"/>
    <d v="2025-11-11T00:00:00"/>
    <d v="2025-11-12T00:00:00"/>
    <n v="148.06"/>
    <n v="148.06"/>
    <n v="148.06"/>
    <n v="0"/>
    <s v="Paid"/>
    <s v=""/>
    <d v="2026-02-02T00:00:00"/>
    <d v="2026-02-02T00:00:00"/>
    <n v="145"/>
    <n v="1"/>
    <n v="145"/>
    <n v="-3.0600000000000023"/>
    <x v="0"/>
    <x v="7"/>
    <x v="3"/>
  </r>
  <r>
    <s v="CLM100023"/>
    <s v="PT10977"/>
    <s v="P02"/>
    <x v="1"/>
    <x v="1"/>
    <n v="1"/>
    <d v="2026-08-01T00:00:00"/>
    <d v="2026-08-02T00:00:00"/>
    <n v="233.37"/>
    <n v="101.79"/>
    <n v="91.61"/>
    <n v="10.18"/>
    <s v="Paid"/>
    <s v=""/>
    <d v="2026-08-30T00:00:00"/>
    <d v="2026-08-30T00:00:00"/>
    <n v="240"/>
    <n v="0.43"/>
    <n v="103.2"/>
    <n v="1.4099999999999966"/>
    <x v="0"/>
    <x v="6"/>
    <x v="4"/>
  </r>
  <r>
    <s v="CLM100024"/>
    <s v="PT10300"/>
    <s v="P05"/>
    <x v="1"/>
    <x v="7"/>
    <n v="1"/>
    <d v="2026-03-03T00:00:00"/>
    <d v="2026-03-14T00:00:00"/>
    <n v="209.46"/>
    <n v="67.89"/>
    <n v="67.89"/>
    <n v="0"/>
    <s v="Paid"/>
    <s v=""/>
    <d v="2026-05-16T00:00:00"/>
    <d v="2026-05-16T00:00:00"/>
    <n v="210"/>
    <n v="0.38"/>
    <n v="79.8"/>
    <n v="11.909999999999997"/>
    <x v="1"/>
    <x v="0"/>
    <x v="2"/>
  </r>
  <r>
    <s v="CLM100025"/>
    <s v="PT12735"/>
    <s v="P01"/>
    <x v="0"/>
    <x v="8"/>
    <n v="1"/>
    <d v="2026-03-28T00:00:00"/>
    <d v="2026-04-06T00:00:00"/>
    <n v="265.94"/>
    <n v="106.93"/>
    <n v="106.93"/>
    <n v="0"/>
    <s v="Paid"/>
    <s v=""/>
    <d v="2026-05-10T00:00:00"/>
    <d v="2026-05-10T00:00:00"/>
    <n v="260"/>
    <n v="0.45"/>
    <n v="117"/>
    <n v="10.069999999999993"/>
    <x v="1"/>
    <x v="5"/>
    <x v="2"/>
  </r>
  <r>
    <s v="CLM100026"/>
    <s v="PT11404"/>
    <s v="P07"/>
    <x v="2"/>
    <x v="9"/>
    <n v="1"/>
    <d v="2025-11-23T00:00:00"/>
    <d v="2025-12-02T00:00:00"/>
    <n v="57.18"/>
    <m/>
    <m/>
    <m/>
    <s v="Denied"/>
    <s v="CO-16"/>
    <d v="2026-01-07T00:00:00"/>
    <m/>
    <n v="58"/>
    <n v="0.28000000000000003"/>
    <n v="16.239999999999998"/>
    <s v=""/>
    <x v="2"/>
    <x v="3"/>
    <x v="3"/>
  </r>
  <r>
    <s v="CLM100027"/>
    <s v="PT10458"/>
    <s v="P04"/>
    <x v="2"/>
    <x v="2"/>
    <n v="1"/>
    <d v="2026-02-19T00:00:00"/>
    <d v="2026-02-25T00:00:00"/>
    <n v="60.15"/>
    <n v="23.28"/>
    <n v="23.28"/>
    <n v="0"/>
    <s v="Paid"/>
    <s v=""/>
    <d v="2026-03-09T00:00:00"/>
    <d v="2026-03-09T00:00:00"/>
    <n v="62"/>
    <n v="0.36"/>
    <n v="22.32"/>
    <n v="-0.96000000000000085"/>
    <x v="0"/>
    <x v="1"/>
    <x v="0"/>
  </r>
  <r>
    <s v="CLM100028"/>
    <s v="PT11262"/>
    <s v="P07"/>
    <x v="1"/>
    <x v="4"/>
    <n v="1"/>
    <d v="2026-07-07T00:00:00"/>
    <d v="2026-07-09T00:00:00"/>
    <n v="36.94"/>
    <n v="10.08"/>
    <n v="10.08"/>
    <n v="0"/>
    <s v="Paid"/>
    <s v=""/>
    <d v="2026-09-01T00:00:00"/>
    <d v="2026-09-01T00:00:00"/>
    <n v="38"/>
    <n v="0.28000000000000003"/>
    <n v="10.64"/>
    <n v="0.5600000000000005"/>
    <x v="1"/>
    <x v="3"/>
    <x v="1"/>
  </r>
  <r>
    <s v="CLM100029"/>
    <s v="PT10969"/>
    <s v="P07"/>
    <x v="0"/>
    <x v="0"/>
    <n v="1"/>
    <d v="2026-01-16T00:00:00"/>
    <d v="2026-01-21T00:00:00"/>
    <n v="146.58000000000001"/>
    <m/>
    <m/>
    <m/>
    <s v="Denied"/>
    <s v="CO-4"/>
    <d v="2026-04-22T00:00:00"/>
    <m/>
    <n v="145"/>
    <n v="0.28000000000000003"/>
    <n v="40.6"/>
    <s v=""/>
    <x v="2"/>
    <x v="3"/>
    <x v="5"/>
  </r>
  <r>
    <s v="CLM100030"/>
    <s v="PT11092"/>
    <s v="P07"/>
    <x v="2"/>
    <x v="2"/>
    <n v="1"/>
    <d v="2025-10-13T00:00:00"/>
    <d v="2025-10-15T00:00:00"/>
    <n v="62.88"/>
    <n v="19.53"/>
    <n v="19.53"/>
    <n v="0"/>
    <s v="Paid"/>
    <s v=""/>
    <d v="2025-12-10T00:00:00"/>
    <d v="2025-12-10T00:00:00"/>
    <n v="62"/>
    <n v="0.28000000000000003"/>
    <n v="17.36"/>
    <n v="-2.1700000000000017"/>
    <x v="0"/>
    <x v="3"/>
    <x v="9"/>
  </r>
  <r>
    <s v="CLM100031"/>
    <s v="PT10913"/>
    <s v="P01"/>
    <x v="1"/>
    <x v="4"/>
    <n v="1"/>
    <d v="2025-10-20T00:00:00"/>
    <d v="2025-10-22T00:00:00"/>
    <n v="38.82"/>
    <n v="17.25"/>
    <n v="17.25"/>
    <n v="0"/>
    <s v="Paid"/>
    <s v=""/>
    <d v="2025-11-13T00:00:00"/>
    <d v="2025-11-13T00:00:00"/>
    <n v="38"/>
    <n v="0.45"/>
    <n v="17.100000000000001"/>
    <n v="-0.14999999999999858"/>
    <x v="0"/>
    <x v="5"/>
    <x v="9"/>
  </r>
  <r>
    <s v="CLM100032"/>
    <s v="PT12783"/>
    <s v="P02"/>
    <x v="1"/>
    <x v="7"/>
    <n v="1"/>
    <d v="2026-02-20T00:00:00"/>
    <d v="2026-03-06T00:00:00"/>
    <n v="214.59"/>
    <n v="95.78"/>
    <n v="76.62"/>
    <n v="19.16"/>
    <s v="Paid"/>
    <s v=""/>
    <d v="2026-04-23T00:00:00"/>
    <d v="2026-04-23T00:00:00"/>
    <n v="210"/>
    <n v="0.43"/>
    <n v="90.3"/>
    <n v="-5.480000000000004"/>
    <x v="0"/>
    <x v="6"/>
    <x v="0"/>
  </r>
  <r>
    <s v="CLM100033"/>
    <s v="PT11787"/>
    <s v="P02"/>
    <x v="2"/>
    <x v="0"/>
    <n v="1"/>
    <d v="2025-10-15T00:00:00"/>
    <d v="2025-10-30T00:00:00"/>
    <n v="141.65"/>
    <n v="56.14"/>
    <n v="50.53"/>
    <n v="5.61"/>
    <s v="Paid"/>
    <s v=""/>
    <d v="2025-12-08T00:00:00"/>
    <d v="2025-12-08T00:00:00"/>
    <n v="145"/>
    <n v="0.43"/>
    <n v="62.35"/>
    <n v="6.2100000000000009"/>
    <x v="1"/>
    <x v="6"/>
    <x v="9"/>
  </r>
  <r>
    <s v="CLM100034"/>
    <s v="PT11491"/>
    <s v="P02"/>
    <x v="0"/>
    <x v="0"/>
    <n v="1"/>
    <d v="2026-07-23T00:00:00"/>
    <d v="2026-07-24T00:00:00"/>
    <n v="142.30000000000001"/>
    <n v="61.21"/>
    <n v="61.21"/>
    <n v="0"/>
    <s v="Paid"/>
    <s v=""/>
    <d v="2026-08-31T00:00:00"/>
    <d v="2026-08-31T00:00:00"/>
    <n v="145"/>
    <n v="0.43"/>
    <n v="62.35"/>
    <n v="1.1400000000000006"/>
    <x v="0"/>
    <x v="6"/>
    <x v="1"/>
  </r>
  <r>
    <s v="CLM100035"/>
    <s v="PT12270"/>
    <s v="P04"/>
    <x v="0"/>
    <x v="8"/>
    <n v="1"/>
    <d v="2026-09-05T00:00:00"/>
    <d v="2026-09-11T00:00:00"/>
    <n v="265.43"/>
    <n v="89.89"/>
    <n v="80.900000000000006"/>
    <n v="8.99"/>
    <s v="Paid"/>
    <s v=""/>
    <d v="2026-09-24T00:00:00"/>
    <d v="2026-09-24T00:00:00"/>
    <n v="260"/>
    <n v="0.36"/>
    <n v="93.6"/>
    <n v="3.7099999999999937"/>
    <x v="0"/>
    <x v="1"/>
    <x v="8"/>
  </r>
  <r>
    <s v="CLM100036"/>
    <s v="PT11244"/>
    <s v="P04"/>
    <x v="1"/>
    <x v="10"/>
    <n v="1"/>
    <d v="2026-04-13T00:00:00"/>
    <d v="2026-04-23T00:00:00"/>
    <n v="1061.17"/>
    <n v="358.36"/>
    <n v="358.36"/>
    <n v="0"/>
    <s v="Paid"/>
    <s v=""/>
    <d v="2026-05-13T00:00:00"/>
    <d v="2026-05-13T00:00:00"/>
    <n v="1050"/>
    <n v="0.36"/>
    <n v="378"/>
    <n v="19.639999999999986"/>
    <x v="1"/>
    <x v="1"/>
    <x v="10"/>
  </r>
  <r>
    <s v="CLM100037"/>
    <s v="PT12698"/>
    <s v="P06"/>
    <x v="1"/>
    <x v="10"/>
    <n v="1"/>
    <d v="2026-08-07T00:00:00"/>
    <d v="2026-08-10T00:00:00"/>
    <n v="1059.75"/>
    <n v="260.64999999999998"/>
    <n v="260.64999999999998"/>
    <n v="0"/>
    <s v="Paid"/>
    <s v=""/>
    <d v="2026-08-24T00:00:00"/>
    <d v="2026-08-24T00:00:00"/>
    <n v="1050"/>
    <n v="0.27"/>
    <n v="283.5"/>
    <n v="22.850000000000023"/>
    <x v="1"/>
    <x v="2"/>
    <x v="4"/>
  </r>
  <r>
    <s v="CLM100038"/>
    <s v="PT13303"/>
    <s v="P04"/>
    <x v="1"/>
    <x v="1"/>
    <n v="1"/>
    <d v="2026-08-14T00:00:00"/>
    <d v="2026-08-21T00:00:00"/>
    <n v="237.63"/>
    <n v="90.15"/>
    <n v="90.15"/>
    <n v="0"/>
    <s v="Paid"/>
    <s v=""/>
    <d v="2026-09-09T00:00:00"/>
    <d v="2026-09-09T00:00:00"/>
    <n v="240"/>
    <n v="0.36"/>
    <n v="86.4"/>
    <n v="-3.75"/>
    <x v="0"/>
    <x v="1"/>
    <x v="4"/>
  </r>
  <r>
    <s v="CLM100039"/>
    <s v="PT12024"/>
    <s v="P01"/>
    <x v="1"/>
    <x v="8"/>
    <n v="1"/>
    <d v="2026-06-01T00:00:00"/>
    <d v="2026-06-07T00:00:00"/>
    <n v="261.74"/>
    <n v="131.93"/>
    <n v="105.54"/>
    <n v="26.39"/>
    <s v="Paid"/>
    <s v=""/>
    <d v="2026-06-23T00:00:00"/>
    <d v="2026-06-23T00:00:00"/>
    <n v="260"/>
    <n v="0.45"/>
    <n v="117"/>
    <n v="-14.930000000000007"/>
    <x v="0"/>
    <x v="5"/>
    <x v="11"/>
  </r>
  <r>
    <s v="CLM100040"/>
    <s v="PT10720"/>
    <s v="P04"/>
    <x v="0"/>
    <x v="7"/>
    <n v="1"/>
    <d v="2025-10-03T00:00:00"/>
    <d v="2025-10-11T00:00:00"/>
    <n v="214.95"/>
    <n v="84.08"/>
    <n v="84.08"/>
    <n v="0"/>
    <s v="Paid"/>
    <s v=""/>
    <d v="2025-10-25T00:00:00"/>
    <d v="2025-10-25T00:00:00"/>
    <n v="210"/>
    <n v="0.36"/>
    <n v="75.599999999999994"/>
    <n v="-8.480000000000004"/>
    <x v="0"/>
    <x v="1"/>
    <x v="9"/>
  </r>
  <r>
    <s v="CLM100041"/>
    <s v="PT13093"/>
    <s v="P03"/>
    <x v="2"/>
    <x v="0"/>
    <n v="1"/>
    <d v="2025-10-26T00:00:00"/>
    <d v="2025-11-05T00:00:00"/>
    <n v="145.5"/>
    <m/>
    <m/>
    <m/>
    <s v="Denied"/>
    <s v="CO-27"/>
    <d v="2025-12-09T00:00:00"/>
    <m/>
    <n v="145"/>
    <n v="0.47"/>
    <n v="68.150000000000006"/>
    <s v=""/>
    <x v="2"/>
    <x v="4"/>
    <x v="9"/>
  </r>
  <r>
    <s v="CLM100042"/>
    <s v="PT13440"/>
    <s v="P06"/>
    <x v="0"/>
    <x v="4"/>
    <n v="1"/>
    <d v="2026-07-08T00:00:00"/>
    <d v="2026-07-09T00:00:00"/>
    <n v="37.880000000000003"/>
    <n v="10.07"/>
    <n v="10.07"/>
    <n v="0"/>
    <s v="Paid"/>
    <s v=""/>
    <d v="2026-08-14T00:00:00"/>
    <d v="2026-08-14T00:00:00"/>
    <n v="38"/>
    <n v="0.27"/>
    <n v="10.26"/>
    <n v="0.1899999999999995"/>
    <x v="0"/>
    <x v="2"/>
    <x v="1"/>
  </r>
  <r>
    <s v="CLM100043"/>
    <s v="PT10947"/>
    <s v="P04"/>
    <x v="0"/>
    <x v="4"/>
    <n v="1"/>
    <d v="2026-02-18T00:00:00"/>
    <d v="2026-02-24T00:00:00"/>
    <n v="37.86"/>
    <n v="12.93"/>
    <n v="12.93"/>
    <n v="0"/>
    <s v="Paid"/>
    <s v=""/>
    <d v="2026-03-15T00:00:00"/>
    <d v="2026-03-15T00:00:00"/>
    <n v="38"/>
    <n v="0.36"/>
    <n v="13.68"/>
    <n v="0.75"/>
    <x v="1"/>
    <x v="1"/>
    <x v="0"/>
  </r>
  <r>
    <s v="CLM100044"/>
    <s v="PT11595"/>
    <s v="P05"/>
    <x v="0"/>
    <x v="7"/>
    <n v="1"/>
    <d v="2025-11-02T00:00:00"/>
    <d v="2025-11-04T00:00:00"/>
    <n v="208.93"/>
    <n v="69.03"/>
    <n v="55.22"/>
    <n v="13.81"/>
    <s v="Paid"/>
    <s v=""/>
    <d v="2025-12-22T00:00:00"/>
    <d v="2025-12-22T00:00:00"/>
    <n v="210"/>
    <n v="0.38"/>
    <n v="79.8"/>
    <n v="10.769999999999996"/>
    <x v="1"/>
    <x v="0"/>
    <x v="3"/>
  </r>
  <r>
    <s v="CLM100045"/>
    <s v="PT11716"/>
    <s v="P07"/>
    <x v="2"/>
    <x v="0"/>
    <n v="1"/>
    <d v="2025-10-11T00:00:00"/>
    <d v="2025-10-17T00:00:00"/>
    <n v="148.1"/>
    <m/>
    <m/>
    <m/>
    <s v="Denied"/>
    <s v="CO-27"/>
    <d v="2026-01-13T00:00:00"/>
    <m/>
    <n v="145"/>
    <n v="0.28000000000000003"/>
    <n v="40.6"/>
    <s v=""/>
    <x v="2"/>
    <x v="3"/>
    <x v="9"/>
  </r>
  <r>
    <s v="CLM100046"/>
    <s v="PT10522"/>
    <s v="P03"/>
    <x v="0"/>
    <x v="8"/>
    <n v="1"/>
    <d v="2025-10-15T00:00:00"/>
    <d v="2025-10-20T00:00:00"/>
    <n v="258.27"/>
    <n v="130.54"/>
    <n v="104.43"/>
    <n v="26.11"/>
    <s v="Paid"/>
    <s v=""/>
    <d v="2025-11-07T00:00:00"/>
    <d v="2025-11-07T00:00:00"/>
    <n v="260"/>
    <n v="0.47"/>
    <n v="122.2"/>
    <n v="-8.3399999999999892"/>
    <x v="0"/>
    <x v="4"/>
    <x v="9"/>
  </r>
  <r>
    <s v="CLM100047"/>
    <s v="PT10866"/>
    <s v="P01"/>
    <x v="2"/>
    <x v="0"/>
    <n v="1"/>
    <d v="2026-04-20T00:00:00"/>
    <d v="2026-08-20T00:00:00"/>
    <n v="145.80000000000001"/>
    <m/>
    <m/>
    <m/>
    <s v="Denied"/>
    <s v="CO-29"/>
    <d v="2026-09-24T00:00:00"/>
    <m/>
    <n v="145"/>
    <n v="0.45"/>
    <n v="65.25"/>
    <s v=""/>
    <x v="2"/>
    <x v="5"/>
    <x v="10"/>
  </r>
  <r>
    <s v="CLM100048"/>
    <s v="PT10079"/>
    <s v="P05"/>
    <x v="0"/>
    <x v="8"/>
    <n v="1"/>
    <d v="2026-04-13T00:00:00"/>
    <d v="2026-04-26T00:00:00"/>
    <n v="256.54000000000002"/>
    <n v="108.35"/>
    <n v="86.68"/>
    <n v="21.67"/>
    <s v="Paid"/>
    <s v=""/>
    <d v="2026-06-21T00:00:00"/>
    <d v="2026-06-21T00:00:00"/>
    <n v="260"/>
    <n v="0.38"/>
    <n v="98.8"/>
    <n v="-9.5499999999999972"/>
    <x v="0"/>
    <x v="0"/>
    <x v="10"/>
  </r>
  <r>
    <s v="CLM100049"/>
    <s v="PT12544"/>
    <s v="P01"/>
    <x v="3"/>
    <x v="3"/>
    <n v="10"/>
    <d v="2026-03-29T00:00:00"/>
    <d v="2026-04-05T00:00:00"/>
    <n v="14630.63"/>
    <n v="7104.53"/>
    <n v="7104.53"/>
    <n v="0"/>
    <s v="Paid"/>
    <s v=""/>
    <d v="2026-05-08T00:00:00"/>
    <d v="2026-05-08T00:00:00"/>
    <n v="1450"/>
    <n v="0.45"/>
    <n v="6525"/>
    <n v="-579.52999999999975"/>
    <x v="0"/>
    <x v="5"/>
    <x v="2"/>
  </r>
  <r>
    <s v="CLM100050"/>
    <s v="PT12481"/>
    <s v="P03"/>
    <x v="1"/>
    <x v="7"/>
    <n v="1"/>
    <d v="2025-11-28T00:00:00"/>
    <d v="2025-11-29T00:00:00"/>
    <n v="210.81"/>
    <n v="107.88"/>
    <n v="107.88"/>
    <n v="0"/>
    <s v="Paid"/>
    <s v=""/>
    <d v="2026-01-10T00:00:00"/>
    <d v="2026-01-10T00:00:00"/>
    <n v="210"/>
    <n v="0.47"/>
    <n v="98.7"/>
    <n v="-9.1799999999999926"/>
    <x v="0"/>
    <x v="4"/>
    <x v="3"/>
  </r>
  <r>
    <s v="CLM100051"/>
    <s v="PT12928"/>
    <s v="P06"/>
    <x v="0"/>
    <x v="0"/>
    <n v="1"/>
    <d v="2025-12-23T00:00:00"/>
    <d v="2025-12-24T00:00:00"/>
    <n v="149.04"/>
    <m/>
    <m/>
    <m/>
    <s v="Denied"/>
    <s v="CO-16"/>
    <d v="2026-02-13T00:00:00"/>
    <m/>
    <n v="145"/>
    <n v="0.27"/>
    <n v="39.15"/>
    <s v=""/>
    <x v="2"/>
    <x v="2"/>
    <x v="6"/>
  </r>
  <r>
    <s v="CLM100052"/>
    <s v="PT10051"/>
    <s v="P06"/>
    <x v="3"/>
    <x v="3"/>
    <n v="5"/>
    <d v="2026-07-17T00:00:00"/>
    <d v="2026-07-20T00:00:00"/>
    <n v="7183.53"/>
    <n v="1943.15"/>
    <n v="1748.83"/>
    <n v="194.32"/>
    <s v="Paid"/>
    <s v=""/>
    <d v="2026-08-25T00:00:00"/>
    <d v="2026-08-25T00:00:00"/>
    <n v="1450"/>
    <n v="0.27"/>
    <n v="1957.5"/>
    <n v="14.349999999999909"/>
    <x v="0"/>
    <x v="2"/>
    <x v="1"/>
  </r>
  <r>
    <s v="CLM100053"/>
    <s v="PT11904"/>
    <s v="P01"/>
    <x v="2"/>
    <x v="9"/>
    <n v="4"/>
    <d v="2026-04-04T00:00:00"/>
    <d v="2026-04-07T00:00:00"/>
    <n v="237.45"/>
    <n v="107.58"/>
    <n v="86.06"/>
    <n v="21.52"/>
    <s v="Paid"/>
    <s v=""/>
    <d v="2026-04-28T00:00:00"/>
    <d v="2026-04-28T00:00:00"/>
    <n v="58"/>
    <n v="0.45"/>
    <n v="104.4"/>
    <n v="-3.1799999999999926"/>
    <x v="0"/>
    <x v="5"/>
    <x v="10"/>
  </r>
  <r>
    <s v="CLM100054"/>
    <s v="PT12334"/>
    <s v="P02"/>
    <x v="0"/>
    <x v="8"/>
    <n v="1"/>
    <d v="2026-02-03T00:00:00"/>
    <d v="2026-02-04T00:00:00"/>
    <n v="265.16000000000003"/>
    <n v="104.32"/>
    <n v="83.46"/>
    <n v="20.86"/>
    <s v="Paid"/>
    <s v=""/>
    <d v="2026-02-25T00:00:00"/>
    <d v="2026-02-25T00:00:00"/>
    <n v="260"/>
    <n v="0.43"/>
    <n v="111.8"/>
    <n v="7.480000000000004"/>
    <x v="1"/>
    <x v="6"/>
    <x v="0"/>
  </r>
  <r>
    <s v="CLM100055"/>
    <s v="PT12276"/>
    <s v="P02"/>
    <x v="0"/>
    <x v="4"/>
    <n v="1"/>
    <d v="2026-06-11T00:00:00"/>
    <d v="2026-06-12T00:00:00"/>
    <n v="38.799999999999997"/>
    <n v="18.12"/>
    <n v="16.309999999999999"/>
    <n v="1.81"/>
    <s v="Paid"/>
    <s v=""/>
    <d v="2026-07-03T00:00:00"/>
    <d v="2026-07-03T00:00:00"/>
    <n v="38"/>
    <n v="0.43"/>
    <n v="16.34"/>
    <n v="-1.7800000000000011"/>
    <x v="0"/>
    <x v="6"/>
    <x v="11"/>
  </r>
  <r>
    <s v="CLM100056"/>
    <s v="PT11835"/>
    <s v="P01"/>
    <x v="1"/>
    <x v="7"/>
    <n v="1"/>
    <d v="2026-04-27T00:00:00"/>
    <d v="2026-05-03T00:00:00"/>
    <n v="209.86"/>
    <n v="98.72"/>
    <n v="78.98"/>
    <n v="19.739999999999998"/>
    <s v="Paid"/>
    <s v=""/>
    <d v="2026-06-14T00:00:00"/>
    <d v="2026-06-14T00:00:00"/>
    <n v="210"/>
    <n v="0.45"/>
    <n v="94.5"/>
    <n v="-4.2199999999999989"/>
    <x v="0"/>
    <x v="5"/>
    <x v="10"/>
  </r>
  <r>
    <s v="CLM100057"/>
    <s v="PT11441"/>
    <s v="P02"/>
    <x v="3"/>
    <x v="3"/>
    <n v="10"/>
    <d v="2026-04-26T00:00:00"/>
    <d v="2026-04-30T00:00:00"/>
    <n v="14331.4"/>
    <n v="6185.61"/>
    <n v="5567.05"/>
    <n v="618.55999999999995"/>
    <s v="Paid"/>
    <s v=""/>
    <d v="2026-05-17T00:00:00"/>
    <d v="2026-05-17T00:00:00"/>
    <n v="1450"/>
    <n v="0.43"/>
    <n v="6235"/>
    <n v="49.390000000000327"/>
    <x v="0"/>
    <x v="6"/>
    <x v="10"/>
  </r>
  <r>
    <s v="CLM100058"/>
    <s v="PT10758"/>
    <s v="P02"/>
    <x v="3"/>
    <x v="6"/>
    <n v="1"/>
    <d v="2026-01-27T00:00:00"/>
    <d v="2026-01-28T00:00:00"/>
    <n v="410.44"/>
    <m/>
    <m/>
    <m/>
    <s v="Denied"/>
    <s v="CO-50"/>
    <d v="2026-03-08T00:00:00"/>
    <m/>
    <n v="420"/>
    <n v="0.43"/>
    <n v="180.6"/>
    <s v=""/>
    <x v="2"/>
    <x v="6"/>
    <x v="5"/>
  </r>
  <r>
    <s v="CLM100059"/>
    <s v="PT12266"/>
    <s v="P04"/>
    <x v="2"/>
    <x v="0"/>
    <n v="1"/>
    <d v="2025-11-21T00:00:00"/>
    <d v="2025-11-23T00:00:00"/>
    <n v="147.88999999999999"/>
    <n v="56.69"/>
    <n v="56.69"/>
    <n v="0"/>
    <s v="Paid"/>
    <s v=""/>
    <d v="2025-12-12T00:00:00"/>
    <d v="2025-12-12T00:00:00"/>
    <n v="145"/>
    <n v="0.36"/>
    <n v="52.2"/>
    <n v="-4.4899999999999949"/>
    <x v="0"/>
    <x v="1"/>
    <x v="3"/>
  </r>
  <r>
    <s v="CLM100060"/>
    <s v="PT10755"/>
    <s v="P04"/>
    <x v="1"/>
    <x v="7"/>
    <n v="1"/>
    <d v="2026-06-09T00:00:00"/>
    <d v="2026-06-10T00:00:00"/>
    <n v="204.99"/>
    <n v="73.31"/>
    <n v="65.98"/>
    <n v="7.33"/>
    <s v="Paid"/>
    <s v=""/>
    <d v="2026-06-29T00:00:00"/>
    <d v="2026-06-29T00:00:00"/>
    <n v="210"/>
    <n v="0.36"/>
    <n v="75.599999999999994"/>
    <n v="2.289999999999992"/>
    <x v="0"/>
    <x v="1"/>
    <x v="11"/>
  </r>
  <r>
    <s v="CLM100062"/>
    <s v="PT11845"/>
    <s v="P01"/>
    <x v="3"/>
    <x v="3"/>
    <n v="20"/>
    <d v="2026-07-16T00:00:00"/>
    <d v="2026-07-18T00:00:00"/>
    <n v="28278.21"/>
    <n v="12393.33"/>
    <n v="9914.66"/>
    <n v="2478.67"/>
    <s v="Paid"/>
    <s v=""/>
    <d v="2026-08-05T00:00:00"/>
    <d v="2026-08-05T00:00:00"/>
    <n v="1450"/>
    <n v="0.45"/>
    <n v="13050"/>
    <n v="656.67000000000007"/>
    <x v="1"/>
    <x v="5"/>
    <x v="1"/>
  </r>
  <r>
    <s v="CLM100063"/>
    <s v="PT11083"/>
    <s v="P07"/>
    <x v="2"/>
    <x v="9"/>
    <n v="1"/>
    <d v="2026-05-08T00:00:00"/>
    <d v="2026-05-09T00:00:00"/>
    <n v="58.24"/>
    <m/>
    <m/>
    <m/>
    <s v="Denied"/>
    <s v="CO-11"/>
    <d v="2026-06-24T00:00:00"/>
    <m/>
    <n v="58"/>
    <n v="0.28000000000000003"/>
    <n v="16.239999999999998"/>
    <s v=""/>
    <x v="2"/>
    <x v="3"/>
    <x v="7"/>
  </r>
  <r>
    <s v="CLM100064"/>
    <s v="PT10291"/>
    <s v="P04"/>
    <x v="1"/>
    <x v="7"/>
    <n v="1"/>
    <d v="2025-12-20T00:00:00"/>
    <d v="2025-12-23T00:00:00"/>
    <n v="203.73"/>
    <n v="68.58"/>
    <n v="54.86"/>
    <n v="13.72"/>
    <s v="Paid"/>
    <s v=""/>
    <d v="2026-01-10T00:00:00"/>
    <d v="2026-01-10T00:00:00"/>
    <n v="210"/>
    <n v="0.36"/>
    <n v="75.599999999999994"/>
    <n v="7.019999999999996"/>
    <x v="1"/>
    <x v="1"/>
    <x v="6"/>
  </r>
  <r>
    <s v="CLM100065"/>
    <s v="PT10920"/>
    <s v="P06"/>
    <x v="3"/>
    <x v="6"/>
    <n v="1"/>
    <d v="2026-08-17T00:00:00"/>
    <d v="2026-08-24T00:00:00"/>
    <n v="422.26"/>
    <m/>
    <m/>
    <m/>
    <s v="Pending"/>
    <s v=""/>
    <m/>
    <m/>
    <n v="420"/>
    <n v="0.27"/>
    <n v="113.4"/>
    <s v=""/>
    <x v="2"/>
    <x v="2"/>
    <x v="4"/>
  </r>
  <r>
    <s v="CLM100066"/>
    <s v="PT12820"/>
    <s v="P06"/>
    <x v="3"/>
    <x v="6"/>
    <n v="1"/>
    <d v="2025-11-06T00:00:00"/>
    <d v="2025-11-13T00:00:00"/>
    <n v="408.9"/>
    <n v="121.54"/>
    <n v="97.23"/>
    <n v="24.31"/>
    <s v="Paid"/>
    <s v=""/>
    <d v="2026-01-03T00:00:00"/>
    <d v="2026-01-03T00:00:00"/>
    <n v="420"/>
    <n v="0.27"/>
    <n v="113.4"/>
    <n v="-8.14"/>
    <x v="0"/>
    <x v="2"/>
    <x v="3"/>
  </r>
  <r>
    <s v="CLM100067"/>
    <s v="PT12472"/>
    <s v="P07"/>
    <x v="1"/>
    <x v="10"/>
    <n v="1"/>
    <d v="2026-06-14T00:00:00"/>
    <d v="2026-06-17T00:00:00"/>
    <n v="1052.52"/>
    <n v="329.23"/>
    <n v="296.31"/>
    <n v="32.92"/>
    <s v="Paid"/>
    <s v=""/>
    <d v="2026-08-07T00:00:00"/>
    <d v="2026-08-07T00:00:00"/>
    <n v="1050"/>
    <n v="0.28000000000000003"/>
    <n v="294"/>
    <n v="-35.230000000000018"/>
    <x v="0"/>
    <x v="3"/>
    <x v="11"/>
  </r>
  <r>
    <s v="CLM100068"/>
    <s v="PT10164"/>
    <s v="P01"/>
    <x v="1"/>
    <x v="8"/>
    <n v="1"/>
    <d v="2026-09-11T00:00:00"/>
    <d v="2026-09-15T00:00:00"/>
    <n v="265.24"/>
    <m/>
    <m/>
    <m/>
    <s v="Pending"/>
    <s v=""/>
    <m/>
    <m/>
    <n v="260"/>
    <n v="0.45"/>
    <n v="117"/>
    <s v=""/>
    <x v="2"/>
    <x v="5"/>
    <x v="8"/>
  </r>
  <r>
    <s v="CLM100069"/>
    <s v="PT12014"/>
    <s v="P03"/>
    <x v="3"/>
    <x v="3"/>
    <n v="30"/>
    <d v="2026-08-30T00:00:00"/>
    <d v="2026-08-31T00:00:00"/>
    <n v="44585.95"/>
    <m/>
    <m/>
    <m/>
    <s v="Pending"/>
    <s v=""/>
    <m/>
    <m/>
    <n v="1450"/>
    <n v="0.47"/>
    <n v="20445"/>
    <s v=""/>
    <x v="2"/>
    <x v="4"/>
    <x v="4"/>
  </r>
  <r>
    <s v="CLM100070"/>
    <s v="PT11862"/>
    <s v="P02"/>
    <x v="2"/>
    <x v="9"/>
    <n v="1"/>
    <d v="2026-03-20T00:00:00"/>
    <d v="2026-03-28T00:00:00"/>
    <n v="58.59"/>
    <n v="23.4"/>
    <n v="23.4"/>
    <n v="0"/>
    <s v="Paid"/>
    <s v=""/>
    <d v="2026-05-15T00:00:00"/>
    <d v="2026-05-15T00:00:00"/>
    <n v="58"/>
    <n v="0.43"/>
    <n v="24.94"/>
    <n v="1.5400000000000027"/>
    <x v="1"/>
    <x v="6"/>
    <x v="2"/>
  </r>
  <r>
    <s v="CLM100071"/>
    <s v="PT10222"/>
    <s v="P02"/>
    <x v="1"/>
    <x v="11"/>
    <n v="1"/>
    <d v="2026-04-25T00:00:00"/>
    <d v="2026-05-02T00:00:00"/>
    <n v="1175.18"/>
    <m/>
    <m/>
    <m/>
    <s v="Denied"/>
    <s v="CO-11"/>
    <d v="2026-05-28T00:00:00"/>
    <m/>
    <n v="1150"/>
    <n v="0.43"/>
    <n v="494.5"/>
    <s v=""/>
    <x v="2"/>
    <x v="6"/>
    <x v="10"/>
  </r>
  <r>
    <s v="CLM100072"/>
    <s v="PT12907"/>
    <s v="P01"/>
    <x v="0"/>
    <x v="0"/>
    <n v="1"/>
    <d v="2026-07-09T00:00:00"/>
    <d v="2026-07-11T00:00:00"/>
    <n v="141.79"/>
    <n v="63.5"/>
    <n v="63.5"/>
    <n v="0"/>
    <s v="Paid"/>
    <s v=""/>
    <d v="2026-08-19T00:00:00"/>
    <d v="2026-08-19T00:00:00"/>
    <n v="145"/>
    <n v="0.45"/>
    <n v="65.25"/>
    <n v="1.75"/>
    <x v="0"/>
    <x v="5"/>
    <x v="1"/>
  </r>
  <r>
    <s v="CLM100073"/>
    <s v="PT12653"/>
    <s v="P01"/>
    <x v="1"/>
    <x v="1"/>
    <n v="1"/>
    <d v="2026-04-27T00:00:00"/>
    <d v="2026-05-17T00:00:00"/>
    <n v="234.14"/>
    <n v="104.1"/>
    <n v="104.1"/>
    <n v="0"/>
    <s v="Paid"/>
    <s v=""/>
    <d v="2026-06-16T00:00:00"/>
    <d v="2026-06-16T00:00:00"/>
    <n v="240"/>
    <n v="0.45"/>
    <n v="108"/>
    <n v="3.9000000000000057"/>
    <x v="0"/>
    <x v="5"/>
    <x v="10"/>
  </r>
  <r>
    <s v="CLM100074"/>
    <s v="PT10285"/>
    <s v="P07"/>
    <x v="2"/>
    <x v="9"/>
    <n v="3"/>
    <d v="2026-02-27T00:00:00"/>
    <d v="2026-03-02T00:00:00"/>
    <n v="176.14"/>
    <n v="48.48"/>
    <n v="48.48"/>
    <n v="0"/>
    <s v="Paid"/>
    <s v=""/>
    <d v="2026-05-09T00:00:00"/>
    <d v="2026-05-09T00:00:00"/>
    <n v="58"/>
    <n v="0.28000000000000003"/>
    <n v="48.72"/>
    <n v="0.24000000000000199"/>
    <x v="0"/>
    <x v="3"/>
    <x v="0"/>
  </r>
  <r>
    <s v="CLM100075"/>
    <s v="PT13430"/>
    <s v="P06"/>
    <x v="1"/>
    <x v="5"/>
    <n v="1"/>
    <d v="2026-03-24T00:00:00"/>
    <d v="2026-03-27T00:00:00"/>
    <n v="4925.0600000000004"/>
    <n v="1239.93"/>
    <n v="1115.94"/>
    <n v="123.99"/>
    <s v="Paid"/>
    <s v=""/>
    <d v="2026-05-12T00:00:00"/>
    <d v="2026-05-12T00:00:00"/>
    <n v="4800"/>
    <n v="0.27"/>
    <n v="1296"/>
    <n v="56.069999999999936"/>
    <x v="0"/>
    <x v="2"/>
    <x v="2"/>
  </r>
  <r>
    <s v="CLM100076"/>
    <s v="PT12856"/>
    <s v="P07"/>
    <x v="0"/>
    <x v="4"/>
    <n v="1"/>
    <d v="2026-05-17T00:00:00"/>
    <d v="2026-05-19T00:00:00"/>
    <n v="38.090000000000003"/>
    <n v="10.77"/>
    <n v="10.77"/>
    <n v="0"/>
    <s v="Paid"/>
    <s v=""/>
    <d v="2026-07-03T00:00:00"/>
    <d v="2026-07-03T00:00:00"/>
    <n v="38"/>
    <n v="0.28000000000000003"/>
    <n v="10.64"/>
    <n v="-0.12999999999999901"/>
    <x v="0"/>
    <x v="3"/>
    <x v="7"/>
  </r>
  <r>
    <s v="CLM100077"/>
    <s v="PT12718"/>
    <s v="P01"/>
    <x v="1"/>
    <x v="10"/>
    <n v="1"/>
    <d v="2026-04-29T00:00:00"/>
    <d v="2026-05-05T00:00:00"/>
    <n v="1021.25"/>
    <n v="504.09"/>
    <n v="403.27"/>
    <n v="100.82"/>
    <s v="Paid"/>
    <s v=""/>
    <d v="2026-06-04T00:00:00"/>
    <d v="2026-06-04T00:00:00"/>
    <n v="1050"/>
    <n v="0.45"/>
    <n v="472.5"/>
    <n v="-31.589999999999975"/>
    <x v="0"/>
    <x v="5"/>
    <x v="10"/>
  </r>
  <r>
    <s v="CLM100078"/>
    <s v="PT10408"/>
    <s v="P08"/>
    <x v="3"/>
    <x v="7"/>
    <n v="1"/>
    <d v="2026-06-11T00:00:00"/>
    <d v="2026-06-12T00:00:00"/>
    <n v="215.86"/>
    <n v="215.86"/>
    <n v="215.86"/>
    <n v="0"/>
    <s v="Paid"/>
    <s v=""/>
    <d v="2026-08-20T00:00:00"/>
    <d v="2026-08-20T00:00:00"/>
    <n v="210"/>
    <n v="1"/>
    <n v="210"/>
    <n v="-5.8600000000000136"/>
    <x v="0"/>
    <x v="7"/>
    <x v="11"/>
  </r>
  <r>
    <s v="CLM100079"/>
    <s v="PT11386"/>
    <s v="P01"/>
    <x v="0"/>
    <x v="4"/>
    <n v="1"/>
    <d v="2025-12-13T00:00:00"/>
    <d v="2025-12-18T00:00:00"/>
    <n v="37.79"/>
    <n v="16.84"/>
    <n v="15.16"/>
    <n v="1.68"/>
    <s v="Paid"/>
    <s v=""/>
    <d v="2026-01-18T00:00:00"/>
    <d v="2026-01-18T00:00:00"/>
    <n v="38"/>
    <n v="0.45"/>
    <n v="17.100000000000001"/>
    <n v="0.26000000000000156"/>
    <x v="0"/>
    <x v="5"/>
    <x v="6"/>
  </r>
  <r>
    <s v="CLM100080"/>
    <s v="PT12529"/>
    <s v="P04"/>
    <x v="0"/>
    <x v="4"/>
    <n v="1"/>
    <d v="2026-03-18T00:00:00"/>
    <d v="2026-03-26T00:00:00"/>
    <n v="38.799999999999997"/>
    <n v="13.17"/>
    <n v="13.17"/>
    <n v="0"/>
    <s v="Paid"/>
    <s v=""/>
    <d v="2026-04-11T00:00:00"/>
    <d v="2026-04-11T00:00:00"/>
    <n v="38"/>
    <n v="0.36"/>
    <n v="13.68"/>
    <n v="0.50999999999999979"/>
    <x v="0"/>
    <x v="1"/>
    <x v="2"/>
  </r>
  <r>
    <s v="CLM100081"/>
    <s v="PT11817"/>
    <s v="P05"/>
    <x v="1"/>
    <x v="4"/>
    <n v="1"/>
    <d v="2026-02-25T00:00:00"/>
    <d v="2026-03-03T00:00:00"/>
    <n v="39.130000000000003"/>
    <n v="13.1"/>
    <n v="13.1"/>
    <n v="0"/>
    <s v="Paid"/>
    <s v=""/>
    <d v="2026-03-29T00:00:00"/>
    <d v="2026-03-29T00:00:00"/>
    <n v="38"/>
    <n v="0.38"/>
    <n v="14.44"/>
    <n v="1.3399999999999999"/>
    <x v="1"/>
    <x v="0"/>
    <x v="0"/>
  </r>
  <r>
    <s v="CLM100082"/>
    <s v="PT10737"/>
    <s v="P07"/>
    <x v="1"/>
    <x v="11"/>
    <n v="1"/>
    <d v="2025-10-24T00:00:00"/>
    <d v="2025-10-25T00:00:00"/>
    <n v="1137.8800000000001"/>
    <m/>
    <m/>
    <m/>
    <s v="Denied"/>
    <s v="CO-50"/>
    <d v="2025-12-01T00:00:00"/>
    <m/>
    <n v="1150"/>
    <n v="0.28000000000000003"/>
    <n v="322"/>
    <s v=""/>
    <x v="2"/>
    <x v="3"/>
    <x v="9"/>
  </r>
  <r>
    <s v="CLM100083"/>
    <s v="PT13295"/>
    <s v="P03"/>
    <x v="0"/>
    <x v="7"/>
    <n v="1"/>
    <d v="2026-07-26T00:00:00"/>
    <d v="2026-07-29T00:00:00"/>
    <n v="205.5"/>
    <n v="89.71"/>
    <n v="89.71"/>
    <n v="0"/>
    <s v="Paid"/>
    <s v=""/>
    <d v="2026-09-22T00:00:00"/>
    <d v="2026-09-22T00:00:00"/>
    <n v="210"/>
    <n v="0.47"/>
    <n v="98.7"/>
    <n v="8.9900000000000091"/>
    <x v="1"/>
    <x v="4"/>
    <x v="1"/>
  </r>
  <r>
    <s v="CLM100084"/>
    <s v="PT13462"/>
    <s v="P05"/>
    <x v="0"/>
    <x v="8"/>
    <n v="1"/>
    <d v="2025-12-20T00:00:00"/>
    <d v="2026-01-01T00:00:00"/>
    <n v="253.35"/>
    <n v="90.85"/>
    <n v="72.680000000000007"/>
    <n v="18.170000000000002"/>
    <s v="Paid"/>
    <s v=""/>
    <d v="2026-03-17T00:00:00"/>
    <d v="2026-03-17T00:00:00"/>
    <n v="260"/>
    <n v="0.38"/>
    <n v="98.8"/>
    <n v="7.9500000000000028"/>
    <x v="1"/>
    <x v="0"/>
    <x v="6"/>
  </r>
  <r>
    <s v="CLM100085"/>
    <s v="PT10089"/>
    <s v="P06"/>
    <x v="1"/>
    <x v="10"/>
    <n v="1"/>
    <d v="2025-11-24T00:00:00"/>
    <d v="2025-11-28T00:00:00"/>
    <n v="1033.44"/>
    <n v="321.8"/>
    <n v="289.62"/>
    <n v="32.18"/>
    <s v="Paid"/>
    <s v=""/>
    <d v="2026-01-02T00:00:00"/>
    <d v="2026-01-02T00:00:00"/>
    <n v="1050"/>
    <n v="0.27"/>
    <n v="283.5"/>
    <n v="-38.300000000000011"/>
    <x v="0"/>
    <x v="2"/>
    <x v="3"/>
  </r>
  <r>
    <s v="CLM100086"/>
    <s v="PT13272"/>
    <s v="P02"/>
    <x v="2"/>
    <x v="0"/>
    <n v="1"/>
    <d v="2025-10-05T00:00:00"/>
    <d v="2025-10-10T00:00:00"/>
    <n v="145.57"/>
    <m/>
    <m/>
    <m/>
    <s v="Denied"/>
    <s v="CO-4"/>
    <d v="2025-11-17T00:00:00"/>
    <m/>
    <n v="145"/>
    <n v="0.43"/>
    <n v="62.35"/>
    <s v=""/>
    <x v="2"/>
    <x v="6"/>
    <x v="9"/>
  </r>
  <r>
    <s v="CLM100087"/>
    <s v="PT11265"/>
    <s v="P05"/>
    <x v="3"/>
    <x v="7"/>
    <n v="1"/>
    <d v="2026-09-14T00:00:00"/>
    <d v="2026-09-18T00:00:00"/>
    <n v="214.26"/>
    <m/>
    <m/>
    <m/>
    <s v="Pending"/>
    <s v=""/>
    <m/>
    <m/>
    <n v="210"/>
    <n v="0.38"/>
    <n v="79.8"/>
    <s v=""/>
    <x v="2"/>
    <x v="0"/>
    <x v="8"/>
  </r>
  <r>
    <s v="CLM100088"/>
    <s v="PT12174"/>
    <s v="P04"/>
    <x v="3"/>
    <x v="3"/>
    <n v="5"/>
    <d v="2025-12-07T00:00:00"/>
    <d v="2025-12-09T00:00:00"/>
    <n v="7428.19"/>
    <n v="2425.2199999999998"/>
    <n v="2182.6999999999998"/>
    <n v="242.52"/>
    <s v="Paid"/>
    <s v=""/>
    <d v="2025-12-29T00:00:00"/>
    <d v="2025-12-29T00:00:00"/>
    <n v="1450"/>
    <n v="0.36"/>
    <n v="2610"/>
    <n v="184.7800000000002"/>
    <x v="1"/>
    <x v="1"/>
    <x v="6"/>
  </r>
  <r>
    <s v="CLM100089"/>
    <s v="PT13294"/>
    <s v="P06"/>
    <x v="0"/>
    <x v="8"/>
    <n v="1"/>
    <d v="2026-02-09T00:00:00"/>
    <d v="2026-02-21T00:00:00"/>
    <n v="266.45999999999998"/>
    <n v="67.36"/>
    <n v="60.62"/>
    <n v="6.74"/>
    <s v="Paid"/>
    <s v=""/>
    <d v="2026-03-09T00:00:00"/>
    <d v="2026-03-09T00:00:00"/>
    <n v="260"/>
    <n v="0.27"/>
    <n v="70.2"/>
    <n v="2.8400000000000034"/>
    <x v="0"/>
    <x v="2"/>
    <x v="0"/>
  </r>
  <r>
    <s v="CLM100090"/>
    <s v="PT10057"/>
    <s v="P01"/>
    <x v="1"/>
    <x v="8"/>
    <n v="1"/>
    <d v="2026-01-24T00:00:00"/>
    <d v="2026-01-30T00:00:00"/>
    <n v="265.62"/>
    <n v="136.91"/>
    <n v="109.53"/>
    <n v="27.38"/>
    <s v="Paid"/>
    <s v=""/>
    <d v="2026-03-01T00:00:00"/>
    <d v="2026-03-01T00:00:00"/>
    <n v="260"/>
    <n v="0.45"/>
    <n v="117"/>
    <n v="-19.909999999999997"/>
    <x v="0"/>
    <x v="5"/>
    <x v="5"/>
  </r>
  <r>
    <s v="CLM100091"/>
    <s v="PT11521"/>
    <s v="P03"/>
    <x v="1"/>
    <x v="8"/>
    <n v="1"/>
    <d v="2026-09-10T00:00:00"/>
    <d v="2026-09-12T00:00:00"/>
    <n v="263.88"/>
    <m/>
    <m/>
    <m/>
    <s v="Pending"/>
    <s v=""/>
    <m/>
    <m/>
    <n v="260"/>
    <n v="0.47"/>
    <n v="122.2"/>
    <s v=""/>
    <x v="2"/>
    <x v="4"/>
    <x v="8"/>
  </r>
  <r>
    <s v="CLM100092"/>
    <s v="PT12871"/>
    <s v="P03"/>
    <x v="1"/>
    <x v="7"/>
    <n v="1"/>
    <d v="2026-08-14T00:00:00"/>
    <d v="2026-08-18T00:00:00"/>
    <n v="214.84"/>
    <m/>
    <m/>
    <m/>
    <s v="Pending"/>
    <s v=""/>
    <m/>
    <m/>
    <n v="210"/>
    <n v="0.47"/>
    <n v="98.7"/>
    <s v=""/>
    <x v="2"/>
    <x v="4"/>
    <x v="4"/>
  </r>
  <r>
    <s v="CLM100093"/>
    <s v="PT11591"/>
    <s v="P01"/>
    <x v="1"/>
    <x v="10"/>
    <n v="1"/>
    <d v="2025-10-24T00:00:00"/>
    <d v="2025-10-26T00:00:00"/>
    <n v="1078.1099999999999"/>
    <n v="424.35"/>
    <n v="424.35"/>
    <n v="0"/>
    <s v="Paid"/>
    <s v=""/>
    <d v="2025-11-29T00:00:00"/>
    <d v="2025-11-29T00:00:00"/>
    <n v="1050"/>
    <n v="0.45"/>
    <n v="472.5"/>
    <n v="48.149999999999977"/>
    <x v="1"/>
    <x v="5"/>
    <x v="9"/>
  </r>
  <r>
    <s v="CLM100094"/>
    <s v="PT10889"/>
    <s v="P04"/>
    <x v="0"/>
    <x v="4"/>
    <n v="1"/>
    <d v="2025-12-19T00:00:00"/>
    <d v="2025-12-24T00:00:00"/>
    <n v="38.880000000000003"/>
    <n v="14.5"/>
    <n v="13.05"/>
    <n v="1.45"/>
    <s v="Paid"/>
    <s v=""/>
    <d v="2026-01-15T00:00:00"/>
    <d v="2026-01-15T00:00:00"/>
    <n v="38"/>
    <n v="0.36"/>
    <n v="13.68"/>
    <n v="-0.82000000000000028"/>
    <x v="0"/>
    <x v="1"/>
    <x v="6"/>
  </r>
  <r>
    <s v="CLM100095"/>
    <s v="PT11630"/>
    <s v="P06"/>
    <x v="0"/>
    <x v="7"/>
    <n v="1"/>
    <d v="2025-11-20T00:00:00"/>
    <d v="2025-11-22T00:00:00"/>
    <n v="216.06"/>
    <n v="60.96"/>
    <n v="60.96"/>
    <n v="0"/>
    <s v="Paid"/>
    <s v=""/>
    <d v="2025-12-28T00:00:00"/>
    <d v="2025-12-28T00:00:00"/>
    <n v="210"/>
    <n v="0.27"/>
    <n v="56.7"/>
    <n v="-4.259999999999998"/>
    <x v="0"/>
    <x v="2"/>
    <x v="3"/>
  </r>
  <r>
    <s v="CLM100096"/>
    <s v="PT13223"/>
    <s v="P07"/>
    <x v="1"/>
    <x v="8"/>
    <n v="1"/>
    <d v="2026-05-21T00:00:00"/>
    <d v="2026-05-22T00:00:00"/>
    <n v="253.63"/>
    <n v="81.13"/>
    <n v="81.13"/>
    <n v="0"/>
    <s v="Paid"/>
    <s v=""/>
    <d v="2026-08-06T00:00:00"/>
    <d v="2026-08-06T00:00:00"/>
    <n v="260"/>
    <n v="0.28000000000000003"/>
    <n v="72.8"/>
    <n v="-8.3299999999999983"/>
    <x v="0"/>
    <x v="3"/>
    <x v="7"/>
  </r>
  <r>
    <s v="CLM100097"/>
    <s v="PT13230"/>
    <s v="P06"/>
    <x v="0"/>
    <x v="0"/>
    <n v="1"/>
    <d v="2026-07-11T00:00:00"/>
    <d v="2026-07-12T00:00:00"/>
    <n v="142.44999999999999"/>
    <n v="36.409999999999997"/>
    <n v="36.409999999999997"/>
    <n v="0"/>
    <s v="Paid"/>
    <s v=""/>
    <d v="2026-08-24T00:00:00"/>
    <d v="2026-08-24T00:00:00"/>
    <n v="145"/>
    <n v="0.27"/>
    <n v="39.15"/>
    <n v="2.740000000000002"/>
    <x v="1"/>
    <x v="2"/>
    <x v="1"/>
  </r>
  <r>
    <s v="CLM100098"/>
    <s v="PT10064"/>
    <s v="P02"/>
    <x v="2"/>
    <x v="2"/>
    <n v="1"/>
    <d v="2025-12-14T00:00:00"/>
    <d v="2025-12-21T00:00:00"/>
    <n v="62.15"/>
    <n v="23.53"/>
    <n v="21.18"/>
    <n v="2.35"/>
    <s v="Paid"/>
    <s v=""/>
    <d v="2026-01-11T00:00:00"/>
    <d v="2026-01-11T00:00:00"/>
    <n v="62"/>
    <n v="0.43"/>
    <n v="26.66"/>
    <n v="3.129999999999999"/>
    <x v="1"/>
    <x v="6"/>
    <x v="6"/>
  </r>
  <r>
    <s v="CLM100099"/>
    <s v="PT11851"/>
    <s v="P01"/>
    <x v="1"/>
    <x v="8"/>
    <n v="1"/>
    <d v="2026-05-04T00:00:00"/>
    <d v="2026-05-10T00:00:00"/>
    <n v="260.41000000000003"/>
    <n v="127.32"/>
    <n v="127.32"/>
    <n v="0"/>
    <s v="Paid"/>
    <s v=""/>
    <d v="2026-06-18T00:00:00"/>
    <d v="2026-06-18T00:00:00"/>
    <n v="260"/>
    <n v="0.45"/>
    <n v="117"/>
    <n v="-10.319999999999993"/>
    <x v="0"/>
    <x v="5"/>
    <x v="7"/>
  </r>
  <r>
    <s v="CLM100100"/>
    <s v="PT12810"/>
    <s v="P05"/>
    <x v="0"/>
    <x v="0"/>
    <n v="1"/>
    <d v="2026-09-03T00:00:00"/>
    <d v="2026-09-06T00:00:00"/>
    <n v="145.19"/>
    <m/>
    <m/>
    <m/>
    <s v="Pending"/>
    <s v=""/>
    <m/>
    <m/>
    <n v="145"/>
    <n v="0.38"/>
    <n v="55.1"/>
    <s v=""/>
    <x v="2"/>
    <x v="0"/>
    <x v="8"/>
  </r>
  <r>
    <s v="CLM100101"/>
    <s v="PT12397"/>
    <s v="P07"/>
    <x v="1"/>
    <x v="4"/>
    <n v="1"/>
    <d v="2025-11-07T00:00:00"/>
    <d v="2025-11-09T00:00:00"/>
    <n v="38.909999999999997"/>
    <m/>
    <m/>
    <m/>
    <s v="Denied"/>
    <s v="CO-16"/>
    <d v="2026-01-11T00:00:00"/>
    <m/>
    <n v="38"/>
    <n v="0.28000000000000003"/>
    <n v="10.64"/>
    <s v=""/>
    <x v="2"/>
    <x v="3"/>
    <x v="3"/>
  </r>
  <r>
    <s v="CLM100102"/>
    <s v="PT11761"/>
    <s v="P03"/>
    <x v="0"/>
    <x v="4"/>
    <n v="1"/>
    <d v="2026-05-09T00:00:00"/>
    <d v="2026-05-14T00:00:00"/>
    <n v="37.090000000000003"/>
    <n v="18.350000000000001"/>
    <n v="18.350000000000001"/>
    <n v="0"/>
    <s v="Paid"/>
    <s v=""/>
    <d v="2026-06-30T00:00:00"/>
    <d v="2026-06-30T00:00:00"/>
    <n v="38"/>
    <n v="0.47"/>
    <n v="17.86"/>
    <n v="-0.49000000000000199"/>
    <x v="0"/>
    <x v="4"/>
    <x v="7"/>
  </r>
  <r>
    <s v="CLM100103"/>
    <s v="PT11533"/>
    <s v="P03"/>
    <x v="0"/>
    <x v="7"/>
    <n v="1"/>
    <d v="2026-05-21T00:00:00"/>
    <d v="2026-05-27T00:00:00"/>
    <n v="208.72"/>
    <n v="92.87"/>
    <n v="83.58"/>
    <n v="9.2899999999999991"/>
    <s v="Paid"/>
    <s v=""/>
    <d v="2026-06-19T00:00:00"/>
    <d v="2026-06-19T00:00:00"/>
    <n v="210"/>
    <n v="0.47"/>
    <n v="98.7"/>
    <n v="5.8299999999999983"/>
    <x v="1"/>
    <x v="4"/>
    <x v="7"/>
  </r>
  <r>
    <s v="CLM100104"/>
    <s v="PT12744"/>
    <s v="P07"/>
    <x v="2"/>
    <x v="0"/>
    <n v="1"/>
    <d v="2025-11-04T00:00:00"/>
    <d v="2025-11-05T00:00:00"/>
    <n v="141.44"/>
    <n v="37.9"/>
    <n v="34.11"/>
    <n v="3.79"/>
    <s v="Paid"/>
    <s v=""/>
    <d v="2026-01-09T00:00:00"/>
    <d v="2026-01-09T00:00:00"/>
    <n v="145"/>
    <n v="0.28000000000000003"/>
    <n v="40.6"/>
    <n v="2.7000000000000028"/>
    <x v="1"/>
    <x v="3"/>
    <x v="3"/>
  </r>
  <r>
    <s v="CLM100105"/>
    <s v="PT10424"/>
    <s v="P07"/>
    <x v="1"/>
    <x v="11"/>
    <n v="1"/>
    <d v="2026-05-05T00:00:00"/>
    <d v="2026-05-11T00:00:00"/>
    <n v="1175.4000000000001"/>
    <n v="338.18"/>
    <n v="304.36"/>
    <n v="33.82"/>
    <s v="Paid"/>
    <s v=""/>
    <d v="2026-07-15T00:00:00"/>
    <d v="2026-07-15T00:00:00"/>
    <n v="1150"/>
    <n v="0.28000000000000003"/>
    <n v="322"/>
    <n v="-16.180000000000007"/>
    <x v="0"/>
    <x v="3"/>
    <x v="7"/>
  </r>
  <r>
    <s v="CLM100106"/>
    <s v="PT13461"/>
    <s v="P01"/>
    <x v="0"/>
    <x v="7"/>
    <n v="1"/>
    <d v="2026-06-04T00:00:00"/>
    <d v="2026-06-05T00:00:00"/>
    <n v="206.53"/>
    <n v="89.11"/>
    <n v="71.290000000000006"/>
    <n v="17.82"/>
    <s v="Paid"/>
    <s v=""/>
    <d v="2026-07-03T00:00:00"/>
    <d v="2026-07-03T00:00:00"/>
    <n v="210"/>
    <n v="0.45"/>
    <n v="94.5"/>
    <n v="5.3900000000000006"/>
    <x v="1"/>
    <x v="5"/>
    <x v="11"/>
  </r>
  <r>
    <s v="CLM100107"/>
    <s v="PT11391"/>
    <s v="P04"/>
    <x v="0"/>
    <x v="0"/>
    <n v="1"/>
    <d v="2026-09-02T00:00:00"/>
    <d v="2026-09-04T00:00:00"/>
    <n v="147.87"/>
    <n v="56.59"/>
    <n v="50.93"/>
    <n v="5.66"/>
    <s v="Paid"/>
    <s v=""/>
    <d v="2026-09-14T00:00:00"/>
    <d v="2026-09-14T00:00:00"/>
    <n v="145"/>
    <n v="0.36"/>
    <n v="52.2"/>
    <n v="-4.3900000000000006"/>
    <x v="0"/>
    <x v="1"/>
    <x v="8"/>
  </r>
  <r>
    <s v="CLM100108"/>
    <s v="PT11540"/>
    <s v="P07"/>
    <x v="0"/>
    <x v="7"/>
    <n v="1"/>
    <d v="2026-07-17T00:00:00"/>
    <d v="2026-07-18T00:00:00"/>
    <n v="211.98"/>
    <m/>
    <m/>
    <m/>
    <s v="Pending"/>
    <s v=""/>
    <m/>
    <m/>
    <n v="210"/>
    <n v="0.28000000000000003"/>
    <n v="58.8"/>
    <s v=""/>
    <x v="2"/>
    <x v="3"/>
    <x v="1"/>
  </r>
  <r>
    <s v="CLM100109"/>
    <s v="PT10637"/>
    <s v="P01"/>
    <x v="0"/>
    <x v="8"/>
    <n v="1"/>
    <d v="2026-03-09T00:00:00"/>
    <d v="2026-03-15T00:00:00"/>
    <n v="263.45999999999998"/>
    <n v="103.25"/>
    <n v="103.25"/>
    <n v="0"/>
    <s v="Paid"/>
    <s v=""/>
    <d v="2026-04-17T00:00:00"/>
    <d v="2026-04-17T00:00:00"/>
    <n v="260"/>
    <n v="0.45"/>
    <n v="117"/>
    <n v="13.75"/>
    <x v="1"/>
    <x v="5"/>
    <x v="2"/>
  </r>
  <r>
    <s v="CLM100110"/>
    <s v="PT11413"/>
    <s v="P01"/>
    <x v="1"/>
    <x v="1"/>
    <n v="1"/>
    <d v="2025-11-11T00:00:00"/>
    <d v="2025-11-16T00:00:00"/>
    <n v="236.72"/>
    <n v="104.6"/>
    <n v="104.6"/>
    <n v="0"/>
    <s v="Paid"/>
    <s v=""/>
    <d v="2025-12-11T00:00:00"/>
    <d v="2025-12-11T00:00:00"/>
    <n v="240"/>
    <n v="0.45"/>
    <n v="108"/>
    <n v="3.4000000000000057"/>
    <x v="0"/>
    <x v="5"/>
    <x v="3"/>
  </r>
  <r>
    <s v="CLM100111"/>
    <s v="PT10031"/>
    <s v="P05"/>
    <x v="0"/>
    <x v="8"/>
    <n v="1"/>
    <d v="2026-07-31T00:00:00"/>
    <d v="2026-08-05T00:00:00"/>
    <n v="259.79000000000002"/>
    <m/>
    <m/>
    <m/>
    <s v="Pending"/>
    <s v=""/>
    <m/>
    <m/>
    <n v="260"/>
    <n v="0.38"/>
    <n v="98.8"/>
    <s v=""/>
    <x v="2"/>
    <x v="0"/>
    <x v="1"/>
  </r>
  <r>
    <s v="CLM100112"/>
    <s v="PT12049"/>
    <s v="P05"/>
    <x v="1"/>
    <x v="7"/>
    <n v="1"/>
    <d v="2026-02-08T00:00:00"/>
    <d v="2026-02-09T00:00:00"/>
    <n v="207.35"/>
    <n v="77.599999999999994"/>
    <n v="77.599999999999994"/>
    <n v="0"/>
    <s v="Paid"/>
    <s v=""/>
    <d v="2026-04-15T00:00:00"/>
    <d v="2026-04-15T00:00:00"/>
    <n v="210"/>
    <n v="0.38"/>
    <n v="79.8"/>
    <n v="2.2000000000000028"/>
    <x v="0"/>
    <x v="0"/>
    <x v="0"/>
  </r>
  <r>
    <s v="CLM100113"/>
    <s v="PT11656"/>
    <s v="P01"/>
    <x v="0"/>
    <x v="8"/>
    <n v="1"/>
    <d v="2025-10-22T00:00:00"/>
    <d v="2025-10-25T00:00:00"/>
    <n v="259.01"/>
    <m/>
    <m/>
    <m/>
    <s v="Denied"/>
    <s v="CO-16"/>
    <d v="2025-11-29T00:00:00"/>
    <m/>
    <n v="260"/>
    <n v="0.45"/>
    <n v="117"/>
    <s v=""/>
    <x v="2"/>
    <x v="5"/>
    <x v="9"/>
  </r>
  <r>
    <s v="CLM100114"/>
    <s v="PT10996"/>
    <s v="P02"/>
    <x v="0"/>
    <x v="0"/>
    <n v="1"/>
    <d v="2026-03-16T00:00:00"/>
    <d v="2026-03-28T00:00:00"/>
    <n v="142.15"/>
    <n v="64.349999999999994"/>
    <n v="64.349999999999994"/>
    <n v="0"/>
    <s v="Paid"/>
    <s v=""/>
    <d v="2026-04-22T00:00:00"/>
    <d v="2026-04-22T00:00:00"/>
    <n v="145"/>
    <n v="0.43"/>
    <n v="62.35"/>
    <n v="-1.9999999999999929"/>
    <x v="0"/>
    <x v="6"/>
    <x v="2"/>
  </r>
  <r>
    <s v="CLM100115"/>
    <s v="PT12090"/>
    <s v="P04"/>
    <x v="0"/>
    <x v="4"/>
    <n v="1"/>
    <d v="2026-04-21T00:00:00"/>
    <d v="2026-04-27T00:00:00"/>
    <n v="38.840000000000003"/>
    <n v="15.2"/>
    <n v="15.2"/>
    <n v="0"/>
    <s v="Paid"/>
    <s v=""/>
    <d v="2026-05-19T00:00:00"/>
    <d v="2026-05-19T00:00:00"/>
    <n v="38"/>
    <n v="0.36"/>
    <n v="13.68"/>
    <n v="-1.5199999999999996"/>
    <x v="0"/>
    <x v="1"/>
    <x v="10"/>
  </r>
  <r>
    <s v="CLM100116"/>
    <s v="PT12467"/>
    <s v="P07"/>
    <x v="0"/>
    <x v="7"/>
    <n v="1"/>
    <d v="2026-03-28T00:00:00"/>
    <d v="2026-04-10T00:00:00"/>
    <n v="208.12"/>
    <n v="51.7"/>
    <n v="51.7"/>
    <n v="0"/>
    <s v="Paid"/>
    <s v=""/>
    <d v="2026-06-21T00:00:00"/>
    <d v="2026-06-21T00:00:00"/>
    <n v="210"/>
    <n v="0.28000000000000003"/>
    <n v="58.8"/>
    <n v="7.0999999999999943"/>
    <x v="1"/>
    <x v="3"/>
    <x v="2"/>
  </r>
  <r>
    <s v="CLM100117"/>
    <s v="PT12789"/>
    <s v="P04"/>
    <x v="1"/>
    <x v="5"/>
    <n v="1"/>
    <d v="2025-12-30T00:00:00"/>
    <d v="2026-01-03T00:00:00"/>
    <n v="4929.97"/>
    <n v="1809.98"/>
    <n v="1447.98"/>
    <n v="362"/>
    <s v="Paid"/>
    <s v=""/>
    <d v="2026-01-23T00:00:00"/>
    <d v="2026-01-23T00:00:00"/>
    <n v="4800"/>
    <n v="0.36"/>
    <n v="1728"/>
    <n v="-81.980000000000018"/>
    <x v="0"/>
    <x v="1"/>
    <x v="6"/>
  </r>
  <r>
    <s v="CLM100118"/>
    <s v="PT11441"/>
    <s v="P04"/>
    <x v="2"/>
    <x v="0"/>
    <n v="1"/>
    <d v="2026-08-16T00:00:00"/>
    <d v="2026-08-31T00:00:00"/>
    <n v="143.46"/>
    <n v="51.15"/>
    <n v="51.15"/>
    <n v="0"/>
    <s v="Paid"/>
    <s v=""/>
    <d v="2026-09-11T00:00:00"/>
    <d v="2026-09-11T00:00:00"/>
    <n v="145"/>
    <n v="0.36"/>
    <n v="52.2"/>
    <n v="1.0500000000000043"/>
    <x v="0"/>
    <x v="1"/>
    <x v="4"/>
  </r>
  <r>
    <s v="CLM100119"/>
    <s v="PT12519"/>
    <s v="P03"/>
    <x v="0"/>
    <x v="8"/>
    <n v="1"/>
    <d v="2025-10-20T00:00:00"/>
    <d v="2025-10-28T00:00:00"/>
    <n v="253.09"/>
    <m/>
    <m/>
    <m/>
    <s v="Denied"/>
    <s v="CO-18"/>
    <d v="2025-11-24T00:00:00"/>
    <m/>
    <n v="260"/>
    <n v="0.47"/>
    <n v="122.2"/>
    <s v=""/>
    <x v="2"/>
    <x v="4"/>
    <x v="9"/>
  </r>
  <r>
    <s v="CLM100120"/>
    <s v="PT12925"/>
    <s v="P03"/>
    <x v="0"/>
    <x v="0"/>
    <n v="1"/>
    <d v="2026-07-20T00:00:00"/>
    <d v="2026-07-22T00:00:00"/>
    <n v="146.32"/>
    <n v="61.63"/>
    <n v="55.47"/>
    <n v="6.16"/>
    <s v="Paid"/>
    <s v=""/>
    <d v="2026-09-10T00:00:00"/>
    <d v="2026-09-10T00:00:00"/>
    <n v="145"/>
    <n v="0.47"/>
    <n v="68.150000000000006"/>
    <n v="6.5200000000000031"/>
    <x v="1"/>
    <x v="4"/>
    <x v="1"/>
  </r>
  <r>
    <s v="CLM100121"/>
    <s v="PT11527"/>
    <s v="P01"/>
    <x v="1"/>
    <x v="4"/>
    <n v="1"/>
    <d v="2026-02-04T00:00:00"/>
    <d v="2026-02-23T00:00:00"/>
    <n v="38.47"/>
    <n v="17.899999999999999"/>
    <n v="16.11"/>
    <n v="1.79"/>
    <s v="Paid"/>
    <s v=""/>
    <d v="2026-03-24T00:00:00"/>
    <d v="2026-03-24T00:00:00"/>
    <n v="38"/>
    <n v="0.45"/>
    <n v="17.100000000000001"/>
    <n v="-0.79999999999999716"/>
    <x v="0"/>
    <x v="5"/>
    <x v="0"/>
  </r>
  <r>
    <s v="CLM100122"/>
    <s v="PT12689"/>
    <s v="P02"/>
    <x v="2"/>
    <x v="9"/>
    <n v="4"/>
    <d v="2026-03-23T00:00:00"/>
    <d v="2026-03-30T00:00:00"/>
    <n v="233.36"/>
    <m/>
    <m/>
    <m/>
    <s v="Denied"/>
    <s v="CO-16"/>
    <d v="2026-04-27T00:00:00"/>
    <m/>
    <n v="58"/>
    <n v="0.43"/>
    <n v="99.76"/>
    <s v=""/>
    <x v="2"/>
    <x v="6"/>
    <x v="2"/>
  </r>
  <r>
    <s v="CLM100123"/>
    <s v="PT10528"/>
    <s v="P02"/>
    <x v="0"/>
    <x v="7"/>
    <n v="1"/>
    <d v="2026-07-26T00:00:00"/>
    <d v="2026-08-05T00:00:00"/>
    <n v="212.06"/>
    <n v="95.06"/>
    <n v="76.05"/>
    <n v="19.010000000000002"/>
    <s v="Paid"/>
    <s v=""/>
    <d v="2026-09-21T00:00:00"/>
    <d v="2026-09-21T00:00:00"/>
    <n v="210"/>
    <n v="0.43"/>
    <n v="90.3"/>
    <n v="-4.7600000000000051"/>
    <x v="0"/>
    <x v="6"/>
    <x v="1"/>
  </r>
  <r>
    <s v="CLM100124"/>
    <s v="PT10382"/>
    <s v="P02"/>
    <x v="0"/>
    <x v="0"/>
    <n v="1"/>
    <d v="2026-04-11T00:00:00"/>
    <d v="2026-04-13T00:00:00"/>
    <n v="146.25"/>
    <m/>
    <m/>
    <m/>
    <s v="Denied"/>
    <s v="CO-11"/>
    <d v="2026-06-05T00:00:00"/>
    <m/>
    <n v="145"/>
    <n v="0.43"/>
    <n v="62.35"/>
    <s v=""/>
    <x v="2"/>
    <x v="6"/>
    <x v="10"/>
  </r>
  <r>
    <s v="CLM100125"/>
    <s v="PT10563"/>
    <s v="P01"/>
    <x v="0"/>
    <x v="8"/>
    <n v="1"/>
    <d v="2026-03-08T00:00:00"/>
    <d v="2026-03-09T00:00:00"/>
    <n v="255.01"/>
    <n v="114.26"/>
    <n v="114.26"/>
    <n v="0"/>
    <s v="Paid"/>
    <s v=""/>
    <d v="2026-04-05T00:00:00"/>
    <d v="2026-04-05T00:00:00"/>
    <n v="260"/>
    <n v="0.45"/>
    <n v="117"/>
    <n v="2.7399999999999949"/>
    <x v="0"/>
    <x v="5"/>
    <x v="2"/>
  </r>
  <r>
    <s v="CLM100126"/>
    <s v="PT12446"/>
    <s v="P06"/>
    <x v="1"/>
    <x v="11"/>
    <n v="1"/>
    <d v="2025-11-21T00:00:00"/>
    <d v="2025-11-25T00:00:00"/>
    <n v="1150.53"/>
    <n v="313.20999999999998"/>
    <n v="313.20999999999998"/>
    <n v="0"/>
    <s v="Paid"/>
    <s v=""/>
    <d v="2025-12-22T00:00:00"/>
    <d v="2025-12-22T00:00:00"/>
    <n v="1150"/>
    <n v="0.27"/>
    <n v="310.5"/>
    <n v="-2.7099999999999795"/>
    <x v="0"/>
    <x v="2"/>
    <x v="3"/>
  </r>
  <r>
    <s v="CLM100127"/>
    <s v="PT11682"/>
    <s v="P01"/>
    <x v="0"/>
    <x v="7"/>
    <n v="1"/>
    <d v="2026-09-20T00:00:00"/>
    <d v="2026-09-27T00:00:00"/>
    <n v="213.42"/>
    <m/>
    <m/>
    <m/>
    <s v="Pending"/>
    <s v=""/>
    <m/>
    <m/>
    <n v="210"/>
    <n v="0.45"/>
    <n v="94.5"/>
    <s v=""/>
    <x v="2"/>
    <x v="5"/>
    <x v="8"/>
  </r>
  <r>
    <s v="CLM100128"/>
    <s v="PT13312"/>
    <s v="P08"/>
    <x v="0"/>
    <x v="7"/>
    <n v="1"/>
    <d v="2026-08-09T00:00:00"/>
    <d v="2026-08-15T00:00:00"/>
    <n v="207.29"/>
    <m/>
    <m/>
    <m/>
    <s v="Pending"/>
    <s v=""/>
    <m/>
    <m/>
    <n v="210"/>
    <n v="1"/>
    <n v="210"/>
    <s v=""/>
    <x v="2"/>
    <x v="7"/>
    <x v="4"/>
  </r>
  <r>
    <s v="CLM100129"/>
    <s v="PT13345"/>
    <s v="P02"/>
    <x v="3"/>
    <x v="3"/>
    <n v="30"/>
    <d v="2026-07-20T00:00:00"/>
    <d v="2026-07-22T00:00:00"/>
    <n v="43399.98"/>
    <n v="18711.990000000002"/>
    <n v="18711.990000000002"/>
    <n v="0"/>
    <s v="Paid"/>
    <s v=""/>
    <d v="2026-08-21T00:00:00"/>
    <d v="2026-08-21T00:00:00"/>
    <n v="1450"/>
    <n v="0.43"/>
    <n v="18705"/>
    <n v="-6.9900000000016007"/>
    <x v="0"/>
    <x v="6"/>
    <x v="1"/>
  </r>
  <r>
    <s v="CLM100130"/>
    <s v="PT11167"/>
    <s v="P01"/>
    <x v="1"/>
    <x v="1"/>
    <n v="1"/>
    <d v="2026-02-06T00:00:00"/>
    <d v="2026-02-09T00:00:00"/>
    <n v="233.55"/>
    <n v="119.3"/>
    <n v="119.3"/>
    <n v="0"/>
    <s v="Paid"/>
    <s v=""/>
    <d v="2026-03-06T00:00:00"/>
    <d v="2026-03-06T00:00:00"/>
    <n v="240"/>
    <n v="0.45"/>
    <n v="108"/>
    <n v="-11.299999999999997"/>
    <x v="0"/>
    <x v="5"/>
    <x v="0"/>
  </r>
  <r>
    <s v="CLM100131"/>
    <s v="PT11431"/>
    <s v="P02"/>
    <x v="1"/>
    <x v="7"/>
    <n v="1"/>
    <d v="2026-06-20T00:00:00"/>
    <d v="2026-06-23T00:00:00"/>
    <n v="205.56"/>
    <n v="80.28"/>
    <n v="64.22"/>
    <n v="16.059999999999999"/>
    <s v="Paid"/>
    <s v=""/>
    <d v="2026-07-13T00:00:00"/>
    <d v="2026-07-13T00:00:00"/>
    <n v="210"/>
    <n v="0.43"/>
    <n v="90.3"/>
    <n v="10.019999999999996"/>
    <x v="1"/>
    <x v="6"/>
    <x v="11"/>
  </r>
  <r>
    <s v="CLM100132"/>
    <s v="PT10563"/>
    <s v="P01"/>
    <x v="2"/>
    <x v="9"/>
    <n v="1"/>
    <d v="2026-06-15T00:00:00"/>
    <d v="2026-07-06T00:00:00"/>
    <n v="57.08"/>
    <m/>
    <m/>
    <m/>
    <s v="Denied"/>
    <s v="CO-50"/>
    <d v="2026-07-25T00:00:00"/>
    <m/>
    <n v="58"/>
    <n v="0.45"/>
    <n v="26.1"/>
    <s v=""/>
    <x v="2"/>
    <x v="5"/>
    <x v="11"/>
  </r>
  <r>
    <s v="CLM100133"/>
    <s v="PT10455"/>
    <s v="P07"/>
    <x v="0"/>
    <x v="0"/>
    <n v="1"/>
    <d v="2025-10-10T00:00:00"/>
    <d v="2025-10-18T00:00:00"/>
    <n v="142.88"/>
    <n v="42.68"/>
    <n v="34.14"/>
    <n v="8.5399999999999991"/>
    <s v="Paid"/>
    <s v=""/>
    <d v="2025-11-21T00:00:00"/>
    <d v="2025-11-21T00:00:00"/>
    <n v="145"/>
    <n v="0.28000000000000003"/>
    <n v="40.6"/>
    <n v="-2.0799999999999983"/>
    <x v="0"/>
    <x v="3"/>
    <x v="9"/>
  </r>
  <r>
    <s v="CLM100134"/>
    <s v="PT12588"/>
    <s v="P02"/>
    <x v="3"/>
    <x v="3"/>
    <n v="10"/>
    <d v="2025-10-25T00:00:00"/>
    <d v="2025-11-01T00:00:00"/>
    <n v="14430.25"/>
    <n v="5422.08"/>
    <n v="5422.08"/>
    <n v="0"/>
    <s v="Paid"/>
    <s v=""/>
    <d v="2025-12-13T00:00:00"/>
    <d v="2025-12-13T00:00:00"/>
    <n v="1450"/>
    <n v="0.43"/>
    <n v="6235"/>
    <n v="812.92000000000007"/>
    <x v="1"/>
    <x v="6"/>
    <x v="9"/>
  </r>
  <r>
    <s v="CLM100135"/>
    <s v="PT12144"/>
    <s v="P05"/>
    <x v="0"/>
    <x v="7"/>
    <n v="1"/>
    <d v="2026-02-27T00:00:00"/>
    <d v="2026-03-03T00:00:00"/>
    <n v="209.11"/>
    <n v="77.91"/>
    <n v="77.91"/>
    <n v="0"/>
    <s v="Paid"/>
    <s v=""/>
    <d v="2026-04-12T00:00:00"/>
    <d v="2026-04-12T00:00:00"/>
    <n v="210"/>
    <n v="0.38"/>
    <n v="79.8"/>
    <n v="1.8900000000000006"/>
    <x v="0"/>
    <x v="0"/>
    <x v="0"/>
  </r>
  <r>
    <s v="CLM100137"/>
    <s v="PT12383"/>
    <s v="P08"/>
    <x v="1"/>
    <x v="10"/>
    <n v="1"/>
    <d v="2026-02-07T00:00:00"/>
    <d v="2026-02-09T00:00:00"/>
    <n v="1065.58"/>
    <m/>
    <m/>
    <m/>
    <s v="Denied"/>
    <s v="CO-197"/>
    <d v="2026-04-19T00:00:00"/>
    <m/>
    <n v="1050"/>
    <n v="1"/>
    <n v="1050"/>
    <s v=""/>
    <x v="2"/>
    <x v="7"/>
    <x v="0"/>
  </r>
  <r>
    <s v="CLM100138"/>
    <s v="PT12587"/>
    <s v="P02"/>
    <x v="1"/>
    <x v="8"/>
    <n v="1"/>
    <d v="2026-03-23T00:00:00"/>
    <d v="2026-03-24T00:00:00"/>
    <n v="264.89"/>
    <n v="111.99"/>
    <n v="89.59"/>
    <n v="22.4"/>
    <s v="Paid"/>
    <s v=""/>
    <d v="2026-04-21T00:00:00"/>
    <d v="2026-04-21T00:00:00"/>
    <n v="260"/>
    <n v="0.43"/>
    <n v="111.8"/>
    <n v="-0.18999999999999773"/>
    <x v="0"/>
    <x v="6"/>
    <x v="2"/>
  </r>
  <r>
    <s v="CLM100139"/>
    <s v="PT13339"/>
    <s v="P01"/>
    <x v="1"/>
    <x v="7"/>
    <n v="1"/>
    <d v="2026-05-23T00:00:00"/>
    <d v="2026-05-24T00:00:00"/>
    <n v="204.17"/>
    <n v="102.9"/>
    <n v="82.32"/>
    <n v="20.58"/>
    <s v="Paid"/>
    <s v=""/>
    <d v="2026-06-18T00:00:00"/>
    <d v="2026-06-18T00:00:00"/>
    <n v="210"/>
    <n v="0.45"/>
    <n v="94.5"/>
    <n v="-8.4000000000000057"/>
    <x v="0"/>
    <x v="5"/>
    <x v="7"/>
  </r>
  <r>
    <s v="CLM100140"/>
    <s v="PT11359"/>
    <s v="P01"/>
    <x v="0"/>
    <x v="8"/>
    <n v="1"/>
    <d v="2026-08-28T00:00:00"/>
    <d v="2026-08-30T00:00:00"/>
    <n v="255.18"/>
    <m/>
    <m/>
    <m/>
    <s v="Pending"/>
    <s v=""/>
    <m/>
    <m/>
    <n v="260"/>
    <n v="0.45"/>
    <n v="117"/>
    <s v=""/>
    <x v="2"/>
    <x v="5"/>
    <x v="4"/>
  </r>
  <r>
    <s v="CLM100141"/>
    <s v="PT13281"/>
    <s v="P02"/>
    <x v="1"/>
    <x v="5"/>
    <n v="1"/>
    <d v="2026-04-23T00:00:00"/>
    <d v="2026-05-03T00:00:00"/>
    <n v="4870.07"/>
    <n v="2388.79"/>
    <n v="2149.91"/>
    <n v="238.88"/>
    <s v="Paid"/>
    <s v=""/>
    <d v="2026-05-23T00:00:00"/>
    <d v="2026-05-23T00:00:00"/>
    <n v="4800"/>
    <n v="0.43"/>
    <n v="2064"/>
    <n v="-324.78999999999996"/>
    <x v="0"/>
    <x v="6"/>
    <x v="10"/>
  </r>
  <r>
    <s v="CLM100142"/>
    <s v="PT12707"/>
    <s v="P01"/>
    <x v="1"/>
    <x v="10"/>
    <n v="1"/>
    <d v="2026-08-05T00:00:00"/>
    <d v="2026-08-06T00:00:00"/>
    <n v="1081.19"/>
    <n v="426.38"/>
    <n v="383.74"/>
    <n v="42.64"/>
    <s v="Paid"/>
    <s v=""/>
    <d v="2026-09-03T00:00:00"/>
    <d v="2026-09-03T00:00:00"/>
    <n v="1050"/>
    <n v="0.45"/>
    <n v="472.5"/>
    <n v="46.120000000000005"/>
    <x v="1"/>
    <x v="5"/>
    <x v="4"/>
  </r>
  <r>
    <s v="CLM100143"/>
    <s v="PT11124"/>
    <s v="P04"/>
    <x v="1"/>
    <x v="10"/>
    <n v="1"/>
    <d v="2026-05-07T00:00:00"/>
    <d v="2026-05-10T00:00:00"/>
    <n v="1029"/>
    <n v="396.58"/>
    <n v="317.26"/>
    <n v="79.319999999999993"/>
    <s v="Paid"/>
    <s v=""/>
    <d v="2026-06-03T00:00:00"/>
    <d v="2026-06-03T00:00:00"/>
    <n v="1050"/>
    <n v="0.36"/>
    <n v="378"/>
    <n v="-18.579999999999984"/>
    <x v="0"/>
    <x v="1"/>
    <x v="7"/>
  </r>
  <r>
    <s v="CLM100144"/>
    <s v="PT10584"/>
    <s v="P01"/>
    <x v="0"/>
    <x v="0"/>
    <n v="1"/>
    <d v="2026-08-23T00:00:00"/>
    <d v="2026-08-26T00:00:00"/>
    <n v="144.18"/>
    <n v="58.02"/>
    <n v="58.02"/>
    <n v="0"/>
    <s v="Paid"/>
    <s v=""/>
    <d v="2026-09-16T00:00:00"/>
    <d v="2026-09-16T00:00:00"/>
    <n v="145"/>
    <n v="0.45"/>
    <n v="65.25"/>
    <n v="7.2299999999999969"/>
    <x v="1"/>
    <x v="5"/>
    <x v="4"/>
  </r>
  <r>
    <s v="CLM100145"/>
    <s v="PT11519"/>
    <s v="P06"/>
    <x v="2"/>
    <x v="0"/>
    <n v="1"/>
    <d v="2025-10-18T00:00:00"/>
    <d v="2025-10-20T00:00:00"/>
    <n v="141.75"/>
    <n v="43.62"/>
    <n v="34.9"/>
    <n v="8.7200000000000006"/>
    <s v="Paid"/>
    <s v=""/>
    <d v="2025-12-05T00:00:00"/>
    <d v="2025-12-05T00:00:00"/>
    <n v="145"/>
    <n v="0.27"/>
    <n v="39.15"/>
    <n v="-4.4699999999999989"/>
    <x v="0"/>
    <x v="2"/>
    <x v="9"/>
  </r>
  <r>
    <s v="CLM100146"/>
    <s v="PT13013"/>
    <s v="P04"/>
    <x v="0"/>
    <x v="0"/>
    <n v="1"/>
    <d v="2026-06-29T00:00:00"/>
    <d v="2026-07-01T00:00:00"/>
    <n v="143.84"/>
    <n v="59.2"/>
    <n v="59.2"/>
    <n v="0"/>
    <s v="Paid"/>
    <s v=""/>
    <d v="2026-07-19T00:00:00"/>
    <d v="2026-07-19T00:00:00"/>
    <n v="145"/>
    <n v="0.36"/>
    <n v="52.2"/>
    <n v="-7"/>
    <x v="0"/>
    <x v="1"/>
    <x v="11"/>
  </r>
  <r>
    <s v="CLM100147"/>
    <s v="PT10819"/>
    <s v="P02"/>
    <x v="1"/>
    <x v="1"/>
    <n v="1"/>
    <d v="2026-07-15T00:00:00"/>
    <d v="2026-07-21T00:00:00"/>
    <n v="234.5"/>
    <n v="91.35"/>
    <n v="73.08"/>
    <n v="18.27"/>
    <s v="Paid"/>
    <s v=""/>
    <d v="2026-08-10T00:00:00"/>
    <d v="2026-08-10T00:00:00"/>
    <n v="240"/>
    <n v="0.43"/>
    <n v="103.2"/>
    <n v="11.850000000000009"/>
    <x v="1"/>
    <x v="6"/>
    <x v="1"/>
  </r>
  <r>
    <s v="CLM100148"/>
    <s v="PT11309"/>
    <s v="P01"/>
    <x v="1"/>
    <x v="5"/>
    <n v="1"/>
    <d v="2025-12-28T00:00:00"/>
    <d v="2025-12-31T00:00:00"/>
    <n v="4914.82"/>
    <m/>
    <m/>
    <m/>
    <s v="Denied"/>
    <s v="CO-16"/>
    <d v="2026-01-19T00:00:00"/>
    <m/>
    <n v="4800"/>
    <n v="0.45"/>
    <n v="2160"/>
    <s v=""/>
    <x v="2"/>
    <x v="5"/>
    <x v="6"/>
  </r>
  <r>
    <s v="CLM100149"/>
    <s v="PT10823"/>
    <s v="P04"/>
    <x v="3"/>
    <x v="7"/>
    <n v="1"/>
    <d v="2026-03-03T00:00:00"/>
    <d v="2026-03-08T00:00:00"/>
    <n v="214.43"/>
    <n v="80.5"/>
    <n v="80.5"/>
    <n v="0"/>
    <s v="Paid"/>
    <s v=""/>
    <d v="2026-03-27T00:00:00"/>
    <d v="2026-03-27T00:00:00"/>
    <n v="210"/>
    <n v="0.36"/>
    <n v="75.599999999999994"/>
    <n v="-4.9000000000000057"/>
    <x v="0"/>
    <x v="1"/>
    <x v="2"/>
  </r>
  <r>
    <s v="CLM100150"/>
    <s v="PT10269"/>
    <s v="P06"/>
    <x v="3"/>
    <x v="3"/>
    <n v="20"/>
    <d v="2025-10-14T00:00:00"/>
    <d v="2025-10-16T00:00:00"/>
    <n v="29094"/>
    <n v="7981.6"/>
    <n v="7981.6"/>
    <n v="0"/>
    <s v="Paid"/>
    <s v=""/>
    <d v="2025-11-11T00:00:00"/>
    <d v="2025-11-11T00:00:00"/>
    <n v="1450"/>
    <n v="0.27"/>
    <n v="7830"/>
    <n v="-151.60000000000036"/>
    <x v="0"/>
    <x v="2"/>
    <x v="9"/>
  </r>
  <r>
    <s v="CLM100151"/>
    <s v="PT12785"/>
    <s v="P05"/>
    <x v="1"/>
    <x v="4"/>
    <n v="1"/>
    <d v="2026-06-27T00:00:00"/>
    <d v="2026-06-30T00:00:00"/>
    <n v="37.799999999999997"/>
    <n v="12.77"/>
    <n v="10.220000000000001"/>
    <n v="2.5499999999999998"/>
    <s v="Paid"/>
    <s v=""/>
    <d v="2026-08-18T00:00:00"/>
    <d v="2026-08-18T00:00:00"/>
    <n v="38"/>
    <n v="0.38"/>
    <n v="14.44"/>
    <n v="1.67"/>
    <x v="1"/>
    <x v="0"/>
    <x v="11"/>
  </r>
  <r>
    <s v="CLM100152"/>
    <s v="PT13405"/>
    <s v="P07"/>
    <x v="0"/>
    <x v="7"/>
    <n v="1"/>
    <d v="2026-07-10T00:00:00"/>
    <d v="2026-07-11T00:00:00"/>
    <n v="211.76"/>
    <n v="57.84"/>
    <n v="57.84"/>
    <n v="0"/>
    <s v="Paid"/>
    <s v=""/>
    <d v="2026-09-16T00:00:00"/>
    <d v="2026-09-16T00:00:00"/>
    <n v="210"/>
    <n v="0.28000000000000003"/>
    <n v="58.8"/>
    <n v="0.95999999999999375"/>
    <x v="0"/>
    <x v="3"/>
    <x v="1"/>
  </r>
  <r>
    <s v="CLM100153"/>
    <s v="PT10804"/>
    <s v="P02"/>
    <x v="1"/>
    <x v="7"/>
    <n v="1"/>
    <d v="2025-12-22T00:00:00"/>
    <d v="2025-12-27T00:00:00"/>
    <n v="207.77"/>
    <n v="101.01"/>
    <n v="90.91"/>
    <n v="10.1"/>
    <s v="Paid"/>
    <s v=""/>
    <d v="2026-02-11T00:00:00"/>
    <d v="2026-02-11T00:00:00"/>
    <n v="210"/>
    <n v="0.43"/>
    <n v="90.3"/>
    <n v="-10.710000000000008"/>
    <x v="0"/>
    <x v="6"/>
    <x v="6"/>
  </r>
  <r>
    <s v="CLM100154"/>
    <s v="PT10701"/>
    <s v="P01"/>
    <x v="0"/>
    <x v="8"/>
    <n v="1"/>
    <d v="2026-03-05T00:00:00"/>
    <d v="2026-03-06T00:00:00"/>
    <n v="261.79000000000002"/>
    <n v="121.17"/>
    <n v="121.17"/>
    <n v="0"/>
    <s v="Paid"/>
    <s v=""/>
    <d v="2026-03-24T00:00:00"/>
    <d v="2026-03-24T00:00:00"/>
    <n v="260"/>
    <n v="0.45"/>
    <n v="117"/>
    <n v="-4.1700000000000017"/>
    <x v="0"/>
    <x v="5"/>
    <x v="2"/>
  </r>
  <r>
    <s v="CLM100155"/>
    <s v="PT12667"/>
    <s v="P07"/>
    <x v="3"/>
    <x v="7"/>
    <n v="1"/>
    <d v="2026-03-22T00:00:00"/>
    <d v="2026-03-26T00:00:00"/>
    <n v="214.32"/>
    <n v="51.02"/>
    <n v="45.92"/>
    <n v="5.0999999999999996"/>
    <s v="Paid"/>
    <s v=""/>
    <d v="2026-06-20T00:00:00"/>
    <d v="2026-06-20T00:00:00"/>
    <n v="210"/>
    <n v="0.28000000000000003"/>
    <n v="58.8"/>
    <n v="7.779999999999994"/>
    <x v="1"/>
    <x v="3"/>
    <x v="2"/>
  </r>
  <r>
    <s v="CLM100156"/>
    <s v="PT11237"/>
    <s v="P03"/>
    <x v="1"/>
    <x v="1"/>
    <n v="1"/>
    <d v="2026-08-24T00:00:00"/>
    <d v="2026-09-02T00:00:00"/>
    <n v="233.24"/>
    <m/>
    <m/>
    <m/>
    <s v="Pending"/>
    <s v=""/>
    <m/>
    <m/>
    <n v="240"/>
    <n v="0.47"/>
    <n v="112.8"/>
    <s v=""/>
    <x v="2"/>
    <x v="4"/>
    <x v="4"/>
  </r>
  <r>
    <s v="CLM100157"/>
    <s v="PT13007"/>
    <s v="P02"/>
    <x v="0"/>
    <x v="4"/>
    <n v="1"/>
    <d v="2025-11-07T00:00:00"/>
    <d v="2025-11-08T00:00:00"/>
    <n v="38.43"/>
    <n v="16.25"/>
    <n v="14.63"/>
    <n v="1.62"/>
    <s v="Paid"/>
    <s v=""/>
    <d v="2025-12-07T00:00:00"/>
    <d v="2025-12-07T00:00:00"/>
    <n v="38"/>
    <n v="0.43"/>
    <n v="16.34"/>
    <n v="8.9999999999999858E-2"/>
    <x v="0"/>
    <x v="6"/>
    <x v="3"/>
  </r>
  <r>
    <s v="CLM100158"/>
    <s v="PT10577"/>
    <s v="P08"/>
    <x v="2"/>
    <x v="9"/>
    <n v="1"/>
    <d v="2025-12-06T00:00:00"/>
    <d v="2025-12-07T00:00:00"/>
    <n v="58.05"/>
    <m/>
    <m/>
    <m/>
    <s v="Pending"/>
    <s v=""/>
    <m/>
    <m/>
    <n v="58"/>
    <n v="1"/>
    <n v="58"/>
    <s v=""/>
    <x v="2"/>
    <x v="7"/>
    <x v="6"/>
  </r>
  <r>
    <s v="CLM100159"/>
    <s v="PT10777"/>
    <s v="P07"/>
    <x v="1"/>
    <x v="11"/>
    <n v="1"/>
    <d v="2026-08-12T00:00:00"/>
    <d v="2026-08-26T00:00:00"/>
    <n v="1144.3499999999999"/>
    <m/>
    <m/>
    <m/>
    <s v="Pending"/>
    <s v=""/>
    <m/>
    <m/>
    <n v="1150"/>
    <n v="0.28000000000000003"/>
    <n v="322"/>
    <s v=""/>
    <x v="2"/>
    <x v="3"/>
    <x v="4"/>
  </r>
  <r>
    <s v="CLM100160"/>
    <s v="PT10986"/>
    <s v="P01"/>
    <x v="3"/>
    <x v="6"/>
    <n v="1"/>
    <d v="2026-05-28T00:00:00"/>
    <d v="2026-05-30T00:00:00"/>
    <n v="419.97"/>
    <m/>
    <m/>
    <m/>
    <s v="Denied"/>
    <s v="CO-27"/>
    <d v="2026-06-21T00:00:00"/>
    <m/>
    <n v="420"/>
    <n v="0.45"/>
    <n v="189"/>
    <s v=""/>
    <x v="2"/>
    <x v="5"/>
    <x v="7"/>
  </r>
  <r>
    <s v="CLM100161"/>
    <s v="PT10209"/>
    <s v="P05"/>
    <x v="2"/>
    <x v="0"/>
    <n v="1"/>
    <d v="2026-02-24T00:00:00"/>
    <d v="2026-03-04T00:00:00"/>
    <n v="145.32"/>
    <n v="59.52"/>
    <n v="47.62"/>
    <n v="11.9"/>
    <s v="Paid"/>
    <s v=""/>
    <d v="2026-04-26T00:00:00"/>
    <d v="2026-04-26T00:00:00"/>
    <n v="145"/>
    <n v="0.38"/>
    <n v="55.1"/>
    <n v="-4.4200000000000017"/>
    <x v="0"/>
    <x v="0"/>
    <x v="0"/>
  </r>
  <r>
    <s v="CLM100162"/>
    <s v="PT10527"/>
    <s v="P02"/>
    <x v="0"/>
    <x v="7"/>
    <n v="1"/>
    <d v="2026-02-25T00:00:00"/>
    <d v="2026-02-28T00:00:00"/>
    <n v="204.63"/>
    <n v="81.48"/>
    <n v="81.48"/>
    <n v="0"/>
    <s v="Paid"/>
    <s v=""/>
    <d v="2026-03-22T00:00:00"/>
    <d v="2026-03-22T00:00:00"/>
    <n v="210"/>
    <n v="0.43"/>
    <n v="90.3"/>
    <n v="8.8199999999999932"/>
    <x v="1"/>
    <x v="6"/>
    <x v="0"/>
  </r>
  <r>
    <s v="CLM100163"/>
    <s v="PT13293"/>
    <s v="P02"/>
    <x v="2"/>
    <x v="9"/>
    <n v="3"/>
    <d v="2026-03-23T00:00:00"/>
    <d v="2026-03-29T00:00:00"/>
    <n v="178.58"/>
    <n v="76.34"/>
    <n v="68.709999999999994"/>
    <n v="7.63"/>
    <s v="Paid"/>
    <s v=""/>
    <d v="2026-05-05T00:00:00"/>
    <d v="2026-05-05T00:00:00"/>
    <n v="58"/>
    <n v="0.43"/>
    <n v="74.819999999999993"/>
    <n v="-1.5200000000000102"/>
    <x v="0"/>
    <x v="6"/>
    <x v="2"/>
  </r>
  <r>
    <s v="CLM100164"/>
    <s v="PT12431"/>
    <s v="P01"/>
    <x v="0"/>
    <x v="4"/>
    <n v="1"/>
    <d v="2026-06-21T00:00:00"/>
    <d v="2026-07-02T00:00:00"/>
    <n v="37.18"/>
    <n v="16.170000000000002"/>
    <n v="14.55"/>
    <n v="1.62"/>
    <s v="Paid"/>
    <s v=""/>
    <d v="2026-07-31T00:00:00"/>
    <d v="2026-07-31T00:00:00"/>
    <n v="38"/>
    <n v="0.45"/>
    <n v="17.100000000000001"/>
    <n v="0.92999999999999972"/>
    <x v="1"/>
    <x v="5"/>
    <x v="11"/>
  </r>
  <r>
    <s v="CLM100165"/>
    <s v="PT13263"/>
    <s v="P03"/>
    <x v="1"/>
    <x v="5"/>
    <n v="1"/>
    <d v="2026-06-08T00:00:00"/>
    <d v="2026-06-10T00:00:00"/>
    <n v="4860.12"/>
    <n v="2202.36"/>
    <n v="1982.12"/>
    <n v="220.24"/>
    <s v="Paid"/>
    <s v=""/>
    <d v="2026-07-07T00:00:00"/>
    <d v="2026-07-07T00:00:00"/>
    <n v="4800"/>
    <n v="0.47"/>
    <n v="2256"/>
    <n v="53.639999999999873"/>
    <x v="0"/>
    <x v="4"/>
    <x v="11"/>
  </r>
  <r>
    <s v="CLM100166"/>
    <s v="PT12390"/>
    <s v="P04"/>
    <x v="2"/>
    <x v="0"/>
    <n v="1"/>
    <d v="2026-08-02T00:00:00"/>
    <d v="2026-08-16T00:00:00"/>
    <n v="144.78"/>
    <n v="53.38"/>
    <n v="53.38"/>
    <n v="0"/>
    <s v="Paid"/>
    <s v=""/>
    <d v="2026-08-21T00:00:00"/>
    <d v="2026-08-21T00:00:00"/>
    <n v="145"/>
    <n v="0.36"/>
    <n v="52.2"/>
    <n v="-1.1799999999999997"/>
    <x v="0"/>
    <x v="1"/>
    <x v="4"/>
  </r>
  <r>
    <s v="CLM100167"/>
    <s v="PT11691"/>
    <s v="P01"/>
    <x v="0"/>
    <x v="4"/>
    <n v="1"/>
    <d v="2026-09-14T00:00:00"/>
    <d v="2026-09-18T00:00:00"/>
    <n v="37.409999999999997"/>
    <m/>
    <m/>
    <m/>
    <s v="Pending"/>
    <s v=""/>
    <m/>
    <m/>
    <n v="38"/>
    <n v="0.45"/>
    <n v="17.100000000000001"/>
    <s v=""/>
    <x v="2"/>
    <x v="5"/>
    <x v="8"/>
  </r>
  <r>
    <s v="CLM100168"/>
    <s v="PT10565"/>
    <s v="P03"/>
    <x v="3"/>
    <x v="6"/>
    <n v="1"/>
    <d v="2026-08-10T00:00:00"/>
    <d v="2026-08-19T00:00:00"/>
    <n v="430.6"/>
    <m/>
    <m/>
    <m/>
    <s v="Pending"/>
    <s v=""/>
    <m/>
    <m/>
    <n v="420"/>
    <n v="0.47"/>
    <n v="197.4"/>
    <s v=""/>
    <x v="2"/>
    <x v="4"/>
    <x v="4"/>
  </r>
  <r>
    <s v="CLM100169"/>
    <s v="PT13162"/>
    <s v="P08"/>
    <x v="0"/>
    <x v="8"/>
    <n v="1"/>
    <d v="2026-06-02T00:00:00"/>
    <d v="2026-06-04T00:00:00"/>
    <n v="260.39999999999998"/>
    <m/>
    <m/>
    <m/>
    <s v="Pending"/>
    <s v=""/>
    <m/>
    <m/>
    <n v="260"/>
    <n v="1"/>
    <n v="260"/>
    <s v=""/>
    <x v="2"/>
    <x v="7"/>
    <x v="11"/>
  </r>
  <r>
    <s v="CLM100170"/>
    <s v="PT11219"/>
    <s v="P04"/>
    <x v="2"/>
    <x v="0"/>
    <n v="1"/>
    <d v="2026-09-20T00:00:00"/>
    <d v="2026-09-23T00:00:00"/>
    <n v="142.94999999999999"/>
    <m/>
    <m/>
    <m/>
    <s v="Pending"/>
    <s v=""/>
    <m/>
    <m/>
    <n v="145"/>
    <n v="0.36"/>
    <n v="52.2"/>
    <s v=""/>
    <x v="2"/>
    <x v="1"/>
    <x v="8"/>
  </r>
  <r>
    <s v="CLM100171"/>
    <s v="PT12348"/>
    <s v="P01"/>
    <x v="3"/>
    <x v="7"/>
    <n v="1"/>
    <d v="2026-09-26T00:00:00"/>
    <d v="2026-09-29T00:00:00"/>
    <n v="209.86"/>
    <m/>
    <m/>
    <m/>
    <s v="Pending"/>
    <s v=""/>
    <m/>
    <m/>
    <n v="210"/>
    <n v="0.45"/>
    <n v="94.5"/>
    <s v=""/>
    <x v="2"/>
    <x v="5"/>
    <x v="8"/>
  </r>
  <r>
    <s v="CLM100172"/>
    <s v="PT12925"/>
    <s v="P07"/>
    <x v="3"/>
    <x v="6"/>
    <n v="1"/>
    <d v="2026-04-21T00:00:00"/>
    <d v="2026-05-04T00:00:00"/>
    <n v="428.02"/>
    <n v="111.63"/>
    <n v="100.47"/>
    <n v="11.16"/>
    <s v="Paid"/>
    <s v=""/>
    <d v="2026-06-19T00:00:00"/>
    <d v="2026-06-19T00:00:00"/>
    <n v="420"/>
    <n v="0.28000000000000003"/>
    <n v="117.6"/>
    <n v="5.9699999999999989"/>
    <x v="1"/>
    <x v="3"/>
    <x v="10"/>
  </r>
  <r>
    <s v="CLM100173"/>
    <s v="PT10993"/>
    <s v="P04"/>
    <x v="1"/>
    <x v="10"/>
    <n v="1"/>
    <d v="2026-06-03T00:00:00"/>
    <d v="2026-06-11T00:00:00"/>
    <n v="1031.98"/>
    <n v="378.68"/>
    <n v="378.68"/>
    <n v="0"/>
    <s v="Paid"/>
    <s v=""/>
    <d v="2026-06-28T00:00:00"/>
    <d v="2026-06-28T00:00:00"/>
    <n v="1050"/>
    <n v="0.36"/>
    <n v="378"/>
    <n v="-0.68000000000000682"/>
    <x v="0"/>
    <x v="1"/>
    <x v="11"/>
  </r>
  <r>
    <s v="CLM100174"/>
    <s v="PT10021"/>
    <s v="P01"/>
    <x v="1"/>
    <x v="1"/>
    <n v="1"/>
    <d v="2026-01-28T00:00:00"/>
    <d v="2026-01-31T00:00:00"/>
    <n v="233.56"/>
    <n v="92.04"/>
    <n v="92.04"/>
    <n v="0"/>
    <s v="Paid"/>
    <s v=""/>
    <d v="2026-03-04T00:00:00"/>
    <d v="2026-03-04T00:00:00"/>
    <n v="240"/>
    <n v="0.45"/>
    <n v="108"/>
    <n v="15.959999999999994"/>
    <x v="1"/>
    <x v="5"/>
    <x v="5"/>
  </r>
  <r>
    <s v="CLM100175"/>
    <s v="PT12191"/>
    <s v="P02"/>
    <x v="2"/>
    <x v="2"/>
    <n v="2"/>
    <d v="2026-06-01T00:00:00"/>
    <d v="2026-06-07T00:00:00"/>
    <n v="125.12"/>
    <n v="46.15"/>
    <n v="46.15"/>
    <n v="0"/>
    <s v="Paid"/>
    <s v=""/>
    <d v="2026-07-10T00:00:00"/>
    <d v="2026-07-10T00:00:00"/>
    <n v="62"/>
    <n v="0.43"/>
    <n v="53.32"/>
    <n v="7.1700000000000017"/>
    <x v="1"/>
    <x v="6"/>
    <x v="11"/>
  </r>
  <r>
    <s v="CLM100176"/>
    <s v="PT13227"/>
    <s v="P07"/>
    <x v="3"/>
    <x v="3"/>
    <n v="30"/>
    <d v="2025-12-29T00:00:00"/>
    <d v="2025-12-30T00:00:00"/>
    <n v="44497.66"/>
    <n v="14335.12"/>
    <n v="11468.1"/>
    <n v="2867.02"/>
    <s v="Paid"/>
    <s v=""/>
    <d v="2026-02-02T00:00:00"/>
    <d v="2026-02-02T00:00:00"/>
    <n v="1450"/>
    <n v="0.28000000000000003"/>
    <n v="12180"/>
    <n v="-2155.1200000000008"/>
    <x v="0"/>
    <x v="3"/>
    <x v="6"/>
  </r>
  <r>
    <s v="CLM100177"/>
    <s v="PT10549"/>
    <s v="P07"/>
    <x v="0"/>
    <x v="8"/>
    <n v="1"/>
    <d v="2025-10-05T00:00:00"/>
    <d v="2025-10-09T00:00:00"/>
    <n v="256.85000000000002"/>
    <n v="67.98"/>
    <n v="54.38"/>
    <n v="13.6"/>
    <s v="Paid"/>
    <s v=""/>
    <d v="2025-11-13T00:00:00"/>
    <d v="2025-11-13T00:00:00"/>
    <n v="260"/>
    <n v="0.28000000000000003"/>
    <n v="72.8"/>
    <n v="4.8199999999999932"/>
    <x v="1"/>
    <x v="3"/>
    <x v="9"/>
  </r>
  <r>
    <s v="CLM100178"/>
    <s v="PT12325"/>
    <s v="P02"/>
    <x v="2"/>
    <x v="9"/>
    <n v="1"/>
    <d v="2025-11-27T00:00:00"/>
    <d v="2025-11-30T00:00:00"/>
    <n v="56.83"/>
    <n v="26.08"/>
    <n v="23.47"/>
    <n v="2.61"/>
    <s v="Paid"/>
    <s v=""/>
    <d v="2026-01-04T00:00:00"/>
    <d v="2026-01-04T00:00:00"/>
    <n v="58"/>
    <n v="0.43"/>
    <n v="24.94"/>
    <n v="-1.139999999999997"/>
    <x v="0"/>
    <x v="6"/>
    <x v="3"/>
  </r>
  <r>
    <s v="CLM100179"/>
    <s v="PT11016"/>
    <s v="P01"/>
    <x v="3"/>
    <x v="3"/>
    <n v="30"/>
    <d v="2026-08-24T00:00:00"/>
    <d v="2026-08-27T00:00:00"/>
    <n v="44353.440000000002"/>
    <m/>
    <m/>
    <m/>
    <s v="Denied"/>
    <s v="CO-16"/>
    <d v="2026-09-28T00:00:00"/>
    <m/>
    <n v="1450"/>
    <n v="0.45"/>
    <n v="19575"/>
    <s v=""/>
    <x v="2"/>
    <x v="5"/>
    <x v="4"/>
  </r>
  <r>
    <s v="CLM100180"/>
    <s v="PT10254"/>
    <s v="P05"/>
    <x v="0"/>
    <x v="4"/>
    <n v="1"/>
    <d v="2026-03-18T00:00:00"/>
    <d v="2026-03-24T00:00:00"/>
    <n v="37.549999999999997"/>
    <m/>
    <m/>
    <m/>
    <s v="Denied"/>
    <s v="CO-4"/>
    <d v="2026-05-25T00:00:00"/>
    <m/>
    <n v="38"/>
    <n v="0.38"/>
    <n v="14.44"/>
    <s v=""/>
    <x v="2"/>
    <x v="0"/>
    <x v="2"/>
  </r>
  <r>
    <s v="CLM100181"/>
    <s v="PT12517"/>
    <s v="P02"/>
    <x v="0"/>
    <x v="7"/>
    <n v="1"/>
    <d v="2026-06-15T00:00:00"/>
    <d v="2026-06-24T00:00:00"/>
    <n v="215.33"/>
    <n v="97.5"/>
    <n v="87.75"/>
    <n v="9.75"/>
    <s v="Paid"/>
    <s v=""/>
    <d v="2026-07-11T00:00:00"/>
    <d v="2026-07-11T00:00:00"/>
    <n v="210"/>
    <n v="0.43"/>
    <n v="90.3"/>
    <n v="-7.2000000000000028"/>
    <x v="0"/>
    <x v="6"/>
    <x v="11"/>
  </r>
  <r>
    <s v="CLM100182"/>
    <s v="PT13102"/>
    <s v="P03"/>
    <x v="1"/>
    <x v="7"/>
    <n v="1"/>
    <d v="2026-05-21T00:00:00"/>
    <d v="2026-05-25T00:00:00"/>
    <n v="213.12"/>
    <n v="102.24"/>
    <n v="81.790000000000006"/>
    <n v="20.45"/>
    <s v="Paid"/>
    <s v=""/>
    <d v="2026-06-14T00:00:00"/>
    <d v="2026-06-14T00:00:00"/>
    <n v="210"/>
    <n v="0.47"/>
    <n v="98.7"/>
    <n v="-3.539999999999992"/>
    <x v="0"/>
    <x v="4"/>
    <x v="7"/>
  </r>
  <r>
    <s v="CLM100183"/>
    <s v="PT10252"/>
    <s v="P05"/>
    <x v="0"/>
    <x v="7"/>
    <n v="1"/>
    <d v="2026-09-14T00:00:00"/>
    <d v="2026-09-23T00:00:00"/>
    <n v="213.21"/>
    <m/>
    <m/>
    <m/>
    <s v="Pending"/>
    <s v=""/>
    <m/>
    <m/>
    <n v="210"/>
    <n v="0.38"/>
    <n v="79.8"/>
    <s v=""/>
    <x v="2"/>
    <x v="0"/>
    <x v="8"/>
  </r>
  <r>
    <s v="CLM100184"/>
    <s v="PT10372"/>
    <s v="P01"/>
    <x v="2"/>
    <x v="0"/>
    <n v="1"/>
    <d v="2026-07-02T00:00:00"/>
    <d v="2026-07-04T00:00:00"/>
    <n v="141.94999999999999"/>
    <n v="58.02"/>
    <n v="46.42"/>
    <n v="11.6"/>
    <s v="Paid"/>
    <s v=""/>
    <d v="2026-08-06T00:00:00"/>
    <d v="2026-08-06T00:00:00"/>
    <n v="145"/>
    <n v="0.45"/>
    <n v="65.25"/>
    <n v="7.2299999999999969"/>
    <x v="1"/>
    <x v="5"/>
    <x v="1"/>
  </r>
  <r>
    <s v="CLM100185"/>
    <s v="PT10012"/>
    <s v="P06"/>
    <x v="2"/>
    <x v="9"/>
    <n v="1"/>
    <d v="2026-05-21T00:00:00"/>
    <d v="2026-09-22T00:00:00"/>
    <n v="58.05"/>
    <m/>
    <m/>
    <m/>
    <s v="Pending"/>
    <s v=""/>
    <m/>
    <m/>
    <n v="58"/>
    <n v="0.27"/>
    <n v="15.66"/>
    <s v=""/>
    <x v="2"/>
    <x v="2"/>
    <x v="7"/>
  </r>
  <r>
    <s v="CLM100186"/>
    <s v="PT11933"/>
    <s v="P01"/>
    <x v="3"/>
    <x v="7"/>
    <n v="1"/>
    <d v="2026-05-05T00:00:00"/>
    <d v="2026-05-06T00:00:00"/>
    <n v="208.04"/>
    <n v="106.28"/>
    <n v="106.28"/>
    <n v="0"/>
    <s v="Paid"/>
    <s v=""/>
    <d v="2026-06-03T00:00:00"/>
    <d v="2026-06-03T00:00:00"/>
    <n v="210"/>
    <n v="0.45"/>
    <n v="94.5"/>
    <n v="-11.780000000000001"/>
    <x v="0"/>
    <x v="5"/>
    <x v="7"/>
  </r>
  <r>
    <s v="CLM100187"/>
    <s v="PT11538"/>
    <s v="P01"/>
    <x v="1"/>
    <x v="10"/>
    <n v="1"/>
    <d v="2025-12-09T00:00:00"/>
    <d v="2025-12-25T00:00:00"/>
    <n v="1066.75"/>
    <n v="468.14"/>
    <n v="374.51"/>
    <n v="93.63"/>
    <s v="Paid"/>
    <s v=""/>
    <d v="2026-01-30T00:00:00"/>
    <d v="2026-01-30T00:00:00"/>
    <n v="1050"/>
    <n v="0.45"/>
    <n v="472.5"/>
    <n v="4.3600000000000136"/>
    <x v="0"/>
    <x v="5"/>
    <x v="6"/>
  </r>
  <r>
    <s v="CLM100188"/>
    <s v="PT12981"/>
    <s v="P07"/>
    <x v="1"/>
    <x v="4"/>
    <n v="1"/>
    <d v="2025-12-08T00:00:00"/>
    <d v="2025-12-10T00:00:00"/>
    <n v="38.35"/>
    <m/>
    <m/>
    <m/>
    <s v="Denied"/>
    <s v="CO-4"/>
    <d v="2026-02-08T00:00:00"/>
    <m/>
    <n v="38"/>
    <n v="0.28000000000000003"/>
    <n v="10.64"/>
    <s v=""/>
    <x v="2"/>
    <x v="3"/>
    <x v="6"/>
  </r>
  <r>
    <s v="CLM100189"/>
    <s v="PT12969"/>
    <s v="P08"/>
    <x v="2"/>
    <x v="2"/>
    <n v="4"/>
    <d v="2026-05-26T00:00:00"/>
    <d v="2026-05-29T00:00:00"/>
    <n v="251.26"/>
    <m/>
    <m/>
    <m/>
    <s v="Pending"/>
    <s v=""/>
    <m/>
    <m/>
    <n v="62"/>
    <n v="1"/>
    <n v="248"/>
    <s v=""/>
    <x v="2"/>
    <x v="7"/>
    <x v="7"/>
  </r>
  <r>
    <s v="CLM100190"/>
    <s v="PT11002"/>
    <s v="P06"/>
    <x v="3"/>
    <x v="3"/>
    <n v="5"/>
    <d v="2026-05-03T00:00:00"/>
    <d v="2026-05-04T00:00:00"/>
    <n v="7137.19"/>
    <n v="1894.93"/>
    <n v="1894.93"/>
    <n v="0"/>
    <s v="Paid"/>
    <s v=""/>
    <d v="2026-06-14T00:00:00"/>
    <d v="2026-06-14T00:00:00"/>
    <n v="1450"/>
    <n v="0.27"/>
    <n v="1957.5"/>
    <n v="62.569999999999936"/>
    <x v="0"/>
    <x v="2"/>
    <x v="7"/>
  </r>
  <r>
    <s v="CLM100191"/>
    <s v="PT11306"/>
    <s v="P03"/>
    <x v="3"/>
    <x v="6"/>
    <n v="1"/>
    <d v="2026-07-04T00:00:00"/>
    <d v="2026-07-12T00:00:00"/>
    <n v="412.88"/>
    <m/>
    <m/>
    <m/>
    <s v="Denied"/>
    <s v="CO-50"/>
    <d v="2026-09-03T00:00:00"/>
    <m/>
    <n v="420"/>
    <n v="0.47"/>
    <n v="197.4"/>
    <s v=""/>
    <x v="2"/>
    <x v="4"/>
    <x v="1"/>
  </r>
  <r>
    <s v="CLM100192"/>
    <s v="PT12564"/>
    <s v="P01"/>
    <x v="3"/>
    <x v="6"/>
    <n v="1"/>
    <d v="2025-12-13T00:00:00"/>
    <d v="2025-12-16T00:00:00"/>
    <n v="432.24"/>
    <n v="180.9"/>
    <n v="180.9"/>
    <n v="0"/>
    <s v="Paid"/>
    <s v=""/>
    <d v="2025-12-31T00:00:00"/>
    <d v="2025-12-31T00:00:00"/>
    <n v="420"/>
    <n v="0.45"/>
    <n v="189"/>
    <n v="8.0999999999999943"/>
    <x v="0"/>
    <x v="5"/>
    <x v="6"/>
  </r>
  <r>
    <s v="CLM100193"/>
    <s v="PT10753"/>
    <s v="P03"/>
    <x v="3"/>
    <x v="7"/>
    <n v="1"/>
    <d v="2026-03-26T00:00:00"/>
    <d v="2026-03-31T00:00:00"/>
    <n v="215.56"/>
    <n v="96.11"/>
    <n v="76.89"/>
    <n v="19.22"/>
    <s v="Paid"/>
    <s v=""/>
    <d v="2026-05-08T00:00:00"/>
    <d v="2026-05-08T00:00:00"/>
    <n v="210"/>
    <n v="0.47"/>
    <n v="98.7"/>
    <n v="2.5900000000000034"/>
    <x v="0"/>
    <x v="4"/>
    <x v="2"/>
  </r>
  <r>
    <s v="CLM100194"/>
    <s v="PT11706"/>
    <s v="P02"/>
    <x v="3"/>
    <x v="6"/>
    <n v="1"/>
    <d v="2026-01-24T00:00:00"/>
    <d v="2026-01-29T00:00:00"/>
    <n v="414.98"/>
    <n v="200.29"/>
    <n v="160.22999999999999"/>
    <n v="40.06"/>
    <s v="Paid"/>
    <s v=""/>
    <d v="2026-03-04T00:00:00"/>
    <d v="2026-03-04T00:00:00"/>
    <n v="420"/>
    <n v="0.43"/>
    <n v="180.6"/>
    <n v="-19.689999999999998"/>
    <x v="0"/>
    <x v="6"/>
    <x v="5"/>
  </r>
  <r>
    <s v="CLM100195"/>
    <s v="PT10211"/>
    <s v="P02"/>
    <x v="0"/>
    <x v="7"/>
    <n v="1"/>
    <d v="2026-02-08T00:00:00"/>
    <d v="2026-02-13T00:00:00"/>
    <n v="206.26"/>
    <n v="97.7"/>
    <n v="97.7"/>
    <n v="0"/>
    <s v="Paid"/>
    <s v=""/>
    <d v="2026-03-29T00:00:00"/>
    <d v="2026-03-29T00:00:00"/>
    <n v="210"/>
    <n v="0.43"/>
    <n v="90.3"/>
    <n v="-7.4000000000000057"/>
    <x v="0"/>
    <x v="6"/>
    <x v="0"/>
  </r>
  <r>
    <s v="CLM100196"/>
    <s v="PT11963"/>
    <s v="P04"/>
    <x v="1"/>
    <x v="4"/>
    <n v="1"/>
    <d v="2025-10-21T00:00:00"/>
    <d v="2025-10-22T00:00:00"/>
    <n v="38.85"/>
    <n v="14.96"/>
    <n v="14.96"/>
    <n v="0"/>
    <s v="Paid"/>
    <s v=""/>
    <d v="2025-11-13T00:00:00"/>
    <d v="2025-11-13T00:00:00"/>
    <n v="38"/>
    <n v="0.36"/>
    <n v="13.68"/>
    <n v="-1.2800000000000011"/>
    <x v="0"/>
    <x v="1"/>
    <x v="9"/>
  </r>
  <r>
    <s v="CLM100197"/>
    <s v="PT11624"/>
    <s v="P02"/>
    <x v="1"/>
    <x v="11"/>
    <n v="1"/>
    <d v="2025-10-08T00:00:00"/>
    <d v="2025-10-09T00:00:00"/>
    <n v="1130.1099999999999"/>
    <n v="520.23"/>
    <n v="520.23"/>
    <n v="0"/>
    <s v="Paid"/>
    <s v=""/>
    <d v="2025-11-10T00:00:00"/>
    <d v="2025-11-10T00:00:00"/>
    <n v="1150"/>
    <n v="0.43"/>
    <n v="494.5"/>
    <n v="-25.730000000000018"/>
    <x v="0"/>
    <x v="6"/>
    <x v="9"/>
  </r>
  <r>
    <s v="CLM100198"/>
    <s v="PT11908"/>
    <s v="P02"/>
    <x v="2"/>
    <x v="0"/>
    <n v="1"/>
    <d v="2026-02-22T00:00:00"/>
    <d v="2026-02-26T00:00:00"/>
    <n v="143.96"/>
    <n v="61.79"/>
    <n v="49.43"/>
    <n v="12.36"/>
    <s v="Paid"/>
    <s v=""/>
    <d v="2026-03-08T00:00:00"/>
    <d v="2026-03-08T00:00:00"/>
    <n v="145"/>
    <n v="0.43"/>
    <n v="62.35"/>
    <n v="0.56000000000000227"/>
    <x v="0"/>
    <x v="6"/>
    <x v="0"/>
  </r>
  <r>
    <s v="CLM100199"/>
    <s v="PT12266"/>
    <s v="P03"/>
    <x v="1"/>
    <x v="4"/>
    <n v="1"/>
    <d v="2026-03-13T00:00:00"/>
    <d v="2026-03-15T00:00:00"/>
    <n v="38.94"/>
    <n v="18.760000000000002"/>
    <n v="16.88"/>
    <n v="1.88"/>
    <s v="Paid"/>
    <s v=""/>
    <d v="2026-04-30T00:00:00"/>
    <d v="2026-04-30T00:00:00"/>
    <n v="38"/>
    <n v="0.47"/>
    <n v="17.86"/>
    <n v="-0.90000000000000213"/>
    <x v="0"/>
    <x v="4"/>
    <x v="2"/>
  </r>
  <r>
    <s v="CLM100200"/>
    <s v="PT11054"/>
    <s v="P05"/>
    <x v="2"/>
    <x v="0"/>
    <n v="1"/>
    <d v="2026-03-01T00:00:00"/>
    <d v="2026-03-03T00:00:00"/>
    <n v="141.97999999999999"/>
    <n v="54.3"/>
    <n v="48.87"/>
    <n v="5.43"/>
    <s v="Paid"/>
    <s v=""/>
    <d v="2026-05-02T00:00:00"/>
    <d v="2026-05-02T00:00:00"/>
    <n v="145"/>
    <n v="0.38"/>
    <n v="55.1"/>
    <n v="0.80000000000000426"/>
    <x v="0"/>
    <x v="0"/>
    <x v="2"/>
  </r>
  <r>
    <s v="CLM100201"/>
    <s v="PT10753"/>
    <s v="P01"/>
    <x v="3"/>
    <x v="6"/>
    <n v="1"/>
    <d v="2026-08-25T00:00:00"/>
    <d v="2026-08-28T00:00:00"/>
    <n v="426.04"/>
    <m/>
    <m/>
    <m/>
    <s v="Pending"/>
    <s v=""/>
    <m/>
    <m/>
    <n v="420"/>
    <n v="0.45"/>
    <n v="189"/>
    <s v=""/>
    <x v="2"/>
    <x v="5"/>
    <x v="4"/>
  </r>
  <r>
    <s v="CLM100202"/>
    <s v="PT10563"/>
    <s v="P08"/>
    <x v="2"/>
    <x v="0"/>
    <n v="1"/>
    <d v="2025-10-31T00:00:00"/>
    <d v="2026-03-17T00:00:00"/>
    <n v="145.21"/>
    <m/>
    <m/>
    <m/>
    <s v="Pending"/>
    <s v=""/>
    <m/>
    <m/>
    <n v="145"/>
    <n v="1"/>
    <n v="145"/>
    <s v=""/>
    <x v="2"/>
    <x v="7"/>
    <x v="9"/>
  </r>
  <r>
    <s v="CLM100203"/>
    <s v="PT10027"/>
    <s v="P01"/>
    <x v="2"/>
    <x v="2"/>
    <n v="1"/>
    <d v="2025-12-17T00:00:00"/>
    <d v="2026-05-01T00:00:00"/>
    <n v="60.95"/>
    <m/>
    <m/>
    <m/>
    <s v="Denied"/>
    <s v="CO-29"/>
    <d v="2026-05-19T00:00:00"/>
    <m/>
    <n v="62"/>
    <n v="0.45"/>
    <n v="27.9"/>
    <s v=""/>
    <x v="2"/>
    <x v="5"/>
    <x v="6"/>
  </r>
  <r>
    <s v="CLM100204"/>
    <s v="PT13302"/>
    <s v="P01"/>
    <x v="0"/>
    <x v="4"/>
    <n v="1"/>
    <d v="2026-06-29T00:00:00"/>
    <d v="2026-07-03T00:00:00"/>
    <n v="38.51"/>
    <n v="17.34"/>
    <n v="13.87"/>
    <n v="3.47"/>
    <s v="Paid"/>
    <s v=""/>
    <d v="2026-08-01T00:00:00"/>
    <d v="2026-08-01T00:00:00"/>
    <n v="38"/>
    <n v="0.45"/>
    <n v="17.100000000000001"/>
    <n v="-0.23999999999999844"/>
    <x v="0"/>
    <x v="5"/>
    <x v="11"/>
  </r>
  <r>
    <s v="CLM100205"/>
    <s v="PT11880"/>
    <s v="P01"/>
    <x v="2"/>
    <x v="2"/>
    <n v="3"/>
    <d v="2025-11-19T00:00:00"/>
    <d v="2025-11-20T00:00:00"/>
    <n v="182.08"/>
    <n v="76"/>
    <n v="60.8"/>
    <n v="15.2"/>
    <s v="Paid"/>
    <s v=""/>
    <d v="2025-12-11T00:00:00"/>
    <d v="2025-12-11T00:00:00"/>
    <n v="62"/>
    <n v="0.45"/>
    <n v="83.7"/>
    <n v="7.7000000000000028"/>
    <x v="1"/>
    <x v="5"/>
    <x v="3"/>
  </r>
  <r>
    <s v="CLM100206"/>
    <s v="PT11544"/>
    <s v="P02"/>
    <x v="0"/>
    <x v="7"/>
    <n v="1"/>
    <d v="2025-11-11T00:00:00"/>
    <d v="2025-11-19T00:00:00"/>
    <n v="211.94"/>
    <n v="79.150000000000006"/>
    <n v="63.32"/>
    <n v="15.83"/>
    <s v="Paid"/>
    <s v=""/>
    <d v="2025-12-26T00:00:00"/>
    <d v="2025-12-26T00:00:00"/>
    <n v="210"/>
    <n v="0.43"/>
    <n v="90.3"/>
    <n v="11.149999999999991"/>
    <x v="1"/>
    <x v="6"/>
    <x v="3"/>
  </r>
  <r>
    <s v="CLM100207"/>
    <s v="PT10390"/>
    <s v="P04"/>
    <x v="0"/>
    <x v="0"/>
    <n v="1"/>
    <d v="2026-09-25T00:00:00"/>
    <d v="2026-09-28T00:00:00"/>
    <n v="142.13999999999999"/>
    <m/>
    <m/>
    <m/>
    <s v="Pending"/>
    <s v=""/>
    <m/>
    <m/>
    <n v="145"/>
    <n v="0.36"/>
    <n v="52.2"/>
    <s v=""/>
    <x v="2"/>
    <x v="1"/>
    <x v="8"/>
  </r>
  <r>
    <s v="CLM100209"/>
    <s v="PT10315"/>
    <s v="P04"/>
    <x v="2"/>
    <x v="0"/>
    <n v="1"/>
    <d v="2025-12-31T00:00:00"/>
    <d v="2026-01-02T00:00:00"/>
    <n v="148.72999999999999"/>
    <n v="57.74"/>
    <n v="46.19"/>
    <n v="11.55"/>
    <s v="Paid"/>
    <s v=""/>
    <d v="2026-01-15T00:00:00"/>
    <d v="2026-01-15T00:00:00"/>
    <n v="145"/>
    <n v="0.36"/>
    <n v="52.2"/>
    <n v="-5.5399999999999991"/>
    <x v="0"/>
    <x v="1"/>
    <x v="6"/>
  </r>
  <r>
    <s v="CLM100210"/>
    <s v="PT12051"/>
    <s v="P02"/>
    <x v="1"/>
    <x v="1"/>
    <n v="1"/>
    <d v="2026-04-18T00:00:00"/>
    <d v="2026-04-22T00:00:00"/>
    <n v="242.55"/>
    <n v="111.42"/>
    <n v="111.42"/>
    <n v="0"/>
    <s v="Paid"/>
    <s v=""/>
    <d v="2026-05-27T00:00:00"/>
    <d v="2026-05-27T00:00:00"/>
    <n v="240"/>
    <n v="0.43"/>
    <n v="103.2"/>
    <n v="-8.2199999999999989"/>
    <x v="0"/>
    <x v="6"/>
    <x v="10"/>
  </r>
  <r>
    <s v="CLM100211"/>
    <s v="PT13168"/>
    <s v="P01"/>
    <x v="3"/>
    <x v="6"/>
    <n v="1"/>
    <d v="2026-05-12T00:00:00"/>
    <d v="2026-05-13T00:00:00"/>
    <n v="413.25"/>
    <n v="192.55"/>
    <n v="154.04"/>
    <n v="38.51"/>
    <s v="Paid"/>
    <s v=""/>
    <d v="2026-05-28T00:00:00"/>
    <d v="2026-05-28T00:00:00"/>
    <n v="420"/>
    <n v="0.45"/>
    <n v="189"/>
    <n v="-3.5500000000000114"/>
    <x v="0"/>
    <x v="5"/>
    <x v="7"/>
  </r>
  <r>
    <s v="CLM100212"/>
    <s v="PT13162"/>
    <s v="P02"/>
    <x v="1"/>
    <x v="4"/>
    <n v="1"/>
    <d v="2026-05-19T00:00:00"/>
    <d v="2026-05-21T00:00:00"/>
    <n v="37.979999999999997"/>
    <n v="15.89"/>
    <n v="15.89"/>
    <n v="0"/>
    <s v="Paid"/>
    <s v=""/>
    <d v="2026-06-15T00:00:00"/>
    <d v="2026-06-15T00:00:00"/>
    <n v="38"/>
    <n v="0.43"/>
    <n v="16.34"/>
    <n v="0.44999999999999929"/>
    <x v="0"/>
    <x v="6"/>
    <x v="7"/>
  </r>
  <r>
    <s v="CLM100213"/>
    <s v="PT11297"/>
    <s v="P05"/>
    <x v="0"/>
    <x v="7"/>
    <n v="1"/>
    <d v="2025-11-12T00:00:00"/>
    <d v="2025-11-14T00:00:00"/>
    <n v="207.08"/>
    <n v="70.69"/>
    <n v="56.55"/>
    <n v="14.14"/>
    <s v="Paid"/>
    <s v=""/>
    <d v="2025-12-15T00:00:00"/>
    <d v="2025-12-15T00:00:00"/>
    <n v="210"/>
    <n v="0.38"/>
    <n v="79.8"/>
    <n v="9.11"/>
    <x v="1"/>
    <x v="0"/>
    <x v="3"/>
  </r>
  <r>
    <s v="CLM100214"/>
    <s v="PT10423"/>
    <s v="P01"/>
    <x v="0"/>
    <x v="0"/>
    <n v="1"/>
    <d v="2026-03-07T00:00:00"/>
    <d v="2026-03-13T00:00:00"/>
    <n v="144.52000000000001"/>
    <m/>
    <m/>
    <m/>
    <s v="Denied"/>
    <s v="CO-16"/>
    <d v="2026-03-31T00:00:00"/>
    <m/>
    <n v="145"/>
    <n v="0.45"/>
    <n v="65.25"/>
    <s v=""/>
    <x v="2"/>
    <x v="5"/>
    <x v="2"/>
  </r>
  <r>
    <s v="CLM100215"/>
    <s v="PT12342"/>
    <s v="P01"/>
    <x v="1"/>
    <x v="10"/>
    <n v="1"/>
    <d v="2026-04-30T00:00:00"/>
    <d v="2026-05-01T00:00:00"/>
    <n v="1042.93"/>
    <n v="528.48"/>
    <n v="528.48"/>
    <n v="0"/>
    <s v="Paid"/>
    <s v=""/>
    <d v="2026-05-25T00:00:00"/>
    <d v="2026-05-25T00:00:00"/>
    <n v="1050"/>
    <n v="0.45"/>
    <n v="472.5"/>
    <n v="-55.980000000000018"/>
    <x v="0"/>
    <x v="5"/>
    <x v="10"/>
  </r>
  <r>
    <s v="CLM100216"/>
    <s v="PT11030"/>
    <s v="P01"/>
    <x v="0"/>
    <x v="4"/>
    <n v="1"/>
    <d v="2026-02-15T00:00:00"/>
    <d v="2026-02-18T00:00:00"/>
    <n v="37.549999999999997"/>
    <m/>
    <m/>
    <m/>
    <s v="Denied"/>
    <s v="CO-27"/>
    <d v="2026-03-14T00:00:00"/>
    <m/>
    <n v="38"/>
    <n v="0.45"/>
    <n v="17.100000000000001"/>
    <s v=""/>
    <x v="2"/>
    <x v="5"/>
    <x v="0"/>
  </r>
  <r>
    <s v="CLM100217"/>
    <s v="PT11556"/>
    <s v="P04"/>
    <x v="3"/>
    <x v="6"/>
    <n v="1"/>
    <d v="2026-01-09T00:00:00"/>
    <d v="2026-01-10T00:00:00"/>
    <n v="418.94"/>
    <m/>
    <m/>
    <m/>
    <s v="Denied"/>
    <s v="CO-50"/>
    <d v="2026-01-28T00:00:00"/>
    <m/>
    <n v="420"/>
    <n v="0.36"/>
    <n v="151.19999999999999"/>
    <s v=""/>
    <x v="2"/>
    <x v="1"/>
    <x v="5"/>
  </r>
  <r>
    <s v="CLM100218"/>
    <s v="PT11631"/>
    <s v="P03"/>
    <x v="1"/>
    <x v="11"/>
    <n v="1"/>
    <d v="2026-08-30T00:00:00"/>
    <d v="2026-08-31T00:00:00"/>
    <n v="1182.72"/>
    <m/>
    <m/>
    <m/>
    <s v="Pending"/>
    <s v=""/>
    <m/>
    <m/>
    <n v="1150"/>
    <n v="0.47"/>
    <n v="540.5"/>
    <s v=""/>
    <x v="2"/>
    <x v="4"/>
    <x v="4"/>
  </r>
  <r>
    <s v="CLM100219"/>
    <s v="PT11495"/>
    <s v="P05"/>
    <x v="2"/>
    <x v="9"/>
    <n v="2"/>
    <d v="2026-08-21T00:00:00"/>
    <d v="2026-08-28T00:00:00"/>
    <n v="119.26"/>
    <m/>
    <m/>
    <m/>
    <s v="Pending"/>
    <s v=""/>
    <m/>
    <m/>
    <n v="58"/>
    <n v="0.38"/>
    <n v="44.08"/>
    <s v=""/>
    <x v="2"/>
    <x v="0"/>
    <x v="4"/>
  </r>
  <r>
    <s v="CLM100220"/>
    <s v="PT13404"/>
    <s v="P01"/>
    <x v="1"/>
    <x v="1"/>
    <n v="1"/>
    <d v="2026-07-07T00:00:00"/>
    <d v="2026-07-13T00:00:00"/>
    <n v="235.39"/>
    <m/>
    <m/>
    <m/>
    <s v="Denied"/>
    <s v="CO-11"/>
    <d v="2026-08-13T00:00:00"/>
    <m/>
    <n v="240"/>
    <n v="0.45"/>
    <n v="108"/>
    <s v=""/>
    <x v="2"/>
    <x v="5"/>
    <x v="1"/>
  </r>
  <r>
    <s v="CLM100221"/>
    <s v="PT12449"/>
    <s v="P05"/>
    <x v="2"/>
    <x v="9"/>
    <n v="4"/>
    <d v="2025-12-11T00:00:00"/>
    <d v="2025-12-13T00:00:00"/>
    <n v="229.26"/>
    <n v="84.34"/>
    <n v="67.47"/>
    <n v="16.87"/>
    <s v="Paid"/>
    <s v=""/>
    <d v="2026-03-01T00:00:00"/>
    <d v="2026-03-01T00:00:00"/>
    <n v="58"/>
    <n v="0.38"/>
    <n v="88.16"/>
    <n v="3.8199999999999932"/>
    <x v="0"/>
    <x v="0"/>
    <x v="6"/>
  </r>
  <r>
    <s v="CLM100222"/>
    <s v="PT10348"/>
    <s v="P04"/>
    <x v="0"/>
    <x v="4"/>
    <n v="1"/>
    <d v="2026-09-20T00:00:00"/>
    <d v="2026-09-21T00:00:00"/>
    <n v="37.81"/>
    <m/>
    <m/>
    <m/>
    <s v="Pending"/>
    <s v=""/>
    <m/>
    <m/>
    <n v="38"/>
    <n v="0.36"/>
    <n v="13.68"/>
    <s v=""/>
    <x v="2"/>
    <x v="1"/>
    <x v="8"/>
  </r>
  <r>
    <s v="CLM100223"/>
    <s v="PT13082"/>
    <s v="P04"/>
    <x v="1"/>
    <x v="7"/>
    <n v="1"/>
    <d v="2026-03-31T00:00:00"/>
    <d v="2026-04-04T00:00:00"/>
    <n v="205.8"/>
    <n v="77.430000000000007"/>
    <n v="61.94"/>
    <n v="15.49"/>
    <s v="Paid"/>
    <s v=""/>
    <d v="2026-04-15T00:00:00"/>
    <d v="2026-04-15T00:00:00"/>
    <n v="210"/>
    <n v="0.36"/>
    <n v="75.599999999999994"/>
    <n v="-1.8300000000000125"/>
    <x v="0"/>
    <x v="1"/>
    <x v="2"/>
  </r>
  <r>
    <s v="CLM100224"/>
    <s v="PT11602"/>
    <s v="P03"/>
    <x v="1"/>
    <x v="5"/>
    <n v="1"/>
    <d v="2025-10-06T00:00:00"/>
    <d v="2025-10-08T00:00:00"/>
    <n v="4684.3999999999996"/>
    <n v="2253.31"/>
    <n v="2027.98"/>
    <n v="225.33"/>
    <s v="Paid"/>
    <s v=""/>
    <d v="2025-11-18T00:00:00"/>
    <d v="2025-11-18T00:00:00"/>
    <n v="4800"/>
    <n v="0.47"/>
    <n v="2256"/>
    <n v="2.6900000000000546"/>
    <x v="0"/>
    <x v="4"/>
    <x v="9"/>
  </r>
  <r>
    <s v="CLM100225"/>
    <s v="PT11426"/>
    <s v="P02"/>
    <x v="0"/>
    <x v="7"/>
    <n v="1"/>
    <d v="2025-10-13T00:00:00"/>
    <d v="2025-10-15T00:00:00"/>
    <n v="209.78"/>
    <n v="78.13"/>
    <n v="78.13"/>
    <n v="0"/>
    <s v="Paid"/>
    <s v=""/>
    <d v="2025-11-09T00:00:00"/>
    <d v="2025-11-09T00:00:00"/>
    <n v="210"/>
    <n v="0.43"/>
    <n v="90.3"/>
    <n v="12.170000000000002"/>
    <x v="1"/>
    <x v="6"/>
    <x v="9"/>
  </r>
  <r>
    <s v="CLM100226"/>
    <s v="PT10092"/>
    <s v="P06"/>
    <x v="1"/>
    <x v="10"/>
    <n v="1"/>
    <d v="2026-06-24T00:00:00"/>
    <d v="2026-06-27T00:00:00"/>
    <n v="1048.92"/>
    <n v="300.55"/>
    <n v="300.55"/>
    <n v="0"/>
    <s v="Paid"/>
    <s v=""/>
    <d v="2026-08-01T00:00:00"/>
    <d v="2026-08-01T00:00:00"/>
    <n v="1050"/>
    <n v="0.27"/>
    <n v="283.5"/>
    <n v="-17.050000000000011"/>
    <x v="0"/>
    <x v="2"/>
    <x v="11"/>
  </r>
  <r>
    <s v="CLM100227"/>
    <s v="PT11892"/>
    <s v="P01"/>
    <x v="2"/>
    <x v="0"/>
    <n v="1"/>
    <d v="2025-12-24T00:00:00"/>
    <d v="2025-12-30T00:00:00"/>
    <n v="148.74"/>
    <n v="63.41"/>
    <n v="50.73"/>
    <n v="12.68"/>
    <s v="Paid"/>
    <s v=""/>
    <d v="2026-02-02T00:00:00"/>
    <d v="2026-02-02T00:00:00"/>
    <n v="145"/>
    <n v="0.45"/>
    <n v="65.25"/>
    <n v="1.8400000000000034"/>
    <x v="0"/>
    <x v="5"/>
    <x v="6"/>
  </r>
  <r>
    <s v="CLM100228"/>
    <s v="PT12886"/>
    <s v="P04"/>
    <x v="1"/>
    <x v="10"/>
    <n v="1"/>
    <d v="2026-01-04T00:00:00"/>
    <d v="2026-01-07T00:00:00"/>
    <n v="1058.8499999999999"/>
    <m/>
    <m/>
    <m/>
    <s v="Denied"/>
    <s v="CO-16"/>
    <d v="2026-01-20T00:00:00"/>
    <m/>
    <n v="1050"/>
    <n v="0.36"/>
    <n v="378"/>
    <s v=""/>
    <x v="2"/>
    <x v="1"/>
    <x v="5"/>
  </r>
  <r>
    <s v="CLM100229"/>
    <s v="PT12445"/>
    <s v="P02"/>
    <x v="0"/>
    <x v="8"/>
    <n v="1"/>
    <d v="2026-05-23T00:00:00"/>
    <d v="2026-05-28T00:00:00"/>
    <n v="253.98"/>
    <n v="124.31"/>
    <n v="111.88"/>
    <n v="12.43"/>
    <s v="Paid"/>
    <s v=""/>
    <d v="2026-06-23T00:00:00"/>
    <d v="2026-06-23T00:00:00"/>
    <n v="260"/>
    <n v="0.43"/>
    <n v="111.8"/>
    <n v="-12.510000000000005"/>
    <x v="0"/>
    <x v="6"/>
    <x v="7"/>
  </r>
  <r>
    <s v="CLM100230"/>
    <s v="PT12752"/>
    <s v="P04"/>
    <x v="0"/>
    <x v="4"/>
    <n v="1"/>
    <d v="2026-03-28T00:00:00"/>
    <d v="2026-03-31T00:00:00"/>
    <n v="37.659999999999997"/>
    <n v="14.29"/>
    <n v="14.29"/>
    <n v="0"/>
    <s v="Paid"/>
    <s v=""/>
    <d v="2026-04-21T00:00:00"/>
    <d v="2026-04-21T00:00:00"/>
    <n v="38"/>
    <n v="0.36"/>
    <n v="13.68"/>
    <n v="-0.60999999999999943"/>
    <x v="0"/>
    <x v="1"/>
    <x v="2"/>
  </r>
  <r>
    <s v="CLM100231"/>
    <s v="PT12354"/>
    <s v="P02"/>
    <x v="1"/>
    <x v="8"/>
    <n v="1"/>
    <d v="2025-11-29T00:00:00"/>
    <d v="2025-12-04T00:00:00"/>
    <n v="255.06"/>
    <n v="106.26"/>
    <n v="106.26"/>
    <n v="0"/>
    <s v="Paid"/>
    <s v=""/>
    <d v="2025-12-15T00:00:00"/>
    <d v="2025-12-15T00:00:00"/>
    <n v="260"/>
    <n v="0.43"/>
    <n v="111.8"/>
    <n v="5.539999999999992"/>
    <x v="0"/>
    <x v="6"/>
    <x v="3"/>
  </r>
  <r>
    <s v="CLM100232"/>
    <s v="PT13448"/>
    <s v="P03"/>
    <x v="0"/>
    <x v="7"/>
    <n v="1"/>
    <d v="2026-07-03T00:00:00"/>
    <d v="2026-07-08T00:00:00"/>
    <n v="212.44"/>
    <n v="102.09"/>
    <n v="91.88"/>
    <n v="10.210000000000001"/>
    <s v="Paid"/>
    <s v=""/>
    <d v="2026-08-14T00:00:00"/>
    <d v="2026-08-14T00:00:00"/>
    <n v="210"/>
    <n v="0.47"/>
    <n v="98.7"/>
    <n v="-3.3900000000000006"/>
    <x v="0"/>
    <x v="4"/>
    <x v="1"/>
  </r>
  <r>
    <s v="CLM100233"/>
    <s v="PT11675"/>
    <s v="P07"/>
    <x v="0"/>
    <x v="0"/>
    <n v="1"/>
    <d v="2025-10-05T00:00:00"/>
    <d v="2025-10-06T00:00:00"/>
    <n v="144.87"/>
    <n v="41.19"/>
    <n v="32.950000000000003"/>
    <n v="8.24"/>
    <s v="Paid"/>
    <s v=""/>
    <d v="2025-12-06T00:00:00"/>
    <d v="2025-12-06T00:00:00"/>
    <n v="145"/>
    <n v="0.28000000000000003"/>
    <n v="40.6"/>
    <n v="-0.58999999999999631"/>
    <x v="0"/>
    <x v="3"/>
    <x v="9"/>
  </r>
  <r>
    <s v="CLM100234"/>
    <s v="PT10688"/>
    <s v="P05"/>
    <x v="3"/>
    <x v="6"/>
    <n v="1"/>
    <d v="2026-05-16T00:00:00"/>
    <d v="2026-05-17T00:00:00"/>
    <n v="419.72"/>
    <m/>
    <m/>
    <m/>
    <s v="Denied"/>
    <s v="CO-16"/>
    <d v="2026-07-04T00:00:00"/>
    <m/>
    <n v="420"/>
    <n v="0.38"/>
    <n v="159.6"/>
    <s v=""/>
    <x v="2"/>
    <x v="0"/>
    <x v="7"/>
  </r>
  <r>
    <s v="CLM100235"/>
    <s v="PT13112"/>
    <s v="P04"/>
    <x v="0"/>
    <x v="4"/>
    <n v="1"/>
    <d v="2025-11-27T00:00:00"/>
    <d v="2025-11-29T00:00:00"/>
    <n v="38.17"/>
    <n v="15.84"/>
    <n v="15.84"/>
    <n v="0"/>
    <s v="Paid"/>
    <s v=""/>
    <d v="2025-12-23T00:00:00"/>
    <d v="2025-12-23T00:00:00"/>
    <n v="38"/>
    <n v="0.36"/>
    <n v="13.68"/>
    <n v="-2.16"/>
    <x v="0"/>
    <x v="1"/>
    <x v="3"/>
  </r>
  <r>
    <s v="CLM100236"/>
    <s v="PT13345"/>
    <s v="P01"/>
    <x v="3"/>
    <x v="7"/>
    <n v="1"/>
    <d v="2026-05-06T00:00:00"/>
    <d v="2026-05-14T00:00:00"/>
    <n v="204.99"/>
    <n v="86.44"/>
    <n v="77.8"/>
    <n v="8.64"/>
    <s v="Paid"/>
    <s v=""/>
    <d v="2026-06-20T00:00:00"/>
    <d v="2026-06-20T00:00:00"/>
    <n v="210"/>
    <n v="0.45"/>
    <n v="94.5"/>
    <n v="8.0600000000000023"/>
    <x v="1"/>
    <x v="5"/>
    <x v="7"/>
  </r>
  <r>
    <s v="CLM100237"/>
    <s v="PT12499"/>
    <s v="P08"/>
    <x v="1"/>
    <x v="5"/>
    <n v="1"/>
    <d v="2026-01-30T00:00:00"/>
    <d v="2026-02-05T00:00:00"/>
    <n v="4716.4399999999996"/>
    <n v="4716.4399999999996"/>
    <n v="4716.4399999999996"/>
    <n v="0"/>
    <s v="Paid"/>
    <s v=""/>
    <d v="2026-04-20T00:00:00"/>
    <d v="2026-04-20T00:00:00"/>
    <n v="4800"/>
    <n v="1"/>
    <n v="4800"/>
    <n v="83.5600000000004"/>
    <x v="0"/>
    <x v="7"/>
    <x v="5"/>
  </r>
  <r>
    <s v="CLM100238"/>
    <s v="PT11185"/>
    <s v="P04"/>
    <x v="0"/>
    <x v="7"/>
    <n v="1"/>
    <d v="2026-01-14T00:00:00"/>
    <d v="2026-01-21T00:00:00"/>
    <n v="213.95"/>
    <n v="77.8"/>
    <n v="70.02"/>
    <n v="7.78"/>
    <s v="Paid"/>
    <s v=""/>
    <d v="2026-02-05T00:00:00"/>
    <d v="2026-02-05T00:00:00"/>
    <n v="210"/>
    <n v="0.36"/>
    <n v="75.599999999999994"/>
    <n v="-2.2000000000000028"/>
    <x v="0"/>
    <x v="1"/>
    <x v="5"/>
  </r>
  <r>
    <s v="CLM100239"/>
    <s v="PT11022"/>
    <s v="P01"/>
    <x v="0"/>
    <x v="0"/>
    <n v="1"/>
    <d v="2026-04-29T00:00:00"/>
    <d v="2026-05-19T00:00:00"/>
    <n v="148.63999999999999"/>
    <n v="59.12"/>
    <n v="59.12"/>
    <n v="0"/>
    <s v="Paid"/>
    <s v=""/>
    <d v="2026-06-13T00:00:00"/>
    <d v="2026-06-13T00:00:00"/>
    <n v="145"/>
    <n v="0.45"/>
    <n v="65.25"/>
    <n v="6.1300000000000026"/>
    <x v="1"/>
    <x v="5"/>
    <x v="10"/>
  </r>
  <r>
    <s v="CLM100240"/>
    <s v="PT13254"/>
    <s v="P06"/>
    <x v="1"/>
    <x v="11"/>
    <n v="1"/>
    <d v="2026-09-12T00:00:00"/>
    <d v="2026-09-13T00:00:00"/>
    <n v="1142.5999999999999"/>
    <m/>
    <m/>
    <m/>
    <s v="Pending"/>
    <s v=""/>
    <m/>
    <m/>
    <n v="1150"/>
    <n v="0.27"/>
    <n v="310.5"/>
    <s v=""/>
    <x v="2"/>
    <x v="2"/>
    <x v="8"/>
  </r>
  <r>
    <s v="CLM100241"/>
    <s v="PT12993"/>
    <s v="P02"/>
    <x v="2"/>
    <x v="2"/>
    <n v="4"/>
    <d v="2026-02-20T00:00:00"/>
    <d v="2026-02-22T00:00:00"/>
    <n v="254.49"/>
    <n v="91.95"/>
    <n v="91.95"/>
    <n v="0"/>
    <s v="Paid"/>
    <s v=""/>
    <d v="2026-03-28T00:00:00"/>
    <d v="2026-03-28T00:00:00"/>
    <n v="62"/>
    <n v="0.43"/>
    <n v="106.64"/>
    <n v="14.689999999999998"/>
    <x v="1"/>
    <x v="6"/>
    <x v="0"/>
  </r>
  <r>
    <s v="CLM100242"/>
    <s v="PT11383"/>
    <s v="P04"/>
    <x v="2"/>
    <x v="0"/>
    <n v="1"/>
    <d v="2026-04-02T00:00:00"/>
    <d v="2026-04-09T00:00:00"/>
    <n v="148.05000000000001"/>
    <n v="58.68"/>
    <n v="52.81"/>
    <n v="5.87"/>
    <s v="Paid"/>
    <s v=""/>
    <d v="2026-04-22T00:00:00"/>
    <d v="2026-04-22T00:00:00"/>
    <n v="145"/>
    <n v="0.36"/>
    <n v="52.2"/>
    <n v="-6.4799999999999969"/>
    <x v="0"/>
    <x v="1"/>
    <x v="10"/>
  </r>
  <r>
    <s v="CLM100243"/>
    <s v="PT10066"/>
    <s v="P04"/>
    <x v="0"/>
    <x v="7"/>
    <n v="1"/>
    <d v="2026-06-06T00:00:00"/>
    <d v="2026-06-15T00:00:00"/>
    <n v="213.63"/>
    <n v="66.040000000000006"/>
    <n v="52.83"/>
    <n v="13.21"/>
    <s v="Paid"/>
    <s v=""/>
    <d v="2026-07-03T00:00:00"/>
    <d v="2026-07-03T00:00:00"/>
    <n v="210"/>
    <n v="0.36"/>
    <n v="75.599999999999994"/>
    <n v="9.5599999999999881"/>
    <x v="1"/>
    <x v="1"/>
    <x v="11"/>
  </r>
  <r>
    <s v="CLM100244"/>
    <s v="PT11122"/>
    <s v="P01"/>
    <x v="1"/>
    <x v="5"/>
    <n v="1"/>
    <d v="2026-05-22T00:00:00"/>
    <d v="2026-06-04T00:00:00"/>
    <n v="4656.1899999999996"/>
    <m/>
    <m/>
    <m/>
    <s v="Denied"/>
    <s v="CO-16"/>
    <d v="2026-06-29T00:00:00"/>
    <m/>
    <n v="4800"/>
    <n v="0.45"/>
    <n v="2160"/>
    <s v=""/>
    <x v="2"/>
    <x v="5"/>
    <x v="7"/>
  </r>
  <r>
    <s v="CLM100245"/>
    <s v="PT12431"/>
    <s v="P02"/>
    <x v="3"/>
    <x v="3"/>
    <n v="10"/>
    <d v="2026-03-06T00:00:00"/>
    <d v="2026-03-07T00:00:00"/>
    <n v="14438.43"/>
    <m/>
    <m/>
    <m/>
    <s v="Denied"/>
    <s v="CO-197"/>
    <d v="2026-04-03T00:00:00"/>
    <m/>
    <n v="1450"/>
    <n v="0.43"/>
    <n v="6235"/>
    <s v=""/>
    <x v="2"/>
    <x v="6"/>
    <x v="2"/>
  </r>
  <r>
    <s v="CLM100246"/>
    <s v="PT11567"/>
    <s v="P03"/>
    <x v="1"/>
    <x v="5"/>
    <n v="1"/>
    <d v="2025-12-07T00:00:00"/>
    <d v="2025-12-09T00:00:00"/>
    <n v="4793.58"/>
    <m/>
    <m/>
    <m/>
    <s v="Denied"/>
    <s v="CO-11"/>
    <d v="2026-01-15T00:00:00"/>
    <m/>
    <n v="4800"/>
    <n v="0.47"/>
    <n v="2256"/>
    <s v=""/>
    <x v="2"/>
    <x v="4"/>
    <x v="6"/>
  </r>
  <r>
    <s v="CLM100247"/>
    <s v="PT11438"/>
    <s v="P04"/>
    <x v="3"/>
    <x v="3"/>
    <n v="10"/>
    <d v="2026-09-12T00:00:00"/>
    <d v="2026-09-16T00:00:00"/>
    <n v="14124.52"/>
    <m/>
    <m/>
    <m/>
    <s v="Pending"/>
    <s v=""/>
    <m/>
    <m/>
    <n v="1450"/>
    <n v="0.36"/>
    <n v="5220"/>
    <s v=""/>
    <x v="2"/>
    <x v="1"/>
    <x v="8"/>
  </r>
  <r>
    <s v="CLM100248"/>
    <s v="PT11439"/>
    <s v="P05"/>
    <x v="3"/>
    <x v="7"/>
    <n v="1"/>
    <d v="2026-04-29T00:00:00"/>
    <d v="2026-05-02T00:00:00"/>
    <n v="211.46"/>
    <m/>
    <m/>
    <m/>
    <s v="Denied"/>
    <s v="CO-18"/>
    <d v="2026-07-11T00:00:00"/>
    <m/>
    <n v="210"/>
    <n v="0.38"/>
    <n v="79.8"/>
    <s v=""/>
    <x v="2"/>
    <x v="0"/>
    <x v="10"/>
  </r>
  <r>
    <s v="CLM100249"/>
    <s v="PT13190"/>
    <s v="P02"/>
    <x v="1"/>
    <x v="7"/>
    <n v="1"/>
    <d v="2026-08-27T00:00:00"/>
    <d v="2026-08-31T00:00:00"/>
    <n v="204.76"/>
    <m/>
    <m/>
    <m/>
    <s v="Pending"/>
    <s v=""/>
    <m/>
    <m/>
    <n v="210"/>
    <n v="0.43"/>
    <n v="90.3"/>
    <s v=""/>
    <x v="2"/>
    <x v="6"/>
    <x v="4"/>
  </r>
  <r>
    <s v="CLM100250"/>
    <s v="PT10980"/>
    <s v="P06"/>
    <x v="2"/>
    <x v="2"/>
    <n v="1"/>
    <d v="2026-09-03T00:00:00"/>
    <d v="2026-09-07T00:00:00"/>
    <n v="60.9"/>
    <m/>
    <m/>
    <m/>
    <s v="Pending"/>
    <s v=""/>
    <m/>
    <m/>
    <n v="62"/>
    <n v="0.27"/>
    <n v="16.739999999999998"/>
    <s v=""/>
    <x v="2"/>
    <x v="2"/>
    <x v="8"/>
  </r>
  <r>
    <s v="CLM100251"/>
    <s v="PT10540"/>
    <s v="P02"/>
    <x v="0"/>
    <x v="0"/>
    <n v="1"/>
    <d v="2026-08-23T00:00:00"/>
    <d v="2026-08-27T00:00:00"/>
    <n v="145.82"/>
    <n v="71.78"/>
    <n v="64.599999999999994"/>
    <n v="7.18"/>
    <s v="Paid"/>
    <s v=""/>
    <d v="2026-09-11T00:00:00"/>
    <d v="2026-09-11T00:00:00"/>
    <n v="145"/>
    <n v="0.43"/>
    <n v="62.35"/>
    <n v="-9.43"/>
    <x v="0"/>
    <x v="6"/>
    <x v="4"/>
  </r>
  <r>
    <s v="CLM100252"/>
    <s v="PT10883"/>
    <s v="P02"/>
    <x v="0"/>
    <x v="4"/>
    <n v="1"/>
    <d v="2026-09-15T00:00:00"/>
    <d v="2026-09-18T00:00:00"/>
    <n v="37.25"/>
    <m/>
    <m/>
    <m/>
    <s v="Pending"/>
    <s v=""/>
    <m/>
    <m/>
    <n v="38"/>
    <n v="0.43"/>
    <n v="16.34"/>
    <s v=""/>
    <x v="2"/>
    <x v="6"/>
    <x v="8"/>
  </r>
  <r>
    <s v="CLM100253"/>
    <s v="PT10337"/>
    <s v="P07"/>
    <x v="1"/>
    <x v="8"/>
    <n v="1"/>
    <d v="2026-04-22T00:00:00"/>
    <d v="2026-04-26T00:00:00"/>
    <n v="260.10000000000002"/>
    <n v="70.66"/>
    <n v="56.53"/>
    <n v="14.13"/>
    <s v="Paid"/>
    <s v=""/>
    <d v="2026-06-24T00:00:00"/>
    <d v="2026-06-24T00:00:00"/>
    <n v="260"/>
    <n v="0.28000000000000003"/>
    <n v="72.8"/>
    <n v="2.1400000000000006"/>
    <x v="0"/>
    <x v="3"/>
    <x v="10"/>
  </r>
  <r>
    <s v="CLM100254"/>
    <s v="PT11270"/>
    <s v="P04"/>
    <x v="3"/>
    <x v="7"/>
    <n v="1"/>
    <d v="2026-02-20T00:00:00"/>
    <d v="2026-02-21T00:00:00"/>
    <n v="204.75"/>
    <n v="84.59"/>
    <n v="84.59"/>
    <n v="0"/>
    <s v="Paid"/>
    <s v=""/>
    <d v="2026-03-13T00:00:00"/>
    <d v="2026-03-13T00:00:00"/>
    <n v="210"/>
    <n v="0.36"/>
    <n v="75.599999999999994"/>
    <n v="-8.9900000000000091"/>
    <x v="0"/>
    <x v="1"/>
    <x v="0"/>
  </r>
  <r>
    <s v="CLM100255"/>
    <s v="PT12493"/>
    <s v="P08"/>
    <x v="3"/>
    <x v="7"/>
    <n v="1"/>
    <d v="2026-01-31T00:00:00"/>
    <d v="2026-02-01T00:00:00"/>
    <n v="204.43"/>
    <m/>
    <m/>
    <m/>
    <s v="Pending"/>
    <s v=""/>
    <m/>
    <m/>
    <n v="210"/>
    <n v="1"/>
    <n v="210"/>
    <s v=""/>
    <x v="2"/>
    <x v="7"/>
    <x v="5"/>
  </r>
  <r>
    <s v="CLM100256"/>
    <s v="PT10683"/>
    <s v="P05"/>
    <x v="1"/>
    <x v="4"/>
    <n v="1"/>
    <d v="2025-12-29T00:00:00"/>
    <d v="2026-01-03T00:00:00"/>
    <n v="37.130000000000003"/>
    <n v="12.72"/>
    <n v="11.45"/>
    <n v="1.27"/>
    <s v="Paid"/>
    <s v=""/>
    <d v="2026-03-14T00:00:00"/>
    <d v="2026-03-14T00:00:00"/>
    <n v="38"/>
    <n v="0.38"/>
    <n v="14.44"/>
    <n v="1.7199999999999989"/>
    <x v="1"/>
    <x v="0"/>
    <x v="6"/>
  </r>
  <r>
    <s v="CLM100257"/>
    <s v="PT11077"/>
    <s v="P05"/>
    <x v="0"/>
    <x v="8"/>
    <n v="1"/>
    <d v="2025-11-30T00:00:00"/>
    <d v="2025-12-01T00:00:00"/>
    <n v="264.23"/>
    <n v="93.9"/>
    <n v="93.9"/>
    <n v="0"/>
    <s v="Paid"/>
    <s v=""/>
    <d v="2026-01-16T00:00:00"/>
    <d v="2026-01-16T00:00:00"/>
    <n v="260"/>
    <n v="0.38"/>
    <n v="98.8"/>
    <n v="4.8999999999999915"/>
    <x v="0"/>
    <x v="0"/>
    <x v="3"/>
  </r>
  <r>
    <s v="CLM100258"/>
    <s v="PT12350"/>
    <s v="P04"/>
    <x v="3"/>
    <x v="7"/>
    <n v="1"/>
    <d v="2026-06-12T00:00:00"/>
    <d v="2026-06-14T00:00:00"/>
    <n v="209.44"/>
    <n v="76.97"/>
    <n v="76.97"/>
    <n v="0"/>
    <s v="Paid"/>
    <s v=""/>
    <d v="2026-06-29T00:00:00"/>
    <d v="2026-06-29T00:00:00"/>
    <n v="210"/>
    <n v="0.36"/>
    <n v="75.599999999999994"/>
    <n v="-1.3700000000000045"/>
    <x v="0"/>
    <x v="1"/>
    <x v="11"/>
  </r>
  <r>
    <s v="CLM100259"/>
    <s v="PT10614"/>
    <s v="P01"/>
    <x v="3"/>
    <x v="3"/>
    <n v="5"/>
    <d v="2026-06-18T00:00:00"/>
    <d v="2026-06-26T00:00:00"/>
    <n v="7051.66"/>
    <n v="3145.37"/>
    <n v="2516.3000000000002"/>
    <n v="629.07000000000005"/>
    <s v="Paid"/>
    <s v=""/>
    <d v="2026-07-28T00:00:00"/>
    <d v="2026-07-28T00:00:00"/>
    <n v="1450"/>
    <n v="0.45"/>
    <n v="3262.5"/>
    <n v="117.13000000000011"/>
    <x v="0"/>
    <x v="5"/>
    <x v="11"/>
  </r>
  <r>
    <s v="CLM100260"/>
    <s v="PT10489"/>
    <s v="P01"/>
    <x v="1"/>
    <x v="5"/>
    <n v="1"/>
    <d v="2026-09-01T00:00:00"/>
    <d v="2026-09-03T00:00:00"/>
    <n v="4776.78"/>
    <n v="2296.87"/>
    <n v="2067.1799999999998"/>
    <n v="229.69"/>
    <s v="Paid"/>
    <s v=""/>
    <d v="2026-09-30T00:00:00"/>
    <d v="2026-09-30T00:00:00"/>
    <n v="4800"/>
    <n v="0.45"/>
    <n v="2160"/>
    <n v="-136.86999999999989"/>
    <x v="0"/>
    <x v="5"/>
    <x v="8"/>
  </r>
  <r>
    <s v="CLM100261"/>
    <s v="PT13460"/>
    <s v="P01"/>
    <x v="0"/>
    <x v="0"/>
    <n v="1"/>
    <d v="2026-06-22T00:00:00"/>
    <d v="2026-07-05T00:00:00"/>
    <n v="149.19"/>
    <m/>
    <m/>
    <m/>
    <s v="Denied"/>
    <s v="CO-27"/>
    <d v="2026-08-05T00:00:00"/>
    <m/>
    <n v="145"/>
    <n v="0.45"/>
    <n v="65.25"/>
    <s v=""/>
    <x v="2"/>
    <x v="5"/>
    <x v="11"/>
  </r>
  <r>
    <s v="CLM100262"/>
    <s v="PT13000"/>
    <s v="P01"/>
    <x v="0"/>
    <x v="8"/>
    <n v="1"/>
    <d v="2026-07-16T00:00:00"/>
    <d v="2026-07-22T00:00:00"/>
    <n v="264.44"/>
    <n v="114.12"/>
    <n v="114.12"/>
    <n v="0"/>
    <s v="Paid"/>
    <s v=""/>
    <d v="2026-09-16T00:00:00"/>
    <d v="2026-09-16T00:00:00"/>
    <n v="260"/>
    <n v="0.45"/>
    <n v="117"/>
    <n v="2.8799999999999955"/>
    <x v="0"/>
    <x v="5"/>
    <x v="1"/>
  </r>
  <r>
    <s v="CLM100263"/>
    <s v="PT13108"/>
    <s v="P01"/>
    <x v="2"/>
    <x v="2"/>
    <n v="1"/>
    <d v="2026-04-28T00:00:00"/>
    <d v="2026-04-30T00:00:00"/>
    <n v="61.01"/>
    <n v="31.31"/>
    <n v="31.31"/>
    <n v="0"/>
    <s v="Paid"/>
    <s v=""/>
    <d v="2026-05-22T00:00:00"/>
    <d v="2026-05-22T00:00:00"/>
    <n v="62"/>
    <n v="0.45"/>
    <n v="27.9"/>
    <n v="-3.41"/>
    <x v="0"/>
    <x v="5"/>
    <x v="10"/>
  </r>
  <r>
    <s v="CLM100264"/>
    <s v="PT10381"/>
    <s v="P05"/>
    <x v="3"/>
    <x v="7"/>
    <n v="1"/>
    <d v="2025-11-23T00:00:00"/>
    <d v="2025-12-10T00:00:00"/>
    <n v="206.29"/>
    <n v="90.23"/>
    <n v="81.209999999999994"/>
    <n v="9.02"/>
    <s v="Paid"/>
    <s v=""/>
    <d v="2026-02-08T00:00:00"/>
    <d v="2026-02-08T00:00:00"/>
    <n v="210"/>
    <n v="0.38"/>
    <n v="79.8"/>
    <n v="-10.430000000000007"/>
    <x v="0"/>
    <x v="0"/>
    <x v="3"/>
  </r>
  <r>
    <s v="CLM100265"/>
    <s v="PT12070"/>
    <s v="P07"/>
    <x v="1"/>
    <x v="7"/>
    <n v="1"/>
    <d v="2026-06-24T00:00:00"/>
    <d v="2026-07-04T00:00:00"/>
    <n v="208.9"/>
    <n v="62.78"/>
    <n v="62.78"/>
    <n v="0"/>
    <s v="Paid"/>
    <s v=""/>
    <d v="2026-09-01T00:00:00"/>
    <d v="2026-09-01T00:00:00"/>
    <n v="210"/>
    <n v="0.28000000000000003"/>
    <n v="58.8"/>
    <n v="-3.980000000000004"/>
    <x v="0"/>
    <x v="3"/>
    <x v="11"/>
  </r>
  <r>
    <s v="CLM100266"/>
    <s v="PT12870"/>
    <s v="P02"/>
    <x v="1"/>
    <x v="5"/>
    <n v="1"/>
    <d v="2026-07-31T00:00:00"/>
    <d v="2026-08-03T00:00:00"/>
    <n v="4819.53"/>
    <n v="1891.62"/>
    <n v="1513.3"/>
    <n v="378.32"/>
    <s v="Paid"/>
    <s v=""/>
    <d v="2026-09-03T00:00:00"/>
    <d v="2026-09-03T00:00:00"/>
    <n v="4800"/>
    <n v="0.43"/>
    <n v="2064"/>
    <n v="172.38000000000011"/>
    <x v="1"/>
    <x v="6"/>
    <x v="1"/>
  </r>
  <r>
    <s v="CLM100267"/>
    <s v="PT11841"/>
    <s v="P02"/>
    <x v="2"/>
    <x v="9"/>
    <n v="1"/>
    <d v="2026-02-17T00:00:00"/>
    <d v="2026-02-18T00:00:00"/>
    <n v="56.52"/>
    <n v="21.57"/>
    <n v="21.57"/>
    <n v="0"/>
    <s v="Paid"/>
    <s v=""/>
    <d v="2026-03-30T00:00:00"/>
    <d v="2026-03-30T00:00:00"/>
    <n v="58"/>
    <n v="0.43"/>
    <n v="24.94"/>
    <n v="3.370000000000001"/>
    <x v="1"/>
    <x v="6"/>
    <x v="0"/>
  </r>
  <r>
    <s v="CLM100268"/>
    <s v="PT13384"/>
    <s v="P01"/>
    <x v="0"/>
    <x v="4"/>
    <n v="1"/>
    <d v="2026-04-02T00:00:00"/>
    <d v="2026-04-03T00:00:00"/>
    <n v="39.06"/>
    <n v="16.29"/>
    <n v="14.66"/>
    <n v="1.63"/>
    <s v="Paid"/>
    <s v=""/>
    <d v="2026-05-04T00:00:00"/>
    <d v="2026-05-04T00:00:00"/>
    <n v="38"/>
    <n v="0.45"/>
    <n v="17.100000000000001"/>
    <n v="0.81000000000000227"/>
    <x v="0"/>
    <x v="5"/>
    <x v="10"/>
  </r>
  <r>
    <s v="CLM100269"/>
    <s v="PT12773"/>
    <s v="P01"/>
    <x v="3"/>
    <x v="7"/>
    <n v="1"/>
    <d v="2026-03-17T00:00:00"/>
    <d v="2026-03-22T00:00:00"/>
    <n v="205.57"/>
    <n v="89.52"/>
    <n v="89.52"/>
    <n v="0"/>
    <s v="Paid"/>
    <s v=""/>
    <d v="2026-04-22T00:00:00"/>
    <d v="2026-04-22T00:00:00"/>
    <n v="210"/>
    <n v="0.45"/>
    <n v="94.5"/>
    <n v="4.980000000000004"/>
    <x v="1"/>
    <x v="5"/>
    <x v="2"/>
  </r>
  <r>
    <s v="CLM100270"/>
    <s v="PT13251"/>
    <s v="P08"/>
    <x v="1"/>
    <x v="5"/>
    <n v="1"/>
    <d v="2025-10-16T00:00:00"/>
    <d v="2025-10-24T00:00:00"/>
    <n v="4930.2"/>
    <m/>
    <m/>
    <m/>
    <s v="Pending"/>
    <s v=""/>
    <m/>
    <m/>
    <n v="4800"/>
    <n v="1"/>
    <n v="4800"/>
    <s v=""/>
    <x v="2"/>
    <x v="7"/>
    <x v="9"/>
  </r>
  <r>
    <s v="CLM100271"/>
    <s v="PT12385"/>
    <s v="P01"/>
    <x v="1"/>
    <x v="8"/>
    <n v="1"/>
    <d v="2026-01-22T00:00:00"/>
    <d v="2026-01-29T00:00:00"/>
    <n v="254.24"/>
    <n v="119.05"/>
    <n v="119.05"/>
    <n v="0"/>
    <s v="Paid"/>
    <s v=""/>
    <d v="2026-02-24T00:00:00"/>
    <d v="2026-02-24T00:00:00"/>
    <n v="260"/>
    <n v="0.45"/>
    <n v="117"/>
    <n v="-2.0499999999999972"/>
    <x v="0"/>
    <x v="5"/>
    <x v="5"/>
  </r>
  <r>
    <s v="CLM100272"/>
    <s v="PT10174"/>
    <s v="P01"/>
    <x v="0"/>
    <x v="0"/>
    <n v="1"/>
    <d v="2025-11-03T00:00:00"/>
    <d v="2025-11-08T00:00:00"/>
    <n v="142.37"/>
    <n v="55.93"/>
    <n v="55.93"/>
    <n v="0"/>
    <s v="Paid"/>
    <s v=""/>
    <d v="2025-12-14T00:00:00"/>
    <d v="2025-12-14T00:00:00"/>
    <n v="145"/>
    <n v="0.45"/>
    <n v="65.25"/>
    <n v="9.32"/>
    <x v="1"/>
    <x v="5"/>
    <x v="3"/>
  </r>
  <r>
    <s v="CLM100274"/>
    <s v="PT12651"/>
    <s v="P01"/>
    <x v="0"/>
    <x v="8"/>
    <n v="1"/>
    <d v="2026-01-04T00:00:00"/>
    <d v="2026-01-07T00:00:00"/>
    <n v="256.49"/>
    <n v="119.52"/>
    <n v="119.52"/>
    <n v="0"/>
    <s v="Paid"/>
    <s v=""/>
    <d v="2026-01-22T00:00:00"/>
    <d v="2026-01-22T00:00:00"/>
    <n v="260"/>
    <n v="0.45"/>
    <n v="117"/>
    <n v="-2.519999999999996"/>
    <x v="0"/>
    <x v="5"/>
    <x v="5"/>
  </r>
  <r>
    <s v="CLM100275"/>
    <s v="PT13285"/>
    <s v="P07"/>
    <x v="1"/>
    <x v="10"/>
    <n v="1"/>
    <d v="2026-06-03T00:00:00"/>
    <d v="2026-06-05T00:00:00"/>
    <n v="1022.34"/>
    <m/>
    <m/>
    <m/>
    <s v="Denied"/>
    <s v="CO-197"/>
    <d v="2026-07-10T00:00:00"/>
    <m/>
    <n v="1050"/>
    <n v="0.28000000000000003"/>
    <n v="294"/>
    <s v=""/>
    <x v="2"/>
    <x v="3"/>
    <x v="11"/>
  </r>
  <r>
    <s v="CLM100276"/>
    <s v="PT10120"/>
    <s v="P02"/>
    <x v="0"/>
    <x v="4"/>
    <n v="1"/>
    <d v="2026-07-17T00:00:00"/>
    <d v="2026-07-19T00:00:00"/>
    <n v="38.01"/>
    <n v="15.33"/>
    <n v="15.33"/>
    <n v="0"/>
    <s v="Paid"/>
    <s v=""/>
    <d v="2026-08-17T00:00:00"/>
    <d v="2026-08-17T00:00:00"/>
    <n v="38"/>
    <n v="0.43"/>
    <n v="16.34"/>
    <n v="1.0099999999999998"/>
    <x v="1"/>
    <x v="6"/>
    <x v="1"/>
  </r>
  <r>
    <s v="CLM100277"/>
    <s v="PT13129"/>
    <s v="P01"/>
    <x v="2"/>
    <x v="9"/>
    <n v="3"/>
    <d v="2026-05-30T00:00:00"/>
    <d v="2026-06-03T00:00:00"/>
    <n v="172.51"/>
    <n v="71.540000000000006"/>
    <n v="71.540000000000006"/>
    <n v="0"/>
    <s v="Paid"/>
    <s v=""/>
    <d v="2026-07-01T00:00:00"/>
    <d v="2026-07-01T00:00:00"/>
    <n v="58"/>
    <n v="0.45"/>
    <n v="78.3"/>
    <n v="6.7599999999999909"/>
    <x v="1"/>
    <x v="5"/>
    <x v="7"/>
  </r>
  <r>
    <s v="CLM100278"/>
    <s v="PT12423"/>
    <s v="P04"/>
    <x v="2"/>
    <x v="2"/>
    <n v="1"/>
    <d v="2026-04-17T00:00:00"/>
    <d v="2026-05-07T00:00:00"/>
    <n v="63.62"/>
    <n v="21.61"/>
    <n v="19.45"/>
    <n v="2.16"/>
    <s v="Paid"/>
    <s v=""/>
    <d v="2026-05-31T00:00:00"/>
    <d v="2026-05-31T00:00:00"/>
    <n v="62"/>
    <n v="0.36"/>
    <n v="22.32"/>
    <n v="0.71000000000000085"/>
    <x v="0"/>
    <x v="1"/>
    <x v="10"/>
  </r>
  <r>
    <s v="CLM100279"/>
    <s v="PT10719"/>
    <s v="P02"/>
    <x v="1"/>
    <x v="4"/>
    <n v="1"/>
    <d v="2026-07-18T00:00:00"/>
    <d v="2026-07-22T00:00:00"/>
    <n v="38.15"/>
    <n v="18.79"/>
    <n v="16.91"/>
    <n v="1.88"/>
    <s v="Paid"/>
    <s v=""/>
    <d v="2026-08-31T00:00:00"/>
    <d v="2026-08-31T00:00:00"/>
    <n v="38"/>
    <n v="0.43"/>
    <n v="16.34"/>
    <n v="-2.4499999999999993"/>
    <x v="0"/>
    <x v="6"/>
    <x v="1"/>
  </r>
  <r>
    <s v="CLM100280"/>
    <s v="PT10534"/>
    <s v="P01"/>
    <x v="0"/>
    <x v="0"/>
    <n v="1"/>
    <d v="2026-08-05T00:00:00"/>
    <d v="2026-08-08T00:00:00"/>
    <n v="142.55000000000001"/>
    <m/>
    <m/>
    <m/>
    <s v="Denied"/>
    <s v="CO-18"/>
    <d v="2026-08-29T00:00:00"/>
    <m/>
    <n v="145"/>
    <n v="0.45"/>
    <n v="65.25"/>
    <s v=""/>
    <x v="2"/>
    <x v="5"/>
    <x v="4"/>
  </r>
  <r>
    <s v="CLM100281"/>
    <s v="PT12400"/>
    <s v="P04"/>
    <x v="1"/>
    <x v="7"/>
    <n v="1"/>
    <d v="2025-12-12T00:00:00"/>
    <d v="2025-12-20T00:00:00"/>
    <n v="213.46"/>
    <n v="87.86"/>
    <n v="70.290000000000006"/>
    <n v="17.57"/>
    <s v="Paid"/>
    <s v=""/>
    <d v="2025-12-28T00:00:00"/>
    <d v="2025-12-28T00:00:00"/>
    <n v="210"/>
    <n v="0.36"/>
    <n v="75.599999999999994"/>
    <n v="-12.260000000000005"/>
    <x v="0"/>
    <x v="1"/>
    <x v="6"/>
  </r>
  <r>
    <s v="CLM100282"/>
    <s v="PT10713"/>
    <s v="P02"/>
    <x v="1"/>
    <x v="11"/>
    <n v="1"/>
    <d v="2025-12-20T00:00:00"/>
    <d v="2025-12-23T00:00:00"/>
    <n v="1166.03"/>
    <n v="496.49"/>
    <n v="446.84"/>
    <n v="49.65"/>
    <s v="Paid"/>
    <s v=""/>
    <d v="2026-02-09T00:00:00"/>
    <d v="2026-02-09T00:00:00"/>
    <n v="1150"/>
    <n v="0.43"/>
    <n v="494.5"/>
    <n v="-1.9900000000000091"/>
    <x v="0"/>
    <x v="6"/>
    <x v="6"/>
  </r>
  <r>
    <s v="CLM100283"/>
    <s v="PT10727"/>
    <s v="P05"/>
    <x v="3"/>
    <x v="7"/>
    <n v="1"/>
    <d v="2026-08-11T00:00:00"/>
    <d v="2026-08-13T00:00:00"/>
    <n v="213.62"/>
    <n v="73.459999999999994"/>
    <n v="73.459999999999994"/>
    <n v="0"/>
    <s v="Paid"/>
    <s v=""/>
    <d v="2026-09-25T00:00:00"/>
    <d v="2026-09-25T00:00:00"/>
    <n v="210"/>
    <n v="0.38"/>
    <n v="79.8"/>
    <n v="6.3400000000000034"/>
    <x v="1"/>
    <x v="0"/>
    <x v="4"/>
  </r>
  <r>
    <s v="CLM100284"/>
    <s v="PT13312"/>
    <s v="P07"/>
    <x v="3"/>
    <x v="7"/>
    <n v="1"/>
    <d v="2026-04-19T00:00:00"/>
    <d v="2026-04-25T00:00:00"/>
    <n v="214.42"/>
    <n v="53.91"/>
    <n v="48.52"/>
    <n v="5.39"/>
    <s v="Paid"/>
    <s v=""/>
    <d v="2026-07-21T00:00:00"/>
    <d v="2026-07-21T00:00:00"/>
    <n v="210"/>
    <n v="0.28000000000000003"/>
    <n v="58.8"/>
    <n v="4.8900000000000006"/>
    <x v="1"/>
    <x v="3"/>
    <x v="10"/>
  </r>
  <r>
    <s v="CLM100285"/>
    <s v="PT11829"/>
    <s v="P04"/>
    <x v="2"/>
    <x v="2"/>
    <n v="2"/>
    <d v="2025-11-23T00:00:00"/>
    <d v="2025-11-29T00:00:00"/>
    <n v="121.33"/>
    <n v="39.17"/>
    <n v="35.25"/>
    <n v="3.92"/>
    <s v="Paid"/>
    <s v=""/>
    <d v="2025-12-18T00:00:00"/>
    <d v="2025-12-18T00:00:00"/>
    <n v="62"/>
    <n v="0.36"/>
    <n v="44.64"/>
    <n v="5.4699999999999989"/>
    <x v="1"/>
    <x v="1"/>
    <x v="3"/>
  </r>
  <r>
    <s v="CLM100286"/>
    <s v="PT13000"/>
    <s v="P02"/>
    <x v="1"/>
    <x v="7"/>
    <n v="1"/>
    <d v="2025-11-04T00:00:00"/>
    <d v="2025-11-11T00:00:00"/>
    <n v="208.12"/>
    <n v="76.459999999999994"/>
    <n v="61.17"/>
    <n v="15.29"/>
    <s v="Paid"/>
    <s v=""/>
    <d v="2025-12-10T00:00:00"/>
    <d v="2025-12-10T00:00:00"/>
    <n v="210"/>
    <n v="0.43"/>
    <n v="90.3"/>
    <n v="13.840000000000003"/>
    <x v="1"/>
    <x v="6"/>
    <x v="3"/>
  </r>
  <r>
    <s v="CLM100287"/>
    <s v="PT10666"/>
    <s v="P07"/>
    <x v="0"/>
    <x v="7"/>
    <n v="1"/>
    <d v="2026-06-10T00:00:00"/>
    <d v="2026-06-12T00:00:00"/>
    <n v="214.81"/>
    <n v="66.06"/>
    <n v="66.06"/>
    <n v="0"/>
    <s v="Paid"/>
    <s v=""/>
    <d v="2026-08-17T00:00:00"/>
    <d v="2026-08-17T00:00:00"/>
    <n v="210"/>
    <n v="0.28000000000000003"/>
    <n v="58.8"/>
    <n v="-7.2600000000000051"/>
    <x v="0"/>
    <x v="3"/>
    <x v="11"/>
  </r>
  <r>
    <s v="CLM100288"/>
    <s v="PT12998"/>
    <s v="P02"/>
    <x v="0"/>
    <x v="0"/>
    <n v="1"/>
    <d v="2026-03-13T00:00:00"/>
    <d v="2026-03-14T00:00:00"/>
    <n v="142.91999999999999"/>
    <n v="68.47"/>
    <n v="68.47"/>
    <n v="0"/>
    <s v="Paid"/>
    <s v=""/>
    <d v="2026-04-02T00:00:00"/>
    <d v="2026-04-02T00:00:00"/>
    <n v="145"/>
    <n v="0.43"/>
    <n v="62.35"/>
    <n v="-6.1199999999999974"/>
    <x v="0"/>
    <x v="6"/>
    <x v="2"/>
  </r>
  <r>
    <s v="CLM100289"/>
    <s v="PT10414"/>
    <s v="P02"/>
    <x v="1"/>
    <x v="8"/>
    <n v="1"/>
    <d v="2026-08-11T00:00:00"/>
    <d v="2026-08-16T00:00:00"/>
    <n v="266.13"/>
    <n v="119.21"/>
    <n v="119.21"/>
    <n v="0"/>
    <s v="Paid"/>
    <s v=""/>
    <d v="2026-09-08T00:00:00"/>
    <d v="2026-09-08T00:00:00"/>
    <n v="260"/>
    <n v="0.43"/>
    <n v="111.8"/>
    <n v="-7.4099999999999966"/>
    <x v="0"/>
    <x v="6"/>
    <x v="4"/>
  </r>
  <r>
    <s v="CLM100290"/>
    <s v="PT10392"/>
    <s v="P02"/>
    <x v="1"/>
    <x v="7"/>
    <n v="1"/>
    <d v="2026-07-11T00:00:00"/>
    <d v="2026-07-17T00:00:00"/>
    <n v="212.8"/>
    <n v="84.79"/>
    <n v="84.79"/>
    <n v="0"/>
    <s v="Paid"/>
    <s v=""/>
    <d v="2026-08-11T00:00:00"/>
    <d v="2026-08-11T00:00:00"/>
    <n v="210"/>
    <n v="0.43"/>
    <n v="90.3"/>
    <n v="5.5099999999999909"/>
    <x v="1"/>
    <x v="6"/>
    <x v="1"/>
  </r>
  <r>
    <s v="CLM100291"/>
    <s v="PT10397"/>
    <s v="P04"/>
    <x v="1"/>
    <x v="1"/>
    <n v="1"/>
    <d v="2026-06-09T00:00:00"/>
    <d v="2026-06-11T00:00:00"/>
    <n v="235.01"/>
    <n v="79.2"/>
    <n v="79.2"/>
    <n v="0"/>
    <s v="Paid"/>
    <s v=""/>
    <d v="2026-06-25T00:00:00"/>
    <d v="2026-06-25T00:00:00"/>
    <n v="240"/>
    <n v="0.36"/>
    <n v="86.4"/>
    <n v="7.2000000000000028"/>
    <x v="1"/>
    <x v="1"/>
    <x v="11"/>
  </r>
  <r>
    <s v="CLM100292"/>
    <s v="PT10373"/>
    <s v="P04"/>
    <x v="1"/>
    <x v="7"/>
    <n v="1"/>
    <d v="2025-11-11T00:00:00"/>
    <d v="2025-11-12T00:00:00"/>
    <n v="209.67"/>
    <n v="74.8"/>
    <n v="67.319999999999993"/>
    <n v="7.48"/>
    <s v="Paid"/>
    <s v=""/>
    <d v="2025-11-23T00:00:00"/>
    <d v="2025-11-23T00:00:00"/>
    <n v="210"/>
    <n v="0.36"/>
    <n v="75.599999999999994"/>
    <n v="0.79999999999999716"/>
    <x v="0"/>
    <x v="1"/>
    <x v="3"/>
  </r>
  <r>
    <s v="CLM100293"/>
    <s v="PT10619"/>
    <s v="P01"/>
    <x v="3"/>
    <x v="6"/>
    <n v="1"/>
    <d v="2026-04-14T00:00:00"/>
    <d v="2026-04-17T00:00:00"/>
    <n v="416.71"/>
    <n v="185.48"/>
    <n v="185.48"/>
    <n v="0"/>
    <s v="Paid"/>
    <s v=""/>
    <d v="2026-05-15T00:00:00"/>
    <d v="2026-05-15T00:00:00"/>
    <n v="420"/>
    <n v="0.45"/>
    <n v="189"/>
    <n v="3.5200000000000102"/>
    <x v="0"/>
    <x v="5"/>
    <x v="10"/>
  </r>
  <r>
    <s v="CLM100294"/>
    <s v="PT12267"/>
    <s v="P01"/>
    <x v="3"/>
    <x v="7"/>
    <n v="1"/>
    <d v="2026-09-08T00:00:00"/>
    <d v="2026-09-12T00:00:00"/>
    <n v="208.03"/>
    <m/>
    <m/>
    <m/>
    <s v="Pending"/>
    <s v=""/>
    <m/>
    <m/>
    <n v="210"/>
    <n v="0.45"/>
    <n v="94.5"/>
    <s v=""/>
    <x v="2"/>
    <x v="5"/>
    <x v="8"/>
  </r>
  <r>
    <s v="CLM100295"/>
    <s v="PT13497"/>
    <s v="P06"/>
    <x v="1"/>
    <x v="10"/>
    <n v="1"/>
    <d v="2026-05-03T00:00:00"/>
    <d v="2026-05-08T00:00:00"/>
    <n v="1079.33"/>
    <n v="298.01"/>
    <n v="238.41"/>
    <n v="59.6"/>
    <s v="Paid"/>
    <s v=""/>
    <d v="2026-06-17T00:00:00"/>
    <d v="2026-06-17T00:00:00"/>
    <n v="1050"/>
    <n v="0.27"/>
    <n v="283.5"/>
    <n v="-14.509999999999991"/>
    <x v="0"/>
    <x v="2"/>
    <x v="7"/>
  </r>
  <r>
    <s v="CLM100296"/>
    <s v="PT10708"/>
    <s v="P04"/>
    <x v="3"/>
    <x v="7"/>
    <n v="1"/>
    <d v="2026-06-22T00:00:00"/>
    <d v="2026-06-27T00:00:00"/>
    <n v="213.79"/>
    <n v="67.87"/>
    <n v="54.3"/>
    <n v="13.57"/>
    <s v="Paid"/>
    <s v=""/>
    <d v="2026-07-19T00:00:00"/>
    <d v="2026-07-19T00:00:00"/>
    <n v="210"/>
    <n v="0.36"/>
    <n v="75.599999999999994"/>
    <n v="7.7299999999999898"/>
    <x v="1"/>
    <x v="1"/>
    <x v="11"/>
  </r>
  <r>
    <s v="CLM100297"/>
    <s v="PT11309"/>
    <s v="P08"/>
    <x v="2"/>
    <x v="2"/>
    <n v="1"/>
    <d v="2026-01-07T00:00:00"/>
    <d v="2026-01-08T00:00:00"/>
    <n v="60.3"/>
    <n v="60.3"/>
    <n v="60.3"/>
    <n v="0"/>
    <s v="Paid"/>
    <s v=""/>
    <d v="2026-03-29T00:00:00"/>
    <d v="2026-03-29T00:00:00"/>
    <n v="62"/>
    <n v="1"/>
    <n v="62"/>
    <n v="1.7000000000000028"/>
    <x v="0"/>
    <x v="7"/>
    <x v="5"/>
  </r>
  <r>
    <s v="CLM100298"/>
    <s v="PT10460"/>
    <s v="P01"/>
    <x v="2"/>
    <x v="2"/>
    <n v="2"/>
    <d v="2026-07-12T00:00:00"/>
    <d v="2026-07-20T00:00:00"/>
    <n v="124.39"/>
    <n v="47.48"/>
    <n v="37.979999999999997"/>
    <n v="9.5"/>
    <s v="Paid"/>
    <s v=""/>
    <d v="2026-08-12T00:00:00"/>
    <d v="2026-08-12T00:00:00"/>
    <n v="62"/>
    <n v="0.45"/>
    <n v="55.8"/>
    <n v="8.32"/>
    <x v="1"/>
    <x v="5"/>
    <x v="1"/>
  </r>
  <r>
    <s v="CLM100299"/>
    <s v="PT11683"/>
    <s v="P04"/>
    <x v="0"/>
    <x v="7"/>
    <n v="1"/>
    <d v="2026-07-26T00:00:00"/>
    <d v="2026-08-07T00:00:00"/>
    <n v="213.26"/>
    <n v="78.27"/>
    <n v="70.44"/>
    <n v="7.83"/>
    <s v="Paid"/>
    <s v=""/>
    <d v="2026-08-28T00:00:00"/>
    <d v="2026-08-28T00:00:00"/>
    <n v="210"/>
    <n v="0.36"/>
    <n v="75.599999999999994"/>
    <n v="-2.6700000000000017"/>
    <x v="0"/>
    <x v="1"/>
    <x v="1"/>
  </r>
  <r>
    <s v="CLM100300"/>
    <s v="PT10158"/>
    <s v="P03"/>
    <x v="1"/>
    <x v="4"/>
    <n v="1"/>
    <d v="2026-08-08T00:00:00"/>
    <d v="2026-08-09T00:00:00"/>
    <n v="37.94"/>
    <n v="18.59"/>
    <n v="14.87"/>
    <n v="3.72"/>
    <s v="Paid"/>
    <s v=""/>
    <d v="2026-09-29T00:00:00"/>
    <d v="2026-09-29T00:00:00"/>
    <n v="38"/>
    <n v="0.47"/>
    <n v="17.86"/>
    <n v="-0.73000000000000043"/>
    <x v="0"/>
    <x v="4"/>
    <x v="4"/>
  </r>
  <r>
    <s v="CLM100301"/>
    <s v="PT13452"/>
    <s v="P05"/>
    <x v="0"/>
    <x v="8"/>
    <n v="1"/>
    <d v="2025-10-26T00:00:00"/>
    <d v="2025-11-06T00:00:00"/>
    <n v="263.83"/>
    <n v="85.85"/>
    <n v="77.27"/>
    <n v="8.58"/>
    <s v="Paid"/>
    <s v=""/>
    <d v="2026-01-02T00:00:00"/>
    <d v="2026-01-02T00:00:00"/>
    <n v="260"/>
    <n v="0.38"/>
    <n v="98.8"/>
    <n v="12.950000000000003"/>
    <x v="1"/>
    <x v="0"/>
    <x v="9"/>
  </r>
  <r>
    <s v="CLM100302"/>
    <s v="PT11103"/>
    <s v="P08"/>
    <x v="0"/>
    <x v="0"/>
    <n v="1"/>
    <d v="2026-01-25T00:00:00"/>
    <d v="2026-02-09T00:00:00"/>
    <n v="141.82"/>
    <n v="141.82"/>
    <n v="141.82"/>
    <n v="0"/>
    <s v="Paid"/>
    <s v=""/>
    <d v="2026-04-07T00:00:00"/>
    <d v="2026-04-07T00:00:00"/>
    <n v="145"/>
    <n v="1"/>
    <n v="145"/>
    <n v="3.1800000000000068"/>
    <x v="0"/>
    <x v="7"/>
    <x v="5"/>
  </r>
  <r>
    <s v="CLM100303"/>
    <s v="PT12110"/>
    <s v="P04"/>
    <x v="3"/>
    <x v="7"/>
    <n v="1"/>
    <d v="2026-01-05T00:00:00"/>
    <d v="2026-01-15T00:00:00"/>
    <n v="209.27"/>
    <n v="74.97"/>
    <n v="74.97"/>
    <n v="0"/>
    <s v="Paid"/>
    <s v=""/>
    <d v="2026-01-27T00:00:00"/>
    <d v="2026-01-27T00:00:00"/>
    <n v="210"/>
    <n v="0.36"/>
    <n v="75.599999999999994"/>
    <n v="0.62999999999999545"/>
    <x v="0"/>
    <x v="1"/>
    <x v="5"/>
  </r>
  <r>
    <s v="CLM100304"/>
    <s v="PT13411"/>
    <s v="P02"/>
    <x v="3"/>
    <x v="3"/>
    <n v="30"/>
    <d v="2026-06-17T00:00:00"/>
    <d v="2026-06-25T00:00:00"/>
    <n v="42549.05"/>
    <n v="15524.03"/>
    <n v="15524.03"/>
    <n v="0"/>
    <s v="Paid"/>
    <s v=""/>
    <d v="2026-07-26T00:00:00"/>
    <d v="2026-07-26T00:00:00"/>
    <n v="1450"/>
    <n v="0.43"/>
    <n v="18705"/>
    <n v="3180.9699999999993"/>
    <x v="1"/>
    <x v="6"/>
    <x v="11"/>
  </r>
  <r>
    <s v="CLM100305"/>
    <s v="PT12790"/>
    <s v="P02"/>
    <x v="1"/>
    <x v="8"/>
    <n v="1"/>
    <d v="2026-05-22T00:00:00"/>
    <d v="2026-05-24T00:00:00"/>
    <n v="252.99"/>
    <n v="103.72"/>
    <n v="103.72"/>
    <n v="0"/>
    <s v="Paid"/>
    <s v=""/>
    <d v="2026-06-15T00:00:00"/>
    <d v="2026-06-15T00:00:00"/>
    <n v="260"/>
    <n v="0.43"/>
    <n v="111.8"/>
    <n v="8.0799999999999983"/>
    <x v="1"/>
    <x v="6"/>
    <x v="7"/>
  </r>
  <r>
    <s v="CLM100306"/>
    <s v="PT13431"/>
    <s v="P03"/>
    <x v="1"/>
    <x v="11"/>
    <n v="1"/>
    <d v="2026-05-17T00:00:00"/>
    <d v="2026-05-26T00:00:00"/>
    <n v="1127.75"/>
    <n v="507.96"/>
    <n v="507.96"/>
    <n v="0"/>
    <s v="Paid"/>
    <s v=""/>
    <d v="2026-07-13T00:00:00"/>
    <d v="2026-07-13T00:00:00"/>
    <n v="1150"/>
    <n v="0.47"/>
    <n v="540.5"/>
    <n v="32.54000000000002"/>
    <x v="1"/>
    <x v="4"/>
    <x v="7"/>
  </r>
  <r>
    <s v="CLM100307"/>
    <s v="PT11102"/>
    <s v="P06"/>
    <x v="2"/>
    <x v="0"/>
    <n v="1"/>
    <d v="2025-11-16T00:00:00"/>
    <d v="2025-11-18T00:00:00"/>
    <n v="143.13"/>
    <n v="44.23"/>
    <n v="44.23"/>
    <n v="0"/>
    <s v="Paid"/>
    <s v=""/>
    <d v="2026-01-07T00:00:00"/>
    <d v="2026-01-07T00:00:00"/>
    <n v="145"/>
    <n v="0.27"/>
    <n v="39.15"/>
    <n v="-5.0799999999999983"/>
    <x v="0"/>
    <x v="2"/>
    <x v="3"/>
  </r>
  <r>
    <s v="CLM100308"/>
    <s v="PT10034"/>
    <s v="P01"/>
    <x v="3"/>
    <x v="7"/>
    <n v="1"/>
    <d v="2026-09-15T00:00:00"/>
    <d v="2026-09-25T00:00:00"/>
    <n v="203.81"/>
    <m/>
    <m/>
    <m/>
    <s v="Pending"/>
    <s v=""/>
    <m/>
    <m/>
    <n v="210"/>
    <n v="0.45"/>
    <n v="94.5"/>
    <s v=""/>
    <x v="2"/>
    <x v="5"/>
    <x v="8"/>
  </r>
  <r>
    <s v="CLM100309"/>
    <s v="PT11911"/>
    <s v="P06"/>
    <x v="1"/>
    <x v="1"/>
    <n v="1"/>
    <d v="2026-03-06T00:00:00"/>
    <d v="2026-03-11T00:00:00"/>
    <n v="243.06"/>
    <n v="73.7"/>
    <n v="73.7"/>
    <n v="0"/>
    <s v="Paid"/>
    <s v=""/>
    <d v="2026-04-27T00:00:00"/>
    <d v="2026-04-27T00:00:00"/>
    <n v="240"/>
    <n v="0.27"/>
    <n v="64.8"/>
    <n v="-8.9000000000000057"/>
    <x v="0"/>
    <x v="2"/>
    <x v="2"/>
  </r>
  <r>
    <s v="CLM100310"/>
    <s v="PT12299"/>
    <s v="P06"/>
    <x v="1"/>
    <x v="1"/>
    <n v="1"/>
    <d v="2026-04-22T00:00:00"/>
    <d v="2026-04-23T00:00:00"/>
    <n v="241.22"/>
    <n v="74.58"/>
    <n v="67.12"/>
    <n v="7.46"/>
    <s v="Paid"/>
    <s v=""/>
    <d v="2026-05-22T00:00:00"/>
    <d v="2026-05-22T00:00:00"/>
    <n v="240"/>
    <n v="0.27"/>
    <n v="64.8"/>
    <n v="-9.7800000000000011"/>
    <x v="0"/>
    <x v="2"/>
    <x v="10"/>
  </r>
  <r>
    <s v="CLM100311"/>
    <s v="PT12912"/>
    <s v="P02"/>
    <x v="3"/>
    <x v="7"/>
    <n v="1"/>
    <d v="2026-09-16T00:00:00"/>
    <d v="2026-09-17T00:00:00"/>
    <n v="205.06"/>
    <m/>
    <m/>
    <m/>
    <s v="Pending"/>
    <s v=""/>
    <m/>
    <m/>
    <n v="210"/>
    <n v="0.43"/>
    <n v="90.3"/>
    <s v=""/>
    <x v="2"/>
    <x v="6"/>
    <x v="8"/>
  </r>
  <r>
    <s v="CLM100312"/>
    <s v="PT10573"/>
    <s v="P02"/>
    <x v="2"/>
    <x v="0"/>
    <n v="1"/>
    <d v="2025-12-16T00:00:00"/>
    <d v="2026-04-28T00:00:00"/>
    <n v="145.15"/>
    <m/>
    <m/>
    <m/>
    <s v="Denied"/>
    <s v="CO-29"/>
    <d v="2026-05-24T00:00:00"/>
    <m/>
    <n v="145"/>
    <n v="0.43"/>
    <n v="62.35"/>
    <s v=""/>
    <x v="2"/>
    <x v="6"/>
    <x v="6"/>
  </r>
  <r>
    <s v="CLM100313"/>
    <s v="PT11405"/>
    <s v="P03"/>
    <x v="3"/>
    <x v="7"/>
    <n v="1"/>
    <d v="2026-03-01T00:00:00"/>
    <d v="2026-03-04T00:00:00"/>
    <n v="206.97"/>
    <n v="83.66"/>
    <n v="83.66"/>
    <n v="0"/>
    <s v="Paid"/>
    <s v=""/>
    <d v="2026-04-13T00:00:00"/>
    <d v="2026-04-13T00:00:00"/>
    <n v="210"/>
    <n v="0.47"/>
    <n v="98.7"/>
    <n v="15.040000000000006"/>
    <x v="1"/>
    <x v="4"/>
    <x v="2"/>
  </r>
  <r>
    <s v="CLM100314"/>
    <s v="PT11203"/>
    <s v="P05"/>
    <x v="3"/>
    <x v="3"/>
    <n v="30"/>
    <d v="2026-08-23T00:00:00"/>
    <d v="2026-08-28T00:00:00"/>
    <n v="44561.03"/>
    <n v="18876.27"/>
    <n v="18876.27"/>
    <n v="0"/>
    <s v="Paid"/>
    <s v=""/>
    <d v="2026-09-29T00:00:00"/>
    <d v="2026-09-29T00:00:00"/>
    <n v="1450"/>
    <n v="0.38"/>
    <n v="16530"/>
    <n v="-2346.2700000000004"/>
    <x v="0"/>
    <x v="0"/>
    <x v="4"/>
  </r>
  <r>
    <s v="CLM100315"/>
    <s v="PT11722"/>
    <s v="P05"/>
    <x v="1"/>
    <x v="7"/>
    <n v="1"/>
    <d v="2026-07-14T00:00:00"/>
    <d v="2026-07-15T00:00:00"/>
    <n v="213.31"/>
    <n v="77.42"/>
    <n v="69.680000000000007"/>
    <n v="7.74"/>
    <s v="Paid"/>
    <s v=""/>
    <d v="2026-09-17T00:00:00"/>
    <d v="2026-09-17T00:00:00"/>
    <n v="210"/>
    <n v="0.38"/>
    <n v="79.8"/>
    <n v="2.3799999999999955"/>
    <x v="0"/>
    <x v="0"/>
    <x v="1"/>
  </r>
  <r>
    <s v="CLM100316"/>
    <s v="PT11934"/>
    <s v="P02"/>
    <x v="3"/>
    <x v="6"/>
    <n v="1"/>
    <d v="2026-07-27T00:00:00"/>
    <d v="2026-08-04T00:00:00"/>
    <n v="414.81"/>
    <n v="197.55"/>
    <n v="197.55"/>
    <n v="0"/>
    <s v="Paid"/>
    <s v=""/>
    <d v="2026-09-09T00:00:00"/>
    <d v="2026-09-09T00:00:00"/>
    <n v="420"/>
    <n v="0.43"/>
    <n v="180.6"/>
    <n v="-16.950000000000017"/>
    <x v="0"/>
    <x v="6"/>
    <x v="1"/>
  </r>
  <r>
    <s v="CLM100318"/>
    <s v="PT12584"/>
    <s v="P02"/>
    <x v="1"/>
    <x v="7"/>
    <n v="1"/>
    <d v="2026-07-19T00:00:00"/>
    <d v="2026-08-06T00:00:00"/>
    <n v="214.95"/>
    <n v="102.25"/>
    <n v="92.02"/>
    <n v="10.23"/>
    <s v="Paid"/>
    <s v=""/>
    <d v="2026-09-08T00:00:00"/>
    <d v="2026-09-08T00:00:00"/>
    <n v="210"/>
    <n v="0.43"/>
    <n v="90.3"/>
    <n v="-11.950000000000003"/>
    <x v="0"/>
    <x v="6"/>
    <x v="1"/>
  </r>
  <r>
    <s v="CLM100319"/>
    <s v="PT10530"/>
    <s v="P04"/>
    <x v="2"/>
    <x v="9"/>
    <n v="2"/>
    <d v="2025-10-03T00:00:00"/>
    <d v="2025-10-09T00:00:00"/>
    <n v="114.42"/>
    <n v="41.06"/>
    <n v="41.06"/>
    <n v="0"/>
    <s v="Paid"/>
    <s v=""/>
    <d v="2025-10-29T00:00:00"/>
    <d v="2025-10-29T00:00:00"/>
    <n v="58"/>
    <n v="0.36"/>
    <n v="41.76"/>
    <n v="0.69999999999999574"/>
    <x v="0"/>
    <x v="1"/>
    <x v="9"/>
  </r>
  <r>
    <s v="CLM100320"/>
    <s v="PT10073"/>
    <s v="P02"/>
    <x v="0"/>
    <x v="4"/>
    <n v="1"/>
    <d v="2026-06-02T00:00:00"/>
    <d v="2026-06-03T00:00:00"/>
    <n v="37.729999999999997"/>
    <n v="15.49"/>
    <n v="15.49"/>
    <n v="0"/>
    <s v="Paid"/>
    <s v=""/>
    <d v="2026-07-13T00:00:00"/>
    <d v="2026-07-13T00:00:00"/>
    <n v="38"/>
    <n v="0.43"/>
    <n v="16.34"/>
    <n v="0.84999999999999964"/>
    <x v="1"/>
    <x v="6"/>
    <x v="11"/>
  </r>
  <r>
    <s v="CLM100321"/>
    <s v="PT10684"/>
    <s v="P05"/>
    <x v="3"/>
    <x v="7"/>
    <n v="1"/>
    <d v="2026-01-24T00:00:00"/>
    <d v="2026-01-26T00:00:00"/>
    <n v="212.44"/>
    <m/>
    <m/>
    <m/>
    <s v="Denied"/>
    <s v="CO-27"/>
    <d v="2026-03-20T00:00:00"/>
    <m/>
    <n v="210"/>
    <n v="0.38"/>
    <n v="79.8"/>
    <s v=""/>
    <x v="2"/>
    <x v="0"/>
    <x v="5"/>
  </r>
  <r>
    <s v="CLM100322"/>
    <s v="PT13325"/>
    <s v="P03"/>
    <x v="0"/>
    <x v="8"/>
    <n v="1"/>
    <d v="2026-09-17T00:00:00"/>
    <d v="2026-09-19T00:00:00"/>
    <n v="267.73"/>
    <m/>
    <m/>
    <m/>
    <s v="Pending"/>
    <s v=""/>
    <m/>
    <m/>
    <n v="260"/>
    <n v="0.47"/>
    <n v="122.2"/>
    <s v=""/>
    <x v="2"/>
    <x v="4"/>
    <x v="8"/>
  </r>
  <r>
    <s v="CLM100323"/>
    <s v="PT11536"/>
    <s v="P01"/>
    <x v="0"/>
    <x v="7"/>
    <n v="1"/>
    <d v="2025-12-07T00:00:00"/>
    <d v="2025-12-08T00:00:00"/>
    <n v="206.36"/>
    <n v="81.97"/>
    <n v="81.97"/>
    <n v="0"/>
    <s v="Paid"/>
    <s v=""/>
    <d v="2026-01-23T00:00:00"/>
    <d v="2026-01-23T00:00:00"/>
    <n v="210"/>
    <n v="0.45"/>
    <n v="94.5"/>
    <n v="12.530000000000001"/>
    <x v="1"/>
    <x v="5"/>
    <x v="6"/>
  </r>
  <r>
    <s v="CLM100324"/>
    <s v="PT10506"/>
    <s v="P05"/>
    <x v="2"/>
    <x v="9"/>
    <n v="1"/>
    <d v="2026-08-16T00:00:00"/>
    <d v="2026-08-17T00:00:00"/>
    <n v="58.33"/>
    <m/>
    <m/>
    <m/>
    <s v="Pending"/>
    <s v=""/>
    <m/>
    <m/>
    <n v="58"/>
    <n v="0.38"/>
    <n v="22.04"/>
    <s v=""/>
    <x v="2"/>
    <x v="0"/>
    <x v="4"/>
  </r>
  <r>
    <s v="CLM100325"/>
    <s v="PT12550"/>
    <s v="P05"/>
    <x v="0"/>
    <x v="4"/>
    <n v="1"/>
    <d v="2026-01-14T00:00:00"/>
    <d v="2026-01-18T00:00:00"/>
    <n v="38.450000000000003"/>
    <n v="15.45"/>
    <n v="13.91"/>
    <n v="1.54"/>
    <s v="Paid"/>
    <s v=""/>
    <d v="2026-03-22T00:00:00"/>
    <d v="2026-03-22T00:00:00"/>
    <n v="38"/>
    <n v="0.38"/>
    <n v="14.44"/>
    <n v="-1.0099999999999998"/>
    <x v="0"/>
    <x v="0"/>
    <x v="5"/>
  </r>
  <r>
    <s v="CLM100326"/>
    <s v="PT13405"/>
    <s v="P03"/>
    <x v="0"/>
    <x v="7"/>
    <n v="1"/>
    <d v="2025-11-23T00:00:00"/>
    <d v="2025-11-27T00:00:00"/>
    <n v="210.15"/>
    <n v="108.09"/>
    <n v="97.28"/>
    <n v="10.81"/>
    <s v="Paid"/>
    <s v=""/>
    <d v="2025-12-23T00:00:00"/>
    <d v="2025-12-23T00:00:00"/>
    <n v="210"/>
    <n v="0.47"/>
    <n v="98.7"/>
    <n v="-9.39"/>
    <x v="0"/>
    <x v="4"/>
    <x v="3"/>
  </r>
  <r>
    <s v="CLM100327"/>
    <s v="PT11354"/>
    <s v="P02"/>
    <x v="0"/>
    <x v="7"/>
    <n v="1"/>
    <d v="2026-04-28T00:00:00"/>
    <d v="2026-04-29T00:00:00"/>
    <n v="207.42"/>
    <n v="80.61"/>
    <n v="64.489999999999995"/>
    <n v="16.12"/>
    <s v="Paid"/>
    <s v=""/>
    <d v="2026-05-31T00:00:00"/>
    <d v="2026-05-31T00:00:00"/>
    <n v="210"/>
    <n v="0.43"/>
    <n v="90.3"/>
    <n v="9.6899999999999977"/>
    <x v="1"/>
    <x v="6"/>
    <x v="10"/>
  </r>
  <r>
    <s v="CLM100328"/>
    <s v="PT11048"/>
    <s v="P05"/>
    <x v="1"/>
    <x v="8"/>
    <n v="1"/>
    <d v="2025-11-26T00:00:00"/>
    <d v="2025-12-01T00:00:00"/>
    <n v="265.23"/>
    <m/>
    <m/>
    <m/>
    <s v="Denied"/>
    <s v="CO-16"/>
    <d v="2026-01-20T00:00:00"/>
    <m/>
    <n v="260"/>
    <n v="0.38"/>
    <n v="98.8"/>
    <s v=""/>
    <x v="2"/>
    <x v="0"/>
    <x v="3"/>
  </r>
  <r>
    <s v="CLM100329"/>
    <s v="PT11280"/>
    <s v="P02"/>
    <x v="0"/>
    <x v="8"/>
    <n v="1"/>
    <d v="2025-10-26T00:00:00"/>
    <d v="2025-10-27T00:00:00"/>
    <n v="253.76"/>
    <m/>
    <m/>
    <m/>
    <s v="Denied"/>
    <s v="CO-16"/>
    <d v="2025-11-23T00:00:00"/>
    <m/>
    <n v="260"/>
    <n v="0.43"/>
    <n v="111.8"/>
    <s v=""/>
    <x v="2"/>
    <x v="6"/>
    <x v="9"/>
  </r>
  <r>
    <s v="CLM100330"/>
    <s v="PT10749"/>
    <s v="P06"/>
    <x v="2"/>
    <x v="2"/>
    <n v="4"/>
    <d v="2026-09-05T00:00:00"/>
    <d v="2026-09-07T00:00:00"/>
    <n v="243.1"/>
    <m/>
    <m/>
    <m/>
    <s v="Pending"/>
    <s v=""/>
    <m/>
    <m/>
    <n v="62"/>
    <n v="0.27"/>
    <n v="66.959999999999994"/>
    <s v=""/>
    <x v="2"/>
    <x v="2"/>
    <x v="8"/>
  </r>
  <r>
    <s v="CLM100331"/>
    <s v="PT13264"/>
    <s v="P08"/>
    <x v="1"/>
    <x v="10"/>
    <n v="1"/>
    <d v="2026-02-17T00:00:00"/>
    <d v="2026-02-22T00:00:00"/>
    <n v="1071.1500000000001"/>
    <m/>
    <m/>
    <m/>
    <s v="Pending"/>
    <s v=""/>
    <m/>
    <m/>
    <n v="1050"/>
    <n v="1"/>
    <n v="1050"/>
    <s v=""/>
    <x v="2"/>
    <x v="7"/>
    <x v="0"/>
  </r>
  <r>
    <s v="CLM100332"/>
    <s v="PT12503"/>
    <s v="P05"/>
    <x v="1"/>
    <x v="7"/>
    <n v="1"/>
    <d v="2025-10-31T00:00:00"/>
    <d v="2025-11-08T00:00:00"/>
    <n v="216.07"/>
    <m/>
    <m/>
    <m/>
    <s v="Denied"/>
    <s v="CO-18"/>
    <d v="2025-12-14T00:00:00"/>
    <m/>
    <n v="210"/>
    <n v="0.38"/>
    <n v="79.8"/>
    <s v=""/>
    <x v="2"/>
    <x v="0"/>
    <x v="9"/>
  </r>
  <r>
    <s v="CLM100334"/>
    <s v="PT12126"/>
    <s v="P07"/>
    <x v="1"/>
    <x v="4"/>
    <n v="1"/>
    <d v="2026-06-26T00:00:00"/>
    <d v="2026-06-30T00:00:00"/>
    <n v="38.61"/>
    <n v="12.37"/>
    <n v="11.13"/>
    <n v="1.24"/>
    <s v="Paid"/>
    <s v=""/>
    <d v="2026-08-21T00:00:00"/>
    <d v="2026-08-21T00:00:00"/>
    <n v="38"/>
    <n v="0.28000000000000003"/>
    <n v="10.64"/>
    <n v="-1.7299999999999986"/>
    <x v="0"/>
    <x v="3"/>
    <x v="11"/>
  </r>
  <r>
    <s v="CLM100335"/>
    <s v="PT10047"/>
    <s v="P03"/>
    <x v="0"/>
    <x v="0"/>
    <n v="1"/>
    <d v="2026-02-05T00:00:00"/>
    <d v="2026-02-10T00:00:00"/>
    <n v="144.84"/>
    <n v="60.96"/>
    <n v="60.96"/>
    <n v="0"/>
    <s v="Paid"/>
    <s v=""/>
    <d v="2026-04-09T00:00:00"/>
    <d v="2026-04-09T00:00:00"/>
    <n v="145"/>
    <n v="0.47"/>
    <n v="68.150000000000006"/>
    <n v="7.1900000000000048"/>
    <x v="1"/>
    <x v="4"/>
    <x v="0"/>
  </r>
  <r>
    <s v="CLM100336"/>
    <s v="PT10206"/>
    <s v="P03"/>
    <x v="3"/>
    <x v="3"/>
    <n v="30"/>
    <d v="2026-05-29T00:00:00"/>
    <d v="2026-05-30T00:00:00"/>
    <n v="44464.17"/>
    <n v="19315.73"/>
    <n v="17384.16"/>
    <n v="1931.57"/>
    <s v="Paid"/>
    <s v=""/>
    <d v="2026-06-18T00:00:00"/>
    <d v="2026-06-18T00:00:00"/>
    <n v="1450"/>
    <n v="0.47"/>
    <n v="20445"/>
    <n v="1129.2700000000004"/>
    <x v="1"/>
    <x v="4"/>
    <x v="7"/>
  </r>
  <r>
    <s v="CLM100337"/>
    <s v="PT13052"/>
    <s v="P02"/>
    <x v="0"/>
    <x v="4"/>
    <n v="1"/>
    <d v="2026-01-29T00:00:00"/>
    <d v="2026-02-01T00:00:00"/>
    <n v="37.04"/>
    <n v="13.81"/>
    <n v="11.05"/>
    <n v="2.76"/>
    <s v="Paid"/>
    <s v=""/>
    <d v="2026-02-24T00:00:00"/>
    <d v="2026-02-24T00:00:00"/>
    <n v="38"/>
    <n v="0.43"/>
    <n v="16.34"/>
    <n v="2.5299999999999994"/>
    <x v="1"/>
    <x v="6"/>
    <x v="5"/>
  </r>
  <r>
    <s v="CLM100338"/>
    <s v="PT12681"/>
    <s v="P02"/>
    <x v="3"/>
    <x v="3"/>
    <n v="5"/>
    <d v="2025-10-19T00:00:00"/>
    <d v="2025-10-26T00:00:00"/>
    <n v="7391.77"/>
    <n v="3295.2"/>
    <n v="3295.2"/>
    <n v="0"/>
    <s v="Paid"/>
    <s v=""/>
    <d v="2025-11-27T00:00:00"/>
    <d v="2025-11-27T00:00:00"/>
    <n v="1450"/>
    <n v="0.43"/>
    <n v="3117.5"/>
    <n v="-177.69999999999982"/>
    <x v="0"/>
    <x v="6"/>
    <x v="9"/>
  </r>
  <r>
    <s v="CLM100339"/>
    <s v="PT12932"/>
    <s v="P02"/>
    <x v="3"/>
    <x v="6"/>
    <n v="1"/>
    <d v="2025-10-28T00:00:00"/>
    <d v="2025-11-05T00:00:00"/>
    <n v="427.98"/>
    <n v="198.18"/>
    <n v="178.36"/>
    <n v="19.82"/>
    <s v="Paid"/>
    <s v=""/>
    <d v="2025-11-24T00:00:00"/>
    <d v="2025-11-24T00:00:00"/>
    <n v="420"/>
    <n v="0.43"/>
    <n v="180.6"/>
    <n v="-17.580000000000013"/>
    <x v="0"/>
    <x v="6"/>
    <x v="9"/>
  </r>
  <r>
    <s v="CLM100340"/>
    <s v="PT12875"/>
    <s v="P05"/>
    <x v="0"/>
    <x v="0"/>
    <n v="1"/>
    <d v="2026-01-22T00:00:00"/>
    <d v="2026-01-24T00:00:00"/>
    <n v="140.66999999999999"/>
    <n v="58.83"/>
    <n v="52.95"/>
    <n v="5.88"/>
    <s v="Paid"/>
    <s v=""/>
    <d v="2026-03-02T00:00:00"/>
    <d v="2026-03-02T00:00:00"/>
    <n v="145"/>
    <n v="0.38"/>
    <n v="55.1"/>
    <n v="-3.7299999999999969"/>
    <x v="0"/>
    <x v="0"/>
    <x v="5"/>
  </r>
  <r>
    <s v="CLM100341"/>
    <s v="PT12935"/>
    <s v="P03"/>
    <x v="1"/>
    <x v="7"/>
    <n v="1"/>
    <d v="2026-04-28T00:00:00"/>
    <d v="2026-05-02T00:00:00"/>
    <n v="205.05"/>
    <m/>
    <m/>
    <m/>
    <s v="Denied"/>
    <s v="CO-50"/>
    <d v="2026-05-24T00:00:00"/>
    <m/>
    <n v="210"/>
    <n v="0.47"/>
    <n v="98.7"/>
    <s v=""/>
    <x v="2"/>
    <x v="4"/>
    <x v="10"/>
  </r>
  <r>
    <s v="CLM100342"/>
    <s v="PT12266"/>
    <s v="P01"/>
    <x v="2"/>
    <x v="0"/>
    <n v="1"/>
    <d v="2026-05-19T00:00:00"/>
    <d v="2026-05-23T00:00:00"/>
    <n v="144.63"/>
    <n v="55.05"/>
    <n v="55.05"/>
    <n v="0"/>
    <s v="Paid"/>
    <s v=""/>
    <d v="2026-06-23T00:00:00"/>
    <d v="2026-06-23T00:00:00"/>
    <n v="145"/>
    <n v="0.45"/>
    <n v="65.25"/>
    <n v="10.200000000000003"/>
    <x v="1"/>
    <x v="5"/>
    <x v="7"/>
  </r>
  <r>
    <s v="CLM100343"/>
    <s v="PT11318"/>
    <s v="P03"/>
    <x v="2"/>
    <x v="0"/>
    <n v="1"/>
    <d v="2026-06-18T00:00:00"/>
    <d v="2026-06-28T00:00:00"/>
    <n v="147.44999999999999"/>
    <m/>
    <m/>
    <m/>
    <s v="Denied"/>
    <s v="CO-11"/>
    <d v="2026-08-01T00:00:00"/>
    <m/>
    <n v="145"/>
    <n v="0.47"/>
    <n v="68.150000000000006"/>
    <s v=""/>
    <x v="2"/>
    <x v="4"/>
    <x v="11"/>
  </r>
  <r>
    <s v="CLM100344"/>
    <s v="PT13453"/>
    <s v="P05"/>
    <x v="2"/>
    <x v="0"/>
    <n v="1"/>
    <d v="2026-02-18T00:00:00"/>
    <d v="2026-02-20T00:00:00"/>
    <n v="144.11000000000001"/>
    <n v="48.92"/>
    <n v="44.03"/>
    <n v="4.8899999999999997"/>
    <s v="Paid"/>
    <s v=""/>
    <d v="2026-03-26T00:00:00"/>
    <d v="2026-03-26T00:00:00"/>
    <n v="145"/>
    <n v="0.38"/>
    <n v="55.1"/>
    <n v="6.18"/>
    <x v="1"/>
    <x v="0"/>
    <x v="0"/>
  </r>
  <r>
    <s v="CLM100345"/>
    <s v="PT12063"/>
    <s v="P05"/>
    <x v="3"/>
    <x v="6"/>
    <n v="1"/>
    <d v="2026-07-11T00:00:00"/>
    <d v="2026-07-12T00:00:00"/>
    <n v="423.34"/>
    <n v="151.38"/>
    <n v="151.38"/>
    <n v="0"/>
    <s v="Paid"/>
    <s v=""/>
    <d v="2026-08-19T00:00:00"/>
    <d v="2026-08-19T00:00:00"/>
    <n v="420"/>
    <n v="0.38"/>
    <n v="159.6"/>
    <n v="8.2199999999999989"/>
    <x v="1"/>
    <x v="0"/>
    <x v="1"/>
  </r>
  <r>
    <s v="CLM100346"/>
    <s v="PT13470"/>
    <s v="P05"/>
    <x v="0"/>
    <x v="8"/>
    <n v="1"/>
    <d v="2026-03-30T00:00:00"/>
    <d v="2026-04-03T00:00:00"/>
    <n v="260.97000000000003"/>
    <n v="106.35"/>
    <n v="95.72"/>
    <n v="10.63"/>
    <s v="Paid"/>
    <s v=""/>
    <d v="2026-06-13T00:00:00"/>
    <d v="2026-06-13T00:00:00"/>
    <n v="260"/>
    <n v="0.38"/>
    <n v="98.8"/>
    <n v="-7.5499999999999972"/>
    <x v="0"/>
    <x v="0"/>
    <x v="2"/>
  </r>
  <r>
    <s v="CLM100347"/>
    <s v="PT10599"/>
    <s v="P03"/>
    <x v="0"/>
    <x v="0"/>
    <n v="1"/>
    <d v="2025-10-13T00:00:00"/>
    <d v="2025-10-14T00:00:00"/>
    <n v="143.96"/>
    <m/>
    <m/>
    <m/>
    <s v="Denied"/>
    <s v="CO-16"/>
    <d v="2025-12-18T00:00:00"/>
    <m/>
    <n v="145"/>
    <n v="0.47"/>
    <n v="68.150000000000006"/>
    <s v=""/>
    <x v="2"/>
    <x v="4"/>
    <x v="9"/>
  </r>
  <r>
    <s v="CLM100348"/>
    <s v="PT10918"/>
    <s v="P01"/>
    <x v="3"/>
    <x v="6"/>
    <n v="1"/>
    <d v="2026-07-05T00:00:00"/>
    <d v="2026-07-12T00:00:00"/>
    <n v="408.21"/>
    <m/>
    <m/>
    <m/>
    <s v="Denied"/>
    <s v="CO-11"/>
    <d v="2026-08-07T00:00:00"/>
    <m/>
    <n v="420"/>
    <n v="0.45"/>
    <n v="189"/>
    <s v=""/>
    <x v="2"/>
    <x v="5"/>
    <x v="1"/>
  </r>
  <r>
    <s v="CLM100349"/>
    <s v="PT11280"/>
    <s v="P03"/>
    <x v="0"/>
    <x v="7"/>
    <n v="1"/>
    <d v="2026-09-22T00:00:00"/>
    <d v="2026-09-27T00:00:00"/>
    <n v="207.32"/>
    <m/>
    <m/>
    <m/>
    <s v="Pending"/>
    <s v=""/>
    <m/>
    <m/>
    <n v="210"/>
    <n v="0.47"/>
    <n v="98.7"/>
    <s v=""/>
    <x v="2"/>
    <x v="4"/>
    <x v="8"/>
  </r>
  <r>
    <s v="CLM100350"/>
    <s v="PT13092"/>
    <s v="P01"/>
    <x v="2"/>
    <x v="2"/>
    <n v="1"/>
    <d v="2026-02-06T00:00:00"/>
    <d v="2026-02-13T00:00:00"/>
    <n v="62.45"/>
    <n v="31.7"/>
    <n v="28.53"/>
    <n v="3.17"/>
    <s v="Paid"/>
    <s v=""/>
    <d v="2026-03-06T00:00:00"/>
    <d v="2026-03-06T00:00:00"/>
    <n v="62"/>
    <n v="0.45"/>
    <n v="27.9"/>
    <n v="-3.8000000000000007"/>
    <x v="0"/>
    <x v="5"/>
    <x v="0"/>
  </r>
  <r>
    <s v="CLM100351"/>
    <s v="PT10166"/>
    <s v="P05"/>
    <x v="0"/>
    <x v="7"/>
    <n v="1"/>
    <d v="2026-01-08T00:00:00"/>
    <d v="2026-01-09T00:00:00"/>
    <n v="207.41"/>
    <n v="71.61"/>
    <n v="57.29"/>
    <n v="14.32"/>
    <s v="Paid"/>
    <s v=""/>
    <d v="2026-03-10T00:00:00"/>
    <d v="2026-03-10T00:00:00"/>
    <n v="210"/>
    <n v="0.38"/>
    <n v="79.8"/>
    <n v="8.1899999999999977"/>
    <x v="1"/>
    <x v="0"/>
    <x v="5"/>
  </r>
  <r>
    <s v="CLM100352"/>
    <s v="PT10629"/>
    <s v="P01"/>
    <x v="0"/>
    <x v="8"/>
    <n v="1"/>
    <d v="2026-07-27T00:00:00"/>
    <d v="2026-07-28T00:00:00"/>
    <n v="265.39999999999998"/>
    <n v="135.69"/>
    <n v="135.69"/>
    <n v="0"/>
    <s v="Paid"/>
    <s v=""/>
    <d v="2026-09-02T00:00:00"/>
    <d v="2026-09-02T00:00:00"/>
    <n v="260"/>
    <n v="0.45"/>
    <n v="117"/>
    <n v="-18.689999999999998"/>
    <x v="0"/>
    <x v="5"/>
    <x v="1"/>
  </r>
  <r>
    <s v="CLM100353"/>
    <s v="PT10753"/>
    <s v="P01"/>
    <x v="2"/>
    <x v="0"/>
    <n v="1"/>
    <d v="2026-08-17T00:00:00"/>
    <d v="2026-08-22T00:00:00"/>
    <n v="146.01"/>
    <n v="62.8"/>
    <n v="62.8"/>
    <n v="0"/>
    <s v="Paid"/>
    <s v=""/>
    <d v="2026-09-20T00:00:00"/>
    <d v="2026-09-20T00:00:00"/>
    <n v="145"/>
    <n v="0.45"/>
    <n v="65.25"/>
    <n v="2.4500000000000028"/>
    <x v="0"/>
    <x v="5"/>
    <x v="4"/>
  </r>
  <r>
    <s v="CLM100354"/>
    <s v="PT11477"/>
    <s v="P03"/>
    <x v="0"/>
    <x v="7"/>
    <n v="1"/>
    <d v="2026-07-02T00:00:00"/>
    <d v="2026-07-04T00:00:00"/>
    <n v="208.78"/>
    <n v="103.66"/>
    <n v="93.29"/>
    <n v="10.37"/>
    <s v="Paid"/>
    <s v=""/>
    <d v="2026-08-06T00:00:00"/>
    <d v="2026-08-06T00:00:00"/>
    <n v="210"/>
    <n v="0.47"/>
    <n v="98.7"/>
    <n v="-4.9599999999999937"/>
    <x v="0"/>
    <x v="4"/>
    <x v="1"/>
  </r>
  <r>
    <s v="CLM100355"/>
    <s v="PT10163"/>
    <s v="P04"/>
    <x v="1"/>
    <x v="5"/>
    <n v="1"/>
    <d v="2026-06-01T00:00:00"/>
    <d v="2026-06-08T00:00:00"/>
    <n v="4943.03"/>
    <n v="1507.56"/>
    <n v="1507.56"/>
    <n v="0"/>
    <s v="Paid"/>
    <s v=""/>
    <d v="2026-06-23T00:00:00"/>
    <d v="2026-06-23T00:00:00"/>
    <n v="4800"/>
    <n v="0.36"/>
    <n v="1728"/>
    <n v="220.44000000000005"/>
    <x v="1"/>
    <x v="1"/>
    <x v="11"/>
  </r>
  <r>
    <s v="CLM100356"/>
    <s v="PT12106"/>
    <s v="P02"/>
    <x v="3"/>
    <x v="6"/>
    <n v="1"/>
    <d v="2025-11-28T00:00:00"/>
    <d v="2025-12-02T00:00:00"/>
    <n v="417.12"/>
    <n v="201.14"/>
    <n v="181.03"/>
    <n v="20.11"/>
    <s v="Paid"/>
    <s v=""/>
    <d v="2025-12-24T00:00:00"/>
    <d v="2025-12-24T00:00:00"/>
    <n v="420"/>
    <n v="0.43"/>
    <n v="180.6"/>
    <n v="-20.539999999999992"/>
    <x v="0"/>
    <x v="6"/>
    <x v="3"/>
  </r>
  <r>
    <s v="CLM100357"/>
    <s v="PT12745"/>
    <s v="P03"/>
    <x v="2"/>
    <x v="9"/>
    <n v="4"/>
    <d v="2026-03-01T00:00:00"/>
    <d v="2026-03-04T00:00:00"/>
    <n v="227.72"/>
    <m/>
    <m/>
    <m/>
    <s v="Denied"/>
    <s v="CO-50"/>
    <d v="2026-04-22T00:00:00"/>
    <m/>
    <n v="58"/>
    <n v="0.47"/>
    <n v="109.04"/>
    <s v=""/>
    <x v="2"/>
    <x v="4"/>
    <x v="2"/>
  </r>
  <r>
    <s v="CLM100358"/>
    <s v="PT12648"/>
    <s v="P03"/>
    <x v="1"/>
    <x v="4"/>
    <n v="1"/>
    <d v="2025-11-23T00:00:00"/>
    <d v="2025-12-01T00:00:00"/>
    <n v="37.33"/>
    <n v="18.96"/>
    <n v="15.17"/>
    <n v="3.79"/>
    <s v="Paid"/>
    <s v=""/>
    <d v="2026-01-15T00:00:00"/>
    <d v="2026-01-15T00:00:00"/>
    <n v="38"/>
    <n v="0.47"/>
    <n v="17.86"/>
    <n v="-1.1000000000000014"/>
    <x v="0"/>
    <x v="4"/>
    <x v="3"/>
  </r>
  <r>
    <s v="CLM100359"/>
    <s v="PT11059"/>
    <s v="P05"/>
    <x v="2"/>
    <x v="2"/>
    <n v="1"/>
    <d v="2025-12-18T00:00:00"/>
    <d v="2026-03-26T00:00:00"/>
    <n v="61.85"/>
    <m/>
    <m/>
    <m/>
    <s v="Denied"/>
    <s v="CO-29"/>
    <d v="2026-06-12T00:00:00"/>
    <m/>
    <n v="62"/>
    <n v="0.38"/>
    <n v="23.56"/>
    <s v=""/>
    <x v="2"/>
    <x v="0"/>
    <x v="6"/>
  </r>
  <r>
    <s v="CLM100360"/>
    <s v="PT13096"/>
    <s v="P04"/>
    <x v="0"/>
    <x v="4"/>
    <n v="1"/>
    <d v="2026-05-10T00:00:00"/>
    <d v="2026-05-12T00:00:00"/>
    <n v="37.58"/>
    <n v="11.45"/>
    <n v="11.45"/>
    <n v="0"/>
    <s v="Paid"/>
    <s v=""/>
    <d v="2026-06-03T00:00:00"/>
    <d v="2026-06-03T00:00:00"/>
    <n v="38"/>
    <n v="0.36"/>
    <n v="13.68"/>
    <n v="2.2300000000000004"/>
    <x v="1"/>
    <x v="1"/>
    <x v="7"/>
  </r>
  <r>
    <s v="CLM100361"/>
    <s v="PT11562"/>
    <s v="P05"/>
    <x v="3"/>
    <x v="3"/>
    <n v="20"/>
    <d v="2025-11-07T00:00:00"/>
    <d v="2025-11-08T00:00:00"/>
    <n v="29744.799999999999"/>
    <n v="10674.24"/>
    <n v="8539.39"/>
    <n v="2134.85"/>
    <s v="Paid"/>
    <s v=""/>
    <d v="2026-01-21T00:00:00"/>
    <d v="2026-01-21T00:00:00"/>
    <n v="1450"/>
    <n v="0.38"/>
    <n v="11020"/>
    <n v="345.76000000000022"/>
    <x v="0"/>
    <x v="0"/>
    <x v="3"/>
  </r>
  <r>
    <s v="CLM100362"/>
    <s v="PT12597"/>
    <s v="P03"/>
    <x v="0"/>
    <x v="0"/>
    <n v="1"/>
    <d v="2026-07-01T00:00:00"/>
    <d v="2026-07-07T00:00:00"/>
    <n v="142.56"/>
    <n v="74.680000000000007"/>
    <n v="67.209999999999994"/>
    <n v="7.47"/>
    <s v="Paid"/>
    <s v=""/>
    <d v="2026-09-01T00:00:00"/>
    <d v="2026-09-01T00:00:00"/>
    <n v="145"/>
    <n v="0.47"/>
    <n v="68.150000000000006"/>
    <n v="-6.5300000000000011"/>
    <x v="0"/>
    <x v="4"/>
    <x v="1"/>
  </r>
  <r>
    <s v="CLM100363"/>
    <s v="PT12443"/>
    <s v="P07"/>
    <x v="1"/>
    <x v="4"/>
    <n v="1"/>
    <d v="2026-08-28T00:00:00"/>
    <d v="2026-09-09T00:00:00"/>
    <n v="37.71"/>
    <m/>
    <m/>
    <m/>
    <s v="Pending"/>
    <s v=""/>
    <m/>
    <m/>
    <n v="38"/>
    <n v="0.28000000000000003"/>
    <n v="10.64"/>
    <s v=""/>
    <x v="2"/>
    <x v="3"/>
    <x v="4"/>
  </r>
  <r>
    <s v="CLM100364"/>
    <s v="PT10904"/>
    <s v="P02"/>
    <x v="0"/>
    <x v="0"/>
    <n v="1"/>
    <d v="2026-03-26T00:00:00"/>
    <d v="2026-04-05T00:00:00"/>
    <n v="142.49"/>
    <n v="54.14"/>
    <n v="54.14"/>
    <n v="0"/>
    <s v="Paid"/>
    <s v=""/>
    <d v="2026-05-07T00:00:00"/>
    <d v="2026-05-07T00:00:00"/>
    <n v="145"/>
    <n v="0.43"/>
    <n v="62.35"/>
    <n v="8.2100000000000009"/>
    <x v="1"/>
    <x v="6"/>
    <x v="2"/>
  </r>
  <r>
    <s v="CLM100365"/>
    <s v="PT10299"/>
    <s v="P01"/>
    <x v="0"/>
    <x v="8"/>
    <n v="1"/>
    <d v="2026-01-01T00:00:00"/>
    <d v="2026-01-05T00:00:00"/>
    <n v="262.67"/>
    <m/>
    <m/>
    <m/>
    <s v="Denied"/>
    <s v="CO-11"/>
    <d v="2026-01-21T00:00:00"/>
    <m/>
    <n v="260"/>
    <n v="0.45"/>
    <n v="117"/>
    <s v=""/>
    <x v="2"/>
    <x v="5"/>
    <x v="5"/>
  </r>
  <r>
    <s v="CLM100366"/>
    <s v="PT11301"/>
    <s v="P02"/>
    <x v="0"/>
    <x v="8"/>
    <n v="1"/>
    <d v="2026-09-09T00:00:00"/>
    <d v="2026-09-10T00:00:00"/>
    <n v="262.43"/>
    <m/>
    <m/>
    <m/>
    <s v="Pending"/>
    <s v=""/>
    <m/>
    <m/>
    <n v="260"/>
    <n v="0.43"/>
    <n v="111.8"/>
    <s v=""/>
    <x v="2"/>
    <x v="6"/>
    <x v="8"/>
  </r>
  <r>
    <s v="CLM100367"/>
    <s v="PT11008"/>
    <s v="P04"/>
    <x v="0"/>
    <x v="8"/>
    <n v="1"/>
    <d v="2026-03-06T00:00:00"/>
    <d v="2026-03-07T00:00:00"/>
    <n v="263.02"/>
    <n v="103.75"/>
    <n v="93.37"/>
    <n v="10.38"/>
    <s v="Paid"/>
    <s v=""/>
    <d v="2026-03-28T00:00:00"/>
    <d v="2026-03-28T00:00:00"/>
    <n v="260"/>
    <n v="0.36"/>
    <n v="93.6"/>
    <n v="-10.150000000000006"/>
    <x v="0"/>
    <x v="1"/>
    <x v="2"/>
  </r>
  <r>
    <s v="CLM100368"/>
    <s v="PT11895"/>
    <s v="P05"/>
    <x v="3"/>
    <x v="7"/>
    <n v="1"/>
    <d v="2026-05-12T00:00:00"/>
    <d v="2026-05-14T00:00:00"/>
    <n v="207.19"/>
    <n v="75.099999999999994"/>
    <n v="60.08"/>
    <n v="15.02"/>
    <s v="Paid"/>
    <s v=""/>
    <d v="2026-07-02T00:00:00"/>
    <d v="2026-07-02T00:00:00"/>
    <n v="210"/>
    <n v="0.38"/>
    <n v="79.8"/>
    <n v="4.7000000000000028"/>
    <x v="1"/>
    <x v="0"/>
    <x v="7"/>
  </r>
  <r>
    <s v="CLM100369"/>
    <s v="PT13004"/>
    <s v="P03"/>
    <x v="0"/>
    <x v="8"/>
    <n v="1"/>
    <d v="2025-11-25T00:00:00"/>
    <d v="2025-11-29T00:00:00"/>
    <n v="254.94"/>
    <n v="133.9"/>
    <n v="120.51"/>
    <n v="13.39"/>
    <s v="Paid"/>
    <s v=""/>
    <d v="2026-01-23T00:00:00"/>
    <d v="2026-01-23T00:00:00"/>
    <n v="260"/>
    <n v="0.47"/>
    <n v="122.2"/>
    <n v="-11.700000000000003"/>
    <x v="0"/>
    <x v="4"/>
    <x v="3"/>
  </r>
  <r>
    <s v="CLM100370"/>
    <s v="PT12259"/>
    <s v="P05"/>
    <x v="2"/>
    <x v="2"/>
    <n v="3"/>
    <d v="2025-10-10T00:00:00"/>
    <d v="2025-10-17T00:00:00"/>
    <n v="187.47"/>
    <n v="65.3"/>
    <n v="65.3"/>
    <n v="0"/>
    <s v="Paid"/>
    <s v=""/>
    <d v="2025-12-22T00:00:00"/>
    <d v="2025-12-22T00:00:00"/>
    <n v="62"/>
    <n v="0.38"/>
    <n v="70.680000000000007"/>
    <n v="5.3800000000000097"/>
    <x v="1"/>
    <x v="0"/>
    <x v="9"/>
  </r>
  <r>
    <s v="CLM100371"/>
    <s v="PT11625"/>
    <s v="P03"/>
    <x v="1"/>
    <x v="1"/>
    <n v="1"/>
    <d v="2025-12-16T00:00:00"/>
    <d v="2025-12-18T00:00:00"/>
    <n v="238.07"/>
    <n v="120.65"/>
    <n v="120.65"/>
    <n v="0"/>
    <s v="Paid"/>
    <s v=""/>
    <d v="2026-01-28T00:00:00"/>
    <d v="2026-01-28T00:00:00"/>
    <n v="240"/>
    <n v="0.47"/>
    <n v="112.8"/>
    <n v="-7.8500000000000085"/>
    <x v="0"/>
    <x v="4"/>
    <x v="6"/>
  </r>
  <r>
    <s v="CLM100372"/>
    <s v="PT13014"/>
    <s v="P04"/>
    <x v="0"/>
    <x v="0"/>
    <n v="1"/>
    <d v="2026-08-11T00:00:00"/>
    <d v="2026-08-17T00:00:00"/>
    <n v="146.6"/>
    <n v="47.18"/>
    <n v="47.18"/>
    <n v="0"/>
    <s v="Paid"/>
    <s v=""/>
    <d v="2026-09-09T00:00:00"/>
    <d v="2026-09-09T00:00:00"/>
    <n v="145"/>
    <n v="0.36"/>
    <n v="52.2"/>
    <n v="5.0200000000000031"/>
    <x v="1"/>
    <x v="1"/>
    <x v="4"/>
  </r>
  <r>
    <s v="CLM100373"/>
    <s v="PT11923"/>
    <s v="P01"/>
    <x v="3"/>
    <x v="6"/>
    <n v="1"/>
    <d v="2026-06-07T00:00:00"/>
    <d v="2026-06-09T00:00:00"/>
    <n v="413.24"/>
    <n v="195.71"/>
    <n v="156.57"/>
    <n v="39.14"/>
    <s v="Paid"/>
    <s v=""/>
    <d v="2026-06-22T00:00:00"/>
    <d v="2026-06-22T00:00:00"/>
    <n v="420"/>
    <n v="0.45"/>
    <n v="189"/>
    <n v="-6.710000000000008"/>
    <x v="0"/>
    <x v="5"/>
    <x v="11"/>
  </r>
  <r>
    <s v="CLM100374"/>
    <s v="PT12370"/>
    <s v="P01"/>
    <x v="2"/>
    <x v="2"/>
    <n v="1"/>
    <d v="2026-08-29T00:00:00"/>
    <d v="2026-09-12T00:00:00"/>
    <n v="60.52"/>
    <m/>
    <m/>
    <m/>
    <s v="Pending"/>
    <s v=""/>
    <m/>
    <m/>
    <n v="62"/>
    <n v="0.45"/>
    <n v="27.9"/>
    <s v=""/>
    <x v="2"/>
    <x v="5"/>
    <x v="4"/>
  </r>
  <r>
    <s v="CLM100375"/>
    <s v="PT11445"/>
    <s v="P02"/>
    <x v="0"/>
    <x v="7"/>
    <n v="1"/>
    <d v="2026-04-12T00:00:00"/>
    <d v="2026-04-17T00:00:00"/>
    <n v="208.3"/>
    <n v="89.51"/>
    <n v="71.61"/>
    <n v="17.899999999999999"/>
    <s v="Paid"/>
    <s v=""/>
    <d v="2026-05-04T00:00:00"/>
    <d v="2026-05-04T00:00:00"/>
    <n v="210"/>
    <n v="0.43"/>
    <n v="90.3"/>
    <n v="0.78999999999999204"/>
    <x v="0"/>
    <x v="6"/>
    <x v="10"/>
  </r>
  <r>
    <s v="CLM100376"/>
    <s v="PT10866"/>
    <s v="P03"/>
    <x v="2"/>
    <x v="9"/>
    <n v="3"/>
    <d v="2026-06-04T00:00:00"/>
    <d v="2026-06-13T00:00:00"/>
    <n v="168.85"/>
    <n v="80.14"/>
    <n v="72.13"/>
    <n v="8.01"/>
    <s v="Paid"/>
    <s v=""/>
    <d v="2026-08-17T00:00:00"/>
    <d v="2026-08-17T00:00:00"/>
    <n v="58"/>
    <n v="0.47"/>
    <n v="81.78"/>
    <n v="1.6400000000000006"/>
    <x v="0"/>
    <x v="4"/>
    <x v="11"/>
  </r>
  <r>
    <s v="CLM100377"/>
    <s v="PT12651"/>
    <s v="P02"/>
    <x v="1"/>
    <x v="7"/>
    <n v="1"/>
    <d v="2025-11-30T00:00:00"/>
    <d v="2025-12-03T00:00:00"/>
    <n v="212.03"/>
    <n v="79.739999999999995"/>
    <n v="79.739999999999995"/>
    <n v="0"/>
    <s v="Paid"/>
    <s v=""/>
    <d v="2025-12-30T00:00:00"/>
    <d v="2025-12-30T00:00:00"/>
    <n v="210"/>
    <n v="0.43"/>
    <n v="90.3"/>
    <n v="10.560000000000002"/>
    <x v="1"/>
    <x v="6"/>
    <x v="3"/>
  </r>
  <r>
    <s v="CLM100378"/>
    <s v="PT11057"/>
    <s v="P02"/>
    <x v="2"/>
    <x v="2"/>
    <n v="3"/>
    <d v="2025-12-05T00:00:00"/>
    <d v="2025-12-06T00:00:00"/>
    <n v="187.03"/>
    <n v="71.17"/>
    <n v="71.17"/>
    <n v="0"/>
    <s v="Paid"/>
    <s v=""/>
    <d v="2025-12-28T00:00:00"/>
    <d v="2025-12-28T00:00:00"/>
    <n v="62"/>
    <n v="0.43"/>
    <n v="79.98"/>
    <n v="8.8100000000000023"/>
    <x v="1"/>
    <x v="6"/>
    <x v="6"/>
  </r>
  <r>
    <s v="CLM100379"/>
    <s v="PT10887"/>
    <s v="P08"/>
    <x v="2"/>
    <x v="0"/>
    <n v="1"/>
    <d v="2026-08-03T00:00:00"/>
    <d v="2026-08-08T00:00:00"/>
    <n v="149.08000000000001"/>
    <m/>
    <m/>
    <m/>
    <s v="Pending"/>
    <s v=""/>
    <m/>
    <m/>
    <n v="145"/>
    <n v="1"/>
    <n v="145"/>
    <s v=""/>
    <x v="2"/>
    <x v="7"/>
    <x v="4"/>
  </r>
  <r>
    <s v="CLM100380"/>
    <s v="PT12552"/>
    <s v="P07"/>
    <x v="0"/>
    <x v="4"/>
    <n v="1"/>
    <d v="2025-12-27T00:00:00"/>
    <d v="2025-12-30T00:00:00"/>
    <n v="37.36"/>
    <m/>
    <m/>
    <m/>
    <s v="Denied"/>
    <s v="CO-4"/>
    <d v="2026-01-19T00:00:00"/>
    <m/>
    <n v="38"/>
    <n v="0.28000000000000003"/>
    <n v="10.64"/>
    <s v=""/>
    <x v="2"/>
    <x v="3"/>
    <x v="6"/>
  </r>
  <r>
    <s v="CLM100381"/>
    <s v="PT13385"/>
    <s v="P05"/>
    <x v="1"/>
    <x v="4"/>
    <n v="1"/>
    <d v="2026-05-21T00:00:00"/>
    <d v="2026-05-22T00:00:00"/>
    <n v="38.22"/>
    <n v="12.95"/>
    <n v="10.36"/>
    <n v="2.59"/>
    <s v="Paid"/>
    <s v=""/>
    <d v="2026-07-31T00:00:00"/>
    <d v="2026-07-31T00:00:00"/>
    <n v="38"/>
    <n v="0.38"/>
    <n v="14.44"/>
    <n v="1.4900000000000002"/>
    <x v="1"/>
    <x v="0"/>
    <x v="7"/>
  </r>
  <r>
    <s v="CLM100382"/>
    <s v="PT11975"/>
    <s v="P01"/>
    <x v="1"/>
    <x v="8"/>
    <n v="1"/>
    <d v="2026-08-11T00:00:00"/>
    <d v="2026-08-20T00:00:00"/>
    <n v="261.56"/>
    <n v="126.94"/>
    <n v="126.94"/>
    <n v="0"/>
    <s v="Paid"/>
    <s v=""/>
    <d v="2026-09-18T00:00:00"/>
    <d v="2026-09-18T00:00:00"/>
    <n v="260"/>
    <n v="0.45"/>
    <n v="117"/>
    <n v="-9.9399999999999977"/>
    <x v="0"/>
    <x v="5"/>
    <x v="4"/>
  </r>
  <r>
    <s v="CLM100383"/>
    <s v="PT10939"/>
    <s v="P04"/>
    <x v="3"/>
    <x v="7"/>
    <n v="1"/>
    <d v="2025-10-01T00:00:00"/>
    <d v="2025-10-07T00:00:00"/>
    <n v="215"/>
    <n v="77.930000000000007"/>
    <n v="62.34"/>
    <n v="15.59"/>
    <s v="Paid"/>
    <s v=""/>
    <d v="2025-10-23T00:00:00"/>
    <d v="2025-10-23T00:00:00"/>
    <n v="210"/>
    <n v="0.36"/>
    <n v="75.599999999999994"/>
    <n v="-2.3300000000000125"/>
    <x v="0"/>
    <x v="1"/>
    <x v="9"/>
  </r>
  <r>
    <s v="CLM100384"/>
    <s v="PT11042"/>
    <s v="P06"/>
    <x v="2"/>
    <x v="9"/>
    <n v="1"/>
    <d v="2026-04-14T00:00:00"/>
    <d v="2026-04-20T00:00:00"/>
    <n v="58.31"/>
    <n v="13.77"/>
    <n v="13.77"/>
    <n v="0"/>
    <s v="Paid"/>
    <s v=""/>
    <d v="2026-06-01T00:00:00"/>
    <d v="2026-06-01T00:00:00"/>
    <n v="58"/>
    <n v="0.27"/>
    <n v="15.66"/>
    <n v="1.8900000000000006"/>
    <x v="1"/>
    <x v="2"/>
    <x v="10"/>
  </r>
  <r>
    <s v="CLM100385"/>
    <s v="PT12128"/>
    <s v="P07"/>
    <x v="0"/>
    <x v="7"/>
    <n v="1"/>
    <d v="2025-11-12T00:00:00"/>
    <d v="2025-11-21T00:00:00"/>
    <n v="207.27"/>
    <n v="52.23"/>
    <n v="52.23"/>
    <n v="0"/>
    <s v="Paid"/>
    <s v=""/>
    <d v="2026-01-12T00:00:00"/>
    <d v="2026-01-12T00:00:00"/>
    <n v="210"/>
    <n v="0.28000000000000003"/>
    <n v="58.8"/>
    <n v="6.57"/>
    <x v="1"/>
    <x v="3"/>
    <x v="3"/>
  </r>
  <r>
    <s v="CLM100386"/>
    <s v="PT12195"/>
    <s v="P01"/>
    <x v="1"/>
    <x v="4"/>
    <n v="1"/>
    <d v="2026-03-11T00:00:00"/>
    <d v="2026-03-12T00:00:00"/>
    <n v="37.79"/>
    <n v="17.46"/>
    <n v="15.71"/>
    <n v="1.75"/>
    <s v="Paid"/>
    <s v=""/>
    <d v="2026-03-25T00:00:00"/>
    <d v="2026-03-25T00:00:00"/>
    <n v="38"/>
    <n v="0.45"/>
    <n v="17.100000000000001"/>
    <n v="-0.35999999999999943"/>
    <x v="0"/>
    <x v="5"/>
    <x v="2"/>
  </r>
  <r>
    <s v="CLM100387"/>
    <s v="PT11981"/>
    <s v="P04"/>
    <x v="0"/>
    <x v="8"/>
    <n v="1"/>
    <d v="2026-09-14T00:00:00"/>
    <d v="2026-09-15T00:00:00"/>
    <n v="258.39999999999998"/>
    <m/>
    <m/>
    <m/>
    <s v="Pending"/>
    <s v=""/>
    <m/>
    <m/>
    <n v="260"/>
    <n v="0.36"/>
    <n v="93.6"/>
    <s v=""/>
    <x v="2"/>
    <x v="1"/>
    <x v="8"/>
  </r>
  <r>
    <s v="CLM100388"/>
    <s v="PT10941"/>
    <s v="P04"/>
    <x v="1"/>
    <x v="11"/>
    <n v="1"/>
    <d v="2026-09-27T00:00:00"/>
    <d v="2026-09-28T00:00:00"/>
    <n v="1142.97"/>
    <m/>
    <m/>
    <m/>
    <s v="Pending"/>
    <s v=""/>
    <m/>
    <m/>
    <n v="1150"/>
    <n v="0.36"/>
    <n v="414"/>
    <s v=""/>
    <x v="2"/>
    <x v="1"/>
    <x v="8"/>
  </r>
  <r>
    <s v="CLM100389"/>
    <s v="PT13294"/>
    <s v="P01"/>
    <x v="0"/>
    <x v="7"/>
    <n v="1"/>
    <d v="2026-06-18T00:00:00"/>
    <d v="2026-06-20T00:00:00"/>
    <n v="208.75"/>
    <n v="99.7"/>
    <n v="99.7"/>
    <n v="0"/>
    <s v="Paid"/>
    <s v=""/>
    <d v="2026-07-16T00:00:00"/>
    <d v="2026-07-16T00:00:00"/>
    <n v="210"/>
    <n v="0.45"/>
    <n v="94.5"/>
    <n v="-5.2000000000000028"/>
    <x v="0"/>
    <x v="5"/>
    <x v="11"/>
  </r>
  <r>
    <s v="CLM100390"/>
    <s v="PT12967"/>
    <s v="P03"/>
    <x v="1"/>
    <x v="7"/>
    <n v="1"/>
    <d v="2026-08-04T00:00:00"/>
    <d v="2026-08-05T00:00:00"/>
    <n v="209.19"/>
    <n v="85.93"/>
    <n v="85.93"/>
    <n v="0"/>
    <s v="Paid"/>
    <s v=""/>
    <d v="2026-09-11T00:00:00"/>
    <d v="2026-09-11T00:00:00"/>
    <n v="210"/>
    <n v="0.47"/>
    <n v="98.7"/>
    <n v="12.769999999999996"/>
    <x v="1"/>
    <x v="4"/>
    <x v="4"/>
  </r>
  <r>
    <s v="CLM100391"/>
    <s v="PT13483"/>
    <s v="P04"/>
    <x v="0"/>
    <x v="4"/>
    <n v="1"/>
    <d v="2026-06-24T00:00:00"/>
    <d v="2026-07-08T00:00:00"/>
    <n v="37.51"/>
    <m/>
    <m/>
    <m/>
    <s v="Denied"/>
    <s v="CO-11"/>
    <d v="2026-07-25T00:00:00"/>
    <m/>
    <n v="38"/>
    <n v="0.36"/>
    <n v="13.68"/>
    <s v=""/>
    <x v="2"/>
    <x v="1"/>
    <x v="11"/>
  </r>
  <r>
    <s v="CLM100392"/>
    <s v="PT10644"/>
    <s v="P01"/>
    <x v="2"/>
    <x v="9"/>
    <n v="3"/>
    <d v="2026-08-03T00:00:00"/>
    <d v="2026-08-05T00:00:00"/>
    <n v="174.17"/>
    <m/>
    <m/>
    <m/>
    <s v="Denied"/>
    <s v="CO-16"/>
    <d v="2026-09-02T00:00:00"/>
    <m/>
    <n v="58"/>
    <n v="0.45"/>
    <n v="78.3"/>
    <s v=""/>
    <x v="2"/>
    <x v="5"/>
    <x v="4"/>
  </r>
  <r>
    <s v="CLM100393"/>
    <s v="PT11425"/>
    <s v="P02"/>
    <x v="0"/>
    <x v="4"/>
    <n v="1"/>
    <d v="2026-01-11T00:00:00"/>
    <d v="2026-01-17T00:00:00"/>
    <n v="38.04"/>
    <m/>
    <m/>
    <m/>
    <s v="Denied"/>
    <s v="CO-16"/>
    <d v="2026-02-28T00:00:00"/>
    <m/>
    <n v="38"/>
    <n v="0.43"/>
    <n v="16.34"/>
    <s v=""/>
    <x v="2"/>
    <x v="6"/>
    <x v="5"/>
  </r>
  <r>
    <s v="CLM100394"/>
    <s v="PT12102"/>
    <s v="P01"/>
    <x v="2"/>
    <x v="0"/>
    <n v="1"/>
    <d v="2025-12-29T00:00:00"/>
    <d v="2026-04-21T00:00:00"/>
    <n v="144.19"/>
    <m/>
    <m/>
    <m/>
    <s v="Denied"/>
    <s v="CO-29"/>
    <d v="2026-05-02T00:00:00"/>
    <m/>
    <n v="145"/>
    <n v="0.45"/>
    <n v="65.25"/>
    <s v=""/>
    <x v="2"/>
    <x v="5"/>
    <x v="6"/>
  </r>
  <r>
    <s v="CLM100395"/>
    <s v="PT12403"/>
    <s v="P06"/>
    <x v="2"/>
    <x v="0"/>
    <n v="1"/>
    <d v="2026-07-22T00:00:00"/>
    <d v="2026-07-25T00:00:00"/>
    <n v="142.83000000000001"/>
    <n v="35.479999999999997"/>
    <n v="28.38"/>
    <n v="7.1"/>
    <s v="Paid"/>
    <s v=""/>
    <d v="2026-08-22T00:00:00"/>
    <d v="2026-08-22T00:00:00"/>
    <n v="145"/>
    <n v="0.27"/>
    <n v="39.15"/>
    <n v="3.6700000000000017"/>
    <x v="1"/>
    <x v="2"/>
    <x v="1"/>
  </r>
  <r>
    <s v="CLM100396"/>
    <s v="PT12115"/>
    <s v="P01"/>
    <x v="2"/>
    <x v="9"/>
    <n v="2"/>
    <d v="2025-11-04T00:00:00"/>
    <d v="2025-11-25T00:00:00"/>
    <n v="116.93"/>
    <n v="49.6"/>
    <n v="44.64"/>
    <n v="4.96"/>
    <s v="Paid"/>
    <s v=""/>
    <d v="2026-01-04T00:00:00"/>
    <d v="2026-01-04T00:00:00"/>
    <n v="58"/>
    <n v="0.45"/>
    <n v="52.2"/>
    <n v="2.6000000000000014"/>
    <x v="0"/>
    <x v="5"/>
    <x v="3"/>
  </r>
  <r>
    <s v="CLM100397"/>
    <s v="PT12349"/>
    <s v="P02"/>
    <x v="0"/>
    <x v="8"/>
    <n v="1"/>
    <d v="2025-11-17T00:00:00"/>
    <d v="2025-11-23T00:00:00"/>
    <n v="258.42"/>
    <n v="112.35"/>
    <n v="112.35"/>
    <n v="0"/>
    <s v="Paid"/>
    <s v=""/>
    <d v="2025-12-28T00:00:00"/>
    <d v="2025-12-28T00:00:00"/>
    <n v="260"/>
    <n v="0.43"/>
    <n v="111.8"/>
    <n v="-0.54999999999999716"/>
    <x v="0"/>
    <x v="6"/>
    <x v="3"/>
  </r>
  <r>
    <s v="CLM100398"/>
    <s v="PT10938"/>
    <s v="P05"/>
    <x v="1"/>
    <x v="4"/>
    <n v="1"/>
    <d v="2026-01-06T00:00:00"/>
    <d v="2026-01-07T00:00:00"/>
    <n v="38"/>
    <n v="16.22"/>
    <n v="16.22"/>
    <n v="0"/>
    <s v="Paid"/>
    <s v=""/>
    <d v="2026-03-12T00:00:00"/>
    <d v="2026-03-12T00:00:00"/>
    <n v="38"/>
    <n v="0.38"/>
    <n v="14.44"/>
    <n v="-1.7799999999999994"/>
    <x v="0"/>
    <x v="0"/>
    <x v="5"/>
  </r>
  <r>
    <s v="CLM100399"/>
    <s v="PT13473"/>
    <s v="P06"/>
    <x v="1"/>
    <x v="7"/>
    <n v="1"/>
    <d v="2026-04-01T00:00:00"/>
    <d v="2026-04-02T00:00:00"/>
    <n v="205.67"/>
    <n v="58.57"/>
    <n v="58.57"/>
    <n v="0"/>
    <s v="Paid"/>
    <s v=""/>
    <d v="2026-05-03T00:00:00"/>
    <d v="2026-05-03T00:00:00"/>
    <n v="210"/>
    <n v="0.27"/>
    <n v="56.7"/>
    <n v="-1.8699999999999974"/>
    <x v="0"/>
    <x v="2"/>
    <x v="10"/>
  </r>
  <r>
    <s v="CLM100400"/>
    <s v="PT11629"/>
    <s v="P03"/>
    <x v="0"/>
    <x v="8"/>
    <n v="1"/>
    <d v="2026-07-22T00:00:00"/>
    <d v="2026-07-25T00:00:00"/>
    <n v="265.75"/>
    <n v="141.82"/>
    <n v="127.64"/>
    <n v="14.18"/>
    <s v="Paid"/>
    <s v=""/>
    <d v="2026-08-23T00:00:00"/>
    <d v="2026-08-23T00:00:00"/>
    <n v="260"/>
    <n v="0.47"/>
    <n v="122.2"/>
    <n v="-19.61999999999999"/>
    <x v="0"/>
    <x v="4"/>
    <x v="1"/>
  </r>
  <r>
    <s v="CLM100401"/>
    <s v="PT11872"/>
    <s v="P01"/>
    <x v="1"/>
    <x v="1"/>
    <n v="1"/>
    <d v="2026-06-27T00:00:00"/>
    <d v="2026-06-30T00:00:00"/>
    <n v="244.31"/>
    <n v="110.02"/>
    <n v="110.02"/>
    <n v="0"/>
    <s v="Paid"/>
    <s v=""/>
    <d v="2026-07-17T00:00:00"/>
    <d v="2026-07-17T00:00:00"/>
    <n v="240"/>
    <n v="0.45"/>
    <n v="108"/>
    <n v="-2.019999999999996"/>
    <x v="0"/>
    <x v="5"/>
    <x v="11"/>
  </r>
  <r>
    <s v="CLM100402"/>
    <s v="PT10766"/>
    <s v="P03"/>
    <x v="2"/>
    <x v="0"/>
    <n v="1"/>
    <d v="2026-03-11T00:00:00"/>
    <d v="2026-03-12T00:00:00"/>
    <n v="146.65"/>
    <n v="65.53"/>
    <n v="58.98"/>
    <n v="6.55"/>
    <s v="Paid"/>
    <s v=""/>
    <d v="2026-05-08T00:00:00"/>
    <d v="2026-05-08T00:00:00"/>
    <n v="145"/>
    <n v="0.47"/>
    <n v="68.150000000000006"/>
    <n v="2.6200000000000045"/>
    <x v="0"/>
    <x v="4"/>
    <x v="2"/>
  </r>
  <r>
    <s v="CLM100403"/>
    <s v="PT11145"/>
    <s v="P02"/>
    <x v="0"/>
    <x v="7"/>
    <n v="1"/>
    <d v="2026-08-10T00:00:00"/>
    <d v="2026-08-11T00:00:00"/>
    <n v="208.02"/>
    <n v="86.69"/>
    <n v="69.349999999999994"/>
    <n v="17.34"/>
    <s v="Paid"/>
    <s v=""/>
    <d v="2026-09-12T00:00:00"/>
    <d v="2026-09-12T00:00:00"/>
    <n v="210"/>
    <n v="0.43"/>
    <n v="90.3"/>
    <n v="3.6099999999999994"/>
    <x v="0"/>
    <x v="6"/>
    <x v="4"/>
  </r>
  <r>
    <s v="CLM100404"/>
    <s v="PT10965"/>
    <s v="P08"/>
    <x v="0"/>
    <x v="7"/>
    <n v="1"/>
    <d v="2026-09-17T00:00:00"/>
    <d v="2026-09-18T00:00:00"/>
    <n v="206.58"/>
    <m/>
    <m/>
    <m/>
    <s v="Pending"/>
    <s v=""/>
    <m/>
    <m/>
    <n v="210"/>
    <n v="1"/>
    <n v="210"/>
    <s v=""/>
    <x v="2"/>
    <x v="7"/>
    <x v="8"/>
  </r>
  <r>
    <s v="CLM100405"/>
    <s v="PT13216"/>
    <s v="P01"/>
    <x v="0"/>
    <x v="4"/>
    <n v="1"/>
    <d v="2025-12-16T00:00:00"/>
    <d v="2025-12-17T00:00:00"/>
    <n v="37.94"/>
    <n v="15.13"/>
    <n v="13.62"/>
    <n v="1.51"/>
    <s v="Paid"/>
    <s v=""/>
    <d v="2026-01-23T00:00:00"/>
    <d v="2026-01-23T00:00:00"/>
    <n v="38"/>
    <n v="0.45"/>
    <n v="17.100000000000001"/>
    <n v="1.9700000000000006"/>
    <x v="1"/>
    <x v="5"/>
    <x v="6"/>
  </r>
  <r>
    <s v="CLM100406"/>
    <s v="PT11951"/>
    <s v="P04"/>
    <x v="0"/>
    <x v="8"/>
    <n v="1"/>
    <d v="2026-07-18T00:00:00"/>
    <d v="2026-07-19T00:00:00"/>
    <n v="252.94"/>
    <n v="83"/>
    <n v="74.7"/>
    <n v="8.3000000000000007"/>
    <s v="Paid"/>
    <s v=""/>
    <d v="2026-08-01T00:00:00"/>
    <d v="2026-08-01T00:00:00"/>
    <n v="260"/>
    <n v="0.36"/>
    <n v="93.6"/>
    <n v="10.599999999999994"/>
    <x v="1"/>
    <x v="1"/>
    <x v="1"/>
  </r>
  <r>
    <s v="CLM100407"/>
    <s v="PT12362"/>
    <s v="P03"/>
    <x v="2"/>
    <x v="2"/>
    <n v="1"/>
    <d v="2026-03-21T00:00:00"/>
    <d v="2026-03-25T00:00:00"/>
    <n v="61.48"/>
    <n v="24.71"/>
    <n v="24.71"/>
    <n v="0"/>
    <s v="Paid"/>
    <s v=""/>
    <d v="2026-05-28T00:00:00"/>
    <d v="2026-05-28T00:00:00"/>
    <n v="62"/>
    <n v="0.47"/>
    <n v="29.14"/>
    <n v="4.43"/>
    <x v="1"/>
    <x v="4"/>
    <x v="2"/>
  </r>
  <r>
    <s v="CLM100408"/>
    <s v="PT10321"/>
    <s v="P08"/>
    <x v="0"/>
    <x v="7"/>
    <n v="1"/>
    <d v="2026-02-23T00:00:00"/>
    <d v="2026-02-28T00:00:00"/>
    <n v="208.17"/>
    <n v="208.17"/>
    <n v="208.17"/>
    <n v="0"/>
    <s v="Paid"/>
    <s v=""/>
    <d v="2026-06-14T00:00:00"/>
    <d v="2026-06-14T00:00:00"/>
    <n v="210"/>
    <n v="1"/>
    <n v="210"/>
    <n v="1.8300000000000125"/>
    <x v="0"/>
    <x v="7"/>
    <x v="0"/>
  </r>
  <r>
    <s v="CLM100409"/>
    <s v="PT10324"/>
    <s v="P03"/>
    <x v="0"/>
    <x v="8"/>
    <n v="1"/>
    <d v="2025-12-14T00:00:00"/>
    <d v="2025-12-19T00:00:00"/>
    <n v="265.74"/>
    <n v="122.51"/>
    <n v="122.51"/>
    <n v="0"/>
    <s v="Paid"/>
    <s v=""/>
    <d v="2026-01-22T00:00:00"/>
    <d v="2026-01-22T00:00:00"/>
    <n v="260"/>
    <n v="0.47"/>
    <n v="122.2"/>
    <n v="-0.31000000000000227"/>
    <x v="0"/>
    <x v="4"/>
    <x v="6"/>
  </r>
  <r>
    <s v="CLM100410"/>
    <s v="PT13198"/>
    <s v="P02"/>
    <x v="1"/>
    <x v="7"/>
    <n v="1"/>
    <d v="2026-08-31T00:00:00"/>
    <d v="2026-09-02T00:00:00"/>
    <n v="207.37"/>
    <n v="82.34"/>
    <n v="65.87"/>
    <n v="16.47"/>
    <s v="Paid"/>
    <s v=""/>
    <d v="2026-09-27T00:00:00"/>
    <d v="2026-09-27T00:00:00"/>
    <n v="210"/>
    <n v="0.43"/>
    <n v="90.3"/>
    <n v="7.9599999999999937"/>
    <x v="1"/>
    <x v="6"/>
    <x v="4"/>
  </r>
  <r>
    <s v="CLM100412"/>
    <s v="PT12146"/>
    <s v="P05"/>
    <x v="3"/>
    <x v="7"/>
    <n v="1"/>
    <d v="2025-11-10T00:00:00"/>
    <d v="2025-11-13T00:00:00"/>
    <n v="206.35"/>
    <m/>
    <m/>
    <m/>
    <s v="Denied"/>
    <s v="CO-50"/>
    <d v="2026-01-29T00:00:00"/>
    <m/>
    <n v="210"/>
    <n v="0.38"/>
    <n v="79.8"/>
    <s v=""/>
    <x v="2"/>
    <x v="0"/>
    <x v="3"/>
  </r>
  <r>
    <s v="CLM100413"/>
    <s v="PT11815"/>
    <s v="P04"/>
    <x v="1"/>
    <x v="11"/>
    <n v="1"/>
    <d v="2025-11-13T00:00:00"/>
    <d v="2025-11-22T00:00:00"/>
    <n v="1160.68"/>
    <n v="385.01"/>
    <n v="346.51"/>
    <n v="38.5"/>
    <s v="Paid"/>
    <s v=""/>
    <d v="2025-12-13T00:00:00"/>
    <d v="2025-12-13T00:00:00"/>
    <n v="1150"/>
    <n v="0.36"/>
    <n v="414"/>
    <n v="28.990000000000009"/>
    <x v="1"/>
    <x v="1"/>
    <x v="3"/>
  </r>
  <r>
    <s v="CLM100414"/>
    <s v="PT12246"/>
    <s v="P04"/>
    <x v="0"/>
    <x v="7"/>
    <n v="1"/>
    <d v="2025-12-27T00:00:00"/>
    <d v="2026-01-01T00:00:00"/>
    <n v="204.06"/>
    <n v="69.47"/>
    <n v="62.52"/>
    <n v="6.95"/>
    <s v="Paid"/>
    <s v=""/>
    <d v="2026-01-06T00:00:00"/>
    <d v="2026-01-06T00:00:00"/>
    <n v="210"/>
    <n v="0.36"/>
    <n v="75.599999999999994"/>
    <n v="6.1299999999999955"/>
    <x v="1"/>
    <x v="1"/>
    <x v="6"/>
  </r>
  <r>
    <s v="CLM100415"/>
    <s v="PT11422"/>
    <s v="P04"/>
    <x v="0"/>
    <x v="7"/>
    <n v="1"/>
    <d v="2026-05-22T00:00:00"/>
    <d v="2026-05-27T00:00:00"/>
    <n v="211.65"/>
    <n v="76.75"/>
    <n v="69.069999999999993"/>
    <n v="7.68"/>
    <s v="Paid"/>
    <s v=""/>
    <d v="2026-06-16T00:00:00"/>
    <d v="2026-06-16T00:00:00"/>
    <n v="210"/>
    <n v="0.36"/>
    <n v="75.599999999999994"/>
    <n v="-1.1500000000000057"/>
    <x v="0"/>
    <x v="1"/>
    <x v="7"/>
  </r>
  <r>
    <s v="CLM100416"/>
    <s v="PT11174"/>
    <s v="P06"/>
    <x v="0"/>
    <x v="7"/>
    <n v="1"/>
    <d v="2026-05-15T00:00:00"/>
    <d v="2026-05-18T00:00:00"/>
    <n v="207.58"/>
    <m/>
    <m/>
    <m/>
    <s v="Denied"/>
    <s v="CO-16"/>
    <d v="2026-06-27T00:00:00"/>
    <m/>
    <n v="210"/>
    <n v="0.27"/>
    <n v="56.7"/>
    <s v=""/>
    <x v="2"/>
    <x v="2"/>
    <x v="7"/>
  </r>
  <r>
    <s v="CLM100417"/>
    <s v="PT11616"/>
    <s v="P05"/>
    <x v="0"/>
    <x v="0"/>
    <n v="1"/>
    <d v="2026-02-27T00:00:00"/>
    <d v="2026-03-06T00:00:00"/>
    <n v="145.84"/>
    <n v="50.38"/>
    <n v="40.299999999999997"/>
    <n v="10.08"/>
    <s v="Paid"/>
    <s v=""/>
    <d v="2026-04-18T00:00:00"/>
    <d v="2026-04-18T00:00:00"/>
    <n v="145"/>
    <n v="0.38"/>
    <n v="55.1"/>
    <n v="4.7199999999999989"/>
    <x v="1"/>
    <x v="0"/>
    <x v="0"/>
  </r>
  <r>
    <s v="CLM100418"/>
    <s v="PT12842"/>
    <s v="P05"/>
    <x v="1"/>
    <x v="4"/>
    <n v="1"/>
    <d v="2026-04-18T00:00:00"/>
    <d v="2026-04-19T00:00:00"/>
    <n v="38.75"/>
    <m/>
    <m/>
    <m/>
    <s v="Denied"/>
    <s v="CO-4"/>
    <d v="2026-06-16T00:00:00"/>
    <m/>
    <n v="38"/>
    <n v="0.38"/>
    <n v="14.44"/>
    <s v=""/>
    <x v="2"/>
    <x v="0"/>
    <x v="10"/>
  </r>
  <r>
    <s v="CLM100419"/>
    <s v="PT12530"/>
    <s v="P04"/>
    <x v="1"/>
    <x v="4"/>
    <n v="1"/>
    <d v="2026-02-15T00:00:00"/>
    <d v="2026-02-23T00:00:00"/>
    <n v="37.799999999999997"/>
    <n v="12.72"/>
    <n v="10.18"/>
    <n v="2.54"/>
    <s v="Paid"/>
    <s v=""/>
    <d v="2026-03-05T00:00:00"/>
    <d v="2026-03-05T00:00:00"/>
    <n v="38"/>
    <n v="0.36"/>
    <n v="13.68"/>
    <n v="0.95999999999999908"/>
    <x v="1"/>
    <x v="1"/>
    <x v="0"/>
  </r>
  <r>
    <s v="CLM100420"/>
    <s v="PT10033"/>
    <s v="P01"/>
    <x v="0"/>
    <x v="4"/>
    <n v="1"/>
    <d v="2025-10-10T00:00:00"/>
    <d v="2025-10-24T00:00:00"/>
    <n v="37.21"/>
    <m/>
    <m/>
    <m/>
    <s v="Denied"/>
    <s v="CO-50"/>
    <d v="2025-11-27T00:00:00"/>
    <m/>
    <n v="38"/>
    <n v="0.45"/>
    <n v="17.100000000000001"/>
    <s v=""/>
    <x v="2"/>
    <x v="5"/>
    <x v="9"/>
  </r>
  <r>
    <s v="CLM100421"/>
    <s v="PT10229"/>
    <s v="P06"/>
    <x v="0"/>
    <x v="8"/>
    <n v="1"/>
    <d v="2026-06-13T00:00:00"/>
    <d v="2026-06-16T00:00:00"/>
    <n v="267.77"/>
    <n v="68.48"/>
    <n v="68.48"/>
    <n v="0"/>
    <s v="Paid"/>
    <s v=""/>
    <d v="2026-08-04T00:00:00"/>
    <d v="2026-08-04T00:00:00"/>
    <n v="260"/>
    <n v="0.27"/>
    <n v="70.2"/>
    <n v="1.7199999999999989"/>
    <x v="0"/>
    <x v="2"/>
    <x v="11"/>
  </r>
  <r>
    <s v="CLM100422"/>
    <s v="PT11576"/>
    <s v="P01"/>
    <x v="1"/>
    <x v="10"/>
    <n v="1"/>
    <d v="2026-05-29T00:00:00"/>
    <d v="2026-06-08T00:00:00"/>
    <n v="1029.94"/>
    <n v="446.4"/>
    <n v="446.4"/>
    <n v="0"/>
    <s v="Paid"/>
    <s v=""/>
    <d v="2026-07-28T00:00:00"/>
    <d v="2026-07-28T00:00:00"/>
    <n v="1050"/>
    <n v="0.45"/>
    <n v="472.5"/>
    <n v="26.100000000000023"/>
    <x v="1"/>
    <x v="5"/>
    <x v="7"/>
  </r>
  <r>
    <s v="CLM100423"/>
    <s v="PT11593"/>
    <s v="P02"/>
    <x v="3"/>
    <x v="6"/>
    <n v="1"/>
    <d v="2025-10-18T00:00:00"/>
    <d v="2025-10-24T00:00:00"/>
    <n v="412.42"/>
    <m/>
    <m/>
    <m/>
    <s v="Denied"/>
    <s v="CO-16"/>
    <d v="2025-11-27T00:00:00"/>
    <m/>
    <n v="420"/>
    <n v="0.43"/>
    <n v="180.6"/>
    <s v=""/>
    <x v="2"/>
    <x v="6"/>
    <x v="9"/>
  </r>
  <r>
    <s v="CLM100424"/>
    <s v="PT12730"/>
    <s v="P01"/>
    <x v="1"/>
    <x v="11"/>
    <n v="1"/>
    <d v="2025-10-22T00:00:00"/>
    <d v="2025-10-26T00:00:00"/>
    <n v="1166.8900000000001"/>
    <m/>
    <m/>
    <m/>
    <s v="Denied"/>
    <s v="CO-50"/>
    <d v="2025-11-21T00:00:00"/>
    <m/>
    <n v="1150"/>
    <n v="0.45"/>
    <n v="517.5"/>
    <s v=""/>
    <x v="2"/>
    <x v="5"/>
    <x v="9"/>
  </r>
  <r>
    <s v="CLM100425"/>
    <s v="PT11946"/>
    <s v="P06"/>
    <x v="1"/>
    <x v="7"/>
    <n v="1"/>
    <d v="2026-07-27T00:00:00"/>
    <d v="2026-08-03T00:00:00"/>
    <n v="205.21"/>
    <m/>
    <m/>
    <m/>
    <s v="Denied"/>
    <s v="CO-16"/>
    <d v="2026-09-15T00:00:00"/>
    <m/>
    <n v="210"/>
    <n v="0.27"/>
    <n v="56.7"/>
    <s v=""/>
    <x v="2"/>
    <x v="2"/>
    <x v="1"/>
  </r>
  <r>
    <s v="CLM100426"/>
    <s v="PT12640"/>
    <s v="P01"/>
    <x v="1"/>
    <x v="5"/>
    <n v="1"/>
    <d v="2025-12-20T00:00:00"/>
    <d v="2025-12-25T00:00:00"/>
    <n v="4799.9799999999996"/>
    <n v="2475.6"/>
    <n v="2228.04"/>
    <n v="247.56"/>
    <s v="Paid"/>
    <s v=""/>
    <d v="2026-01-22T00:00:00"/>
    <d v="2026-01-22T00:00:00"/>
    <n v="4800"/>
    <n v="0.45"/>
    <n v="2160"/>
    <n v="-315.59999999999991"/>
    <x v="0"/>
    <x v="5"/>
    <x v="6"/>
  </r>
  <r>
    <s v="CLM100427"/>
    <s v="PT13299"/>
    <s v="P06"/>
    <x v="1"/>
    <x v="1"/>
    <n v="1"/>
    <d v="2025-12-04T00:00:00"/>
    <d v="2025-12-06T00:00:00"/>
    <n v="239.82"/>
    <n v="67.67"/>
    <n v="60.9"/>
    <n v="6.77"/>
    <s v="Paid"/>
    <s v=""/>
    <d v="2026-01-10T00:00:00"/>
    <d v="2026-01-10T00:00:00"/>
    <n v="240"/>
    <n v="0.27"/>
    <n v="64.8"/>
    <n v="-2.8700000000000045"/>
    <x v="0"/>
    <x v="2"/>
    <x v="6"/>
  </r>
  <r>
    <s v="CLM100428"/>
    <s v="PT12321"/>
    <s v="P01"/>
    <x v="2"/>
    <x v="0"/>
    <n v="1"/>
    <d v="2026-09-18T00:00:00"/>
    <d v="2026-09-24T00:00:00"/>
    <n v="143.94"/>
    <m/>
    <m/>
    <m/>
    <s v="Pending"/>
    <s v=""/>
    <m/>
    <m/>
    <n v="145"/>
    <n v="0.45"/>
    <n v="65.25"/>
    <s v=""/>
    <x v="2"/>
    <x v="5"/>
    <x v="8"/>
  </r>
  <r>
    <s v="CLM100429"/>
    <s v="PT12175"/>
    <s v="P02"/>
    <x v="1"/>
    <x v="11"/>
    <n v="1"/>
    <d v="2026-05-28T00:00:00"/>
    <d v="2026-06-05T00:00:00"/>
    <n v="1134.5"/>
    <n v="493.23"/>
    <n v="493.23"/>
    <n v="0"/>
    <s v="Paid"/>
    <s v=""/>
    <d v="2026-07-04T00:00:00"/>
    <d v="2026-07-04T00:00:00"/>
    <n v="1150"/>
    <n v="0.43"/>
    <n v="494.5"/>
    <n v="1.2699999999999818"/>
    <x v="0"/>
    <x v="6"/>
    <x v="7"/>
  </r>
  <r>
    <s v="CLM100430"/>
    <s v="PT13178"/>
    <s v="P06"/>
    <x v="1"/>
    <x v="11"/>
    <n v="1"/>
    <d v="2026-07-05T00:00:00"/>
    <d v="2026-07-06T00:00:00"/>
    <n v="1140.83"/>
    <n v="296.43"/>
    <n v="266.79000000000002"/>
    <n v="29.64"/>
    <s v="Paid"/>
    <s v=""/>
    <d v="2026-08-15T00:00:00"/>
    <d v="2026-08-15T00:00:00"/>
    <n v="1150"/>
    <n v="0.27"/>
    <n v="310.5"/>
    <n v="14.069999999999993"/>
    <x v="0"/>
    <x v="2"/>
    <x v="1"/>
  </r>
  <r>
    <s v="CLM100431"/>
    <s v="PT10631"/>
    <s v="P05"/>
    <x v="0"/>
    <x v="8"/>
    <n v="1"/>
    <d v="2026-09-03T00:00:00"/>
    <d v="2026-09-10T00:00:00"/>
    <n v="267.29000000000002"/>
    <m/>
    <m/>
    <m/>
    <s v="Pending"/>
    <s v=""/>
    <m/>
    <m/>
    <n v="260"/>
    <n v="0.38"/>
    <n v="98.8"/>
    <s v=""/>
    <x v="2"/>
    <x v="0"/>
    <x v="8"/>
  </r>
  <r>
    <s v="CLM100432"/>
    <s v="PT11988"/>
    <s v="P02"/>
    <x v="0"/>
    <x v="8"/>
    <n v="1"/>
    <d v="2026-03-14T00:00:00"/>
    <d v="2026-03-17T00:00:00"/>
    <n v="253.92"/>
    <m/>
    <m/>
    <m/>
    <s v="Denied"/>
    <s v="CO-18"/>
    <d v="2026-04-22T00:00:00"/>
    <m/>
    <n v="260"/>
    <n v="0.43"/>
    <n v="111.8"/>
    <s v=""/>
    <x v="2"/>
    <x v="6"/>
    <x v="2"/>
  </r>
  <r>
    <s v="CLM100433"/>
    <s v="PT10053"/>
    <s v="P04"/>
    <x v="0"/>
    <x v="4"/>
    <n v="1"/>
    <d v="2026-09-25T00:00:00"/>
    <d v="2026-09-26T00:00:00"/>
    <n v="38.21"/>
    <m/>
    <m/>
    <m/>
    <s v="Pending"/>
    <s v=""/>
    <m/>
    <m/>
    <n v="38"/>
    <n v="0.36"/>
    <n v="13.68"/>
    <s v=""/>
    <x v="2"/>
    <x v="1"/>
    <x v="8"/>
  </r>
  <r>
    <s v="CLM100434"/>
    <s v="PT12166"/>
    <s v="P04"/>
    <x v="2"/>
    <x v="2"/>
    <n v="2"/>
    <d v="2025-11-10T00:00:00"/>
    <d v="2025-11-11T00:00:00"/>
    <n v="126.24"/>
    <n v="44.26"/>
    <n v="39.83"/>
    <n v="4.43"/>
    <s v="Paid"/>
    <s v=""/>
    <d v="2025-11-23T00:00:00"/>
    <d v="2025-11-23T00:00:00"/>
    <n v="62"/>
    <n v="0.36"/>
    <n v="44.64"/>
    <n v="0.38000000000000256"/>
    <x v="0"/>
    <x v="1"/>
    <x v="3"/>
  </r>
  <r>
    <s v="CLM100435"/>
    <s v="PT10776"/>
    <s v="P06"/>
    <x v="1"/>
    <x v="8"/>
    <n v="1"/>
    <d v="2025-11-09T00:00:00"/>
    <d v="2025-11-22T00:00:00"/>
    <n v="266.94"/>
    <m/>
    <m/>
    <m/>
    <s v="Denied"/>
    <s v="CO-11"/>
    <d v="2026-01-14T00:00:00"/>
    <m/>
    <n v="260"/>
    <n v="0.27"/>
    <n v="70.2"/>
    <s v=""/>
    <x v="2"/>
    <x v="2"/>
    <x v="3"/>
  </r>
  <r>
    <s v="CLM100436"/>
    <s v="PT12252"/>
    <s v="P04"/>
    <x v="1"/>
    <x v="4"/>
    <n v="1"/>
    <d v="2025-11-24T00:00:00"/>
    <d v="2025-11-28T00:00:00"/>
    <n v="38.61"/>
    <n v="14.78"/>
    <n v="14.78"/>
    <n v="0"/>
    <s v="Paid"/>
    <s v=""/>
    <d v="2025-12-13T00:00:00"/>
    <d v="2025-12-13T00:00:00"/>
    <n v="38"/>
    <n v="0.36"/>
    <n v="13.68"/>
    <n v="-1.0999999999999996"/>
    <x v="0"/>
    <x v="1"/>
    <x v="3"/>
  </r>
  <r>
    <s v="CLM100437"/>
    <s v="PT13460"/>
    <s v="P04"/>
    <x v="0"/>
    <x v="8"/>
    <n v="1"/>
    <d v="2026-07-01T00:00:00"/>
    <d v="2026-07-04T00:00:00"/>
    <n v="267.77999999999997"/>
    <n v="90.86"/>
    <n v="81.77"/>
    <n v="9.09"/>
    <s v="Paid"/>
    <s v=""/>
    <d v="2026-07-23T00:00:00"/>
    <d v="2026-07-23T00:00:00"/>
    <n v="260"/>
    <n v="0.36"/>
    <n v="93.6"/>
    <n v="2.7399999999999949"/>
    <x v="0"/>
    <x v="1"/>
    <x v="1"/>
  </r>
  <r>
    <s v="CLM100438"/>
    <s v="PT11832"/>
    <s v="P06"/>
    <x v="0"/>
    <x v="4"/>
    <n v="1"/>
    <d v="2026-03-15T00:00:00"/>
    <d v="2026-03-19T00:00:00"/>
    <n v="38.25"/>
    <n v="11.18"/>
    <n v="8.94"/>
    <n v="2.2400000000000002"/>
    <s v="Paid"/>
    <s v=""/>
    <d v="2026-05-06T00:00:00"/>
    <d v="2026-05-06T00:00:00"/>
    <n v="38"/>
    <n v="0.27"/>
    <n v="10.26"/>
    <n v="-0.91999999999999993"/>
    <x v="0"/>
    <x v="2"/>
    <x v="2"/>
  </r>
  <r>
    <s v="CLM100439"/>
    <s v="PT11289"/>
    <s v="P05"/>
    <x v="2"/>
    <x v="2"/>
    <n v="3"/>
    <d v="2026-02-23T00:00:00"/>
    <d v="2026-02-24T00:00:00"/>
    <n v="180.6"/>
    <m/>
    <m/>
    <m/>
    <s v="Denied"/>
    <s v="CO-50"/>
    <d v="2026-04-11T00:00:00"/>
    <m/>
    <n v="62"/>
    <n v="0.38"/>
    <n v="70.680000000000007"/>
    <s v=""/>
    <x v="2"/>
    <x v="0"/>
    <x v="0"/>
  </r>
  <r>
    <s v="CLM100440"/>
    <s v="PT12336"/>
    <s v="P01"/>
    <x v="0"/>
    <x v="7"/>
    <n v="1"/>
    <d v="2026-05-24T00:00:00"/>
    <d v="2026-05-25T00:00:00"/>
    <n v="208.18"/>
    <n v="96.08"/>
    <n v="96.08"/>
    <n v="0"/>
    <s v="Paid"/>
    <s v=""/>
    <d v="2026-06-23T00:00:00"/>
    <d v="2026-06-23T00:00:00"/>
    <n v="210"/>
    <n v="0.45"/>
    <n v="94.5"/>
    <n v="-1.5799999999999983"/>
    <x v="0"/>
    <x v="5"/>
    <x v="7"/>
  </r>
  <r>
    <s v="CLM100441"/>
    <s v="PT12438"/>
    <s v="P05"/>
    <x v="0"/>
    <x v="7"/>
    <n v="1"/>
    <d v="2026-03-16T00:00:00"/>
    <d v="2026-03-17T00:00:00"/>
    <n v="213.69"/>
    <n v="86.56"/>
    <n v="86.56"/>
    <n v="0"/>
    <s v="Paid"/>
    <s v=""/>
    <d v="2026-06-05T00:00:00"/>
    <d v="2026-06-05T00:00:00"/>
    <n v="210"/>
    <n v="0.38"/>
    <n v="79.8"/>
    <n v="-6.7600000000000051"/>
    <x v="0"/>
    <x v="0"/>
    <x v="2"/>
  </r>
  <r>
    <s v="CLM100442"/>
    <s v="PT13155"/>
    <s v="P05"/>
    <x v="3"/>
    <x v="3"/>
    <n v="30"/>
    <d v="2026-07-23T00:00:00"/>
    <d v="2026-07-24T00:00:00"/>
    <n v="42399.83"/>
    <n v="15450.65"/>
    <n v="15450.65"/>
    <n v="0"/>
    <s v="Paid"/>
    <s v=""/>
    <d v="2026-09-20T00:00:00"/>
    <d v="2026-09-20T00:00:00"/>
    <n v="1450"/>
    <n v="0.38"/>
    <n v="16530"/>
    <n v="1079.3500000000004"/>
    <x v="1"/>
    <x v="0"/>
    <x v="1"/>
  </r>
  <r>
    <s v="CLM100443"/>
    <s v="PT12313"/>
    <s v="P06"/>
    <x v="1"/>
    <x v="4"/>
    <n v="1"/>
    <d v="2025-10-06T00:00:00"/>
    <d v="2025-10-11T00:00:00"/>
    <n v="38.31"/>
    <m/>
    <m/>
    <m/>
    <s v="Denied"/>
    <s v="CO-4"/>
    <d v="2025-11-08T00:00:00"/>
    <m/>
    <n v="38"/>
    <n v="0.27"/>
    <n v="10.26"/>
    <s v=""/>
    <x v="2"/>
    <x v="2"/>
    <x v="9"/>
  </r>
  <r>
    <s v="CLM100444"/>
    <s v="PT11075"/>
    <s v="P05"/>
    <x v="2"/>
    <x v="9"/>
    <n v="3"/>
    <d v="2026-07-22T00:00:00"/>
    <d v="2026-07-25T00:00:00"/>
    <n v="169.72"/>
    <m/>
    <m/>
    <m/>
    <s v="Denied"/>
    <s v="CO-27"/>
    <d v="2026-09-14T00:00:00"/>
    <m/>
    <n v="58"/>
    <n v="0.38"/>
    <n v="66.12"/>
    <s v=""/>
    <x v="2"/>
    <x v="0"/>
    <x v="1"/>
  </r>
  <r>
    <s v="CLM100445"/>
    <s v="PT10992"/>
    <s v="P05"/>
    <x v="0"/>
    <x v="7"/>
    <n v="1"/>
    <d v="2026-06-04T00:00:00"/>
    <d v="2026-06-07T00:00:00"/>
    <n v="210.75"/>
    <n v="72.989999999999995"/>
    <n v="72.989999999999995"/>
    <n v="0"/>
    <s v="Paid"/>
    <s v=""/>
    <d v="2026-07-09T00:00:00"/>
    <d v="2026-07-09T00:00:00"/>
    <n v="210"/>
    <n v="0.38"/>
    <n v="79.8"/>
    <n v="6.8100000000000023"/>
    <x v="1"/>
    <x v="0"/>
    <x v="11"/>
  </r>
  <r>
    <s v="CLM100446"/>
    <s v="PT12432"/>
    <s v="P03"/>
    <x v="1"/>
    <x v="5"/>
    <n v="1"/>
    <d v="2026-09-16T00:00:00"/>
    <d v="2026-09-17T00:00:00"/>
    <n v="4922.1499999999996"/>
    <m/>
    <m/>
    <m/>
    <s v="Pending"/>
    <s v=""/>
    <m/>
    <m/>
    <n v="4800"/>
    <n v="0.47"/>
    <n v="2256"/>
    <s v=""/>
    <x v="2"/>
    <x v="4"/>
    <x v="8"/>
  </r>
  <r>
    <s v="CLM100447"/>
    <s v="PT13351"/>
    <s v="P01"/>
    <x v="3"/>
    <x v="6"/>
    <n v="1"/>
    <d v="2026-03-29T00:00:00"/>
    <d v="2026-04-17T00:00:00"/>
    <n v="422.93"/>
    <n v="169.35"/>
    <n v="169.35"/>
    <n v="0"/>
    <s v="Paid"/>
    <s v=""/>
    <d v="2026-05-21T00:00:00"/>
    <d v="2026-05-21T00:00:00"/>
    <n v="420"/>
    <n v="0.45"/>
    <n v="189"/>
    <n v="19.650000000000006"/>
    <x v="1"/>
    <x v="5"/>
    <x v="2"/>
  </r>
  <r>
    <s v="CLM100448"/>
    <s v="PT11406"/>
    <s v="P02"/>
    <x v="1"/>
    <x v="4"/>
    <n v="1"/>
    <d v="2025-11-13T00:00:00"/>
    <d v="2025-11-14T00:00:00"/>
    <n v="37.119999999999997"/>
    <n v="17.98"/>
    <n v="17.98"/>
    <n v="0"/>
    <s v="Paid"/>
    <s v=""/>
    <d v="2025-12-28T00:00:00"/>
    <d v="2025-12-28T00:00:00"/>
    <n v="38"/>
    <n v="0.43"/>
    <n v="16.34"/>
    <n v="-1.6400000000000006"/>
    <x v="0"/>
    <x v="6"/>
    <x v="3"/>
  </r>
  <r>
    <s v="CLM100449"/>
    <s v="PT12247"/>
    <s v="P02"/>
    <x v="3"/>
    <x v="3"/>
    <n v="5"/>
    <d v="2026-05-30T00:00:00"/>
    <d v="2026-06-05T00:00:00"/>
    <n v="7176.87"/>
    <m/>
    <m/>
    <m/>
    <s v="Denied"/>
    <s v="CO-50"/>
    <d v="2026-06-23T00:00:00"/>
    <m/>
    <n v="1450"/>
    <n v="0.43"/>
    <n v="3117.5"/>
    <s v=""/>
    <x v="2"/>
    <x v="6"/>
    <x v="7"/>
  </r>
  <r>
    <s v="CLM100450"/>
    <s v="PT12715"/>
    <s v="P01"/>
    <x v="0"/>
    <x v="8"/>
    <n v="1"/>
    <d v="2026-02-23T00:00:00"/>
    <d v="2026-02-28T00:00:00"/>
    <n v="255.33"/>
    <n v="113.65"/>
    <n v="102.28"/>
    <n v="11.37"/>
    <s v="Paid"/>
    <s v=""/>
    <d v="2026-03-30T00:00:00"/>
    <d v="2026-03-30T00:00:00"/>
    <n v="260"/>
    <n v="0.45"/>
    <n v="117"/>
    <n v="3.3499999999999943"/>
    <x v="0"/>
    <x v="5"/>
    <x v="0"/>
  </r>
  <r>
    <s v="CLM100451"/>
    <s v="PT11292"/>
    <s v="P02"/>
    <x v="2"/>
    <x v="0"/>
    <n v="1"/>
    <d v="2025-11-25T00:00:00"/>
    <d v="2025-12-04T00:00:00"/>
    <n v="140.82"/>
    <n v="57.97"/>
    <n v="57.97"/>
    <n v="0"/>
    <s v="Paid"/>
    <s v=""/>
    <d v="2026-01-03T00:00:00"/>
    <d v="2026-01-03T00:00:00"/>
    <n v="145"/>
    <n v="0.43"/>
    <n v="62.35"/>
    <n v="4.3800000000000026"/>
    <x v="1"/>
    <x v="6"/>
    <x v="3"/>
  </r>
  <r>
    <s v="CLM100452"/>
    <s v="PT11611"/>
    <s v="P01"/>
    <x v="0"/>
    <x v="0"/>
    <n v="1"/>
    <d v="2026-06-14T00:00:00"/>
    <d v="2026-06-18T00:00:00"/>
    <n v="149.06"/>
    <n v="57.47"/>
    <n v="45.98"/>
    <n v="11.49"/>
    <s v="Paid"/>
    <s v=""/>
    <d v="2026-07-22T00:00:00"/>
    <d v="2026-07-22T00:00:00"/>
    <n v="145"/>
    <n v="0.45"/>
    <n v="65.25"/>
    <n v="7.7800000000000011"/>
    <x v="1"/>
    <x v="5"/>
    <x v="11"/>
  </r>
  <r>
    <s v="CLM100453"/>
    <s v="PT12563"/>
    <s v="P02"/>
    <x v="3"/>
    <x v="3"/>
    <n v="20"/>
    <d v="2026-03-30T00:00:00"/>
    <d v="2026-04-01T00:00:00"/>
    <n v="29217.9"/>
    <n v="12495.52"/>
    <n v="12495.52"/>
    <n v="0"/>
    <s v="Paid"/>
    <s v=""/>
    <d v="2026-04-29T00:00:00"/>
    <d v="2026-04-29T00:00:00"/>
    <n v="1450"/>
    <n v="0.43"/>
    <n v="12470"/>
    <n v="-25.520000000000437"/>
    <x v="0"/>
    <x v="6"/>
    <x v="2"/>
  </r>
  <r>
    <s v="CLM100454"/>
    <s v="PT12132"/>
    <s v="P07"/>
    <x v="1"/>
    <x v="10"/>
    <n v="1"/>
    <d v="2025-10-16T00:00:00"/>
    <d v="2025-10-28T00:00:00"/>
    <n v="1077.98"/>
    <m/>
    <m/>
    <m/>
    <s v="Denied"/>
    <s v="CO-197"/>
    <d v="2026-01-16T00:00:00"/>
    <m/>
    <n v="1050"/>
    <n v="0.28000000000000003"/>
    <n v="294"/>
    <s v=""/>
    <x v="2"/>
    <x v="3"/>
    <x v="9"/>
  </r>
  <r>
    <s v="CLM100455"/>
    <s v="PT12220"/>
    <s v="P03"/>
    <x v="0"/>
    <x v="7"/>
    <n v="1"/>
    <d v="2026-07-21T00:00:00"/>
    <d v="2026-08-05T00:00:00"/>
    <n v="205.62"/>
    <m/>
    <m/>
    <m/>
    <s v="Pending"/>
    <s v=""/>
    <m/>
    <m/>
    <n v="210"/>
    <n v="0.47"/>
    <n v="98.7"/>
    <s v=""/>
    <x v="2"/>
    <x v="4"/>
    <x v="1"/>
  </r>
  <r>
    <s v="CLM100456"/>
    <s v="PT13154"/>
    <s v="P01"/>
    <x v="1"/>
    <x v="4"/>
    <n v="1"/>
    <d v="2026-07-05T00:00:00"/>
    <d v="2026-07-06T00:00:00"/>
    <n v="38.42"/>
    <n v="18.3"/>
    <n v="14.64"/>
    <n v="3.66"/>
    <s v="Paid"/>
    <s v=""/>
    <d v="2026-08-17T00:00:00"/>
    <d v="2026-08-17T00:00:00"/>
    <n v="38"/>
    <n v="0.45"/>
    <n v="17.100000000000001"/>
    <n v="-1.1999999999999993"/>
    <x v="0"/>
    <x v="5"/>
    <x v="1"/>
  </r>
  <r>
    <s v="CLM100457"/>
    <s v="PT12978"/>
    <s v="P07"/>
    <x v="1"/>
    <x v="1"/>
    <n v="1"/>
    <d v="2026-03-12T00:00:00"/>
    <d v="2026-03-16T00:00:00"/>
    <n v="233.78"/>
    <n v="58.82"/>
    <n v="58.82"/>
    <n v="0"/>
    <s v="Paid"/>
    <s v=""/>
    <d v="2026-04-22T00:00:00"/>
    <d v="2026-04-22T00:00:00"/>
    <n v="240"/>
    <n v="0.28000000000000003"/>
    <n v="67.2"/>
    <n v="8.3800000000000026"/>
    <x v="1"/>
    <x v="3"/>
    <x v="2"/>
  </r>
  <r>
    <s v="CLM100458"/>
    <s v="PT13191"/>
    <s v="P07"/>
    <x v="1"/>
    <x v="11"/>
    <n v="1"/>
    <d v="2026-04-30T00:00:00"/>
    <d v="2026-05-02T00:00:00"/>
    <n v="1181.82"/>
    <n v="362.73"/>
    <n v="362.73"/>
    <n v="0"/>
    <s v="Paid"/>
    <s v=""/>
    <d v="2026-06-12T00:00:00"/>
    <d v="2026-06-12T00:00:00"/>
    <n v="1150"/>
    <n v="0.28000000000000003"/>
    <n v="322"/>
    <n v="-40.730000000000018"/>
    <x v="0"/>
    <x v="3"/>
    <x v="10"/>
  </r>
  <r>
    <s v="CLM100459"/>
    <s v="PT12815"/>
    <s v="P01"/>
    <x v="1"/>
    <x v="7"/>
    <n v="1"/>
    <d v="2026-08-10T00:00:00"/>
    <d v="2026-08-14T00:00:00"/>
    <n v="211.47"/>
    <n v="98.01"/>
    <n v="98.01"/>
    <n v="0"/>
    <s v="Paid"/>
    <s v=""/>
    <d v="2026-08-31T00:00:00"/>
    <d v="2026-08-31T00:00:00"/>
    <n v="210"/>
    <n v="0.45"/>
    <n v="94.5"/>
    <n v="-3.5100000000000051"/>
    <x v="0"/>
    <x v="5"/>
    <x v="4"/>
  </r>
  <r>
    <s v="CLM100460"/>
    <s v="PT10563"/>
    <s v="P05"/>
    <x v="1"/>
    <x v="8"/>
    <n v="1"/>
    <d v="2026-06-02T00:00:00"/>
    <d v="2026-06-10T00:00:00"/>
    <n v="254.29"/>
    <n v="101.79"/>
    <n v="81.430000000000007"/>
    <n v="20.36"/>
    <s v="Paid"/>
    <s v=""/>
    <d v="2026-08-07T00:00:00"/>
    <d v="2026-08-07T00:00:00"/>
    <n v="260"/>
    <n v="0.38"/>
    <n v="98.8"/>
    <n v="-2.9900000000000091"/>
    <x v="0"/>
    <x v="0"/>
    <x v="11"/>
  </r>
  <r>
    <s v="CLM100461"/>
    <s v="PT13103"/>
    <s v="P01"/>
    <x v="1"/>
    <x v="7"/>
    <n v="1"/>
    <d v="2025-10-08T00:00:00"/>
    <d v="2025-10-20T00:00:00"/>
    <n v="215.36"/>
    <n v="102.08"/>
    <n v="102.08"/>
    <n v="0"/>
    <s v="Paid"/>
    <s v=""/>
    <d v="2025-11-24T00:00:00"/>
    <d v="2025-11-24T00:00:00"/>
    <n v="210"/>
    <n v="0.45"/>
    <n v="94.5"/>
    <n v="-7.5799999999999983"/>
    <x v="0"/>
    <x v="5"/>
    <x v="9"/>
  </r>
  <r>
    <s v="CLM100462"/>
    <s v="PT12490"/>
    <s v="P07"/>
    <x v="1"/>
    <x v="7"/>
    <n v="1"/>
    <d v="2026-05-13T00:00:00"/>
    <d v="2026-05-16T00:00:00"/>
    <n v="214.63"/>
    <n v="59.09"/>
    <n v="59.09"/>
    <n v="0"/>
    <s v="Paid"/>
    <s v=""/>
    <d v="2026-07-16T00:00:00"/>
    <d v="2026-07-16T00:00:00"/>
    <n v="210"/>
    <n v="0.28000000000000003"/>
    <n v="58.8"/>
    <n v="-0.29000000000000625"/>
    <x v="0"/>
    <x v="3"/>
    <x v="7"/>
  </r>
  <r>
    <s v="CLM100463"/>
    <s v="PT12132"/>
    <s v="P05"/>
    <x v="3"/>
    <x v="6"/>
    <n v="1"/>
    <d v="2026-04-20T00:00:00"/>
    <d v="2026-04-26T00:00:00"/>
    <n v="422.81"/>
    <n v="162.99"/>
    <n v="162.99"/>
    <n v="0"/>
    <s v="Paid"/>
    <s v=""/>
    <d v="2026-07-02T00:00:00"/>
    <d v="2026-07-02T00:00:00"/>
    <n v="420"/>
    <n v="0.38"/>
    <n v="159.6"/>
    <n v="-3.3900000000000148"/>
    <x v="0"/>
    <x v="0"/>
    <x v="10"/>
  </r>
  <r>
    <s v="CLM100464"/>
    <s v="PT10777"/>
    <s v="P06"/>
    <x v="1"/>
    <x v="10"/>
    <n v="1"/>
    <d v="2025-10-22T00:00:00"/>
    <d v="2025-10-24T00:00:00"/>
    <n v="1073.8"/>
    <n v="333.57"/>
    <n v="333.57"/>
    <n v="0"/>
    <s v="Paid"/>
    <s v=""/>
    <d v="2025-12-14T00:00:00"/>
    <d v="2025-12-14T00:00:00"/>
    <n v="1050"/>
    <n v="0.27"/>
    <n v="283.5"/>
    <n v="-50.069999999999993"/>
    <x v="0"/>
    <x v="2"/>
    <x v="9"/>
  </r>
  <r>
    <s v="CLM100465"/>
    <s v="PT11898"/>
    <s v="P07"/>
    <x v="1"/>
    <x v="10"/>
    <n v="1"/>
    <d v="2026-02-24T00:00:00"/>
    <d v="2026-02-27T00:00:00"/>
    <n v="1047.56"/>
    <n v="251.76"/>
    <n v="251.76"/>
    <n v="0"/>
    <s v="Paid"/>
    <s v=""/>
    <d v="2026-05-03T00:00:00"/>
    <d v="2026-05-03T00:00:00"/>
    <n v="1050"/>
    <n v="0.28000000000000003"/>
    <n v="294"/>
    <n v="42.240000000000009"/>
    <x v="1"/>
    <x v="3"/>
    <x v="0"/>
  </r>
  <r>
    <s v="CLM100466"/>
    <s v="PT12417"/>
    <s v="P01"/>
    <x v="2"/>
    <x v="9"/>
    <n v="1"/>
    <d v="2026-06-14T00:00:00"/>
    <d v="2026-06-18T00:00:00"/>
    <n v="56.89"/>
    <n v="24.75"/>
    <n v="19.8"/>
    <n v="4.95"/>
    <s v="Paid"/>
    <s v=""/>
    <d v="2026-07-15T00:00:00"/>
    <d v="2026-07-15T00:00:00"/>
    <n v="58"/>
    <n v="0.45"/>
    <n v="26.1"/>
    <n v="1.3500000000000014"/>
    <x v="1"/>
    <x v="5"/>
    <x v="11"/>
  </r>
  <r>
    <s v="CLM100467"/>
    <s v="PT12892"/>
    <s v="P07"/>
    <x v="2"/>
    <x v="2"/>
    <n v="1"/>
    <d v="2025-11-16T00:00:00"/>
    <d v="2025-11-21T00:00:00"/>
    <n v="61.35"/>
    <m/>
    <m/>
    <m/>
    <s v="Denied"/>
    <s v="CO-11"/>
    <d v="2026-01-24T00:00:00"/>
    <m/>
    <n v="62"/>
    <n v="0.28000000000000003"/>
    <n v="17.36"/>
    <s v=""/>
    <x v="2"/>
    <x v="3"/>
    <x v="3"/>
  </r>
  <r>
    <s v="CLM100468"/>
    <s v="PT10664"/>
    <s v="P04"/>
    <x v="3"/>
    <x v="7"/>
    <n v="1"/>
    <d v="2025-12-21T00:00:00"/>
    <d v="2025-12-23T00:00:00"/>
    <n v="208.47"/>
    <n v="84.67"/>
    <n v="84.67"/>
    <n v="0"/>
    <s v="Paid"/>
    <s v=""/>
    <d v="2026-01-02T00:00:00"/>
    <d v="2026-01-02T00:00:00"/>
    <n v="210"/>
    <n v="0.36"/>
    <n v="75.599999999999994"/>
    <n v="-9.0700000000000074"/>
    <x v="0"/>
    <x v="1"/>
    <x v="6"/>
  </r>
  <r>
    <s v="CLM100469"/>
    <s v="PT10830"/>
    <s v="P05"/>
    <x v="2"/>
    <x v="2"/>
    <n v="2"/>
    <d v="2025-10-27T00:00:00"/>
    <d v="2025-11-02T00:00:00"/>
    <n v="122.57"/>
    <n v="42.23"/>
    <n v="42.23"/>
    <n v="0"/>
    <s v="Paid"/>
    <s v=""/>
    <d v="2025-12-14T00:00:00"/>
    <d v="2025-12-14T00:00:00"/>
    <n v="62"/>
    <n v="0.38"/>
    <n v="47.12"/>
    <n v="4.8900000000000006"/>
    <x v="1"/>
    <x v="0"/>
    <x v="9"/>
  </r>
  <r>
    <s v="CLM100470"/>
    <s v="PT11858"/>
    <s v="P02"/>
    <x v="1"/>
    <x v="5"/>
    <n v="1"/>
    <d v="2026-05-23T00:00:00"/>
    <d v="2026-05-26T00:00:00"/>
    <n v="4799.32"/>
    <n v="2120.64"/>
    <n v="1696.51"/>
    <n v="424.13"/>
    <s v="Paid"/>
    <s v=""/>
    <d v="2026-06-20T00:00:00"/>
    <d v="2026-06-20T00:00:00"/>
    <n v="4800"/>
    <n v="0.43"/>
    <n v="2064"/>
    <n v="-56.639999999999873"/>
    <x v="0"/>
    <x v="6"/>
    <x v="7"/>
  </r>
  <r>
    <s v="CLM100471"/>
    <s v="PT10200"/>
    <s v="P04"/>
    <x v="0"/>
    <x v="0"/>
    <n v="1"/>
    <d v="2025-10-04T00:00:00"/>
    <d v="2025-10-08T00:00:00"/>
    <n v="142.78"/>
    <n v="52.32"/>
    <n v="52.32"/>
    <n v="0"/>
    <s v="Paid"/>
    <s v=""/>
    <d v="2025-10-26T00:00:00"/>
    <d v="2025-10-26T00:00:00"/>
    <n v="145"/>
    <n v="0.36"/>
    <n v="52.2"/>
    <n v="-0.11999999999999744"/>
    <x v="0"/>
    <x v="1"/>
    <x v="9"/>
  </r>
  <r>
    <s v="CLM100472"/>
    <s v="PT11707"/>
    <s v="P04"/>
    <x v="1"/>
    <x v="8"/>
    <n v="1"/>
    <d v="2025-10-19T00:00:00"/>
    <d v="2025-10-20T00:00:00"/>
    <n v="254.47"/>
    <n v="94.55"/>
    <n v="94.55"/>
    <n v="0"/>
    <s v="Paid"/>
    <s v=""/>
    <d v="2025-11-05T00:00:00"/>
    <d v="2025-11-05T00:00:00"/>
    <n v="260"/>
    <n v="0.36"/>
    <n v="93.6"/>
    <n v="-0.95000000000000284"/>
    <x v="0"/>
    <x v="1"/>
    <x v="9"/>
  </r>
  <r>
    <s v="CLM100473"/>
    <s v="PT10146"/>
    <s v="P05"/>
    <x v="2"/>
    <x v="2"/>
    <n v="4"/>
    <d v="2026-08-09T00:00:00"/>
    <d v="2026-08-13T00:00:00"/>
    <n v="250.85"/>
    <m/>
    <m/>
    <m/>
    <s v="Pending"/>
    <s v=""/>
    <m/>
    <m/>
    <n v="62"/>
    <n v="0.38"/>
    <n v="94.24"/>
    <s v=""/>
    <x v="2"/>
    <x v="0"/>
    <x v="4"/>
  </r>
  <r>
    <s v="CLM100474"/>
    <s v="PT11348"/>
    <s v="P02"/>
    <x v="1"/>
    <x v="11"/>
    <n v="1"/>
    <d v="2026-04-13T00:00:00"/>
    <d v="2026-04-19T00:00:00"/>
    <n v="1172.0999999999999"/>
    <n v="433.25"/>
    <n v="389.92"/>
    <n v="43.33"/>
    <s v="Paid"/>
    <s v=""/>
    <d v="2026-05-16T00:00:00"/>
    <d v="2026-05-16T00:00:00"/>
    <n v="1150"/>
    <n v="0.43"/>
    <n v="494.5"/>
    <n v="61.25"/>
    <x v="1"/>
    <x v="6"/>
    <x v="10"/>
  </r>
  <r>
    <s v="CLM100475"/>
    <s v="PT10359"/>
    <s v="P05"/>
    <x v="0"/>
    <x v="7"/>
    <n v="1"/>
    <d v="2026-08-10T00:00:00"/>
    <d v="2026-08-14T00:00:00"/>
    <n v="204.43"/>
    <m/>
    <m/>
    <m/>
    <s v="Pending"/>
    <s v=""/>
    <m/>
    <m/>
    <n v="210"/>
    <n v="0.38"/>
    <n v="79.8"/>
    <s v=""/>
    <x v="2"/>
    <x v="0"/>
    <x v="4"/>
  </r>
  <r>
    <s v="CLM100476"/>
    <s v="PT12017"/>
    <s v="P03"/>
    <x v="0"/>
    <x v="8"/>
    <n v="1"/>
    <d v="2026-03-12T00:00:00"/>
    <d v="2026-03-16T00:00:00"/>
    <n v="256.25"/>
    <n v="137.16999999999999"/>
    <n v="109.74"/>
    <n v="27.43"/>
    <s v="Paid"/>
    <s v=""/>
    <d v="2026-04-18T00:00:00"/>
    <d v="2026-04-18T00:00:00"/>
    <n v="260"/>
    <n v="0.47"/>
    <n v="122.2"/>
    <n v="-14.969999999999985"/>
    <x v="0"/>
    <x v="4"/>
    <x v="2"/>
  </r>
  <r>
    <s v="CLM100477"/>
    <s v="PT10849"/>
    <s v="P01"/>
    <x v="2"/>
    <x v="0"/>
    <n v="1"/>
    <d v="2026-02-26T00:00:00"/>
    <d v="2026-07-11T00:00:00"/>
    <n v="149.16999999999999"/>
    <m/>
    <m/>
    <m/>
    <s v="Denied"/>
    <s v="CO-29"/>
    <d v="2026-08-01T00:00:00"/>
    <m/>
    <n v="145"/>
    <n v="0.45"/>
    <n v="65.25"/>
    <s v=""/>
    <x v="2"/>
    <x v="5"/>
    <x v="0"/>
  </r>
  <r>
    <s v="CLM100478"/>
    <s v="PT11260"/>
    <s v="P03"/>
    <x v="3"/>
    <x v="6"/>
    <n v="1"/>
    <d v="2026-03-20T00:00:00"/>
    <d v="2026-03-27T00:00:00"/>
    <n v="416.21"/>
    <n v="205.26"/>
    <n v="205.26"/>
    <n v="0"/>
    <s v="Paid"/>
    <s v=""/>
    <d v="2026-05-07T00:00:00"/>
    <d v="2026-05-07T00:00:00"/>
    <n v="420"/>
    <n v="0.47"/>
    <n v="197.4"/>
    <n v="-7.8599999999999852"/>
    <x v="0"/>
    <x v="4"/>
    <x v="2"/>
  </r>
  <r>
    <s v="CLM100479"/>
    <s v="PT13408"/>
    <s v="P02"/>
    <x v="1"/>
    <x v="1"/>
    <n v="1"/>
    <d v="2025-10-04T00:00:00"/>
    <d v="2025-10-06T00:00:00"/>
    <n v="234.44"/>
    <n v="102.37"/>
    <n v="102.37"/>
    <n v="0"/>
    <s v="Paid"/>
    <s v=""/>
    <d v="2025-10-31T00:00:00"/>
    <d v="2025-10-31T00:00:00"/>
    <n v="240"/>
    <n v="0.43"/>
    <n v="103.2"/>
    <n v="0.82999999999999829"/>
    <x v="0"/>
    <x v="6"/>
    <x v="9"/>
  </r>
  <r>
    <s v="CLM100480"/>
    <s v="PT11372"/>
    <s v="P06"/>
    <x v="1"/>
    <x v="11"/>
    <n v="1"/>
    <d v="2026-09-10T00:00:00"/>
    <d v="2026-09-13T00:00:00"/>
    <n v="1148.56"/>
    <m/>
    <m/>
    <m/>
    <s v="Denied"/>
    <s v="CO-197"/>
    <d v="2026-09-29T00:00:00"/>
    <m/>
    <n v="1150"/>
    <n v="0.27"/>
    <n v="310.5"/>
    <s v=""/>
    <x v="2"/>
    <x v="2"/>
    <x v="8"/>
  </r>
  <r>
    <s v="CLM100481"/>
    <s v="PT13274"/>
    <s v="P01"/>
    <x v="2"/>
    <x v="0"/>
    <n v="1"/>
    <d v="2026-06-24T00:00:00"/>
    <d v="2026-06-30T00:00:00"/>
    <n v="143.25"/>
    <n v="58.61"/>
    <n v="52.75"/>
    <n v="5.86"/>
    <s v="Paid"/>
    <s v=""/>
    <d v="2026-08-01T00:00:00"/>
    <d v="2026-08-01T00:00:00"/>
    <n v="145"/>
    <n v="0.45"/>
    <n v="65.25"/>
    <n v="6.6400000000000006"/>
    <x v="1"/>
    <x v="5"/>
    <x v="11"/>
  </r>
  <r>
    <s v="CLM100482"/>
    <s v="PT13204"/>
    <s v="P01"/>
    <x v="2"/>
    <x v="9"/>
    <n v="1"/>
    <d v="2025-12-16T00:00:00"/>
    <d v="2025-12-18T00:00:00"/>
    <n v="59.19"/>
    <n v="23.87"/>
    <n v="23.87"/>
    <n v="0"/>
    <s v="Paid"/>
    <s v=""/>
    <d v="2026-01-10T00:00:00"/>
    <d v="2026-01-10T00:00:00"/>
    <n v="58"/>
    <n v="0.45"/>
    <n v="26.1"/>
    <n v="2.2300000000000004"/>
    <x v="1"/>
    <x v="5"/>
    <x v="6"/>
  </r>
  <r>
    <s v="CLM100484"/>
    <s v="PT10379"/>
    <s v="P02"/>
    <x v="0"/>
    <x v="7"/>
    <n v="1"/>
    <d v="2026-03-04T00:00:00"/>
    <d v="2026-03-06T00:00:00"/>
    <n v="206.42"/>
    <m/>
    <m/>
    <m/>
    <s v="Denied"/>
    <s v="CO-11"/>
    <d v="2026-04-03T00:00:00"/>
    <m/>
    <n v="210"/>
    <n v="0.43"/>
    <n v="90.3"/>
    <s v=""/>
    <x v="2"/>
    <x v="6"/>
    <x v="2"/>
  </r>
  <r>
    <s v="CLM100485"/>
    <s v="PT10840"/>
    <s v="P07"/>
    <x v="1"/>
    <x v="11"/>
    <n v="1"/>
    <d v="2026-06-26T00:00:00"/>
    <d v="2026-06-28T00:00:00"/>
    <n v="1136.9100000000001"/>
    <n v="277.55"/>
    <n v="277.55"/>
    <n v="0"/>
    <s v="Paid"/>
    <s v=""/>
    <d v="2026-09-18T00:00:00"/>
    <d v="2026-09-18T00:00:00"/>
    <n v="1150"/>
    <n v="0.28000000000000003"/>
    <n v="322"/>
    <n v="44.449999999999989"/>
    <x v="1"/>
    <x v="3"/>
    <x v="11"/>
  </r>
  <r>
    <s v="CLM100486"/>
    <s v="PT11365"/>
    <s v="P02"/>
    <x v="3"/>
    <x v="6"/>
    <n v="1"/>
    <d v="2026-06-25T00:00:00"/>
    <d v="2026-06-27T00:00:00"/>
    <n v="410.32"/>
    <m/>
    <m/>
    <m/>
    <s v="Denied"/>
    <s v="CO-11"/>
    <d v="2026-07-27T00:00:00"/>
    <m/>
    <n v="420"/>
    <n v="0.43"/>
    <n v="180.6"/>
    <s v=""/>
    <x v="2"/>
    <x v="6"/>
    <x v="11"/>
  </r>
  <r>
    <s v="CLM100487"/>
    <s v="PT10611"/>
    <s v="P05"/>
    <x v="1"/>
    <x v="1"/>
    <n v="1"/>
    <d v="2026-08-24T00:00:00"/>
    <d v="2026-08-26T00:00:00"/>
    <n v="245.65"/>
    <m/>
    <m/>
    <m/>
    <s v="Pending"/>
    <s v=""/>
    <m/>
    <m/>
    <n v="240"/>
    <n v="0.38"/>
    <n v="91.2"/>
    <s v=""/>
    <x v="2"/>
    <x v="0"/>
    <x v="4"/>
  </r>
  <r>
    <s v="CLM100488"/>
    <s v="PT10579"/>
    <s v="P01"/>
    <x v="1"/>
    <x v="8"/>
    <n v="1"/>
    <d v="2026-08-15T00:00:00"/>
    <d v="2026-08-16T00:00:00"/>
    <n v="260.93"/>
    <n v="119.22"/>
    <n v="107.3"/>
    <n v="11.92"/>
    <s v="Paid"/>
    <s v=""/>
    <d v="2026-09-14T00:00:00"/>
    <d v="2026-09-14T00:00:00"/>
    <n v="260"/>
    <n v="0.45"/>
    <n v="117"/>
    <n v="-2.2199999999999989"/>
    <x v="0"/>
    <x v="5"/>
    <x v="4"/>
  </r>
  <r>
    <s v="CLM100489"/>
    <s v="PT10352"/>
    <s v="P04"/>
    <x v="2"/>
    <x v="9"/>
    <n v="1"/>
    <d v="2025-12-27T00:00:00"/>
    <d v="2026-01-05T00:00:00"/>
    <n v="57.34"/>
    <m/>
    <m/>
    <m/>
    <s v="Denied"/>
    <s v="CO-16"/>
    <d v="2026-01-28T00:00:00"/>
    <m/>
    <n v="58"/>
    <n v="0.36"/>
    <n v="20.88"/>
    <s v=""/>
    <x v="2"/>
    <x v="1"/>
    <x v="6"/>
  </r>
  <r>
    <s v="CLM100490"/>
    <s v="PT13095"/>
    <s v="P04"/>
    <x v="0"/>
    <x v="4"/>
    <n v="1"/>
    <d v="2026-03-09T00:00:00"/>
    <d v="2026-03-10T00:00:00"/>
    <n v="37.619999999999997"/>
    <n v="14.85"/>
    <n v="14.85"/>
    <n v="0"/>
    <s v="Paid"/>
    <s v=""/>
    <d v="2026-03-29T00:00:00"/>
    <d v="2026-03-29T00:00:00"/>
    <n v="38"/>
    <n v="0.36"/>
    <n v="13.68"/>
    <n v="-1.17"/>
    <x v="0"/>
    <x v="1"/>
    <x v="2"/>
  </r>
  <r>
    <s v="CLM100491"/>
    <s v="PT10916"/>
    <s v="P01"/>
    <x v="3"/>
    <x v="7"/>
    <n v="1"/>
    <d v="2026-09-23T00:00:00"/>
    <d v="2026-09-26T00:00:00"/>
    <n v="209.6"/>
    <m/>
    <m/>
    <m/>
    <s v="Pending"/>
    <s v=""/>
    <m/>
    <m/>
    <n v="210"/>
    <n v="0.45"/>
    <n v="94.5"/>
    <s v=""/>
    <x v="2"/>
    <x v="5"/>
    <x v="8"/>
  </r>
  <r>
    <s v="CLM100492"/>
    <s v="PT11856"/>
    <s v="P02"/>
    <x v="1"/>
    <x v="1"/>
    <n v="1"/>
    <d v="2026-04-05T00:00:00"/>
    <d v="2026-04-10T00:00:00"/>
    <n v="238.45"/>
    <n v="111.1"/>
    <n v="99.99"/>
    <n v="11.11"/>
    <s v="Paid"/>
    <s v=""/>
    <d v="2026-05-13T00:00:00"/>
    <d v="2026-05-13T00:00:00"/>
    <n v="240"/>
    <n v="0.43"/>
    <n v="103.2"/>
    <n v="-7.8999999999999915"/>
    <x v="0"/>
    <x v="6"/>
    <x v="10"/>
  </r>
  <r>
    <s v="CLM100493"/>
    <s v="PT13348"/>
    <s v="P03"/>
    <x v="0"/>
    <x v="0"/>
    <n v="1"/>
    <d v="2026-03-29T00:00:00"/>
    <d v="2026-04-06T00:00:00"/>
    <n v="144.81"/>
    <n v="65.2"/>
    <n v="52.16"/>
    <n v="13.04"/>
    <s v="Paid"/>
    <s v=""/>
    <d v="2026-05-06T00:00:00"/>
    <d v="2026-05-06T00:00:00"/>
    <n v="145"/>
    <n v="0.47"/>
    <n v="68.150000000000006"/>
    <n v="2.9500000000000028"/>
    <x v="0"/>
    <x v="4"/>
    <x v="2"/>
  </r>
  <r>
    <s v="CLM100494"/>
    <s v="PT12244"/>
    <s v="P02"/>
    <x v="3"/>
    <x v="3"/>
    <n v="5"/>
    <d v="2026-08-29T00:00:00"/>
    <d v="2026-09-02T00:00:00"/>
    <n v="7377.21"/>
    <n v="3068.83"/>
    <n v="3068.83"/>
    <n v="0"/>
    <s v="Paid"/>
    <s v=""/>
    <d v="2026-09-28T00:00:00"/>
    <d v="2026-09-28T00:00:00"/>
    <n v="1450"/>
    <n v="0.43"/>
    <n v="3117.5"/>
    <n v="48.670000000000073"/>
    <x v="0"/>
    <x v="6"/>
    <x v="4"/>
  </r>
  <r>
    <s v="CLM100495"/>
    <s v="PT10708"/>
    <s v="P02"/>
    <x v="1"/>
    <x v="10"/>
    <n v="1"/>
    <d v="2026-03-24T00:00:00"/>
    <d v="2026-03-29T00:00:00"/>
    <n v="1031.6199999999999"/>
    <n v="506.9"/>
    <n v="506.9"/>
    <n v="0"/>
    <s v="Paid"/>
    <s v=""/>
    <d v="2026-04-21T00:00:00"/>
    <d v="2026-04-21T00:00:00"/>
    <n v="1050"/>
    <n v="0.43"/>
    <n v="451.5"/>
    <n v="-55.399999999999977"/>
    <x v="0"/>
    <x v="6"/>
    <x v="2"/>
  </r>
  <r>
    <s v="CLM100497"/>
    <s v="PT11341"/>
    <s v="P06"/>
    <x v="1"/>
    <x v="8"/>
    <n v="1"/>
    <d v="2025-12-30T00:00:00"/>
    <d v="2026-01-02T00:00:00"/>
    <n v="257.01"/>
    <n v="73.400000000000006"/>
    <n v="58.72"/>
    <n v="14.68"/>
    <s v="Paid"/>
    <s v=""/>
    <d v="2026-02-06T00:00:00"/>
    <d v="2026-02-06T00:00:00"/>
    <n v="260"/>
    <n v="0.27"/>
    <n v="70.2"/>
    <n v="-3.2000000000000028"/>
    <x v="0"/>
    <x v="2"/>
    <x v="6"/>
  </r>
  <r>
    <s v="CLM100498"/>
    <s v="PT11597"/>
    <s v="P01"/>
    <x v="0"/>
    <x v="0"/>
    <n v="1"/>
    <d v="2025-12-11T00:00:00"/>
    <d v="2025-12-21T00:00:00"/>
    <n v="148.37"/>
    <n v="56.38"/>
    <n v="50.74"/>
    <n v="5.64"/>
    <s v="Paid"/>
    <s v=""/>
    <d v="2026-01-20T00:00:00"/>
    <d v="2026-01-20T00:00:00"/>
    <n v="145"/>
    <n v="0.45"/>
    <n v="65.25"/>
    <n v="8.8699999999999974"/>
    <x v="1"/>
    <x v="5"/>
    <x v="6"/>
  </r>
  <r>
    <s v="CLM100499"/>
    <s v="PT11780"/>
    <s v="P01"/>
    <x v="0"/>
    <x v="4"/>
    <n v="1"/>
    <d v="2026-09-14T00:00:00"/>
    <d v="2026-09-16T00:00:00"/>
    <n v="38.86"/>
    <m/>
    <m/>
    <m/>
    <s v="Pending"/>
    <s v=""/>
    <m/>
    <m/>
    <n v="38"/>
    <n v="0.45"/>
    <n v="17.100000000000001"/>
    <s v=""/>
    <x v="2"/>
    <x v="5"/>
    <x v="8"/>
  </r>
  <r>
    <s v="CLM100500"/>
    <s v="PT10003"/>
    <s v="P01"/>
    <x v="3"/>
    <x v="6"/>
    <n v="1"/>
    <d v="2026-07-26T00:00:00"/>
    <d v="2026-08-13T00:00:00"/>
    <n v="407.6"/>
    <n v="162.16999999999999"/>
    <n v="162.16999999999999"/>
    <n v="0"/>
    <s v="Paid"/>
    <s v=""/>
    <d v="2026-09-07T00:00:00"/>
    <d v="2026-09-07T00:00:00"/>
    <n v="420"/>
    <n v="0.45"/>
    <n v="189"/>
    <n v="26.830000000000013"/>
    <x v="1"/>
    <x v="5"/>
    <x v="1"/>
  </r>
  <r>
    <s v="CLM100501"/>
    <s v="PT12915"/>
    <s v="P01"/>
    <x v="3"/>
    <x v="6"/>
    <n v="1"/>
    <d v="2026-02-22T00:00:00"/>
    <d v="2026-02-24T00:00:00"/>
    <n v="429.22"/>
    <n v="186.8"/>
    <n v="168.12"/>
    <n v="18.68"/>
    <s v="Paid"/>
    <s v=""/>
    <d v="2026-03-31T00:00:00"/>
    <d v="2026-03-31T00:00:00"/>
    <n v="420"/>
    <n v="0.45"/>
    <n v="189"/>
    <n v="2.1999999999999886"/>
    <x v="0"/>
    <x v="5"/>
    <x v="0"/>
  </r>
  <r>
    <s v="CLM100502"/>
    <s v="PT12744"/>
    <s v="P03"/>
    <x v="0"/>
    <x v="4"/>
    <n v="1"/>
    <d v="2026-01-17T00:00:00"/>
    <d v="2026-01-20T00:00:00"/>
    <n v="38.369999999999997"/>
    <m/>
    <m/>
    <m/>
    <s v="Denied"/>
    <s v="CO-27"/>
    <d v="2026-03-10T00:00:00"/>
    <m/>
    <n v="38"/>
    <n v="0.47"/>
    <n v="17.86"/>
    <s v=""/>
    <x v="2"/>
    <x v="4"/>
    <x v="5"/>
  </r>
  <r>
    <s v="CLM100503"/>
    <s v="PT12552"/>
    <s v="P04"/>
    <x v="1"/>
    <x v="10"/>
    <n v="1"/>
    <d v="2025-12-09T00:00:00"/>
    <d v="2025-12-14T00:00:00"/>
    <n v="1023.83"/>
    <n v="363.54"/>
    <n v="290.83"/>
    <n v="72.709999999999994"/>
    <s v="Paid"/>
    <s v=""/>
    <d v="2025-12-29T00:00:00"/>
    <d v="2025-12-29T00:00:00"/>
    <n v="1050"/>
    <n v="0.36"/>
    <n v="378"/>
    <n v="14.45999999999998"/>
    <x v="0"/>
    <x v="1"/>
    <x v="6"/>
  </r>
  <r>
    <s v="CLM100504"/>
    <s v="PT11682"/>
    <s v="P03"/>
    <x v="1"/>
    <x v="1"/>
    <n v="1"/>
    <d v="2026-05-19T00:00:00"/>
    <d v="2026-05-21T00:00:00"/>
    <n v="238.34"/>
    <n v="95.36"/>
    <n v="85.82"/>
    <n v="9.5399999999999991"/>
    <s v="Paid"/>
    <s v=""/>
    <d v="2026-06-13T00:00:00"/>
    <d v="2026-06-13T00:00:00"/>
    <n v="240"/>
    <n v="0.47"/>
    <n v="112.8"/>
    <n v="17.439999999999998"/>
    <x v="1"/>
    <x v="4"/>
    <x v="7"/>
  </r>
  <r>
    <s v="CLM100505"/>
    <s v="PT12990"/>
    <s v="P02"/>
    <x v="2"/>
    <x v="0"/>
    <n v="1"/>
    <d v="2025-10-20T00:00:00"/>
    <d v="2025-10-25T00:00:00"/>
    <n v="145.59"/>
    <n v="65.930000000000007"/>
    <n v="65.930000000000007"/>
    <n v="0"/>
    <s v="Paid"/>
    <s v=""/>
    <d v="2025-11-26T00:00:00"/>
    <d v="2025-11-26T00:00:00"/>
    <n v="145"/>
    <n v="0.43"/>
    <n v="62.35"/>
    <n v="-3.5800000000000054"/>
    <x v="0"/>
    <x v="6"/>
    <x v="9"/>
  </r>
  <r>
    <s v="CLM100506"/>
    <s v="PT12511"/>
    <s v="P03"/>
    <x v="3"/>
    <x v="6"/>
    <n v="1"/>
    <d v="2025-11-10T00:00:00"/>
    <d v="2025-11-14T00:00:00"/>
    <n v="420.59"/>
    <n v="206.81"/>
    <n v="186.13"/>
    <n v="20.68"/>
    <s v="Paid"/>
    <s v=""/>
    <d v="2025-12-18T00:00:00"/>
    <d v="2025-12-18T00:00:00"/>
    <n v="420"/>
    <n v="0.47"/>
    <n v="197.4"/>
    <n v="-9.4099999999999966"/>
    <x v="0"/>
    <x v="4"/>
    <x v="3"/>
  </r>
  <r>
    <s v="CLM100507"/>
    <s v="PT11445"/>
    <s v="P04"/>
    <x v="1"/>
    <x v="11"/>
    <n v="1"/>
    <d v="2025-10-06T00:00:00"/>
    <d v="2025-10-09T00:00:00"/>
    <n v="1147.8499999999999"/>
    <n v="443.29"/>
    <n v="354.63"/>
    <n v="88.66"/>
    <s v="Paid"/>
    <s v=""/>
    <d v="2025-10-20T00:00:00"/>
    <d v="2025-10-20T00:00:00"/>
    <n v="1150"/>
    <n v="0.36"/>
    <n v="414"/>
    <n v="-29.29000000000002"/>
    <x v="0"/>
    <x v="1"/>
    <x v="9"/>
  </r>
  <r>
    <s v="CLM100508"/>
    <s v="PT12688"/>
    <s v="P02"/>
    <x v="2"/>
    <x v="9"/>
    <n v="4"/>
    <d v="2025-10-19T00:00:00"/>
    <d v="2025-10-25T00:00:00"/>
    <n v="237.89"/>
    <n v="87.82"/>
    <n v="87.82"/>
    <n v="0"/>
    <s v="Paid"/>
    <s v=""/>
    <d v="2025-11-20T00:00:00"/>
    <d v="2025-11-20T00:00:00"/>
    <n v="58"/>
    <n v="0.43"/>
    <n v="99.76"/>
    <n v="11.940000000000012"/>
    <x v="1"/>
    <x v="6"/>
    <x v="9"/>
  </r>
  <r>
    <s v="CLM100509"/>
    <s v="PT11127"/>
    <s v="P04"/>
    <x v="2"/>
    <x v="0"/>
    <n v="1"/>
    <d v="2026-02-24T00:00:00"/>
    <d v="2026-06-16T00:00:00"/>
    <n v="144.87"/>
    <m/>
    <m/>
    <m/>
    <s v="Denied"/>
    <s v="CO-29"/>
    <d v="2026-07-04T00:00:00"/>
    <m/>
    <n v="145"/>
    <n v="0.36"/>
    <n v="52.2"/>
    <s v=""/>
    <x v="2"/>
    <x v="1"/>
    <x v="0"/>
  </r>
  <r>
    <s v="CLM100510"/>
    <s v="PT10740"/>
    <s v="P05"/>
    <x v="2"/>
    <x v="2"/>
    <n v="1"/>
    <d v="2026-08-06T00:00:00"/>
    <d v="2026-08-12T00:00:00"/>
    <n v="63.53"/>
    <m/>
    <m/>
    <m/>
    <s v="Pending"/>
    <s v=""/>
    <m/>
    <m/>
    <n v="62"/>
    <n v="0.38"/>
    <n v="23.56"/>
    <s v=""/>
    <x v="2"/>
    <x v="0"/>
    <x v="4"/>
  </r>
  <r>
    <s v="CLM100511"/>
    <s v="PT13155"/>
    <s v="P02"/>
    <x v="3"/>
    <x v="3"/>
    <n v="10"/>
    <d v="2025-11-13T00:00:00"/>
    <d v="2025-11-20T00:00:00"/>
    <n v="14583.12"/>
    <n v="6724.53"/>
    <n v="5379.62"/>
    <n v="1344.91"/>
    <s v="Paid"/>
    <s v=""/>
    <d v="2025-12-15T00:00:00"/>
    <d v="2025-12-15T00:00:00"/>
    <n v="1450"/>
    <n v="0.43"/>
    <n v="6235"/>
    <n v="-489.52999999999975"/>
    <x v="0"/>
    <x v="6"/>
    <x v="3"/>
  </r>
  <r>
    <s v="CLM100512"/>
    <s v="PT11900"/>
    <s v="P05"/>
    <x v="0"/>
    <x v="4"/>
    <n v="1"/>
    <d v="2025-12-25T00:00:00"/>
    <d v="2025-12-31T00:00:00"/>
    <n v="37.340000000000003"/>
    <n v="14.91"/>
    <n v="14.91"/>
    <n v="0"/>
    <s v="Paid"/>
    <s v=""/>
    <d v="2026-02-21T00:00:00"/>
    <d v="2026-02-21T00:00:00"/>
    <n v="38"/>
    <n v="0.38"/>
    <n v="14.44"/>
    <n v="-0.47000000000000064"/>
    <x v="0"/>
    <x v="0"/>
    <x v="6"/>
  </r>
  <r>
    <s v="CLM100513"/>
    <s v="PT10048"/>
    <s v="P03"/>
    <x v="0"/>
    <x v="8"/>
    <n v="1"/>
    <d v="2026-06-30T00:00:00"/>
    <d v="2026-07-05T00:00:00"/>
    <n v="255.85"/>
    <n v="111.96"/>
    <n v="89.57"/>
    <n v="22.39"/>
    <s v="Paid"/>
    <s v=""/>
    <d v="2026-08-12T00:00:00"/>
    <d v="2026-08-12T00:00:00"/>
    <n v="260"/>
    <n v="0.47"/>
    <n v="122.2"/>
    <n v="10.240000000000009"/>
    <x v="1"/>
    <x v="4"/>
    <x v="11"/>
  </r>
  <r>
    <s v="CLM100514"/>
    <s v="PT13458"/>
    <s v="P03"/>
    <x v="1"/>
    <x v="5"/>
    <n v="1"/>
    <d v="2026-09-13T00:00:00"/>
    <d v="2026-09-17T00:00:00"/>
    <n v="4746.92"/>
    <m/>
    <m/>
    <m/>
    <s v="Pending"/>
    <s v=""/>
    <m/>
    <m/>
    <n v="4800"/>
    <n v="0.47"/>
    <n v="2256"/>
    <s v=""/>
    <x v="2"/>
    <x v="4"/>
    <x v="8"/>
  </r>
  <r>
    <s v="CLM100515"/>
    <s v="PT13007"/>
    <s v="P02"/>
    <x v="0"/>
    <x v="8"/>
    <n v="1"/>
    <d v="2026-02-14T00:00:00"/>
    <d v="2026-02-16T00:00:00"/>
    <n v="264.72000000000003"/>
    <n v="111.8"/>
    <n v="111.8"/>
    <n v="0"/>
    <s v="Paid"/>
    <s v=""/>
    <d v="2026-03-18T00:00:00"/>
    <d v="2026-03-18T00:00:00"/>
    <n v="260"/>
    <n v="0.43"/>
    <n v="111.8"/>
    <n v="0"/>
    <x v="0"/>
    <x v="6"/>
    <x v="0"/>
  </r>
  <r>
    <s v="CLM100516"/>
    <s v="PT11439"/>
    <s v="P03"/>
    <x v="3"/>
    <x v="3"/>
    <n v="10"/>
    <d v="2026-09-12T00:00:00"/>
    <d v="2026-09-13T00:00:00"/>
    <n v="14337.54"/>
    <m/>
    <m/>
    <m/>
    <s v="Pending"/>
    <s v=""/>
    <m/>
    <m/>
    <n v="1450"/>
    <n v="0.47"/>
    <n v="6815"/>
    <s v=""/>
    <x v="2"/>
    <x v="4"/>
    <x v="8"/>
  </r>
  <r>
    <s v="CLM100517"/>
    <s v="PT12455"/>
    <s v="P02"/>
    <x v="1"/>
    <x v="11"/>
    <n v="1"/>
    <d v="2025-10-18T00:00:00"/>
    <d v="2025-10-19T00:00:00"/>
    <n v="1117.1400000000001"/>
    <n v="500.85"/>
    <n v="500.85"/>
    <n v="0"/>
    <s v="Paid"/>
    <s v=""/>
    <d v="2025-11-17T00:00:00"/>
    <d v="2025-11-17T00:00:00"/>
    <n v="1150"/>
    <n v="0.43"/>
    <n v="494.5"/>
    <n v="-6.3500000000000227"/>
    <x v="0"/>
    <x v="6"/>
    <x v="9"/>
  </r>
  <r>
    <s v="CLM100518"/>
    <s v="PT11037"/>
    <s v="P01"/>
    <x v="0"/>
    <x v="0"/>
    <n v="1"/>
    <d v="2026-08-06T00:00:00"/>
    <d v="2026-08-11T00:00:00"/>
    <n v="141.78"/>
    <n v="65.11"/>
    <n v="65.11"/>
    <n v="0"/>
    <s v="Paid"/>
    <s v=""/>
    <d v="2026-09-25T00:00:00"/>
    <d v="2026-09-25T00:00:00"/>
    <n v="145"/>
    <n v="0.45"/>
    <n v="65.25"/>
    <n v="0.14000000000000057"/>
    <x v="0"/>
    <x v="5"/>
    <x v="4"/>
  </r>
  <r>
    <s v="CLM100519"/>
    <s v="PT12734"/>
    <s v="P07"/>
    <x v="1"/>
    <x v="4"/>
    <n v="1"/>
    <d v="2026-08-24T00:00:00"/>
    <d v="2026-09-15T00:00:00"/>
    <n v="37.89"/>
    <m/>
    <m/>
    <m/>
    <s v="Pending"/>
    <s v=""/>
    <m/>
    <m/>
    <n v="38"/>
    <n v="0.28000000000000003"/>
    <n v="10.64"/>
    <s v=""/>
    <x v="2"/>
    <x v="3"/>
    <x v="4"/>
  </r>
  <r>
    <s v="CLM100520"/>
    <s v="PT11804"/>
    <s v="P02"/>
    <x v="3"/>
    <x v="6"/>
    <n v="1"/>
    <d v="2025-11-07T00:00:00"/>
    <d v="2025-11-08T00:00:00"/>
    <n v="414.39"/>
    <n v="204.49"/>
    <n v="204.49"/>
    <n v="0"/>
    <s v="Paid"/>
    <s v=""/>
    <d v="2025-12-09T00:00:00"/>
    <d v="2025-12-09T00:00:00"/>
    <n v="420"/>
    <n v="0.43"/>
    <n v="180.6"/>
    <n v="-23.890000000000015"/>
    <x v="0"/>
    <x v="6"/>
    <x v="3"/>
  </r>
  <r>
    <s v="CLM100521"/>
    <s v="PT11808"/>
    <s v="P04"/>
    <x v="1"/>
    <x v="7"/>
    <n v="1"/>
    <d v="2025-12-31T00:00:00"/>
    <d v="2026-01-01T00:00:00"/>
    <n v="211.83"/>
    <n v="74.63"/>
    <n v="74.63"/>
    <n v="0"/>
    <s v="Paid"/>
    <s v=""/>
    <d v="2026-01-28T00:00:00"/>
    <d v="2026-01-28T00:00:00"/>
    <n v="210"/>
    <n v="0.36"/>
    <n v="75.599999999999994"/>
    <n v="0.96999999999999886"/>
    <x v="0"/>
    <x v="1"/>
    <x v="6"/>
  </r>
  <r>
    <s v="CLM100522"/>
    <s v="PT11091"/>
    <s v="P01"/>
    <x v="3"/>
    <x v="3"/>
    <n v="20"/>
    <d v="2025-11-06T00:00:00"/>
    <d v="2025-11-07T00:00:00"/>
    <n v="29482.39"/>
    <n v="13898.03"/>
    <n v="11118.42"/>
    <n v="2779.61"/>
    <s v="Paid"/>
    <s v=""/>
    <d v="2025-12-07T00:00:00"/>
    <d v="2025-12-07T00:00:00"/>
    <n v="1450"/>
    <n v="0.45"/>
    <n v="13050"/>
    <n v="-848.03000000000065"/>
    <x v="0"/>
    <x v="5"/>
    <x v="3"/>
  </r>
  <r>
    <s v="CLM100523"/>
    <s v="PT13457"/>
    <s v="P07"/>
    <x v="1"/>
    <x v="11"/>
    <n v="1"/>
    <d v="2026-07-22T00:00:00"/>
    <d v="2026-07-27T00:00:00"/>
    <n v="1115.76"/>
    <n v="309.18"/>
    <n v="247.34"/>
    <n v="61.84"/>
    <s v="Paid"/>
    <s v=""/>
    <d v="2026-09-26T00:00:00"/>
    <d v="2026-09-26T00:00:00"/>
    <n v="1150"/>
    <n v="0.28000000000000003"/>
    <n v="322"/>
    <n v="12.819999999999993"/>
    <x v="0"/>
    <x v="3"/>
    <x v="1"/>
  </r>
  <r>
    <s v="CLM100524"/>
    <s v="PT11640"/>
    <s v="P04"/>
    <x v="3"/>
    <x v="3"/>
    <n v="30"/>
    <d v="2025-10-02T00:00:00"/>
    <d v="2025-10-09T00:00:00"/>
    <n v="44685.35"/>
    <n v="16423.27"/>
    <n v="14780.94"/>
    <n v="1642.33"/>
    <s v="Paid"/>
    <s v=""/>
    <d v="2025-10-31T00:00:00"/>
    <d v="2025-10-31T00:00:00"/>
    <n v="1450"/>
    <n v="0.36"/>
    <n v="15660"/>
    <n v="-763.27000000000044"/>
    <x v="0"/>
    <x v="1"/>
    <x v="9"/>
  </r>
  <r>
    <s v="CLM100525"/>
    <s v="PT12653"/>
    <s v="P01"/>
    <x v="1"/>
    <x v="4"/>
    <n v="1"/>
    <d v="2026-07-01T00:00:00"/>
    <d v="2026-07-03T00:00:00"/>
    <n v="38.81"/>
    <n v="18.88"/>
    <n v="16.989999999999998"/>
    <n v="1.89"/>
    <s v="Paid"/>
    <s v=""/>
    <d v="2026-07-27T00:00:00"/>
    <d v="2026-07-27T00:00:00"/>
    <n v="38"/>
    <n v="0.45"/>
    <n v="17.100000000000001"/>
    <n v="-1.7799999999999976"/>
    <x v="0"/>
    <x v="5"/>
    <x v="1"/>
  </r>
  <r>
    <s v="CLM100526"/>
    <s v="PT13011"/>
    <s v="P01"/>
    <x v="1"/>
    <x v="1"/>
    <n v="1"/>
    <d v="2026-04-15T00:00:00"/>
    <d v="2026-04-17T00:00:00"/>
    <n v="242.31"/>
    <n v="95.7"/>
    <n v="76.56"/>
    <n v="19.14"/>
    <s v="Paid"/>
    <s v=""/>
    <d v="2026-05-11T00:00:00"/>
    <d v="2026-05-11T00:00:00"/>
    <n v="240"/>
    <n v="0.45"/>
    <n v="108"/>
    <n v="12.299999999999997"/>
    <x v="1"/>
    <x v="5"/>
    <x v="10"/>
  </r>
  <r>
    <s v="CLM100527"/>
    <s v="PT12187"/>
    <s v="P01"/>
    <x v="1"/>
    <x v="8"/>
    <n v="1"/>
    <d v="2026-07-31T00:00:00"/>
    <d v="2026-08-02T00:00:00"/>
    <n v="255.92"/>
    <n v="120.3"/>
    <n v="96.24"/>
    <n v="24.06"/>
    <s v="Paid"/>
    <s v=""/>
    <d v="2026-08-21T00:00:00"/>
    <d v="2026-08-21T00:00:00"/>
    <n v="260"/>
    <n v="0.45"/>
    <n v="117"/>
    <n v="-3.2999999999999972"/>
    <x v="0"/>
    <x v="5"/>
    <x v="1"/>
  </r>
  <r>
    <s v="CLM100528"/>
    <s v="PT12777"/>
    <s v="P08"/>
    <x v="2"/>
    <x v="9"/>
    <n v="1"/>
    <d v="2025-10-09T00:00:00"/>
    <d v="2025-10-11T00:00:00"/>
    <n v="57.44"/>
    <m/>
    <m/>
    <m/>
    <s v="Pending"/>
    <s v=""/>
    <m/>
    <m/>
    <n v="58"/>
    <n v="1"/>
    <n v="58"/>
    <s v=""/>
    <x v="2"/>
    <x v="7"/>
    <x v="9"/>
  </r>
  <r>
    <s v="CLM100529"/>
    <s v="PT10994"/>
    <s v="P01"/>
    <x v="2"/>
    <x v="0"/>
    <n v="1"/>
    <d v="2026-07-24T00:00:00"/>
    <d v="2026-07-25T00:00:00"/>
    <n v="142.68"/>
    <n v="54.6"/>
    <n v="54.6"/>
    <n v="0"/>
    <s v="Paid"/>
    <s v=""/>
    <d v="2026-09-02T00:00:00"/>
    <d v="2026-09-02T00:00:00"/>
    <n v="145"/>
    <n v="0.45"/>
    <n v="65.25"/>
    <n v="10.649999999999999"/>
    <x v="1"/>
    <x v="5"/>
    <x v="1"/>
  </r>
  <r>
    <s v="CLM100530"/>
    <s v="PT10467"/>
    <s v="P01"/>
    <x v="3"/>
    <x v="3"/>
    <n v="5"/>
    <d v="2026-08-20T00:00:00"/>
    <d v="2026-08-27T00:00:00"/>
    <n v="7426.03"/>
    <m/>
    <m/>
    <m/>
    <s v="Pending"/>
    <s v=""/>
    <m/>
    <m/>
    <n v="1450"/>
    <n v="0.45"/>
    <n v="3262.5"/>
    <s v=""/>
    <x v="2"/>
    <x v="5"/>
    <x v="4"/>
  </r>
  <r>
    <s v="CLM100531"/>
    <s v="PT10494"/>
    <s v="P01"/>
    <x v="0"/>
    <x v="7"/>
    <n v="1"/>
    <d v="2026-01-12T00:00:00"/>
    <d v="2026-01-19T00:00:00"/>
    <n v="209.07"/>
    <n v="99.3"/>
    <n v="89.37"/>
    <n v="9.93"/>
    <s v="Paid"/>
    <s v=""/>
    <d v="2026-02-22T00:00:00"/>
    <d v="2026-02-22T00:00:00"/>
    <n v="210"/>
    <n v="0.45"/>
    <n v="94.5"/>
    <n v="-4.7999999999999972"/>
    <x v="0"/>
    <x v="5"/>
    <x v="5"/>
  </r>
  <r>
    <s v="CLM100532"/>
    <s v="PT10688"/>
    <s v="P04"/>
    <x v="2"/>
    <x v="0"/>
    <n v="1"/>
    <d v="2026-03-14T00:00:00"/>
    <d v="2026-03-21T00:00:00"/>
    <n v="147.93"/>
    <n v="50.53"/>
    <n v="40.42"/>
    <n v="10.11"/>
    <s v="Paid"/>
    <s v=""/>
    <d v="2026-04-10T00:00:00"/>
    <d v="2026-04-10T00:00:00"/>
    <n v="145"/>
    <n v="0.36"/>
    <n v="52.2"/>
    <n v="1.6700000000000017"/>
    <x v="0"/>
    <x v="1"/>
    <x v="2"/>
  </r>
  <r>
    <s v="CLM100533"/>
    <s v="PT13185"/>
    <s v="P01"/>
    <x v="3"/>
    <x v="7"/>
    <n v="1"/>
    <d v="2026-02-02T00:00:00"/>
    <d v="2026-02-03T00:00:00"/>
    <n v="215.36"/>
    <m/>
    <m/>
    <m/>
    <s v="Denied"/>
    <s v="CO-18"/>
    <d v="2026-03-06T00:00:00"/>
    <m/>
    <n v="210"/>
    <n v="0.45"/>
    <n v="94.5"/>
    <s v=""/>
    <x v="2"/>
    <x v="5"/>
    <x v="0"/>
  </r>
  <r>
    <s v="CLM100534"/>
    <s v="PT11687"/>
    <s v="P04"/>
    <x v="1"/>
    <x v="4"/>
    <n v="1"/>
    <d v="2026-02-23T00:00:00"/>
    <d v="2026-03-02T00:00:00"/>
    <n v="37.81"/>
    <n v="14.43"/>
    <n v="11.54"/>
    <n v="2.89"/>
    <s v="Paid"/>
    <s v=""/>
    <d v="2026-03-22T00:00:00"/>
    <d v="2026-03-22T00:00:00"/>
    <n v="38"/>
    <n v="0.36"/>
    <n v="13.68"/>
    <n v="-0.75"/>
    <x v="0"/>
    <x v="1"/>
    <x v="0"/>
  </r>
  <r>
    <s v="CLM100535"/>
    <s v="PT11424"/>
    <s v="P04"/>
    <x v="1"/>
    <x v="7"/>
    <n v="1"/>
    <d v="2025-10-20T00:00:00"/>
    <d v="2025-10-26T00:00:00"/>
    <n v="211.21"/>
    <n v="66.290000000000006"/>
    <n v="59.66"/>
    <n v="6.63"/>
    <s v="Paid"/>
    <s v=""/>
    <d v="2025-11-20T00:00:00"/>
    <d v="2025-11-20T00:00:00"/>
    <n v="210"/>
    <n v="0.36"/>
    <n v="75.599999999999994"/>
    <n v="9.3099999999999881"/>
    <x v="1"/>
    <x v="1"/>
    <x v="9"/>
  </r>
  <r>
    <s v="CLM100536"/>
    <s v="PT11132"/>
    <s v="P01"/>
    <x v="0"/>
    <x v="7"/>
    <n v="1"/>
    <d v="2026-06-29T00:00:00"/>
    <d v="2026-07-03T00:00:00"/>
    <n v="216.01"/>
    <n v="111.93"/>
    <n v="111.93"/>
    <n v="0"/>
    <s v="Paid"/>
    <s v=""/>
    <d v="2026-07-21T00:00:00"/>
    <d v="2026-07-21T00:00:00"/>
    <n v="210"/>
    <n v="0.45"/>
    <n v="94.5"/>
    <n v="-17.430000000000007"/>
    <x v="0"/>
    <x v="5"/>
    <x v="11"/>
  </r>
  <r>
    <s v="CLM100537"/>
    <s v="PT10176"/>
    <s v="P06"/>
    <x v="1"/>
    <x v="8"/>
    <n v="1"/>
    <d v="2026-09-16T00:00:00"/>
    <d v="2026-09-26T00:00:00"/>
    <n v="265.36"/>
    <m/>
    <m/>
    <m/>
    <s v="Pending"/>
    <s v=""/>
    <m/>
    <m/>
    <n v="260"/>
    <n v="0.27"/>
    <n v="70.2"/>
    <s v=""/>
    <x v="2"/>
    <x v="2"/>
    <x v="8"/>
  </r>
  <r>
    <s v="CLM100538"/>
    <s v="PT10647"/>
    <s v="P02"/>
    <x v="1"/>
    <x v="11"/>
    <n v="1"/>
    <d v="2026-05-11T00:00:00"/>
    <d v="2026-05-15T00:00:00"/>
    <n v="1132.8499999999999"/>
    <n v="477.23"/>
    <n v="477.23"/>
    <n v="0"/>
    <s v="Paid"/>
    <s v=""/>
    <d v="2026-06-18T00:00:00"/>
    <d v="2026-06-18T00:00:00"/>
    <n v="1150"/>
    <n v="0.43"/>
    <n v="494.5"/>
    <n v="17.269999999999982"/>
    <x v="0"/>
    <x v="6"/>
    <x v="7"/>
  </r>
  <r>
    <s v="CLM100539"/>
    <s v="PT13060"/>
    <s v="P03"/>
    <x v="3"/>
    <x v="6"/>
    <n v="1"/>
    <d v="2025-11-06T00:00:00"/>
    <d v="2025-11-12T00:00:00"/>
    <n v="429.96"/>
    <n v="192.16"/>
    <n v="192.16"/>
    <n v="0"/>
    <s v="Paid"/>
    <s v=""/>
    <d v="2025-12-29T00:00:00"/>
    <d v="2025-12-29T00:00:00"/>
    <n v="420"/>
    <n v="0.47"/>
    <n v="197.4"/>
    <n v="5.2400000000000091"/>
    <x v="0"/>
    <x v="4"/>
    <x v="3"/>
  </r>
  <r>
    <s v="CLM100540"/>
    <s v="PT12396"/>
    <s v="P01"/>
    <x v="3"/>
    <x v="6"/>
    <n v="1"/>
    <d v="2025-11-26T00:00:00"/>
    <d v="2025-11-27T00:00:00"/>
    <n v="415.62"/>
    <n v="208.55"/>
    <n v="166.84"/>
    <n v="41.71"/>
    <s v="Paid"/>
    <s v=""/>
    <d v="2025-12-20T00:00:00"/>
    <d v="2025-12-20T00:00:00"/>
    <n v="420"/>
    <n v="0.45"/>
    <n v="189"/>
    <n v="-19.550000000000011"/>
    <x v="0"/>
    <x v="5"/>
    <x v="3"/>
  </r>
  <r>
    <s v="CLM100541"/>
    <s v="PT11104"/>
    <s v="P01"/>
    <x v="0"/>
    <x v="4"/>
    <n v="1"/>
    <d v="2026-08-09T00:00:00"/>
    <d v="2026-08-11T00:00:00"/>
    <n v="37.9"/>
    <n v="18.22"/>
    <n v="16.399999999999999"/>
    <n v="1.82"/>
    <s v="Paid"/>
    <s v=""/>
    <d v="2026-09-12T00:00:00"/>
    <d v="2026-09-12T00:00:00"/>
    <n v="38"/>
    <n v="0.45"/>
    <n v="17.100000000000001"/>
    <n v="-1.1199999999999974"/>
    <x v="0"/>
    <x v="5"/>
    <x v="4"/>
  </r>
  <r>
    <s v="CLM100542"/>
    <s v="PT12472"/>
    <s v="P01"/>
    <x v="1"/>
    <x v="7"/>
    <n v="1"/>
    <d v="2026-07-19T00:00:00"/>
    <d v="2026-07-20T00:00:00"/>
    <n v="204.45"/>
    <n v="90.82"/>
    <n v="81.739999999999995"/>
    <n v="9.08"/>
    <s v="Paid"/>
    <s v=""/>
    <d v="2026-08-20T00:00:00"/>
    <d v="2026-08-20T00:00:00"/>
    <n v="210"/>
    <n v="0.45"/>
    <n v="94.5"/>
    <n v="3.6800000000000068"/>
    <x v="0"/>
    <x v="5"/>
    <x v="1"/>
  </r>
  <r>
    <s v="CLM100543"/>
    <s v="PT12137"/>
    <s v="P04"/>
    <x v="1"/>
    <x v="5"/>
    <n v="1"/>
    <d v="2026-08-10T00:00:00"/>
    <d v="2026-08-14T00:00:00"/>
    <n v="4916.8100000000004"/>
    <n v="1621.2"/>
    <n v="1296.96"/>
    <n v="324.24"/>
    <s v="Paid"/>
    <s v=""/>
    <d v="2026-09-05T00:00:00"/>
    <d v="2026-09-05T00:00:00"/>
    <n v="4800"/>
    <n v="0.36"/>
    <n v="1728"/>
    <n v="106.79999999999995"/>
    <x v="1"/>
    <x v="1"/>
    <x v="4"/>
  </r>
  <r>
    <s v="CLM100544"/>
    <s v="PT12349"/>
    <s v="P04"/>
    <x v="0"/>
    <x v="7"/>
    <n v="1"/>
    <d v="2026-05-25T00:00:00"/>
    <d v="2026-05-31T00:00:00"/>
    <n v="207.22"/>
    <n v="68.72"/>
    <n v="68.72"/>
    <n v="0"/>
    <s v="Paid"/>
    <s v=""/>
    <d v="2026-06-14T00:00:00"/>
    <d v="2026-06-14T00:00:00"/>
    <n v="210"/>
    <n v="0.36"/>
    <n v="75.599999999999994"/>
    <n v="6.8799999999999955"/>
    <x v="1"/>
    <x v="1"/>
    <x v="7"/>
  </r>
  <r>
    <s v="CLM100545"/>
    <s v="PT12853"/>
    <s v="P08"/>
    <x v="2"/>
    <x v="9"/>
    <n v="2"/>
    <d v="2025-10-21T00:00:00"/>
    <d v="2025-10-24T00:00:00"/>
    <n v="117.62"/>
    <n v="117.62"/>
    <n v="117.62"/>
    <n v="0"/>
    <s v="Paid"/>
    <s v=""/>
    <d v="2026-02-02T00:00:00"/>
    <d v="2026-02-02T00:00:00"/>
    <n v="58"/>
    <n v="1"/>
    <n v="116"/>
    <n v="-1.6200000000000045"/>
    <x v="0"/>
    <x v="7"/>
    <x v="9"/>
  </r>
  <r>
    <s v="CLM100546"/>
    <s v="PT11965"/>
    <s v="P03"/>
    <x v="2"/>
    <x v="9"/>
    <n v="3"/>
    <d v="2025-11-12T00:00:00"/>
    <d v="2025-11-17T00:00:00"/>
    <n v="176.64"/>
    <n v="79.790000000000006"/>
    <n v="79.790000000000006"/>
    <n v="0"/>
    <s v="Paid"/>
    <s v=""/>
    <d v="2026-01-04T00:00:00"/>
    <d v="2026-01-04T00:00:00"/>
    <n v="58"/>
    <n v="0.47"/>
    <n v="81.78"/>
    <n v="1.9899999999999949"/>
    <x v="0"/>
    <x v="4"/>
    <x v="3"/>
  </r>
  <r>
    <s v="CLM100547"/>
    <s v="PT11517"/>
    <s v="P05"/>
    <x v="3"/>
    <x v="3"/>
    <n v="5"/>
    <d v="2026-07-20T00:00:00"/>
    <d v="2026-07-23T00:00:00"/>
    <n v="7457.24"/>
    <m/>
    <m/>
    <m/>
    <s v="Pending"/>
    <s v=""/>
    <m/>
    <m/>
    <n v="1450"/>
    <n v="0.38"/>
    <n v="2755"/>
    <s v=""/>
    <x v="2"/>
    <x v="0"/>
    <x v="1"/>
  </r>
  <r>
    <s v="CLM100548"/>
    <s v="PT13226"/>
    <s v="P07"/>
    <x v="0"/>
    <x v="0"/>
    <n v="1"/>
    <d v="2025-11-06T00:00:00"/>
    <d v="2025-11-11T00:00:00"/>
    <n v="144"/>
    <n v="37.630000000000003"/>
    <n v="37.630000000000003"/>
    <n v="0"/>
    <s v="Paid"/>
    <s v=""/>
    <d v="2026-01-11T00:00:00"/>
    <d v="2026-01-11T00:00:00"/>
    <n v="145"/>
    <n v="0.28000000000000003"/>
    <n v="40.6"/>
    <n v="2.9699999999999989"/>
    <x v="1"/>
    <x v="3"/>
    <x v="3"/>
  </r>
  <r>
    <s v="CLM100549"/>
    <s v="PT11497"/>
    <s v="P07"/>
    <x v="3"/>
    <x v="7"/>
    <n v="1"/>
    <d v="2025-10-29T00:00:00"/>
    <d v="2025-11-08T00:00:00"/>
    <n v="210.19"/>
    <n v="50.46"/>
    <n v="40.369999999999997"/>
    <n v="10.09"/>
    <s v="Paid"/>
    <s v=""/>
    <d v="2025-12-10T00:00:00"/>
    <d v="2025-12-10T00:00:00"/>
    <n v="210"/>
    <n v="0.28000000000000003"/>
    <n v="58.8"/>
    <n v="8.3399999999999963"/>
    <x v="1"/>
    <x v="3"/>
    <x v="9"/>
  </r>
  <r>
    <s v="CLM100550"/>
    <s v="PT12658"/>
    <s v="P02"/>
    <x v="0"/>
    <x v="0"/>
    <n v="1"/>
    <d v="2025-12-29T00:00:00"/>
    <d v="2026-01-03T00:00:00"/>
    <n v="146.29"/>
    <n v="67.86"/>
    <n v="67.86"/>
    <n v="0"/>
    <s v="Paid"/>
    <s v=""/>
    <d v="2026-02-09T00:00:00"/>
    <d v="2026-02-09T00:00:00"/>
    <n v="145"/>
    <n v="0.43"/>
    <n v="62.35"/>
    <n v="-5.509999999999998"/>
    <x v="0"/>
    <x v="6"/>
    <x v="6"/>
  </r>
  <r>
    <s v="CLM100551"/>
    <s v="PT10259"/>
    <s v="P05"/>
    <x v="0"/>
    <x v="7"/>
    <n v="1"/>
    <d v="2026-01-24T00:00:00"/>
    <d v="2026-02-03T00:00:00"/>
    <n v="207.74"/>
    <n v="77.56"/>
    <n v="77.56"/>
    <n v="0"/>
    <s v="Paid"/>
    <s v=""/>
    <d v="2026-04-06T00:00:00"/>
    <d v="2026-04-06T00:00:00"/>
    <n v="210"/>
    <n v="0.38"/>
    <n v="79.8"/>
    <n v="2.2399999999999949"/>
    <x v="0"/>
    <x v="0"/>
    <x v="5"/>
  </r>
  <r>
    <s v="CLM100552"/>
    <s v="PT13276"/>
    <s v="P03"/>
    <x v="0"/>
    <x v="4"/>
    <n v="1"/>
    <d v="2026-06-27T00:00:00"/>
    <d v="2026-06-30T00:00:00"/>
    <n v="38.75"/>
    <n v="20.16"/>
    <n v="18.14"/>
    <n v="2.02"/>
    <s v="Paid"/>
    <s v=""/>
    <d v="2026-08-25T00:00:00"/>
    <d v="2026-08-25T00:00:00"/>
    <n v="38"/>
    <n v="0.47"/>
    <n v="17.86"/>
    <n v="-2.3000000000000007"/>
    <x v="0"/>
    <x v="4"/>
    <x v="11"/>
  </r>
  <r>
    <s v="CLM100553"/>
    <s v="PT10315"/>
    <s v="P06"/>
    <x v="3"/>
    <x v="7"/>
    <n v="1"/>
    <d v="2025-11-03T00:00:00"/>
    <d v="2025-11-12T00:00:00"/>
    <n v="206.07"/>
    <m/>
    <m/>
    <m/>
    <s v="Denied"/>
    <s v="CO-27"/>
    <d v="2025-12-14T00:00:00"/>
    <m/>
    <n v="210"/>
    <n v="0.27"/>
    <n v="56.7"/>
    <s v=""/>
    <x v="2"/>
    <x v="2"/>
    <x v="3"/>
  </r>
  <r>
    <s v="CLM100554"/>
    <s v="PT11194"/>
    <s v="P03"/>
    <x v="0"/>
    <x v="7"/>
    <n v="1"/>
    <d v="2026-08-18T00:00:00"/>
    <d v="2026-08-21T00:00:00"/>
    <n v="203.99"/>
    <n v="109.33"/>
    <n v="109.33"/>
    <n v="0"/>
    <s v="Paid"/>
    <s v=""/>
    <d v="2026-09-21T00:00:00"/>
    <d v="2026-09-21T00:00:00"/>
    <n v="210"/>
    <n v="0.47"/>
    <n v="98.7"/>
    <n v="-10.629999999999995"/>
    <x v="0"/>
    <x v="4"/>
    <x v="4"/>
  </r>
  <r>
    <s v="CLM100555"/>
    <s v="PT13222"/>
    <s v="P07"/>
    <x v="1"/>
    <x v="8"/>
    <n v="1"/>
    <d v="2026-01-27T00:00:00"/>
    <d v="2026-01-30T00:00:00"/>
    <n v="265.23"/>
    <m/>
    <m/>
    <m/>
    <s v="Denied"/>
    <s v="CO-4"/>
    <d v="2026-04-04T00:00:00"/>
    <m/>
    <n v="260"/>
    <n v="0.28000000000000003"/>
    <n v="72.8"/>
    <s v=""/>
    <x v="2"/>
    <x v="3"/>
    <x v="5"/>
  </r>
  <r>
    <s v="CLM100556"/>
    <s v="PT12533"/>
    <s v="P02"/>
    <x v="1"/>
    <x v="5"/>
    <n v="1"/>
    <d v="2026-02-11T00:00:00"/>
    <d v="2026-02-13T00:00:00"/>
    <n v="4721.3100000000004"/>
    <n v="2235.3200000000002"/>
    <n v="2235.3200000000002"/>
    <n v="0"/>
    <s v="Paid"/>
    <s v=""/>
    <d v="2026-03-21T00:00:00"/>
    <d v="2026-03-21T00:00:00"/>
    <n v="4800"/>
    <n v="0.43"/>
    <n v="2064"/>
    <n v="-171.32000000000016"/>
    <x v="0"/>
    <x v="6"/>
    <x v="0"/>
  </r>
  <r>
    <s v="CLM100557"/>
    <s v="PT10478"/>
    <s v="P04"/>
    <x v="2"/>
    <x v="0"/>
    <n v="1"/>
    <d v="2026-01-02T00:00:00"/>
    <d v="2026-01-10T00:00:00"/>
    <n v="149.12"/>
    <n v="47.9"/>
    <n v="47.9"/>
    <n v="0"/>
    <s v="Paid"/>
    <s v=""/>
    <d v="2026-01-31T00:00:00"/>
    <d v="2026-01-31T00:00:00"/>
    <n v="145"/>
    <n v="0.36"/>
    <n v="52.2"/>
    <n v="4.3000000000000043"/>
    <x v="1"/>
    <x v="1"/>
    <x v="5"/>
  </r>
  <r>
    <s v="CLM100558"/>
    <s v="PT11836"/>
    <s v="P04"/>
    <x v="1"/>
    <x v="11"/>
    <n v="1"/>
    <d v="2026-05-14T00:00:00"/>
    <d v="2026-05-15T00:00:00"/>
    <n v="1133.47"/>
    <n v="348.98"/>
    <n v="314.08"/>
    <n v="34.9"/>
    <s v="Paid"/>
    <s v=""/>
    <d v="2026-05-30T00:00:00"/>
    <d v="2026-05-30T00:00:00"/>
    <n v="1150"/>
    <n v="0.36"/>
    <n v="414"/>
    <n v="65.019999999999982"/>
    <x v="1"/>
    <x v="1"/>
    <x v="7"/>
  </r>
  <r>
    <s v="CLM100559"/>
    <s v="PT11311"/>
    <s v="P04"/>
    <x v="0"/>
    <x v="7"/>
    <n v="1"/>
    <d v="2025-12-02T00:00:00"/>
    <d v="2025-12-05T00:00:00"/>
    <n v="215.3"/>
    <n v="68.959999999999994"/>
    <n v="55.17"/>
    <n v="13.79"/>
    <s v="Paid"/>
    <s v=""/>
    <d v="2025-12-27T00:00:00"/>
    <d v="2025-12-27T00:00:00"/>
    <n v="210"/>
    <n v="0.36"/>
    <n v="75.599999999999994"/>
    <n v="6.6400000000000006"/>
    <x v="1"/>
    <x v="1"/>
    <x v="6"/>
  </r>
  <r>
    <s v="CLM100560"/>
    <s v="PT13275"/>
    <s v="P04"/>
    <x v="1"/>
    <x v="4"/>
    <n v="1"/>
    <d v="2026-06-17T00:00:00"/>
    <d v="2026-06-22T00:00:00"/>
    <n v="37.619999999999997"/>
    <n v="12.66"/>
    <n v="12.66"/>
    <n v="0"/>
    <s v="Paid"/>
    <s v=""/>
    <d v="2026-07-24T00:00:00"/>
    <d v="2026-07-24T00:00:00"/>
    <n v="38"/>
    <n v="0.36"/>
    <n v="13.68"/>
    <n v="1.0199999999999996"/>
    <x v="1"/>
    <x v="1"/>
    <x v="11"/>
  </r>
  <r>
    <s v="CLM100561"/>
    <s v="PT11645"/>
    <s v="P02"/>
    <x v="0"/>
    <x v="4"/>
    <n v="1"/>
    <d v="2025-11-27T00:00:00"/>
    <d v="2025-12-07T00:00:00"/>
    <n v="38.53"/>
    <m/>
    <m/>
    <m/>
    <s v="Denied"/>
    <s v="CO-4"/>
    <d v="2025-12-29T00:00:00"/>
    <m/>
    <n v="38"/>
    <n v="0.43"/>
    <n v="16.34"/>
    <s v=""/>
    <x v="2"/>
    <x v="6"/>
    <x v="3"/>
  </r>
  <r>
    <s v="CLM100562"/>
    <s v="PT12205"/>
    <s v="P01"/>
    <x v="1"/>
    <x v="11"/>
    <n v="1"/>
    <d v="2025-10-29T00:00:00"/>
    <d v="2025-10-30T00:00:00"/>
    <n v="1157.46"/>
    <n v="566.44000000000005"/>
    <n v="566.44000000000005"/>
    <n v="0"/>
    <s v="Paid"/>
    <s v=""/>
    <d v="2025-11-27T00:00:00"/>
    <d v="2025-11-27T00:00:00"/>
    <n v="1150"/>
    <n v="0.45"/>
    <n v="517.5"/>
    <n v="-48.940000000000055"/>
    <x v="0"/>
    <x v="5"/>
    <x v="9"/>
  </r>
  <r>
    <s v="CLM100563"/>
    <s v="PT12731"/>
    <s v="P05"/>
    <x v="2"/>
    <x v="0"/>
    <n v="1"/>
    <d v="2025-11-14T00:00:00"/>
    <d v="2025-11-17T00:00:00"/>
    <n v="149.13999999999999"/>
    <n v="57.25"/>
    <n v="57.25"/>
    <n v="0"/>
    <s v="Paid"/>
    <s v=""/>
    <d v="2025-12-28T00:00:00"/>
    <d v="2025-12-28T00:00:00"/>
    <n v="145"/>
    <n v="0.38"/>
    <n v="55.1"/>
    <n v="-2.1499999999999986"/>
    <x v="0"/>
    <x v="0"/>
    <x v="3"/>
  </r>
  <r>
    <s v="CLM100564"/>
    <s v="PT10883"/>
    <s v="P05"/>
    <x v="0"/>
    <x v="7"/>
    <n v="1"/>
    <d v="2026-05-07T00:00:00"/>
    <d v="2026-05-09T00:00:00"/>
    <n v="208.36"/>
    <n v="76.010000000000005"/>
    <n v="76.010000000000005"/>
    <n v="0"/>
    <s v="Paid"/>
    <s v=""/>
    <d v="2026-07-31T00:00:00"/>
    <d v="2026-07-31T00:00:00"/>
    <n v="210"/>
    <n v="0.38"/>
    <n v="79.8"/>
    <n v="3.789999999999992"/>
    <x v="0"/>
    <x v="0"/>
    <x v="7"/>
  </r>
  <r>
    <s v="CLM100565"/>
    <s v="PT12984"/>
    <s v="P05"/>
    <x v="3"/>
    <x v="6"/>
    <n v="1"/>
    <d v="2026-05-01T00:00:00"/>
    <d v="2026-05-03T00:00:00"/>
    <n v="427.65"/>
    <n v="187.51"/>
    <n v="150.01"/>
    <n v="37.5"/>
    <s v="Paid"/>
    <s v=""/>
    <d v="2026-06-19T00:00:00"/>
    <d v="2026-06-19T00:00:00"/>
    <n v="420"/>
    <n v="0.38"/>
    <n v="159.6"/>
    <n v="-27.909999999999997"/>
    <x v="0"/>
    <x v="0"/>
    <x v="7"/>
  </r>
  <r>
    <s v="CLM100566"/>
    <s v="PT10362"/>
    <s v="P06"/>
    <x v="2"/>
    <x v="2"/>
    <n v="1"/>
    <d v="2026-08-03T00:00:00"/>
    <d v="2026-08-05T00:00:00"/>
    <n v="60.67"/>
    <n v="15.54"/>
    <n v="12.43"/>
    <n v="3.11"/>
    <s v="Paid"/>
    <s v=""/>
    <d v="2026-09-28T00:00:00"/>
    <d v="2026-09-28T00:00:00"/>
    <n v="62"/>
    <n v="0.27"/>
    <n v="16.739999999999998"/>
    <n v="1.1999999999999993"/>
    <x v="1"/>
    <x v="2"/>
    <x v="4"/>
  </r>
  <r>
    <s v="CLM100567"/>
    <s v="PT10761"/>
    <s v="P07"/>
    <x v="1"/>
    <x v="4"/>
    <n v="1"/>
    <d v="2026-05-01T00:00:00"/>
    <d v="2026-05-04T00:00:00"/>
    <n v="37.26"/>
    <n v="11.74"/>
    <n v="11.74"/>
    <n v="0"/>
    <s v="Paid"/>
    <s v=""/>
    <d v="2026-06-24T00:00:00"/>
    <d v="2026-06-24T00:00:00"/>
    <n v="38"/>
    <n v="0.28000000000000003"/>
    <n v="10.64"/>
    <n v="-1.0999999999999996"/>
    <x v="0"/>
    <x v="3"/>
    <x v="7"/>
  </r>
  <r>
    <s v="CLM100568"/>
    <s v="PT10508"/>
    <s v="P04"/>
    <x v="2"/>
    <x v="9"/>
    <n v="1"/>
    <d v="2025-10-22T00:00:00"/>
    <d v="2025-10-24T00:00:00"/>
    <n v="59.16"/>
    <n v="18.16"/>
    <n v="14.53"/>
    <n v="3.63"/>
    <s v="Paid"/>
    <s v=""/>
    <d v="2025-11-15T00:00:00"/>
    <d v="2025-11-15T00:00:00"/>
    <n v="58"/>
    <n v="0.36"/>
    <n v="20.88"/>
    <n v="2.7199999999999989"/>
    <x v="1"/>
    <x v="1"/>
    <x v="9"/>
  </r>
  <r>
    <s v="CLM100569"/>
    <s v="PT10273"/>
    <s v="P03"/>
    <x v="3"/>
    <x v="6"/>
    <n v="1"/>
    <d v="2026-06-09T00:00:00"/>
    <d v="2026-06-14T00:00:00"/>
    <n v="430.25"/>
    <m/>
    <m/>
    <m/>
    <s v="Denied"/>
    <s v="CO-16"/>
    <d v="2026-07-29T00:00:00"/>
    <m/>
    <n v="420"/>
    <n v="0.47"/>
    <n v="197.4"/>
    <s v=""/>
    <x v="2"/>
    <x v="4"/>
    <x v="11"/>
  </r>
  <r>
    <s v="CLM100570"/>
    <s v="PT10667"/>
    <s v="P04"/>
    <x v="0"/>
    <x v="4"/>
    <n v="1"/>
    <d v="2026-02-10T00:00:00"/>
    <d v="2026-02-13T00:00:00"/>
    <n v="38.29"/>
    <n v="12.15"/>
    <n v="10.93"/>
    <n v="1.22"/>
    <s v="Paid"/>
    <s v=""/>
    <d v="2026-02-23T00:00:00"/>
    <d v="2026-02-23T00:00:00"/>
    <n v="38"/>
    <n v="0.36"/>
    <n v="13.68"/>
    <n v="1.5299999999999994"/>
    <x v="1"/>
    <x v="1"/>
    <x v="0"/>
  </r>
  <r>
    <s v="CLM100571"/>
    <s v="PT11458"/>
    <s v="P02"/>
    <x v="0"/>
    <x v="7"/>
    <n v="1"/>
    <d v="2026-09-20T00:00:00"/>
    <d v="2026-09-21T00:00:00"/>
    <n v="205.41"/>
    <m/>
    <m/>
    <m/>
    <s v="Pending"/>
    <s v=""/>
    <m/>
    <m/>
    <n v="210"/>
    <n v="0.43"/>
    <n v="90.3"/>
    <s v=""/>
    <x v="2"/>
    <x v="6"/>
    <x v="8"/>
  </r>
  <r>
    <s v="CLM100572"/>
    <s v="PT13386"/>
    <s v="P04"/>
    <x v="1"/>
    <x v="11"/>
    <n v="1"/>
    <d v="2025-11-09T00:00:00"/>
    <d v="2025-11-15T00:00:00"/>
    <n v="1150.96"/>
    <n v="362.07"/>
    <n v="325.86"/>
    <n v="36.21"/>
    <s v="Paid"/>
    <s v=""/>
    <d v="2025-12-03T00:00:00"/>
    <d v="2025-12-03T00:00:00"/>
    <n v="1150"/>
    <n v="0.36"/>
    <n v="414"/>
    <n v="51.930000000000007"/>
    <x v="1"/>
    <x v="1"/>
    <x v="3"/>
  </r>
  <r>
    <s v="CLM100573"/>
    <s v="PT11152"/>
    <s v="P02"/>
    <x v="2"/>
    <x v="9"/>
    <n v="4"/>
    <d v="2026-09-23T00:00:00"/>
    <d v="2026-09-27T00:00:00"/>
    <n v="230.09"/>
    <m/>
    <m/>
    <m/>
    <s v="Pending"/>
    <s v=""/>
    <m/>
    <m/>
    <n v="58"/>
    <n v="0.43"/>
    <n v="99.76"/>
    <s v=""/>
    <x v="2"/>
    <x v="6"/>
    <x v="8"/>
  </r>
  <r>
    <s v="CLM100574"/>
    <s v="PT11709"/>
    <s v="P02"/>
    <x v="0"/>
    <x v="4"/>
    <n v="1"/>
    <d v="2025-12-23T00:00:00"/>
    <d v="2025-12-24T00:00:00"/>
    <n v="37.090000000000003"/>
    <n v="14.32"/>
    <n v="14.32"/>
    <n v="0"/>
    <s v="Paid"/>
    <s v=""/>
    <d v="2026-02-04T00:00:00"/>
    <d v="2026-02-04T00:00:00"/>
    <n v="38"/>
    <n v="0.43"/>
    <n v="16.34"/>
    <n v="2.0199999999999996"/>
    <x v="1"/>
    <x v="6"/>
    <x v="6"/>
  </r>
  <r>
    <s v="CLM100575"/>
    <s v="PT12447"/>
    <s v="P01"/>
    <x v="0"/>
    <x v="0"/>
    <n v="1"/>
    <d v="2025-12-07T00:00:00"/>
    <d v="2025-12-10T00:00:00"/>
    <n v="148.68"/>
    <n v="64.05"/>
    <n v="51.24"/>
    <n v="12.81"/>
    <s v="Paid"/>
    <s v=""/>
    <d v="2025-12-31T00:00:00"/>
    <d v="2025-12-31T00:00:00"/>
    <n v="145"/>
    <n v="0.45"/>
    <n v="65.25"/>
    <n v="1.2000000000000028"/>
    <x v="0"/>
    <x v="5"/>
    <x v="6"/>
  </r>
  <r>
    <s v="CLM100576"/>
    <s v="PT10859"/>
    <s v="P01"/>
    <x v="0"/>
    <x v="8"/>
    <n v="1"/>
    <d v="2026-03-05T00:00:00"/>
    <d v="2026-03-12T00:00:00"/>
    <n v="252.65"/>
    <n v="126.31"/>
    <n v="126.31"/>
    <n v="0"/>
    <s v="Paid"/>
    <s v=""/>
    <d v="2026-04-12T00:00:00"/>
    <d v="2026-04-12T00:00:00"/>
    <n v="260"/>
    <n v="0.45"/>
    <n v="117"/>
    <n v="-9.3100000000000023"/>
    <x v="0"/>
    <x v="5"/>
    <x v="2"/>
  </r>
  <r>
    <s v="CLM100577"/>
    <s v="PT10134"/>
    <s v="P03"/>
    <x v="1"/>
    <x v="8"/>
    <n v="1"/>
    <d v="2025-11-27T00:00:00"/>
    <d v="2025-12-03T00:00:00"/>
    <n v="253.41"/>
    <n v="102.69"/>
    <n v="102.69"/>
    <n v="0"/>
    <s v="Paid"/>
    <s v=""/>
    <d v="2026-01-24T00:00:00"/>
    <d v="2026-01-24T00:00:00"/>
    <n v="260"/>
    <n v="0.47"/>
    <n v="122.2"/>
    <n v="19.510000000000005"/>
    <x v="1"/>
    <x v="4"/>
    <x v="3"/>
  </r>
  <r>
    <s v="CLM100578"/>
    <s v="PT10841"/>
    <s v="P04"/>
    <x v="3"/>
    <x v="7"/>
    <n v="1"/>
    <d v="2026-05-29T00:00:00"/>
    <d v="2026-05-31T00:00:00"/>
    <n v="205.2"/>
    <m/>
    <m/>
    <m/>
    <s v="Denied"/>
    <s v="CO-4"/>
    <d v="2026-06-20T00:00:00"/>
    <m/>
    <n v="210"/>
    <n v="0.36"/>
    <n v="75.599999999999994"/>
    <s v=""/>
    <x v="2"/>
    <x v="1"/>
    <x v="7"/>
  </r>
  <r>
    <s v="CLM100579"/>
    <s v="PT10657"/>
    <s v="P02"/>
    <x v="1"/>
    <x v="4"/>
    <n v="1"/>
    <d v="2025-11-16T00:00:00"/>
    <d v="2025-11-22T00:00:00"/>
    <n v="37.19"/>
    <n v="16.29"/>
    <n v="14.66"/>
    <n v="1.63"/>
    <s v="Paid"/>
    <s v=""/>
    <d v="2025-12-02T00:00:00"/>
    <d v="2025-12-02T00:00:00"/>
    <n v="38"/>
    <n v="0.43"/>
    <n v="16.34"/>
    <n v="5.0000000000000711E-2"/>
    <x v="0"/>
    <x v="6"/>
    <x v="3"/>
  </r>
  <r>
    <s v="CLM100580"/>
    <s v="PT12200"/>
    <s v="P04"/>
    <x v="2"/>
    <x v="0"/>
    <n v="1"/>
    <d v="2026-06-16T00:00:00"/>
    <d v="2026-06-17T00:00:00"/>
    <n v="145.61000000000001"/>
    <m/>
    <m/>
    <m/>
    <s v="Denied"/>
    <s v="CO-16"/>
    <d v="2026-07-02T00:00:00"/>
    <m/>
    <n v="145"/>
    <n v="0.36"/>
    <n v="52.2"/>
    <s v=""/>
    <x v="2"/>
    <x v="1"/>
    <x v="11"/>
  </r>
  <r>
    <s v="CLM100581"/>
    <s v="PT10877"/>
    <s v="P02"/>
    <x v="2"/>
    <x v="9"/>
    <n v="1"/>
    <d v="2026-07-29T00:00:00"/>
    <d v="2026-08-11T00:00:00"/>
    <n v="57.79"/>
    <m/>
    <m/>
    <m/>
    <s v="Pending"/>
    <s v=""/>
    <m/>
    <m/>
    <n v="58"/>
    <n v="0.43"/>
    <n v="24.94"/>
    <s v=""/>
    <x v="2"/>
    <x v="6"/>
    <x v="1"/>
  </r>
  <r>
    <s v="CLM100582"/>
    <s v="PT10336"/>
    <s v="P01"/>
    <x v="0"/>
    <x v="4"/>
    <n v="1"/>
    <d v="2026-03-10T00:00:00"/>
    <d v="2026-03-11T00:00:00"/>
    <n v="37.14"/>
    <n v="18.079999999999998"/>
    <n v="18.079999999999998"/>
    <n v="0"/>
    <s v="Paid"/>
    <s v=""/>
    <d v="2026-04-04T00:00:00"/>
    <d v="2026-04-04T00:00:00"/>
    <n v="38"/>
    <n v="0.45"/>
    <n v="17.100000000000001"/>
    <n v="-0.97999999999999687"/>
    <x v="0"/>
    <x v="5"/>
    <x v="2"/>
  </r>
  <r>
    <s v="CLM100583"/>
    <s v="PT11190"/>
    <s v="P02"/>
    <x v="1"/>
    <x v="8"/>
    <n v="1"/>
    <d v="2026-05-22T00:00:00"/>
    <d v="2026-05-24T00:00:00"/>
    <n v="261.57"/>
    <n v="109.87"/>
    <n v="87.9"/>
    <n v="21.97"/>
    <s v="Paid"/>
    <s v=""/>
    <d v="2026-06-13T00:00:00"/>
    <d v="2026-06-13T00:00:00"/>
    <n v="260"/>
    <n v="0.43"/>
    <n v="111.8"/>
    <n v="1.9299999999999926"/>
    <x v="0"/>
    <x v="6"/>
    <x v="7"/>
  </r>
  <r>
    <s v="CLM100584"/>
    <s v="PT10348"/>
    <s v="P01"/>
    <x v="2"/>
    <x v="9"/>
    <n v="2"/>
    <d v="2025-11-05T00:00:00"/>
    <d v="2026-03-23T00:00:00"/>
    <n v="119.06"/>
    <m/>
    <m/>
    <m/>
    <s v="Denied"/>
    <s v="CO-29"/>
    <d v="2026-04-08T00:00:00"/>
    <m/>
    <n v="58"/>
    <n v="0.45"/>
    <n v="52.2"/>
    <s v=""/>
    <x v="2"/>
    <x v="5"/>
    <x v="3"/>
  </r>
  <r>
    <s v="CLM100585"/>
    <s v="PT10815"/>
    <s v="P02"/>
    <x v="1"/>
    <x v="10"/>
    <n v="1"/>
    <d v="2026-07-30T00:00:00"/>
    <d v="2026-08-05T00:00:00"/>
    <n v="1080.0899999999999"/>
    <n v="414.15"/>
    <n v="372.74"/>
    <n v="41.41"/>
    <s v="Paid"/>
    <s v=""/>
    <d v="2026-09-11T00:00:00"/>
    <d v="2026-09-11T00:00:00"/>
    <n v="1050"/>
    <n v="0.43"/>
    <n v="451.5"/>
    <n v="37.350000000000023"/>
    <x v="1"/>
    <x v="6"/>
    <x v="1"/>
  </r>
  <r>
    <s v="CLM100586"/>
    <s v="PT13097"/>
    <s v="P06"/>
    <x v="1"/>
    <x v="1"/>
    <n v="1"/>
    <d v="2026-04-25T00:00:00"/>
    <d v="2026-05-03T00:00:00"/>
    <n v="234.57"/>
    <n v="58.97"/>
    <n v="53.07"/>
    <n v="5.9"/>
    <s v="Paid"/>
    <s v=""/>
    <d v="2026-06-08T00:00:00"/>
    <d v="2026-06-08T00:00:00"/>
    <n v="240"/>
    <n v="0.27"/>
    <n v="64.8"/>
    <n v="5.8299999999999983"/>
    <x v="1"/>
    <x v="2"/>
    <x v="10"/>
  </r>
  <r>
    <s v="CLM100587"/>
    <s v="PT10603"/>
    <s v="P07"/>
    <x v="3"/>
    <x v="7"/>
    <n v="1"/>
    <d v="2026-04-01T00:00:00"/>
    <d v="2026-04-05T00:00:00"/>
    <n v="209.7"/>
    <n v="58.22"/>
    <n v="52.4"/>
    <n v="5.82"/>
    <s v="Paid"/>
    <s v=""/>
    <d v="2026-05-12T00:00:00"/>
    <d v="2026-05-12T00:00:00"/>
    <n v="210"/>
    <n v="0.28000000000000003"/>
    <n v="58.8"/>
    <n v="0.57999999999999829"/>
    <x v="0"/>
    <x v="3"/>
    <x v="10"/>
  </r>
  <r>
    <s v="CLM100588"/>
    <s v="PT10733"/>
    <s v="P01"/>
    <x v="3"/>
    <x v="3"/>
    <n v="30"/>
    <d v="2026-06-08T00:00:00"/>
    <d v="2026-06-20T00:00:00"/>
    <n v="42797.440000000002"/>
    <m/>
    <m/>
    <m/>
    <s v="Denied"/>
    <s v="CO-16"/>
    <d v="2026-07-16T00:00:00"/>
    <m/>
    <n v="1450"/>
    <n v="0.45"/>
    <n v="19575"/>
    <s v=""/>
    <x v="2"/>
    <x v="5"/>
    <x v="11"/>
  </r>
  <r>
    <s v="CLM100589"/>
    <s v="PT12221"/>
    <s v="P05"/>
    <x v="3"/>
    <x v="7"/>
    <n v="1"/>
    <d v="2026-06-10T00:00:00"/>
    <d v="2026-06-11T00:00:00"/>
    <n v="213.69"/>
    <n v="81.489999999999995"/>
    <n v="73.34"/>
    <n v="8.15"/>
    <s v="Paid"/>
    <s v=""/>
    <d v="2026-08-02T00:00:00"/>
    <d v="2026-08-02T00:00:00"/>
    <n v="210"/>
    <n v="0.38"/>
    <n v="79.8"/>
    <n v="-1.6899999999999977"/>
    <x v="0"/>
    <x v="0"/>
    <x v="11"/>
  </r>
  <r>
    <s v="CLM100590"/>
    <s v="PT10147"/>
    <s v="P08"/>
    <x v="0"/>
    <x v="0"/>
    <n v="1"/>
    <d v="2025-10-17T00:00:00"/>
    <d v="2025-10-26T00:00:00"/>
    <n v="149.27000000000001"/>
    <m/>
    <m/>
    <m/>
    <s v="Pending"/>
    <s v=""/>
    <m/>
    <m/>
    <n v="145"/>
    <n v="1"/>
    <n v="145"/>
    <s v=""/>
    <x v="2"/>
    <x v="7"/>
    <x v="9"/>
  </r>
  <r>
    <s v="CLM100591"/>
    <s v="PT11996"/>
    <s v="P04"/>
    <x v="1"/>
    <x v="1"/>
    <n v="1"/>
    <d v="2026-03-05T00:00:00"/>
    <d v="2026-03-06T00:00:00"/>
    <n v="245.54"/>
    <n v="83.24"/>
    <n v="66.59"/>
    <n v="16.649999999999999"/>
    <s v="Paid"/>
    <s v=""/>
    <d v="2026-03-27T00:00:00"/>
    <d v="2026-03-27T00:00:00"/>
    <n v="240"/>
    <n v="0.36"/>
    <n v="86.4"/>
    <n v="3.1600000000000108"/>
    <x v="0"/>
    <x v="1"/>
    <x v="2"/>
  </r>
  <r>
    <s v="CLM100592"/>
    <s v="PT11078"/>
    <s v="P05"/>
    <x v="3"/>
    <x v="7"/>
    <n v="1"/>
    <d v="2026-09-03T00:00:00"/>
    <d v="2026-09-07T00:00:00"/>
    <n v="210.68"/>
    <m/>
    <m/>
    <m/>
    <s v="Pending"/>
    <s v=""/>
    <m/>
    <m/>
    <n v="210"/>
    <n v="0.38"/>
    <n v="79.8"/>
    <s v=""/>
    <x v="2"/>
    <x v="0"/>
    <x v="8"/>
  </r>
  <r>
    <s v="CLM100593"/>
    <s v="PT11500"/>
    <s v="P04"/>
    <x v="0"/>
    <x v="4"/>
    <n v="1"/>
    <d v="2026-03-30T00:00:00"/>
    <d v="2026-04-01T00:00:00"/>
    <n v="38.61"/>
    <m/>
    <m/>
    <m/>
    <s v="Denied"/>
    <s v="CO-4"/>
    <d v="2026-04-20T00:00:00"/>
    <m/>
    <n v="38"/>
    <n v="0.36"/>
    <n v="13.68"/>
    <s v=""/>
    <x v="2"/>
    <x v="1"/>
    <x v="2"/>
  </r>
  <r>
    <s v="CLM100594"/>
    <s v="PT10468"/>
    <s v="P02"/>
    <x v="0"/>
    <x v="8"/>
    <n v="1"/>
    <d v="2025-10-29T00:00:00"/>
    <d v="2025-10-31T00:00:00"/>
    <n v="262.52"/>
    <n v="115.46"/>
    <n v="103.91"/>
    <n v="11.55"/>
    <s v="Paid"/>
    <s v=""/>
    <d v="2025-12-04T00:00:00"/>
    <d v="2025-12-04T00:00:00"/>
    <n v="260"/>
    <n v="0.43"/>
    <n v="111.8"/>
    <n v="-3.6599999999999966"/>
    <x v="0"/>
    <x v="6"/>
    <x v="9"/>
  </r>
  <r>
    <s v="CLM100595"/>
    <s v="PT10083"/>
    <s v="P04"/>
    <x v="1"/>
    <x v="8"/>
    <n v="1"/>
    <d v="2025-10-20T00:00:00"/>
    <d v="2025-10-28T00:00:00"/>
    <n v="259.39"/>
    <n v="105.04"/>
    <n v="94.54"/>
    <n v="10.5"/>
    <s v="Paid"/>
    <s v=""/>
    <d v="2025-11-13T00:00:00"/>
    <d v="2025-11-13T00:00:00"/>
    <n v="260"/>
    <n v="0.36"/>
    <n v="93.6"/>
    <n v="-11.440000000000012"/>
    <x v="0"/>
    <x v="1"/>
    <x v="9"/>
  </r>
  <r>
    <s v="CLM100596"/>
    <s v="PT12034"/>
    <s v="P01"/>
    <x v="3"/>
    <x v="7"/>
    <n v="1"/>
    <d v="2026-03-12T00:00:00"/>
    <d v="2026-03-14T00:00:00"/>
    <n v="208.46"/>
    <n v="102.81"/>
    <n v="92.53"/>
    <n v="10.28"/>
    <s v="Paid"/>
    <s v=""/>
    <d v="2026-04-21T00:00:00"/>
    <d v="2026-04-21T00:00:00"/>
    <n v="210"/>
    <n v="0.45"/>
    <n v="94.5"/>
    <n v="-8.3100000000000023"/>
    <x v="0"/>
    <x v="5"/>
    <x v="2"/>
  </r>
  <r>
    <s v="CLM100597"/>
    <s v="PT13442"/>
    <s v="P01"/>
    <x v="0"/>
    <x v="8"/>
    <n v="1"/>
    <d v="2026-03-03T00:00:00"/>
    <d v="2026-03-06T00:00:00"/>
    <n v="257.87"/>
    <n v="128.58000000000001"/>
    <n v="128.58000000000001"/>
    <n v="0"/>
    <s v="Paid"/>
    <s v=""/>
    <d v="2026-04-10T00:00:00"/>
    <d v="2026-04-10T00:00:00"/>
    <n v="260"/>
    <n v="0.45"/>
    <n v="117"/>
    <n v="-11.580000000000013"/>
    <x v="0"/>
    <x v="5"/>
    <x v="2"/>
  </r>
  <r>
    <s v="CLM100598"/>
    <s v="PT11119"/>
    <s v="P02"/>
    <x v="2"/>
    <x v="2"/>
    <n v="1"/>
    <d v="2025-10-25T00:00:00"/>
    <d v="2025-10-28T00:00:00"/>
    <n v="63.85"/>
    <n v="23.83"/>
    <n v="21.45"/>
    <n v="2.38"/>
    <s v="Paid"/>
    <s v=""/>
    <d v="2025-12-01T00:00:00"/>
    <d v="2025-12-01T00:00:00"/>
    <n v="62"/>
    <n v="0.43"/>
    <n v="26.66"/>
    <n v="2.8300000000000018"/>
    <x v="1"/>
    <x v="6"/>
    <x v="9"/>
  </r>
  <r>
    <s v="CLM100599"/>
    <s v="PT11773"/>
    <s v="P04"/>
    <x v="1"/>
    <x v="5"/>
    <n v="1"/>
    <d v="2026-05-07T00:00:00"/>
    <d v="2026-05-14T00:00:00"/>
    <n v="4716.3999999999996"/>
    <n v="1593.23"/>
    <n v="1433.91"/>
    <n v="159.32"/>
    <s v="Paid"/>
    <s v=""/>
    <d v="2026-05-30T00:00:00"/>
    <d v="2026-05-30T00:00:00"/>
    <n v="4800"/>
    <n v="0.36"/>
    <n v="1728"/>
    <n v="134.76999999999998"/>
    <x v="1"/>
    <x v="1"/>
    <x v="7"/>
  </r>
  <r>
    <s v="CLM100600"/>
    <s v="PT12362"/>
    <s v="P01"/>
    <x v="3"/>
    <x v="6"/>
    <n v="1"/>
    <d v="2026-04-24T00:00:00"/>
    <d v="2026-04-27T00:00:00"/>
    <n v="413.73"/>
    <n v="188.93"/>
    <n v="188.93"/>
    <n v="0"/>
    <s v="Paid"/>
    <s v=""/>
    <d v="2026-06-02T00:00:00"/>
    <d v="2026-06-02T00:00:00"/>
    <n v="420"/>
    <n v="0.45"/>
    <n v="189"/>
    <n v="6.9999999999993179E-2"/>
    <x v="0"/>
    <x v="5"/>
    <x v="10"/>
  </r>
  <r>
    <s v="CLM100601"/>
    <s v="PT12139"/>
    <s v="P02"/>
    <x v="0"/>
    <x v="4"/>
    <n v="1"/>
    <d v="2026-08-23T00:00:00"/>
    <d v="2026-08-27T00:00:00"/>
    <n v="38.07"/>
    <n v="15.94"/>
    <n v="15.94"/>
    <n v="0"/>
    <s v="Paid"/>
    <s v=""/>
    <d v="2026-09-18T00:00:00"/>
    <d v="2026-09-18T00:00:00"/>
    <n v="38"/>
    <n v="0.43"/>
    <n v="16.34"/>
    <n v="0.40000000000000036"/>
    <x v="0"/>
    <x v="6"/>
    <x v="4"/>
  </r>
  <r>
    <s v="CLM100602"/>
    <s v="PT13465"/>
    <s v="P01"/>
    <x v="1"/>
    <x v="10"/>
    <n v="1"/>
    <d v="2025-12-17T00:00:00"/>
    <d v="2025-12-23T00:00:00"/>
    <n v="1065.53"/>
    <n v="466.1"/>
    <n v="466.1"/>
    <n v="0"/>
    <s v="Paid"/>
    <s v=""/>
    <d v="2026-01-31T00:00:00"/>
    <d v="2026-01-31T00:00:00"/>
    <n v="1050"/>
    <n v="0.45"/>
    <n v="472.5"/>
    <n v="6.3999999999999773"/>
    <x v="0"/>
    <x v="5"/>
    <x v="6"/>
  </r>
  <r>
    <s v="CLM100603"/>
    <s v="PT11005"/>
    <s v="P04"/>
    <x v="0"/>
    <x v="8"/>
    <n v="1"/>
    <d v="2026-02-09T00:00:00"/>
    <d v="2026-02-11T00:00:00"/>
    <n v="262.91000000000003"/>
    <n v="84.34"/>
    <n v="84.34"/>
    <n v="0"/>
    <s v="Paid"/>
    <s v=""/>
    <d v="2026-02-19T00:00:00"/>
    <d v="2026-02-19T00:00:00"/>
    <n v="260"/>
    <n v="0.36"/>
    <n v="93.6"/>
    <n v="9.2599999999999909"/>
    <x v="1"/>
    <x v="1"/>
    <x v="0"/>
  </r>
  <r>
    <s v="CLM100604"/>
    <s v="PT12697"/>
    <s v="P03"/>
    <x v="3"/>
    <x v="6"/>
    <n v="1"/>
    <d v="2026-07-14T00:00:00"/>
    <d v="2026-07-17T00:00:00"/>
    <n v="432.38"/>
    <n v="185.36"/>
    <n v="166.82"/>
    <n v="18.54"/>
    <s v="Paid"/>
    <s v=""/>
    <d v="2026-08-30T00:00:00"/>
    <d v="2026-08-30T00:00:00"/>
    <n v="420"/>
    <n v="0.47"/>
    <n v="197.4"/>
    <n v="12.039999999999992"/>
    <x v="1"/>
    <x v="4"/>
    <x v="1"/>
  </r>
  <r>
    <s v="CLM100605"/>
    <s v="PT11220"/>
    <s v="P08"/>
    <x v="0"/>
    <x v="0"/>
    <n v="1"/>
    <d v="2026-06-06T00:00:00"/>
    <d v="2026-06-07T00:00:00"/>
    <n v="147.46"/>
    <m/>
    <m/>
    <m/>
    <s v="Pending"/>
    <s v=""/>
    <m/>
    <m/>
    <n v="145"/>
    <n v="1"/>
    <n v="145"/>
    <s v=""/>
    <x v="2"/>
    <x v="7"/>
    <x v="11"/>
  </r>
  <r>
    <s v="CLM100606"/>
    <s v="PT10494"/>
    <s v="P07"/>
    <x v="2"/>
    <x v="9"/>
    <n v="4"/>
    <d v="2026-09-09T00:00:00"/>
    <d v="2026-09-12T00:00:00"/>
    <n v="237.37"/>
    <m/>
    <m/>
    <m/>
    <s v="Pending"/>
    <s v=""/>
    <m/>
    <m/>
    <n v="58"/>
    <n v="0.28000000000000003"/>
    <n v="64.959999999999994"/>
    <s v=""/>
    <x v="2"/>
    <x v="3"/>
    <x v="8"/>
  </r>
  <r>
    <s v="CLM100607"/>
    <s v="PT13300"/>
    <s v="P03"/>
    <x v="0"/>
    <x v="8"/>
    <n v="1"/>
    <d v="2025-11-16T00:00:00"/>
    <d v="2025-11-17T00:00:00"/>
    <n v="255.91"/>
    <n v="114.5"/>
    <n v="91.6"/>
    <n v="22.9"/>
    <s v="Paid"/>
    <s v=""/>
    <d v="2025-12-25T00:00:00"/>
    <d v="2025-12-25T00:00:00"/>
    <n v="260"/>
    <n v="0.47"/>
    <n v="122.2"/>
    <n v="7.7000000000000028"/>
    <x v="1"/>
    <x v="4"/>
    <x v="3"/>
  </r>
  <r>
    <s v="CLM100608"/>
    <s v="PT12865"/>
    <s v="P07"/>
    <x v="3"/>
    <x v="3"/>
    <n v="10"/>
    <d v="2026-01-20T00:00:00"/>
    <d v="2026-01-21T00:00:00"/>
    <n v="14157.93"/>
    <m/>
    <m/>
    <m/>
    <s v="Denied"/>
    <s v="CO-50"/>
    <d v="2026-04-13T00:00:00"/>
    <m/>
    <n v="1450"/>
    <n v="0.28000000000000003"/>
    <n v="4060"/>
    <s v=""/>
    <x v="2"/>
    <x v="3"/>
    <x v="5"/>
  </r>
  <r>
    <s v="CLM100609"/>
    <s v="PT13364"/>
    <s v="P03"/>
    <x v="1"/>
    <x v="10"/>
    <n v="1"/>
    <d v="2026-02-04T00:00:00"/>
    <d v="2026-02-13T00:00:00"/>
    <n v="1079.19"/>
    <n v="488.18"/>
    <n v="439.36"/>
    <n v="48.82"/>
    <s v="Paid"/>
    <s v=""/>
    <d v="2026-04-04T00:00:00"/>
    <d v="2026-04-04T00:00:00"/>
    <n v="1050"/>
    <n v="0.47"/>
    <n v="493.5"/>
    <n v="5.3199999999999932"/>
    <x v="0"/>
    <x v="4"/>
    <x v="0"/>
  </r>
  <r>
    <s v="CLM100610"/>
    <s v="PT12750"/>
    <s v="P08"/>
    <x v="1"/>
    <x v="4"/>
    <n v="1"/>
    <d v="2026-08-07T00:00:00"/>
    <d v="2026-08-13T00:00:00"/>
    <n v="36.94"/>
    <m/>
    <m/>
    <m/>
    <s v="Pending"/>
    <s v=""/>
    <m/>
    <m/>
    <n v="38"/>
    <n v="1"/>
    <n v="38"/>
    <s v=""/>
    <x v="2"/>
    <x v="7"/>
    <x v="4"/>
  </r>
  <r>
    <s v="CLM100611"/>
    <s v="PT10968"/>
    <s v="P02"/>
    <x v="1"/>
    <x v="1"/>
    <n v="1"/>
    <d v="2026-08-24T00:00:00"/>
    <d v="2026-08-26T00:00:00"/>
    <n v="246.6"/>
    <m/>
    <m/>
    <m/>
    <s v="Pending"/>
    <s v=""/>
    <m/>
    <m/>
    <n v="240"/>
    <n v="0.43"/>
    <n v="103.2"/>
    <s v=""/>
    <x v="2"/>
    <x v="6"/>
    <x v="4"/>
  </r>
  <r>
    <s v="CLM100612"/>
    <s v="PT13326"/>
    <s v="P01"/>
    <x v="2"/>
    <x v="9"/>
    <n v="1"/>
    <d v="2026-04-20T00:00:00"/>
    <d v="2026-05-02T00:00:00"/>
    <n v="57.31"/>
    <n v="28.67"/>
    <n v="25.8"/>
    <n v="2.87"/>
    <s v="Paid"/>
    <s v=""/>
    <d v="2026-06-03T00:00:00"/>
    <d v="2026-06-03T00:00:00"/>
    <n v="58"/>
    <n v="0.45"/>
    <n v="26.1"/>
    <n v="-2.5700000000000003"/>
    <x v="0"/>
    <x v="5"/>
    <x v="10"/>
  </r>
  <r>
    <s v="CLM100613"/>
    <s v="PT13445"/>
    <s v="P06"/>
    <x v="3"/>
    <x v="6"/>
    <n v="1"/>
    <d v="2026-02-18T00:00:00"/>
    <d v="2026-02-25T00:00:00"/>
    <n v="429.23"/>
    <n v="114.85"/>
    <n v="91.88"/>
    <n v="22.97"/>
    <s v="Paid"/>
    <s v=""/>
    <d v="2026-04-16T00:00:00"/>
    <d v="2026-04-16T00:00:00"/>
    <n v="420"/>
    <n v="0.27"/>
    <n v="113.4"/>
    <n v="-1.4499999999999886"/>
    <x v="0"/>
    <x v="2"/>
    <x v="0"/>
  </r>
  <r>
    <s v="CLM100614"/>
    <s v="PT11856"/>
    <s v="P07"/>
    <x v="1"/>
    <x v="10"/>
    <n v="1"/>
    <d v="2025-11-21T00:00:00"/>
    <d v="2025-11-26T00:00:00"/>
    <n v="1070.44"/>
    <n v="284.89"/>
    <n v="256.39999999999998"/>
    <n v="28.49"/>
    <s v="Paid"/>
    <s v=""/>
    <d v="2025-12-30T00:00:00"/>
    <d v="2025-12-30T00:00:00"/>
    <n v="1050"/>
    <n v="0.28000000000000003"/>
    <n v="294"/>
    <n v="9.1100000000000136"/>
    <x v="0"/>
    <x v="3"/>
    <x v="3"/>
  </r>
  <r>
    <s v="CLM100615"/>
    <s v="PT12358"/>
    <s v="P04"/>
    <x v="3"/>
    <x v="3"/>
    <n v="30"/>
    <d v="2026-01-03T00:00:00"/>
    <d v="2026-01-04T00:00:00"/>
    <n v="44259.56"/>
    <n v="16569.419999999998"/>
    <n v="14912.48"/>
    <n v="1656.94"/>
    <s v="Paid"/>
    <s v=""/>
    <d v="2026-01-16T00:00:00"/>
    <d v="2026-01-16T00:00:00"/>
    <n v="1450"/>
    <n v="0.36"/>
    <n v="15660"/>
    <n v="-909.41999999999825"/>
    <x v="0"/>
    <x v="1"/>
    <x v="5"/>
  </r>
  <r>
    <s v="CLM100616"/>
    <s v="PT13011"/>
    <s v="P02"/>
    <x v="1"/>
    <x v="7"/>
    <n v="1"/>
    <d v="2026-08-29T00:00:00"/>
    <d v="2026-09-06T00:00:00"/>
    <n v="213.32"/>
    <m/>
    <m/>
    <m/>
    <s v="Pending"/>
    <s v=""/>
    <m/>
    <m/>
    <n v="210"/>
    <n v="0.43"/>
    <n v="90.3"/>
    <s v=""/>
    <x v="2"/>
    <x v="6"/>
    <x v="4"/>
  </r>
  <r>
    <s v="CLM100617"/>
    <s v="PT13418"/>
    <s v="P05"/>
    <x v="1"/>
    <x v="7"/>
    <n v="1"/>
    <d v="2026-03-17T00:00:00"/>
    <d v="2026-03-18T00:00:00"/>
    <n v="213.77"/>
    <n v="73.67"/>
    <n v="58.94"/>
    <n v="14.73"/>
    <s v="Paid"/>
    <s v=""/>
    <d v="2026-05-25T00:00:00"/>
    <d v="2026-05-25T00:00:00"/>
    <n v="210"/>
    <n v="0.38"/>
    <n v="79.8"/>
    <n v="6.1299999999999955"/>
    <x v="1"/>
    <x v="0"/>
    <x v="2"/>
  </r>
  <r>
    <s v="CLM100618"/>
    <s v="PT12531"/>
    <s v="P01"/>
    <x v="2"/>
    <x v="2"/>
    <n v="3"/>
    <d v="2025-10-12T00:00:00"/>
    <d v="2025-10-16T00:00:00"/>
    <n v="187.64"/>
    <n v="76.510000000000005"/>
    <n v="61.21"/>
    <n v="15.3"/>
    <s v="Paid"/>
    <s v=""/>
    <d v="2025-11-11T00:00:00"/>
    <d v="2025-11-11T00:00:00"/>
    <n v="62"/>
    <n v="0.45"/>
    <n v="83.7"/>
    <n v="7.1899999999999977"/>
    <x v="1"/>
    <x v="5"/>
    <x v="9"/>
  </r>
  <r>
    <s v="CLM100619"/>
    <s v="PT11858"/>
    <s v="P01"/>
    <x v="0"/>
    <x v="8"/>
    <n v="1"/>
    <d v="2026-04-07T00:00:00"/>
    <d v="2026-04-11T00:00:00"/>
    <n v="254.85"/>
    <m/>
    <m/>
    <m/>
    <s v="Denied"/>
    <s v="CO-4"/>
    <d v="2026-05-04T00:00:00"/>
    <m/>
    <n v="260"/>
    <n v="0.45"/>
    <n v="117"/>
    <s v=""/>
    <x v="2"/>
    <x v="5"/>
    <x v="10"/>
  </r>
  <r>
    <s v="CLM100620"/>
    <s v="PT12457"/>
    <s v="P05"/>
    <x v="0"/>
    <x v="7"/>
    <n v="1"/>
    <d v="2026-01-06T00:00:00"/>
    <d v="2026-01-13T00:00:00"/>
    <n v="215.62"/>
    <n v="88.8"/>
    <n v="88.8"/>
    <n v="0"/>
    <s v="Paid"/>
    <s v=""/>
    <d v="2026-02-21T00:00:00"/>
    <d v="2026-02-21T00:00:00"/>
    <n v="210"/>
    <n v="0.38"/>
    <n v="79.8"/>
    <n v="-9"/>
    <x v="0"/>
    <x v="0"/>
    <x v="5"/>
  </r>
  <r>
    <s v="CLM100621"/>
    <s v="PT11072"/>
    <s v="P02"/>
    <x v="1"/>
    <x v="5"/>
    <n v="1"/>
    <d v="2026-09-12T00:00:00"/>
    <d v="2026-09-13T00:00:00"/>
    <n v="4710.54"/>
    <m/>
    <m/>
    <m/>
    <s v="Pending"/>
    <s v=""/>
    <m/>
    <m/>
    <n v="4800"/>
    <n v="0.43"/>
    <n v="2064"/>
    <s v=""/>
    <x v="2"/>
    <x v="6"/>
    <x v="8"/>
  </r>
  <r>
    <s v="CLM100622"/>
    <s v="PT10869"/>
    <s v="P07"/>
    <x v="1"/>
    <x v="10"/>
    <n v="1"/>
    <d v="2026-04-08T00:00:00"/>
    <d v="2026-04-13T00:00:00"/>
    <n v="1055.22"/>
    <m/>
    <m/>
    <m/>
    <s v="Denied"/>
    <s v="CO-50"/>
    <d v="2026-07-01T00:00:00"/>
    <m/>
    <n v="1050"/>
    <n v="0.28000000000000003"/>
    <n v="294"/>
    <s v=""/>
    <x v="2"/>
    <x v="3"/>
    <x v="10"/>
  </r>
  <r>
    <s v="CLM100623"/>
    <s v="PT12483"/>
    <s v="P04"/>
    <x v="3"/>
    <x v="7"/>
    <n v="1"/>
    <d v="2025-11-07T00:00:00"/>
    <d v="2025-11-08T00:00:00"/>
    <n v="204.9"/>
    <n v="67.680000000000007"/>
    <n v="60.91"/>
    <n v="6.77"/>
    <s v="Paid"/>
    <s v=""/>
    <d v="2025-11-25T00:00:00"/>
    <d v="2025-11-25T00:00:00"/>
    <n v="210"/>
    <n v="0.36"/>
    <n v="75.599999999999994"/>
    <n v="7.9199999999999875"/>
    <x v="1"/>
    <x v="1"/>
    <x v="3"/>
  </r>
  <r>
    <s v="CLM100624"/>
    <s v="PT12377"/>
    <s v="P05"/>
    <x v="2"/>
    <x v="0"/>
    <n v="1"/>
    <d v="2025-10-24T00:00:00"/>
    <d v="2025-10-27T00:00:00"/>
    <n v="140.69999999999999"/>
    <n v="56.69"/>
    <n v="56.69"/>
    <n v="0"/>
    <s v="Paid"/>
    <s v=""/>
    <d v="2026-01-09T00:00:00"/>
    <d v="2026-01-09T00:00:00"/>
    <n v="145"/>
    <n v="0.38"/>
    <n v="55.1"/>
    <n v="-1.5899999999999963"/>
    <x v="0"/>
    <x v="0"/>
    <x v="9"/>
  </r>
  <r>
    <s v="CLM100625"/>
    <s v="PT11066"/>
    <s v="P03"/>
    <x v="1"/>
    <x v="7"/>
    <n v="1"/>
    <d v="2026-03-23T00:00:00"/>
    <d v="2026-03-24T00:00:00"/>
    <n v="214.76"/>
    <n v="102.43"/>
    <n v="102.43"/>
    <n v="0"/>
    <s v="Paid"/>
    <s v=""/>
    <d v="2026-05-29T00:00:00"/>
    <d v="2026-05-29T00:00:00"/>
    <n v="210"/>
    <n v="0.47"/>
    <n v="98.7"/>
    <n v="-3.730000000000004"/>
    <x v="0"/>
    <x v="4"/>
    <x v="2"/>
  </r>
  <r>
    <s v="CLM100626"/>
    <s v="PT12510"/>
    <s v="P08"/>
    <x v="1"/>
    <x v="8"/>
    <n v="1"/>
    <d v="2026-06-13T00:00:00"/>
    <d v="2026-06-21T00:00:00"/>
    <n v="265.8"/>
    <n v="265.8"/>
    <n v="265.8"/>
    <n v="0"/>
    <s v="Paid"/>
    <s v=""/>
    <d v="2026-09-20T00:00:00"/>
    <d v="2026-09-20T00:00:00"/>
    <n v="260"/>
    <n v="1"/>
    <n v="260"/>
    <n v="-5.8000000000000114"/>
    <x v="0"/>
    <x v="7"/>
    <x v="11"/>
  </r>
  <r>
    <s v="CLM100627"/>
    <s v="PT13269"/>
    <s v="P03"/>
    <x v="2"/>
    <x v="9"/>
    <n v="1"/>
    <d v="2026-05-12T00:00:00"/>
    <d v="2026-06-02T00:00:00"/>
    <n v="57.36"/>
    <m/>
    <m/>
    <m/>
    <s v="Denied"/>
    <s v="CO-18"/>
    <d v="2026-07-12T00:00:00"/>
    <m/>
    <n v="58"/>
    <n v="0.47"/>
    <n v="27.26"/>
    <s v=""/>
    <x v="2"/>
    <x v="4"/>
    <x v="7"/>
  </r>
  <r>
    <s v="CLM100628"/>
    <s v="PT12297"/>
    <s v="P02"/>
    <x v="1"/>
    <x v="10"/>
    <n v="1"/>
    <d v="2026-09-27T00:00:00"/>
    <d v="2026-09-28T00:00:00"/>
    <n v="1047.93"/>
    <m/>
    <m/>
    <m/>
    <s v="Pending"/>
    <s v=""/>
    <m/>
    <m/>
    <n v="1050"/>
    <n v="0.43"/>
    <n v="451.5"/>
    <s v=""/>
    <x v="2"/>
    <x v="6"/>
    <x v="8"/>
  </r>
  <r>
    <s v="CLM100629"/>
    <s v="PT13071"/>
    <s v="P01"/>
    <x v="0"/>
    <x v="4"/>
    <n v="1"/>
    <d v="2025-12-15T00:00:00"/>
    <d v="2025-12-16T00:00:00"/>
    <n v="37.14"/>
    <n v="15.05"/>
    <n v="15.05"/>
    <n v="0"/>
    <s v="Paid"/>
    <s v=""/>
    <d v="2026-01-22T00:00:00"/>
    <d v="2026-01-22T00:00:00"/>
    <n v="38"/>
    <n v="0.45"/>
    <n v="17.100000000000001"/>
    <n v="2.0500000000000007"/>
    <x v="1"/>
    <x v="5"/>
    <x v="6"/>
  </r>
  <r>
    <s v="CLM100630"/>
    <s v="PT11008"/>
    <s v="P04"/>
    <x v="0"/>
    <x v="8"/>
    <n v="1"/>
    <d v="2026-09-05T00:00:00"/>
    <d v="2026-09-09T00:00:00"/>
    <n v="261.33999999999997"/>
    <n v="94.84"/>
    <n v="94.84"/>
    <n v="0"/>
    <s v="Paid"/>
    <s v=""/>
    <d v="2026-09-21T00:00:00"/>
    <d v="2026-09-21T00:00:00"/>
    <n v="260"/>
    <n v="0.36"/>
    <n v="93.6"/>
    <n v="-1.2400000000000091"/>
    <x v="0"/>
    <x v="1"/>
    <x v="8"/>
  </r>
  <r>
    <s v="CLM100631"/>
    <s v="PT13428"/>
    <s v="P01"/>
    <x v="3"/>
    <x v="7"/>
    <n v="1"/>
    <d v="2026-03-18T00:00:00"/>
    <d v="2026-03-23T00:00:00"/>
    <n v="204.03"/>
    <n v="88.79"/>
    <n v="88.79"/>
    <n v="0"/>
    <s v="Paid"/>
    <s v=""/>
    <d v="2026-04-16T00:00:00"/>
    <d v="2026-04-16T00:00:00"/>
    <n v="210"/>
    <n v="0.45"/>
    <n v="94.5"/>
    <n v="5.7099999999999937"/>
    <x v="1"/>
    <x v="5"/>
    <x v="2"/>
  </r>
  <r>
    <s v="CLM100633"/>
    <s v="PT10865"/>
    <s v="P04"/>
    <x v="2"/>
    <x v="0"/>
    <n v="1"/>
    <d v="2026-03-18T00:00:00"/>
    <d v="2026-03-23T00:00:00"/>
    <n v="149.09"/>
    <n v="57.54"/>
    <n v="57.54"/>
    <n v="0"/>
    <s v="Paid"/>
    <s v=""/>
    <d v="2026-04-08T00:00:00"/>
    <d v="2026-04-08T00:00:00"/>
    <n v="145"/>
    <n v="0.36"/>
    <n v="52.2"/>
    <n v="-5.3399999999999963"/>
    <x v="0"/>
    <x v="1"/>
    <x v="2"/>
  </r>
  <r>
    <s v="CLM100634"/>
    <s v="PT13157"/>
    <s v="P02"/>
    <x v="2"/>
    <x v="0"/>
    <n v="1"/>
    <d v="2025-10-29T00:00:00"/>
    <d v="2025-11-02T00:00:00"/>
    <n v="147.12"/>
    <m/>
    <m/>
    <m/>
    <s v="Denied"/>
    <s v="CO-16"/>
    <d v="2025-11-09T00:00:00"/>
    <m/>
    <n v="145"/>
    <n v="0.43"/>
    <n v="62.35"/>
    <s v=""/>
    <x v="2"/>
    <x v="6"/>
    <x v="9"/>
  </r>
  <r>
    <s v="CLM100635"/>
    <s v="PT13014"/>
    <s v="P01"/>
    <x v="1"/>
    <x v="5"/>
    <n v="1"/>
    <d v="2026-04-17T00:00:00"/>
    <d v="2026-04-19T00:00:00"/>
    <n v="4880.49"/>
    <n v="2301.4899999999998"/>
    <n v="1841.19"/>
    <n v="460.3"/>
    <s v="Paid"/>
    <s v=""/>
    <d v="2026-05-24T00:00:00"/>
    <d v="2026-05-24T00:00:00"/>
    <n v="4800"/>
    <n v="0.45"/>
    <n v="2160"/>
    <n v="-141.48999999999978"/>
    <x v="0"/>
    <x v="5"/>
    <x v="10"/>
  </r>
  <r>
    <s v="CLM100636"/>
    <s v="PT11099"/>
    <s v="P07"/>
    <x v="2"/>
    <x v="9"/>
    <n v="1"/>
    <d v="2026-08-05T00:00:00"/>
    <d v="2026-08-06T00:00:00"/>
    <n v="57.51"/>
    <m/>
    <m/>
    <m/>
    <s v="Pending"/>
    <s v=""/>
    <m/>
    <m/>
    <n v="58"/>
    <n v="0.28000000000000003"/>
    <n v="16.239999999999998"/>
    <s v=""/>
    <x v="2"/>
    <x v="3"/>
    <x v="4"/>
  </r>
  <r>
    <s v="CLM100637"/>
    <s v="PT12770"/>
    <s v="P01"/>
    <x v="0"/>
    <x v="4"/>
    <n v="1"/>
    <d v="2026-05-05T00:00:00"/>
    <d v="2026-05-09T00:00:00"/>
    <n v="38.71"/>
    <n v="17.02"/>
    <n v="13.62"/>
    <n v="3.4"/>
    <s v="Paid"/>
    <s v=""/>
    <d v="2026-06-13T00:00:00"/>
    <d v="2026-06-13T00:00:00"/>
    <n v="38"/>
    <n v="0.45"/>
    <n v="17.100000000000001"/>
    <n v="8.0000000000001847E-2"/>
    <x v="0"/>
    <x v="5"/>
    <x v="7"/>
  </r>
  <r>
    <s v="CLM100638"/>
    <s v="PT13283"/>
    <s v="P05"/>
    <x v="1"/>
    <x v="4"/>
    <n v="1"/>
    <d v="2026-06-11T00:00:00"/>
    <d v="2026-06-16T00:00:00"/>
    <n v="38.06"/>
    <m/>
    <m/>
    <m/>
    <s v="Denied"/>
    <s v="CO-27"/>
    <d v="2026-08-10T00:00:00"/>
    <m/>
    <n v="38"/>
    <n v="0.38"/>
    <n v="14.44"/>
    <s v=""/>
    <x v="2"/>
    <x v="0"/>
    <x v="11"/>
  </r>
  <r>
    <s v="CLM100639"/>
    <s v="PT12706"/>
    <s v="P03"/>
    <x v="1"/>
    <x v="7"/>
    <n v="1"/>
    <d v="2026-03-01T00:00:00"/>
    <d v="2026-03-05T00:00:00"/>
    <n v="210.86"/>
    <n v="100.05"/>
    <n v="80.040000000000006"/>
    <n v="20.010000000000002"/>
    <s v="Paid"/>
    <s v=""/>
    <d v="2026-04-05T00:00:00"/>
    <d v="2026-04-05T00:00:00"/>
    <n v="210"/>
    <n v="0.47"/>
    <n v="98.7"/>
    <n v="-1.3499999999999943"/>
    <x v="0"/>
    <x v="4"/>
    <x v="2"/>
  </r>
  <r>
    <s v="CLM100640"/>
    <s v="PT10746"/>
    <s v="P02"/>
    <x v="3"/>
    <x v="6"/>
    <n v="1"/>
    <d v="2026-07-27T00:00:00"/>
    <d v="2026-07-30T00:00:00"/>
    <n v="409.46"/>
    <m/>
    <m/>
    <m/>
    <s v="Denied"/>
    <s v="CO-16"/>
    <d v="2026-08-30T00:00:00"/>
    <m/>
    <n v="420"/>
    <n v="0.43"/>
    <n v="180.6"/>
    <s v=""/>
    <x v="2"/>
    <x v="6"/>
    <x v="1"/>
  </r>
  <r>
    <s v="CLM100641"/>
    <s v="PT10864"/>
    <s v="P07"/>
    <x v="1"/>
    <x v="10"/>
    <n v="1"/>
    <d v="2026-03-02T00:00:00"/>
    <d v="2026-03-08T00:00:00"/>
    <n v="1038.28"/>
    <n v="285.17"/>
    <n v="285.17"/>
    <n v="0"/>
    <s v="Paid"/>
    <s v=""/>
    <d v="2026-05-13T00:00:00"/>
    <d v="2026-05-13T00:00:00"/>
    <n v="1050"/>
    <n v="0.28000000000000003"/>
    <n v="294"/>
    <n v="8.8299999999999841"/>
    <x v="0"/>
    <x v="3"/>
    <x v="2"/>
  </r>
  <r>
    <s v="CLM100642"/>
    <s v="PT10477"/>
    <s v="P08"/>
    <x v="1"/>
    <x v="4"/>
    <n v="1"/>
    <d v="2026-02-10T00:00:00"/>
    <d v="2026-02-11T00:00:00"/>
    <n v="38.85"/>
    <m/>
    <m/>
    <m/>
    <s v="Pending"/>
    <s v=""/>
    <m/>
    <m/>
    <n v="38"/>
    <n v="1"/>
    <n v="38"/>
    <s v=""/>
    <x v="2"/>
    <x v="7"/>
    <x v="0"/>
  </r>
  <r>
    <s v="CLM100643"/>
    <s v="PT12526"/>
    <s v="P03"/>
    <x v="1"/>
    <x v="4"/>
    <n v="1"/>
    <d v="2026-09-20T00:00:00"/>
    <d v="2026-09-25T00:00:00"/>
    <n v="37.78"/>
    <m/>
    <m/>
    <m/>
    <s v="Pending"/>
    <s v=""/>
    <m/>
    <m/>
    <n v="38"/>
    <n v="0.47"/>
    <n v="17.86"/>
    <s v=""/>
    <x v="2"/>
    <x v="4"/>
    <x v="8"/>
  </r>
  <r>
    <s v="CLM100644"/>
    <s v="PT10109"/>
    <s v="P06"/>
    <x v="0"/>
    <x v="4"/>
    <n v="1"/>
    <d v="2025-11-14T00:00:00"/>
    <d v="2025-11-15T00:00:00"/>
    <n v="37.15"/>
    <m/>
    <m/>
    <m/>
    <s v="Denied"/>
    <s v="CO-16"/>
    <d v="2026-01-14T00:00:00"/>
    <m/>
    <n v="38"/>
    <n v="0.27"/>
    <n v="10.26"/>
    <s v=""/>
    <x v="2"/>
    <x v="2"/>
    <x v="3"/>
  </r>
  <r>
    <s v="CLM100645"/>
    <s v="PT11841"/>
    <s v="P01"/>
    <x v="3"/>
    <x v="3"/>
    <n v="10"/>
    <d v="2026-05-26T00:00:00"/>
    <d v="2026-05-27T00:00:00"/>
    <n v="14477.37"/>
    <m/>
    <m/>
    <m/>
    <s v="Denied"/>
    <s v="CO-197"/>
    <d v="2026-07-03T00:00:00"/>
    <m/>
    <n v="1450"/>
    <n v="0.45"/>
    <n v="6525"/>
    <s v=""/>
    <x v="2"/>
    <x v="5"/>
    <x v="7"/>
  </r>
  <r>
    <s v="CLM100646"/>
    <s v="PT13475"/>
    <s v="P06"/>
    <x v="1"/>
    <x v="1"/>
    <n v="1"/>
    <d v="2026-04-19T00:00:00"/>
    <d v="2026-04-20T00:00:00"/>
    <n v="233.53"/>
    <n v="67.23"/>
    <n v="53.78"/>
    <n v="13.45"/>
    <s v="Paid"/>
    <s v=""/>
    <d v="2026-05-26T00:00:00"/>
    <d v="2026-05-26T00:00:00"/>
    <n v="240"/>
    <n v="0.27"/>
    <n v="64.8"/>
    <n v="-2.4300000000000068"/>
    <x v="0"/>
    <x v="2"/>
    <x v="10"/>
  </r>
  <r>
    <s v="CLM100647"/>
    <s v="PT12163"/>
    <s v="P01"/>
    <x v="0"/>
    <x v="8"/>
    <n v="1"/>
    <d v="2026-04-23T00:00:00"/>
    <d v="2026-04-27T00:00:00"/>
    <n v="259.77999999999997"/>
    <n v="123.4"/>
    <n v="123.4"/>
    <n v="0"/>
    <s v="Paid"/>
    <s v=""/>
    <d v="2026-05-28T00:00:00"/>
    <d v="2026-05-28T00:00:00"/>
    <n v="260"/>
    <n v="0.45"/>
    <n v="117"/>
    <n v="-6.4000000000000057"/>
    <x v="0"/>
    <x v="5"/>
    <x v="10"/>
  </r>
  <r>
    <s v="CLM100648"/>
    <s v="PT11836"/>
    <s v="P02"/>
    <x v="1"/>
    <x v="1"/>
    <n v="1"/>
    <d v="2025-11-02T00:00:00"/>
    <d v="2025-11-07T00:00:00"/>
    <n v="236.66"/>
    <n v="89.12"/>
    <n v="80.209999999999994"/>
    <n v="8.91"/>
    <s v="Paid"/>
    <s v=""/>
    <d v="2025-11-28T00:00:00"/>
    <d v="2025-11-28T00:00:00"/>
    <n v="240"/>
    <n v="0.43"/>
    <n v="103.2"/>
    <n v="14.079999999999998"/>
    <x v="1"/>
    <x v="6"/>
    <x v="3"/>
  </r>
  <r>
    <s v="CLM100649"/>
    <s v="PT10537"/>
    <s v="P01"/>
    <x v="3"/>
    <x v="3"/>
    <n v="30"/>
    <d v="2026-01-07T00:00:00"/>
    <d v="2026-01-09T00:00:00"/>
    <n v="43092.44"/>
    <n v="21859.49"/>
    <n v="17487.59"/>
    <n v="4371.8999999999996"/>
    <s v="Paid"/>
    <s v=""/>
    <d v="2026-01-30T00:00:00"/>
    <d v="2026-01-30T00:00:00"/>
    <n v="1450"/>
    <n v="0.45"/>
    <n v="19575"/>
    <n v="-2284.4900000000016"/>
    <x v="0"/>
    <x v="5"/>
    <x v="5"/>
  </r>
  <r>
    <s v="CLM100650"/>
    <s v="PT12547"/>
    <s v="P05"/>
    <x v="2"/>
    <x v="0"/>
    <n v="1"/>
    <d v="2026-05-02T00:00:00"/>
    <d v="2026-05-07T00:00:00"/>
    <n v="147.9"/>
    <n v="61.85"/>
    <n v="61.85"/>
    <n v="0"/>
    <s v="Paid"/>
    <s v=""/>
    <d v="2026-07-15T00:00:00"/>
    <d v="2026-07-15T00:00:00"/>
    <n v="145"/>
    <n v="0.38"/>
    <n v="55.1"/>
    <n v="-6.75"/>
    <x v="0"/>
    <x v="0"/>
    <x v="7"/>
  </r>
  <r>
    <s v="CLM100651"/>
    <s v="PT10961"/>
    <s v="P05"/>
    <x v="1"/>
    <x v="4"/>
    <n v="1"/>
    <d v="2026-09-07T00:00:00"/>
    <d v="2026-09-08T00:00:00"/>
    <n v="37.96"/>
    <m/>
    <m/>
    <m/>
    <s v="Pending"/>
    <s v=""/>
    <m/>
    <m/>
    <n v="38"/>
    <n v="0.38"/>
    <n v="14.44"/>
    <s v=""/>
    <x v="2"/>
    <x v="0"/>
    <x v="8"/>
  </r>
  <r>
    <s v="CLM100652"/>
    <s v="PT12062"/>
    <s v="P08"/>
    <x v="1"/>
    <x v="8"/>
    <n v="1"/>
    <d v="2026-04-02T00:00:00"/>
    <d v="2026-04-04T00:00:00"/>
    <n v="265.94"/>
    <n v="265.94"/>
    <n v="265.94"/>
    <n v="0"/>
    <s v="Paid"/>
    <s v=""/>
    <d v="2026-06-08T00:00:00"/>
    <d v="2026-06-08T00:00:00"/>
    <n v="260"/>
    <n v="1"/>
    <n v="260"/>
    <n v="-5.9399999999999977"/>
    <x v="0"/>
    <x v="7"/>
    <x v="10"/>
  </r>
  <r>
    <s v="CLM100653"/>
    <s v="PT13154"/>
    <s v="P02"/>
    <x v="1"/>
    <x v="8"/>
    <n v="1"/>
    <d v="2025-11-28T00:00:00"/>
    <d v="2025-11-29T00:00:00"/>
    <n v="261.83"/>
    <n v="103.5"/>
    <n v="103.5"/>
    <n v="0"/>
    <s v="Paid"/>
    <s v=""/>
    <d v="2025-12-26T00:00:00"/>
    <d v="2025-12-26T00:00:00"/>
    <n v="260"/>
    <n v="0.43"/>
    <n v="111.8"/>
    <n v="8.2999999999999972"/>
    <x v="1"/>
    <x v="6"/>
    <x v="3"/>
  </r>
  <r>
    <s v="CLM100655"/>
    <s v="PT11481"/>
    <s v="P01"/>
    <x v="3"/>
    <x v="3"/>
    <n v="5"/>
    <d v="2026-08-09T00:00:00"/>
    <d v="2026-08-10T00:00:00"/>
    <n v="7390.77"/>
    <m/>
    <m/>
    <m/>
    <s v="Denied"/>
    <s v="CO-16"/>
    <d v="2026-09-13T00:00:00"/>
    <m/>
    <n v="1450"/>
    <n v="0.45"/>
    <n v="3262.5"/>
    <s v=""/>
    <x v="2"/>
    <x v="5"/>
    <x v="4"/>
  </r>
  <r>
    <s v="CLM100656"/>
    <s v="PT11004"/>
    <s v="P03"/>
    <x v="3"/>
    <x v="7"/>
    <n v="1"/>
    <d v="2025-11-20T00:00:00"/>
    <d v="2025-11-22T00:00:00"/>
    <n v="205.64"/>
    <n v="85.77"/>
    <n v="85.77"/>
    <n v="0"/>
    <s v="Paid"/>
    <s v=""/>
    <d v="2026-01-16T00:00:00"/>
    <d v="2026-01-16T00:00:00"/>
    <n v="210"/>
    <n v="0.47"/>
    <n v="98.7"/>
    <n v="12.930000000000007"/>
    <x v="1"/>
    <x v="4"/>
    <x v="3"/>
  </r>
  <r>
    <s v="CLM100657"/>
    <s v="PT13085"/>
    <s v="P02"/>
    <x v="2"/>
    <x v="9"/>
    <n v="1"/>
    <d v="2026-06-16T00:00:00"/>
    <d v="2026-06-18T00:00:00"/>
    <n v="56.56"/>
    <n v="25.42"/>
    <n v="25.42"/>
    <n v="0"/>
    <s v="Paid"/>
    <s v=""/>
    <d v="2026-08-13T00:00:00"/>
    <d v="2026-08-13T00:00:00"/>
    <n v="58"/>
    <n v="0.43"/>
    <n v="24.94"/>
    <n v="-0.48000000000000043"/>
    <x v="0"/>
    <x v="6"/>
    <x v="11"/>
  </r>
  <r>
    <s v="CLM100658"/>
    <s v="PT10121"/>
    <s v="P06"/>
    <x v="3"/>
    <x v="6"/>
    <n v="1"/>
    <d v="2025-12-10T00:00:00"/>
    <d v="2025-12-13T00:00:00"/>
    <n v="427.6"/>
    <n v="113.97"/>
    <n v="102.57"/>
    <n v="11.4"/>
    <s v="Paid"/>
    <s v=""/>
    <d v="2026-02-03T00:00:00"/>
    <d v="2026-02-03T00:00:00"/>
    <n v="420"/>
    <n v="0.27"/>
    <n v="113.4"/>
    <n v="-0.56999999999999318"/>
    <x v="0"/>
    <x v="2"/>
    <x v="6"/>
  </r>
  <r>
    <s v="CLM100659"/>
    <s v="PT11777"/>
    <s v="P05"/>
    <x v="0"/>
    <x v="0"/>
    <n v="1"/>
    <d v="2026-06-22T00:00:00"/>
    <d v="2026-06-23T00:00:00"/>
    <n v="148.86000000000001"/>
    <n v="65.48"/>
    <n v="65.48"/>
    <n v="0"/>
    <s v="Paid"/>
    <s v=""/>
    <d v="2026-07-22T00:00:00"/>
    <d v="2026-07-22T00:00:00"/>
    <n v="145"/>
    <n v="0.38"/>
    <n v="55.1"/>
    <n v="-10.380000000000003"/>
    <x v="0"/>
    <x v="0"/>
    <x v="11"/>
  </r>
  <r>
    <s v="CLM100660"/>
    <s v="PT11211"/>
    <s v="P01"/>
    <x v="1"/>
    <x v="5"/>
    <n v="1"/>
    <d v="2026-08-25T00:00:00"/>
    <d v="2026-08-29T00:00:00"/>
    <n v="4699.47"/>
    <m/>
    <m/>
    <m/>
    <s v="Pending"/>
    <s v=""/>
    <m/>
    <m/>
    <n v="4800"/>
    <n v="0.45"/>
    <n v="2160"/>
    <s v=""/>
    <x v="2"/>
    <x v="5"/>
    <x v="4"/>
  </r>
  <r>
    <s v="CLM100661"/>
    <s v="PT12868"/>
    <s v="P05"/>
    <x v="0"/>
    <x v="8"/>
    <n v="1"/>
    <d v="2026-03-10T00:00:00"/>
    <d v="2026-03-11T00:00:00"/>
    <n v="266.38"/>
    <n v="102.77"/>
    <n v="102.77"/>
    <n v="0"/>
    <s v="Paid"/>
    <s v=""/>
    <d v="2026-04-01T00:00:00"/>
    <d v="2026-04-01T00:00:00"/>
    <n v="260"/>
    <n v="0.38"/>
    <n v="98.8"/>
    <n v="-3.9699999999999989"/>
    <x v="0"/>
    <x v="0"/>
    <x v="2"/>
  </r>
  <r>
    <s v="CLM100662"/>
    <s v="PT10808"/>
    <s v="P07"/>
    <x v="0"/>
    <x v="7"/>
    <n v="1"/>
    <d v="2026-08-16T00:00:00"/>
    <d v="2026-08-21T00:00:00"/>
    <n v="213.63"/>
    <m/>
    <m/>
    <m/>
    <s v="Pending"/>
    <s v=""/>
    <m/>
    <m/>
    <n v="210"/>
    <n v="0.28000000000000003"/>
    <n v="58.8"/>
    <s v=""/>
    <x v="2"/>
    <x v="3"/>
    <x v="4"/>
  </r>
  <r>
    <s v="CLM100663"/>
    <s v="PT12095"/>
    <s v="P01"/>
    <x v="2"/>
    <x v="2"/>
    <n v="2"/>
    <d v="2026-03-21T00:00:00"/>
    <d v="2026-03-27T00:00:00"/>
    <n v="125.67"/>
    <n v="52.75"/>
    <n v="52.75"/>
    <n v="0"/>
    <s v="Paid"/>
    <s v=""/>
    <d v="2026-04-15T00:00:00"/>
    <d v="2026-04-15T00:00:00"/>
    <n v="62"/>
    <n v="0.45"/>
    <n v="55.8"/>
    <n v="3.0499999999999972"/>
    <x v="1"/>
    <x v="5"/>
    <x v="2"/>
  </r>
  <r>
    <s v="CLM100664"/>
    <s v="PT12069"/>
    <s v="P05"/>
    <x v="0"/>
    <x v="8"/>
    <n v="1"/>
    <d v="2025-12-21T00:00:00"/>
    <d v="2025-12-30T00:00:00"/>
    <n v="252.57"/>
    <n v="89.36"/>
    <n v="71.489999999999995"/>
    <n v="17.87"/>
    <s v="Paid"/>
    <s v=""/>
    <d v="2026-02-26T00:00:00"/>
    <d v="2026-02-26T00:00:00"/>
    <n v="260"/>
    <n v="0.38"/>
    <n v="98.8"/>
    <n v="9.4399999999999977"/>
    <x v="1"/>
    <x v="0"/>
    <x v="6"/>
  </r>
  <r>
    <s v="CLM100665"/>
    <s v="PT11220"/>
    <s v="P06"/>
    <x v="1"/>
    <x v="8"/>
    <n v="1"/>
    <d v="2026-02-10T00:00:00"/>
    <d v="2026-02-12T00:00:00"/>
    <n v="261.98"/>
    <m/>
    <m/>
    <m/>
    <s v="Denied"/>
    <s v="CO-4"/>
    <d v="2026-03-15T00:00:00"/>
    <m/>
    <n v="260"/>
    <n v="0.27"/>
    <n v="70.2"/>
    <s v=""/>
    <x v="2"/>
    <x v="2"/>
    <x v="0"/>
  </r>
  <r>
    <s v="CLM100666"/>
    <s v="PT11165"/>
    <s v="P08"/>
    <x v="1"/>
    <x v="11"/>
    <n v="1"/>
    <d v="2026-07-25T00:00:00"/>
    <d v="2026-08-03T00:00:00"/>
    <n v="1154.53"/>
    <m/>
    <m/>
    <m/>
    <s v="Pending"/>
    <s v=""/>
    <m/>
    <m/>
    <n v="1150"/>
    <n v="1"/>
    <n v="1150"/>
    <s v=""/>
    <x v="2"/>
    <x v="7"/>
    <x v="1"/>
  </r>
  <r>
    <s v="CLM100667"/>
    <s v="PT13370"/>
    <s v="P04"/>
    <x v="3"/>
    <x v="7"/>
    <n v="1"/>
    <d v="2025-12-11T00:00:00"/>
    <d v="2025-12-14T00:00:00"/>
    <n v="212.7"/>
    <n v="72.47"/>
    <n v="72.47"/>
    <n v="0"/>
    <s v="Paid"/>
    <s v=""/>
    <d v="2025-12-30T00:00:00"/>
    <d v="2025-12-30T00:00:00"/>
    <n v="210"/>
    <n v="0.36"/>
    <n v="75.599999999999994"/>
    <n v="3.1299999999999955"/>
    <x v="0"/>
    <x v="1"/>
    <x v="6"/>
  </r>
  <r>
    <s v="CLM100669"/>
    <s v="PT12393"/>
    <s v="P07"/>
    <x v="1"/>
    <x v="10"/>
    <n v="1"/>
    <d v="2026-06-01T00:00:00"/>
    <d v="2026-06-02T00:00:00"/>
    <n v="1032.03"/>
    <n v="279.23"/>
    <n v="251.31"/>
    <n v="27.92"/>
    <s v="Paid"/>
    <s v=""/>
    <d v="2026-07-03T00:00:00"/>
    <d v="2026-07-03T00:00:00"/>
    <n v="1050"/>
    <n v="0.28000000000000003"/>
    <n v="294"/>
    <n v="14.769999999999982"/>
    <x v="1"/>
    <x v="3"/>
    <x v="11"/>
  </r>
  <r>
    <s v="CLM100670"/>
    <s v="PT13374"/>
    <s v="P08"/>
    <x v="0"/>
    <x v="4"/>
    <n v="1"/>
    <d v="2026-09-18T00:00:00"/>
    <d v="2026-09-21T00:00:00"/>
    <n v="38.979999999999997"/>
    <m/>
    <m/>
    <m/>
    <s v="Pending"/>
    <s v=""/>
    <m/>
    <m/>
    <n v="38"/>
    <n v="1"/>
    <n v="38"/>
    <s v=""/>
    <x v="2"/>
    <x v="7"/>
    <x v="8"/>
  </r>
  <r>
    <s v="CLM100672"/>
    <s v="PT10451"/>
    <s v="P05"/>
    <x v="0"/>
    <x v="0"/>
    <n v="1"/>
    <d v="2026-05-22T00:00:00"/>
    <d v="2026-05-28T00:00:00"/>
    <n v="144.77000000000001"/>
    <n v="53.12"/>
    <n v="42.5"/>
    <n v="10.62"/>
    <s v="Paid"/>
    <s v=""/>
    <d v="2026-08-08T00:00:00"/>
    <d v="2026-08-08T00:00:00"/>
    <n v="145"/>
    <n v="0.38"/>
    <n v="55.1"/>
    <n v="1.980000000000004"/>
    <x v="0"/>
    <x v="0"/>
    <x v="7"/>
  </r>
  <r>
    <s v="CLM100673"/>
    <s v="PT10114"/>
    <s v="P02"/>
    <x v="1"/>
    <x v="1"/>
    <n v="1"/>
    <d v="2026-06-25T00:00:00"/>
    <d v="2026-06-27T00:00:00"/>
    <n v="235.01"/>
    <n v="94.32"/>
    <n v="75.459999999999994"/>
    <n v="18.86"/>
    <s v="Paid"/>
    <s v=""/>
    <d v="2026-07-25T00:00:00"/>
    <d v="2026-07-25T00:00:00"/>
    <n v="240"/>
    <n v="0.43"/>
    <n v="103.2"/>
    <n v="8.8800000000000097"/>
    <x v="1"/>
    <x v="6"/>
    <x v="11"/>
  </r>
  <r>
    <s v="CLM100674"/>
    <s v="PT10276"/>
    <s v="P06"/>
    <x v="3"/>
    <x v="3"/>
    <n v="5"/>
    <d v="2026-05-04T00:00:00"/>
    <d v="2026-05-06T00:00:00"/>
    <n v="7440.02"/>
    <n v="1810.74"/>
    <n v="1629.67"/>
    <n v="181.07"/>
    <s v="Paid"/>
    <s v=""/>
    <d v="2026-06-14T00:00:00"/>
    <d v="2026-06-14T00:00:00"/>
    <n v="1450"/>
    <n v="0.27"/>
    <n v="1957.5"/>
    <n v="146.76"/>
    <x v="1"/>
    <x v="2"/>
    <x v="7"/>
  </r>
  <r>
    <s v="CLM100675"/>
    <s v="PT13120"/>
    <s v="P03"/>
    <x v="2"/>
    <x v="9"/>
    <n v="3"/>
    <d v="2026-03-08T00:00:00"/>
    <d v="2026-03-10T00:00:00"/>
    <n v="173.5"/>
    <n v="90.49"/>
    <n v="90.49"/>
    <n v="0"/>
    <s v="Paid"/>
    <s v=""/>
    <d v="2026-04-23T00:00:00"/>
    <d v="2026-04-23T00:00:00"/>
    <n v="58"/>
    <n v="0.47"/>
    <n v="81.78"/>
    <n v="-8.7099999999999937"/>
    <x v="0"/>
    <x v="4"/>
    <x v="2"/>
  </r>
  <r>
    <s v="CLM100676"/>
    <s v="PT10953"/>
    <s v="P03"/>
    <x v="1"/>
    <x v="4"/>
    <n v="1"/>
    <d v="2026-05-19T00:00:00"/>
    <d v="2026-05-20T00:00:00"/>
    <n v="38.380000000000003"/>
    <n v="15.82"/>
    <n v="12.66"/>
    <n v="3.16"/>
    <s v="Paid"/>
    <s v=""/>
    <d v="2026-06-20T00:00:00"/>
    <d v="2026-06-20T00:00:00"/>
    <n v="38"/>
    <n v="0.47"/>
    <n v="17.86"/>
    <n v="2.0399999999999991"/>
    <x v="1"/>
    <x v="4"/>
    <x v="7"/>
  </r>
  <r>
    <s v="CLM100677"/>
    <s v="PT12298"/>
    <s v="P04"/>
    <x v="2"/>
    <x v="9"/>
    <n v="2"/>
    <d v="2026-09-09T00:00:00"/>
    <d v="2026-09-14T00:00:00"/>
    <n v="117.64"/>
    <n v="43.3"/>
    <n v="38.97"/>
    <n v="4.33"/>
    <s v="Paid"/>
    <s v=""/>
    <d v="2026-09-26T00:00:00"/>
    <d v="2026-09-26T00:00:00"/>
    <n v="58"/>
    <n v="0.36"/>
    <n v="41.76"/>
    <n v="-1.5399999999999991"/>
    <x v="0"/>
    <x v="1"/>
    <x v="8"/>
  </r>
  <r>
    <s v="CLM100678"/>
    <s v="PT10492"/>
    <s v="P04"/>
    <x v="3"/>
    <x v="7"/>
    <n v="1"/>
    <d v="2026-01-07T00:00:00"/>
    <d v="2026-01-11T00:00:00"/>
    <n v="215.74"/>
    <n v="88.72"/>
    <n v="88.72"/>
    <n v="0"/>
    <s v="Paid"/>
    <s v=""/>
    <d v="2026-01-20T00:00:00"/>
    <d v="2026-01-20T00:00:00"/>
    <n v="210"/>
    <n v="0.36"/>
    <n v="75.599999999999994"/>
    <n v="-13.120000000000005"/>
    <x v="0"/>
    <x v="1"/>
    <x v="5"/>
  </r>
  <r>
    <s v="CLM100679"/>
    <s v="PT10346"/>
    <s v="P01"/>
    <x v="3"/>
    <x v="7"/>
    <n v="1"/>
    <d v="2025-10-10T00:00:00"/>
    <d v="2025-10-11T00:00:00"/>
    <n v="207.16"/>
    <n v="103.05"/>
    <n v="82.44"/>
    <n v="20.61"/>
    <s v="Paid"/>
    <s v=""/>
    <d v="2025-11-06T00:00:00"/>
    <d v="2025-11-06T00:00:00"/>
    <n v="210"/>
    <n v="0.45"/>
    <n v="94.5"/>
    <n v="-8.5499999999999972"/>
    <x v="0"/>
    <x v="5"/>
    <x v="9"/>
  </r>
  <r>
    <s v="CLM100681"/>
    <s v="PT10631"/>
    <s v="P07"/>
    <x v="1"/>
    <x v="8"/>
    <n v="1"/>
    <d v="2026-03-12T00:00:00"/>
    <d v="2026-03-13T00:00:00"/>
    <n v="258.16000000000003"/>
    <n v="72.959999999999994"/>
    <n v="72.959999999999994"/>
    <n v="0"/>
    <s v="Paid"/>
    <s v=""/>
    <d v="2026-05-10T00:00:00"/>
    <d v="2026-05-10T00:00:00"/>
    <n v="260"/>
    <n v="0.28000000000000003"/>
    <n v="72.8"/>
    <n v="-0.15999999999999659"/>
    <x v="0"/>
    <x v="3"/>
    <x v="2"/>
  </r>
  <r>
    <s v="CLM100682"/>
    <s v="PT11310"/>
    <s v="P05"/>
    <x v="1"/>
    <x v="10"/>
    <n v="1"/>
    <d v="2025-10-31T00:00:00"/>
    <d v="2025-11-02T00:00:00"/>
    <n v="1057.21"/>
    <m/>
    <m/>
    <m/>
    <s v="Denied"/>
    <s v="CO-197"/>
    <d v="2026-01-02T00:00:00"/>
    <m/>
    <n v="1050"/>
    <n v="0.38"/>
    <n v="399"/>
    <s v=""/>
    <x v="2"/>
    <x v="0"/>
    <x v="9"/>
  </r>
  <r>
    <s v="CLM100683"/>
    <s v="PT10268"/>
    <s v="P01"/>
    <x v="2"/>
    <x v="2"/>
    <n v="3"/>
    <d v="2026-01-31T00:00:00"/>
    <d v="2026-02-03T00:00:00"/>
    <n v="186.96"/>
    <n v="74.06"/>
    <n v="59.25"/>
    <n v="14.81"/>
    <s v="Paid"/>
    <s v=""/>
    <d v="2026-03-11T00:00:00"/>
    <d v="2026-03-11T00:00:00"/>
    <n v="62"/>
    <n v="0.45"/>
    <n v="83.7"/>
    <n v="9.64"/>
    <x v="1"/>
    <x v="5"/>
    <x v="5"/>
  </r>
  <r>
    <s v="CLM100684"/>
    <s v="PT11247"/>
    <s v="P04"/>
    <x v="0"/>
    <x v="4"/>
    <n v="1"/>
    <d v="2025-10-10T00:00:00"/>
    <d v="2025-10-24T00:00:00"/>
    <n v="37.47"/>
    <n v="12.42"/>
    <n v="12.42"/>
    <n v="0"/>
    <s v="Paid"/>
    <s v=""/>
    <d v="2025-11-13T00:00:00"/>
    <d v="2025-11-13T00:00:00"/>
    <n v="38"/>
    <n v="0.36"/>
    <n v="13.68"/>
    <n v="1.2599999999999998"/>
    <x v="1"/>
    <x v="1"/>
    <x v="9"/>
  </r>
  <r>
    <s v="CLM100685"/>
    <s v="PT12273"/>
    <s v="P01"/>
    <x v="0"/>
    <x v="4"/>
    <n v="1"/>
    <d v="2026-08-22T00:00:00"/>
    <d v="2026-08-29T00:00:00"/>
    <n v="38"/>
    <n v="17.32"/>
    <n v="13.86"/>
    <n v="3.46"/>
    <s v="Paid"/>
    <s v=""/>
    <d v="2026-09-29T00:00:00"/>
    <d v="2026-09-29T00:00:00"/>
    <n v="38"/>
    <n v="0.45"/>
    <n v="17.100000000000001"/>
    <n v="-0.21999999999999886"/>
    <x v="0"/>
    <x v="5"/>
    <x v="4"/>
  </r>
  <r>
    <s v="CLM100686"/>
    <s v="PT12448"/>
    <s v="P06"/>
    <x v="0"/>
    <x v="0"/>
    <n v="1"/>
    <d v="2026-08-14T00:00:00"/>
    <d v="2026-08-29T00:00:00"/>
    <n v="143.16999999999999"/>
    <m/>
    <m/>
    <m/>
    <s v="Pending"/>
    <s v=""/>
    <m/>
    <m/>
    <n v="145"/>
    <n v="0.27"/>
    <n v="39.15"/>
    <s v=""/>
    <x v="2"/>
    <x v="2"/>
    <x v="4"/>
  </r>
  <r>
    <s v="CLM100687"/>
    <s v="PT11231"/>
    <s v="P02"/>
    <x v="1"/>
    <x v="4"/>
    <n v="1"/>
    <d v="2026-03-29T00:00:00"/>
    <d v="2026-03-30T00:00:00"/>
    <n v="38.78"/>
    <n v="15.45"/>
    <n v="15.45"/>
    <n v="0"/>
    <s v="Paid"/>
    <s v=""/>
    <d v="2026-05-07T00:00:00"/>
    <d v="2026-05-07T00:00:00"/>
    <n v="38"/>
    <n v="0.43"/>
    <n v="16.34"/>
    <n v="0.89000000000000057"/>
    <x v="1"/>
    <x v="6"/>
    <x v="2"/>
  </r>
  <r>
    <s v="CLM100688"/>
    <s v="PT12793"/>
    <s v="P01"/>
    <x v="1"/>
    <x v="4"/>
    <n v="1"/>
    <d v="2025-12-11T00:00:00"/>
    <d v="2026-01-07T00:00:00"/>
    <n v="38.51"/>
    <n v="15.77"/>
    <n v="14.19"/>
    <n v="1.58"/>
    <s v="Paid"/>
    <s v=""/>
    <d v="2026-02-12T00:00:00"/>
    <d v="2026-02-12T00:00:00"/>
    <n v="38"/>
    <n v="0.45"/>
    <n v="17.100000000000001"/>
    <n v="1.3300000000000018"/>
    <x v="1"/>
    <x v="5"/>
    <x v="6"/>
  </r>
  <r>
    <s v="CLM100689"/>
    <s v="PT12833"/>
    <s v="P02"/>
    <x v="2"/>
    <x v="0"/>
    <n v="1"/>
    <d v="2026-09-28T00:00:00"/>
    <d v="2026-09-30T00:00:00"/>
    <n v="144.59"/>
    <m/>
    <m/>
    <m/>
    <s v="Pending"/>
    <s v=""/>
    <m/>
    <m/>
    <n v="145"/>
    <n v="0.43"/>
    <n v="62.35"/>
    <s v=""/>
    <x v="2"/>
    <x v="6"/>
    <x v="8"/>
  </r>
  <r>
    <s v="CLM100690"/>
    <s v="PT13123"/>
    <s v="P04"/>
    <x v="1"/>
    <x v="8"/>
    <n v="1"/>
    <d v="2025-10-03T00:00:00"/>
    <d v="2025-10-08T00:00:00"/>
    <n v="266.26"/>
    <n v="107.64"/>
    <n v="86.11"/>
    <n v="21.53"/>
    <s v="Paid"/>
    <s v=""/>
    <d v="2025-10-25T00:00:00"/>
    <d v="2025-10-25T00:00:00"/>
    <n v="260"/>
    <n v="0.36"/>
    <n v="93.6"/>
    <n v="-14.040000000000006"/>
    <x v="0"/>
    <x v="1"/>
    <x v="9"/>
  </r>
  <r>
    <s v="CLM100691"/>
    <s v="PT13329"/>
    <s v="P06"/>
    <x v="0"/>
    <x v="0"/>
    <n v="1"/>
    <d v="2026-08-29T00:00:00"/>
    <d v="2026-09-02T00:00:00"/>
    <n v="146.32"/>
    <m/>
    <m/>
    <m/>
    <s v="Pending"/>
    <s v=""/>
    <m/>
    <m/>
    <n v="145"/>
    <n v="0.27"/>
    <n v="39.15"/>
    <s v=""/>
    <x v="2"/>
    <x v="2"/>
    <x v="4"/>
  </r>
  <r>
    <s v="CLM100692"/>
    <s v="PT10038"/>
    <s v="P02"/>
    <x v="0"/>
    <x v="8"/>
    <n v="1"/>
    <d v="2026-09-22T00:00:00"/>
    <d v="2026-09-23T00:00:00"/>
    <n v="267.55"/>
    <m/>
    <m/>
    <m/>
    <s v="Pending"/>
    <s v=""/>
    <m/>
    <m/>
    <n v="260"/>
    <n v="0.43"/>
    <n v="111.8"/>
    <s v=""/>
    <x v="2"/>
    <x v="6"/>
    <x v="8"/>
  </r>
  <r>
    <s v="CLM100693"/>
    <s v="PT12022"/>
    <s v="P05"/>
    <x v="1"/>
    <x v="8"/>
    <n v="1"/>
    <d v="2026-09-14T00:00:00"/>
    <d v="2026-09-16T00:00:00"/>
    <n v="266.57"/>
    <m/>
    <m/>
    <m/>
    <s v="Pending"/>
    <s v=""/>
    <m/>
    <m/>
    <n v="260"/>
    <n v="0.38"/>
    <n v="98.8"/>
    <s v=""/>
    <x v="2"/>
    <x v="0"/>
    <x v="8"/>
  </r>
  <r>
    <s v="CLM100694"/>
    <s v="PT11136"/>
    <s v="P02"/>
    <x v="2"/>
    <x v="2"/>
    <n v="4"/>
    <d v="2026-09-26T00:00:00"/>
    <d v="2026-09-27T00:00:00"/>
    <n v="249.58"/>
    <m/>
    <m/>
    <m/>
    <s v="Pending"/>
    <s v=""/>
    <m/>
    <m/>
    <n v="62"/>
    <n v="0.43"/>
    <n v="106.64"/>
    <s v=""/>
    <x v="2"/>
    <x v="6"/>
    <x v="8"/>
  </r>
  <r>
    <s v="CLM100695"/>
    <s v="PT10521"/>
    <s v="P01"/>
    <x v="0"/>
    <x v="4"/>
    <n v="1"/>
    <d v="2026-01-08T00:00:00"/>
    <d v="2026-01-12T00:00:00"/>
    <n v="38.36"/>
    <n v="17.61"/>
    <n v="17.61"/>
    <n v="0"/>
    <s v="Paid"/>
    <s v=""/>
    <d v="2026-02-13T00:00:00"/>
    <d v="2026-02-13T00:00:00"/>
    <n v="38"/>
    <n v="0.45"/>
    <n v="17.100000000000001"/>
    <n v="-0.50999999999999801"/>
    <x v="0"/>
    <x v="5"/>
    <x v="5"/>
  </r>
  <r>
    <s v="CLM100696"/>
    <s v="PT12788"/>
    <s v="P06"/>
    <x v="1"/>
    <x v="1"/>
    <n v="1"/>
    <d v="2026-06-25T00:00:00"/>
    <d v="2026-06-27T00:00:00"/>
    <n v="243.3"/>
    <n v="55.94"/>
    <n v="50.35"/>
    <n v="5.59"/>
    <s v="Paid"/>
    <s v=""/>
    <d v="2026-08-08T00:00:00"/>
    <d v="2026-08-08T00:00:00"/>
    <n v="240"/>
    <n v="0.27"/>
    <n v="64.8"/>
    <n v="8.86"/>
    <x v="1"/>
    <x v="2"/>
    <x v="11"/>
  </r>
  <r>
    <s v="CLM100697"/>
    <s v="PT12785"/>
    <s v="P01"/>
    <x v="0"/>
    <x v="4"/>
    <n v="1"/>
    <d v="2026-05-07T00:00:00"/>
    <d v="2026-05-19T00:00:00"/>
    <n v="38.32"/>
    <m/>
    <m/>
    <m/>
    <s v="Denied"/>
    <s v="CO-50"/>
    <d v="2026-06-22T00:00:00"/>
    <m/>
    <n v="38"/>
    <n v="0.45"/>
    <n v="17.100000000000001"/>
    <s v=""/>
    <x v="2"/>
    <x v="5"/>
    <x v="7"/>
  </r>
  <r>
    <s v="CLM100698"/>
    <s v="PT10335"/>
    <s v="P01"/>
    <x v="1"/>
    <x v="4"/>
    <n v="1"/>
    <d v="2026-02-20T00:00:00"/>
    <d v="2026-02-24T00:00:00"/>
    <n v="38.950000000000003"/>
    <n v="16.940000000000001"/>
    <n v="15.25"/>
    <n v="1.69"/>
    <s v="Paid"/>
    <s v=""/>
    <d v="2026-03-23T00:00:00"/>
    <d v="2026-03-23T00:00:00"/>
    <n v="38"/>
    <n v="0.45"/>
    <n v="17.100000000000001"/>
    <n v="0.16000000000000014"/>
    <x v="0"/>
    <x v="5"/>
    <x v="0"/>
  </r>
  <r>
    <s v="CLM100699"/>
    <s v="PT11965"/>
    <s v="P08"/>
    <x v="2"/>
    <x v="2"/>
    <n v="4"/>
    <d v="2026-01-24T00:00:00"/>
    <d v="2026-01-25T00:00:00"/>
    <n v="246.87"/>
    <m/>
    <m/>
    <m/>
    <s v="Pending"/>
    <s v=""/>
    <m/>
    <m/>
    <n v="62"/>
    <n v="1"/>
    <n v="248"/>
    <s v=""/>
    <x v="2"/>
    <x v="7"/>
    <x v="5"/>
  </r>
  <r>
    <s v="CLM100700"/>
    <s v="PT13409"/>
    <s v="P04"/>
    <x v="0"/>
    <x v="0"/>
    <n v="1"/>
    <d v="2026-08-17T00:00:00"/>
    <d v="2026-08-25T00:00:00"/>
    <n v="148.79"/>
    <n v="53.12"/>
    <n v="47.81"/>
    <n v="5.31"/>
    <s v="Paid"/>
    <s v=""/>
    <d v="2026-09-19T00:00:00"/>
    <d v="2026-09-19T00:00:00"/>
    <n v="145"/>
    <n v="0.36"/>
    <n v="52.2"/>
    <n v="-0.9199999999999946"/>
    <x v="0"/>
    <x v="1"/>
    <x v="4"/>
  </r>
  <r>
    <s v="CLM100701"/>
    <s v="PT10248"/>
    <s v="P03"/>
    <x v="1"/>
    <x v="11"/>
    <n v="1"/>
    <d v="2026-01-30T00:00:00"/>
    <d v="2026-02-05T00:00:00"/>
    <n v="1180.5999999999999"/>
    <n v="603.66999999999996"/>
    <n v="603.66999999999996"/>
    <n v="0"/>
    <s v="Paid"/>
    <s v=""/>
    <d v="2026-03-09T00:00:00"/>
    <d v="2026-03-09T00:00:00"/>
    <n v="1150"/>
    <n v="0.47"/>
    <n v="540.5"/>
    <n v="-63.169999999999959"/>
    <x v="0"/>
    <x v="4"/>
    <x v="5"/>
  </r>
  <r>
    <s v="CLM100702"/>
    <s v="PT10417"/>
    <s v="P02"/>
    <x v="2"/>
    <x v="9"/>
    <n v="1"/>
    <d v="2026-09-21T00:00:00"/>
    <d v="2026-09-22T00:00:00"/>
    <n v="58.98"/>
    <m/>
    <m/>
    <m/>
    <s v="Pending"/>
    <s v=""/>
    <m/>
    <m/>
    <n v="58"/>
    <n v="0.43"/>
    <n v="24.94"/>
    <s v=""/>
    <x v="2"/>
    <x v="6"/>
    <x v="8"/>
  </r>
  <r>
    <s v="CLM100703"/>
    <s v="PT11572"/>
    <s v="P01"/>
    <x v="3"/>
    <x v="7"/>
    <n v="1"/>
    <d v="2026-04-14T00:00:00"/>
    <d v="2026-04-18T00:00:00"/>
    <n v="208.76"/>
    <n v="104.6"/>
    <n v="83.68"/>
    <n v="20.92"/>
    <s v="Paid"/>
    <s v=""/>
    <d v="2026-05-18T00:00:00"/>
    <d v="2026-05-18T00:00:00"/>
    <n v="210"/>
    <n v="0.45"/>
    <n v="94.5"/>
    <n v="-10.099999999999994"/>
    <x v="0"/>
    <x v="5"/>
    <x v="10"/>
  </r>
  <r>
    <s v="CLM100704"/>
    <s v="PT12407"/>
    <s v="P07"/>
    <x v="0"/>
    <x v="4"/>
    <n v="1"/>
    <d v="2026-08-14T00:00:00"/>
    <d v="2026-08-19T00:00:00"/>
    <n v="37.090000000000003"/>
    <n v="8.82"/>
    <n v="7.94"/>
    <n v="0.88"/>
    <s v="Paid"/>
    <s v=""/>
    <d v="2026-09-24T00:00:00"/>
    <d v="2026-09-24T00:00:00"/>
    <n v="38"/>
    <n v="0.28000000000000003"/>
    <n v="10.64"/>
    <n v="1.8200000000000003"/>
    <x v="1"/>
    <x v="3"/>
    <x v="4"/>
  </r>
  <r>
    <s v="CLM100705"/>
    <s v="PT12968"/>
    <s v="P01"/>
    <x v="1"/>
    <x v="8"/>
    <n v="1"/>
    <d v="2025-11-04T00:00:00"/>
    <d v="2025-11-12T00:00:00"/>
    <n v="261.45"/>
    <n v="103.96"/>
    <n v="83.17"/>
    <n v="20.79"/>
    <s v="Paid"/>
    <s v=""/>
    <d v="2025-12-02T00:00:00"/>
    <d v="2025-12-02T00:00:00"/>
    <n v="260"/>
    <n v="0.45"/>
    <n v="117"/>
    <n v="13.040000000000006"/>
    <x v="1"/>
    <x v="5"/>
    <x v="3"/>
  </r>
  <r>
    <s v="CLM100706"/>
    <s v="PT11274"/>
    <s v="P02"/>
    <x v="0"/>
    <x v="7"/>
    <n v="1"/>
    <d v="2025-10-23T00:00:00"/>
    <d v="2025-10-25T00:00:00"/>
    <n v="204.46"/>
    <n v="99.91"/>
    <n v="89.92"/>
    <n v="9.99"/>
    <s v="Paid"/>
    <s v=""/>
    <d v="2025-11-25T00:00:00"/>
    <d v="2025-11-25T00:00:00"/>
    <n v="210"/>
    <n v="0.43"/>
    <n v="90.3"/>
    <n v="-9.61"/>
    <x v="0"/>
    <x v="6"/>
    <x v="9"/>
  </r>
  <r>
    <s v="CLM100707"/>
    <s v="PT12077"/>
    <s v="P01"/>
    <x v="0"/>
    <x v="7"/>
    <n v="1"/>
    <d v="2026-03-08T00:00:00"/>
    <d v="2026-03-10T00:00:00"/>
    <n v="211.3"/>
    <n v="95.61"/>
    <n v="95.61"/>
    <n v="0"/>
    <s v="Paid"/>
    <s v=""/>
    <d v="2026-04-04T00:00:00"/>
    <d v="2026-04-04T00:00:00"/>
    <n v="210"/>
    <n v="0.45"/>
    <n v="94.5"/>
    <n v="-1.1099999999999994"/>
    <x v="0"/>
    <x v="5"/>
    <x v="2"/>
  </r>
  <r>
    <s v="CLM100708"/>
    <s v="PT11948"/>
    <s v="P07"/>
    <x v="2"/>
    <x v="0"/>
    <n v="1"/>
    <d v="2026-05-05T00:00:00"/>
    <d v="2026-05-21T00:00:00"/>
    <n v="143.63999999999999"/>
    <m/>
    <m/>
    <m/>
    <s v="Denied"/>
    <s v="CO-16"/>
    <d v="2026-07-12T00:00:00"/>
    <m/>
    <n v="145"/>
    <n v="0.28000000000000003"/>
    <n v="40.6"/>
    <s v=""/>
    <x v="2"/>
    <x v="3"/>
    <x v="7"/>
  </r>
  <r>
    <s v="CLM100709"/>
    <s v="PT12031"/>
    <s v="P05"/>
    <x v="2"/>
    <x v="0"/>
    <n v="1"/>
    <d v="2026-07-24T00:00:00"/>
    <d v="2026-07-26T00:00:00"/>
    <n v="145.58000000000001"/>
    <m/>
    <m/>
    <m/>
    <s v="Pending"/>
    <s v=""/>
    <m/>
    <m/>
    <n v="145"/>
    <n v="0.38"/>
    <n v="55.1"/>
    <s v=""/>
    <x v="2"/>
    <x v="0"/>
    <x v="1"/>
  </r>
  <r>
    <s v="CLM100710"/>
    <s v="PT13336"/>
    <s v="P04"/>
    <x v="1"/>
    <x v="8"/>
    <n v="1"/>
    <d v="2026-09-20T00:00:00"/>
    <d v="2026-09-24T00:00:00"/>
    <n v="255.79"/>
    <m/>
    <m/>
    <m/>
    <s v="Pending"/>
    <s v=""/>
    <m/>
    <m/>
    <n v="260"/>
    <n v="0.36"/>
    <n v="93.6"/>
    <s v=""/>
    <x v="2"/>
    <x v="1"/>
    <x v="8"/>
  </r>
  <r>
    <s v="CLM100711"/>
    <s v="PT11803"/>
    <s v="P02"/>
    <x v="1"/>
    <x v="4"/>
    <n v="1"/>
    <d v="2026-04-23T00:00:00"/>
    <d v="2026-05-12T00:00:00"/>
    <n v="37.28"/>
    <n v="13.82"/>
    <n v="12.44"/>
    <n v="1.38"/>
    <s v="Paid"/>
    <s v=""/>
    <d v="2026-06-17T00:00:00"/>
    <d v="2026-06-17T00:00:00"/>
    <n v="38"/>
    <n v="0.43"/>
    <n v="16.34"/>
    <n v="2.5199999999999996"/>
    <x v="1"/>
    <x v="6"/>
    <x v="10"/>
  </r>
  <r>
    <s v="CLM100712"/>
    <s v="PT12944"/>
    <s v="P07"/>
    <x v="1"/>
    <x v="1"/>
    <n v="1"/>
    <d v="2026-04-03T00:00:00"/>
    <d v="2026-04-04T00:00:00"/>
    <n v="233.43"/>
    <m/>
    <m/>
    <m/>
    <s v="Denied"/>
    <s v="CO-16"/>
    <d v="2026-06-05T00:00:00"/>
    <m/>
    <n v="240"/>
    <n v="0.28000000000000003"/>
    <n v="67.2"/>
    <s v=""/>
    <x v="2"/>
    <x v="3"/>
    <x v="10"/>
  </r>
  <r>
    <s v="CLM100713"/>
    <s v="PT12707"/>
    <s v="P01"/>
    <x v="2"/>
    <x v="2"/>
    <n v="1"/>
    <d v="2026-09-12T00:00:00"/>
    <d v="2026-09-19T00:00:00"/>
    <n v="61.55"/>
    <m/>
    <m/>
    <m/>
    <s v="Pending"/>
    <s v=""/>
    <m/>
    <m/>
    <n v="62"/>
    <n v="0.45"/>
    <n v="27.9"/>
    <s v=""/>
    <x v="2"/>
    <x v="5"/>
    <x v="8"/>
  </r>
  <r>
    <s v="CLM100714"/>
    <s v="PT10591"/>
    <s v="P08"/>
    <x v="1"/>
    <x v="1"/>
    <n v="1"/>
    <d v="2026-08-16T00:00:00"/>
    <d v="2026-08-25T00:00:00"/>
    <n v="245.5"/>
    <m/>
    <m/>
    <m/>
    <s v="Pending"/>
    <s v=""/>
    <m/>
    <m/>
    <n v="240"/>
    <n v="1"/>
    <n v="240"/>
    <s v=""/>
    <x v="2"/>
    <x v="7"/>
    <x v="4"/>
  </r>
  <r>
    <s v="CLM100715"/>
    <s v="PT13499"/>
    <s v="P06"/>
    <x v="2"/>
    <x v="2"/>
    <n v="3"/>
    <d v="2026-01-07T00:00:00"/>
    <d v="2026-01-09T00:00:00"/>
    <n v="184.64"/>
    <n v="45.89"/>
    <n v="45.89"/>
    <n v="0"/>
    <s v="Paid"/>
    <s v=""/>
    <d v="2026-03-05T00:00:00"/>
    <d v="2026-03-05T00:00:00"/>
    <n v="62"/>
    <n v="0.27"/>
    <n v="50.22"/>
    <n v="4.3299999999999983"/>
    <x v="1"/>
    <x v="2"/>
    <x v="5"/>
  </r>
  <r>
    <s v="CLM100716"/>
    <s v="PT12002"/>
    <s v="P02"/>
    <x v="0"/>
    <x v="7"/>
    <n v="1"/>
    <d v="2025-10-28T00:00:00"/>
    <d v="2025-10-30T00:00:00"/>
    <n v="211.63"/>
    <m/>
    <m/>
    <m/>
    <s v="Denied"/>
    <s v="CO-27"/>
    <d v="2025-12-04T00:00:00"/>
    <m/>
    <n v="210"/>
    <n v="0.43"/>
    <n v="90.3"/>
    <s v=""/>
    <x v="2"/>
    <x v="6"/>
    <x v="9"/>
  </r>
  <r>
    <s v="CLM100717"/>
    <s v="PT11979"/>
    <s v="P03"/>
    <x v="0"/>
    <x v="7"/>
    <n v="1"/>
    <d v="2026-08-27T00:00:00"/>
    <d v="2026-08-29T00:00:00"/>
    <n v="213.16"/>
    <m/>
    <m/>
    <m/>
    <s v="Pending"/>
    <s v=""/>
    <m/>
    <m/>
    <n v="210"/>
    <n v="0.47"/>
    <n v="98.7"/>
    <s v=""/>
    <x v="2"/>
    <x v="4"/>
    <x v="4"/>
  </r>
  <r>
    <s v="CLM100718"/>
    <s v="PT10831"/>
    <s v="P03"/>
    <x v="3"/>
    <x v="6"/>
    <n v="1"/>
    <d v="2026-07-25T00:00:00"/>
    <d v="2026-08-05T00:00:00"/>
    <n v="417.5"/>
    <n v="168.83"/>
    <n v="168.83"/>
    <n v="0"/>
    <s v="Paid"/>
    <s v=""/>
    <d v="2026-09-02T00:00:00"/>
    <d v="2026-09-02T00:00:00"/>
    <n v="420"/>
    <n v="0.47"/>
    <n v="197.4"/>
    <n v="28.569999999999993"/>
    <x v="1"/>
    <x v="4"/>
    <x v="1"/>
  </r>
  <r>
    <s v="CLM100719"/>
    <s v="PT11208"/>
    <s v="P02"/>
    <x v="0"/>
    <x v="7"/>
    <n v="1"/>
    <d v="2026-03-06T00:00:00"/>
    <d v="2026-03-08T00:00:00"/>
    <n v="209.06"/>
    <n v="98.89"/>
    <n v="98.89"/>
    <n v="0"/>
    <s v="Paid"/>
    <s v=""/>
    <d v="2026-04-08T00:00:00"/>
    <d v="2026-04-08T00:00:00"/>
    <n v="210"/>
    <n v="0.43"/>
    <n v="90.3"/>
    <n v="-8.5900000000000034"/>
    <x v="0"/>
    <x v="6"/>
    <x v="2"/>
  </r>
  <r>
    <s v="CLM100720"/>
    <s v="PT11505"/>
    <s v="P01"/>
    <x v="0"/>
    <x v="8"/>
    <n v="1"/>
    <d v="2025-10-22T00:00:00"/>
    <d v="2025-10-26T00:00:00"/>
    <n v="259.45999999999998"/>
    <n v="115.58"/>
    <n v="92.46"/>
    <n v="23.12"/>
    <s v="Paid"/>
    <s v=""/>
    <d v="2025-11-26T00:00:00"/>
    <d v="2025-11-26T00:00:00"/>
    <n v="260"/>
    <n v="0.45"/>
    <n v="117"/>
    <n v="1.4200000000000017"/>
    <x v="0"/>
    <x v="5"/>
    <x v="9"/>
  </r>
  <r>
    <s v="CLM100721"/>
    <s v="PT11132"/>
    <s v="P02"/>
    <x v="2"/>
    <x v="9"/>
    <n v="1"/>
    <d v="2025-10-13T00:00:00"/>
    <d v="2026-01-21T00:00:00"/>
    <n v="57.8"/>
    <m/>
    <m/>
    <m/>
    <s v="Denied"/>
    <s v="CO-29"/>
    <d v="2026-02-18T00:00:00"/>
    <m/>
    <n v="58"/>
    <n v="0.43"/>
    <n v="24.94"/>
    <s v=""/>
    <x v="2"/>
    <x v="6"/>
    <x v="9"/>
  </r>
  <r>
    <s v="CLM100722"/>
    <s v="PT10780"/>
    <s v="P01"/>
    <x v="2"/>
    <x v="2"/>
    <n v="1"/>
    <d v="2026-04-03T00:00:00"/>
    <d v="2026-04-05T00:00:00"/>
    <n v="62.17"/>
    <n v="30.11"/>
    <n v="27.1"/>
    <n v="3.01"/>
    <s v="Paid"/>
    <s v=""/>
    <d v="2026-05-02T00:00:00"/>
    <d v="2026-05-02T00:00:00"/>
    <n v="62"/>
    <n v="0.45"/>
    <n v="27.9"/>
    <n v="-2.2100000000000009"/>
    <x v="0"/>
    <x v="5"/>
    <x v="10"/>
  </r>
  <r>
    <s v="CLM100723"/>
    <s v="PT11933"/>
    <s v="P01"/>
    <x v="3"/>
    <x v="3"/>
    <n v="20"/>
    <d v="2026-07-06T00:00:00"/>
    <d v="2026-07-08T00:00:00"/>
    <n v="28144.85"/>
    <n v="13780.79"/>
    <n v="13780.79"/>
    <n v="0"/>
    <s v="Paid"/>
    <s v=""/>
    <d v="2026-07-28T00:00:00"/>
    <d v="2026-07-28T00:00:00"/>
    <n v="1450"/>
    <n v="0.45"/>
    <n v="13050"/>
    <n v="-730.79000000000087"/>
    <x v="0"/>
    <x v="5"/>
    <x v="1"/>
  </r>
  <r>
    <s v="CLM100724"/>
    <s v="PT11919"/>
    <s v="P07"/>
    <x v="3"/>
    <x v="3"/>
    <n v="10"/>
    <d v="2026-01-25T00:00:00"/>
    <d v="2026-01-26T00:00:00"/>
    <n v="14694.3"/>
    <m/>
    <m/>
    <m/>
    <s v="Denied"/>
    <s v="CO-50"/>
    <d v="2026-04-07T00:00:00"/>
    <m/>
    <n v="1450"/>
    <n v="0.28000000000000003"/>
    <n v="4060"/>
    <s v=""/>
    <x v="2"/>
    <x v="3"/>
    <x v="5"/>
  </r>
  <r>
    <s v="CLM100725"/>
    <s v="PT12365"/>
    <s v="P02"/>
    <x v="0"/>
    <x v="0"/>
    <n v="1"/>
    <d v="2026-01-05T00:00:00"/>
    <d v="2026-01-17T00:00:00"/>
    <n v="144.38"/>
    <n v="60.54"/>
    <n v="60.54"/>
    <n v="0"/>
    <s v="Paid"/>
    <s v=""/>
    <d v="2026-02-19T00:00:00"/>
    <d v="2026-02-19T00:00:00"/>
    <n v="145"/>
    <n v="0.43"/>
    <n v="62.35"/>
    <n v="1.8100000000000023"/>
    <x v="0"/>
    <x v="6"/>
    <x v="5"/>
  </r>
  <r>
    <s v="CLM100726"/>
    <s v="PT13124"/>
    <s v="P07"/>
    <x v="2"/>
    <x v="9"/>
    <n v="2"/>
    <d v="2025-10-05T00:00:00"/>
    <d v="2025-10-13T00:00:00"/>
    <n v="118.16"/>
    <n v="34.869999999999997"/>
    <n v="27.9"/>
    <n v="6.97"/>
    <s v="Paid"/>
    <s v=""/>
    <d v="2025-12-09T00:00:00"/>
    <d v="2025-12-09T00:00:00"/>
    <n v="58"/>
    <n v="0.28000000000000003"/>
    <n v="32.479999999999997"/>
    <n v="-2.3900000000000006"/>
    <x v="0"/>
    <x v="3"/>
    <x v="9"/>
  </r>
  <r>
    <s v="CLM100727"/>
    <s v="PT11561"/>
    <s v="P02"/>
    <x v="3"/>
    <x v="7"/>
    <n v="1"/>
    <d v="2026-07-28T00:00:00"/>
    <d v="2026-08-04T00:00:00"/>
    <n v="203.99"/>
    <n v="77.81"/>
    <n v="62.25"/>
    <n v="15.56"/>
    <s v="Paid"/>
    <s v=""/>
    <d v="2026-09-13T00:00:00"/>
    <d v="2026-09-13T00:00:00"/>
    <n v="210"/>
    <n v="0.43"/>
    <n v="90.3"/>
    <n v="12.489999999999995"/>
    <x v="1"/>
    <x v="6"/>
    <x v="1"/>
  </r>
  <r>
    <s v="CLM100728"/>
    <s v="PT10381"/>
    <s v="P01"/>
    <x v="1"/>
    <x v="10"/>
    <n v="1"/>
    <d v="2026-04-16T00:00:00"/>
    <d v="2026-04-17T00:00:00"/>
    <n v="1030.3699999999999"/>
    <n v="456.68"/>
    <n v="411.01"/>
    <n v="45.67"/>
    <s v="Paid"/>
    <s v=""/>
    <d v="2026-05-12T00:00:00"/>
    <d v="2026-05-12T00:00:00"/>
    <n v="1050"/>
    <n v="0.45"/>
    <n v="472.5"/>
    <n v="15.819999999999993"/>
    <x v="0"/>
    <x v="5"/>
    <x v="10"/>
  </r>
  <r>
    <s v="CLM100729"/>
    <s v="PT11192"/>
    <s v="P04"/>
    <x v="1"/>
    <x v="4"/>
    <n v="1"/>
    <d v="2025-10-17T00:00:00"/>
    <d v="2025-10-21T00:00:00"/>
    <n v="38.74"/>
    <m/>
    <m/>
    <m/>
    <s v="Denied"/>
    <s v="CO-16"/>
    <d v="2025-11-05T00:00:00"/>
    <m/>
    <n v="38"/>
    <n v="0.36"/>
    <n v="13.68"/>
    <s v=""/>
    <x v="2"/>
    <x v="1"/>
    <x v="9"/>
  </r>
  <r>
    <s v="CLM100730"/>
    <s v="PT10528"/>
    <s v="P02"/>
    <x v="1"/>
    <x v="8"/>
    <n v="1"/>
    <d v="2025-10-06T00:00:00"/>
    <d v="2025-10-14T00:00:00"/>
    <n v="254.88"/>
    <n v="97.34"/>
    <n v="97.34"/>
    <n v="0"/>
    <s v="Paid"/>
    <s v=""/>
    <d v="2025-11-19T00:00:00"/>
    <d v="2025-11-19T00:00:00"/>
    <n v="260"/>
    <n v="0.43"/>
    <n v="111.8"/>
    <n v="14.459999999999994"/>
    <x v="1"/>
    <x v="6"/>
    <x v="9"/>
  </r>
  <r>
    <s v="CLM100731"/>
    <s v="PT12472"/>
    <s v="P05"/>
    <x v="0"/>
    <x v="4"/>
    <n v="1"/>
    <d v="2026-04-18T00:00:00"/>
    <d v="2026-04-27T00:00:00"/>
    <n v="39.04"/>
    <m/>
    <m/>
    <m/>
    <s v="Denied"/>
    <s v="CO-16"/>
    <d v="2026-06-13T00:00:00"/>
    <m/>
    <n v="38"/>
    <n v="0.38"/>
    <n v="14.44"/>
    <s v=""/>
    <x v="2"/>
    <x v="0"/>
    <x v="10"/>
  </r>
  <r>
    <s v="CLM100732"/>
    <s v="PT13377"/>
    <s v="P03"/>
    <x v="1"/>
    <x v="7"/>
    <n v="1"/>
    <d v="2026-09-16T00:00:00"/>
    <d v="2026-09-17T00:00:00"/>
    <n v="209.48"/>
    <m/>
    <m/>
    <m/>
    <s v="Pending"/>
    <s v=""/>
    <m/>
    <m/>
    <n v="210"/>
    <n v="0.47"/>
    <n v="98.7"/>
    <s v=""/>
    <x v="2"/>
    <x v="4"/>
    <x v="8"/>
  </r>
  <r>
    <s v="CLM100733"/>
    <s v="PT11420"/>
    <s v="P04"/>
    <x v="0"/>
    <x v="7"/>
    <n v="1"/>
    <d v="2026-07-19T00:00:00"/>
    <d v="2026-07-22T00:00:00"/>
    <n v="214.78"/>
    <n v="83.03"/>
    <n v="66.42"/>
    <n v="16.61"/>
    <s v="Paid"/>
    <s v=""/>
    <d v="2026-08-06T00:00:00"/>
    <d v="2026-08-06T00:00:00"/>
    <n v="210"/>
    <n v="0.36"/>
    <n v="75.599999999999994"/>
    <n v="-7.4300000000000068"/>
    <x v="0"/>
    <x v="1"/>
    <x v="1"/>
  </r>
  <r>
    <s v="CLM100734"/>
    <s v="PT11875"/>
    <s v="P06"/>
    <x v="3"/>
    <x v="7"/>
    <n v="1"/>
    <d v="2026-04-19T00:00:00"/>
    <d v="2026-04-26T00:00:00"/>
    <n v="211.42"/>
    <n v="52.63"/>
    <n v="42.1"/>
    <n v="10.53"/>
    <s v="Paid"/>
    <s v=""/>
    <d v="2026-06-29T00:00:00"/>
    <d v="2026-06-29T00:00:00"/>
    <n v="210"/>
    <n v="0.27"/>
    <n v="56.7"/>
    <n v="4.07"/>
    <x v="1"/>
    <x v="2"/>
    <x v="10"/>
  </r>
  <r>
    <s v="CLM100735"/>
    <s v="PT10273"/>
    <s v="P05"/>
    <x v="0"/>
    <x v="7"/>
    <n v="1"/>
    <d v="2025-11-18T00:00:00"/>
    <d v="2025-11-30T00:00:00"/>
    <n v="208.66"/>
    <m/>
    <m/>
    <m/>
    <s v="Denied"/>
    <s v="CO-18"/>
    <d v="2026-01-12T00:00:00"/>
    <m/>
    <n v="210"/>
    <n v="0.38"/>
    <n v="79.8"/>
    <s v=""/>
    <x v="2"/>
    <x v="0"/>
    <x v="3"/>
  </r>
  <r>
    <s v="CLM100736"/>
    <s v="PT11847"/>
    <s v="P07"/>
    <x v="3"/>
    <x v="3"/>
    <n v="5"/>
    <d v="2026-04-29T00:00:00"/>
    <d v="2026-04-30T00:00:00"/>
    <n v="7465.46"/>
    <m/>
    <m/>
    <m/>
    <s v="Denied"/>
    <s v="CO-16"/>
    <d v="2026-06-19T00:00:00"/>
    <m/>
    <n v="1450"/>
    <n v="0.28000000000000003"/>
    <n v="2030"/>
    <s v=""/>
    <x v="2"/>
    <x v="3"/>
    <x v="10"/>
  </r>
  <r>
    <s v="CLM100737"/>
    <s v="PT11985"/>
    <s v="P02"/>
    <x v="0"/>
    <x v="4"/>
    <n v="1"/>
    <d v="2026-04-23T00:00:00"/>
    <d v="2026-04-26T00:00:00"/>
    <n v="38.81"/>
    <m/>
    <m/>
    <m/>
    <s v="Denied"/>
    <s v="CO-16"/>
    <d v="2026-05-20T00:00:00"/>
    <m/>
    <n v="38"/>
    <n v="0.43"/>
    <n v="16.34"/>
    <s v=""/>
    <x v="2"/>
    <x v="6"/>
    <x v="10"/>
  </r>
  <r>
    <s v="CLM100738"/>
    <s v="PT11600"/>
    <s v="P06"/>
    <x v="0"/>
    <x v="4"/>
    <n v="1"/>
    <d v="2025-12-22T00:00:00"/>
    <d v="2025-12-23T00:00:00"/>
    <n v="37.25"/>
    <m/>
    <m/>
    <m/>
    <s v="Denied"/>
    <s v="CO-16"/>
    <d v="2026-02-18T00:00:00"/>
    <m/>
    <n v="38"/>
    <n v="0.27"/>
    <n v="10.26"/>
    <s v=""/>
    <x v="2"/>
    <x v="2"/>
    <x v="6"/>
  </r>
  <r>
    <s v="CLM100739"/>
    <s v="PT11599"/>
    <s v="P07"/>
    <x v="1"/>
    <x v="8"/>
    <n v="1"/>
    <d v="2026-06-30T00:00:00"/>
    <d v="2026-07-05T00:00:00"/>
    <n v="255.57"/>
    <n v="78.209999999999994"/>
    <n v="78.209999999999994"/>
    <n v="0"/>
    <s v="Paid"/>
    <s v=""/>
    <d v="2026-08-16T00:00:00"/>
    <d v="2026-08-16T00:00:00"/>
    <n v="260"/>
    <n v="0.28000000000000003"/>
    <n v="72.8"/>
    <n v="-5.4099999999999966"/>
    <x v="0"/>
    <x v="3"/>
    <x v="11"/>
  </r>
  <r>
    <s v="CLM100740"/>
    <s v="PT10819"/>
    <s v="P01"/>
    <x v="3"/>
    <x v="6"/>
    <n v="1"/>
    <d v="2025-10-03T00:00:00"/>
    <d v="2025-10-05T00:00:00"/>
    <n v="408.63"/>
    <n v="169.56"/>
    <n v="169.56"/>
    <n v="0"/>
    <s v="Paid"/>
    <s v=""/>
    <d v="2025-10-22T00:00:00"/>
    <d v="2025-10-22T00:00:00"/>
    <n v="420"/>
    <n v="0.45"/>
    <n v="189"/>
    <n v="19.439999999999998"/>
    <x v="1"/>
    <x v="5"/>
    <x v="9"/>
  </r>
  <r>
    <s v="CLM100741"/>
    <s v="PT12965"/>
    <s v="P01"/>
    <x v="1"/>
    <x v="10"/>
    <n v="1"/>
    <d v="2025-10-08T00:00:00"/>
    <d v="2025-10-09T00:00:00"/>
    <n v="1039.74"/>
    <n v="427.21"/>
    <n v="427.21"/>
    <n v="0"/>
    <s v="Paid"/>
    <s v=""/>
    <d v="2025-11-17T00:00:00"/>
    <d v="2025-11-17T00:00:00"/>
    <n v="1050"/>
    <n v="0.45"/>
    <n v="472.5"/>
    <n v="45.29000000000002"/>
    <x v="1"/>
    <x v="5"/>
    <x v="9"/>
  </r>
  <r>
    <s v="CLM100742"/>
    <s v="PT11752"/>
    <s v="P03"/>
    <x v="1"/>
    <x v="10"/>
    <n v="1"/>
    <d v="2026-03-17T00:00:00"/>
    <d v="2026-03-21T00:00:00"/>
    <n v="1038.83"/>
    <n v="557.16999999999996"/>
    <n v="445.74"/>
    <n v="111.43"/>
    <s v="Paid"/>
    <s v=""/>
    <d v="2026-04-18T00:00:00"/>
    <d v="2026-04-18T00:00:00"/>
    <n v="1050"/>
    <n v="0.47"/>
    <n v="493.5"/>
    <n v="-63.669999999999959"/>
    <x v="0"/>
    <x v="4"/>
    <x v="2"/>
  </r>
  <r>
    <s v="CLM100743"/>
    <s v="PT12662"/>
    <s v="P01"/>
    <x v="1"/>
    <x v="7"/>
    <n v="1"/>
    <d v="2026-03-15T00:00:00"/>
    <d v="2026-03-18T00:00:00"/>
    <n v="205.89"/>
    <n v="89.46"/>
    <n v="80.510000000000005"/>
    <n v="8.9499999999999993"/>
    <s v="Paid"/>
    <s v=""/>
    <d v="2026-04-11T00:00:00"/>
    <d v="2026-04-11T00:00:00"/>
    <n v="210"/>
    <n v="0.45"/>
    <n v="94.5"/>
    <n v="5.0400000000000063"/>
    <x v="1"/>
    <x v="5"/>
    <x v="2"/>
  </r>
  <r>
    <s v="CLM100744"/>
    <s v="PT11031"/>
    <s v="P01"/>
    <x v="0"/>
    <x v="0"/>
    <n v="1"/>
    <d v="2026-01-20T00:00:00"/>
    <d v="2026-01-26T00:00:00"/>
    <n v="144.22999999999999"/>
    <n v="74.81"/>
    <n v="74.81"/>
    <n v="0"/>
    <s v="Paid"/>
    <s v=""/>
    <d v="2026-02-23T00:00:00"/>
    <d v="2026-02-23T00:00:00"/>
    <n v="145"/>
    <n v="0.45"/>
    <n v="65.25"/>
    <n v="-9.5600000000000023"/>
    <x v="0"/>
    <x v="5"/>
    <x v="5"/>
  </r>
  <r>
    <s v="CLM100745"/>
    <s v="PT13487"/>
    <s v="P02"/>
    <x v="2"/>
    <x v="0"/>
    <n v="1"/>
    <d v="2026-08-20T00:00:00"/>
    <d v="2026-08-25T00:00:00"/>
    <n v="146.71"/>
    <n v="59.44"/>
    <n v="53.5"/>
    <n v="5.94"/>
    <s v="Paid"/>
    <s v=""/>
    <d v="2026-09-12T00:00:00"/>
    <d v="2026-09-12T00:00:00"/>
    <n v="145"/>
    <n v="0.43"/>
    <n v="62.35"/>
    <n v="2.9100000000000037"/>
    <x v="0"/>
    <x v="6"/>
    <x v="4"/>
  </r>
  <r>
    <s v="CLM100746"/>
    <s v="PT10952"/>
    <s v="P02"/>
    <x v="3"/>
    <x v="3"/>
    <n v="30"/>
    <d v="2026-08-08T00:00:00"/>
    <d v="2026-08-13T00:00:00"/>
    <n v="43192.99"/>
    <m/>
    <m/>
    <m/>
    <s v="Denied"/>
    <s v="CO-50"/>
    <d v="2026-08-30T00:00:00"/>
    <m/>
    <n v="1450"/>
    <n v="0.43"/>
    <n v="18705"/>
    <s v=""/>
    <x v="2"/>
    <x v="6"/>
    <x v="4"/>
  </r>
  <r>
    <s v="CLM100747"/>
    <s v="PT12970"/>
    <s v="P05"/>
    <x v="1"/>
    <x v="10"/>
    <n v="1"/>
    <d v="2026-08-14T00:00:00"/>
    <d v="2026-08-15T00:00:00"/>
    <n v="1023.5"/>
    <n v="355.19"/>
    <n v="355.19"/>
    <n v="0"/>
    <s v="Paid"/>
    <s v=""/>
    <d v="2026-09-20T00:00:00"/>
    <d v="2026-09-20T00:00:00"/>
    <n v="1050"/>
    <n v="0.38"/>
    <n v="399"/>
    <n v="43.81"/>
    <x v="1"/>
    <x v="0"/>
    <x v="4"/>
  </r>
  <r>
    <s v="CLM100748"/>
    <s v="PT12654"/>
    <s v="P05"/>
    <x v="0"/>
    <x v="4"/>
    <n v="1"/>
    <d v="2026-03-18T00:00:00"/>
    <d v="2026-03-20T00:00:00"/>
    <n v="37.17"/>
    <n v="12.18"/>
    <n v="9.74"/>
    <n v="2.44"/>
    <s v="Paid"/>
    <s v=""/>
    <d v="2026-05-26T00:00:00"/>
    <d v="2026-05-26T00:00:00"/>
    <n v="38"/>
    <n v="0.38"/>
    <n v="14.44"/>
    <n v="2.2599999999999998"/>
    <x v="1"/>
    <x v="0"/>
    <x v="2"/>
  </r>
  <r>
    <s v="CLM100749"/>
    <s v="PT12135"/>
    <s v="P01"/>
    <x v="2"/>
    <x v="2"/>
    <n v="1"/>
    <d v="2026-03-19T00:00:00"/>
    <d v="2026-03-23T00:00:00"/>
    <n v="61.04"/>
    <n v="25.32"/>
    <n v="20.260000000000002"/>
    <n v="5.0599999999999996"/>
    <s v="Paid"/>
    <s v=""/>
    <d v="2026-04-14T00:00:00"/>
    <d v="2026-04-14T00:00:00"/>
    <n v="62"/>
    <n v="0.45"/>
    <n v="27.9"/>
    <n v="2.5799999999999983"/>
    <x v="1"/>
    <x v="5"/>
    <x v="2"/>
  </r>
  <r>
    <s v="CLM100750"/>
    <s v="PT10836"/>
    <s v="P04"/>
    <x v="1"/>
    <x v="10"/>
    <n v="1"/>
    <d v="2025-11-03T00:00:00"/>
    <d v="2025-11-04T00:00:00"/>
    <n v="1073.3"/>
    <n v="402.54"/>
    <n v="402.54"/>
    <n v="0"/>
    <s v="Paid"/>
    <s v=""/>
    <d v="2025-11-14T00:00:00"/>
    <d v="2025-11-14T00:00:00"/>
    <n v="1050"/>
    <n v="0.36"/>
    <n v="378"/>
    <n v="-24.54000000000002"/>
    <x v="0"/>
    <x v="1"/>
    <x v="3"/>
  </r>
  <r>
    <s v="CLM100751"/>
    <s v="PT12481"/>
    <s v="P04"/>
    <x v="1"/>
    <x v="7"/>
    <n v="1"/>
    <d v="2026-01-13T00:00:00"/>
    <d v="2026-01-14T00:00:00"/>
    <n v="206.68"/>
    <n v="70.040000000000006"/>
    <n v="70.040000000000006"/>
    <n v="0"/>
    <s v="Paid"/>
    <s v=""/>
    <d v="2026-01-31T00:00:00"/>
    <d v="2026-01-31T00:00:00"/>
    <n v="210"/>
    <n v="0.36"/>
    <n v="75.599999999999994"/>
    <n v="5.5599999999999881"/>
    <x v="1"/>
    <x v="1"/>
    <x v="5"/>
  </r>
  <r>
    <s v="CLM100752"/>
    <s v="PT11631"/>
    <s v="P04"/>
    <x v="1"/>
    <x v="11"/>
    <n v="1"/>
    <d v="2026-08-22T00:00:00"/>
    <d v="2026-08-30T00:00:00"/>
    <n v="1129.4000000000001"/>
    <n v="463.63"/>
    <n v="417.27"/>
    <n v="46.36"/>
    <s v="Paid"/>
    <s v=""/>
    <d v="2026-09-13T00:00:00"/>
    <d v="2026-09-13T00:00:00"/>
    <n v="1150"/>
    <n v="0.36"/>
    <n v="414"/>
    <n v="-49.629999999999995"/>
    <x v="0"/>
    <x v="1"/>
    <x v="4"/>
  </r>
  <r>
    <s v="CLM100753"/>
    <s v="PT10340"/>
    <s v="P03"/>
    <x v="0"/>
    <x v="4"/>
    <n v="1"/>
    <d v="2026-06-16T00:00:00"/>
    <d v="2026-06-19T00:00:00"/>
    <n v="38.25"/>
    <m/>
    <m/>
    <m/>
    <s v="Denied"/>
    <s v="CO-50"/>
    <d v="2026-08-04T00:00:00"/>
    <m/>
    <n v="38"/>
    <n v="0.47"/>
    <n v="17.86"/>
    <s v=""/>
    <x v="2"/>
    <x v="4"/>
    <x v="11"/>
  </r>
  <r>
    <s v="CLM100754"/>
    <s v="PT10294"/>
    <s v="P04"/>
    <x v="2"/>
    <x v="0"/>
    <n v="1"/>
    <d v="2026-07-11T00:00:00"/>
    <d v="2026-07-13T00:00:00"/>
    <n v="146.97"/>
    <n v="50.85"/>
    <n v="40.68"/>
    <n v="10.17"/>
    <s v="Paid"/>
    <s v=""/>
    <d v="2026-07-25T00:00:00"/>
    <d v="2026-07-25T00:00:00"/>
    <n v="145"/>
    <n v="0.36"/>
    <n v="52.2"/>
    <n v="1.3500000000000014"/>
    <x v="0"/>
    <x v="1"/>
    <x v="1"/>
  </r>
  <r>
    <s v="CLM100755"/>
    <s v="PT11616"/>
    <s v="P03"/>
    <x v="1"/>
    <x v="4"/>
    <n v="1"/>
    <d v="2025-12-19T00:00:00"/>
    <d v="2025-12-20T00:00:00"/>
    <n v="38.950000000000003"/>
    <n v="19.72"/>
    <n v="15.78"/>
    <n v="3.94"/>
    <s v="Paid"/>
    <s v=""/>
    <d v="2026-01-24T00:00:00"/>
    <d v="2026-01-24T00:00:00"/>
    <n v="38"/>
    <n v="0.47"/>
    <n v="17.86"/>
    <n v="-1.8599999999999994"/>
    <x v="0"/>
    <x v="4"/>
    <x v="6"/>
  </r>
  <r>
    <s v="CLM100756"/>
    <s v="PT10795"/>
    <s v="P02"/>
    <x v="2"/>
    <x v="9"/>
    <n v="4"/>
    <d v="2026-03-07T00:00:00"/>
    <d v="2026-03-08T00:00:00"/>
    <n v="238.79"/>
    <n v="90.16"/>
    <n v="90.16"/>
    <n v="0"/>
    <s v="Paid"/>
    <s v=""/>
    <d v="2026-04-15T00:00:00"/>
    <d v="2026-04-15T00:00:00"/>
    <n v="58"/>
    <n v="0.43"/>
    <n v="99.76"/>
    <n v="9.6000000000000085"/>
    <x v="1"/>
    <x v="6"/>
    <x v="2"/>
  </r>
  <r>
    <s v="CLM100757"/>
    <s v="PT10992"/>
    <s v="P05"/>
    <x v="3"/>
    <x v="6"/>
    <n v="1"/>
    <d v="2026-03-28T00:00:00"/>
    <d v="2026-03-31T00:00:00"/>
    <n v="420.24"/>
    <n v="170.57"/>
    <n v="170.57"/>
    <n v="0"/>
    <s v="Paid"/>
    <s v=""/>
    <d v="2026-05-01T00:00:00"/>
    <d v="2026-05-01T00:00:00"/>
    <n v="420"/>
    <n v="0.38"/>
    <n v="159.6"/>
    <n v="-10.969999999999999"/>
    <x v="0"/>
    <x v="0"/>
    <x v="2"/>
  </r>
  <r>
    <s v="CLM100758"/>
    <s v="PT11041"/>
    <s v="P04"/>
    <x v="0"/>
    <x v="8"/>
    <n v="1"/>
    <d v="2026-09-12T00:00:00"/>
    <d v="2026-09-17T00:00:00"/>
    <n v="252.64"/>
    <n v="93.93"/>
    <n v="93.93"/>
    <n v="0"/>
    <s v="Paid"/>
    <s v=""/>
    <d v="2026-09-24T00:00:00"/>
    <d v="2026-09-24T00:00:00"/>
    <n v="260"/>
    <n v="0.36"/>
    <n v="93.6"/>
    <n v="-0.33000000000001251"/>
    <x v="0"/>
    <x v="1"/>
    <x v="8"/>
  </r>
  <r>
    <s v="CLM100759"/>
    <s v="PT12123"/>
    <s v="P07"/>
    <x v="1"/>
    <x v="1"/>
    <n v="1"/>
    <d v="2025-12-22T00:00:00"/>
    <d v="2025-12-28T00:00:00"/>
    <n v="232.98"/>
    <n v="73.430000000000007"/>
    <n v="73.430000000000007"/>
    <n v="0"/>
    <s v="Paid"/>
    <s v=""/>
    <d v="2026-02-07T00:00:00"/>
    <d v="2026-02-07T00:00:00"/>
    <n v="240"/>
    <n v="0.28000000000000003"/>
    <n v="67.2"/>
    <n v="-6.230000000000004"/>
    <x v="0"/>
    <x v="3"/>
    <x v="6"/>
  </r>
  <r>
    <s v="CLM100760"/>
    <s v="PT13082"/>
    <s v="P01"/>
    <x v="2"/>
    <x v="9"/>
    <n v="1"/>
    <d v="2026-05-07T00:00:00"/>
    <d v="2026-05-10T00:00:00"/>
    <n v="58.67"/>
    <n v="27.11"/>
    <n v="21.69"/>
    <n v="5.42"/>
    <s v="Paid"/>
    <s v=""/>
    <d v="2026-06-13T00:00:00"/>
    <d v="2026-06-13T00:00:00"/>
    <n v="58"/>
    <n v="0.45"/>
    <n v="26.1"/>
    <n v="-1.009999999999998"/>
    <x v="0"/>
    <x v="5"/>
    <x v="7"/>
  </r>
  <r>
    <s v="CLM100761"/>
    <s v="PT10689"/>
    <s v="P07"/>
    <x v="2"/>
    <x v="0"/>
    <n v="1"/>
    <d v="2025-11-25T00:00:00"/>
    <d v="2025-12-01T00:00:00"/>
    <n v="146.18"/>
    <m/>
    <m/>
    <m/>
    <s v="Denied"/>
    <s v="CO-11"/>
    <d v="2026-01-18T00:00:00"/>
    <m/>
    <n v="145"/>
    <n v="0.28000000000000003"/>
    <n v="40.6"/>
    <s v=""/>
    <x v="2"/>
    <x v="3"/>
    <x v="3"/>
  </r>
  <r>
    <s v="CLM100762"/>
    <s v="PT10763"/>
    <s v="P05"/>
    <x v="1"/>
    <x v="8"/>
    <n v="1"/>
    <d v="2026-05-02T00:00:00"/>
    <d v="2026-05-07T00:00:00"/>
    <n v="260.39"/>
    <n v="89.39"/>
    <n v="80.45"/>
    <n v="8.94"/>
    <s v="Paid"/>
    <s v=""/>
    <d v="2026-07-06T00:00:00"/>
    <d v="2026-07-06T00:00:00"/>
    <n v="260"/>
    <n v="0.38"/>
    <n v="98.8"/>
    <n v="9.4099999999999966"/>
    <x v="1"/>
    <x v="0"/>
    <x v="7"/>
  </r>
  <r>
    <s v="CLM100763"/>
    <s v="PT11674"/>
    <s v="P03"/>
    <x v="3"/>
    <x v="3"/>
    <n v="5"/>
    <d v="2026-06-15T00:00:00"/>
    <d v="2026-06-22T00:00:00"/>
    <n v="7228.54"/>
    <m/>
    <m/>
    <m/>
    <s v="Denied"/>
    <s v="CO-197"/>
    <d v="2026-08-06T00:00:00"/>
    <m/>
    <n v="1450"/>
    <n v="0.47"/>
    <n v="3407.5"/>
    <s v=""/>
    <x v="2"/>
    <x v="4"/>
    <x v="11"/>
  </r>
  <r>
    <s v="CLM100764"/>
    <s v="PT10038"/>
    <s v="P01"/>
    <x v="1"/>
    <x v="11"/>
    <n v="1"/>
    <d v="2025-12-03T00:00:00"/>
    <d v="2025-12-05T00:00:00"/>
    <n v="1134.5999999999999"/>
    <n v="507.06"/>
    <n v="507.06"/>
    <n v="0"/>
    <s v="Paid"/>
    <s v=""/>
    <d v="2025-12-26T00:00:00"/>
    <d v="2025-12-26T00:00:00"/>
    <n v="1150"/>
    <n v="0.45"/>
    <n v="517.5"/>
    <n v="10.439999999999998"/>
    <x v="0"/>
    <x v="5"/>
    <x v="6"/>
  </r>
  <r>
    <s v="CLM100765"/>
    <s v="PT13118"/>
    <s v="P08"/>
    <x v="1"/>
    <x v="5"/>
    <n v="1"/>
    <d v="2026-09-06T00:00:00"/>
    <d v="2026-09-24T00:00:00"/>
    <n v="4823.74"/>
    <m/>
    <m/>
    <m/>
    <s v="Pending"/>
    <s v=""/>
    <m/>
    <m/>
    <n v="4800"/>
    <n v="1"/>
    <n v="4800"/>
    <s v=""/>
    <x v="2"/>
    <x v="7"/>
    <x v="8"/>
  </r>
  <r>
    <s v="CLM100766"/>
    <s v="PT13345"/>
    <s v="P03"/>
    <x v="1"/>
    <x v="10"/>
    <n v="1"/>
    <d v="2026-03-22T00:00:00"/>
    <d v="2026-03-24T00:00:00"/>
    <n v="1056.58"/>
    <n v="474.86"/>
    <n v="427.37"/>
    <n v="47.49"/>
    <s v="Paid"/>
    <s v=""/>
    <d v="2026-05-08T00:00:00"/>
    <d v="2026-05-08T00:00:00"/>
    <n v="1050"/>
    <n v="0.47"/>
    <n v="493.5"/>
    <n v="18.639999999999986"/>
    <x v="0"/>
    <x v="4"/>
    <x v="2"/>
  </r>
  <r>
    <s v="CLM100767"/>
    <s v="PT12970"/>
    <s v="P04"/>
    <x v="1"/>
    <x v="11"/>
    <n v="1"/>
    <d v="2026-04-12T00:00:00"/>
    <d v="2026-04-27T00:00:00"/>
    <n v="1157.6500000000001"/>
    <n v="456.46"/>
    <n v="365.17"/>
    <n v="91.29"/>
    <s v="Paid"/>
    <s v=""/>
    <d v="2026-05-25T00:00:00"/>
    <d v="2026-05-25T00:00:00"/>
    <n v="1150"/>
    <n v="0.36"/>
    <n v="414"/>
    <n v="-42.45999999999998"/>
    <x v="0"/>
    <x v="1"/>
    <x v="10"/>
  </r>
  <r>
    <s v="CLM100768"/>
    <s v="PT12109"/>
    <s v="P01"/>
    <x v="2"/>
    <x v="2"/>
    <n v="3"/>
    <d v="2025-12-02T00:00:00"/>
    <d v="2025-12-07T00:00:00"/>
    <n v="183.54"/>
    <n v="85.63"/>
    <n v="68.5"/>
    <n v="17.13"/>
    <s v="Paid"/>
    <s v=""/>
    <d v="2026-01-04T00:00:00"/>
    <d v="2026-01-04T00:00:00"/>
    <n v="62"/>
    <n v="0.45"/>
    <n v="83.7"/>
    <n v="-1.9299999999999926"/>
    <x v="0"/>
    <x v="5"/>
    <x v="6"/>
  </r>
  <r>
    <s v="CLM100769"/>
    <s v="PT11819"/>
    <s v="P01"/>
    <x v="0"/>
    <x v="7"/>
    <n v="1"/>
    <d v="2026-08-23T00:00:00"/>
    <d v="2026-08-30T00:00:00"/>
    <n v="215.77"/>
    <m/>
    <m/>
    <m/>
    <s v="Denied"/>
    <s v="CO-27"/>
    <d v="2026-09-29T00:00:00"/>
    <m/>
    <n v="210"/>
    <n v="0.45"/>
    <n v="94.5"/>
    <s v=""/>
    <x v="2"/>
    <x v="5"/>
    <x v="4"/>
  </r>
  <r>
    <s v="CLM100770"/>
    <s v="PT12486"/>
    <s v="P02"/>
    <x v="0"/>
    <x v="0"/>
    <n v="1"/>
    <d v="2026-06-01T00:00:00"/>
    <d v="2026-06-09T00:00:00"/>
    <n v="149.24"/>
    <n v="68.45"/>
    <n v="61.6"/>
    <n v="6.85"/>
    <s v="Paid"/>
    <s v=""/>
    <d v="2026-07-03T00:00:00"/>
    <d v="2026-07-03T00:00:00"/>
    <n v="145"/>
    <n v="0.43"/>
    <n v="62.35"/>
    <n v="-6.1000000000000014"/>
    <x v="0"/>
    <x v="6"/>
    <x v="11"/>
  </r>
  <r>
    <s v="CLM100771"/>
    <s v="PT11912"/>
    <s v="P07"/>
    <x v="1"/>
    <x v="7"/>
    <n v="1"/>
    <d v="2026-07-20T00:00:00"/>
    <d v="2026-07-26T00:00:00"/>
    <n v="213.59"/>
    <m/>
    <m/>
    <m/>
    <s v="Pending"/>
    <s v=""/>
    <m/>
    <m/>
    <n v="210"/>
    <n v="0.28000000000000003"/>
    <n v="58.8"/>
    <s v=""/>
    <x v="2"/>
    <x v="3"/>
    <x v="1"/>
  </r>
  <r>
    <s v="CLM100772"/>
    <s v="PT12702"/>
    <s v="P08"/>
    <x v="1"/>
    <x v="10"/>
    <n v="1"/>
    <d v="2026-06-04T00:00:00"/>
    <d v="2026-06-06T00:00:00"/>
    <n v="1060.25"/>
    <n v="1060.25"/>
    <n v="1060.25"/>
    <n v="0"/>
    <s v="Paid"/>
    <s v=""/>
    <d v="2026-06-15T00:00:00"/>
    <d v="2026-06-15T00:00:00"/>
    <n v="1050"/>
    <n v="1"/>
    <n v="1050"/>
    <n v="-10.25"/>
    <x v="0"/>
    <x v="7"/>
    <x v="11"/>
  </r>
  <r>
    <s v="CLM100773"/>
    <s v="PT12725"/>
    <s v="P03"/>
    <x v="3"/>
    <x v="3"/>
    <n v="10"/>
    <d v="2025-10-15T00:00:00"/>
    <d v="2025-10-17T00:00:00"/>
    <n v="14873.23"/>
    <n v="6547.38"/>
    <n v="6547.38"/>
    <n v="0"/>
    <s v="Paid"/>
    <s v=""/>
    <d v="2025-11-27T00:00:00"/>
    <d v="2025-11-27T00:00:00"/>
    <n v="1450"/>
    <n v="0.47"/>
    <n v="6815"/>
    <n v="267.61999999999989"/>
    <x v="0"/>
    <x v="4"/>
    <x v="9"/>
  </r>
  <r>
    <s v="CLM100774"/>
    <s v="PT12637"/>
    <s v="P04"/>
    <x v="1"/>
    <x v="1"/>
    <n v="1"/>
    <d v="2026-06-09T00:00:00"/>
    <d v="2026-06-14T00:00:00"/>
    <n v="234.1"/>
    <n v="95.6"/>
    <n v="95.6"/>
    <n v="0"/>
    <s v="Paid"/>
    <s v=""/>
    <d v="2026-06-24T00:00:00"/>
    <d v="2026-06-24T00:00:00"/>
    <n v="240"/>
    <n v="0.36"/>
    <n v="86.4"/>
    <n v="-9.1999999999999886"/>
    <x v="0"/>
    <x v="1"/>
    <x v="11"/>
  </r>
  <r>
    <s v="CLM100775"/>
    <s v="PT13033"/>
    <s v="P04"/>
    <x v="0"/>
    <x v="4"/>
    <n v="1"/>
    <d v="2026-07-15T00:00:00"/>
    <d v="2026-07-18T00:00:00"/>
    <n v="39.06"/>
    <n v="13.01"/>
    <n v="11.71"/>
    <n v="1.3"/>
    <s v="Paid"/>
    <s v=""/>
    <d v="2026-08-04T00:00:00"/>
    <d v="2026-08-04T00:00:00"/>
    <n v="38"/>
    <n v="0.36"/>
    <n v="13.68"/>
    <n v="0.66999999999999993"/>
    <x v="0"/>
    <x v="1"/>
    <x v="1"/>
  </r>
  <r>
    <s v="CLM100776"/>
    <s v="PT11273"/>
    <s v="P05"/>
    <x v="0"/>
    <x v="7"/>
    <n v="1"/>
    <d v="2025-11-29T00:00:00"/>
    <d v="2025-11-30T00:00:00"/>
    <n v="210.92"/>
    <n v="77.67"/>
    <n v="77.67"/>
    <n v="0"/>
    <s v="Paid"/>
    <s v=""/>
    <d v="2026-01-28T00:00:00"/>
    <d v="2026-01-28T00:00:00"/>
    <n v="210"/>
    <n v="0.38"/>
    <n v="79.8"/>
    <n v="2.1299999999999955"/>
    <x v="0"/>
    <x v="0"/>
    <x v="3"/>
  </r>
  <r>
    <s v="CLM100777"/>
    <s v="PT10436"/>
    <s v="P01"/>
    <x v="1"/>
    <x v="1"/>
    <n v="1"/>
    <d v="2026-04-17T00:00:00"/>
    <d v="2026-04-19T00:00:00"/>
    <n v="246.91"/>
    <n v="117.31"/>
    <n v="117.31"/>
    <n v="0"/>
    <s v="Paid"/>
    <s v=""/>
    <d v="2026-05-19T00:00:00"/>
    <d v="2026-05-19T00:00:00"/>
    <n v="240"/>
    <n v="0.45"/>
    <n v="108"/>
    <n v="-9.3100000000000023"/>
    <x v="0"/>
    <x v="5"/>
    <x v="10"/>
  </r>
  <r>
    <s v="CLM100778"/>
    <s v="PT13059"/>
    <s v="P02"/>
    <x v="0"/>
    <x v="4"/>
    <n v="1"/>
    <d v="2026-03-01T00:00:00"/>
    <d v="2026-03-04T00:00:00"/>
    <n v="38.770000000000003"/>
    <n v="17.100000000000001"/>
    <n v="17.100000000000001"/>
    <n v="0"/>
    <s v="Paid"/>
    <s v=""/>
    <d v="2026-03-24T00:00:00"/>
    <d v="2026-03-24T00:00:00"/>
    <n v="38"/>
    <n v="0.43"/>
    <n v="16.34"/>
    <n v="-0.76000000000000156"/>
    <x v="0"/>
    <x v="6"/>
    <x v="2"/>
  </r>
  <r>
    <s v="CLM100779"/>
    <s v="PT12027"/>
    <s v="P01"/>
    <x v="3"/>
    <x v="7"/>
    <n v="1"/>
    <d v="2026-03-13T00:00:00"/>
    <d v="2026-04-01T00:00:00"/>
    <n v="207.59"/>
    <n v="107.86"/>
    <n v="107.86"/>
    <n v="0"/>
    <s v="Paid"/>
    <s v=""/>
    <d v="2026-04-26T00:00:00"/>
    <d v="2026-04-26T00:00:00"/>
    <n v="210"/>
    <n v="0.45"/>
    <n v="94.5"/>
    <n v="-13.36"/>
    <x v="0"/>
    <x v="5"/>
    <x v="2"/>
  </r>
  <r>
    <s v="CLM100780"/>
    <s v="PT12868"/>
    <s v="P01"/>
    <x v="1"/>
    <x v="10"/>
    <n v="1"/>
    <d v="2026-03-20T00:00:00"/>
    <d v="2026-03-26T00:00:00"/>
    <n v="1028.1199999999999"/>
    <n v="525.17999999999995"/>
    <n v="525.17999999999995"/>
    <n v="0"/>
    <s v="Paid"/>
    <s v=""/>
    <d v="2026-04-13T00:00:00"/>
    <d v="2026-04-13T00:00:00"/>
    <n v="1050"/>
    <n v="0.45"/>
    <n v="472.5"/>
    <n v="-52.67999999999995"/>
    <x v="0"/>
    <x v="5"/>
    <x v="2"/>
  </r>
  <r>
    <s v="CLM100781"/>
    <s v="PT11426"/>
    <s v="P06"/>
    <x v="3"/>
    <x v="3"/>
    <n v="20"/>
    <d v="2026-04-19T00:00:00"/>
    <d v="2026-04-24T00:00:00"/>
    <n v="29842.84"/>
    <n v="9288.56"/>
    <n v="7430.85"/>
    <n v="1857.71"/>
    <s v="Paid"/>
    <s v=""/>
    <d v="2026-05-23T00:00:00"/>
    <d v="2026-05-23T00:00:00"/>
    <n v="1450"/>
    <n v="0.27"/>
    <n v="7830"/>
    <n v="-1458.5599999999995"/>
    <x v="0"/>
    <x v="2"/>
    <x v="10"/>
  </r>
  <r>
    <s v="CLM100782"/>
    <s v="PT10536"/>
    <s v="P01"/>
    <x v="3"/>
    <x v="6"/>
    <n v="1"/>
    <d v="2026-02-22T00:00:00"/>
    <d v="2026-03-05T00:00:00"/>
    <n v="414.52"/>
    <n v="189.32"/>
    <n v="189.32"/>
    <n v="0"/>
    <s v="Paid"/>
    <s v=""/>
    <d v="2026-03-30T00:00:00"/>
    <d v="2026-03-30T00:00:00"/>
    <n v="420"/>
    <n v="0.45"/>
    <n v="189"/>
    <n v="-0.31999999999999318"/>
    <x v="0"/>
    <x v="5"/>
    <x v="0"/>
  </r>
  <r>
    <s v="CLM100783"/>
    <s v="PT10593"/>
    <s v="P04"/>
    <x v="1"/>
    <x v="5"/>
    <n v="1"/>
    <d v="2025-10-28T00:00:00"/>
    <d v="2025-11-02T00:00:00"/>
    <n v="4900.75"/>
    <n v="1579.68"/>
    <n v="1421.71"/>
    <n v="157.97"/>
    <s v="Paid"/>
    <s v=""/>
    <d v="2025-11-25T00:00:00"/>
    <d v="2025-11-25T00:00:00"/>
    <n v="4800"/>
    <n v="0.36"/>
    <n v="1728"/>
    <n v="148.31999999999994"/>
    <x v="1"/>
    <x v="1"/>
    <x v="9"/>
  </r>
  <r>
    <s v="CLM100784"/>
    <s v="PT10604"/>
    <s v="P05"/>
    <x v="1"/>
    <x v="5"/>
    <n v="1"/>
    <d v="2026-08-30T00:00:00"/>
    <d v="2026-09-05T00:00:00"/>
    <n v="4658.63"/>
    <m/>
    <m/>
    <m/>
    <s v="Pending"/>
    <s v=""/>
    <m/>
    <m/>
    <n v="4800"/>
    <n v="0.38"/>
    <n v="1824"/>
    <s v=""/>
    <x v="2"/>
    <x v="0"/>
    <x v="4"/>
  </r>
  <r>
    <s v="CLM100785"/>
    <s v="PT12430"/>
    <s v="P05"/>
    <x v="0"/>
    <x v="4"/>
    <n v="1"/>
    <d v="2025-12-26T00:00:00"/>
    <d v="2025-12-27T00:00:00"/>
    <n v="38.97"/>
    <n v="13.42"/>
    <n v="12.08"/>
    <n v="1.34"/>
    <s v="Paid"/>
    <s v=""/>
    <d v="2026-03-30T00:00:00"/>
    <d v="2026-03-30T00:00:00"/>
    <n v="38"/>
    <n v="0.38"/>
    <n v="14.44"/>
    <n v="1.0199999999999996"/>
    <x v="1"/>
    <x v="0"/>
    <x v="6"/>
  </r>
  <r>
    <s v="CLM100786"/>
    <s v="PT12673"/>
    <s v="P04"/>
    <x v="0"/>
    <x v="7"/>
    <n v="1"/>
    <d v="2026-04-25T00:00:00"/>
    <d v="2026-04-26T00:00:00"/>
    <n v="206.79"/>
    <n v="69.87"/>
    <n v="69.87"/>
    <n v="0"/>
    <s v="Paid"/>
    <s v=""/>
    <d v="2026-05-18T00:00:00"/>
    <d v="2026-05-18T00:00:00"/>
    <n v="210"/>
    <n v="0.36"/>
    <n v="75.599999999999994"/>
    <n v="5.7299999999999898"/>
    <x v="1"/>
    <x v="1"/>
    <x v="10"/>
  </r>
  <r>
    <s v="CLM100787"/>
    <s v="PT12675"/>
    <s v="P08"/>
    <x v="3"/>
    <x v="7"/>
    <n v="1"/>
    <d v="2026-09-09T00:00:00"/>
    <d v="2026-09-16T00:00:00"/>
    <n v="212"/>
    <m/>
    <m/>
    <m/>
    <s v="Pending"/>
    <s v=""/>
    <m/>
    <m/>
    <n v="210"/>
    <n v="1"/>
    <n v="210"/>
    <s v=""/>
    <x v="2"/>
    <x v="7"/>
    <x v="8"/>
  </r>
  <r>
    <s v="CLM100788"/>
    <s v="PT11121"/>
    <s v="P01"/>
    <x v="0"/>
    <x v="0"/>
    <n v="1"/>
    <d v="2025-11-12T00:00:00"/>
    <d v="2025-11-17T00:00:00"/>
    <n v="141.71"/>
    <n v="58.31"/>
    <n v="46.65"/>
    <n v="11.66"/>
    <s v="Paid"/>
    <s v=""/>
    <d v="2025-12-09T00:00:00"/>
    <d v="2025-12-09T00:00:00"/>
    <n v="145"/>
    <n v="0.45"/>
    <n v="65.25"/>
    <n v="6.9399999999999977"/>
    <x v="1"/>
    <x v="5"/>
    <x v="3"/>
  </r>
  <r>
    <s v="CLM100789"/>
    <s v="PT11660"/>
    <s v="P06"/>
    <x v="3"/>
    <x v="3"/>
    <n v="30"/>
    <d v="2026-01-01T00:00:00"/>
    <d v="2026-01-06T00:00:00"/>
    <n v="43458.74"/>
    <n v="11994.59"/>
    <n v="11994.59"/>
    <n v="0"/>
    <s v="Paid"/>
    <s v=""/>
    <d v="2026-02-18T00:00:00"/>
    <d v="2026-02-18T00:00:00"/>
    <n v="1450"/>
    <n v="0.27"/>
    <n v="11745"/>
    <n v="-249.59000000000015"/>
    <x v="0"/>
    <x v="2"/>
    <x v="5"/>
  </r>
  <r>
    <s v="CLM100790"/>
    <s v="PT13086"/>
    <s v="P02"/>
    <x v="2"/>
    <x v="2"/>
    <n v="3"/>
    <d v="2026-07-02T00:00:00"/>
    <d v="2026-07-05T00:00:00"/>
    <n v="185.87"/>
    <n v="86.63"/>
    <n v="86.63"/>
    <n v="0"/>
    <s v="Paid"/>
    <s v=""/>
    <d v="2026-08-08T00:00:00"/>
    <d v="2026-08-08T00:00:00"/>
    <n v="62"/>
    <n v="0.43"/>
    <n v="79.98"/>
    <n v="-6.6499999999999915"/>
    <x v="0"/>
    <x v="6"/>
    <x v="1"/>
  </r>
  <r>
    <s v="CLM100791"/>
    <s v="PT12673"/>
    <s v="P07"/>
    <x v="3"/>
    <x v="7"/>
    <n v="1"/>
    <d v="2026-01-01T00:00:00"/>
    <d v="2026-01-06T00:00:00"/>
    <n v="214.56"/>
    <m/>
    <m/>
    <m/>
    <s v="Denied"/>
    <s v="CO-27"/>
    <d v="2026-03-31T00:00:00"/>
    <m/>
    <n v="210"/>
    <n v="0.28000000000000003"/>
    <n v="58.8"/>
    <s v=""/>
    <x v="2"/>
    <x v="3"/>
    <x v="5"/>
  </r>
  <r>
    <s v="CLM100792"/>
    <s v="PT11231"/>
    <s v="P03"/>
    <x v="1"/>
    <x v="8"/>
    <n v="1"/>
    <d v="2026-04-05T00:00:00"/>
    <d v="2026-04-06T00:00:00"/>
    <n v="267.27"/>
    <n v="132.5"/>
    <n v="132.5"/>
    <n v="0"/>
    <s v="Paid"/>
    <s v=""/>
    <d v="2026-05-25T00:00:00"/>
    <d v="2026-05-25T00:00:00"/>
    <n v="260"/>
    <n v="0.47"/>
    <n v="122.2"/>
    <n v="-10.299999999999997"/>
    <x v="0"/>
    <x v="4"/>
    <x v="10"/>
  </r>
  <r>
    <s v="CLM100793"/>
    <s v="PT12482"/>
    <s v="P07"/>
    <x v="1"/>
    <x v="1"/>
    <n v="1"/>
    <d v="2026-02-28T00:00:00"/>
    <d v="2026-03-03T00:00:00"/>
    <n v="242.29"/>
    <n v="71.7"/>
    <n v="64.53"/>
    <n v="7.17"/>
    <s v="Paid"/>
    <s v=""/>
    <d v="2026-03-11T00:00:00"/>
    <d v="2026-03-11T00:00:00"/>
    <n v="240"/>
    <n v="0.28000000000000003"/>
    <n v="67.2"/>
    <n v="-4.5"/>
    <x v="0"/>
    <x v="3"/>
    <x v="0"/>
  </r>
  <r>
    <s v="CLM100794"/>
    <s v="PT10549"/>
    <s v="P05"/>
    <x v="0"/>
    <x v="7"/>
    <n v="1"/>
    <d v="2026-09-05T00:00:00"/>
    <d v="2026-09-07T00:00:00"/>
    <n v="214.03"/>
    <m/>
    <m/>
    <m/>
    <s v="Pending"/>
    <s v=""/>
    <m/>
    <m/>
    <n v="210"/>
    <n v="0.38"/>
    <n v="79.8"/>
    <s v=""/>
    <x v="2"/>
    <x v="0"/>
    <x v="8"/>
  </r>
  <r>
    <s v="CLM100795"/>
    <s v="PT10341"/>
    <s v="P04"/>
    <x v="0"/>
    <x v="7"/>
    <n v="1"/>
    <d v="2026-02-20T00:00:00"/>
    <d v="2026-02-24T00:00:00"/>
    <n v="205.32"/>
    <m/>
    <m/>
    <m/>
    <s v="Denied"/>
    <s v="CO-16"/>
    <d v="2026-03-18T00:00:00"/>
    <m/>
    <n v="210"/>
    <n v="0.36"/>
    <n v="75.599999999999994"/>
    <s v=""/>
    <x v="2"/>
    <x v="1"/>
    <x v="0"/>
  </r>
  <r>
    <s v="CLM100796"/>
    <s v="PT12926"/>
    <s v="P01"/>
    <x v="3"/>
    <x v="7"/>
    <n v="1"/>
    <d v="2026-01-13T00:00:00"/>
    <d v="2026-01-19T00:00:00"/>
    <n v="204.59"/>
    <n v="97.7"/>
    <n v="97.7"/>
    <n v="0"/>
    <s v="Paid"/>
    <s v=""/>
    <d v="2026-02-11T00:00:00"/>
    <d v="2026-02-11T00:00:00"/>
    <n v="210"/>
    <n v="0.45"/>
    <n v="94.5"/>
    <n v="-3.2000000000000028"/>
    <x v="0"/>
    <x v="5"/>
    <x v="5"/>
  </r>
  <r>
    <s v="CLM100797"/>
    <s v="PT12801"/>
    <s v="P03"/>
    <x v="0"/>
    <x v="7"/>
    <n v="1"/>
    <d v="2025-12-18T00:00:00"/>
    <d v="2025-12-25T00:00:00"/>
    <n v="207.69"/>
    <n v="112.3"/>
    <n v="112.3"/>
    <n v="0"/>
    <s v="Paid"/>
    <s v=""/>
    <d v="2026-02-08T00:00:00"/>
    <d v="2026-02-08T00:00:00"/>
    <n v="210"/>
    <n v="0.47"/>
    <n v="98.7"/>
    <n v="-13.599999999999994"/>
    <x v="0"/>
    <x v="4"/>
    <x v="6"/>
  </r>
  <r>
    <s v="CLM100798"/>
    <s v="PT11120"/>
    <s v="P02"/>
    <x v="0"/>
    <x v="0"/>
    <n v="1"/>
    <d v="2025-11-15T00:00:00"/>
    <d v="2025-11-17T00:00:00"/>
    <n v="143.81"/>
    <n v="68.53"/>
    <n v="68.53"/>
    <n v="0"/>
    <s v="Paid"/>
    <s v=""/>
    <d v="2025-12-26T00:00:00"/>
    <d v="2025-12-26T00:00:00"/>
    <n v="145"/>
    <n v="0.43"/>
    <n v="62.35"/>
    <n v="-6.18"/>
    <x v="0"/>
    <x v="6"/>
    <x v="3"/>
  </r>
  <r>
    <s v="CLM100799"/>
    <s v="PT13364"/>
    <s v="P08"/>
    <x v="1"/>
    <x v="10"/>
    <n v="1"/>
    <d v="2026-01-22T00:00:00"/>
    <d v="2026-01-23T00:00:00"/>
    <n v="1042.3499999999999"/>
    <m/>
    <m/>
    <m/>
    <s v="Pending"/>
    <s v=""/>
    <m/>
    <m/>
    <n v="1050"/>
    <n v="1"/>
    <n v="1050"/>
    <s v=""/>
    <x v="2"/>
    <x v="7"/>
    <x v="5"/>
  </r>
  <r>
    <s v="CLM100800"/>
    <s v="PT13079"/>
    <s v="P04"/>
    <x v="2"/>
    <x v="2"/>
    <n v="3"/>
    <d v="2026-09-24T00:00:00"/>
    <d v="2026-09-28T00:00:00"/>
    <n v="190.08"/>
    <m/>
    <m/>
    <m/>
    <s v="Pending"/>
    <s v=""/>
    <m/>
    <m/>
    <n v="62"/>
    <n v="0.36"/>
    <n v="66.959999999999994"/>
    <s v=""/>
    <x v="2"/>
    <x v="1"/>
    <x v="8"/>
  </r>
  <r>
    <s v="CLM100801"/>
    <s v="PT10038"/>
    <s v="P06"/>
    <x v="0"/>
    <x v="8"/>
    <n v="1"/>
    <d v="2026-09-13T00:00:00"/>
    <d v="2026-09-17T00:00:00"/>
    <n v="267.3"/>
    <m/>
    <m/>
    <m/>
    <s v="Pending"/>
    <s v=""/>
    <m/>
    <m/>
    <n v="260"/>
    <n v="0.27"/>
    <n v="70.2"/>
    <s v=""/>
    <x v="2"/>
    <x v="2"/>
    <x v="8"/>
  </r>
  <r>
    <s v="CLM100802"/>
    <s v="PT12897"/>
    <s v="P01"/>
    <x v="3"/>
    <x v="7"/>
    <n v="1"/>
    <d v="2025-12-04T00:00:00"/>
    <d v="2025-12-08T00:00:00"/>
    <n v="205.5"/>
    <n v="104.51"/>
    <n v="94.06"/>
    <n v="10.45"/>
    <s v="Paid"/>
    <s v=""/>
    <d v="2026-01-05T00:00:00"/>
    <d v="2026-01-05T00:00:00"/>
    <n v="210"/>
    <n v="0.45"/>
    <n v="94.5"/>
    <n v="-10.010000000000005"/>
    <x v="0"/>
    <x v="5"/>
    <x v="6"/>
  </r>
  <r>
    <s v="CLM100803"/>
    <s v="PT12132"/>
    <s v="P04"/>
    <x v="3"/>
    <x v="7"/>
    <n v="1"/>
    <d v="2026-09-27T00:00:00"/>
    <d v="2026-09-30T00:00:00"/>
    <n v="209.47"/>
    <m/>
    <m/>
    <m/>
    <s v="Pending"/>
    <s v=""/>
    <m/>
    <m/>
    <n v="210"/>
    <n v="0.36"/>
    <n v="75.599999999999994"/>
    <s v=""/>
    <x v="2"/>
    <x v="1"/>
    <x v="8"/>
  </r>
  <r>
    <s v="CLM100804"/>
    <s v="PT10383"/>
    <s v="P02"/>
    <x v="2"/>
    <x v="2"/>
    <n v="1"/>
    <d v="2025-11-14T00:00:00"/>
    <d v="2026-02-22T00:00:00"/>
    <n v="61.65"/>
    <m/>
    <m/>
    <m/>
    <s v="Denied"/>
    <s v="CO-29"/>
    <d v="2026-04-18T00:00:00"/>
    <m/>
    <n v="62"/>
    <n v="0.43"/>
    <n v="26.66"/>
    <s v=""/>
    <x v="2"/>
    <x v="6"/>
    <x v="3"/>
  </r>
  <r>
    <s v="CLM100805"/>
    <s v="PT11964"/>
    <s v="P01"/>
    <x v="1"/>
    <x v="8"/>
    <n v="1"/>
    <d v="2026-02-24T00:00:00"/>
    <d v="2026-02-27T00:00:00"/>
    <n v="260.83999999999997"/>
    <n v="134.26"/>
    <n v="134.26"/>
    <n v="0"/>
    <s v="Paid"/>
    <s v=""/>
    <d v="2026-03-18T00:00:00"/>
    <d v="2026-03-18T00:00:00"/>
    <n v="260"/>
    <n v="0.45"/>
    <n v="117"/>
    <n v="-17.259999999999991"/>
    <x v="0"/>
    <x v="5"/>
    <x v="0"/>
  </r>
  <r>
    <s v="CLM100806"/>
    <s v="PT11413"/>
    <s v="P02"/>
    <x v="0"/>
    <x v="0"/>
    <n v="1"/>
    <d v="2026-08-12T00:00:00"/>
    <d v="2026-08-20T00:00:00"/>
    <n v="142.30000000000001"/>
    <m/>
    <m/>
    <m/>
    <s v="Denied"/>
    <s v="CO-27"/>
    <d v="2026-09-26T00:00:00"/>
    <m/>
    <n v="145"/>
    <n v="0.43"/>
    <n v="62.35"/>
    <s v=""/>
    <x v="2"/>
    <x v="6"/>
    <x v="4"/>
  </r>
  <r>
    <s v="CLM100807"/>
    <s v="PT11503"/>
    <s v="P05"/>
    <x v="3"/>
    <x v="7"/>
    <n v="1"/>
    <d v="2025-10-22T00:00:00"/>
    <d v="2025-11-05T00:00:00"/>
    <n v="211.35"/>
    <n v="90.45"/>
    <n v="90.45"/>
    <n v="0"/>
    <s v="Paid"/>
    <s v=""/>
    <d v="2025-12-15T00:00:00"/>
    <d v="2025-12-15T00:00:00"/>
    <n v="210"/>
    <n v="0.38"/>
    <n v="79.8"/>
    <n v="-10.650000000000006"/>
    <x v="0"/>
    <x v="0"/>
    <x v="9"/>
  </r>
  <r>
    <s v="CLM100808"/>
    <s v="PT12208"/>
    <s v="P02"/>
    <x v="2"/>
    <x v="0"/>
    <n v="1"/>
    <d v="2025-10-27T00:00:00"/>
    <d v="2025-10-29T00:00:00"/>
    <n v="144.33000000000001"/>
    <m/>
    <m/>
    <m/>
    <s v="Denied"/>
    <s v="CO-18"/>
    <d v="2025-11-28T00:00:00"/>
    <m/>
    <n v="145"/>
    <n v="0.43"/>
    <n v="62.35"/>
    <s v=""/>
    <x v="2"/>
    <x v="6"/>
    <x v="9"/>
  </r>
  <r>
    <s v="CLM100809"/>
    <s v="PT11896"/>
    <s v="P02"/>
    <x v="2"/>
    <x v="9"/>
    <n v="1"/>
    <d v="2026-02-28T00:00:00"/>
    <d v="2026-03-06T00:00:00"/>
    <n v="57"/>
    <n v="22.89"/>
    <n v="22.89"/>
    <n v="0"/>
    <s v="Paid"/>
    <s v=""/>
    <d v="2026-04-19T00:00:00"/>
    <d v="2026-04-19T00:00:00"/>
    <n v="58"/>
    <n v="0.43"/>
    <n v="24.94"/>
    <n v="2.0500000000000007"/>
    <x v="1"/>
    <x v="6"/>
    <x v="0"/>
  </r>
  <r>
    <s v="CLM100810"/>
    <s v="PT11452"/>
    <s v="P01"/>
    <x v="2"/>
    <x v="9"/>
    <n v="3"/>
    <d v="2025-10-04T00:00:00"/>
    <d v="2025-10-06T00:00:00"/>
    <n v="173.59"/>
    <n v="83.52"/>
    <n v="66.819999999999993"/>
    <n v="16.7"/>
    <s v="Paid"/>
    <s v=""/>
    <d v="2025-10-29T00:00:00"/>
    <d v="2025-10-29T00:00:00"/>
    <n v="58"/>
    <n v="0.45"/>
    <n v="78.3"/>
    <n v="-5.2199999999999989"/>
    <x v="0"/>
    <x v="5"/>
    <x v="9"/>
  </r>
  <r>
    <s v="CLM100811"/>
    <s v="PT10926"/>
    <s v="P03"/>
    <x v="1"/>
    <x v="10"/>
    <n v="1"/>
    <d v="2025-11-13T00:00:00"/>
    <d v="2025-11-23T00:00:00"/>
    <n v="1051.83"/>
    <n v="560.86"/>
    <n v="504.77"/>
    <n v="56.09"/>
    <s v="Paid"/>
    <s v=""/>
    <d v="2026-01-30T00:00:00"/>
    <d v="2026-01-30T00:00:00"/>
    <n v="1050"/>
    <n v="0.47"/>
    <n v="493.5"/>
    <n v="-67.360000000000014"/>
    <x v="0"/>
    <x v="4"/>
    <x v="3"/>
  </r>
  <r>
    <s v="CLM100812"/>
    <s v="PT10662"/>
    <s v="P02"/>
    <x v="0"/>
    <x v="8"/>
    <n v="1"/>
    <d v="2026-05-08T00:00:00"/>
    <d v="2026-05-12T00:00:00"/>
    <n v="266.12"/>
    <n v="131.09"/>
    <n v="104.87"/>
    <n v="26.22"/>
    <s v="Paid"/>
    <s v=""/>
    <d v="2026-06-13T00:00:00"/>
    <d v="2026-06-13T00:00:00"/>
    <n v="260"/>
    <n v="0.43"/>
    <n v="111.8"/>
    <n v="-19.290000000000006"/>
    <x v="0"/>
    <x v="6"/>
    <x v="7"/>
  </r>
  <r>
    <s v="CLM100813"/>
    <s v="PT10129"/>
    <s v="P03"/>
    <x v="1"/>
    <x v="4"/>
    <n v="1"/>
    <d v="2026-04-02T00:00:00"/>
    <d v="2026-04-07T00:00:00"/>
    <n v="38.869999999999997"/>
    <m/>
    <m/>
    <m/>
    <s v="Denied"/>
    <s v="CO-16"/>
    <d v="2026-05-11T00:00:00"/>
    <m/>
    <n v="38"/>
    <n v="0.47"/>
    <n v="17.86"/>
    <s v=""/>
    <x v="2"/>
    <x v="4"/>
    <x v="10"/>
  </r>
  <r>
    <s v="CLM100814"/>
    <s v="PT10538"/>
    <s v="P03"/>
    <x v="2"/>
    <x v="2"/>
    <n v="2"/>
    <d v="2026-07-09T00:00:00"/>
    <d v="2026-07-15T00:00:00"/>
    <n v="126.23"/>
    <n v="66.73"/>
    <n v="53.38"/>
    <n v="13.35"/>
    <s v="Paid"/>
    <s v=""/>
    <d v="2026-09-03T00:00:00"/>
    <d v="2026-09-03T00:00:00"/>
    <n v="62"/>
    <n v="0.47"/>
    <n v="58.28"/>
    <n v="-8.4500000000000028"/>
    <x v="0"/>
    <x v="4"/>
    <x v="1"/>
  </r>
  <r>
    <s v="CLM100815"/>
    <s v="PT11779"/>
    <s v="P06"/>
    <x v="1"/>
    <x v="8"/>
    <n v="1"/>
    <d v="2025-12-04T00:00:00"/>
    <d v="2025-12-07T00:00:00"/>
    <n v="254.63"/>
    <n v="63.11"/>
    <n v="63.11"/>
    <n v="0"/>
    <s v="Paid"/>
    <s v=""/>
    <d v="2026-01-11T00:00:00"/>
    <d v="2026-01-11T00:00:00"/>
    <n v="260"/>
    <n v="0.27"/>
    <n v="70.2"/>
    <n v="7.0900000000000034"/>
    <x v="1"/>
    <x v="2"/>
    <x v="6"/>
  </r>
  <r>
    <s v="CLM100816"/>
    <s v="PT11079"/>
    <s v="P03"/>
    <x v="0"/>
    <x v="8"/>
    <n v="1"/>
    <d v="2026-05-08T00:00:00"/>
    <d v="2026-05-09T00:00:00"/>
    <n v="256.06"/>
    <n v="111.56"/>
    <n v="111.56"/>
    <n v="0"/>
    <s v="Paid"/>
    <s v=""/>
    <d v="2026-06-11T00:00:00"/>
    <d v="2026-06-11T00:00:00"/>
    <n v="260"/>
    <n v="0.47"/>
    <n v="122.2"/>
    <n v="10.64"/>
    <x v="1"/>
    <x v="4"/>
    <x v="7"/>
  </r>
  <r>
    <s v="CLM100817"/>
    <s v="PT10939"/>
    <s v="P04"/>
    <x v="2"/>
    <x v="2"/>
    <n v="1"/>
    <d v="2026-05-08T00:00:00"/>
    <d v="2026-05-15T00:00:00"/>
    <n v="61.9"/>
    <n v="23.05"/>
    <n v="23.05"/>
    <n v="0"/>
    <s v="Paid"/>
    <s v=""/>
    <d v="2026-06-05T00:00:00"/>
    <d v="2026-06-05T00:00:00"/>
    <n v="62"/>
    <n v="0.36"/>
    <n v="22.32"/>
    <n v="-0.73000000000000043"/>
    <x v="0"/>
    <x v="1"/>
    <x v="7"/>
  </r>
  <r>
    <s v="CLM100818"/>
    <s v="PT11557"/>
    <s v="P01"/>
    <x v="1"/>
    <x v="10"/>
    <n v="1"/>
    <d v="2026-01-07T00:00:00"/>
    <d v="2026-01-10T00:00:00"/>
    <n v="1077.03"/>
    <n v="422.98"/>
    <n v="422.98"/>
    <n v="0"/>
    <s v="Paid"/>
    <s v=""/>
    <d v="2026-02-22T00:00:00"/>
    <d v="2026-02-22T00:00:00"/>
    <n v="1050"/>
    <n v="0.45"/>
    <n v="472.5"/>
    <n v="49.519999999999982"/>
    <x v="1"/>
    <x v="5"/>
    <x v="5"/>
  </r>
  <r>
    <s v="CLM100819"/>
    <s v="PT11437"/>
    <s v="P05"/>
    <x v="0"/>
    <x v="8"/>
    <n v="1"/>
    <d v="2026-01-27T00:00:00"/>
    <d v="2026-01-30T00:00:00"/>
    <n v="255.66"/>
    <m/>
    <m/>
    <m/>
    <s v="Denied"/>
    <s v="CO-27"/>
    <d v="2026-04-03T00:00:00"/>
    <m/>
    <n v="260"/>
    <n v="0.38"/>
    <n v="98.8"/>
    <s v=""/>
    <x v="2"/>
    <x v="0"/>
    <x v="5"/>
  </r>
  <r>
    <s v="CLM100820"/>
    <s v="PT11764"/>
    <s v="P01"/>
    <x v="1"/>
    <x v="8"/>
    <n v="1"/>
    <d v="2025-10-01T00:00:00"/>
    <d v="2025-10-07T00:00:00"/>
    <n v="253.01"/>
    <n v="112.86"/>
    <n v="112.86"/>
    <n v="0"/>
    <s v="Paid"/>
    <s v=""/>
    <d v="2025-11-09T00:00:00"/>
    <d v="2025-11-09T00:00:00"/>
    <n v="260"/>
    <n v="0.45"/>
    <n v="117"/>
    <n v="4.1400000000000006"/>
    <x v="0"/>
    <x v="5"/>
    <x v="9"/>
  </r>
  <r>
    <s v="CLM100821"/>
    <s v="PT13043"/>
    <s v="P02"/>
    <x v="1"/>
    <x v="10"/>
    <n v="1"/>
    <d v="2026-03-05T00:00:00"/>
    <d v="2026-03-10T00:00:00"/>
    <n v="1025.53"/>
    <n v="475.3"/>
    <n v="427.77"/>
    <n v="47.53"/>
    <s v="Paid"/>
    <s v=""/>
    <d v="2026-04-17T00:00:00"/>
    <d v="2026-04-17T00:00:00"/>
    <n v="1050"/>
    <n v="0.43"/>
    <n v="451.5"/>
    <n v="-23.800000000000011"/>
    <x v="0"/>
    <x v="6"/>
    <x v="2"/>
  </r>
  <r>
    <s v="CLM100822"/>
    <s v="PT12578"/>
    <s v="P04"/>
    <x v="3"/>
    <x v="7"/>
    <n v="1"/>
    <d v="2026-01-30T00:00:00"/>
    <d v="2026-01-31T00:00:00"/>
    <n v="211.89"/>
    <n v="85.47"/>
    <n v="85.47"/>
    <n v="0"/>
    <s v="Paid"/>
    <s v=""/>
    <d v="2026-02-21T00:00:00"/>
    <d v="2026-02-21T00:00:00"/>
    <n v="210"/>
    <n v="0.36"/>
    <n v="75.599999999999994"/>
    <n v="-9.8700000000000045"/>
    <x v="0"/>
    <x v="1"/>
    <x v="5"/>
  </r>
  <r>
    <s v="CLM100823"/>
    <s v="PT13117"/>
    <s v="P01"/>
    <x v="3"/>
    <x v="3"/>
    <n v="10"/>
    <d v="2026-09-01T00:00:00"/>
    <d v="2026-09-04T00:00:00"/>
    <n v="14232.85"/>
    <m/>
    <m/>
    <m/>
    <s v="Denied"/>
    <s v="CO-27"/>
    <d v="2026-09-28T00:00:00"/>
    <m/>
    <n v="1450"/>
    <n v="0.45"/>
    <n v="6525"/>
    <s v=""/>
    <x v="2"/>
    <x v="5"/>
    <x v="8"/>
  </r>
  <r>
    <s v="CLM100824"/>
    <s v="PT11499"/>
    <s v="P01"/>
    <x v="3"/>
    <x v="3"/>
    <n v="20"/>
    <d v="2026-05-03T00:00:00"/>
    <d v="2026-05-09T00:00:00"/>
    <n v="29681.360000000001"/>
    <n v="13607.37"/>
    <n v="12246.63"/>
    <n v="1360.74"/>
    <s v="Paid"/>
    <s v=""/>
    <d v="2026-06-15T00:00:00"/>
    <d v="2026-06-15T00:00:00"/>
    <n v="1450"/>
    <n v="0.45"/>
    <n v="13050"/>
    <n v="-557.3700000000008"/>
    <x v="0"/>
    <x v="5"/>
    <x v="7"/>
  </r>
  <r>
    <s v="CLM100825"/>
    <s v="PT11186"/>
    <s v="P07"/>
    <x v="0"/>
    <x v="0"/>
    <n v="1"/>
    <d v="2025-11-04T00:00:00"/>
    <d v="2025-11-07T00:00:00"/>
    <n v="144.85"/>
    <n v="44.07"/>
    <n v="44.07"/>
    <n v="0"/>
    <s v="Paid"/>
    <s v=""/>
    <d v="2026-01-14T00:00:00"/>
    <d v="2026-01-14T00:00:00"/>
    <n v="145"/>
    <n v="0.28000000000000003"/>
    <n v="40.6"/>
    <n v="-3.4699999999999989"/>
    <x v="0"/>
    <x v="3"/>
    <x v="3"/>
  </r>
  <r>
    <s v="CLM100826"/>
    <s v="PT12103"/>
    <s v="P01"/>
    <x v="1"/>
    <x v="1"/>
    <n v="1"/>
    <d v="2026-09-21T00:00:00"/>
    <d v="2026-09-28T00:00:00"/>
    <n v="235.54"/>
    <m/>
    <m/>
    <m/>
    <s v="Pending"/>
    <s v=""/>
    <m/>
    <m/>
    <n v="240"/>
    <n v="0.45"/>
    <n v="108"/>
    <s v=""/>
    <x v="2"/>
    <x v="5"/>
    <x v="8"/>
  </r>
  <r>
    <s v="CLM100827"/>
    <s v="PT13238"/>
    <s v="P03"/>
    <x v="2"/>
    <x v="2"/>
    <n v="2"/>
    <d v="2026-06-18T00:00:00"/>
    <d v="2026-06-20T00:00:00"/>
    <n v="124.46"/>
    <n v="49.73"/>
    <n v="49.73"/>
    <n v="0"/>
    <s v="Paid"/>
    <s v=""/>
    <d v="2026-07-18T00:00:00"/>
    <d v="2026-07-18T00:00:00"/>
    <n v="62"/>
    <n v="0.47"/>
    <n v="58.28"/>
    <n v="8.5500000000000043"/>
    <x v="1"/>
    <x v="4"/>
    <x v="11"/>
  </r>
  <r>
    <s v="CLM100828"/>
    <s v="PT11195"/>
    <s v="P02"/>
    <x v="0"/>
    <x v="8"/>
    <n v="1"/>
    <d v="2026-01-21T00:00:00"/>
    <d v="2026-01-23T00:00:00"/>
    <n v="256.82"/>
    <m/>
    <m/>
    <m/>
    <s v="Denied"/>
    <s v="CO-16"/>
    <d v="2026-02-18T00:00:00"/>
    <m/>
    <n v="260"/>
    <n v="0.43"/>
    <n v="111.8"/>
    <s v=""/>
    <x v="2"/>
    <x v="6"/>
    <x v="5"/>
  </r>
  <r>
    <s v="CLM100829"/>
    <s v="PT12889"/>
    <s v="P01"/>
    <x v="1"/>
    <x v="5"/>
    <n v="1"/>
    <d v="2026-02-05T00:00:00"/>
    <d v="2026-02-06T00:00:00"/>
    <n v="4940.99"/>
    <m/>
    <m/>
    <m/>
    <s v="Denied"/>
    <s v="CO-16"/>
    <d v="2026-03-13T00:00:00"/>
    <m/>
    <n v="4800"/>
    <n v="0.45"/>
    <n v="2160"/>
    <s v=""/>
    <x v="2"/>
    <x v="5"/>
    <x v="0"/>
  </r>
  <r>
    <s v="CLM100830"/>
    <s v="PT10898"/>
    <s v="P02"/>
    <x v="1"/>
    <x v="7"/>
    <n v="1"/>
    <d v="2026-08-10T00:00:00"/>
    <d v="2026-08-27T00:00:00"/>
    <n v="207.42"/>
    <n v="75.17"/>
    <n v="67.650000000000006"/>
    <n v="7.52"/>
    <s v="Paid"/>
    <s v=""/>
    <d v="2026-09-26T00:00:00"/>
    <d v="2026-09-26T00:00:00"/>
    <n v="210"/>
    <n v="0.43"/>
    <n v="90.3"/>
    <n v="15.129999999999995"/>
    <x v="1"/>
    <x v="6"/>
    <x v="4"/>
  </r>
  <r>
    <s v="CLM100831"/>
    <s v="PT12678"/>
    <s v="P01"/>
    <x v="3"/>
    <x v="6"/>
    <n v="1"/>
    <d v="2025-10-09T00:00:00"/>
    <d v="2025-10-25T00:00:00"/>
    <n v="420.94"/>
    <n v="205.95"/>
    <n v="164.76"/>
    <n v="41.19"/>
    <s v="Paid"/>
    <s v=""/>
    <d v="2025-12-02T00:00:00"/>
    <d v="2025-12-02T00:00:00"/>
    <n v="420"/>
    <n v="0.45"/>
    <n v="189"/>
    <n v="-16.949999999999989"/>
    <x v="0"/>
    <x v="5"/>
    <x v="9"/>
  </r>
  <r>
    <s v="CLM100832"/>
    <s v="PT10637"/>
    <s v="P04"/>
    <x v="1"/>
    <x v="4"/>
    <n v="1"/>
    <d v="2026-07-10T00:00:00"/>
    <d v="2026-07-13T00:00:00"/>
    <n v="37.33"/>
    <n v="12.2"/>
    <n v="9.76"/>
    <n v="2.44"/>
    <s v="Paid"/>
    <s v=""/>
    <d v="2026-08-05T00:00:00"/>
    <d v="2026-08-05T00:00:00"/>
    <n v="38"/>
    <n v="0.36"/>
    <n v="13.68"/>
    <n v="1.4800000000000004"/>
    <x v="1"/>
    <x v="1"/>
    <x v="1"/>
  </r>
  <r>
    <s v="CLM100833"/>
    <s v="PT12652"/>
    <s v="P02"/>
    <x v="0"/>
    <x v="4"/>
    <n v="1"/>
    <d v="2026-06-03T00:00:00"/>
    <d v="2026-06-04T00:00:00"/>
    <n v="37.07"/>
    <n v="17.63"/>
    <n v="17.63"/>
    <n v="0"/>
    <s v="Paid"/>
    <s v=""/>
    <d v="2026-07-10T00:00:00"/>
    <d v="2026-07-10T00:00:00"/>
    <n v="38"/>
    <n v="0.43"/>
    <n v="16.34"/>
    <n v="-1.2899999999999991"/>
    <x v="0"/>
    <x v="6"/>
    <x v="11"/>
  </r>
  <r>
    <s v="CLM100834"/>
    <s v="PT11863"/>
    <s v="P01"/>
    <x v="1"/>
    <x v="11"/>
    <n v="1"/>
    <d v="2025-12-30T00:00:00"/>
    <d v="2026-01-04T00:00:00"/>
    <n v="1171.9100000000001"/>
    <m/>
    <m/>
    <m/>
    <s v="Denied"/>
    <s v="CO-197"/>
    <d v="2026-02-10T00:00:00"/>
    <m/>
    <n v="1150"/>
    <n v="0.45"/>
    <n v="517.5"/>
    <s v=""/>
    <x v="2"/>
    <x v="5"/>
    <x v="6"/>
  </r>
  <r>
    <s v="CLM100835"/>
    <s v="PT10179"/>
    <s v="P05"/>
    <x v="2"/>
    <x v="2"/>
    <n v="4"/>
    <d v="2025-12-10T00:00:00"/>
    <d v="2026-04-08T00:00:00"/>
    <n v="251.73"/>
    <m/>
    <m/>
    <m/>
    <s v="Denied"/>
    <s v="CO-29"/>
    <d v="2026-05-31T00:00:00"/>
    <m/>
    <n v="62"/>
    <n v="0.38"/>
    <n v="94.24"/>
    <s v=""/>
    <x v="2"/>
    <x v="0"/>
    <x v="6"/>
  </r>
  <r>
    <s v="CLM100836"/>
    <s v="PT12221"/>
    <s v="P01"/>
    <x v="1"/>
    <x v="5"/>
    <n v="1"/>
    <d v="2025-12-13T00:00:00"/>
    <d v="2025-12-17T00:00:00"/>
    <n v="4926.32"/>
    <n v="1878.48"/>
    <n v="1878.48"/>
    <n v="0"/>
    <s v="Paid"/>
    <s v=""/>
    <d v="2026-01-01T00:00:00"/>
    <d v="2026-01-01T00:00:00"/>
    <n v="4800"/>
    <n v="0.45"/>
    <n v="2160"/>
    <n v="281.52"/>
    <x v="1"/>
    <x v="5"/>
    <x v="6"/>
  </r>
  <r>
    <s v="CLM100837"/>
    <s v="PT10998"/>
    <s v="P06"/>
    <x v="3"/>
    <x v="6"/>
    <n v="1"/>
    <d v="2025-11-13T00:00:00"/>
    <d v="2025-11-16T00:00:00"/>
    <n v="412.5"/>
    <n v="109.45"/>
    <n v="109.45"/>
    <n v="0"/>
    <s v="Paid"/>
    <s v=""/>
    <d v="2025-12-31T00:00:00"/>
    <d v="2025-12-31T00:00:00"/>
    <n v="420"/>
    <n v="0.27"/>
    <n v="113.4"/>
    <n v="3.9500000000000028"/>
    <x v="0"/>
    <x v="2"/>
    <x v="3"/>
  </r>
  <r>
    <s v="CLM100838"/>
    <s v="PT13426"/>
    <s v="P02"/>
    <x v="1"/>
    <x v="4"/>
    <n v="1"/>
    <d v="2026-07-06T00:00:00"/>
    <d v="2026-07-13T00:00:00"/>
    <n v="37.14"/>
    <m/>
    <m/>
    <m/>
    <s v="Denied"/>
    <s v="CO-16"/>
    <d v="2026-08-21T00:00:00"/>
    <m/>
    <n v="38"/>
    <n v="0.43"/>
    <n v="16.34"/>
    <s v=""/>
    <x v="2"/>
    <x v="6"/>
    <x v="1"/>
  </r>
  <r>
    <s v="CLM100839"/>
    <s v="PT10416"/>
    <s v="P02"/>
    <x v="1"/>
    <x v="4"/>
    <n v="1"/>
    <d v="2026-09-16T00:00:00"/>
    <d v="2026-09-25T00:00:00"/>
    <n v="37.74"/>
    <m/>
    <m/>
    <m/>
    <s v="Pending"/>
    <s v=""/>
    <m/>
    <m/>
    <n v="38"/>
    <n v="0.43"/>
    <n v="16.34"/>
    <s v=""/>
    <x v="2"/>
    <x v="6"/>
    <x v="8"/>
  </r>
  <r>
    <s v="CLM100840"/>
    <s v="PT11755"/>
    <s v="P02"/>
    <x v="2"/>
    <x v="9"/>
    <n v="1"/>
    <d v="2026-08-12T00:00:00"/>
    <d v="2026-08-23T00:00:00"/>
    <n v="56.67"/>
    <n v="25.01"/>
    <n v="25.01"/>
    <n v="0"/>
    <s v="Paid"/>
    <s v=""/>
    <d v="2026-09-28T00:00:00"/>
    <d v="2026-09-28T00:00:00"/>
    <n v="58"/>
    <n v="0.43"/>
    <n v="24.94"/>
    <n v="-7.0000000000000284E-2"/>
    <x v="0"/>
    <x v="6"/>
    <x v="4"/>
  </r>
  <r>
    <s v="CLM100841"/>
    <s v="PT12710"/>
    <s v="P05"/>
    <x v="0"/>
    <x v="7"/>
    <n v="1"/>
    <d v="2025-12-16T00:00:00"/>
    <d v="2025-12-21T00:00:00"/>
    <n v="214.95"/>
    <n v="76.77"/>
    <n v="61.42"/>
    <n v="15.35"/>
    <s v="Paid"/>
    <s v=""/>
    <d v="2026-02-19T00:00:00"/>
    <d v="2026-02-19T00:00:00"/>
    <n v="210"/>
    <n v="0.38"/>
    <n v="79.8"/>
    <n v="3.0300000000000011"/>
    <x v="0"/>
    <x v="0"/>
    <x v="6"/>
  </r>
  <r>
    <s v="CLM100843"/>
    <s v="PT12366"/>
    <s v="P06"/>
    <x v="2"/>
    <x v="2"/>
    <n v="1"/>
    <d v="2025-12-15T00:00:00"/>
    <d v="2025-12-18T00:00:00"/>
    <n v="60.69"/>
    <n v="17.989999999999998"/>
    <n v="17.989999999999998"/>
    <n v="0"/>
    <s v="Paid"/>
    <s v=""/>
    <d v="2026-01-20T00:00:00"/>
    <d v="2026-01-20T00:00:00"/>
    <n v="62"/>
    <n v="0.27"/>
    <n v="16.739999999999998"/>
    <n v="-1.25"/>
    <x v="0"/>
    <x v="2"/>
    <x v="6"/>
  </r>
  <r>
    <s v="CLM100844"/>
    <s v="PT12464"/>
    <s v="P01"/>
    <x v="0"/>
    <x v="8"/>
    <n v="1"/>
    <d v="2026-03-15T00:00:00"/>
    <d v="2026-03-16T00:00:00"/>
    <n v="267.72000000000003"/>
    <n v="113.7"/>
    <n v="90.96"/>
    <n v="22.74"/>
    <s v="Paid"/>
    <s v=""/>
    <d v="2026-04-01T00:00:00"/>
    <d v="2026-04-01T00:00:00"/>
    <n v="260"/>
    <n v="0.45"/>
    <n v="117"/>
    <n v="3.2999999999999972"/>
    <x v="0"/>
    <x v="5"/>
    <x v="2"/>
  </r>
  <r>
    <s v="CLM100845"/>
    <s v="PT12017"/>
    <s v="P01"/>
    <x v="3"/>
    <x v="6"/>
    <n v="1"/>
    <d v="2026-08-31T00:00:00"/>
    <d v="2026-09-02T00:00:00"/>
    <n v="430.62"/>
    <m/>
    <m/>
    <m/>
    <s v="Pending"/>
    <s v=""/>
    <m/>
    <m/>
    <n v="420"/>
    <n v="0.45"/>
    <n v="189"/>
    <s v=""/>
    <x v="2"/>
    <x v="5"/>
    <x v="4"/>
  </r>
  <r>
    <s v="CLM100846"/>
    <s v="PT10011"/>
    <s v="P02"/>
    <x v="0"/>
    <x v="7"/>
    <n v="1"/>
    <d v="2026-07-25T00:00:00"/>
    <d v="2026-07-28T00:00:00"/>
    <n v="212.71"/>
    <n v="99.74"/>
    <n v="89.77"/>
    <n v="9.9700000000000006"/>
    <s v="Paid"/>
    <s v=""/>
    <d v="2026-08-29T00:00:00"/>
    <d v="2026-08-29T00:00:00"/>
    <n v="210"/>
    <n v="0.43"/>
    <n v="90.3"/>
    <n v="-9.4399999999999977"/>
    <x v="0"/>
    <x v="6"/>
    <x v="1"/>
  </r>
  <r>
    <s v="CLM100847"/>
    <s v="PT13478"/>
    <s v="P01"/>
    <x v="1"/>
    <x v="5"/>
    <n v="1"/>
    <d v="2026-07-13T00:00:00"/>
    <d v="2026-07-14T00:00:00"/>
    <n v="4792.49"/>
    <m/>
    <m/>
    <m/>
    <s v="Denied"/>
    <s v="CO-27"/>
    <d v="2026-08-14T00:00:00"/>
    <m/>
    <n v="4800"/>
    <n v="0.45"/>
    <n v="2160"/>
    <s v=""/>
    <x v="2"/>
    <x v="5"/>
    <x v="1"/>
  </r>
  <r>
    <s v="CLM100849"/>
    <s v="PT13430"/>
    <s v="P05"/>
    <x v="1"/>
    <x v="4"/>
    <n v="1"/>
    <d v="2026-04-12T00:00:00"/>
    <d v="2026-04-17T00:00:00"/>
    <n v="38.53"/>
    <n v="12.69"/>
    <n v="10.15"/>
    <n v="2.54"/>
    <s v="Paid"/>
    <s v=""/>
    <d v="2026-06-24T00:00:00"/>
    <d v="2026-06-24T00:00:00"/>
    <n v="38"/>
    <n v="0.38"/>
    <n v="14.44"/>
    <n v="1.75"/>
    <x v="1"/>
    <x v="0"/>
    <x v="10"/>
  </r>
  <r>
    <s v="CLM100850"/>
    <s v="PT13135"/>
    <s v="P01"/>
    <x v="0"/>
    <x v="7"/>
    <n v="1"/>
    <d v="2026-04-06T00:00:00"/>
    <d v="2026-04-08T00:00:00"/>
    <n v="205.48"/>
    <m/>
    <m/>
    <m/>
    <s v="Denied"/>
    <s v="CO-18"/>
    <d v="2026-05-12T00:00:00"/>
    <m/>
    <n v="210"/>
    <n v="0.45"/>
    <n v="94.5"/>
    <s v=""/>
    <x v="2"/>
    <x v="5"/>
    <x v="10"/>
  </r>
  <r>
    <s v="CLM100851"/>
    <s v="PT12061"/>
    <s v="P05"/>
    <x v="1"/>
    <x v="10"/>
    <n v="1"/>
    <d v="2026-05-16T00:00:00"/>
    <d v="2026-05-21T00:00:00"/>
    <n v="1067.73"/>
    <m/>
    <m/>
    <m/>
    <s v="Denied"/>
    <s v="CO-197"/>
    <d v="2026-08-06T00:00:00"/>
    <m/>
    <n v="1050"/>
    <n v="0.38"/>
    <n v="399"/>
    <s v=""/>
    <x v="2"/>
    <x v="0"/>
    <x v="7"/>
  </r>
  <r>
    <s v="CLM100852"/>
    <s v="PT11113"/>
    <s v="P04"/>
    <x v="3"/>
    <x v="6"/>
    <n v="1"/>
    <d v="2026-02-10T00:00:00"/>
    <d v="2026-02-13T00:00:00"/>
    <n v="430.56"/>
    <n v="151.32"/>
    <n v="151.32"/>
    <n v="0"/>
    <s v="Paid"/>
    <s v=""/>
    <d v="2026-03-04T00:00:00"/>
    <d v="2026-03-04T00:00:00"/>
    <n v="420"/>
    <n v="0.36"/>
    <n v="151.19999999999999"/>
    <n v="-0.12000000000000455"/>
    <x v="0"/>
    <x v="1"/>
    <x v="0"/>
  </r>
  <r>
    <s v="CLM100853"/>
    <s v="PT13344"/>
    <s v="P02"/>
    <x v="2"/>
    <x v="0"/>
    <n v="1"/>
    <d v="2025-12-04T00:00:00"/>
    <d v="2026-04-03T00:00:00"/>
    <n v="147.12"/>
    <m/>
    <m/>
    <m/>
    <s v="Denied"/>
    <s v="CO-29"/>
    <d v="2026-04-17T00:00:00"/>
    <m/>
    <n v="145"/>
    <n v="0.43"/>
    <n v="62.35"/>
    <s v=""/>
    <x v="2"/>
    <x v="6"/>
    <x v="6"/>
  </r>
  <r>
    <s v="CLM100854"/>
    <s v="PT11105"/>
    <s v="P02"/>
    <x v="3"/>
    <x v="6"/>
    <n v="1"/>
    <d v="2026-08-25T00:00:00"/>
    <d v="2026-08-27T00:00:00"/>
    <n v="417.61"/>
    <m/>
    <m/>
    <m/>
    <s v="Denied"/>
    <s v="CO-197"/>
    <d v="2026-09-21T00:00:00"/>
    <m/>
    <n v="420"/>
    <n v="0.43"/>
    <n v="180.6"/>
    <s v=""/>
    <x v="2"/>
    <x v="6"/>
    <x v="4"/>
  </r>
  <r>
    <s v="CLM100855"/>
    <s v="PT10768"/>
    <s v="P06"/>
    <x v="1"/>
    <x v="1"/>
    <n v="1"/>
    <d v="2026-03-21T00:00:00"/>
    <d v="2026-03-23T00:00:00"/>
    <n v="233.2"/>
    <n v="54.45"/>
    <n v="49"/>
    <n v="5.45"/>
    <s v="Paid"/>
    <s v=""/>
    <d v="2026-04-15T00:00:00"/>
    <d v="2026-04-15T00:00:00"/>
    <n v="240"/>
    <n v="0.27"/>
    <n v="64.8"/>
    <n v="10.349999999999994"/>
    <x v="1"/>
    <x v="2"/>
    <x v="2"/>
  </r>
  <r>
    <s v="CLM100856"/>
    <s v="PT10196"/>
    <s v="P02"/>
    <x v="0"/>
    <x v="0"/>
    <n v="1"/>
    <d v="2025-11-13T00:00:00"/>
    <d v="2025-11-17T00:00:00"/>
    <n v="149.15"/>
    <n v="69.52"/>
    <n v="69.52"/>
    <n v="0"/>
    <s v="Paid"/>
    <s v=""/>
    <d v="2025-12-09T00:00:00"/>
    <d v="2025-12-09T00:00:00"/>
    <n v="145"/>
    <n v="0.43"/>
    <n v="62.35"/>
    <n v="-7.1699999999999946"/>
    <x v="0"/>
    <x v="6"/>
    <x v="3"/>
  </r>
  <r>
    <s v="CLM100857"/>
    <s v="PT12878"/>
    <s v="P01"/>
    <x v="1"/>
    <x v="11"/>
    <n v="1"/>
    <d v="2026-04-01T00:00:00"/>
    <d v="2026-04-14T00:00:00"/>
    <n v="1167.3699999999999"/>
    <n v="495"/>
    <n v="495"/>
    <n v="0"/>
    <s v="Paid"/>
    <s v=""/>
    <d v="2026-05-05T00:00:00"/>
    <d v="2026-05-05T00:00:00"/>
    <n v="1150"/>
    <n v="0.45"/>
    <n v="517.5"/>
    <n v="22.5"/>
    <x v="0"/>
    <x v="5"/>
    <x v="10"/>
  </r>
  <r>
    <s v="CLM100858"/>
    <s v="PT11953"/>
    <s v="P02"/>
    <x v="3"/>
    <x v="6"/>
    <n v="1"/>
    <d v="2026-06-15T00:00:00"/>
    <d v="2026-06-22T00:00:00"/>
    <n v="409.95"/>
    <n v="180.01"/>
    <n v="144.01"/>
    <n v="36"/>
    <s v="Paid"/>
    <s v=""/>
    <d v="2026-07-29T00:00:00"/>
    <d v="2026-07-29T00:00:00"/>
    <n v="420"/>
    <n v="0.43"/>
    <n v="180.6"/>
    <n v="0.59000000000000341"/>
    <x v="0"/>
    <x v="6"/>
    <x v="11"/>
  </r>
  <r>
    <s v="CLM100859"/>
    <s v="PT13149"/>
    <s v="P02"/>
    <x v="0"/>
    <x v="0"/>
    <n v="1"/>
    <d v="2025-12-17T00:00:00"/>
    <d v="2025-12-18T00:00:00"/>
    <n v="146.59"/>
    <n v="71.5"/>
    <n v="71.5"/>
    <n v="0"/>
    <s v="Paid"/>
    <s v=""/>
    <d v="2026-01-19T00:00:00"/>
    <d v="2026-01-19T00:00:00"/>
    <n v="145"/>
    <n v="0.43"/>
    <n v="62.35"/>
    <n v="-9.1499999999999986"/>
    <x v="0"/>
    <x v="6"/>
    <x v="6"/>
  </r>
  <r>
    <s v="CLM100860"/>
    <s v="PT11388"/>
    <s v="P03"/>
    <x v="3"/>
    <x v="7"/>
    <n v="1"/>
    <d v="2026-08-08T00:00:00"/>
    <d v="2026-08-19T00:00:00"/>
    <n v="211.91"/>
    <m/>
    <m/>
    <m/>
    <s v="Pending"/>
    <s v=""/>
    <m/>
    <m/>
    <n v="210"/>
    <n v="0.47"/>
    <n v="98.7"/>
    <s v=""/>
    <x v="2"/>
    <x v="4"/>
    <x v="4"/>
  </r>
  <r>
    <s v="CLM100861"/>
    <s v="PT12322"/>
    <s v="P06"/>
    <x v="1"/>
    <x v="1"/>
    <n v="1"/>
    <d v="2026-05-09T00:00:00"/>
    <d v="2026-05-14T00:00:00"/>
    <n v="233.38"/>
    <n v="57.9"/>
    <n v="57.9"/>
    <n v="0"/>
    <s v="Paid"/>
    <s v=""/>
    <d v="2026-07-09T00:00:00"/>
    <d v="2026-07-09T00:00:00"/>
    <n v="240"/>
    <n v="0.27"/>
    <n v="64.8"/>
    <n v="6.8999999999999986"/>
    <x v="1"/>
    <x v="2"/>
    <x v="7"/>
  </r>
  <r>
    <s v="CLM100862"/>
    <s v="PT12043"/>
    <s v="P01"/>
    <x v="0"/>
    <x v="4"/>
    <n v="1"/>
    <d v="2025-10-08T00:00:00"/>
    <d v="2025-10-17T00:00:00"/>
    <n v="37.19"/>
    <n v="19.18"/>
    <n v="19.18"/>
    <n v="0"/>
    <s v="Paid"/>
    <s v=""/>
    <d v="2025-11-13T00:00:00"/>
    <d v="2025-11-13T00:00:00"/>
    <n v="38"/>
    <n v="0.45"/>
    <n v="17.100000000000001"/>
    <n v="-2.0799999999999983"/>
    <x v="0"/>
    <x v="5"/>
    <x v="9"/>
  </r>
  <r>
    <s v="CLM100863"/>
    <s v="PT11938"/>
    <s v="P01"/>
    <x v="1"/>
    <x v="11"/>
    <n v="1"/>
    <d v="2026-03-01T00:00:00"/>
    <d v="2026-03-03T00:00:00"/>
    <n v="1126.6400000000001"/>
    <n v="442.2"/>
    <n v="397.98"/>
    <n v="44.22"/>
    <s v="Paid"/>
    <s v=""/>
    <d v="2026-04-06T00:00:00"/>
    <d v="2026-04-06T00:00:00"/>
    <n v="1150"/>
    <n v="0.45"/>
    <n v="517.5"/>
    <n v="75.300000000000011"/>
    <x v="1"/>
    <x v="5"/>
    <x v="2"/>
  </r>
  <r>
    <s v="CLM100864"/>
    <s v="PT11805"/>
    <s v="P04"/>
    <x v="2"/>
    <x v="9"/>
    <n v="1"/>
    <d v="2025-12-11T00:00:00"/>
    <d v="2025-12-14T00:00:00"/>
    <n v="59.64"/>
    <n v="20.86"/>
    <n v="20.86"/>
    <n v="0"/>
    <s v="Paid"/>
    <s v=""/>
    <d v="2026-01-09T00:00:00"/>
    <d v="2026-01-09T00:00:00"/>
    <n v="58"/>
    <n v="0.36"/>
    <n v="20.88"/>
    <n v="1.9999999999999574E-2"/>
    <x v="0"/>
    <x v="1"/>
    <x v="6"/>
  </r>
  <r>
    <s v="CLM100865"/>
    <s v="PT10233"/>
    <s v="P02"/>
    <x v="0"/>
    <x v="8"/>
    <n v="1"/>
    <d v="2026-09-15T00:00:00"/>
    <d v="2026-09-18T00:00:00"/>
    <n v="258.64999999999998"/>
    <m/>
    <m/>
    <m/>
    <s v="Pending"/>
    <s v=""/>
    <m/>
    <m/>
    <n v="260"/>
    <n v="0.43"/>
    <n v="111.8"/>
    <s v=""/>
    <x v="2"/>
    <x v="6"/>
    <x v="8"/>
  </r>
  <r>
    <s v="CLM100866"/>
    <s v="PT10913"/>
    <s v="P05"/>
    <x v="3"/>
    <x v="3"/>
    <n v="5"/>
    <d v="2026-07-15T00:00:00"/>
    <d v="2026-07-16T00:00:00"/>
    <n v="7099.73"/>
    <n v="2774.9"/>
    <n v="2774.9"/>
    <n v="0"/>
    <s v="Paid"/>
    <s v=""/>
    <d v="2026-09-17T00:00:00"/>
    <d v="2026-09-17T00:00:00"/>
    <n v="1450"/>
    <n v="0.38"/>
    <n v="2755"/>
    <n v="-19.900000000000091"/>
    <x v="0"/>
    <x v="0"/>
    <x v="1"/>
  </r>
  <r>
    <s v="CLM100867"/>
    <s v="PT13146"/>
    <s v="P05"/>
    <x v="0"/>
    <x v="4"/>
    <n v="1"/>
    <d v="2026-03-28T00:00:00"/>
    <d v="2026-04-02T00:00:00"/>
    <n v="37.92"/>
    <n v="14.35"/>
    <n v="11.48"/>
    <n v="2.87"/>
    <s v="Paid"/>
    <s v=""/>
    <d v="2026-06-14T00:00:00"/>
    <d v="2026-06-14T00:00:00"/>
    <n v="38"/>
    <n v="0.38"/>
    <n v="14.44"/>
    <n v="8.9999999999999858E-2"/>
    <x v="0"/>
    <x v="0"/>
    <x v="2"/>
  </r>
  <r>
    <s v="CLM100868"/>
    <s v="PT11140"/>
    <s v="P02"/>
    <x v="0"/>
    <x v="4"/>
    <n v="1"/>
    <d v="2026-03-12T00:00:00"/>
    <d v="2026-03-16T00:00:00"/>
    <n v="37.64"/>
    <n v="17.3"/>
    <n v="17.3"/>
    <n v="0"/>
    <s v="Paid"/>
    <s v=""/>
    <d v="2026-04-24T00:00:00"/>
    <d v="2026-04-24T00:00:00"/>
    <n v="38"/>
    <n v="0.43"/>
    <n v="16.34"/>
    <n v="-0.96000000000000085"/>
    <x v="0"/>
    <x v="6"/>
    <x v="2"/>
  </r>
  <r>
    <s v="CLM100869"/>
    <s v="PT11761"/>
    <s v="P07"/>
    <x v="0"/>
    <x v="7"/>
    <n v="1"/>
    <d v="2025-12-14T00:00:00"/>
    <d v="2025-12-16T00:00:00"/>
    <n v="211.77"/>
    <m/>
    <m/>
    <m/>
    <s v="Denied"/>
    <s v="CO-4"/>
    <d v="2026-03-02T00:00:00"/>
    <m/>
    <n v="210"/>
    <n v="0.28000000000000003"/>
    <n v="58.8"/>
    <s v=""/>
    <x v="2"/>
    <x v="3"/>
    <x v="6"/>
  </r>
  <r>
    <s v="CLM100870"/>
    <s v="PT10334"/>
    <s v="P07"/>
    <x v="1"/>
    <x v="7"/>
    <n v="1"/>
    <d v="2026-09-16T00:00:00"/>
    <d v="2026-09-18T00:00:00"/>
    <n v="209.03"/>
    <m/>
    <m/>
    <m/>
    <s v="Pending"/>
    <s v=""/>
    <m/>
    <m/>
    <n v="210"/>
    <n v="0.28000000000000003"/>
    <n v="58.8"/>
    <s v=""/>
    <x v="2"/>
    <x v="3"/>
    <x v="8"/>
  </r>
  <r>
    <s v="CLM100871"/>
    <s v="PT13085"/>
    <s v="P03"/>
    <x v="1"/>
    <x v="4"/>
    <n v="1"/>
    <d v="2026-05-03T00:00:00"/>
    <d v="2026-05-08T00:00:00"/>
    <n v="38.06"/>
    <n v="19.829999999999998"/>
    <n v="17.850000000000001"/>
    <n v="1.98"/>
    <s v="Paid"/>
    <s v=""/>
    <d v="2026-07-16T00:00:00"/>
    <d v="2026-07-16T00:00:00"/>
    <n v="38"/>
    <n v="0.47"/>
    <n v="17.86"/>
    <n v="-1.9699999999999989"/>
    <x v="0"/>
    <x v="4"/>
    <x v="7"/>
  </r>
  <r>
    <s v="CLM100872"/>
    <s v="PT11452"/>
    <s v="P02"/>
    <x v="1"/>
    <x v="7"/>
    <n v="1"/>
    <d v="2026-05-03T00:00:00"/>
    <d v="2026-05-07T00:00:00"/>
    <n v="209.77"/>
    <n v="102.67"/>
    <n v="82.14"/>
    <n v="20.53"/>
    <s v="Paid"/>
    <s v=""/>
    <d v="2026-06-19T00:00:00"/>
    <d v="2026-06-19T00:00:00"/>
    <n v="210"/>
    <n v="0.43"/>
    <n v="90.3"/>
    <n v="-12.370000000000005"/>
    <x v="0"/>
    <x v="6"/>
    <x v="7"/>
  </r>
  <r>
    <s v="CLM100873"/>
    <s v="PT10058"/>
    <s v="P02"/>
    <x v="2"/>
    <x v="0"/>
    <n v="1"/>
    <d v="2025-10-06T00:00:00"/>
    <d v="2025-10-15T00:00:00"/>
    <n v="145.53"/>
    <n v="63.73"/>
    <n v="57.36"/>
    <n v="6.37"/>
    <s v="Paid"/>
    <s v=""/>
    <d v="2025-11-24T00:00:00"/>
    <d v="2025-11-24T00:00:00"/>
    <n v="145"/>
    <n v="0.43"/>
    <n v="62.35"/>
    <n v="-1.3799999999999955"/>
    <x v="0"/>
    <x v="6"/>
    <x v="9"/>
  </r>
  <r>
    <s v="CLM100874"/>
    <s v="PT11845"/>
    <s v="P07"/>
    <x v="1"/>
    <x v="10"/>
    <n v="1"/>
    <d v="2026-06-13T00:00:00"/>
    <d v="2026-06-14T00:00:00"/>
    <n v="1072.95"/>
    <n v="290.63"/>
    <n v="290.63"/>
    <n v="0"/>
    <s v="Paid"/>
    <s v=""/>
    <d v="2026-09-04T00:00:00"/>
    <d v="2026-09-04T00:00:00"/>
    <n v="1050"/>
    <n v="0.28000000000000003"/>
    <n v="294"/>
    <n v="3.3700000000000045"/>
    <x v="0"/>
    <x v="3"/>
    <x v="11"/>
  </r>
  <r>
    <s v="CLM100875"/>
    <s v="PT10859"/>
    <s v="P04"/>
    <x v="2"/>
    <x v="2"/>
    <n v="3"/>
    <d v="2026-08-24T00:00:00"/>
    <d v="2026-08-25T00:00:00"/>
    <n v="181.51"/>
    <n v="66.28"/>
    <n v="59.65"/>
    <n v="6.63"/>
    <s v="Paid"/>
    <s v=""/>
    <d v="2026-09-14T00:00:00"/>
    <d v="2026-09-14T00:00:00"/>
    <n v="62"/>
    <n v="0.36"/>
    <n v="66.959999999999994"/>
    <n v="0.67999999999999261"/>
    <x v="0"/>
    <x v="1"/>
    <x v="4"/>
  </r>
  <r>
    <s v="CLM100876"/>
    <s v="PT12864"/>
    <s v="P04"/>
    <x v="2"/>
    <x v="0"/>
    <n v="1"/>
    <d v="2025-10-08T00:00:00"/>
    <d v="2025-10-10T00:00:00"/>
    <n v="143.87"/>
    <n v="56.93"/>
    <n v="56.93"/>
    <n v="0"/>
    <s v="Paid"/>
    <s v=""/>
    <d v="2025-11-01T00:00:00"/>
    <d v="2025-11-01T00:00:00"/>
    <n v="145"/>
    <n v="0.36"/>
    <n v="52.2"/>
    <n v="-4.7299999999999969"/>
    <x v="0"/>
    <x v="1"/>
    <x v="9"/>
  </r>
  <r>
    <s v="CLM100877"/>
    <s v="PT11528"/>
    <s v="P03"/>
    <x v="0"/>
    <x v="4"/>
    <n v="1"/>
    <d v="2026-03-30T00:00:00"/>
    <d v="2026-04-03T00:00:00"/>
    <n v="37.659999999999997"/>
    <n v="19.260000000000002"/>
    <n v="15.41"/>
    <n v="3.85"/>
    <s v="Paid"/>
    <s v=""/>
    <d v="2026-05-24T00:00:00"/>
    <d v="2026-05-24T00:00:00"/>
    <n v="38"/>
    <n v="0.47"/>
    <n v="17.86"/>
    <n v="-1.4000000000000021"/>
    <x v="0"/>
    <x v="4"/>
    <x v="2"/>
  </r>
  <r>
    <s v="CLM100878"/>
    <s v="PT12875"/>
    <s v="P01"/>
    <x v="1"/>
    <x v="1"/>
    <n v="1"/>
    <d v="2026-05-12T00:00:00"/>
    <d v="2026-05-20T00:00:00"/>
    <n v="238.29"/>
    <n v="105.15"/>
    <n v="94.63"/>
    <n v="10.52"/>
    <s v="Paid"/>
    <s v=""/>
    <d v="2026-06-20T00:00:00"/>
    <d v="2026-06-20T00:00:00"/>
    <n v="240"/>
    <n v="0.45"/>
    <n v="108"/>
    <n v="2.8499999999999943"/>
    <x v="0"/>
    <x v="5"/>
    <x v="7"/>
  </r>
  <r>
    <s v="CLM100879"/>
    <s v="PT12231"/>
    <s v="P08"/>
    <x v="0"/>
    <x v="0"/>
    <n v="1"/>
    <d v="2025-11-23T00:00:00"/>
    <d v="2025-11-24T00:00:00"/>
    <n v="141.43"/>
    <n v="141.43"/>
    <n v="141.43"/>
    <n v="0"/>
    <s v="Paid"/>
    <s v=""/>
    <d v="2026-03-08T00:00:00"/>
    <d v="2026-03-08T00:00:00"/>
    <n v="145"/>
    <n v="1"/>
    <n v="145"/>
    <n v="3.5699999999999932"/>
    <x v="0"/>
    <x v="7"/>
    <x v="3"/>
  </r>
  <r>
    <s v="CLM100880"/>
    <s v="PT10468"/>
    <s v="P03"/>
    <x v="1"/>
    <x v="10"/>
    <n v="1"/>
    <d v="2025-10-17T00:00:00"/>
    <d v="2025-10-25T00:00:00"/>
    <n v="1060.57"/>
    <m/>
    <m/>
    <m/>
    <s v="Denied"/>
    <s v="CO-16"/>
    <d v="2025-12-22T00:00:00"/>
    <m/>
    <n v="1050"/>
    <n v="0.47"/>
    <n v="493.5"/>
    <s v=""/>
    <x v="2"/>
    <x v="4"/>
    <x v="9"/>
  </r>
  <r>
    <s v="CLM100881"/>
    <s v="PT12757"/>
    <s v="P01"/>
    <x v="0"/>
    <x v="4"/>
    <n v="1"/>
    <d v="2026-04-10T00:00:00"/>
    <d v="2026-04-13T00:00:00"/>
    <n v="38.64"/>
    <n v="18.25"/>
    <n v="14.6"/>
    <n v="3.65"/>
    <s v="Paid"/>
    <s v=""/>
    <d v="2026-05-04T00:00:00"/>
    <d v="2026-05-04T00:00:00"/>
    <n v="38"/>
    <n v="0.45"/>
    <n v="17.100000000000001"/>
    <n v="-1.1499999999999986"/>
    <x v="0"/>
    <x v="5"/>
    <x v="10"/>
  </r>
  <r>
    <s v="CLM100882"/>
    <s v="PT11372"/>
    <s v="P01"/>
    <x v="1"/>
    <x v="10"/>
    <n v="1"/>
    <d v="2025-10-14T00:00:00"/>
    <d v="2025-10-16T00:00:00"/>
    <n v="1028.1600000000001"/>
    <n v="508.74"/>
    <n v="457.87"/>
    <n v="50.87"/>
    <s v="Paid"/>
    <s v=""/>
    <d v="2025-11-29T00:00:00"/>
    <d v="2025-11-29T00:00:00"/>
    <n v="1050"/>
    <n v="0.45"/>
    <n v="472.5"/>
    <n v="-36.240000000000009"/>
    <x v="0"/>
    <x v="5"/>
    <x v="9"/>
  </r>
  <r>
    <s v="CLM100883"/>
    <s v="PT11757"/>
    <s v="P08"/>
    <x v="1"/>
    <x v="1"/>
    <n v="1"/>
    <d v="2026-02-01T00:00:00"/>
    <d v="2026-02-03T00:00:00"/>
    <n v="240.8"/>
    <n v="240.8"/>
    <n v="240.8"/>
    <n v="0"/>
    <s v="Paid"/>
    <s v=""/>
    <d v="2026-04-13T00:00:00"/>
    <d v="2026-04-13T00:00:00"/>
    <n v="240"/>
    <n v="1"/>
    <n v="240"/>
    <n v="-0.80000000000001137"/>
    <x v="0"/>
    <x v="7"/>
    <x v="0"/>
  </r>
  <r>
    <s v="CLM100884"/>
    <s v="PT12065"/>
    <s v="P02"/>
    <x v="1"/>
    <x v="4"/>
    <n v="1"/>
    <d v="2025-12-28T00:00:00"/>
    <d v="2025-12-30T00:00:00"/>
    <n v="37.78"/>
    <n v="14.8"/>
    <n v="14.8"/>
    <n v="0"/>
    <s v="Paid"/>
    <s v=""/>
    <d v="2026-02-01T00:00:00"/>
    <d v="2026-02-01T00:00:00"/>
    <n v="38"/>
    <n v="0.43"/>
    <n v="16.34"/>
    <n v="1.5399999999999991"/>
    <x v="1"/>
    <x v="6"/>
    <x v="6"/>
  </r>
  <r>
    <s v="CLM100885"/>
    <s v="PT13154"/>
    <s v="P06"/>
    <x v="1"/>
    <x v="1"/>
    <n v="1"/>
    <d v="2026-08-18T00:00:00"/>
    <d v="2026-08-26T00:00:00"/>
    <n v="246"/>
    <m/>
    <m/>
    <m/>
    <s v="Pending"/>
    <s v=""/>
    <m/>
    <m/>
    <n v="240"/>
    <n v="0.27"/>
    <n v="64.8"/>
    <s v=""/>
    <x v="2"/>
    <x v="2"/>
    <x v="4"/>
  </r>
  <r>
    <s v="CLM100886"/>
    <s v="PT11858"/>
    <s v="P04"/>
    <x v="0"/>
    <x v="0"/>
    <n v="1"/>
    <d v="2026-07-06T00:00:00"/>
    <d v="2026-07-07T00:00:00"/>
    <n v="148.66"/>
    <n v="57.55"/>
    <n v="57.55"/>
    <n v="0"/>
    <s v="Paid"/>
    <s v=""/>
    <d v="2026-07-25T00:00:00"/>
    <d v="2026-07-25T00:00:00"/>
    <n v="145"/>
    <n v="0.36"/>
    <n v="52.2"/>
    <n v="-5.3499999999999943"/>
    <x v="0"/>
    <x v="1"/>
    <x v="1"/>
  </r>
  <r>
    <s v="CLM100887"/>
    <s v="PT13155"/>
    <s v="P01"/>
    <x v="0"/>
    <x v="8"/>
    <n v="1"/>
    <d v="2026-08-31T00:00:00"/>
    <d v="2026-09-02T00:00:00"/>
    <n v="266.20999999999998"/>
    <m/>
    <m/>
    <m/>
    <s v="Pending"/>
    <s v=""/>
    <m/>
    <m/>
    <n v="260"/>
    <n v="0.45"/>
    <n v="117"/>
    <s v=""/>
    <x v="2"/>
    <x v="5"/>
    <x v="4"/>
  </r>
  <r>
    <s v="CLM100888"/>
    <s v="PT12440"/>
    <s v="P02"/>
    <x v="1"/>
    <x v="8"/>
    <n v="1"/>
    <d v="2025-12-13T00:00:00"/>
    <d v="2025-12-18T00:00:00"/>
    <n v="261.99"/>
    <n v="98.18"/>
    <n v="78.540000000000006"/>
    <n v="19.64"/>
    <s v="Paid"/>
    <s v=""/>
    <d v="2026-01-02T00:00:00"/>
    <d v="2026-01-02T00:00:00"/>
    <n v="260"/>
    <n v="0.43"/>
    <n v="111.8"/>
    <n v="13.61999999999999"/>
    <x v="1"/>
    <x v="6"/>
    <x v="6"/>
  </r>
  <r>
    <s v="CLM100889"/>
    <s v="PT11694"/>
    <s v="P02"/>
    <x v="1"/>
    <x v="7"/>
    <n v="1"/>
    <d v="2026-01-01T00:00:00"/>
    <d v="2026-01-04T00:00:00"/>
    <n v="204.87"/>
    <n v="96.8"/>
    <n v="96.8"/>
    <n v="0"/>
    <s v="Paid"/>
    <s v=""/>
    <d v="2026-01-27T00:00:00"/>
    <d v="2026-01-27T00:00:00"/>
    <n v="210"/>
    <n v="0.43"/>
    <n v="90.3"/>
    <n v="-6.5"/>
    <x v="0"/>
    <x v="6"/>
    <x v="5"/>
  </r>
  <r>
    <s v="CLM100890"/>
    <s v="PT10659"/>
    <s v="P01"/>
    <x v="1"/>
    <x v="4"/>
    <n v="1"/>
    <d v="2026-09-17T00:00:00"/>
    <d v="2026-09-26T00:00:00"/>
    <n v="37.82"/>
    <m/>
    <m/>
    <m/>
    <s v="Pending"/>
    <s v=""/>
    <m/>
    <m/>
    <n v="38"/>
    <n v="0.45"/>
    <n v="17.100000000000001"/>
    <s v=""/>
    <x v="2"/>
    <x v="5"/>
    <x v="8"/>
  </r>
  <r>
    <s v="CLM100891"/>
    <s v="PT12238"/>
    <s v="P07"/>
    <x v="1"/>
    <x v="8"/>
    <n v="1"/>
    <d v="2026-09-03T00:00:00"/>
    <d v="2026-09-07T00:00:00"/>
    <n v="261.05"/>
    <m/>
    <m/>
    <m/>
    <s v="Pending"/>
    <s v=""/>
    <m/>
    <m/>
    <n v="260"/>
    <n v="0.28000000000000003"/>
    <n v="72.8"/>
    <s v=""/>
    <x v="2"/>
    <x v="3"/>
    <x v="8"/>
  </r>
  <r>
    <s v="CLM100892"/>
    <s v="PT11494"/>
    <s v="P05"/>
    <x v="1"/>
    <x v="1"/>
    <n v="1"/>
    <d v="2025-12-02T00:00:00"/>
    <d v="2025-12-03T00:00:00"/>
    <n v="235.58"/>
    <m/>
    <m/>
    <m/>
    <s v="Denied"/>
    <s v="CO-27"/>
    <d v="2026-01-26T00:00:00"/>
    <m/>
    <n v="240"/>
    <n v="0.38"/>
    <n v="91.2"/>
    <s v=""/>
    <x v="2"/>
    <x v="0"/>
    <x v="6"/>
  </r>
  <r>
    <s v="CLM100893"/>
    <s v="PT11786"/>
    <s v="P05"/>
    <x v="1"/>
    <x v="4"/>
    <n v="1"/>
    <d v="2025-12-04T00:00:00"/>
    <d v="2025-12-07T00:00:00"/>
    <n v="37.47"/>
    <n v="13.66"/>
    <n v="10.93"/>
    <n v="2.73"/>
    <s v="Paid"/>
    <s v=""/>
    <d v="2026-01-15T00:00:00"/>
    <d v="2026-01-15T00:00:00"/>
    <n v="38"/>
    <n v="0.38"/>
    <n v="14.44"/>
    <n v="0.77999999999999936"/>
    <x v="1"/>
    <x v="0"/>
    <x v="6"/>
  </r>
  <r>
    <s v="CLM100894"/>
    <s v="PT10421"/>
    <s v="P07"/>
    <x v="0"/>
    <x v="4"/>
    <n v="1"/>
    <d v="2026-02-06T00:00:00"/>
    <d v="2026-02-11T00:00:00"/>
    <n v="37.25"/>
    <n v="9.68"/>
    <n v="7.74"/>
    <n v="1.94"/>
    <s v="Paid"/>
    <s v=""/>
    <d v="2026-04-08T00:00:00"/>
    <d v="2026-04-08T00:00:00"/>
    <n v="38"/>
    <n v="0.28000000000000003"/>
    <n v="10.64"/>
    <n v="0.96000000000000085"/>
    <x v="1"/>
    <x v="3"/>
    <x v="0"/>
  </r>
  <r>
    <s v="CLM100895"/>
    <s v="PT12487"/>
    <s v="P01"/>
    <x v="0"/>
    <x v="8"/>
    <n v="1"/>
    <d v="2026-01-14T00:00:00"/>
    <d v="2026-01-17T00:00:00"/>
    <n v="267.08"/>
    <n v="117.33"/>
    <n v="117.33"/>
    <n v="0"/>
    <s v="Paid"/>
    <s v=""/>
    <d v="2026-02-13T00:00:00"/>
    <d v="2026-02-13T00:00:00"/>
    <n v="260"/>
    <n v="0.45"/>
    <n v="117"/>
    <n v="-0.32999999999999829"/>
    <x v="0"/>
    <x v="5"/>
    <x v="5"/>
  </r>
  <r>
    <s v="CLM100896"/>
    <s v="PT12403"/>
    <s v="P04"/>
    <x v="0"/>
    <x v="7"/>
    <n v="1"/>
    <d v="2026-04-10T00:00:00"/>
    <d v="2026-04-17T00:00:00"/>
    <n v="215.01"/>
    <n v="86.78"/>
    <n v="78.099999999999994"/>
    <n v="8.68"/>
    <s v="Paid"/>
    <s v=""/>
    <d v="2026-04-25T00:00:00"/>
    <d v="2026-04-25T00:00:00"/>
    <n v="210"/>
    <n v="0.36"/>
    <n v="75.599999999999994"/>
    <n v="-11.180000000000007"/>
    <x v="0"/>
    <x v="1"/>
    <x v="10"/>
  </r>
  <r>
    <s v="CLM100897"/>
    <s v="PT10594"/>
    <s v="P02"/>
    <x v="0"/>
    <x v="8"/>
    <n v="1"/>
    <d v="2025-11-28T00:00:00"/>
    <d v="2025-11-30T00:00:00"/>
    <n v="255.01"/>
    <n v="104.19"/>
    <n v="93.77"/>
    <n v="10.42"/>
    <s v="Paid"/>
    <s v=""/>
    <d v="2026-01-13T00:00:00"/>
    <d v="2026-01-13T00:00:00"/>
    <n v="260"/>
    <n v="0.43"/>
    <n v="111.8"/>
    <n v="7.6099999999999994"/>
    <x v="1"/>
    <x v="6"/>
    <x v="3"/>
  </r>
  <r>
    <s v="CLM100898"/>
    <s v="PT10952"/>
    <s v="P01"/>
    <x v="3"/>
    <x v="3"/>
    <n v="5"/>
    <d v="2026-09-18T00:00:00"/>
    <d v="2026-09-19T00:00:00"/>
    <n v="7344.31"/>
    <m/>
    <m/>
    <m/>
    <s v="Pending"/>
    <s v=""/>
    <m/>
    <m/>
    <n v="1450"/>
    <n v="0.45"/>
    <n v="3262.5"/>
    <s v=""/>
    <x v="2"/>
    <x v="5"/>
    <x v="8"/>
  </r>
  <r>
    <s v="CLM100899"/>
    <s v="PT12350"/>
    <s v="P02"/>
    <x v="0"/>
    <x v="4"/>
    <n v="1"/>
    <d v="2026-01-17T00:00:00"/>
    <d v="2026-01-18T00:00:00"/>
    <n v="38.06"/>
    <n v="16.82"/>
    <n v="16.82"/>
    <n v="0"/>
    <s v="Paid"/>
    <s v=""/>
    <d v="2026-03-05T00:00:00"/>
    <d v="2026-03-05T00:00:00"/>
    <n v="38"/>
    <n v="0.43"/>
    <n v="16.34"/>
    <n v="-0.48000000000000043"/>
    <x v="0"/>
    <x v="6"/>
    <x v="5"/>
  </r>
  <r>
    <s v="CLM100900"/>
    <s v="PT11725"/>
    <s v="P05"/>
    <x v="2"/>
    <x v="9"/>
    <n v="1"/>
    <d v="2026-05-11T00:00:00"/>
    <d v="2026-09-14T00:00:00"/>
    <n v="59.09"/>
    <m/>
    <m/>
    <m/>
    <s v="Pending"/>
    <s v=""/>
    <m/>
    <m/>
    <n v="58"/>
    <n v="0.38"/>
    <n v="22.04"/>
    <s v=""/>
    <x v="2"/>
    <x v="0"/>
    <x v="7"/>
  </r>
  <r>
    <s v="CLM100901"/>
    <s v="PT11891"/>
    <s v="P01"/>
    <x v="1"/>
    <x v="10"/>
    <n v="1"/>
    <d v="2026-03-17T00:00:00"/>
    <d v="2026-03-19T00:00:00"/>
    <n v="1055.74"/>
    <m/>
    <m/>
    <m/>
    <s v="Denied"/>
    <s v="CO-197"/>
    <d v="2026-04-15T00:00:00"/>
    <m/>
    <n v="1050"/>
    <n v="0.45"/>
    <n v="472.5"/>
    <s v=""/>
    <x v="2"/>
    <x v="5"/>
    <x v="2"/>
  </r>
  <r>
    <s v="CLM100902"/>
    <s v="PT11639"/>
    <s v="P02"/>
    <x v="2"/>
    <x v="2"/>
    <n v="1"/>
    <d v="2025-10-09T00:00:00"/>
    <d v="2025-10-17T00:00:00"/>
    <n v="61.89"/>
    <n v="24.95"/>
    <n v="22.45"/>
    <n v="2.5"/>
    <s v="Paid"/>
    <s v=""/>
    <d v="2025-11-17T00:00:00"/>
    <d v="2025-11-17T00:00:00"/>
    <n v="62"/>
    <n v="0.43"/>
    <n v="26.66"/>
    <n v="1.7100000000000009"/>
    <x v="1"/>
    <x v="6"/>
    <x v="9"/>
  </r>
  <r>
    <s v="CLM100903"/>
    <s v="PT12531"/>
    <s v="P02"/>
    <x v="1"/>
    <x v="5"/>
    <n v="1"/>
    <d v="2026-08-10T00:00:00"/>
    <d v="2026-08-12T00:00:00"/>
    <n v="4669.5600000000004"/>
    <n v="1992.1"/>
    <n v="1792.89"/>
    <n v="199.21"/>
    <s v="Paid"/>
    <s v=""/>
    <d v="2026-08-30T00:00:00"/>
    <d v="2026-08-30T00:00:00"/>
    <n v="4800"/>
    <n v="0.43"/>
    <n v="2064"/>
    <n v="71.900000000000091"/>
    <x v="0"/>
    <x v="6"/>
    <x v="4"/>
  </r>
  <r>
    <s v="CLM100904"/>
    <s v="PT10697"/>
    <s v="P01"/>
    <x v="1"/>
    <x v="7"/>
    <n v="1"/>
    <d v="2025-10-06T00:00:00"/>
    <d v="2025-10-27T00:00:00"/>
    <n v="205.45"/>
    <n v="98.9"/>
    <n v="98.9"/>
    <n v="0"/>
    <s v="Paid"/>
    <s v=""/>
    <d v="2025-11-09T00:00:00"/>
    <d v="2025-11-09T00:00:00"/>
    <n v="210"/>
    <n v="0.45"/>
    <n v="94.5"/>
    <n v="-4.4000000000000057"/>
    <x v="0"/>
    <x v="5"/>
    <x v="9"/>
  </r>
  <r>
    <s v="CLM100905"/>
    <s v="PT10196"/>
    <s v="P07"/>
    <x v="1"/>
    <x v="4"/>
    <n v="1"/>
    <d v="2026-04-07T00:00:00"/>
    <d v="2026-04-11T00:00:00"/>
    <n v="38.72"/>
    <m/>
    <m/>
    <m/>
    <s v="Denied"/>
    <s v="CO-11"/>
    <d v="2026-06-15T00:00:00"/>
    <m/>
    <n v="38"/>
    <n v="0.28000000000000003"/>
    <n v="10.64"/>
    <s v=""/>
    <x v="2"/>
    <x v="3"/>
    <x v="10"/>
  </r>
  <r>
    <s v="CLM100906"/>
    <s v="PT10606"/>
    <s v="P05"/>
    <x v="1"/>
    <x v="11"/>
    <n v="1"/>
    <d v="2026-04-13T00:00:00"/>
    <d v="2026-04-14T00:00:00"/>
    <n v="1134.1199999999999"/>
    <m/>
    <m/>
    <m/>
    <s v="Denied"/>
    <s v="CO-50"/>
    <d v="2026-06-01T00:00:00"/>
    <m/>
    <n v="1150"/>
    <n v="0.38"/>
    <n v="437"/>
    <s v=""/>
    <x v="2"/>
    <x v="0"/>
    <x v="10"/>
  </r>
  <r>
    <s v="CLM100907"/>
    <s v="PT11080"/>
    <s v="P04"/>
    <x v="2"/>
    <x v="9"/>
    <n v="1"/>
    <d v="2026-09-08T00:00:00"/>
    <d v="2026-09-10T00:00:00"/>
    <n v="58.08"/>
    <n v="19.48"/>
    <n v="19.48"/>
    <n v="0"/>
    <s v="Paid"/>
    <s v=""/>
    <d v="2026-09-28T00:00:00"/>
    <d v="2026-09-28T00:00:00"/>
    <n v="58"/>
    <n v="0.36"/>
    <n v="20.88"/>
    <n v="1.3999999999999986"/>
    <x v="1"/>
    <x v="1"/>
    <x v="8"/>
  </r>
  <r>
    <s v="CLM100908"/>
    <s v="PT10307"/>
    <s v="P01"/>
    <x v="3"/>
    <x v="7"/>
    <n v="1"/>
    <d v="2026-07-13T00:00:00"/>
    <d v="2026-07-15T00:00:00"/>
    <n v="214.23"/>
    <n v="107.08"/>
    <n v="107.08"/>
    <n v="0"/>
    <s v="Paid"/>
    <s v=""/>
    <d v="2026-08-02T00:00:00"/>
    <d v="2026-08-02T00:00:00"/>
    <n v="210"/>
    <n v="0.45"/>
    <n v="94.5"/>
    <n v="-12.579999999999998"/>
    <x v="0"/>
    <x v="5"/>
    <x v="1"/>
  </r>
  <r>
    <s v="CLM100909"/>
    <s v="PT11283"/>
    <s v="P01"/>
    <x v="2"/>
    <x v="2"/>
    <n v="1"/>
    <d v="2026-09-09T00:00:00"/>
    <d v="2026-09-11T00:00:00"/>
    <n v="61.88"/>
    <m/>
    <m/>
    <m/>
    <s v="Pending"/>
    <s v=""/>
    <m/>
    <m/>
    <n v="62"/>
    <n v="0.45"/>
    <n v="27.9"/>
    <s v=""/>
    <x v="2"/>
    <x v="5"/>
    <x v="8"/>
  </r>
  <r>
    <s v="CLM100910"/>
    <s v="PT11489"/>
    <s v="P05"/>
    <x v="3"/>
    <x v="6"/>
    <n v="1"/>
    <d v="2026-09-01T00:00:00"/>
    <d v="2026-09-04T00:00:00"/>
    <n v="411.28"/>
    <m/>
    <m/>
    <m/>
    <s v="Pending"/>
    <s v=""/>
    <m/>
    <m/>
    <n v="420"/>
    <n v="0.38"/>
    <n v="159.6"/>
    <s v=""/>
    <x v="2"/>
    <x v="0"/>
    <x v="8"/>
  </r>
  <r>
    <s v="CLM100911"/>
    <s v="PT10418"/>
    <s v="P07"/>
    <x v="0"/>
    <x v="4"/>
    <n v="1"/>
    <d v="2026-06-20T00:00:00"/>
    <d v="2026-06-23T00:00:00"/>
    <n v="37.32"/>
    <m/>
    <m/>
    <m/>
    <s v="Denied"/>
    <s v="CO-27"/>
    <d v="2026-09-14T00:00:00"/>
    <m/>
    <n v="38"/>
    <n v="0.28000000000000003"/>
    <n v="10.64"/>
    <s v=""/>
    <x v="2"/>
    <x v="3"/>
    <x v="11"/>
  </r>
  <r>
    <s v="CLM100912"/>
    <s v="PT11451"/>
    <s v="P01"/>
    <x v="1"/>
    <x v="10"/>
    <n v="1"/>
    <d v="2025-10-15T00:00:00"/>
    <d v="2025-10-19T00:00:00"/>
    <n v="1048.5"/>
    <n v="415.8"/>
    <n v="415.8"/>
    <n v="0"/>
    <s v="Paid"/>
    <s v=""/>
    <d v="2025-11-12T00:00:00"/>
    <d v="2025-11-12T00:00:00"/>
    <n v="1050"/>
    <n v="0.45"/>
    <n v="472.5"/>
    <n v="56.699999999999989"/>
    <x v="1"/>
    <x v="5"/>
    <x v="9"/>
  </r>
  <r>
    <s v="CLM100913"/>
    <s v="PT10794"/>
    <s v="P02"/>
    <x v="0"/>
    <x v="7"/>
    <n v="1"/>
    <d v="2026-05-09T00:00:00"/>
    <d v="2026-05-10T00:00:00"/>
    <n v="210.1"/>
    <n v="78.58"/>
    <n v="62.86"/>
    <n v="15.72"/>
    <s v="Paid"/>
    <s v=""/>
    <d v="2026-06-01T00:00:00"/>
    <d v="2026-06-01T00:00:00"/>
    <n v="210"/>
    <n v="0.43"/>
    <n v="90.3"/>
    <n v="11.719999999999999"/>
    <x v="1"/>
    <x v="6"/>
    <x v="7"/>
  </r>
  <r>
    <s v="CLM100914"/>
    <s v="PT10454"/>
    <s v="P01"/>
    <x v="1"/>
    <x v="10"/>
    <n v="1"/>
    <d v="2026-02-19T00:00:00"/>
    <d v="2026-02-22T00:00:00"/>
    <n v="1051.8599999999999"/>
    <n v="500.01"/>
    <n v="500.01"/>
    <n v="0"/>
    <s v="Paid"/>
    <s v=""/>
    <d v="2026-03-11T00:00:00"/>
    <d v="2026-03-11T00:00:00"/>
    <n v="1050"/>
    <n v="0.45"/>
    <n v="472.5"/>
    <n v="-27.509999999999991"/>
    <x v="0"/>
    <x v="5"/>
    <x v="0"/>
  </r>
  <r>
    <s v="CLM100915"/>
    <s v="PT10414"/>
    <s v="P07"/>
    <x v="1"/>
    <x v="8"/>
    <n v="1"/>
    <d v="2026-07-22T00:00:00"/>
    <d v="2026-07-23T00:00:00"/>
    <n v="256.35000000000002"/>
    <m/>
    <m/>
    <m/>
    <s v="Denied"/>
    <s v="CO-16"/>
    <d v="2026-09-18T00:00:00"/>
    <m/>
    <n v="260"/>
    <n v="0.28000000000000003"/>
    <n v="72.8"/>
    <s v=""/>
    <x v="2"/>
    <x v="3"/>
    <x v="1"/>
  </r>
  <r>
    <s v="CLM100916"/>
    <s v="PT12061"/>
    <s v="P06"/>
    <x v="0"/>
    <x v="7"/>
    <n v="1"/>
    <d v="2026-03-27T00:00:00"/>
    <d v="2026-04-01T00:00:00"/>
    <n v="211.72"/>
    <n v="48.33"/>
    <n v="48.33"/>
    <n v="0"/>
    <s v="Paid"/>
    <s v=""/>
    <d v="2026-04-29T00:00:00"/>
    <d v="2026-04-29T00:00:00"/>
    <n v="210"/>
    <n v="0.27"/>
    <n v="56.7"/>
    <n v="8.3700000000000045"/>
    <x v="1"/>
    <x v="2"/>
    <x v="2"/>
  </r>
  <r>
    <s v="CLM100917"/>
    <s v="PT12728"/>
    <s v="P03"/>
    <x v="2"/>
    <x v="0"/>
    <n v="1"/>
    <d v="2026-03-06T00:00:00"/>
    <d v="2026-03-11T00:00:00"/>
    <n v="148.07"/>
    <n v="62.71"/>
    <n v="62.71"/>
    <n v="0"/>
    <s v="Paid"/>
    <s v=""/>
    <d v="2026-04-17T00:00:00"/>
    <d v="2026-04-17T00:00:00"/>
    <n v="145"/>
    <n v="0.47"/>
    <n v="68.150000000000006"/>
    <n v="5.4400000000000048"/>
    <x v="1"/>
    <x v="4"/>
    <x v="2"/>
  </r>
  <r>
    <s v="CLM100918"/>
    <s v="PT11940"/>
    <s v="P01"/>
    <x v="0"/>
    <x v="8"/>
    <n v="1"/>
    <d v="2026-02-13T00:00:00"/>
    <d v="2026-02-14T00:00:00"/>
    <n v="265.95"/>
    <n v="101.42"/>
    <n v="91.28"/>
    <n v="10.14"/>
    <s v="Paid"/>
    <s v=""/>
    <d v="2026-03-22T00:00:00"/>
    <d v="2026-03-22T00:00:00"/>
    <n v="260"/>
    <n v="0.45"/>
    <n v="117"/>
    <n v="15.579999999999998"/>
    <x v="1"/>
    <x v="5"/>
    <x v="0"/>
  </r>
  <r>
    <s v="CLM100919"/>
    <s v="PT13092"/>
    <s v="P07"/>
    <x v="0"/>
    <x v="4"/>
    <n v="1"/>
    <d v="2026-05-30T00:00:00"/>
    <d v="2026-06-06T00:00:00"/>
    <n v="37.11"/>
    <n v="11.93"/>
    <n v="11.93"/>
    <n v="0"/>
    <s v="Paid"/>
    <s v=""/>
    <d v="2026-08-17T00:00:00"/>
    <d v="2026-08-17T00:00:00"/>
    <n v="38"/>
    <n v="0.28000000000000003"/>
    <n v="10.64"/>
    <n v="-1.2899999999999991"/>
    <x v="0"/>
    <x v="3"/>
    <x v="7"/>
  </r>
  <r>
    <s v="CLM100920"/>
    <s v="PT11038"/>
    <s v="P01"/>
    <x v="1"/>
    <x v="8"/>
    <n v="1"/>
    <d v="2026-03-21T00:00:00"/>
    <d v="2026-03-27T00:00:00"/>
    <n v="259.26"/>
    <n v="107.86"/>
    <n v="86.29"/>
    <n v="21.57"/>
    <s v="Paid"/>
    <s v=""/>
    <d v="2026-04-15T00:00:00"/>
    <d v="2026-04-15T00:00:00"/>
    <n v="260"/>
    <n v="0.45"/>
    <n v="117"/>
    <n v="9.14"/>
    <x v="1"/>
    <x v="5"/>
    <x v="2"/>
  </r>
  <r>
    <s v="CLM100921"/>
    <s v="PT11105"/>
    <s v="P06"/>
    <x v="0"/>
    <x v="0"/>
    <n v="1"/>
    <d v="2026-03-04T00:00:00"/>
    <d v="2026-03-13T00:00:00"/>
    <n v="146.83000000000001"/>
    <n v="44.05"/>
    <n v="44.05"/>
    <n v="0"/>
    <s v="Paid"/>
    <s v=""/>
    <d v="2026-05-05T00:00:00"/>
    <d v="2026-05-05T00:00:00"/>
    <n v="145"/>
    <n v="0.27"/>
    <n v="39.15"/>
    <n v="-4.8999999999999986"/>
    <x v="0"/>
    <x v="2"/>
    <x v="2"/>
  </r>
  <r>
    <s v="CLM100922"/>
    <s v="PT10126"/>
    <s v="P04"/>
    <x v="3"/>
    <x v="7"/>
    <n v="1"/>
    <d v="2025-12-15T00:00:00"/>
    <d v="2025-12-23T00:00:00"/>
    <n v="216.03"/>
    <n v="69.099999999999994"/>
    <n v="55.28"/>
    <n v="13.82"/>
    <s v="Paid"/>
    <s v=""/>
    <d v="2026-01-05T00:00:00"/>
    <d v="2026-01-05T00:00:00"/>
    <n v="210"/>
    <n v="0.36"/>
    <n v="75.599999999999994"/>
    <n v="6.5"/>
    <x v="1"/>
    <x v="1"/>
    <x v="6"/>
  </r>
  <r>
    <s v="CLM100923"/>
    <s v="PT12780"/>
    <s v="P05"/>
    <x v="1"/>
    <x v="4"/>
    <n v="1"/>
    <d v="2026-05-09T00:00:00"/>
    <d v="2026-05-15T00:00:00"/>
    <n v="37.68"/>
    <m/>
    <m/>
    <m/>
    <s v="Denied"/>
    <s v="CO-50"/>
    <d v="2026-08-06T00:00:00"/>
    <m/>
    <n v="38"/>
    <n v="0.38"/>
    <n v="14.44"/>
    <s v=""/>
    <x v="2"/>
    <x v="0"/>
    <x v="7"/>
  </r>
  <r>
    <s v="CLM100924"/>
    <s v="PT12373"/>
    <s v="P02"/>
    <x v="1"/>
    <x v="4"/>
    <n v="1"/>
    <d v="2026-03-19T00:00:00"/>
    <d v="2026-03-22T00:00:00"/>
    <n v="37.75"/>
    <n v="15.18"/>
    <n v="15.18"/>
    <n v="0"/>
    <s v="Paid"/>
    <s v=""/>
    <d v="2026-04-18T00:00:00"/>
    <d v="2026-04-18T00:00:00"/>
    <n v="38"/>
    <n v="0.43"/>
    <n v="16.34"/>
    <n v="1.1600000000000001"/>
    <x v="1"/>
    <x v="6"/>
    <x v="2"/>
  </r>
  <r>
    <s v="CLM100925"/>
    <s v="PT12807"/>
    <s v="P06"/>
    <x v="0"/>
    <x v="8"/>
    <n v="1"/>
    <d v="2025-12-02T00:00:00"/>
    <d v="2025-12-05T00:00:00"/>
    <n v="258.95999999999998"/>
    <n v="76.28"/>
    <n v="61.02"/>
    <n v="15.26"/>
    <s v="Paid"/>
    <s v=""/>
    <d v="2026-01-06T00:00:00"/>
    <d v="2026-01-06T00:00:00"/>
    <n v="260"/>
    <n v="0.27"/>
    <n v="70.2"/>
    <n v="-6.0799999999999983"/>
    <x v="0"/>
    <x v="2"/>
    <x v="6"/>
  </r>
  <r>
    <s v="CLM100926"/>
    <s v="PT10063"/>
    <s v="P01"/>
    <x v="1"/>
    <x v="4"/>
    <n v="1"/>
    <d v="2026-02-26T00:00:00"/>
    <d v="2026-03-03T00:00:00"/>
    <n v="38.28"/>
    <n v="16.09"/>
    <n v="14.48"/>
    <n v="1.61"/>
    <s v="Paid"/>
    <s v=""/>
    <d v="2026-04-21T00:00:00"/>
    <d v="2026-04-21T00:00:00"/>
    <n v="38"/>
    <n v="0.45"/>
    <n v="17.100000000000001"/>
    <n v="1.0100000000000016"/>
    <x v="1"/>
    <x v="5"/>
    <x v="0"/>
  </r>
  <r>
    <s v="CLM100927"/>
    <s v="PT11160"/>
    <s v="P02"/>
    <x v="0"/>
    <x v="7"/>
    <n v="1"/>
    <d v="2026-07-31T00:00:00"/>
    <d v="2026-08-03T00:00:00"/>
    <n v="205.26"/>
    <m/>
    <m/>
    <m/>
    <s v="Denied"/>
    <s v="CO-27"/>
    <d v="2026-09-08T00:00:00"/>
    <m/>
    <n v="210"/>
    <n v="0.43"/>
    <n v="90.3"/>
    <s v=""/>
    <x v="2"/>
    <x v="6"/>
    <x v="1"/>
  </r>
  <r>
    <s v="CLM100928"/>
    <s v="PT11191"/>
    <s v="P08"/>
    <x v="0"/>
    <x v="7"/>
    <n v="1"/>
    <d v="2026-02-16T00:00:00"/>
    <d v="2026-02-22T00:00:00"/>
    <n v="205.5"/>
    <n v="205.5"/>
    <n v="205.5"/>
    <n v="0"/>
    <s v="Paid"/>
    <s v=""/>
    <d v="2026-05-11T00:00:00"/>
    <d v="2026-05-11T00:00:00"/>
    <n v="210"/>
    <n v="1"/>
    <n v="210"/>
    <n v="4.5"/>
    <x v="0"/>
    <x v="7"/>
    <x v="0"/>
  </r>
  <r>
    <s v="CLM100929"/>
    <s v="PT11272"/>
    <s v="P07"/>
    <x v="1"/>
    <x v="10"/>
    <n v="1"/>
    <d v="2026-02-05T00:00:00"/>
    <d v="2026-02-10T00:00:00"/>
    <n v="1069.6400000000001"/>
    <m/>
    <m/>
    <m/>
    <s v="Denied"/>
    <s v="CO-27"/>
    <d v="2026-04-10T00:00:00"/>
    <m/>
    <n v="1050"/>
    <n v="0.28000000000000003"/>
    <n v="294"/>
    <s v=""/>
    <x v="2"/>
    <x v="3"/>
    <x v="0"/>
  </r>
  <r>
    <s v="CLM100930"/>
    <s v="PT12235"/>
    <s v="P01"/>
    <x v="1"/>
    <x v="5"/>
    <n v="1"/>
    <d v="2025-12-09T00:00:00"/>
    <d v="2025-12-10T00:00:00"/>
    <n v="4775.8999999999996"/>
    <n v="2013.65"/>
    <n v="1610.92"/>
    <n v="402.73"/>
    <s v="Paid"/>
    <s v=""/>
    <d v="2026-01-14T00:00:00"/>
    <d v="2026-01-14T00:00:00"/>
    <n v="4800"/>
    <n v="0.45"/>
    <n v="2160"/>
    <n v="146.34999999999991"/>
    <x v="1"/>
    <x v="5"/>
    <x v="6"/>
  </r>
  <r>
    <s v="CLM100931"/>
    <s v="PT11751"/>
    <s v="P07"/>
    <x v="1"/>
    <x v="5"/>
    <n v="1"/>
    <d v="2026-05-12T00:00:00"/>
    <d v="2026-05-15T00:00:00"/>
    <n v="4683.66"/>
    <n v="1308.29"/>
    <n v="1177.46"/>
    <n v="130.83000000000001"/>
    <s v="Paid"/>
    <s v=""/>
    <d v="2026-07-08T00:00:00"/>
    <d v="2026-07-08T00:00:00"/>
    <n v="4800"/>
    <n v="0.28000000000000003"/>
    <n v="1344"/>
    <n v="35.710000000000036"/>
    <x v="0"/>
    <x v="3"/>
    <x v="7"/>
  </r>
  <r>
    <s v="CLM100932"/>
    <s v="PT13222"/>
    <s v="P03"/>
    <x v="0"/>
    <x v="4"/>
    <n v="1"/>
    <d v="2026-07-14T00:00:00"/>
    <d v="2026-07-20T00:00:00"/>
    <n v="36.92"/>
    <m/>
    <m/>
    <m/>
    <s v="Denied"/>
    <s v="CO-16"/>
    <d v="2026-08-22T00:00:00"/>
    <m/>
    <n v="38"/>
    <n v="0.47"/>
    <n v="17.86"/>
    <s v=""/>
    <x v="2"/>
    <x v="4"/>
    <x v="1"/>
  </r>
  <r>
    <s v="CLM100933"/>
    <s v="PT13437"/>
    <s v="P07"/>
    <x v="1"/>
    <x v="1"/>
    <n v="1"/>
    <d v="2026-02-28T00:00:00"/>
    <d v="2026-03-08T00:00:00"/>
    <n v="233.57"/>
    <m/>
    <m/>
    <m/>
    <s v="Denied"/>
    <s v="CO-4"/>
    <d v="2026-05-09T00:00:00"/>
    <m/>
    <n v="240"/>
    <n v="0.28000000000000003"/>
    <n v="67.2"/>
    <s v=""/>
    <x v="2"/>
    <x v="3"/>
    <x v="0"/>
  </r>
  <r>
    <s v="CLM100934"/>
    <s v="PT12873"/>
    <s v="P04"/>
    <x v="3"/>
    <x v="6"/>
    <n v="1"/>
    <d v="2026-02-26T00:00:00"/>
    <d v="2026-03-03T00:00:00"/>
    <n v="421.65"/>
    <n v="133.91999999999999"/>
    <n v="133.91999999999999"/>
    <n v="0"/>
    <s v="Paid"/>
    <s v=""/>
    <d v="2026-03-14T00:00:00"/>
    <d v="2026-03-14T00:00:00"/>
    <n v="420"/>
    <n v="0.36"/>
    <n v="151.19999999999999"/>
    <n v="17.28"/>
    <x v="1"/>
    <x v="1"/>
    <x v="0"/>
  </r>
  <r>
    <s v="CLM100935"/>
    <s v="PT13299"/>
    <s v="P04"/>
    <x v="1"/>
    <x v="7"/>
    <n v="1"/>
    <d v="2026-06-11T00:00:00"/>
    <d v="2026-06-21T00:00:00"/>
    <n v="205.42"/>
    <n v="66.010000000000005"/>
    <n v="66.010000000000005"/>
    <n v="0"/>
    <s v="Paid"/>
    <s v=""/>
    <d v="2026-07-03T00:00:00"/>
    <d v="2026-07-03T00:00:00"/>
    <n v="210"/>
    <n v="0.36"/>
    <n v="75.599999999999994"/>
    <n v="9.5899999999999892"/>
    <x v="1"/>
    <x v="1"/>
    <x v="11"/>
  </r>
  <r>
    <s v="CLM100936"/>
    <s v="PT11940"/>
    <s v="P01"/>
    <x v="0"/>
    <x v="7"/>
    <n v="1"/>
    <d v="2025-10-01T00:00:00"/>
    <d v="2025-10-10T00:00:00"/>
    <n v="205.63"/>
    <n v="85.26"/>
    <n v="85.26"/>
    <n v="0"/>
    <s v="Paid"/>
    <s v=""/>
    <d v="2025-10-28T00:00:00"/>
    <d v="2025-10-28T00:00:00"/>
    <n v="210"/>
    <n v="0.45"/>
    <n v="94.5"/>
    <n v="9.2399999999999949"/>
    <x v="1"/>
    <x v="5"/>
    <x v="9"/>
  </r>
  <r>
    <s v="CLM100937"/>
    <s v="PT13365"/>
    <s v="P03"/>
    <x v="1"/>
    <x v="1"/>
    <n v="1"/>
    <d v="2025-10-29T00:00:00"/>
    <d v="2025-10-31T00:00:00"/>
    <n v="246.14"/>
    <n v="104.87"/>
    <n v="94.38"/>
    <n v="10.49"/>
    <s v="Paid"/>
    <s v=""/>
    <d v="2025-12-17T00:00:00"/>
    <d v="2025-12-17T00:00:00"/>
    <n v="240"/>
    <n v="0.47"/>
    <n v="112.8"/>
    <n v="7.9299999999999926"/>
    <x v="1"/>
    <x v="4"/>
    <x v="9"/>
  </r>
  <r>
    <s v="CLM100938"/>
    <s v="PT10985"/>
    <s v="P07"/>
    <x v="0"/>
    <x v="4"/>
    <n v="1"/>
    <d v="2026-08-12T00:00:00"/>
    <d v="2026-08-13T00:00:00"/>
    <n v="37.14"/>
    <m/>
    <m/>
    <m/>
    <s v="Pending"/>
    <s v=""/>
    <m/>
    <m/>
    <n v="38"/>
    <n v="0.28000000000000003"/>
    <n v="10.64"/>
    <s v=""/>
    <x v="2"/>
    <x v="3"/>
    <x v="4"/>
  </r>
  <r>
    <s v="CLM100939"/>
    <s v="PT11580"/>
    <s v="P05"/>
    <x v="1"/>
    <x v="4"/>
    <n v="1"/>
    <d v="2026-01-11T00:00:00"/>
    <d v="2026-01-13T00:00:00"/>
    <n v="37.950000000000003"/>
    <n v="16.59"/>
    <n v="13.27"/>
    <n v="3.32"/>
    <s v="Paid"/>
    <s v=""/>
    <d v="2026-02-10T00:00:00"/>
    <d v="2026-02-10T00:00:00"/>
    <n v="38"/>
    <n v="0.38"/>
    <n v="14.44"/>
    <n v="-2.1500000000000004"/>
    <x v="0"/>
    <x v="0"/>
    <x v="5"/>
  </r>
  <r>
    <s v="CLM100940"/>
    <s v="PT10139"/>
    <s v="P03"/>
    <x v="3"/>
    <x v="3"/>
    <n v="10"/>
    <d v="2026-05-06T00:00:00"/>
    <d v="2026-05-09T00:00:00"/>
    <n v="14089.33"/>
    <n v="5644.47"/>
    <n v="5080.0200000000004"/>
    <n v="564.45000000000005"/>
    <s v="Paid"/>
    <s v=""/>
    <d v="2026-06-23T00:00:00"/>
    <d v="2026-06-23T00:00:00"/>
    <n v="1450"/>
    <n v="0.47"/>
    <n v="6815"/>
    <n v="1170.5299999999997"/>
    <x v="1"/>
    <x v="4"/>
    <x v="7"/>
  </r>
  <r>
    <s v="CLM100941"/>
    <s v="PT11465"/>
    <s v="P04"/>
    <x v="3"/>
    <x v="7"/>
    <n v="1"/>
    <d v="2025-10-22T00:00:00"/>
    <d v="2025-10-24T00:00:00"/>
    <n v="215.14"/>
    <n v="86.67"/>
    <n v="86.67"/>
    <n v="0"/>
    <s v="Paid"/>
    <s v=""/>
    <d v="2025-11-10T00:00:00"/>
    <d v="2025-11-10T00:00:00"/>
    <n v="210"/>
    <n v="0.36"/>
    <n v="75.599999999999994"/>
    <n v="-11.070000000000007"/>
    <x v="0"/>
    <x v="1"/>
    <x v="9"/>
  </r>
  <r>
    <s v="CLM100942"/>
    <s v="PT12686"/>
    <s v="P02"/>
    <x v="0"/>
    <x v="7"/>
    <n v="1"/>
    <d v="2026-09-27T00:00:00"/>
    <d v="2026-09-30T00:00:00"/>
    <n v="210.32"/>
    <m/>
    <m/>
    <m/>
    <s v="Pending"/>
    <s v=""/>
    <m/>
    <m/>
    <n v="210"/>
    <n v="0.43"/>
    <n v="90.3"/>
    <s v=""/>
    <x v="2"/>
    <x v="6"/>
    <x v="8"/>
  </r>
  <r>
    <s v="CLM100943"/>
    <s v="PT11932"/>
    <s v="P03"/>
    <x v="3"/>
    <x v="6"/>
    <n v="1"/>
    <d v="2025-12-11T00:00:00"/>
    <d v="2025-12-17T00:00:00"/>
    <n v="414.41"/>
    <n v="189.35"/>
    <n v="151.47999999999999"/>
    <n v="37.869999999999997"/>
    <s v="Paid"/>
    <s v=""/>
    <d v="2026-02-16T00:00:00"/>
    <d v="2026-02-16T00:00:00"/>
    <n v="420"/>
    <n v="0.47"/>
    <n v="197.4"/>
    <n v="8.0500000000000114"/>
    <x v="0"/>
    <x v="4"/>
    <x v="6"/>
  </r>
  <r>
    <s v="CLM100944"/>
    <s v="PT12394"/>
    <s v="P04"/>
    <x v="0"/>
    <x v="7"/>
    <n v="1"/>
    <d v="2026-06-17T00:00:00"/>
    <d v="2026-06-20T00:00:00"/>
    <n v="213.47"/>
    <n v="72.64"/>
    <n v="65.38"/>
    <n v="7.26"/>
    <s v="Paid"/>
    <s v=""/>
    <d v="2026-07-04T00:00:00"/>
    <d v="2026-07-04T00:00:00"/>
    <n v="210"/>
    <n v="0.36"/>
    <n v="75.599999999999994"/>
    <n v="2.9599999999999937"/>
    <x v="0"/>
    <x v="1"/>
    <x v="11"/>
  </r>
  <r>
    <s v="CLM100945"/>
    <s v="PT13161"/>
    <s v="P01"/>
    <x v="0"/>
    <x v="4"/>
    <n v="1"/>
    <d v="2025-10-16T00:00:00"/>
    <d v="2025-10-17T00:00:00"/>
    <n v="38.799999999999997"/>
    <m/>
    <m/>
    <m/>
    <s v="Denied"/>
    <s v="CO-16"/>
    <d v="2025-10-30T00:00:00"/>
    <m/>
    <n v="38"/>
    <n v="0.45"/>
    <n v="17.100000000000001"/>
    <s v=""/>
    <x v="2"/>
    <x v="5"/>
    <x v="9"/>
  </r>
  <r>
    <s v="CLM100946"/>
    <s v="PT13468"/>
    <s v="P01"/>
    <x v="3"/>
    <x v="3"/>
    <n v="30"/>
    <d v="2025-12-29T00:00:00"/>
    <d v="2026-01-01T00:00:00"/>
    <n v="44167.67"/>
    <m/>
    <m/>
    <m/>
    <s v="Denied"/>
    <s v="CO-16"/>
    <d v="2026-01-31T00:00:00"/>
    <m/>
    <n v="1450"/>
    <n v="0.45"/>
    <n v="19575"/>
    <s v=""/>
    <x v="2"/>
    <x v="5"/>
    <x v="6"/>
  </r>
  <r>
    <s v="CLM100947"/>
    <s v="PT10801"/>
    <s v="P04"/>
    <x v="0"/>
    <x v="8"/>
    <n v="1"/>
    <d v="2025-10-16T00:00:00"/>
    <d v="2025-10-18T00:00:00"/>
    <n v="266.61"/>
    <n v="92.33"/>
    <n v="92.33"/>
    <n v="0"/>
    <s v="Paid"/>
    <s v=""/>
    <d v="2025-11-12T00:00:00"/>
    <d v="2025-11-12T00:00:00"/>
    <n v="260"/>
    <n v="0.36"/>
    <n v="93.6"/>
    <n v="1.269999999999996"/>
    <x v="0"/>
    <x v="1"/>
    <x v="9"/>
  </r>
  <r>
    <s v="CLM100948"/>
    <s v="PT10352"/>
    <s v="P05"/>
    <x v="1"/>
    <x v="10"/>
    <n v="1"/>
    <d v="2026-01-24T00:00:00"/>
    <d v="2026-01-25T00:00:00"/>
    <n v="1031.18"/>
    <n v="432.3"/>
    <n v="432.3"/>
    <n v="0"/>
    <s v="Paid"/>
    <s v=""/>
    <d v="2026-03-16T00:00:00"/>
    <d v="2026-03-16T00:00:00"/>
    <n v="1050"/>
    <n v="0.38"/>
    <n v="399"/>
    <n v="-33.300000000000011"/>
    <x v="0"/>
    <x v="0"/>
    <x v="5"/>
  </r>
  <r>
    <s v="CLM100949"/>
    <s v="PT10778"/>
    <s v="P01"/>
    <x v="0"/>
    <x v="0"/>
    <n v="1"/>
    <d v="2025-12-11T00:00:00"/>
    <d v="2025-12-13T00:00:00"/>
    <n v="148.41999999999999"/>
    <n v="67.760000000000005"/>
    <n v="54.21"/>
    <n v="13.55"/>
    <s v="Paid"/>
    <s v=""/>
    <d v="2026-01-14T00:00:00"/>
    <d v="2026-01-14T00:00:00"/>
    <n v="145"/>
    <n v="0.45"/>
    <n v="65.25"/>
    <n v="-2.5100000000000051"/>
    <x v="0"/>
    <x v="5"/>
    <x v="6"/>
  </r>
  <r>
    <s v="CLM100950"/>
    <s v="PT11540"/>
    <s v="P06"/>
    <x v="2"/>
    <x v="0"/>
    <n v="1"/>
    <d v="2026-06-14T00:00:00"/>
    <d v="2026-06-18T00:00:00"/>
    <n v="143.71"/>
    <m/>
    <m/>
    <m/>
    <s v="Denied"/>
    <s v="CO-16"/>
    <d v="2026-07-31T00:00:00"/>
    <m/>
    <n v="145"/>
    <n v="0.27"/>
    <n v="39.15"/>
    <s v=""/>
    <x v="2"/>
    <x v="2"/>
    <x v="11"/>
  </r>
  <r>
    <s v="CLM100951"/>
    <s v="PT13392"/>
    <s v="P06"/>
    <x v="0"/>
    <x v="7"/>
    <n v="1"/>
    <d v="2026-03-02T00:00:00"/>
    <d v="2026-03-05T00:00:00"/>
    <n v="204.97"/>
    <m/>
    <m/>
    <m/>
    <s v="Denied"/>
    <s v="CO-4"/>
    <d v="2026-04-18T00:00:00"/>
    <m/>
    <n v="210"/>
    <n v="0.27"/>
    <n v="56.7"/>
    <s v=""/>
    <x v="2"/>
    <x v="2"/>
    <x v="2"/>
  </r>
  <r>
    <s v="CLM100952"/>
    <s v="PT12236"/>
    <s v="P01"/>
    <x v="1"/>
    <x v="11"/>
    <n v="1"/>
    <d v="2026-07-22T00:00:00"/>
    <d v="2026-07-25T00:00:00"/>
    <n v="1132.1600000000001"/>
    <n v="479.71"/>
    <n v="479.71"/>
    <n v="0"/>
    <s v="Paid"/>
    <s v=""/>
    <d v="2026-08-15T00:00:00"/>
    <d v="2026-08-15T00:00:00"/>
    <n v="1150"/>
    <n v="0.45"/>
    <n v="517.5"/>
    <n v="37.79000000000002"/>
    <x v="1"/>
    <x v="5"/>
    <x v="1"/>
  </r>
  <r>
    <s v="CLM100953"/>
    <s v="PT13102"/>
    <s v="P04"/>
    <x v="3"/>
    <x v="3"/>
    <n v="5"/>
    <d v="2026-02-12T00:00:00"/>
    <d v="2026-02-15T00:00:00"/>
    <n v="7046.54"/>
    <n v="2842.99"/>
    <n v="2558.69"/>
    <n v="284.3"/>
    <s v="Paid"/>
    <s v=""/>
    <d v="2026-03-08T00:00:00"/>
    <d v="2026-03-08T00:00:00"/>
    <n v="1450"/>
    <n v="0.36"/>
    <n v="2610"/>
    <n v="-232.98999999999978"/>
    <x v="0"/>
    <x v="1"/>
    <x v="0"/>
  </r>
  <r>
    <s v="CLM100954"/>
    <s v="PT12258"/>
    <s v="P01"/>
    <x v="3"/>
    <x v="3"/>
    <n v="5"/>
    <d v="2025-11-07T00:00:00"/>
    <d v="2025-11-08T00:00:00"/>
    <n v="7182.94"/>
    <n v="3472.96"/>
    <n v="3472.96"/>
    <n v="0"/>
    <s v="Paid"/>
    <s v=""/>
    <d v="2025-12-08T00:00:00"/>
    <d v="2025-12-08T00:00:00"/>
    <n v="1450"/>
    <n v="0.45"/>
    <n v="3262.5"/>
    <n v="-210.46000000000004"/>
    <x v="0"/>
    <x v="5"/>
    <x v="3"/>
  </r>
  <r>
    <s v="CLM100955"/>
    <s v="PT10087"/>
    <s v="P02"/>
    <x v="0"/>
    <x v="7"/>
    <n v="1"/>
    <d v="2025-10-22T00:00:00"/>
    <d v="2025-10-25T00:00:00"/>
    <n v="205.01"/>
    <n v="83.56"/>
    <n v="83.56"/>
    <n v="0"/>
    <s v="Paid"/>
    <s v=""/>
    <d v="2025-11-09T00:00:00"/>
    <d v="2025-11-09T00:00:00"/>
    <n v="210"/>
    <n v="0.43"/>
    <n v="90.3"/>
    <n v="6.7399999999999949"/>
    <x v="1"/>
    <x v="6"/>
    <x v="9"/>
  </r>
  <r>
    <s v="CLM100956"/>
    <s v="PT11545"/>
    <s v="P05"/>
    <x v="2"/>
    <x v="2"/>
    <n v="3"/>
    <d v="2026-01-09T00:00:00"/>
    <d v="2026-01-11T00:00:00"/>
    <n v="187.21"/>
    <m/>
    <m/>
    <m/>
    <s v="Denied"/>
    <s v="CO-27"/>
    <d v="2026-03-07T00:00:00"/>
    <m/>
    <n v="62"/>
    <n v="0.38"/>
    <n v="70.680000000000007"/>
    <s v=""/>
    <x v="2"/>
    <x v="0"/>
    <x v="5"/>
  </r>
  <r>
    <s v="CLM100957"/>
    <s v="PT10975"/>
    <s v="P04"/>
    <x v="0"/>
    <x v="4"/>
    <n v="1"/>
    <d v="2025-11-29T00:00:00"/>
    <d v="2025-12-09T00:00:00"/>
    <n v="37.86"/>
    <n v="13.07"/>
    <n v="13.07"/>
    <n v="0"/>
    <s v="Paid"/>
    <s v=""/>
    <d v="2025-12-29T00:00:00"/>
    <d v="2025-12-29T00:00:00"/>
    <n v="38"/>
    <n v="0.36"/>
    <n v="13.68"/>
    <n v="0.60999999999999943"/>
    <x v="0"/>
    <x v="1"/>
    <x v="3"/>
  </r>
  <r>
    <s v="CLM100958"/>
    <s v="PT12948"/>
    <s v="P01"/>
    <x v="1"/>
    <x v="1"/>
    <n v="1"/>
    <d v="2026-04-30T00:00:00"/>
    <d v="2026-05-09T00:00:00"/>
    <n v="243.56"/>
    <n v="111.92"/>
    <n v="111.92"/>
    <n v="0"/>
    <s v="Paid"/>
    <s v=""/>
    <d v="2026-06-14T00:00:00"/>
    <d v="2026-06-14T00:00:00"/>
    <n v="240"/>
    <n v="0.45"/>
    <n v="108"/>
    <n v="-3.9200000000000017"/>
    <x v="0"/>
    <x v="5"/>
    <x v="10"/>
  </r>
  <r>
    <s v="CLM100959"/>
    <s v="PT12482"/>
    <s v="P01"/>
    <x v="1"/>
    <x v="8"/>
    <n v="1"/>
    <d v="2025-12-04T00:00:00"/>
    <d v="2025-12-06T00:00:00"/>
    <n v="259.04000000000002"/>
    <n v="120.28"/>
    <n v="120.28"/>
    <n v="0"/>
    <s v="Paid"/>
    <s v=""/>
    <d v="2026-01-25T00:00:00"/>
    <d v="2026-01-25T00:00:00"/>
    <n v="260"/>
    <n v="0.45"/>
    <n v="117"/>
    <n v="-3.2800000000000011"/>
    <x v="0"/>
    <x v="5"/>
    <x v="6"/>
  </r>
  <r>
    <s v="CLM100960"/>
    <s v="PT10902"/>
    <s v="P04"/>
    <x v="0"/>
    <x v="0"/>
    <n v="1"/>
    <d v="2025-11-09T00:00:00"/>
    <d v="2025-11-13T00:00:00"/>
    <n v="142.83000000000001"/>
    <n v="55.18"/>
    <n v="49.66"/>
    <n v="5.52"/>
    <s v="Paid"/>
    <s v=""/>
    <d v="2025-11-18T00:00:00"/>
    <d v="2025-11-18T00:00:00"/>
    <n v="145"/>
    <n v="0.36"/>
    <n v="52.2"/>
    <n v="-2.9799999999999969"/>
    <x v="0"/>
    <x v="1"/>
    <x v="3"/>
  </r>
  <r>
    <s v="CLM100961"/>
    <s v="PT11419"/>
    <s v="P07"/>
    <x v="0"/>
    <x v="8"/>
    <n v="1"/>
    <d v="2026-07-10T00:00:00"/>
    <d v="2026-07-15T00:00:00"/>
    <n v="256.77"/>
    <n v="66.459999999999994"/>
    <n v="66.459999999999994"/>
    <n v="0"/>
    <s v="Paid"/>
    <s v=""/>
    <d v="2026-09-07T00:00:00"/>
    <d v="2026-09-07T00:00:00"/>
    <n v="260"/>
    <n v="0.28000000000000003"/>
    <n v="72.8"/>
    <n v="6.3400000000000034"/>
    <x v="1"/>
    <x v="3"/>
    <x v="1"/>
  </r>
  <r>
    <s v="CLM100962"/>
    <s v="PT10502"/>
    <s v="P07"/>
    <x v="2"/>
    <x v="0"/>
    <n v="1"/>
    <d v="2026-06-06T00:00:00"/>
    <d v="2026-06-07T00:00:00"/>
    <n v="143.08000000000001"/>
    <n v="36.57"/>
    <n v="36.57"/>
    <n v="0"/>
    <s v="Paid"/>
    <s v=""/>
    <d v="2026-07-17T00:00:00"/>
    <d v="2026-07-17T00:00:00"/>
    <n v="145"/>
    <n v="0.28000000000000003"/>
    <n v="40.6"/>
    <n v="4.0300000000000011"/>
    <x v="1"/>
    <x v="3"/>
    <x v="11"/>
  </r>
  <r>
    <s v="CLM100963"/>
    <s v="PT12409"/>
    <s v="P01"/>
    <x v="0"/>
    <x v="7"/>
    <n v="1"/>
    <d v="2026-01-29T00:00:00"/>
    <d v="2026-02-03T00:00:00"/>
    <n v="212.5"/>
    <n v="84.15"/>
    <n v="75.73"/>
    <n v="8.42"/>
    <s v="Paid"/>
    <s v=""/>
    <d v="2026-02-28T00:00:00"/>
    <d v="2026-02-28T00:00:00"/>
    <n v="210"/>
    <n v="0.45"/>
    <n v="94.5"/>
    <n v="10.349999999999994"/>
    <x v="1"/>
    <x v="5"/>
    <x v="5"/>
  </r>
  <r>
    <s v="CLM100964"/>
    <s v="PT10842"/>
    <s v="P01"/>
    <x v="0"/>
    <x v="0"/>
    <n v="1"/>
    <d v="2026-08-09T00:00:00"/>
    <d v="2026-08-10T00:00:00"/>
    <n v="143.99"/>
    <n v="63.67"/>
    <n v="63.67"/>
    <n v="0"/>
    <s v="Paid"/>
    <s v=""/>
    <d v="2026-09-07T00:00:00"/>
    <d v="2026-09-07T00:00:00"/>
    <n v="145"/>
    <n v="0.45"/>
    <n v="65.25"/>
    <n v="1.5799999999999983"/>
    <x v="0"/>
    <x v="5"/>
    <x v="4"/>
  </r>
  <r>
    <s v="CLM100965"/>
    <s v="PT13318"/>
    <s v="P04"/>
    <x v="0"/>
    <x v="4"/>
    <n v="1"/>
    <d v="2026-09-04T00:00:00"/>
    <d v="2026-09-08T00:00:00"/>
    <n v="37.56"/>
    <n v="11.53"/>
    <n v="10.38"/>
    <n v="1.1499999999999999"/>
    <s v="Paid"/>
    <s v=""/>
    <d v="2026-09-17T00:00:00"/>
    <d v="2026-09-17T00:00:00"/>
    <n v="38"/>
    <n v="0.36"/>
    <n v="13.68"/>
    <n v="2.1500000000000004"/>
    <x v="1"/>
    <x v="1"/>
    <x v="8"/>
  </r>
  <r>
    <s v="CLM100966"/>
    <s v="PT12266"/>
    <s v="P05"/>
    <x v="3"/>
    <x v="3"/>
    <n v="30"/>
    <d v="2026-03-24T00:00:00"/>
    <d v="2026-03-31T00:00:00"/>
    <n v="44454.59"/>
    <n v="18339.099999999999"/>
    <n v="18339.099999999999"/>
    <n v="0"/>
    <s v="Paid"/>
    <s v=""/>
    <d v="2026-05-01T00:00:00"/>
    <d v="2026-05-01T00:00:00"/>
    <n v="1450"/>
    <n v="0.38"/>
    <n v="16530"/>
    <n v="-1809.0999999999985"/>
    <x v="0"/>
    <x v="0"/>
    <x v="2"/>
  </r>
  <r>
    <s v="CLM100967"/>
    <s v="PT10540"/>
    <s v="P07"/>
    <x v="0"/>
    <x v="8"/>
    <n v="1"/>
    <d v="2026-07-01T00:00:00"/>
    <d v="2026-07-05T00:00:00"/>
    <n v="259.43"/>
    <n v="72.81"/>
    <n v="72.81"/>
    <n v="0"/>
    <s v="Paid"/>
    <s v=""/>
    <d v="2026-09-13T00:00:00"/>
    <d v="2026-09-13T00:00:00"/>
    <n v="260"/>
    <n v="0.28000000000000003"/>
    <n v="72.8"/>
    <n v="-1.0000000000005116E-2"/>
    <x v="0"/>
    <x v="3"/>
    <x v="1"/>
  </r>
  <r>
    <s v="CLM100968"/>
    <s v="PT11481"/>
    <s v="P06"/>
    <x v="2"/>
    <x v="9"/>
    <n v="1"/>
    <d v="2026-02-18T00:00:00"/>
    <d v="2026-02-24T00:00:00"/>
    <n v="59.74"/>
    <n v="13.81"/>
    <n v="12.43"/>
    <n v="1.38"/>
    <s v="Paid"/>
    <s v=""/>
    <d v="2026-04-15T00:00:00"/>
    <d v="2026-04-15T00:00:00"/>
    <n v="58"/>
    <n v="0.27"/>
    <n v="15.66"/>
    <n v="1.8499999999999996"/>
    <x v="1"/>
    <x v="2"/>
    <x v="0"/>
  </r>
  <r>
    <s v="CLM100969"/>
    <s v="PT11801"/>
    <s v="P06"/>
    <x v="1"/>
    <x v="11"/>
    <n v="1"/>
    <d v="2026-08-08T00:00:00"/>
    <d v="2026-08-10T00:00:00"/>
    <n v="1116.3499999999999"/>
    <n v="332.92"/>
    <n v="332.92"/>
    <n v="0"/>
    <s v="Paid"/>
    <s v=""/>
    <d v="2026-09-26T00:00:00"/>
    <d v="2026-09-26T00:00:00"/>
    <n v="1150"/>
    <n v="0.27"/>
    <n v="310.5"/>
    <n v="-22.420000000000016"/>
    <x v="0"/>
    <x v="2"/>
    <x v="4"/>
  </r>
  <r>
    <s v="CLM100970"/>
    <s v="PT10325"/>
    <s v="P08"/>
    <x v="1"/>
    <x v="8"/>
    <n v="1"/>
    <d v="2026-06-03T00:00:00"/>
    <d v="2026-06-07T00:00:00"/>
    <n v="262.14999999999998"/>
    <n v="262.14999999999998"/>
    <n v="262.14999999999998"/>
    <n v="0"/>
    <s v="Paid"/>
    <s v=""/>
    <d v="2026-08-01T00:00:00"/>
    <d v="2026-08-01T00:00:00"/>
    <n v="260"/>
    <n v="1"/>
    <n v="260"/>
    <n v="-2.1499999999999773"/>
    <x v="0"/>
    <x v="7"/>
    <x v="11"/>
  </r>
  <r>
    <s v="CLM100971"/>
    <s v="PT10601"/>
    <s v="P04"/>
    <x v="1"/>
    <x v="1"/>
    <n v="1"/>
    <d v="2025-11-02T00:00:00"/>
    <d v="2025-11-04T00:00:00"/>
    <n v="239.14"/>
    <n v="79.650000000000006"/>
    <n v="79.650000000000006"/>
    <n v="0"/>
    <s v="Paid"/>
    <s v=""/>
    <d v="2025-11-18T00:00:00"/>
    <d v="2025-11-18T00:00:00"/>
    <n v="240"/>
    <n v="0.36"/>
    <n v="86.4"/>
    <n v="6.75"/>
    <x v="1"/>
    <x v="1"/>
    <x v="3"/>
  </r>
  <r>
    <s v="CLM100972"/>
    <s v="PT10249"/>
    <s v="P01"/>
    <x v="2"/>
    <x v="0"/>
    <n v="1"/>
    <d v="2025-11-28T00:00:00"/>
    <d v="2025-11-29T00:00:00"/>
    <n v="146.35"/>
    <n v="62.11"/>
    <n v="62.11"/>
    <n v="0"/>
    <s v="Paid"/>
    <s v=""/>
    <d v="2025-12-27T00:00:00"/>
    <d v="2025-12-27T00:00:00"/>
    <n v="145"/>
    <n v="0.45"/>
    <n v="65.25"/>
    <n v="3.1400000000000006"/>
    <x v="0"/>
    <x v="5"/>
    <x v="3"/>
  </r>
  <r>
    <s v="CLM100973"/>
    <s v="PT10463"/>
    <s v="P08"/>
    <x v="2"/>
    <x v="9"/>
    <n v="4"/>
    <d v="2025-10-09T00:00:00"/>
    <d v="2025-10-17T00:00:00"/>
    <n v="236.8"/>
    <m/>
    <m/>
    <m/>
    <s v="Pending"/>
    <s v=""/>
    <m/>
    <m/>
    <n v="58"/>
    <n v="1"/>
    <n v="232"/>
    <s v=""/>
    <x v="2"/>
    <x v="7"/>
    <x v="9"/>
  </r>
  <r>
    <s v="CLM100974"/>
    <s v="PT10586"/>
    <s v="P01"/>
    <x v="0"/>
    <x v="7"/>
    <n v="1"/>
    <d v="2026-07-20T00:00:00"/>
    <d v="2026-07-27T00:00:00"/>
    <n v="208.38"/>
    <n v="97.91"/>
    <n v="88.12"/>
    <n v="9.7899999999999991"/>
    <s v="Paid"/>
    <s v=""/>
    <d v="2026-08-28T00:00:00"/>
    <d v="2026-08-28T00:00:00"/>
    <n v="210"/>
    <n v="0.45"/>
    <n v="94.5"/>
    <n v="-3.4099999999999966"/>
    <x v="0"/>
    <x v="5"/>
    <x v="1"/>
  </r>
  <r>
    <s v="CLM100975"/>
    <s v="PT10182"/>
    <s v="P06"/>
    <x v="1"/>
    <x v="1"/>
    <n v="1"/>
    <d v="2026-03-21T00:00:00"/>
    <d v="2026-03-31T00:00:00"/>
    <n v="246.84"/>
    <n v="75.819999999999993"/>
    <n v="68.239999999999995"/>
    <n v="7.58"/>
    <s v="Paid"/>
    <s v=""/>
    <d v="2026-05-09T00:00:00"/>
    <d v="2026-05-09T00:00:00"/>
    <n v="240"/>
    <n v="0.27"/>
    <n v="64.8"/>
    <n v="-11.019999999999996"/>
    <x v="0"/>
    <x v="2"/>
    <x v="2"/>
  </r>
  <r>
    <s v="CLM100976"/>
    <s v="PT10880"/>
    <s v="P07"/>
    <x v="1"/>
    <x v="7"/>
    <n v="1"/>
    <d v="2025-10-14T00:00:00"/>
    <d v="2025-10-15T00:00:00"/>
    <n v="205.04"/>
    <n v="61.05"/>
    <n v="54.94"/>
    <n v="6.11"/>
    <s v="Paid"/>
    <s v=""/>
    <d v="2025-12-19T00:00:00"/>
    <d v="2025-12-19T00:00:00"/>
    <n v="210"/>
    <n v="0.28000000000000003"/>
    <n v="58.8"/>
    <n v="-2.25"/>
    <x v="0"/>
    <x v="3"/>
    <x v="9"/>
  </r>
  <r>
    <s v="CLM100977"/>
    <s v="PT12352"/>
    <s v="P04"/>
    <x v="0"/>
    <x v="0"/>
    <n v="1"/>
    <d v="2025-12-16T00:00:00"/>
    <d v="2026-01-10T00:00:00"/>
    <n v="143.97"/>
    <m/>
    <m/>
    <m/>
    <s v="Denied"/>
    <s v="CO-16"/>
    <d v="2026-01-29T00:00:00"/>
    <m/>
    <n v="145"/>
    <n v="0.36"/>
    <n v="52.2"/>
    <s v=""/>
    <x v="2"/>
    <x v="1"/>
    <x v="6"/>
  </r>
  <r>
    <s v="CLM100978"/>
    <s v="PT11102"/>
    <s v="P05"/>
    <x v="3"/>
    <x v="7"/>
    <n v="1"/>
    <d v="2026-06-28T00:00:00"/>
    <d v="2026-07-02T00:00:00"/>
    <n v="213.76"/>
    <n v="82.28"/>
    <n v="74.05"/>
    <n v="8.23"/>
    <s v="Paid"/>
    <s v=""/>
    <d v="2026-09-10T00:00:00"/>
    <d v="2026-09-10T00:00:00"/>
    <n v="210"/>
    <n v="0.38"/>
    <n v="79.8"/>
    <n v="-2.480000000000004"/>
    <x v="0"/>
    <x v="0"/>
    <x v="11"/>
  </r>
  <r>
    <s v="CLM100979"/>
    <s v="PT11822"/>
    <s v="P02"/>
    <x v="1"/>
    <x v="1"/>
    <n v="1"/>
    <d v="2026-02-02T00:00:00"/>
    <d v="2026-02-09T00:00:00"/>
    <n v="237.53"/>
    <n v="93.04"/>
    <n v="93.04"/>
    <n v="0"/>
    <s v="Paid"/>
    <s v=""/>
    <d v="2026-03-02T00:00:00"/>
    <d v="2026-03-02T00:00:00"/>
    <n v="240"/>
    <n v="0.43"/>
    <n v="103.2"/>
    <n v="10.159999999999997"/>
    <x v="1"/>
    <x v="6"/>
    <x v="0"/>
  </r>
  <r>
    <s v="CLM100980"/>
    <s v="PT11838"/>
    <s v="P02"/>
    <x v="3"/>
    <x v="6"/>
    <n v="1"/>
    <d v="2026-03-30T00:00:00"/>
    <d v="2026-03-31T00:00:00"/>
    <n v="421.52"/>
    <n v="179.31"/>
    <n v="179.31"/>
    <n v="0"/>
    <s v="Paid"/>
    <s v=""/>
    <d v="2026-05-25T00:00:00"/>
    <d v="2026-05-25T00:00:00"/>
    <n v="420"/>
    <n v="0.43"/>
    <n v="180.6"/>
    <n v="1.289999999999992"/>
    <x v="0"/>
    <x v="6"/>
    <x v="2"/>
  </r>
  <r>
    <s v="CLM100981"/>
    <s v="PT10483"/>
    <s v="P04"/>
    <x v="3"/>
    <x v="3"/>
    <n v="10"/>
    <d v="2025-12-04T00:00:00"/>
    <d v="2025-12-07T00:00:00"/>
    <n v="14740.51"/>
    <n v="4709.18"/>
    <n v="4238.26"/>
    <n v="470.92"/>
    <s v="Paid"/>
    <s v=""/>
    <d v="2025-12-24T00:00:00"/>
    <d v="2025-12-24T00:00:00"/>
    <n v="1450"/>
    <n v="0.36"/>
    <n v="5220"/>
    <n v="510.81999999999971"/>
    <x v="1"/>
    <x v="1"/>
    <x v="6"/>
  </r>
  <r>
    <s v="CLM100982"/>
    <s v="PT10063"/>
    <s v="P03"/>
    <x v="1"/>
    <x v="10"/>
    <n v="1"/>
    <d v="2025-12-15T00:00:00"/>
    <d v="2025-12-20T00:00:00"/>
    <n v="1054.79"/>
    <n v="560.39"/>
    <n v="448.31"/>
    <n v="112.08"/>
    <s v="Paid"/>
    <s v=""/>
    <d v="2026-02-14T00:00:00"/>
    <d v="2026-02-14T00:00:00"/>
    <n v="1050"/>
    <n v="0.47"/>
    <n v="493.5"/>
    <n v="-66.889999999999986"/>
    <x v="0"/>
    <x v="4"/>
    <x v="6"/>
  </r>
  <r>
    <s v="CLM100983"/>
    <s v="PT10299"/>
    <s v="P02"/>
    <x v="1"/>
    <x v="10"/>
    <n v="1"/>
    <d v="2026-07-11T00:00:00"/>
    <d v="2026-07-14T00:00:00"/>
    <n v="1063.32"/>
    <m/>
    <m/>
    <m/>
    <s v="Denied"/>
    <s v="CO-11"/>
    <d v="2026-08-20T00:00:00"/>
    <m/>
    <n v="1050"/>
    <n v="0.43"/>
    <n v="451.5"/>
    <s v=""/>
    <x v="2"/>
    <x v="6"/>
    <x v="1"/>
  </r>
  <r>
    <s v="CLM100984"/>
    <s v="PT12493"/>
    <s v="P01"/>
    <x v="2"/>
    <x v="9"/>
    <n v="3"/>
    <d v="2026-09-22T00:00:00"/>
    <d v="2026-09-24T00:00:00"/>
    <n v="171.3"/>
    <m/>
    <m/>
    <m/>
    <s v="Pending"/>
    <s v=""/>
    <m/>
    <m/>
    <n v="58"/>
    <n v="0.45"/>
    <n v="78.3"/>
    <s v=""/>
    <x v="2"/>
    <x v="5"/>
    <x v="8"/>
  </r>
  <r>
    <s v="CLM100985"/>
    <s v="PT13004"/>
    <s v="P01"/>
    <x v="0"/>
    <x v="0"/>
    <n v="1"/>
    <d v="2026-03-31T00:00:00"/>
    <d v="2026-04-10T00:00:00"/>
    <n v="148.91"/>
    <n v="72.03"/>
    <n v="72.03"/>
    <n v="0"/>
    <s v="Paid"/>
    <s v=""/>
    <d v="2026-04-24T00:00:00"/>
    <d v="2026-04-24T00:00:00"/>
    <n v="145"/>
    <n v="0.45"/>
    <n v="65.25"/>
    <n v="-6.7800000000000011"/>
    <x v="0"/>
    <x v="5"/>
    <x v="2"/>
  </r>
  <r>
    <s v="CLM100986"/>
    <s v="PT11553"/>
    <s v="P04"/>
    <x v="1"/>
    <x v="5"/>
    <n v="1"/>
    <d v="2026-06-18T00:00:00"/>
    <d v="2026-06-28T00:00:00"/>
    <n v="4680.13"/>
    <n v="1616.64"/>
    <n v="1293.31"/>
    <n v="323.33"/>
    <s v="Paid"/>
    <s v=""/>
    <d v="2026-07-19T00:00:00"/>
    <d v="2026-07-19T00:00:00"/>
    <n v="4800"/>
    <n v="0.36"/>
    <n v="1728"/>
    <n v="111.3599999999999"/>
    <x v="1"/>
    <x v="1"/>
    <x v="11"/>
  </r>
  <r>
    <s v="CLM100987"/>
    <s v="PT12151"/>
    <s v="P03"/>
    <x v="1"/>
    <x v="7"/>
    <n v="1"/>
    <d v="2026-07-29T00:00:00"/>
    <d v="2026-08-04T00:00:00"/>
    <n v="207.22"/>
    <m/>
    <m/>
    <m/>
    <s v="Pending"/>
    <s v=""/>
    <m/>
    <m/>
    <n v="210"/>
    <n v="0.47"/>
    <n v="98.7"/>
    <s v=""/>
    <x v="2"/>
    <x v="4"/>
    <x v="1"/>
  </r>
  <r>
    <s v="CLM100988"/>
    <s v="PT11763"/>
    <s v="P02"/>
    <x v="0"/>
    <x v="4"/>
    <n v="1"/>
    <d v="2026-04-15T00:00:00"/>
    <d v="2026-04-16T00:00:00"/>
    <n v="37.590000000000003"/>
    <n v="17.64"/>
    <n v="17.64"/>
    <n v="0"/>
    <s v="Paid"/>
    <s v=""/>
    <d v="2026-05-21T00:00:00"/>
    <d v="2026-05-21T00:00:00"/>
    <n v="38"/>
    <n v="0.43"/>
    <n v="16.34"/>
    <n v="-1.3000000000000007"/>
    <x v="0"/>
    <x v="6"/>
    <x v="10"/>
  </r>
  <r>
    <s v="CLM100989"/>
    <s v="PT12482"/>
    <s v="P01"/>
    <x v="0"/>
    <x v="8"/>
    <n v="1"/>
    <d v="2026-02-23T00:00:00"/>
    <d v="2026-02-25T00:00:00"/>
    <n v="254.78"/>
    <n v="104.79"/>
    <n v="94.31"/>
    <n v="10.48"/>
    <s v="Paid"/>
    <s v=""/>
    <d v="2026-04-03T00:00:00"/>
    <d v="2026-04-03T00:00:00"/>
    <n v="260"/>
    <n v="0.45"/>
    <n v="117"/>
    <n v="12.209999999999994"/>
    <x v="1"/>
    <x v="5"/>
    <x v="0"/>
  </r>
  <r>
    <s v="CLM100990"/>
    <s v="PT12211"/>
    <s v="P04"/>
    <x v="3"/>
    <x v="3"/>
    <n v="5"/>
    <d v="2025-12-12T00:00:00"/>
    <d v="2025-12-20T00:00:00"/>
    <n v="7122.48"/>
    <n v="2187.0500000000002"/>
    <n v="2187.0500000000002"/>
    <n v="0"/>
    <s v="Paid"/>
    <s v=""/>
    <d v="2026-01-18T00:00:00"/>
    <d v="2026-01-18T00:00:00"/>
    <n v="1450"/>
    <n v="0.36"/>
    <n v="2610"/>
    <n v="422.94999999999982"/>
    <x v="1"/>
    <x v="1"/>
    <x v="6"/>
  </r>
  <r>
    <s v="CLM100991"/>
    <s v="PT11208"/>
    <s v="P01"/>
    <x v="0"/>
    <x v="7"/>
    <n v="1"/>
    <d v="2025-10-14T00:00:00"/>
    <d v="2025-10-16T00:00:00"/>
    <n v="208.36"/>
    <n v="91.62"/>
    <n v="73.3"/>
    <n v="18.32"/>
    <s v="Paid"/>
    <s v=""/>
    <d v="2025-11-08T00:00:00"/>
    <d v="2025-11-08T00:00:00"/>
    <n v="210"/>
    <n v="0.45"/>
    <n v="94.5"/>
    <n v="2.8799999999999955"/>
    <x v="0"/>
    <x v="5"/>
    <x v="9"/>
  </r>
  <r>
    <s v="CLM100992"/>
    <s v="PT11448"/>
    <s v="P05"/>
    <x v="2"/>
    <x v="0"/>
    <n v="1"/>
    <d v="2025-12-01T00:00:00"/>
    <d v="2025-12-04T00:00:00"/>
    <n v="144.52000000000001"/>
    <n v="63.76"/>
    <n v="63.76"/>
    <n v="0"/>
    <s v="Paid"/>
    <s v=""/>
    <d v="2026-01-27T00:00:00"/>
    <d v="2026-01-27T00:00:00"/>
    <n v="145"/>
    <n v="0.38"/>
    <n v="55.1"/>
    <n v="-8.6599999999999966"/>
    <x v="0"/>
    <x v="0"/>
    <x v="6"/>
  </r>
  <r>
    <s v="CLM100993"/>
    <s v="PT10157"/>
    <s v="P06"/>
    <x v="2"/>
    <x v="0"/>
    <n v="1"/>
    <d v="2025-11-08T00:00:00"/>
    <d v="2025-11-11T00:00:00"/>
    <n v="143.5"/>
    <n v="38.9"/>
    <n v="35.01"/>
    <n v="3.89"/>
    <s v="Paid"/>
    <s v=""/>
    <d v="2025-12-24T00:00:00"/>
    <d v="2025-12-24T00:00:00"/>
    <n v="145"/>
    <n v="0.27"/>
    <n v="39.15"/>
    <n v="0.25"/>
    <x v="0"/>
    <x v="2"/>
    <x v="3"/>
  </r>
  <r>
    <s v="CLM100994"/>
    <s v="PT10560"/>
    <s v="P01"/>
    <x v="0"/>
    <x v="8"/>
    <n v="1"/>
    <d v="2026-07-13T00:00:00"/>
    <d v="2026-07-22T00:00:00"/>
    <n v="262.51"/>
    <m/>
    <m/>
    <m/>
    <s v="Denied"/>
    <s v="CO-4"/>
    <d v="2026-08-06T00:00:00"/>
    <m/>
    <n v="260"/>
    <n v="0.45"/>
    <n v="117"/>
    <s v=""/>
    <x v="2"/>
    <x v="5"/>
    <x v="1"/>
  </r>
  <r>
    <s v="CLM100995"/>
    <s v="PT10013"/>
    <s v="P05"/>
    <x v="2"/>
    <x v="2"/>
    <n v="2"/>
    <d v="2026-02-13T00:00:00"/>
    <d v="2026-02-20T00:00:00"/>
    <n v="121.41"/>
    <n v="42.08"/>
    <n v="42.08"/>
    <n v="0"/>
    <s v="Paid"/>
    <s v=""/>
    <d v="2026-05-10T00:00:00"/>
    <d v="2026-05-10T00:00:00"/>
    <n v="62"/>
    <n v="0.38"/>
    <n v="47.12"/>
    <n v="5.0399999999999991"/>
    <x v="1"/>
    <x v="0"/>
    <x v="0"/>
  </r>
  <r>
    <s v="CLM100996"/>
    <s v="PT12612"/>
    <s v="P04"/>
    <x v="0"/>
    <x v="4"/>
    <n v="1"/>
    <d v="2026-01-15T00:00:00"/>
    <d v="2026-01-16T00:00:00"/>
    <n v="38.479999999999997"/>
    <n v="14.34"/>
    <n v="14.34"/>
    <n v="0"/>
    <s v="Paid"/>
    <s v=""/>
    <d v="2026-01-24T00:00:00"/>
    <d v="2026-01-24T00:00:00"/>
    <n v="38"/>
    <n v="0.36"/>
    <n v="13.68"/>
    <n v="-0.66000000000000014"/>
    <x v="0"/>
    <x v="1"/>
    <x v="5"/>
  </r>
  <r>
    <s v="CLM100997"/>
    <s v="PT10395"/>
    <s v="P07"/>
    <x v="0"/>
    <x v="7"/>
    <n v="1"/>
    <d v="2026-01-27T00:00:00"/>
    <d v="2026-02-01T00:00:00"/>
    <n v="214.73"/>
    <n v="62.33"/>
    <n v="56.1"/>
    <n v="6.23"/>
    <s v="Paid"/>
    <s v=""/>
    <d v="2026-03-15T00:00:00"/>
    <d v="2026-03-15T00:00:00"/>
    <n v="210"/>
    <n v="0.28000000000000003"/>
    <n v="58.8"/>
    <n v="-3.5300000000000011"/>
    <x v="0"/>
    <x v="3"/>
    <x v="5"/>
  </r>
  <r>
    <s v="CLM100998"/>
    <s v="PT11306"/>
    <s v="P05"/>
    <x v="1"/>
    <x v="5"/>
    <n v="1"/>
    <d v="2026-05-03T00:00:00"/>
    <d v="2026-05-05T00:00:00"/>
    <n v="4935.18"/>
    <n v="1662.08"/>
    <n v="1329.66"/>
    <n v="332.42"/>
    <s v="Paid"/>
    <s v=""/>
    <d v="2026-06-14T00:00:00"/>
    <d v="2026-06-14T00:00:00"/>
    <n v="4800"/>
    <n v="0.38"/>
    <n v="1824"/>
    <n v="161.92000000000007"/>
    <x v="1"/>
    <x v="0"/>
    <x v="7"/>
  </r>
  <r>
    <s v="CLM101000"/>
    <s v="PT12764"/>
    <s v="P04"/>
    <x v="2"/>
    <x v="9"/>
    <n v="1"/>
    <d v="2026-09-17T00:00:00"/>
    <d v="2026-09-19T00:00:00"/>
    <n v="56.36"/>
    <m/>
    <m/>
    <m/>
    <s v="Pending"/>
    <s v=""/>
    <m/>
    <m/>
    <n v="58"/>
    <n v="0.36"/>
    <n v="20.88"/>
    <s v=""/>
    <x v="2"/>
    <x v="1"/>
    <x v="8"/>
  </r>
  <r>
    <s v="CLM101001"/>
    <s v="PT12606"/>
    <s v="P06"/>
    <x v="1"/>
    <x v="10"/>
    <n v="1"/>
    <d v="2026-05-06T00:00:00"/>
    <d v="2026-05-16T00:00:00"/>
    <n v="1043.6199999999999"/>
    <n v="301.77999999999997"/>
    <n v="271.60000000000002"/>
    <n v="30.18"/>
    <s v="Paid"/>
    <s v=""/>
    <d v="2026-06-20T00:00:00"/>
    <d v="2026-06-20T00:00:00"/>
    <n v="1050"/>
    <n v="0.27"/>
    <n v="283.5"/>
    <n v="-18.279999999999973"/>
    <x v="0"/>
    <x v="2"/>
    <x v="7"/>
  </r>
  <r>
    <s v="CLM101002"/>
    <s v="PT12958"/>
    <s v="P03"/>
    <x v="2"/>
    <x v="9"/>
    <n v="3"/>
    <d v="2026-01-22T00:00:00"/>
    <d v="2026-01-26T00:00:00"/>
    <n v="177.92"/>
    <m/>
    <m/>
    <m/>
    <s v="Denied"/>
    <s v="CO-50"/>
    <d v="2026-03-23T00:00:00"/>
    <m/>
    <n v="58"/>
    <n v="0.47"/>
    <n v="81.78"/>
    <s v=""/>
    <x v="2"/>
    <x v="4"/>
    <x v="5"/>
  </r>
  <r>
    <s v="CLM101003"/>
    <s v="PT13433"/>
    <s v="P05"/>
    <x v="1"/>
    <x v="11"/>
    <n v="1"/>
    <d v="2026-07-11T00:00:00"/>
    <d v="2026-07-12T00:00:00"/>
    <n v="1119.8800000000001"/>
    <m/>
    <m/>
    <m/>
    <s v="Denied"/>
    <s v="CO-50"/>
    <d v="2026-09-16T00:00:00"/>
    <m/>
    <n v="1150"/>
    <n v="0.38"/>
    <n v="437"/>
    <s v=""/>
    <x v="2"/>
    <x v="0"/>
    <x v="1"/>
  </r>
  <r>
    <s v="CLM101004"/>
    <s v="PT12054"/>
    <s v="P07"/>
    <x v="1"/>
    <x v="7"/>
    <n v="1"/>
    <d v="2026-03-19T00:00:00"/>
    <d v="2026-03-23T00:00:00"/>
    <n v="208.91"/>
    <m/>
    <m/>
    <m/>
    <s v="Denied"/>
    <s v="CO-16"/>
    <d v="2026-05-23T00:00:00"/>
    <m/>
    <n v="210"/>
    <n v="0.28000000000000003"/>
    <n v="58.8"/>
    <s v=""/>
    <x v="2"/>
    <x v="3"/>
    <x v="2"/>
  </r>
  <r>
    <s v="CLM101005"/>
    <s v="PT13351"/>
    <s v="P05"/>
    <x v="1"/>
    <x v="5"/>
    <n v="1"/>
    <d v="2025-10-18T00:00:00"/>
    <d v="2025-10-19T00:00:00"/>
    <n v="4734.47"/>
    <n v="1898.42"/>
    <n v="1898.42"/>
    <n v="0"/>
    <s v="Paid"/>
    <s v=""/>
    <d v="2025-11-20T00:00:00"/>
    <d v="2025-11-20T00:00:00"/>
    <n v="4800"/>
    <n v="0.38"/>
    <n v="1824"/>
    <n v="-74.420000000000073"/>
    <x v="0"/>
    <x v="0"/>
    <x v="9"/>
  </r>
  <r>
    <s v="CLM101006"/>
    <s v="PT10391"/>
    <s v="P07"/>
    <x v="3"/>
    <x v="6"/>
    <n v="1"/>
    <d v="2025-11-09T00:00:00"/>
    <d v="2025-11-15T00:00:00"/>
    <n v="409.26"/>
    <n v="111.18"/>
    <n v="111.18"/>
    <n v="0"/>
    <s v="Paid"/>
    <s v=""/>
    <d v="2026-02-18T00:00:00"/>
    <d v="2026-02-18T00:00:00"/>
    <n v="420"/>
    <n v="0.28000000000000003"/>
    <n v="117.6"/>
    <n v="6.4199999999999875"/>
    <x v="1"/>
    <x v="3"/>
    <x v="3"/>
  </r>
  <r>
    <s v="CLM101007"/>
    <s v="PT11122"/>
    <s v="P01"/>
    <x v="3"/>
    <x v="6"/>
    <n v="1"/>
    <d v="2026-08-07T00:00:00"/>
    <d v="2026-08-14T00:00:00"/>
    <n v="429.05"/>
    <n v="207.7"/>
    <n v="186.93"/>
    <n v="20.77"/>
    <s v="Paid"/>
    <s v=""/>
    <d v="2026-09-12T00:00:00"/>
    <d v="2026-09-12T00:00:00"/>
    <n v="420"/>
    <n v="0.45"/>
    <n v="189"/>
    <n v="-18.699999999999989"/>
    <x v="0"/>
    <x v="5"/>
    <x v="4"/>
  </r>
  <r>
    <s v="CLM101008"/>
    <s v="PT12878"/>
    <s v="P02"/>
    <x v="0"/>
    <x v="0"/>
    <n v="1"/>
    <d v="2026-09-01T00:00:00"/>
    <d v="2026-09-03T00:00:00"/>
    <n v="145.66"/>
    <n v="56.89"/>
    <n v="51.2"/>
    <n v="5.69"/>
    <s v="Paid"/>
    <s v=""/>
    <d v="2026-09-28T00:00:00"/>
    <d v="2026-09-28T00:00:00"/>
    <n v="145"/>
    <n v="0.43"/>
    <n v="62.35"/>
    <n v="5.4600000000000009"/>
    <x v="1"/>
    <x v="6"/>
    <x v="8"/>
  </r>
  <r>
    <s v="CLM101009"/>
    <s v="PT10917"/>
    <s v="P02"/>
    <x v="0"/>
    <x v="7"/>
    <n v="1"/>
    <d v="2026-06-12T00:00:00"/>
    <d v="2026-06-25T00:00:00"/>
    <n v="212.87"/>
    <n v="97.08"/>
    <n v="77.66"/>
    <n v="19.420000000000002"/>
    <s v="Paid"/>
    <s v=""/>
    <d v="2026-07-31T00:00:00"/>
    <d v="2026-07-31T00:00:00"/>
    <n v="210"/>
    <n v="0.43"/>
    <n v="90.3"/>
    <n v="-6.7800000000000011"/>
    <x v="0"/>
    <x v="6"/>
    <x v="11"/>
  </r>
  <r>
    <s v="CLM101010"/>
    <s v="PT12297"/>
    <s v="P02"/>
    <x v="0"/>
    <x v="0"/>
    <n v="1"/>
    <d v="2026-01-27T00:00:00"/>
    <d v="2026-01-30T00:00:00"/>
    <n v="144.54"/>
    <m/>
    <m/>
    <m/>
    <s v="Denied"/>
    <s v="CO-16"/>
    <d v="2026-02-28T00:00:00"/>
    <m/>
    <n v="145"/>
    <n v="0.43"/>
    <n v="62.35"/>
    <s v=""/>
    <x v="2"/>
    <x v="6"/>
    <x v="5"/>
  </r>
  <r>
    <s v="CLM101011"/>
    <s v="PT13417"/>
    <s v="P03"/>
    <x v="0"/>
    <x v="4"/>
    <n v="1"/>
    <d v="2026-07-18T00:00:00"/>
    <d v="2026-07-19T00:00:00"/>
    <n v="38.590000000000003"/>
    <n v="17.73"/>
    <n v="15.96"/>
    <n v="1.77"/>
    <s v="Paid"/>
    <s v=""/>
    <d v="2026-08-28T00:00:00"/>
    <d v="2026-08-28T00:00:00"/>
    <n v="38"/>
    <n v="0.47"/>
    <n v="17.86"/>
    <n v="0.12999999999999901"/>
    <x v="0"/>
    <x v="4"/>
    <x v="1"/>
  </r>
  <r>
    <s v="CLM101012"/>
    <s v="PT12670"/>
    <s v="P05"/>
    <x v="1"/>
    <x v="11"/>
    <n v="1"/>
    <d v="2026-08-03T00:00:00"/>
    <d v="2026-08-04T00:00:00"/>
    <n v="1143.55"/>
    <n v="472.11"/>
    <n v="424.9"/>
    <n v="47.21"/>
    <s v="Paid"/>
    <s v=""/>
    <d v="2026-09-30T00:00:00"/>
    <d v="2026-09-30T00:00:00"/>
    <n v="1150"/>
    <n v="0.38"/>
    <n v="437"/>
    <n v="-35.110000000000014"/>
    <x v="0"/>
    <x v="0"/>
    <x v="4"/>
  </r>
  <r>
    <s v="CLM101013"/>
    <s v="PT12864"/>
    <s v="P05"/>
    <x v="1"/>
    <x v="10"/>
    <n v="1"/>
    <d v="2026-06-21T00:00:00"/>
    <d v="2026-06-27T00:00:00"/>
    <n v="1053.45"/>
    <n v="455.75"/>
    <n v="364.6"/>
    <n v="91.15"/>
    <s v="Paid"/>
    <s v=""/>
    <d v="2026-07-30T00:00:00"/>
    <d v="2026-07-30T00:00:00"/>
    <n v="1050"/>
    <n v="0.38"/>
    <n v="399"/>
    <n v="-56.75"/>
    <x v="0"/>
    <x v="0"/>
    <x v="11"/>
  </r>
  <r>
    <s v="CLM101014"/>
    <s v="PT12564"/>
    <s v="P05"/>
    <x v="1"/>
    <x v="7"/>
    <n v="1"/>
    <d v="2025-12-22T00:00:00"/>
    <d v="2025-12-23T00:00:00"/>
    <n v="210.25"/>
    <m/>
    <m/>
    <m/>
    <s v="Denied"/>
    <s v="CO-18"/>
    <d v="2026-02-26T00:00:00"/>
    <m/>
    <n v="210"/>
    <n v="0.38"/>
    <n v="79.8"/>
    <s v=""/>
    <x v="2"/>
    <x v="0"/>
    <x v="6"/>
  </r>
  <r>
    <s v="CLM101015"/>
    <s v="PT12140"/>
    <s v="P02"/>
    <x v="0"/>
    <x v="4"/>
    <n v="1"/>
    <d v="2026-03-01T00:00:00"/>
    <d v="2026-03-23T00:00:00"/>
    <n v="37.130000000000003"/>
    <n v="17.75"/>
    <n v="15.97"/>
    <n v="1.78"/>
    <s v="Paid"/>
    <s v=""/>
    <d v="2026-04-16T00:00:00"/>
    <d v="2026-04-16T00:00:00"/>
    <n v="38"/>
    <n v="0.43"/>
    <n v="16.34"/>
    <n v="-1.4100000000000001"/>
    <x v="0"/>
    <x v="6"/>
    <x v="2"/>
  </r>
  <r>
    <s v="CLM101016"/>
    <s v="PT11933"/>
    <s v="P04"/>
    <x v="1"/>
    <x v="11"/>
    <n v="1"/>
    <d v="2025-12-24T00:00:00"/>
    <d v="2025-12-27T00:00:00"/>
    <n v="1125.26"/>
    <n v="419.46"/>
    <n v="377.51"/>
    <n v="41.95"/>
    <s v="Paid"/>
    <s v=""/>
    <d v="2026-01-12T00:00:00"/>
    <d v="2026-01-12T00:00:00"/>
    <n v="1150"/>
    <n v="0.36"/>
    <n v="414"/>
    <n v="-5.4599999999999795"/>
    <x v="0"/>
    <x v="1"/>
    <x v="6"/>
  </r>
  <r>
    <s v="CLM101017"/>
    <s v="PT10615"/>
    <s v="P07"/>
    <x v="0"/>
    <x v="8"/>
    <n v="1"/>
    <d v="2025-12-09T00:00:00"/>
    <d v="2025-12-15T00:00:00"/>
    <n v="254.76"/>
    <n v="67.05"/>
    <n v="67.05"/>
    <n v="0"/>
    <s v="Paid"/>
    <s v=""/>
    <d v="2026-01-23T00:00:00"/>
    <d v="2026-01-23T00:00:00"/>
    <n v="260"/>
    <n v="0.28000000000000003"/>
    <n v="72.8"/>
    <n v="5.75"/>
    <x v="1"/>
    <x v="3"/>
    <x v="6"/>
  </r>
  <r>
    <s v="CLM101018"/>
    <s v="PT11435"/>
    <s v="P02"/>
    <x v="0"/>
    <x v="0"/>
    <n v="1"/>
    <d v="2026-01-05T00:00:00"/>
    <d v="2026-01-06T00:00:00"/>
    <n v="142.38"/>
    <n v="53.19"/>
    <n v="53.19"/>
    <n v="0"/>
    <s v="Paid"/>
    <s v=""/>
    <d v="2026-01-28T00:00:00"/>
    <d v="2026-01-28T00:00:00"/>
    <n v="145"/>
    <n v="0.43"/>
    <n v="62.35"/>
    <n v="9.1600000000000037"/>
    <x v="1"/>
    <x v="6"/>
    <x v="5"/>
  </r>
  <r>
    <s v="CLM101019"/>
    <s v="PT11504"/>
    <s v="P02"/>
    <x v="0"/>
    <x v="7"/>
    <n v="1"/>
    <d v="2025-10-08T00:00:00"/>
    <d v="2025-10-10T00:00:00"/>
    <n v="215.39"/>
    <n v="102.62"/>
    <n v="92.36"/>
    <n v="10.26"/>
    <s v="Paid"/>
    <s v=""/>
    <d v="2025-11-01T00:00:00"/>
    <d v="2025-11-01T00:00:00"/>
    <n v="210"/>
    <n v="0.43"/>
    <n v="90.3"/>
    <n v="-12.320000000000007"/>
    <x v="0"/>
    <x v="6"/>
    <x v="9"/>
  </r>
  <r>
    <s v="CLM101020"/>
    <s v="PT10419"/>
    <s v="P07"/>
    <x v="0"/>
    <x v="4"/>
    <n v="1"/>
    <d v="2026-07-15T00:00:00"/>
    <d v="2026-07-20T00:00:00"/>
    <n v="38.090000000000003"/>
    <m/>
    <m/>
    <m/>
    <s v="Denied"/>
    <s v="CO-16"/>
    <d v="2026-09-16T00:00:00"/>
    <m/>
    <n v="38"/>
    <n v="0.28000000000000003"/>
    <n v="10.64"/>
    <s v=""/>
    <x v="2"/>
    <x v="3"/>
    <x v="1"/>
  </r>
  <r>
    <s v="CLM101021"/>
    <s v="PT10857"/>
    <s v="P02"/>
    <x v="0"/>
    <x v="4"/>
    <n v="1"/>
    <d v="2026-07-31T00:00:00"/>
    <d v="2026-08-14T00:00:00"/>
    <n v="38.24"/>
    <n v="16.940000000000001"/>
    <n v="13.55"/>
    <n v="3.39"/>
    <s v="Paid"/>
    <s v=""/>
    <d v="2026-09-22T00:00:00"/>
    <d v="2026-09-22T00:00:00"/>
    <n v="38"/>
    <n v="0.43"/>
    <n v="16.34"/>
    <n v="-0.60000000000000142"/>
    <x v="0"/>
    <x v="6"/>
    <x v="1"/>
  </r>
  <r>
    <s v="CLM101022"/>
    <s v="PT10213"/>
    <s v="P01"/>
    <x v="1"/>
    <x v="5"/>
    <n v="1"/>
    <d v="2026-01-19T00:00:00"/>
    <d v="2026-01-26T00:00:00"/>
    <n v="4682.3100000000004"/>
    <m/>
    <m/>
    <m/>
    <s v="Denied"/>
    <s v="CO-197"/>
    <d v="2026-02-15T00:00:00"/>
    <m/>
    <n v="4800"/>
    <n v="0.45"/>
    <n v="2160"/>
    <s v=""/>
    <x v="2"/>
    <x v="5"/>
    <x v="5"/>
  </r>
  <r>
    <s v="CLM101023"/>
    <s v="PT13435"/>
    <s v="P05"/>
    <x v="1"/>
    <x v="1"/>
    <n v="1"/>
    <d v="2026-02-01T00:00:00"/>
    <d v="2026-02-03T00:00:00"/>
    <n v="240.87"/>
    <n v="91.4"/>
    <n v="82.26"/>
    <n v="9.14"/>
    <s v="Paid"/>
    <s v=""/>
    <d v="2026-04-25T00:00:00"/>
    <d v="2026-04-25T00:00:00"/>
    <n v="240"/>
    <n v="0.38"/>
    <n v="91.2"/>
    <n v="-0.20000000000000284"/>
    <x v="0"/>
    <x v="0"/>
    <x v="0"/>
  </r>
  <r>
    <s v="CLM101024"/>
    <s v="PT12847"/>
    <s v="P07"/>
    <x v="0"/>
    <x v="0"/>
    <n v="1"/>
    <d v="2026-01-18T00:00:00"/>
    <d v="2026-01-30T00:00:00"/>
    <n v="148.96"/>
    <n v="44.29"/>
    <n v="35.43"/>
    <n v="8.86"/>
    <s v="Paid"/>
    <s v=""/>
    <d v="2026-04-13T00:00:00"/>
    <d v="2026-04-13T00:00:00"/>
    <n v="145"/>
    <n v="0.28000000000000003"/>
    <n v="40.6"/>
    <n v="-3.6899999999999977"/>
    <x v="0"/>
    <x v="3"/>
    <x v="5"/>
  </r>
  <r>
    <s v="CLM101025"/>
    <s v="PT12983"/>
    <s v="P01"/>
    <x v="3"/>
    <x v="7"/>
    <n v="1"/>
    <d v="2026-05-11T00:00:00"/>
    <d v="2026-05-12T00:00:00"/>
    <n v="211.92"/>
    <n v="105.91"/>
    <n v="95.32"/>
    <n v="10.59"/>
    <s v="Paid"/>
    <s v=""/>
    <d v="2026-05-30T00:00:00"/>
    <d v="2026-05-30T00:00:00"/>
    <n v="210"/>
    <n v="0.45"/>
    <n v="94.5"/>
    <n v="-11.409999999999997"/>
    <x v="0"/>
    <x v="5"/>
    <x v="7"/>
  </r>
  <r>
    <s v="CLM101026"/>
    <s v="PT10385"/>
    <s v="P02"/>
    <x v="0"/>
    <x v="7"/>
    <n v="1"/>
    <d v="2025-12-31T00:00:00"/>
    <d v="2026-01-22T00:00:00"/>
    <n v="215.46"/>
    <n v="88.13"/>
    <n v="79.319999999999993"/>
    <n v="8.81"/>
    <s v="Paid"/>
    <s v=""/>
    <d v="2026-02-27T00:00:00"/>
    <d v="2026-02-27T00:00:00"/>
    <n v="210"/>
    <n v="0.43"/>
    <n v="90.3"/>
    <n v="2.1700000000000017"/>
    <x v="0"/>
    <x v="6"/>
    <x v="6"/>
  </r>
  <r>
    <s v="CLM101027"/>
    <s v="PT11123"/>
    <s v="P03"/>
    <x v="2"/>
    <x v="9"/>
    <n v="3"/>
    <d v="2025-10-07T00:00:00"/>
    <d v="2025-10-12T00:00:00"/>
    <n v="171.63"/>
    <n v="93.6"/>
    <n v="84.24"/>
    <n v="9.36"/>
    <s v="Paid"/>
    <s v=""/>
    <d v="2025-12-12T00:00:00"/>
    <d v="2025-12-12T00:00:00"/>
    <n v="58"/>
    <n v="0.47"/>
    <n v="81.78"/>
    <n v="-11.819999999999993"/>
    <x v="0"/>
    <x v="4"/>
    <x v="9"/>
  </r>
  <r>
    <s v="CLM101028"/>
    <s v="PT10156"/>
    <s v="P07"/>
    <x v="0"/>
    <x v="0"/>
    <n v="1"/>
    <d v="2026-05-30T00:00:00"/>
    <d v="2026-06-04T00:00:00"/>
    <n v="149.33000000000001"/>
    <n v="41.32"/>
    <n v="41.32"/>
    <n v="0"/>
    <s v="Paid"/>
    <s v=""/>
    <d v="2026-08-25T00:00:00"/>
    <d v="2026-08-25T00:00:00"/>
    <n v="145"/>
    <n v="0.28000000000000003"/>
    <n v="40.6"/>
    <n v="-0.71999999999999886"/>
    <x v="0"/>
    <x v="3"/>
    <x v="7"/>
  </r>
  <r>
    <s v="CLM101029"/>
    <s v="PT11816"/>
    <s v="P05"/>
    <x v="0"/>
    <x v="7"/>
    <n v="1"/>
    <d v="2025-12-30T00:00:00"/>
    <d v="2025-12-31T00:00:00"/>
    <n v="214.67"/>
    <n v="90.95"/>
    <n v="90.95"/>
    <n v="0"/>
    <s v="Paid"/>
    <s v=""/>
    <d v="2026-02-02T00:00:00"/>
    <d v="2026-02-02T00:00:00"/>
    <n v="210"/>
    <n v="0.38"/>
    <n v="79.8"/>
    <n v="-11.150000000000006"/>
    <x v="0"/>
    <x v="0"/>
    <x v="6"/>
  </r>
  <r>
    <s v="CLM101030"/>
    <s v="PT12905"/>
    <s v="P02"/>
    <x v="0"/>
    <x v="0"/>
    <n v="1"/>
    <d v="2026-07-06T00:00:00"/>
    <d v="2026-07-14T00:00:00"/>
    <n v="143.06"/>
    <n v="65.680000000000007"/>
    <n v="59.11"/>
    <n v="6.57"/>
    <s v="Paid"/>
    <s v=""/>
    <d v="2026-08-07T00:00:00"/>
    <d v="2026-08-07T00:00:00"/>
    <n v="145"/>
    <n v="0.43"/>
    <n v="62.35"/>
    <n v="-3.3300000000000054"/>
    <x v="0"/>
    <x v="6"/>
    <x v="1"/>
  </r>
  <r>
    <s v="CLM101031"/>
    <s v="PT10266"/>
    <s v="P05"/>
    <x v="1"/>
    <x v="1"/>
    <n v="1"/>
    <d v="2026-04-06T00:00:00"/>
    <d v="2026-04-18T00:00:00"/>
    <n v="240.24"/>
    <n v="101.55"/>
    <n v="101.55"/>
    <n v="0"/>
    <s v="Paid"/>
    <s v=""/>
    <d v="2026-06-29T00:00:00"/>
    <d v="2026-06-29T00:00:00"/>
    <n v="240"/>
    <n v="0.38"/>
    <n v="91.2"/>
    <n v="-10.349999999999994"/>
    <x v="0"/>
    <x v="0"/>
    <x v="10"/>
  </r>
  <r>
    <s v="CLM101032"/>
    <s v="PT13431"/>
    <s v="P03"/>
    <x v="1"/>
    <x v="5"/>
    <n v="1"/>
    <d v="2026-02-14T00:00:00"/>
    <d v="2026-02-17T00:00:00"/>
    <n v="4680.18"/>
    <m/>
    <m/>
    <m/>
    <s v="Denied"/>
    <s v="CO-197"/>
    <d v="2026-04-13T00:00:00"/>
    <m/>
    <n v="4800"/>
    <n v="0.47"/>
    <n v="2256"/>
    <s v=""/>
    <x v="2"/>
    <x v="4"/>
    <x v="0"/>
  </r>
  <r>
    <s v="CLM101033"/>
    <s v="PT10370"/>
    <s v="P02"/>
    <x v="1"/>
    <x v="1"/>
    <n v="1"/>
    <d v="2026-03-24T00:00:00"/>
    <d v="2026-04-01T00:00:00"/>
    <n v="239.51"/>
    <m/>
    <m/>
    <m/>
    <s v="Denied"/>
    <s v="CO-50"/>
    <d v="2026-05-17T00:00:00"/>
    <m/>
    <n v="240"/>
    <n v="0.43"/>
    <n v="103.2"/>
    <s v=""/>
    <x v="2"/>
    <x v="6"/>
    <x v="2"/>
  </r>
  <r>
    <s v="CLM101034"/>
    <s v="PT13061"/>
    <s v="P06"/>
    <x v="1"/>
    <x v="7"/>
    <n v="1"/>
    <d v="2026-01-20T00:00:00"/>
    <d v="2026-01-23T00:00:00"/>
    <n v="211.74"/>
    <n v="65.05"/>
    <n v="65.05"/>
    <n v="0"/>
    <s v="Paid"/>
    <s v=""/>
    <d v="2026-02-25T00:00:00"/>
    <d v="2026-02-25T00:00:00"/>
    <n v="210"/>
    <n v="0.27"/>
    <n v="56.7"/>
    <n v="-8.3499999999999943"/>
    <x v="0"/>
    <x v="2"/>
    <x v="5"/>
  </r>
  <r>
    <s v="CLM101035"/>
    <s v="PT11117"/>
    <s v="P02"/>
    <x v="3"/>
    <x v="3"/>
    <n v="20"/>
    <d v="2026-04-13T00:00:00"/>
    <d v="2026-04-14T00:00:00"/>
    <n v="28439.73"/>
    <n v="11121.43"/>
    <n v="11121.43"/>
    <n v="0"/>
    <s v="Paid"/>
    <s v=""/>
    <d v="2026-05-29T00:00:00"/>
    <d v="2026-05-29T00:00:00"/>
    <n v="1450"/>
    <n v="0.43"/>
    <n v="12470"/>
    <n v="1348.5699999999997"/>
    <x v="1"/>
    <x v="6"/>
    <x v="10"/>
  </r>
  <r>
    <s v="CLM101036"/>
    <s v="PT12814"/>
    <s v="P08"/>
    <x v="2"/>
    <x v="2"/>
    <n v="4"/>
    <d v="2026-02-10T00:00:00"/>
    <d v="2026-02-11T00:00:00"/>
    <n v="247.1"/>
    <n v="247.1"/>
    <n v="247.1"/>
    <n v="0"/>
    <s v="Paid"/>
    <s v=""/>
    <d v="2026-04-30T00:00:00"/>
    <d v="2026-04-30T00:00:00"/>
    <n v="62"/>
    <n v="1"/>
    <n v="248"/>
    <n v="0.90000000000000568"/>
    <x v="0"/>
    <x v="7"/>
    <x v="0"/>
  </r>
  <r>
    <s v="CLM101037"/>
    <s v="PT10849"/>
    <s v="P07"/>
    <x v="2"/>
    <x v="2"/>
    <n v="2"/>
    <d v="2026-07-27T00:00:00"/>
    <d v="2026-07-31T00:00:00"/>
    <n v="121.44"/>
    <n v="35.42"/>
    <n v="31.88"/>
    <n v="3.54"/>
    <s v="Paid"/>
    <s v=""/>
    <d v="2026-09-07T00:00:00"/>
    <d v="2026-09-07T00:00:00"/>
    <n v="62"/>
    <n v="0.28000000000000003"/>
    <n v="34.72"/>
    <n v="-0.70000000000000284"/>
    <x v="0"/>
    <x v="3"/>
    <x v="1"/>
  </r>
  <r>
    <s v="CLM101038"/>
    <s v="PT12403"/>
    <s v="P01"/>
    <x v="0"/>
    <x v="8"/>
    <n v="1"/>
    <d v="2026-01-16T00:00:00"/>
    <d v="2026-01-19T00:00:00"/>
    <n v="256.23"/>
    <m/>
    <m/>
    <m/>
    <s v="Denied"/>
    <s v="CO-16"/>
    <d v="2026-02-17T00:00:00"/>
    <m/>
    <n v="260"/>
    <n v="0.45"/>
    <n v="117"/>
    <s v=""/>
    <x v="2"/>
    <x v="5"/>
    <x v="5"/>
  </r>
  <r>
    <s v="CLM101039"/>
    <s v="PT11466"/>
    <s v="P04"/>
    <x v="1"/>
    <x v="8"/>
    <n v="1"/>
    <d v="2025-10-05T00:00:00"/>
    <d v="2025-10-08T00:00:00"/>
    <n v="254.68"/>
    <n v="103.18"/>
    <n v="103.18"/>
    <n v="0"/>
    <s v="Paid"/>
    <s v=""/>
    <d v="2025-10-28T00:00:00"/>
    <d v="2025-10-28T00:00:00"/>
    <n v="260"/>
    <n v="0.36"/>
    <n v="93.6"/>
    <n v="-9.5800000000000125"/>
    <x v="0"/>
    <x v="1"/>
    <x v="9"/>
  </r>
  <r>
    <s v="CLM101040"/>
    <s v="PT11034"/>
    <s v="P04"/>
    <x v="1"/>
    <x v="10"/>
    <n v="1"/>
    <d v="2025-10-12T00:00:00"/>
    <d v="2025-10-16T00:00:00"/>
    <n v="1046.1600000000001"/>
    <n v="399.41"/>
    <n v="399.41"/>
    <n v="0"/>
    <s v="Paid"/>
    <s v=""/>
    <d v="2025-11-02T00:00:00"/>
    <d v="2025-11-02T00:00:00"/>
    <n v="1050"/>
    <n v="0.36"/>
    <n v="378"/>
    <n v="-21.410000000000025"/>
    <x v="0"/>
    <x v="1"/>
    <x v="9"/>
  </r>
  <r>
    <s v="CLM101041"/>
    <s v="PT12076"/>
    <s v="P02"/>
    <x v="3"/>
    <x v="7"/>
    <n v="1"/>
    <d v="2026-09-13T00:00:00"/>
    <d v="2026-09-14T00:00:00"/>
    <n v="208.75"/>
    <m/>
    <m/>
    <m/>
    <s v="Pending"/>
    <s v=""/>
    <m/>
    <m/>
    <n v="210"/>
    <n v="0.43"/>
    <n v="90.3"/>
    <s v=""/>
    <x v="2"/>
    <x v="6"/>
    <x v="8"/>
  </r>
  <r>
    <s v="CLM101042"/>
    <s v="PT12146"/>
    <s v="P05"/>
    <x v="1"/>
    <x v="10"/>
    <n v="1"/>
    <d v="2026-07-23T00:00:00"/>
    <d v="2026-07-24T00:00:00"/>
    <n v="1043.75"/>
    <m/>
    <m/>
    <m/>
    <s v="Pending"/>
    <s v=""/>
    <m/>
    <m/>
    <n v="1050"/>
    <n v="0.38"/>
    <n v="399"/>
    <s v=""/>
    <x v="2"/>
    <x v="0"/>
    <x v="1"/>
  </r>
  <r>
    <s v="CLM101043"/>
    <s v="PT10579"/>
    <s v="P05"/>
    <x v="1"/>
    <x v="1"/>
    <n v="1"/>
    <d v="2025-12-06T00:00:00"/>
    <d v="2025-12-13T00:00:00"/>
    <n v="242.35"/>
    <m/>
    <m/>
    <m/>
    <s v="Denied"/>
    <s v="CO-16"/>
    <d v="2026-01-07T00:00:00"/>
    <m/>
    <n v="240"/>
    <n v="0.38"/>
    <n v="91.2"/>
    <s v=""/>
    <x v="2"/>
    <x v="0"/>
    <x v="6"/>
  </r>
  <r>
    <s v="CLM101044"/>
    <s v="PT10369"/>
    <s v="P03"/>
    <x v="0"/>
    <x v="7"/>
    <n v="1"/>
    <d v="2026-09-03T00:00:00"/>
    <d v="2026-09-12T00:00:00"/>
    <n v="205.56"/>
    <m/>
    <m/>
    <m/>
    <s v="Pending"/>
    <s v=""/>
    <m/>
    <m/>
    <n v="210"/>
    <n v="0.47"/>
    <n v="98.7"/>
    <s v=""/>
    <x v="2"/>
    <x v="4"/>
    <x v="8"/>
  </r>
  <r>
    <s v="CLM101045"/>
    <s v="PT11934"/>
    <s v="P05"/>
    <x v="3"/>
    <x v="3"/>
    <n v="5"/>
    <d v="2026-04-10T00:00:00"/>
    <d v="2026-04-12T00:00:00"/>
    <n v="7240.14"/>
    <n v="2930.28"/>
    <n v="2930.28"/>
    <n v="0"/>
    <s v="Paid"/>
    <s v=""/>
    <d v="2026-06-13T00:00:00"/>
    <d v="2026-06-13T00:00:00"/>
    <n v="1450"/>
    <n v="0.38"/>
    <n v="2755"/>
    <n v="-175.2800000000002"/>
    <x v="0"/>
    <x v="0"/>
    <x v="10"/>
  </r>
  <r>
    <s v="CLM101046"/>
    <s v="PT12445"/>
    <s v="P05"/>
    <x v="3"/>
    <x v="6"/>
    <n v="1"/>
    <d v="2025-11-19T00:00:00"/>
    <d v="2025-11-21T00:00:00"/>
    <n v="417.17"/>
    <n v="154.6"/>
    <n v="123.68"/>
    <n v="30.92"/>
    <s v="Paid"/>
    <s v=""/>
    <d v="2026-01-06T00:00:00"/>
    <d v="2026-01-06T00:00:00"/>
    <n v="420"/>
    <n v="0.38"/>
    <n v="159.6"/>
    <n v="5"/>
    <x v="0"/>
    <x v="0"/>
    <x v="3"/>
  </r>
  <r>
    <s v="CLM101047"/>
    <s v="PT13145"/>
    <s v="P02"/>
    <x v="0"/>
    <x v="0"/>
    <n v="1"/>
    <d v="2026-09-08T00:00:00"/>
    <d v="2026-09-12T00:00:00"/>
    <n v="147.09"/>
    <m/>
    <m/>
    <m/>
    <s v="Pending"/>
    <s v=""/>
    <m/>
    <m/>
    <n v="145"/>
    <n v="0.43"/>
    <n v="62.35"/>
    <s v=""/>
    <x v="2"/>
    <x v="6"/>
    <x v="8"/>
  </r>
  <r>
    <s v="CLM101048"/>
    <s v="PT11236"/>
    <s v="P02"/>
    <x v="1"/>
    <x v="11"/>
    <n v="1"/>
    <d v="2025-10-01T00:00:00"/>
    <d v="2025-10-07T00:00:00"/>
    <n v="1157.6300000000001"/>
    <n v="517.29999999999995"/>
    <n v="517.29999999999995"/>
    <n v="0"/>
    <s v="Paid"/>
    <s v=""/>
    <d v="2025-11-12T00:00:00"/>
    <d v="2025-11-12T00:00:00"/>
    <n v="1150"/>
    <n v="0.43"/>
    <n v="494.5"/>
    <n v="-22.799999999999955"/>
    <x v="0"/>
    <x v="6"/>
    <x v="9"/>
  </r>
  <r>
    <s v="CLM101049"/>
    <s v="PT11069"/>
    <s v="P02"/>
    <x v="0"/>
    <x v="8"/>
    <n v="1"/>
    <d v="2026-01-01T00:00:00"/>
    <d v="2026-01-03T00:00:00"/>
    <n v="258.83999999999997"/>
    <n v="121.71"/>
    <n v="121.71"/>
    <n v="0"/>
    <s v="Paid"/>
    <s v=""/>
    <d v="2026-02-08T00:00:00"/>
    <d v="2026-02-08T00:00:00"/>
    <n v="260"/>
    <n v="0.43"/>
    <n v="111.8"/>
    <n v="-9.9099999999999966"/>
    <x v="0"/>
    <x v="6"/>
    <x v="5"/>
  </r>
  <r>
    <s v="CLM101050"/>
    <s v="PT10658"/>
    <s v="P01"/>
    <x v="2"/>
    <x v="9"/>
    <n v="4"/>
    <d v="2026-04-22T00:00:00"/>
    <d v="2026-04-23T00:00:00"/>
    <n v="232.24"/>
    <n v="112.07"/>
    <n v="112.07"/>
    <n v="0"/>
    <s v="Paid"/>
    <s v=""/>
    <d v="2026-05-16T00:00:00"/>
    <d v="2026-05-16T00:00:00"/>
    <n v="58"/>
    <n v="0.45"/>
    <n v="104.4"/>
    <n v="-7.6699999999999875"/>
    <x v="0"/>
    <x v="5"/>
    <x v="10"/>
  </r>
  <r>
    <s v="CLM101051"/>
    <s v="PT13159"/>
    <s v="P03"/>
    <x v="1"/>
    <x v="1"/>
    <n v="1"/>
    <d v="2026-09-17T00:00:00"/>
    <d v="2026-09-20T00:00:00"/>
    <n v="239.35"/>
    <m/>
    <m/>
    <m/>
    <s v="Pending"/>
    <s v=""/>
    <m/>
    <m/>
    <n v="240"/>
    <n v="0.47"/>
    <n v="112.8"/>
    <s v=""/>
    <x v="2"/>
    <x v="4"/>
    <x v="8"/>
  </r>
  <r>
    <s v="CLM101052"/>
    <s v="PT13457"/>
    <s v="P02"/>
    <x v="1"/>
    <x v="10"/>
    <n v="1"/>
    <d v="2026-08-21T00:00:00"/>
    <d v="2026-08-28T00:00:00"/>
    <n v="1025.81"/>
    <m/>
    <m/>
    <m/>
    <s v="Pending"/>
    <s v=""/>
    <m/>
    <m/>
    <n v="1050"/>
    <n v="0.43"/>
    <n v="451.5"/>
    <s v=""/>
    <x v="2"/>
    <x v="6"/>
    <x v="4"/>
  </r>
  <r>
    <s v="CLM101053"/>
    <s v="PT10028"/>
    <s v="P01"/>
    <x v="0"/>
    <x v="8"/>
    <n v="1"/>
    <d v="2025-12-31T00:00:00"/>
    <d v="2026-01-04T00:00:00"/>
    <n v="267.5"/>
    <n v="126.92"/>
    <n v="126.92"/>
    <n v="0"/>
    <s v="Paid"/>
    <s v=""/>
    <d v="2026-01-18T00:00:00"/>
    <d v="2026-01-18T00:00:00"/>
    <n v="260"/>
    <n v="0.45"/>
    <n v="117"/>
    <n v="-9.9200000000000017"/>
    <x v="0"/>
    <x v="5"/>
    <x v="6"/>
  </r>
  <r>
    <s v="CLM101054"/>
    <s v="PT11885"/>
    <s v="P04"/>
    <x v="1"/>
    <x v="4"/>
    <n v="1"/>
    <d v="2026-01-10T00:00:00"/>
    <d v="2026-01-14T00:00:00"/>
    <n v="38.03"/>
    <n v="13.41"/>
    <n v="10.73"/>
    <n v="2.68"/>
    <s v="Paid"/>
    <s v=""/>
    <d v="2026-01-30T00:00:00"/>
    <d v="2026-01-30T00:00:00"/>
    <n v="38"/>
    <n v="0.36"/>
    <n v="13.68"/>
    <n v="0.26999999999999957"/>
    <x v="0"/>
    <x v="1"/>
    <x v="5"/>
  </r>
  <r>
    <s v="CLM101055"/>
    <s v="PT11708"/>
    <s v="P02"/>
    <x v="0"/>
    <x v="8"/>
    <n v="1"/>
    <d v="2026-03-22T00:00:00"/>
    <d v="2026-03-28T00:00:00"/>
    <n v="262.73"/>
    <m/>
    <m/>
    <m/>
    <s v="Denied"/>
    <s v="CO-16"/>
    <d v="2026-04-29T00:00:00"/>
    <m/>
    <n v="260"/>
    <n v="0.43"/>
    <n v="111.8"/>
    <s v=""/>
    <x v="2"/>
    <x v="6"/>
    <x v="2"/>
  </r>
  <r>
    <s v="CLM101056"/>
    <s v="PT11414"/>
    <s v="P04"/>
    <x v="0"/>
    <x v="0"/>
    <n v="1"/>
    <d v="2026-04-21T00:00:00"/>
    <d v="2026-04-22T00:00:00"/>
    <n v="142.81"/>
    <n v="55.04"/>
    <n v="49.54"/>
    <n v="5.5"/>
    <s v="Paid"/>
    <s v=""/>
    <d v="2026-05-06T00:00:00"/>
    <d v="2026-05-06T00:00:00"/>
    <n v="145"/>
    <n v="0.36"/>
    <n v="52.2"/>
    <n v="-2.8399999999999963"/>
    <x v="0"/>
    <x v="1"/>
    <x v="10"/>
  </r>
  <r>
    <s v="CLM101057"/>
    <s v="PT13327"/>
    <s v="P04"/>
    <x v="2"/>
    <x v="0"/>
    <n v="1"/>
    <d v="2026-06-26T00:00:00"/>
    <d v="2026-06-27T00:00:00"/>
    <n v="145.6"/>
    <m/>
    <m/>
    <m/>
    <s v="Denied"/>
    <s v="CO-4"/>
    <d v="2026-07-10T00:00:00"/>
    <m/>
    <n v="145"/>
    <n v="0.36"/>
    <n v="52.2"/>
    <s v=""/>
    <x v="2"/>
    <x v="1"/>
    <x v="11"/>
  </r>
  <r>
    <s v="CLM101058"/>
    <s v="PT13427"/>
    <s v="P02"/>
    <x v="0"/>
    <x v="0"/>
    <n v="1"/>
    <d v="2026-08-23T00:00:00"/>
    <d v="2026-08-26T00:00:00"/>
    <n v="147.16999999999999"/>
    <m/>
    <m/>
    <m/>
    <s v="Denied"/>
    <s v="CO-50"/>
    <d v="2026-09-15T00:00:00"/>
    <m/>
    <n v="145"/>
    <n v="0.43"/>
    <n v="62.35"/>
    <s v=""/>
    <x v="2"/>
    <x v="6"/>
    <x v="4"/>
  </r>
  <r>
    <s v="CLM101059"/>
    <s v="PT10881"/>
    <s v="P04"/>
    <x v="2"/>
    <x v="2"/>
    <n v="3"/>
    <d v="2026-03-05T00:00:00"/>
    <d v="2026-03-13T00:00:00"/>
    <n v="186.16"/>
    <n v="64.400000000000006"/>
    <n v="51.52"/>
    <n v="12.88"/>
    <s v="Paid"/>
    <s v=""/>
    <d v="2026-03-21T00:00:00"/>
    <d v="2026-03-21T00:00:00"/>
    <n v="62"/>
    <n v="0.36"/>
    <n v="66.959999999999994"/>
    <n v="2.5599999999999881"/>
    <x v="0"/>
    <x v="1"/>
    <x v="2"/>
  </r>
  <r>
    <s v="CLM101060"/>
    <s v="PT11116"/>
    <s v="P02"/>
    <x v="3"/>
    <x v="6"/>
    <n v="1"/>
    <d v="2026-09-18T00:00:00"/>
    <d v="2026-09-20T00:00:00"/>
    <n v="427.01"/>
    <m/>
    <m/>
    <m/>
    <s v="Pending"/>
    <s v=""/>
    <m/>
    <m/>
    <n v="420"/>
    <n v="0.43"/>
    <n v="180.6"/>
    <s v=""/>
    <x v="2"/>
    <x v="6"/>
    <x v="8"/>
  </r>
  <r>
    <s v="CLM101061"/>
    <s v="PT10397"/>
    <s v="P01"/>
    <x v="1"/>
    <x v="7"/>
    <n v="1"/>
    <d v="2026-05-01T00:00:00"/>
    <d v="2026-05-03T00:00:00"/>
    <n v="211.98"/>
    <n v="104.01"/>
    <n v="93.61"/>
    <n v="10.4"/>
    <s v="Paid"/>
    <s v=""/>
    <d v="2026-05-24T00:00:00"/>
    <d v="2026-05-24T00:00:00"/>
    <n v="210"/>
    <n v="0.45"/>
    <n v="94.5"/>
    <n v="-9.5100000000000051"/>
    <x v="0"/>
    <x v="5"/>
    <x v="7"/>
  </r>
  <r>
    <s v="CLM101062"/>
    <s v="PT12217"/>
    <s v="P05"/>
    <x v="1"/>
    <x v="8"/>
    <n v="1"/>
    <d v="2026-01-22T00:00:00"/>
    <d v="2026-01-24T00:00:00"/>
    <n v="253.19"/>
    <n v="106.7"/>
    <n v="96.03"/>
    <n v="10.67"/>
    <s v="Paid"/>
    <s v=""/>
    <d v="2026-02-26T00:00:00"/>
    <d v="2026-02-26T00:00:00"/>
    <n v="260"/>
    <n v="0.38"/>
    <n v="98.8"/>
    <n v="-7.9000000000000057"/>
    <x v="0"/>
    <x v="0"/>
    <x v="5"/>
  </r>
  <r>
    <s v="CLM101063"/>
    <s v="PT12180"/>
    <s v="P02"/>
    <x v="0"/>
    <x v="0"/>
    <n v="1"/>
    <d v="2026-03-13T00:00:00"/>
    <d v="2026-03-16T00:00:00"/>
    <n v="143.66"/>
    <n v="66.05"/>
    <n v="66.05"/>
    <n v="0"/>
    <s v="Paid"/>
    <s v=""/>
    <d v="2026-04-09T00:00:00"/>
    <d v="2026-04-09T00:00:00"/>
    <n v="145"/>
    <n v="0.43"/>
    <n v="62.35"/>
    <n v="-3.6999999999999957"/>
    <x v="0"/>
    <x v="6"/>
    <x v="2"/>
  </r>
  <r>
    <s v="CLM101064"/>
    <s v="PT13063"/>
    <s v="P02"/>
    <x v="3"/>
    <x v="7"/>
    <n v="1"/>
    <d v="2026-04-25T00:00:00"/>
    <d v="2026-05-03T00:00:00"/>
    <n v="204.11"/>
    <n v="90.82"/>
    <n v="90.82"/>
    <n v="0"/>
    <s v="Paid"/>
    <s v=""/>
    <d v="2026-05-26T00:00:00"/>
    <d v="2026-05-26T00:00:00"/>
    <n v="210"/>
    <n v="0.43"/>
    <n v="90.3"/>
    <n v="-0.51999999999999602"/>
    <x v="0"/>
    <x v="6"/>
    <x v="10"/>
  </r>
  <r>
    <s v="CLM101065"/>
    <s v="PT11701"/>
    <s v="P02"/>
    <x v="2"/>
    <x v="9"/>
    <n v="2"/>
    <d v="2026-03-11T00:00:00"/>
    <d v="2026-03-12T00:00:00"/>
    <n v="117.21"/>
    <n v="47.79"/>
    <n v="38.229999999999997"/>
    <n v="9.56"/>
    <s v="Paid"/>
    <s v=""/>
    <d v="2026-04-09T00:00:00"/>
    <d v="2026-04-09T00:00:00"/>
    <n v="58"/>
    <n v="0.43"/>
    <n v="49.88"/>
    <n v="2.0900000000000034"/>
    <x v="0"/>
    <x v="6"/>
    <x v="2"/>
  </r>
  <r>
    <s v="CLM101066"/>
    <s v="PT10894"/>
    <s v="P05"/>
    <x v="2"/>
    <x v="2"/>
    <n v="3"/>
    <d v="2026-02-23T00:00:00"/>
    <d v="2026-03-14T00:00:00"/>
    <n v="188.72"/>
    <n v="69.459999999999994"/>
    <n v="55.57"/>
    <n v="13.89"/>
    <s v="Paid"/>
    <s v=""/>
    <d v="2026-05-12T00:00:00"/>
    <d v="2026-05-12T00:00:00"/>
    <n v="62"/>
    <n v="0.38"/>
    <n v="70.680000000000007"/>
    <n v="1.2200000000000131"/>
    <x v="0"/>
    <x v="0"/>
    <x v="0"/>
  </r>
  <r>
    <s v="CLM101067"/>
    <s v="PT11441"/>
    <s v="P04"/>
    <x v="1"/>
    <x v="8"/>
    <n v="1"/>
    <d v="2025-12-31T00:00:00"/>
    <d v="2026-01-06T00:00:00"/>
    <n v="265.69"/>
    <n v="109.9"/>
    <n v="87.92"/>
    <n v="21.98"/>
    <s v="Paid"/>
    <s v=""/>
    <d v="2026-01-23T00:00:00"/>
    <d v="2026-01-23T00:00:00"/>
    <n v="260"/>
    <n v="0.36"/>
    <n v="93.6"/>
    <n v="-16.300000000000011"/>
    <x v="0"/>
    <x v="1"/>
    <x v="6"/>
  </r>
  <r>
    <s v="CLM101068"/>
    <s v="PT12193"/>
    <s v="P07"/>
    <x v="3"/>
    <x v="6"/>
    <n v="1"/>
    <d v="2026-02-20T00:00:00"/>
    <d v="2026-02-22T00:00:00"/>
    <n v="415.45"/>
    <m/>
    <m/>
    <m/>
    <s v="Denied"/>
    <s v="CO-11"/>
    <d v="2026-04-25T00:00:00"/>
    <m/>
    <n v="420"/>
    <n v="0.28000000000000003"/>
    <n v="117.6"/>
    <s v=""/>
    <x v="2"/>
    <x v="3"/>
    <x v="0"/>
  </r>
  <r>
    <s v="CLM101069"/>
    <s v="PT11570"/>
    <s v="P01"/>
    <x v="2"/>
    <x v="9"/>
    <n v="2"/>
    <d v="2025-12-30T00:00:00"/>
    <d v="2026-01-03T00:00:00"/>
    <n v="114.53"/>
    <n v="46.28"/>
    <n v="46.28"/>
    <n v="0"/>
    <s v="Paid"/>
    <s v=""/>
    <d v="2026-01-23T00:00:00"/>
    <d v="2026-01-23T00:00:00"/>
    <n v="58"/>
    <n v="0.45"/>
    <n v="52.2"/>
    <n v="5.9200000000000017"/>
    <x v="1"/>
    <x v="5"/>
    <x v="6"/>
  </r>
  <r>
    <s v="CLM101070"/>
    <s v="PT12337"/>
    <s v="P08"/>
    <x v="0"/>
    <x v="4"/>
    <n v="1"/>
    <d v="2026-04-29T00:00:00"/>
    <d v="2026-04-30T00:00:00"/>
    <n v="37.29"/>
    <m/>
    <m/>
    <m/>
    <s v="Pending"/>
    <s v=""/>
    <m/>
    <m/>
    <n v="38"/>
    <n v="1"/>
    <n v="38"/>
    <s v=""/>
    <x v="2"/>
    <x v="7"/>
    <x v="10"/>
  </r>
  <r>
    <s v="CLM101071"/>
    <s v="PT13235"/>
    <s v="P02"/>
    <x v="3"/>
    <x v="3"/>
    <n v="10"/>
    <d v="2026-02-05T00:00:00"/>
    <d v="2026-02-08T00:00:00"/>
    <n v="14560.3"/>
    <m/>
    <m/>
    <m/>
    <s v="Denied"/>
    <s v="CO-197"/>
    <d v="2026-03-04T00:00:00"/>
    <m/>
    <n v="1450"/>
    <n v="0.43"/>
    <n v="6235"/>
    <s v=""/>
    <x v="2"/>
    <x v="6"/>
    <x v="0"/>
  </r>
  <r>
    <s v="CLM101072"/>
    <s v="PT11200"/>
    <s v="P06"/>
    <x v="0"/>
    <x v="7"/>
    <n v="1"/>
    <d v="2025-12-22T00:00:00"/>
    <d v="2025-12-28T00:00:00"/>
    <n v="209.47"/>
    <n v="56.07"/>
    <n v="56.07"/>
    <n v="0"/>
    <s v="Paid"/>
    <s v=""/>
    <d v="2026-02-04T00:00:00"/>
    <d v="2026-02-04T00:00:00"/>
    <n v="210"/>
    <n v="0.27"/>
    <n v="56.7"/>
    <n v="0.63000000000000256"/>
    <x v="0"/>
    <x v="2"/>
    <x v="6"/>
  </r>
  <r>
    <s v="CLM101073"/>
    <s v="PT11889"/>
    <s v="P01"/>
    <x v="1"/>
    <x v="8"/>
    <n v="1"/>
    <d v="2026-05-25T00:00:00"/>
    <d v="2026-05-30T00:00:00"/>
    <n v="259.36"/>
    <n v="107.34"/>
    <n v="107.34"/>
    <n v="0"/>
    <s v="Paid"/>
    <s v=""/>
    <d v="2026-06-21T00:00:00"/>
    <d v="2026-06-21T00:00:00"/>
    <n v="260"/>
    <n v="0.45"/>
    <n v="117"/>
    <n v="9.6599999999999966"/>
    <x v="1"/>
    <x v="5"/>
    <x v="7"/>
  </r>
  <r>
    <s v="CLM101074"/>
    <s v="PT12128"/>
    <s v="P06"/>
    <x v="0"/>
    <x v="0"/>
    <n v="1"/>
    <d v="2026-03-19T00:00:00"/>
    <d v="2026-03-29T00:00:00"/>
    <n v="148.24"/>
    <n v="42.79"/>
    <n v="34.229999999999997"/>
    <n v="8.56"/>
    <s v="Paid"/>
    <s v=""/>
    <d v="2026-05-26T00:00:00"/>
    <d v="2026-05-26T00:00:00"/>
    <n v="145"/>
    <n v="0.27"/>
    <n v="39.15"/>
    <n v="-3.6400000000000006"/>
    <x v="0"/>
    <x v="2"/>
    <x v="2"/>
  </r>
  <r>
    <s v="CLM101075"/>
    <s v="PT11796"/>
    <s v="P01"/>
    <x v="2"/>
    <x v="9"/>
    <n v="1"/>
    <d v="2026-05-02T00:00:00"/>
    <d v="2026-05-06T00:00:00"/>
    <n v="59.33"/>
    <n v="30.76"/>
    <n v="30.76"/>
    <n v="0"/>
    <s v="Paid"/>
    <s v=""/>
    <d v="2026-06-08T00:00:00"/>
    <d v="2026-06-08T00:00:00"/>
    <n v="58"/>
    <n v="0.45"/>
    <n v="26.1"/>
    <n v="-4.66"/>
    <x v="0"/>
    <x v="5"/>
    <x v="7"/>
  </r>
  <r>
    <s v="CLM101076"/>
    <s v="PT13225"/>
    <s v="P02"/>
    <x v="0"/>
    <x v="0"/>
    <n v="1"/>
    <d v="2026-04-22T00:00:00"/>
    <d v="2026-04-28T00:00:00"/>
    <n v="147.86000000000001"/>
    <m/>
    <m/>
    <m/>
    <s v="Denied"/>
    <s v="CO-27"/>
    <d v="2026-05-22T00:00:00"/>
    <m/>
    <n v="145"/>
    <n v="0.43"/>
    <n v="62.35"/>
    <s v=""/>
    <x v="2"/>
    <x v="6"/>
    <x v="10"/>
  </r>
  <r>
    <s v="CLM101077"/>
    <s v="PT11083"/>
    <s v="P05"/>
    <x v="0"/>
    <x v="0"/>
    <n v="1"/>
    <d v="2026-04-06T00:00:00"/>
    <d v="2026-04-08T00:00:00"/>
    <n v="144.24"/>
    <n v="60.24"/>
    <n v="60.24"/>
    <n v="0"/>
    <s v="Paid"/>
    <s v=""/>
    <d v="2026-05-17T00:00:00"/>
    <d v="2026-05-17T00:00:00"/>
    <n v="145"/>
    <n v="0.38"/>
    <n v="55.1"/>
    <n v="-5.1400000000000006"/>
    <x v="0"/>
    <x v="0"/>
    <x v="10"/>
  </r>
  <r>
    <s v="CLM101078"/>
    <s v="PT12865"/>
    <s v="P05"/>
    <x v="1"/>
    <x v="4"/>
    <n v="1"/>
    <d v="2026-05-23T00:00:00"/>
    <d v="2026-05-26T00:00:00"/>
    <n v="38.909999999999997"/>
    <n v="13.77"/>
    <n v="11.02"/>
    <n v="2.75"/>
    <s v="Paid"/>
    <s v=""/>
    <d v="2026-07-12T00:00:00"/>
    <d v="2026-07-12T00:00:00"/>
    <n v="38"/>
    <n v="0.38"/>
    <n v="14.44"/>
    <n v="0.66999999999999993"/>
    <x v="0"/>
    <x v="0"/>
    <x v="7"/>
  </r>
  <r>
    <s v="CLM101079"/>
    <s v="PT12923"/>
    <s v="P04"/>
    <x v="1"/>
    <x v="11"/>
    <n v="1"/>
    <d v="2025-12-11T00:00:00"/>
    <d v="2025-12-13T00:00:00"/>
    <n v="1125.71"/>
    <n v="388.97"/>
    <n v="350.07"/>
    <n v="38.9"/>
    <s v="Paid"/>
    <s v=""/>
    <d v="2026-01-05T00:00:00"/>
    <d v="2026-01-05T00:00:00"/>
    <n v="1150"/>
    <n v="0.36"/>
    <n v="414"/>
    <n v="25.029999999999973"/>
    <x v="1"/>
    <x v="1"/>
    <x v="6"/>
  </r>
  <r>
    <s v="CLM101080"/>
    <s v="PT11573"/>
    <s v="P01"/>
    <x v="1"/>
    <x v="4"/>
    <n v="1"/>
    <d v="2026-08-21T00:00:00"/>
    <d v="2026-08-26T00:00:00"/>
    <n v="37.549999999999997"/>
    <n v="15.08"/>
    <n v="13.57"/>
    <n v="1.51"/>
    <s v="Paid"/>
    <s v=""/>
    <d v="2026-09-24T00:00:00"/>
    <d v="2026-09-24T00:00:00"/>
    <n v="38"/>
    <n v="0.45"/>
    <n v="17.100000000000001"/>
    <n v="2.0200000000000014"/>
    <x v="1"/>
    <x v="5"/>
    <x v="4"/>
  </r>
  <r>
    <s v="CLM101081"/>
    <s v="PT12116"/>
    <s v="P01"/>
    <x v="1"/>
    <x v="7"/>
    <n v="1"/>
    <d v="2026-01-17T00:00:00"/>
    <d v="2026-01-18T00:00:00"/>
    <n v="211.05"/>
    <m/>
    <m/>
    <m/>
    <s v="Denied"/>
    <s v="CO-27"/>
    <d v="2026-02-10T00:00:00"/>
    <m/>
    <n v="210"/>
    <n v="0.45"/>
    <n v="94.5"/>
    <s v=""/>
    <x v="2"/>
    <x v="5"/>
    <x v="5"/>
  </r>
  <r>
    <s v="CLM101082"/>
    <s v="PT10265"/>
    <s v="P03"/>
    <x v="0"/>
    <x v="8"/>
    <n v="1"/>
    <d v="2026-04-12T00:00:00"/>
    <d v="2026-04-15T00:00:00"/>
    <n v="265.7"/>
    <m/>
    <m/>
    <m/>
    <s v="Denied"/>
    <s v="CO-4"/>
    <d v="2026-05-31T00:00:00"/>
    <m/>
    <n v="260"/>
    <n v="0.47"/>
    <n v="122.2"/>
    <s v=""/>
    <x v="2"/>
    <x v="4"/>
    <x v="10"/>
  </r>
  <r>
    <s v="CLM101083"/>
    <s v="PT13036"/>
    <s v="P04"/>
    <x v="3"/>
    <x v="3"/>
    <n v="30"/>
    <d v="2026-04-01T00:00:00"/>
    <d v="2026-04-11T00:00:00"/>
    <n v="43393.83"/>
    <n v="17274.099999999999"/>
    <n v="17274.099999999999"/>
    <n v="0"/>
    <s v="Paid"/>
    <s v=""/>
    <d v="2026-04-28T00:00:00"/>
    <d v="2026-04-28T00:00:00"/>
    <n v="1450"/>
    <n v="0.36"/>
    <n v="15660"/>
    <n v="-1614.0999999999985"/>
    <x v="0"/>
    <x v="1"/>
    <x v="10"/>
  </r>
  <r>
    <s v="CLM101084"/>
    <s v="PT13268"/>
    <s v="P01"/>
    <x v="1"/>
    <x v="4"/>
    <n v="1"/>
    <d v="2026-08-17T00:00:00"/>
    <d v="2026-08-19T00:00:00"/>
    <n v="37.090000000000003"/>
    <m/>
    <m/>
    <m/>
    <s v="Denied"/>
    <s v="CO-4"/>
    <d v="2026-09-15T00:00:00"/>
    <m/>
    <n v="38"/>
    <n v="0.45"/>
    <n v="17.100000000000001"/>
    <s v=""/>
    <x v="2"/>
    <x v="5"/>
    <x v="4"/>
  </r>
  <r>
    <s v="CLM101085"/>
    <s v="PT10164"/>
    <s v="P06"/>
    <x v="1"/>
    <x v="11"/>
    <n v="1"/>
    <d v="2026-01-02T00:00:00"/>
    <d v="2026-01-07T00:00:00"/>
    <n v="1163.0899999999999"/>
    <m/>
    <m/>
    <m/>
    <s v="Denied"/>
    <s v="CO-16"/>
    <d v="2026-01-22T00:00:00"/>
    <m/>
    <n v="1150"/>
    <n v="0.27"/>
    <n v="310.5"/>
    <s v=""/>
    <x v="2"/>
    <x v="2"/>
    <x v="5"/>
  </r>
  <r>
    <s v="CLM101086"/>
    <s v="PT12398"/>
    <s v="P01"/>
    <x v="1"/>
    <x v="11"/>
    <n v="1"/>
    <d v="2026-01-06T00:00:00"/>
    <d v="2026-01-16T00:00:00"/>
    <n v="1166.0999999999999"/>
    <n v="464.76"/>
    <n v="464.76"/>
    <n v="0"/>
    <s v="Paid"/>
    <s v=""/>
    <d v="2026-02-11T00:00:00"/>
    <d v="2026-02-11T00:00:00"/>
    <n v="1150"/>
    <n v="0.45"/>
    <n v="517.5"/>
    <n v="52.740000000000009"/>
    <x v="1"/>
    <x v="5"/>
    <x v="5"/>
  </r>
  <r>
    <s v="CLM101087"/>
    <s v="PT10476"/>
    <s v="P03"/>
    <x v="3"/>
    <x v="6"/>
    <n v="1"/>
    <d v="2026-07-02T00:00:00"/>
    <d v="2026-07-03T00:00:00"/>
    <n v="429.62"/>
    <n v="176.03"/>
    <n v="140.82"/>
    <n v="35.21"/>
    <s v="Paid"/>
    <s v=""/>
    <d v="2026-08-25T00:00:00"/>
    <d v="2026-08-25T00:00:00"/>
    <n v="420"/>
    <n v="0.47"/>
    <n v="197.4"/>
    <n v="21.370000000000005"/>
    <x v="1"/>
    <x v="4"/>
    <x v="1"/>
  </r>
  <r>
    <s v="CLM101088"/>
    <s v="PT13184"/>
    <s v="P01"/>
    <x v="0"/>
    <x v="4"/>
    <n v="1"/>
    <d v="2026-07-05T00:00:00"/>
    <d v="2026-07-09T00:00:00"/>
    <n v="38.200000000000003"/>
    <n v="14.57"/>
    <n v="11.66"/>
    <n v="2.91"/>
    <s v="Paid"/>
    <s v=""/>
    <d v="2026-07-20T00:00:00"/>
    <d v="2026-07-20T00:00:00"/>
    <n v="38"/>
    <n v="0.45"/>
    <n v="17.100000000000001"/>
    <n v="2.5300000000000011"/>
    <x v="1"/>
    <x v="5"/>
    <x v="1"/>
  </r>
  <r>
    <s v="CLM101089"/>
    <s v="PT11108"/>
    <s v="P06"/>
    <x v="3"/>
    <x v="7"/>
    <n v="1"/>
    <d v="2026-08-11T00:00:00"/>
    <d v="2026-08-31T00:00:00"/>
    <n v="213.22"/>
    <m/>
    <m/>
    <m/>
    <s v="Pending"/>
    <s v=""/>
    <m/>
    <m/>
    <n v="210"/>
    <n v="0.27"/>
    <n v="56.7"/>
    <s v=""/>
    <x v="2"/>
    <x v="2"/>
    <x v="4"/>
  </r>
  <r>
    <s v="CLM101090"/>
    <s v="PT12563"/>
    <s v="P02"/>
    <x v="0"/>
    <x v="7"/>
    <n v="1"/>
    <d v="2026-06-05T00:00:00"/>
    <d v="2026-06-18T00:00:00"/>
    <n v="210.18"/>
    <n v="100.12"/>
    <n v="90.11"/>
    <n v="10.01"/>
    <s v="Paid"/>
    <s v=""/>
    <d v="2026-07-20T00:00:00"/>
    <d v="2026-07-20T00:00:00"/>
    <n v="210"/>
    <n v="0.43"/>
    <n v="90.3"/>
    <n v="-9.8200000000000074"/>
    <x v="0"/>
    <x v="6"/>
    <x v="11"/>
  </r>
  <r>
    <s v="CLM101091"/>
    <s v="PT12756"/>
    <s v="P03"/>
    <x v="0"/>
    <x v="7"/>
    <n v="1"/>
    <d v="2026-03-13T00:00:00"/>
    <d v="2026-03-16T00:00:00"/>
    <n v="214.96"/>
    <n v="91.42"/>
    <n v="73.14"/>
    <n v="18.28"/>
    <s v="Paid"/>
    <s v=""/>
    <d v="2026-05-10T00:00:00"/>
    <d v="2026-05-10T00:00:00"/>
    <n v="210"/>
    <n v="0.47"/>
    <n v="98.7"/>
    <n v="7.2800000000000011"/>
    <x v="1"/>
    <x v="4"/>
    <x v="2"/>
  </r>
  <r>
    <s v="CLM101092"/>
    <s v="PT13139"/>
    <s v="P03"/>
    <x v="1"/>
    <x v="5"/>
    <n v="1"/>
    <d v="2026-08-23T00:00:00"/>
    <d v="2026-08-30T00:00:00"/>
    <n v="4853.84"/>
    <m/>
    <m/>
    <m/>
    <s v="Pending"/>
    <s v=""/>
    <m/>
    <m/>
    <n v="4800"/>
    <n v="0.47"/>
    <n v="2256"/>
    <s v=""/>
    <x v="2"/>
    <x v="4"/>
    <x v="4"/>
  </r>
  <r>
    <s v="CLM101093"/>
    <s v="PT11622"/>
    <s v="P05"/>
    <x v="0"/>
    <x v="0"/>
    <n v="1"/>
    <d v="2026-08-09T00:00:00"/>
    <d v="2026-08-14T00:00:00"/>
    <n v="142.47999999999999"/>
    <m/>
    <m/>
    <m/>
    <s v="Pending"/>
    <s v=""/>
    <m/>
    <m/>
    <n v="145"/>
    <n v="0.38"/>
    <n v="55.1"/>
    <s v=""/>
    <x v="2"/>
    <x v="0"/>
    <x v="4"/>
  </r>
  <r>
    <s v="CLM101094"/>
    <s v="PT11933"/>
    <s v="P04"/>
    <x v="3"/>
    <x v="3"/>
    <n v="20"/>
    <d v="2025-12-20T00:00:00"/>
    <d v="2026-01-05T00:00:00"/>
    <n v="29794.67"/>
    <n v="11689.64"/>
    <n v="10520.68"/>
    <n v="1168.96"/>
    <s v="Paid"/>
    <s v=""/>
    <d v="2026-01-23T00:00:00"/>
    <d v="2026-01-23T00:00:00"/>
    <n v="1450"/>
    <n v="0.36"/>
    <n v="10440"/>
    <n v="-1249.6399999999994"/>
    <x v="0"/>
    <x v="1"/>
    <x v="6"/>
  </r>
  <r>
    <s v="CLM101095"/>
    <s v="PT10023"/>
    <s v="P02"/>
    <x v="2"/>
    <x v="9"/>
    <n v="1"/>
    <d v="2026-03-06T00:00:00"/>
    <d v="2026-03-14T00:00:00"/>
    <n v="58.79"/>
    <n v="25.63"/>
    <n v="20.5"/>
    <n v="5.13"/>
    <s v="Paid"/>
    <s v=""/>
    <d v="2026-04-07T00:00:00"/>
    <d v="2026-04-07T00:00:00"/>
    <n v="58"/>
    <n v="0.43"/>
    <n v="24.94"/>
    <n v="-0.68999999999999773"/>
    <x v="0"/>
    <x v="6"/>
    <x v="2"/>
  </r>
  <r>
    <s v="CLM101096"/>
    <s v="PT12711"/>
    <s v="P01"/>
    <x v="3"/>
    <x v="6"/>
    <n v="1"/>
    <d v="2026-04-28T00:00:00"/>
    <d v="2026-05-05T00:00:00"/>
    <n v="416.31"/>
    <n v="202.9"/>
    <n v="202.9"/>
    <n v="0"/>
    <s v="Paid"/>
    <s v=""/>
    <d v="2026-06-15T00:00:00"/>
    <d v="2026-06-15T00:00:00"/>
    <n v="420"/>
    <n v="0.45"/>
    <n v="189"/>
    <n v="-13.900000000000006"/>
    <x v="0"/>
    <x v="5"/>
    <x v="10"/>
  </r>
  <r>
    <s v="CLM101097"/>
    <s v="PT13266"/>
    <s v="P06"/>
    <x v="3"/>
    <x v="6"/>
    <n v="1"/>
    <d v="2025-10-13T00:00:00"/>
    <d v="2025-10-20T00:00:00"/>
    <n v="415.51"/>
    <n v="114.28"/>
    <n v="114.28"/>
    <n v="0"/>
    <s v="Paid"/>
    <s v=""/>
    <d v="2025-12-01T00:00:00"/>
    <d v="2025-12-01T00:00:00"/>
    <n v="420"/>
    <n v="0.27"/>
    <n v="113.4"/>
    <n v="-0.87999999999999545"/>
    <x v="0"/>
    <x v="2"/>
    <x v="9"/>
  </r>
  <r>
    <s v="CLM101098"/>
    <s v="PT13199"/>
    <s v="P03"/>
    <x v="1"/>
    <x v="1"/>
    <n v="1"/>
    <d v="2026-02-18T00:00:00"/>
    <d v="2026-02-20T00:00:00"/>
    <n v="234.34"/>
    <n v="110.03"/>
    <n v="110.03"/>
    <n v="0"/>
    <s v="Paid"/>
    <s v=""/>
    <d v="2026-04-03T00:00:00"/>
    <d v="2026-04-03T00:00:00"/>
    <n v="240"/>
    <n v="0.47"/>
    <n v="112.8"/>
    <n v="2.769999999999996"/>
    <x v="0"/>
    <x v="4"/>
    <x v="0"/>
  </r>
  <r>
    <s v="CLM101099"/>
    <s v="PT11536"/>
    <s v="P08"/>
    <x v="3"/>
    <x v="7"/>
    <n v="1"/>
    <d v="2026-09-27T00:00:00"/>
    <d v="2026-09-29T00:00:00"/>
    <n v="209.84"/>
    <m/>
    <m/>
    <m/>
    <s v="Pending"/>
    <s v=""/>
    <m/>
    <m/>
    <n v="210"/>
    <n v="1"/>
    <n v="210"/>
    <s v=""/>
    <x v="2"/>
    <x v="7"/>
    <x v="8"/>
  </r>
  <r>
    <s v="CLM101100"/>
    <s v="PT13376"/>
    <s v="P04"/>
    <x v="1"/>
    <x v="8"/>
    <n v="1"/>
    <d v="2026-02-19T00:00:00"/>
    <d v="2026-02-22T00:00:00"/>
    <n v="260.58999999999997"/>
    <n v="92.99"/>
    <n v="74.39"/>
    <n v="18.600000000000001"/>
    <s v="Paid"/>
    <s v=""/>
    <d v="2026-03-13T00:00:00"/>
    <d v="2026-03-13T00:00:00"/>
    <n v="260"/>
    <n v="0.36"/>
    <n v="93.6"/>
    <n v="0.60999999999999943"/>
    <x v="0"/>
    <x v="1"/>
    <x v="0"/>
  </r>
  <r>
    <s v="CLM101101"/>
    <s v="PT12280"/>
    <s v="P04"/>
    <x v="1"/>
    <x v="7"/>
    <n v="1"/>
    <d v="2026-07-21T00:00:00"/>
    <d v="2026-07-22T00:00:00"/>
    <n v="206.22"/>
    <n v="75.92"/>
    <n v="68.33"/>
    <n v="7.59"/>
    <s v="Paid"/>
    <s v=""/>
    <d v="2026-08-07T00:00:00"/>
    <d v="2026-08-07T00:00:00"/>
    <n v="210"/>
    <n v="0.36"/>
    <n v="75.599999999999994"/>
    <n v="-0.32000000000000739"/>
    <x v="0"/>
    <x v="1"/>
    <x v="1"/>
  </r>
  <r>
    <s v="CLM101102"/>
    <s v="PT13060"/>
    <s v="P05"/>
    <x v="0"/>
    <x v="8"/>
    <n v="1"/>
    <d v="2025-12-11T00:00:00"/>
    <d v="2025-12-12T00:00:00"/>
    <n v="264.24"/>
    <n v="107.72"/>
    <n v="86.18"/>
    <n v="21.54"/>
    <s v="Paid"/>
    <s v=""/>
    <d v="2026-01-21T00:00:00"/>
    <d v="2026-01-21T00:00:00"/>
    <n v="260"/>
    <n v="0.38"/>
    <n v="98.8"/>
    <n v="-8.9200000000000017"/>
    <x v="0"/>
    <x v="0"/>
    <x v="6"/>
  </r>
  <r>
    <s v="CLM101103"/>
    <s v="PT10574"/>
    <s v="P02"/>
    <x v="2"/>
    <x v="2"/>
    <n v="2"/>
    <d v="2026-01-25T00:00:00"/>
    <d v="2026-01-26T00:00:00"/>
    <n v="122.97"/>
    <n v="54.26"/>
    <n v="54.26"/>
    <n v="0"/>
    <s v="Paid"/>
    <s v=""/>
    <d v="2026-03-16T00:00:00"/>
    <d v="2026-03-16T00:00:00"/>
    <n v="62"/>
    <n v="0.43"/>
    <n v="53.32"/>
    <n v="-0.93999999999999773"/>
    <x v="0"/>
    <x v="6"/>
    <x v="5"/>
  </r>
  <r>
    <s v="CLM101104"/>
    <s v="PT12065"/>
    <s v="P03"/>
    <x v="1"/>
    <x v="10"/>
    <n v="1"/>
    <d v="2026-06-07T00:00:00"/>
    <d v="2026-06-15T00:00:00"/>
    <n v="1068.78"/>
    <m/>
    <m/>
    <m/>
    <s v="Denied"/>
    <s v="CO-27"/>
    <d v="2026-06-20T00:00:00"/>
    <m/>
    <n v="1050"/>
    <n v="0.47"/>
    <n v="493.5"/>
    <s v=""/>
    <x v="2"/>
    <x v="4"/>
    <x v="11"/>
  </r>
  <r>
    <s v="CLM101105"/>
    <s v="PT10460"/>
    <s v="P03"/>
    <x v="1"/>
    <x v="1"/>
    <n v="1"/>
    <d v="2026-07-22T00:00:00"/>
    <d v="2026-07-23T00:00:00"/>
    <n v="237.61"/>
    <m/>
    <m/>
    <m/>
    <s v="Denied"/>
    <s v="CO-16"/>
    <d v="2026-08-19T00:00:00"/>
    <m/>
    <n v="240"/>
    <n v="0.47"/>
    <n v="112.8"/>
    <s v=""/>
    <x v="2"/>
    <x v="4"/>
    <x v="1"/>
  </r>
  <r>
    <s v="CLM101106"/>
    <s v="PT12664"/>
    <s v="P04"/>
    <x v="0"/>
    <x v="4"/>
    <n v="1"/>
    <d v="2026-01-06T00:00:00"/>
    <d v="2026-01-12T00:00:00"/>
    <n v="38.57"/>
    <n v="12.92"/>
    <n v="12.92"/>
    <n v="0"/>
    <s v="Paid"/>
    <s v=""/>
    <d v="2026-01-19T00:00:00"/>
    <d v="2026-01-19T00:00:00"/>
    <n v="38"/>
    <n v="0.36"/>
    <n v="13.68"/>
    <n v="0.75999999999999979"/>
    <x v="1"/>
    <x v="1"/>
    <x v="5"/>
  </r>
  <r>
    <s v="CLM101107"/>
    <s v="PT11644"/>
    <s v="P04"/>
    <x v="1"/>
    <x v="7"/>
    <n v="1"/>
    <d v="2026-03-23T00:00:00"/>
    <d v="2026-03-30T00:00:00"/>
    <n v="209.42"/>
    <n v="85.91"/>
    <n v="85.91"/>
    <n v="0"/>
    <s v="Paid"/>
    <s v=""/>
    <d v="2026-04-20T00:00:00"/>
    <d v="2026-04-20T00:00:00"/>
    <n v="210"/>
    <n v="0.36"/>
    <n v="75.599999999999994"/>
    <n v="-10.310000000000002"/>
    <x v="0"/>
    <x v="1"/>
    <x v="2"/>
  </r>
  <r>
    <s v="CLM101108"/>
    <s v="PT12180"/>
    <s v="P04"/>
    <x v="0"/>
    <x v="0"/>
    <n v="1"/>
    <d v="2026-04-18T00:00:00"/>
    <d v="2026-04-20T00:00:00"/>
    <n v="140.81"/>
    <n v="46.89"/>
    <n v="42.2"/>
    <n v="4.6900000000000004"/>
    <s v="Paid"/>
    <s v=""/>
    <d v="2026-05-09T00:00:00"/>
    <d v="2026-05-09T00:00:00"/>
    <n v="145"/>
    <n v="0.36"/>
    <n v="52.2"/>
    <n v="5.3100000000000023"/>
    <x v="1"/>
    <x v="1"/>
    <x v="10"/>
  </r>
  <r>
    <s v="CLM101109"/>
    <s v="PT10773"/>
    <s v="P05"/>
    <x v="0"/>
    <x v="7"/>
    <n v="1"/>
    <d v="2026-07-22T00:00:00"/>
    <d v="2026-07-31T00:00:00"/>
    <n v="215.36"/>
    <m/>
    <m/>
    <m/>
    <s v="Pending"/>
    <s v=""/>
    <m/>
    <m/>
    <n v="210"/>
    <n v="0.38"/>
    <n v="79.8"/>
    <s v=""/>
    <x v="2"/>
    <x v="0"/>
    <x v="1"/>
  </r>
  <r>
    <s v="CLM101110"/>
    <s v="PT10942"/>
    <s v="P02"/>
    <x v="3"/>
    <x v="3"/>
    <n v="5"/>
    <d v="2025-11-21T00:00:00"/>
    <d v="2025-12-03T00:00:00"/>
    <n v="7264.54"/>
    <m/>
    <m/>
    <m/>
    <s v="Denied"/>
    <s v="CO-197"/>
    <d v="2026-01-21T00:00:00"/>
    <m/>
    <n v="1450"/>
    <n v="0.43"/>
    <n v="3117.5"/>
    <s v=""/>
    <x v="2"/>
    <x v="6"/>
    <x v="3"/>
  </r>
  <r>
    <s v="CLM101111"/>
    <s v="PT10504"/>
    <s v="P03"/>
    <x v="1"/>
    <x v="7"/>
    <n v="1"/>
    <d v="2026-02-16T00:00:00"/>
    <d v="2026-02-27T00:00:00"/>
    <n v="206.64"/>
    <n v="83.28"/>
    <n v="66.62"/>
    <n v="16.66"/>
    <s v="Paid"/>
    <s v=""/>
    <d v="2026-04-24T00:00:00"/>
    <d v="2026-04-24T00:00:00"/>
    <n v="210"/>
    <n v="0.47"/>
    <n v="98.7"/>
    <n v="15.420000000000002"/>
    <x v="1"/>
    <x v="4"/>
    <x v="0"/>
  </r>
  <r>
    <s v="CLM101112"/>
    <s v="PT10667"/>
    <s v="P01"/>
    <x v="2"/>
    <x v="9"/>
    <n v="2"/>
    <d v="2026-01-15T00:00:00"/>
    <d v="2026-01-18T00:00:00"/>
    <n v="112.86"/>
    <n v="52.21"/>
    <n v="52.21"/>
    <n v="0"/>
    <s v="Paid"/>
    <s v=""/>
    <d v="2026-03-02T00:00:00"/>
    <d v="2026-03-02T00:00:00"/>
    <n v="58"/>
    <n v="0.45"/>
    <n v="52.2"/>
    <n v="-9.9999999999980105E-3"/>
    <x v="0"/>
    <x v="5"/>
    <x v="5"/>
  </r>
  <r>
    <s v="CLM101113"/>
    <s v="PT11473"/>
    <s v="P07"/>
    <x v="3"/>
    <x v="3"/>
    <n v="20"/>
    <d v="2026-08-06T00:00:00"/>
    <d v="2026-08-08T00:00:00"/>
    <n v="29434.45"/>
    <m/>
    <m/>
    <m/>
    <s v="Pending"/>
    <s v=""/>
    <m/>
    <m/>
    <n v="1450"/>
    <n v="0.28000000000000003"/>
    <n v="8120"/>
    <s v=""/>
    <x v="2"/>
    <x v="3"/>
    <x v="4"/>
  </r>
  <r>
    <s v="CLM101114"/>
    <s v="PT11778"/>
    <s v="P07"/>
    <x v="0"/>
    <x v="0"/>
    <n v="1"/>
    <d v="2025-10-09T00:00:00"/>
    <d v="2025-10-16T00:00:00"/>
    <n v="140.71"/>
    <n v="43.62"/>
    <n v="43.62"/>
    <n v="0"/>
    <s v="Paid"/>
    <s v=""/>
    <d v="2025-11-18T00:00:00"/>
    <d v="2025-11-18T00:00:00"/>
    <n v="145"/>
    <n v="0.28000000000000003"/>
    <n v="40.6"/>
    <n v="-3.019999999999996"/>
    <x v="0"/>
    <x v="3"/>
    <x v="9"/>
  </r>
  <r>
    <s v="CLM101115"/>
    <s v="PT11125"/>
    <s v="P02"/>
    <x v="2"/>
    <x v="0"/>
    <n v="1"/>
    <d v="2026-09-25T00:00:00"/>
    <d v="2026-09-30T00:00:00"/>
    <n v="141.38"/>
    <m/>
    <m/>
    <m/>
    <s v="Pending"/>
    <s v=""/>
    <m/>
    <m/>
    <n v="145"/>
    <n v="0.43"/>
    <n v="62.35"/>
    <s v=""/>
    <x v="2"/>
    <x v="6"/>
    <x v="8"/>
  </r>
  <r>
    <s v="CLM101116"/>
    <s v="PT13030"/>
    <s v="P01"/>
    <x v="3"/>
    <x v="6"/>
    <n v="1"/>
    <d v="2026-02-05T00:00:00"/>
    <d v="2026-02-06T00:00:00"/>
    <n v="411.87"/>
    <n v="164.6"/>
    <n v="164.6"/>
    <n v="0"/>
    <s v="Paid"/>
    <s v=""/>
    <d v="2026-03-03T00:00:00"/>
    <d v="2026-03-03T00:00:00"/>
    <n v="420"/>
    <n v="0.45"/>
    <n v="189"/>
    <n v="24.400000000000006"/>
    <x v="1"/>
    <x v="5"/>
    <x v="0"/>
  </r>
  <r>
    <s v="CLM101117"/>
    <s v="PT11495"/>
    <s v="P04"/>
    <x v="3"/>
    <x v="6"/>
    <n v="1"/>
    <d v="2025-12-20T00:00:00"/>
    <d v="2025-12-21T00:00:00"/>
    <n v="417.96"/>
    <n v="134.15"/>
    <n v="134.15"/>
    <n v="0"/>
    <s v="Paid"/>
    <s v=""/>
    <d v="2026-01-08T00:00:00"/>
    <d v="2026-01-08T00:00:00"/>
    <n v="420"/>
    <n v="0.36"/>
    <n v="151.19999999999999"/>
    <n v="17.049999999999983"/>
    <x v="1"/>
    <x v="1"/>
    <x v="6"/>
  </r>
  <r>
    <s v="CLM101118"/>
    <s v="PT11927"/>
    <s v="P06"/>
    <x v="2"/>
    <x v="2"/>
    <n v="2"/>
    <d v="2025-10-16T00:00:00"/>
    <d v="2025-10-19T00:00:00"/>
    <n v="121.8"/>
    <n v="34.130000000000003"/>
    <n v="34.130000000000003"/>
    <n v="0"/>
    <s v="Paid"/>
    <s v=""/>
    <d v="2025-11-30T00:00:00"/>
    <d v="2025-11-30T00:00:00"/>
    <n v="62"/>
    <n v="0.27"/>
    <n v="33.479999999999997"/>
    <n v="-0.65000000000000568"/>
    <x v="0"/>
    <x v="2"/>
    <x v="9"/>
  </r>
  <r>
    <s v="CLM101119"/>
    <s v="PT10410"/>
    <s v="P01"/>
    <x v="1"/>
    <x v="5"/>
    <n v="1"/>
    <d v="2026-04-27T00:00:00"/>
    <d v="2026-04-29T00:00:00"/>
    <n v="4669.3900000000003"/>
    <n v="2117.6999999999998"/>
    <n v="2117.6999999999998"/>
    <n v="0"/>
    <s v="Paid"/>
    <s v=""/>
    <d v="2026-05-27T00:00:00"/>
    <d v="2026-05-27T00:00:00"/>
    <n v="4800"/>
    <n v="0.45"/>
    <n v="2160"/>
    <n v="42.300000000000182"/>
    <x v="0"/>
    <x v="5"/>
    <x v="10"/>
  </r>
  <r>
    <s v="CLM101120"/>
    <s v="PT11275"/>
    <s v="P01"/>
    <x v="1"/>
    <x v="7"/>
    <n v="1"/>
    <d v="2025-11-03T00:00:00"/>
    <d v="2025-11-06T00:00:00"/>
    <n v="205.12"/>
    <n v="102.53"/>
    <n v="102.53"/>
    <n v="0"/>
    <s v="Paid"/>
    <s v=""/>
    <d v="2025-11-29T00:00:00"/>
    <d v="2025-11-29T00:00:00"/>
    <n v="210"/>
    <n v="0.45"/>
    <n v="94.5"/>
    <n v="-8.0300000000000011"/>
    <x v="0"/>
    <x v="5"/>
    <x v="3"/>
  </r>
  <r>
    <s v="CLM101121"/>
    <s v="PT12018"/>
    <s v="P01"/>
    <x v="0"/>
    <x v="8"/>
    <n v="1"/>
    <d v="2026-09-02T00:00:00"/>
    <d v="2026-09-15T00:00:00"/>
    <n v="260.62"/>
    <m/>
    <m/>
    <m/>
    <s v="Pending"/>
    <s v=""/>
    <m/>
    <m/>
    <n v="260"/>
    <n v="0.45"/>
    <n v="117"/>
    <s v=""/>
    <x v="2"/>
    <x v="5"/>
    <x v="8"/>
  </r>
  <r>
    <s v="CLM101122"/>
    <s v="PT12519"/>
    <s v="P01"/>
    <x v="3"/>
    <x v="7"/>
    <n v="1"/>
    <d v="2026-01-21T00:00:00"/>
    <d v="2026-01-28T00:00:00"/>
    <n v="210.19"/>
    <n v="99.27"/>
    <n v="89.34"/>
    <n v="9.93"/>
    <s v="Paid"/>
    <s v=""/>
    <d v="2026-02-24T00:00:00"/>
    <d v="2026-02-24T00:00:00"/>
    <n v="210"/>
    <n v="0.45"/>
    <n v="94.5"/>
    <n v="-4.769999999999996"/>
    <x v="0"/>
    <x v="5"/>
    <x v="5"/>
  </r>
  <r>
    <s v="CLM101123"/>
    <s v="PT13112"/>
    <s v="P02"/>
    <x v="1"/>
    <x v="7"/>
    <n v="1"/>
    <d v="2026-09-03T00:00:00"/>
    <d v="2026-09-08T00:00:00"/>
    <n v="207.49"/>
    <n v="91.21"/>
    <n v="82.09"/>
    <n v="9.1199999999999992"/>
    <s v="Paid"/>
    <s v=""/>
    <d v="2026-09-24T00:00:00"/>
    <d v="2026-09-24T00:00:00"/>
    <n v="210"/>
    <n v="0.43"/>
    <n v="90.3"/>
    <n v="-0.90999999999999659"/>
    <x v="0"/>
    <x v="6"/>
    <x v="8"/>
  </r>
  <r>
    <s v="CLM101125"/>
    <s v="PT11981"/>
    <s v="P08"/>
    <x v="0"/>
    <x v="7"/>
    <n v="1"/>
    <d v="2025-10-08T00:00:00"/>
    <d v="2025-10-09T00:00:00"/>
    <n v="205.5"/>
    <n v="205.5"/>
    <n v="205.5"/>
    <n v="0"/>
    <s v="Paid"/>
    <s v=""/>
    <d v="2026-01-02T00:00:00"/>
    <d v="2026-01-02T00:00:00"/>
    <n v="210"/>
    <n v="1"/>
    <n v="210"/>
    <n v="4.5"/>
    <x v="0"/>
    <x v="7"/>
    <x v="9"/>
  </r>
  <r>
    <s v="CLM101126"/>
    <s v="PT12684"/>
    <s v="P04"/>
    <x v="2"/>
    <x v="2"/>
    <n v="2"/>
    <d v="2026-07-23T00:00:00"/>
    <d v="2026-07-24T00:00:00"/>
    <n v="123.64"/>
    <n v="39.22"/>
    <n v="35.299999999999997"/>
    <n v="3.92"/>
    <s v="Paid"/>
    <s v=""/>
    <d v="2026-08-15T00:00:00"/>
    <d v="2026-08-15T00:00:00"/>
    <n v="62"/>
    <n v="0.36"/>
    <n v="44.64"/>
    <n v="5.4200000000000017"/>
    <x v="1"/>
    <x v="1"/>
    <x v="1"/>
  </r>
  <r>
    <s v="CLM101127"/>
    <s v="PT13126"/>
    <s v="P02"/>
    <x v="3"/>
    <x v="6"/>
    <n v="1"/>
    <d v="2026-01-04T00:00:00"/>
    <d v="2026-01-11T00:00:00"/>
    <n v="413.83"/>
    <n v="179.6"/>
    <n v="161.63999999999999"/>
    <n v="17.96"/>
    <s v="Paid"/>
    <s v=""/>
    <d v="2026-02-04T00:00:00"/>
    <d v="2026-02-04T00:00:00"/>
    <n v="420"/>
    <n v="0.43"/>
    <n v="180.6"/>
    <n v="1"/>
    <x v="0"/>
    <x v="6"/>
    <x v="5"/>
  </r>
  <r>
    <s v="CLM101128"/>
    <s v="PT10455"/>
    <s v="P06"/>
    <x v="0"/>
    <x v="0"/>
    <n v="1"/>
    <d v="2026-05-07T00:00:00"/>
    <d v="2026-05-21T00:00:00"/>
    <n v="146.24"/>
    <m/>
    <m/>
    <m/>
    <s v="Denied"/>
    <s v="CO-16"/>
    <d v="2026-06-14T00:00:00"/>
    <m/>
    <n v="145"/>
    <n v="0.27"/>
    <n v="39.15"/>
    <s v=""/>
    <x v="2"/>
    <x v="2"/>
    <x v="7"/>
  </r>
  <r>
    <s v="CLM101129"/>
    <s v="PT13440"/>
    <s v="P04"/>
    <x v="1"/>
    <x v="10"/>
    <n v="1"/>
    <d v="2025-11-12T00:00:00"/>
    <d v="2025-11-27T00:00:00"/>
    <n v="1079.3800000000001"/>
    <n v="427.26"/>
    <n v="427.26"/>
    <n v="0"/>
    <s v="Paid"/>
    <s v=""/>
    <d v="2025-12-19T00:00:00"/>
    <d v="2025-12-19T00:00:00"/>
    <n v="1050"/>
    <n v="0.36"/>
    <n v="378"/>
    <n v="-49.259999999999991"/>
    <x v="0"/>
    <x v="1"/>
    <x v="3"/>
  </r>
  <r>
    <s v="CLM101130"/>
    <s v="PT12841"/>
    <s v="P01"/>
    <x v="3"/>
    <x v="3"/>
    <n v="10"/>
    <d v="2026-03-31T00:00:00"/>
    <d v="2026-04-04T00:00:00"/>
    <n v="14554.71"/>
    <m/>
    <m/>
    <m/>
    <s v="Denied"/>
    <s v="CO-50"/>
    <d v="2026-04-25T00:00:00"/>
    <m/>
    <n v="1450"/>
    <n v="0.45"/>
    <n v="6525"/>
    <s v=""/>
    <x v="2"/>
    <x v="5"/>
    <x v="2"/>
  </r>
  <r>
    <s v="CLM101131"/>
    <s v="PT12497"/>
    <s v="P01"/>
    <x v="0"/>
    <x v="8"/>
    <n v="1"/>
    <d v="2026-09-14T00:00:00"/>
    <d v="2026-09-19T00:00:00"/>
    <n v="254.78"/>
    <m/>
    <m/>
    <m/>
    <s v="Pending"/>
    <s v=""/>
    <m/>
    <m/>
    <n v="260"/>
    <n v="0.45"/>
    <n v="117"/>
    <s v=""/>
    <x v="2"/>
    <x v="5"/>
    <x v="8"/>
  </r>
  <r>
    <s v="CLM101132"/>
    <s v="PT11318"/>
    <s v="P02"/>
    <x v="0"/>
    <x v="7"/>
    <n v="1"/>
    <d v="2026-04-24T00:00:00"/>
    <d v="2026-05-04T00:00:00"/>
    <n v="207.44"/>
    <n v="99.54"/>
    <n v="79.63"/>
    <n v="19.91"/>
    <s v="Paid"/>
    <s v=""/>
    <d v="2026-05-30T00:00:00"/>
    <d v="2026-05-30T00:00:00"/>
    <n v="210"/>
    <n v="0.43"/>
    <n v="90.3"/>
    <n v="-9.2400000000000091"/>
    <x v="0"/>
    <x v="6"/>
    <x v="10"/>
  </r>
  <r>
    <s v="CLM101133"/>
    <s v="PT10574"/>
    <s v="P01"/>
    <x v="1"/>
    <x v="11"/>
    <n v="1"/>
    <d v="2026-02-06T00:00:00"/>
    <d v="2026-02-11T00:00:00"/>
    <n v="1164.3800000000001"/>
    <m/>
    <m/>
    <m/>
    <s v="Denied"/>
    <s v="CO-16"/>
    <d v="2026-03-23T00:00:00"/>
    <m/>
    <n v="1150"/>
    <n v="0.45"/>
    <n v="517.5"/>
    <s v=""/>
    <x v="2"/>
    <x v="5"/>
    <x v="0"/>
  </r>
  <r>
    <s v="CLM101134"/>
    <s v="PT12973"/>
    <s v="P02"/>
    <x v="0"/>
    <x v="7"/>
    <n v="1"/>
    <d v="2026-03-29T00:00:00"/>
    <d v="2026-04-12T00:00:00"/>
    <n v="204.59"/>
    <n v="98.15"/>
    <n v="98.15"/>
    <n v="0"/>
    <s v="Paid"/>
    <s v=""/>
    <d v="2026-05-20T00:00:00"/>
    <d v="2026-05-20T00:00:00"/>
    <n v="210"/>
    <n v="0.43"/>
    <n v="90.3"/>
    <n v="-7.8500000000000085"/>
    <x v="0"/>
    <x v="6"/>
    <x v="2"/>
  </r>
  <r>
    <s v="CLM101135"/>
    <s v="PT10951"/>
    <s v="P01"/>
    <x v="3"/>
    <x v="7"/>
    <n v="1"/>
    <d v="2026-05-16T00:00:00"/>
    <d v="2026-05-18T00:00:00"/>
    <n v="205.49"/>
    <n v="96.4"/>
    <n v="77.12"/>
    <n v="19.28"/>
    <s v="Paid"/>
    <s v=""/>
    <d v="2026-06-04T00:00:00"/>
    <d v="2026-06-04T00:00:00"/>
    <n v="210"/>
    <n v="0.45"/>
    <n v="94.5"/>
    <n v="-1.9000000000000057"/>
    <x v="0"/>
    <x v="5"/>
    <x v="7"/>
  </r>
  <r>
    <s v="CLM101136"/>
    <s v="PT11398"/>
    <s v="P06"/>
    <x v="3"/>
    <x v="6"/>
    <n v="1"/>
    <d v="2026-07-05T00:00:00"/>
    <d v="2026-07-08T00:00:00"/>
    <n v="426.12"/>
    <m/>
    <m/>
    <m/>
    <s v="Denied"/>
    <s v="CO-27"/>
    <d v="2026-08-15T00:00:00"/>
    <m/>
    <n v="420"/>
    <n v="0.27"/>
    <n v="113.4"/>
    <s v=""/>
    <x v="2"/>
    <x v="2"/>
    <x v="1"/>
  </r>
  <r>
    <s v="CLM101137"/>
    <s v="PT10362"/>
    <s v="P02"/>
    <x v="2"/>
    <x v="2"/>
    <n v="1"/>
    <d v="2026-02-08T00:00:00"/>
    <d v="2026-02-11T00:00:00"/>
    <n v="62.47"/>
    <n v="29.74"/>
    <n v="29.74"/>
    <n v="0"/>
    <s v="Paid"/>
    <s v=""/>
    <d v="2026-03-07T00:00:00"/>
    <d v="2026-03-07T00:00:00"/>
    <n v="62"/>
    <n v="0.43"/>
    <n v="26.66"/>
    <n v="-3.0799999999999983"/>
    <x v="0"/>
    <x v="6"/>
    <x v="0"/>
  </r>
  <r>
    <s v="CLM101138"/>
    <s v="PT10232"/>
    <s v="P08"/>
    <x v="2"/>
    <x v="0"/>
    <n v="1"/>
    <d v="2026-04-04T00:00:00"/>
    <d v="2026-04-12T00:00:00"/>
    <n v="142.75"/>
    <m/>
    <m/>
    <m/>
    <s v="Pending"/>
    <s v=""/>
    <m/>
    <m/>
    <n v="145"/>
    <n v="1"/>
    <n v="145"/>
    <s v=""/>
    <x v="2"/>
    <x v="7"/>
    <x v="10"/>
  </r>
  <r>
    <s v="CLM101139"/>
    <s v="PT10414"/>
    <s v="P06"/>
    <x v="0"/>
    <x v="8"/>
    <n v="1"/>
    <d v="2026-02-19T00:00:00"/>
    <d v="2026-02-24T00:00:00"/>
    <n v="266.31"/>
    <n v="75.64"/>
    <n v="75.64"/>
    <n v="0"/>
    <s v="Paid"/>
    <s v=""/>
    <d v="2026-04-04T00:00:00"/>
    <d v="2026-04-04T00:00:00"/>
    <n v="260"/>
    <n v="0.27"/>
    <n v="70.2"/>
    <n v="-5.4399999999999977"/>
    <x v="0"/>
    <x v="2"/>
    <x v="0"/>
  </r>
  <r>
    <s v="CLM101140"/>
    <s v="PT12296"/>
    <s v="P02"/>
    <x v="3"/>
    <x v="6"/>
    <n v="1"/>
    <d v="2026-06-11T00:00:00"/>
    <d v="2026-06-14T00:00:00"/>
    <n v="412.98"/>
    <n v="203.86"/>
    <n v="163.09"/>
    <n v="40.770000000000003"/>
    <s v="Paid"/>
    <s v=""/>
    <d v="2026-07-25T00:00:00"/>
    <d v="2026-07-25T00:00:00"/>
    <n v="420"/>
    <n v="0.43"/>
    <n v="180.6"/>
    <n v="-23.260000000000019"/>
    <x v="0"/>
    <x v="6"/>
    <x v="11"/>
  </r>
  <r>
    <s v="CLM101141"/>
    <s v="PT10481"/>
    <s v="P04"/>
    <x v="0"/>
    <x v="4"/>
    <n v="1"/>
    <d v="2026-09-07T00:00:00"/>
    <d v="2026-09-11T00:00:00"/>
    <n v="37.729999999999997"/>
    <m/>
    <m/>
    <m/>
    <s v="Pending"/>
    <s v=""/>
    <m/>
    <m/>
    <n v="38"/>
    <n v="0.36"/>
    <n v="13.68"/>
    <s v=""/>
    <x v="2"/>
    <x v="1"/>
    <x v="8"/>
  </r>
  <r>
    <s v="CLM101142"/>
    <s v="PT13228"/>
    <s v="P02"/>
    <x v="2"/>
    <x v="2"/>
    <n v="4"/>
    <d v="2026-09-10T00:00:00"/>
    <d v="2026-09-13T00:00:00"/>
    <n v="254.01"/>
    <m/>
    <m/>
    <m/>
    <s v="Pending"/>
    <s v=""/>
    <m/>
    <m/>
    <n v="62"/>
    <n v="0.43"/>
    <n v="106.64"/>
    <s v=""/>
    <x v="2"/>
    <x v="6"/>
    <x v="8"/>
  </r>
  <r>
    <s v="CLM101143"/>
    <s v="PT12322"/>
    <s v="P04"/>
    <x v="0"/>
    <x v="4"/>
    <n v="1"/>
    <d v="2026-06-25T00:00:00"/>
    <d v="2026-06-28T00:00:00"/>
    <n v="36.94"/>
    <n v="14.31"/>
    <n v="14.31"/>
    <n v="0"/>
    <s v="Paid"/>
    <s v=""/>
    <d v="2026-07-05T00:00:00"/>
    <d v="2026-07-05T00:00:00"/>
    <n v="38"/>
    <n v="0.36"/>
    <n v="13.68"/>
    <n v="-0.63000000000000078"/>
    <x v="0"/>
    <x v="1"/>
    <x v="11"/>
  </r>
  <r>
    <s v="CLM101144"/>
    <s v="PT11468"/>
    <s v="P07"/>
    <x v="1"/>
    <x v="4"/>
    <n v="1"/>
    <d v="2025-11-20T00:00:00"/>
    <d v="2025-11-23T00:00:00"/>
    <n v="37.53"/>
    <m/>
    <m/>
    <m/>
    <s v="Denied"/>
    <s v="CO-27"/>
    <d v="2026-02-08T00:00:00"/>
    <m/>
    <n v="38"/>
    <n v="0.28000000000000003"/>
    <n v="10.64"/>
    <s v=""/>
    <x v="2"/>
    <x v="3"/>
    <x v="3"/>
  </r>
  <r>
    <s v="CLM101145"/>
    <s v="PT13033"/>
    <s v="P02"/>
    <x v="0"/>
    <x v="7"/>
    <n v="1"/>
    <d v="2025-10-25T00:00:00"/>
    <d v="2025-10-30T00:00:00"/>
    <n v="207.79"/>
    <n v="96.25"/>
    <n v="86.63"/>
    <n v="9.6199999999999992"/>
    <s v="Paid"/>
    <s v=""/>
    <d v="2025-12-07T00:00:00"/>
    <d v="2025-12-07T00:00:00"/>
    <n v="210"/>
    <n v="0.43"/>
    <n v="90.3"/>
    <n v="-5.9500000000000028"/>
    <x v="0"/>
    <x v="6"/>
    <x v="9"/>
  </r>
  <r>
    <s v="CLM101146"/>
    <s v="PT11296"/>
    <s v="P06"/>
    <x v="0"/>
    <x v="8"/>
    <n v="1"/>
    <d v="2025-12-28T00:00:00"/>
    <d v="2026-01-05T00:00:00"/>
    <n v="265.38"/>
    <n v="74.25"/>
    <n v="74.25"/>
    <n v="0"/>
    <s v="Paid"/>
    <s v=""/>
    <d v="2026-02-26T00:00:00"/>
    <d v="2026-02-26T00:00:00"/>
    <n v="260"/>
    <n v="0.27"/>
    <n v="70.2"/>
    <n v="-4.0499999999999972"/>
    <x v="0"/>
    <x v="2"/>
    <x v="6"/>
  </r>
  <r>
    <s v="CLM101147"/>
    <s v="PT13300"/>
    <s v="P07"/>
    <x v="2"/>
    <x v="2"/>
    <n v="4"/>
    <d v="2025-11-16T00:00:00"/>
    <d v="2025-11-20T00:00:00"/>
    <n v="246.6"/>
    <n v="62.43"/>
    <n v="56.19"/>
    <n v="6.24"/>
    <s v="Paid"/>
    <s v=""/>
    <d v="2026-02-02T00:00:00"/>
    <d v="2026-02-02T00:00:00"/>
    <n v="62"/>
    <n v="0.28000000000000003"/>
    <n v="69.44"/>
    <n v="7.009999999999998"/>
    <x v="1"/>
    <x v="3"/>
    <x v="3"/>
  </r>
  <r>
    <s v="CLM101148"/>
    <s v="PT13099"/>
    <s v="P05"/>
    <x v="0"/>
    <x v="8"/>
    <n v="1"/>
    <d v="2025-12-26T00:00:00"/>
    <d v="2025-12-27T00:00:00"/>
    <n v="257.24"/>
    <n v="110.91"/>
    <n v="99.82"/>
    <n v="11.09"/>
    <s v="Paid"/>
    <s v=""/>
    <d v="2026-02-02T00:00:00"/>
    <d v="2026-02-02T00:00:00"/>
    <n v="260"/>
    <n v="0.38"/>
    <n v="98.8"/>
    <n v="-12.11"/>
    <x v="0"/>
    <x v="0"/>
    <x v="6"/>
  </r>
  <r>
    <s v="CLM101149"/>
    <s v="PT10597"/>
    <s v="P02"/>
    <x v="0"/>
    <x v="7"/>
    <n v="1"/>
    <d v="2026-09-22T00:00:00"/>
    <d v="2026-09-23T00:00:00"/>
    <n v="204.66"/>
    <m/>
    <m/>
    <m/>
    <s v="Pending"/>
    <s v=""/>
    <m/>
    <m/>
    <n v="210"/>
    <n v="0.43"/>
    <n v="90.3"/>
    <s v=""/>
    <x v="2"/>
    <x v="6"/>
    <x v="8"/>
  </r>
  <r>
    <s v="CLM101150"/>
    <s v="PT12512"/>
    <s v="P02"/>
    <x v="3"/>
    <x v="7"/>
    <n v="1"/>
    <d v="2025-12-08T00:00:00"/>
    <d v="2025-12-09T00:00:00"/>
    <n v="215.31"/>
    <n v="101.05"/>
    <n v="90.94"/>
    <n v="10.11"/>
    <s v="Paid"/>
    <s v=""/>
    <d v="2025-12-24T00:00:00"/>
    <d v="2025-12-24T00:00:00"/>
    <n v="210"/>
    <n v="0.43"/>
    <n v="90.3"/>
    <n v="-10.75"/>
    <x v="0"/>
    <x v="6"/>
    <x v="6"/>
  </r>
  <r>
    <s v="CLM101151"/>
    <s v="PT11004"/>
    <s v="P02"/>
    <x v="0"/>
    <x v="0"/>
    <n v="1"/>
    <d v="2026-01-24T00:00:00"/>
    <d v="2026-01-25T00:00:00"/>
    <n v="144.5"/>
    <n v="64.989999999999995"/>
    <n v="64.989999999999995"/>
    <n v="0"/>
    <s v="Paid"/>
    <s v=""/>
    <d v="2026-02-24T00:00:00"/>
    <d v="2026-02-24T00:00:00"/>
    <n v="145"/>
    <n v="0.43"/>
    <n v="62.35"/>
    <n v="-2.6399999999999935"/>
    <x v="0"/>
    <x v="6"/>
    <x v="5"/>
  </r>
  <r>
    <s v="CLM101152"/>
    <s v="PT12278"/>
    <s v="P04"/>
    <x v="2"/>
    <x v="9"/>
    <n v="1"/>
    <d v="2026-01-19T00:00:00"/>
    <d v="2026-06-02T00:00:00"/>
    <n v="56.3"/>
    <m/>
    <m/>
    <m/>
    <s v="Denied"/>
    <s v="CO-29"/>
    <d v="2026-06-26T00:00:00"/>
    <m/>
    <n v="58"/>
    <n v="0.36"/>
    <n v="20.88"/>
    <s v=""/>
    <x v="2"/>
    <x v="1"/>
    <x v="5"/>
  </r>
  <r>
    <s v="CLM101153"/>
    <s v="PT13290"/>
    <s v="P02"/>
    <x v="0"/>
    <x v="7"/>
    <n v="1"/>
    <d v="2026-06-23T00:00:00"/>
    <d v="2026-06-27T00:00:00"/>
    <n v="211.02"/>
    <n v="103.66"/>
    <n v="93.29"/>
    <n v="10.37"/>
    <s v="Paid"/>
    <s v=""/>
    <d v="2026-07-28T00:00:00"/>
    <d v="2026-07-28T00:00:00"/>
    <n v="210"/>
    <n v="0.43"/>
    <n v="90.3"/>
    <n v="-13.36"/>
    <x v="0"/>
    <x v="6"/>
    <x v="11"/>
  </r>
  <r>
    <s v="CLM101154"/>
    <s v="PT13258"/>
    <s v="P02"/>
    <x v="2"/>
    <x v="9"/>
    <n v="1"/>
    <d v="2026-01-29T00:00:00"/>
    <d v="2026-01-30T00:00:00"/>
    <n v="58.14"/>
    <n v="27.39"/>
    <n v="27.39"/>
    <n v="0"/>
    <s v="Paid"/>
    <s v=""/>
    <d v="2026-02-15T00:00:00"/>
    <d v="2026-02-15T00:00:00"/>
    <n v="58"/>
    <n v="0.43"/>
    <n v="24.94"/>
    <n v="-2.4499999999999993"/>
    <x v="0"/>
    <x v="6"/>
    <x v="5"/>
  </r>
  <r>
    <s v="CLM101155"/>
    <s v="PT12269"/>
    <s v="P01"/>
    <x v="0"/>
    <x v="7"/>
    <n v="1"/>
    <d v="2026-06-17T00:00:00"/>
    <d v="2026-06-21T00:00:00"/>
    <n v="212.63"/>
    <m/>
    <m/>
    <m/>
    <s v="Denied"/>
    <s v="CO-18"/>
    <d v="2026-07-11T00:00:00"/>
    <m/>
    <n v="210"/>
    <n v="0.45"/>
    <n v="94.5"/>
    <s v=""/>
    <x v="2"/>
    <x v="5"/>
    <x v="11"/>
  </r>
  <r>
    <s v="CLM101156"/>
    <s v="PT10090"/>
    <s v="P04"/>
    <x v="1"/>
    <x v="11"/>
    <n v="1"/>
    <d v="2025-10-28T00:00:00"/>
    <d v="2025-10-31T00:00:00"/>
    <n v="1147.26"/>
    <n v="357.08"/>
    <n v="357.08"/>
    <n v="0"/>
    <s v="Paid"/>
    <s v=""/>
    <d v="2025-11-24T00:00:00"/>
    <d v="2025-11-24T00:00:00"/>
    <n v="1150"/>
    <n v="0.36"/>
    <n v="414"/>
    <n v="56.920000000000016"/>
    <x v="1"/>
    <x v="1"/>
    <x v="9"/>
  </r>
  <r>
    <s v="CLM101157"/>
    <s v="PT12922"/>
    <s v="P07"/>
    <x v="0"/>
    <x v="0"/>
    <n v="1"/>
    <d v="2026-06-02T00:00:00"/>
    <d v="2026-06-03T00:00:00"/>
    <n v="148.19999999999999"/>
    <n v="35.76"/>
    <n v="35.76"/>
    <n v="0"/>
    <s v="Paid"/>
    <s v=""/>
    <d v="2026-07-29T00:00:00"/>
    <d v="2026-07-29T00:00:00"/>
    <n v="145"/>
    <n v="0.28000000000000003"/>
    <n v="40.6"/>
    <n v="4.8400000000000034"/>
    <x v="1"/>
    <x v="3"/>
    <x v="11"/>
  </r>
  <r>
    <s v="CLM101158"/>
    <s v="PT11353"/>
    <s v="P05"/>
    <x v="0"/>
    <x v="4"/>
    <n v="1"/>
    <d v="2025-12-08T00:00:00"/>
    <d v="2025-12-09T00:00:00"/>
    <n v="39.11"/>
    <n v="15.14"/>
    <n v="13.63"/>
    <n v="1.51"/>
    <s v="Paid"/>
    <s v=""/>
    <d v="2026-01-10T00:00:00"/>
    <d v="2026-01-10T00:00:00"/>
    <n v="38"/>
    <n v="0.38"/>
    <n v="14.44"/>
    <n v="-0.70000000000000107"/>
    <x v="0"/>
    <x v="0"/>
    <x v="6"/>
  </r>
  <r>
    <s v="CLM101159"/>
    <s v="PT12406"/>
    <s v="P07"/>
    <x v="1"/>
    <x v="5"/>
    <n v="1"/>
    <d v="2026-04-27T00:00:00"/>
    <d v="2026-05-01T00:00:00"/>
    <n v="4697.54"/>
    <n v="1234.96"/>
    <n v="1111.46"/>
    <n v="123.5"/>
    <s v="Paid"/>
    <s v=""/>
    <d v="2026-07-26T00:00:00"/>
    <d v="2026-07-26T00:00:00"/>
    <n v="4800"/>
    <n v="0.28000000000000003"/>
    <n v="1344"/>
    <n v="109.03999999999996"/>
    <x v="1"/>
    <x v="3"/>
    <x v="10"/>
  </r>
  <r>
    <s v="CLM101160"/>
    <s v="PT13423"/>
    <s v="P04"/>
    <x v="1"/>
    <x v="8"/>
    <n v="1"/>
    <d v="2026-06-29T00:00:00"/>
    <d v="2026-06-30T00:00:00"/>
    <n v="258.64999999999998"/>
    <n v="107.01"/>
    <n v="107.01"/>
    <n v="0"/>
    <s v="Paid"/>
    <s v=""/>
    <d v="2026-07-18T00:00:00"/>
    <d v="2026-07-18T00:00:00"/>
    <n v="260"/>
    <n v="0.36"/>
    <n v="93.6"/>
    <n v="-13.410000000000011"/>
    <x v="0"/>
    <x v="1"/>
    <x v="11"/>
  </r>
  <r>
    <s v="CLM101161"/>
    <s v="PT12852"/>
    <s v="P07"/>
    <x v="1"/>
    <x v="4"/>
    <n v="1"/>
    <d v="2025-12-01T00:00:00"/>
    <d v="2025-12-02T00:00:00"/>
    <n v="37.619999999999997"/>
    <n v="11.15"/>
    <n v="8.92"/>
    <n v="2.23"/>
    <s v="Paid"/>
    <s v=""/>
    <d v="2026-01-18T00:00:00"/>
    <d v="2026-01-18T00:00:00"/>
    <n v="38"/>
    <n v="0.28000000000000003"/>
    <n v="10.64"/>
    <n v="-0.50999999999999979"/>
    <x v="0"/>
    <x v="3"/>
    <x v="6"/>
  </r>
  <r>
    <s v="CLM101162"/>
    <s v="PT11067"/>
    <s v="P01"/>
    <x v="0"/>
    <x v="8"/>
    <n v="1"/>
    <d v="2026-03-09T00:00:00"/>
    <d v="2026-03-14T00:00:00"/>
    <n v="257.74"/>
    <n v="115.97"/>
    <n v="115.97"/>
    <n v="0"/>
    <s v="Paid"/>
    <s v=""/>
    <d v="2026-03-28T00:00:00"/>
    <d v="2026-03-28T00:00:00"/>
    <n v="260"/>
    <n v="0.45"/>
    <n v="117"/>
    <n v="1.0300000000000011"/>
    <x v="0"/>
    <x v="5"/>
    <x v="2"/>
  </r>
  <r>
    <s v="CLM101163"/>
    <s v="PT12281"/>
    <s v="P02"/>
    <x v="0"/>
    <x v="7"/>
    <n v="1"/>
    <d v="2026-08-28T00:00:00"/>
    <d v="2026-08-30T00:00:00"/>
    <n v="211.68"/>
    <m/>
    <m/>
    <m/>
    <s v="Pending"/>
    <s v=""/>
    <m/>
    <m/>
    <n v="210"/>
    <n v="0.43"/>
    <n v="90.3"/>
    <s v=""/>
    <x v="2"/>
    <x v="6"/>
    <x v="4"/>
  </r>
  <r>
    <s v="CLM101164"/>
    <s v="PT12326"/>
    <s v="P01"/>
    <x v="1"/>
    <x v="11"/>
    <n v="1"/>
    <d v="2025-10-01T00:00:00"/>
    <d v="2025-10-05T00:00:00"/>
    <n v="1181.99"/>
    <m/>
    <m/>
    <m/>
    <s v="Denied"/>
    <s v="CO-50"/>
    <d v="2025-11-03T00:00:00"/>
    <m/>
    <n v="1150"/>
    <n v="0.45"/>
    <n v="517.5"/>
    <s v=""/>
    <x v="2"/>
    <x v="5"/>
    <x v="9"/>
  </r>
  <r>
    <s v="CLM101165"/>
    <s v="PT12893"/>
    <s v="P01"/>
    <x v="2"/>
    <x v="2"/>
    <n v="2"/>
    <d v="2026-08-14T00:00:00"/>
    <d v="2026-08-15T00:00:00"/>
    <n v="121.63"/>
    <n v="61.76"/>
    <n v="49.41"/>
    <n v="12.35"/>
    <s v="Paid"/>
    <s v=""/>
    <d v="2026-09-03T00:00:00"/>
    <d v="2026-09-03T00:00:00"/>
    <n v="62"/>
    <n v="0.45"/>
    <n v="55.8"/>
    <n v="-5.9600000000000009"/>
    <x v="0"/>
    <x v="5"/>
    <x v="4"/>
  </r>
  <r>
    <s v="CLM101166"/>
    <s v="PT11193"/>
    <s v="P03"/>
    <x v="2"/>
    <x v="2"/>
    <n v="1"/>
    <d v="2026-05-16T00:00:00"/>
    <d v="2026-05-27T00:00:00"/>
    <n v="62.45"/>
    <n v="26.02"/>
    <n v="23.42"/>
    <n v="2.6"/>
    <s v="Paid"/>
    <s v=""/>
    <d v="2026-06-30T00:00:00"/>
    <d v="2026-06-30T00:00:00"/>
    <n v="62"/>
    <n v="0.47"/>
    <n v="29.14"/>
    <n v="3.120000000000001"/>
    <x v="1"/>
    <x v="4"/>
    <x v="7"/>
  </r>
  <r>
    <s v="CLM101167"/>
    <s v="PT12697"/>
    <s v="P01"/>
    <x v="1"/>
    <x v="4"/>
    <n v="1"/>
    <d v="2026-06-23T00:00:00"/>
    <d v="2026-06-24T00:00:00"/>
    <n v="37.24"/>
    <n v="14.96"/>
    <n v="11.97"/>
    <n v="2.99"/>
    <s v="Paid"/>
    <s v=""/>
    <d v="2026-07-16T00:00:00"/>
    <d v="2026-07-16T00:00:00"/>
    <n v="38"/>
    <n v="0.45"/>
    <n v="17.100000000000001"/>
    <n v="2.1400000000000006"/>
    <x v="1"/>
    <x v="5"/>
    <x v="11"/>
  </r>
  <r>
    <s v="CLM101168"/>
    <s v="PT10771"/>
    <s v="P06"/>
    <x v="0"/>
    <x v="4"/>
    <n v="1"/>
    <d v="2025-11-29T00:00:00"/>
    <d v="2025-11-30T00:00:00"/>
    <n v="38.380000000000003"/>
    <n v="9.2100000000000009"/>
    <n v="7.37"/>
    <n v="1.84"/>
    <s v="Paid"/>
    <s v=""/>
    <d v="2026-01-01T00:00:00"/>
    <d v="2026-01-01T00:00:00"/>
    <n v="38"/>
    <n v="0.27"/>
    <n v="10.26"/>
    <n v="1.0499999999999989"/>
    <x v="1"/>
    <x v="2"/>
    <x v="3"/>
  </r>
  <r>
    <s v="CLM101169"/>
    <s v="PT13100"/>
    <s v="P02"/>
    <x v="3"/>
    <x v="3"/>
    <n v="5"/>
    <d v="2026-06-03T00:00:00"/>
    <d v="2026-06-04T00:00:00"/>
    <n v="7401.28"/>
    <n v="3569.48"/>
    <n v="2855.58"/>
    <n v="713.9"/>
    <s v="Paid"/>
    <s v=""/>
    <d v="2026-06-22T00:00:00"/>
    <d v="2026-06-22T00:00:00"/>
    <n v="1450"/>
    <n v="0.43"/>
    <n v="3117.5"/>
    <n v="-451.98"/>
    <x v="0"/>
    <x v="6"/>
    <x v="11"/>
  </r>
  <r>
    <s v="CLM101170"/>
    <s v="PT11544"/>
    <s v="P02"/>
    <x v="0"/>
    <x v="7"/>
    <n v="1"/>
    <d v="2025-12-09T00:00:00"/>
    <d v="2025-12-10T00:00:00"/>
    <n v="209.34"/>
    <n v="87.44"/>
    <n v="69.95"/>
    <n v="17.489999999999998"/>
    <s v="Paid"/>
    <s v=""/>
    <d v="2026-01-05T00:00:00"/>
    <d v="2026-01-05T00:00:00"/>
    <n v="210"/>
    <n v="0.43"/>
    <n v="90.3"/>
    <n v="2.8599999999999994"/>
    <x v="0"/>
    <x v="6"/>
    <x v="6"/>
  </r>
  <r>
    <s v="CLM101171"/>
    <s v="PT12160"/>
    <s v="P03"/>
    <x v="1"/>
    <x v="8"/>
    <n v="1"/>
    <d v="2026-03-14T00:00:00"/>
    <d v="2026-03-18T00:00:00"/>
    <n v="260.95999999999998"/>
    <n v="142.19"/>
    <n v="142.19"/>
    <n v="0"/>
    <s v="Paid"/>
    <s v=""/>
    <d v="2026-05-05T00:00:00"/>
    <d v="2026-05-05T00:00:00"/>
    <n v="260"/>
    <n v="0.47"/>
    <n v="122.2"/>
    <n v="-19.989999999999995"/>
    <x v="0"/>
    <x v="4"/>
    <x v="2"/>
  </r>
  <r>
    <s v="CLM101172"/>
    <s v="PT11240"/>
    <s v="P07"/>
    <x v="2"/>
    <x v="2"/>
    <n v="3"/>
    <d v="2026-03-07T00:00:00"/>
    <d v="2026-03-11T00:00:00"/>
    <n v="188.77"/>
    <m/>
    <m/>
    <m/>
    <s v="Denied"/>
    <s v="CO-16"/>
    <d v="2026-04-09T00:00:00"/>
    <m/>
    <n v="62"/>
    <n v="0.28000000000000003"/>
    <n v="52.08"/>
    <s v=""/>
    <x v="2"/>
    <x v="3"/>
    <x v="2"/>
  </r>
  <r>
    <s v="CLM101173"/>
    <s v="PT10298"/>
    <s v="P03"/>
    <x v="2"/>
    <x v="0"/>
    <n v="1"/>
    <d v="2025-12-31T00:00:00"/>
    <d v="2026-04-18T00:00:00"/>
    <n v="145.08000000000001"/>
    <m/>
    <m/>
    <m/>
    <s v="Denied"/>
    <s v="CO-29"/>
    <d v="2026-06-18T00:00:00"/>
    <m/>
    <n v="145"/>
    <n v="0.47"/>
    <n v="68.150000000000006"/>
    <s v=""/>
    <x v="2"/>
    <x v="4"/>
    <x v="6"/>
  </r>
  <r>
    <s v="CLM101174"/>
    <s v="PT11189"/>
    <s v="P01"/>
    <x v="3"/>
    <x v="6"/>
    <n v="1"/>
    <d v="2026-08-24T00:00:00"/>
    <d v="2026-08-25T00:00:00"/>
    <n v="422.85"/>
    <n v="213.98"/>
    <n v="213.98"/>
    <n v="0"/>
    <s v="Paid"/>
    <s v=""/>
    <d v="2026-09-13T00:00:00"/>
    <d v="2026-09-13T00:00:00"/>
    <n v="420"/>
    <n v="0.45"/>
    <n v="189"/>
    <n v="-24.97999999999999"/>
    <x v="0"/>
    <x v="5"/>
    <x v="4"/>
  </r>
  <r>
    <s v="CLM101175"/>
    <s v="PT12452"/>
    <s v="P04"/>
    <x v="1"/>
    <x v="7"/>
    <n v="1"/>
    <d v="2026-03-19T00:00:00"/>
    <d v="2026-04-06T00:00:00"/>
    <n v="216.1"/>
    <n v="74.69"/>
    <n v="74.69"/>
    <n v="0"/>
    <s v="Paid"/>
    <s v=""/>
    <d v="2026-04-24T00:00:00"/>
    <d v="2026-04-24T00:00:00"/>
    <n v="210"/>
    <n v="0.36"/>
    <n v="75.599999999999994"/>
    <n v="0.90999999999999659"/>
    <x v="0"/>
    <x v="1"/>
    <x v="2"/>
  </r>
  <r>
    <s v="CLM101176"/>
    <s v="PT11676"/>
    <s v="P02"/>
    <x v="1"/>
    <x v="4"/>
    <n v="1"/>
    <d v="2026-05-05T00:00:00"/>
    <d v="2026-05-10T00:00:00"/>
    <n v="38.409999999999997"/>
    <n v="15.45"/>
    <n v="13.91"/>
    <n v="1.54"/>
    <s v="Paid"/>
    <s v=""/>
    <d v="2026-06-08T00:00:00"/>
    <d v="2026-06-08T00:00:00"/>
    <n v="38"/>
    <n v="0.43"/>
    <n v="16.34"/>
    <n v="0.89000000000000057"/>
    <x v="1"/>
    <x v="6"/>
    <x v="7"/>
  </r>
  <r>
    <s v="CLM101177"/>
    <s v="PT10171"/>
    <s v="P06"/>
    <x v="3"/>
    <x v="6"/>
    <n v="1"/>
    <d v="2026-04-12T00:00:00"/>
    <d v="2026-04-22T00:00:00"/>
    <n v="414.41"/>
    <n v="111.48"/>
    <n v="89.18"/>
    <n v="22.3"/>
    <s v="Paid"/>
    <s v=""/>
    <d v="2026-05-18T00:00:00"/>
    <d v="2026-05-18T00:00:00"/>
    <n v="420"/>
    <n v="0.27"/>
    <n v="113.4"/>
    <n v="1.9200000000000017"/>
    <x v="0"/>
    <x v="2"/>
    <x v="10"/>
  </r>
  <r>
    <s v="CLM101178"/>
    <s v="PT12001"/>
    <s v="P01"/>
    <x v="3"/>
    <x v="6"/>
    <n v="1"/>
    <d v="2026-09-19T00:00:00"/>
    <d v="2026-09-24T00:00:00"/>
    <n v="413.02"/>
    <m/>
    <m/>
    <m/>
    <s v="Pending"/>
    <s v=""/>
    <m/>
    <m/>
    <n v="420"/>
    <n v="0.45"/>
    <n v="189"/>
    <s v=""/>
    <x v="2"/>
    <x v="5"/>
    <x v="8"/>
  </r>
  <r>
    <s v="CLM101179"/>
    <s v="PT10444"/>
    <s v="P02"/>
    <x v="1"/>
    <x v="1"/>
    <n v="1"/>
    <d v="2026-02-09T00:00:00"/>
    <d v="2026-02-15T00:00:00"/>
    <n v="246.56"/>
    <n v="98.35"/>
    <n v="88.51"/>
    <n v="9.84"/>
    <s v="Paid"/>
    <s v=""/>
    <d v="2026-03-14T00:00:00"/>
    <d v="2026-03-14T00:00:00"/>
    <n v="240"/>
    <n v="0.43"/>
    <n v="103.2"/>
    <n v="4.8500000000000085"/>
    <x v="0"/>
    <x v="6"/>
    <x v="0"/>
  </r>
  <r>
    <s v="CLM101180"/>
    <s v="PT11920"/>
    <s v="P06"/>
    <x v="3"/>
    <x v="6"/>
    <n v="1"/>
    <d v="2026-01-12T00:00:00"/>
    <d v="2026-01-16T00:00:00"/>
    <n v="431.35"/>
    <n v="102.95"/>
    <n v="102.95"/>
    <n v="0"/>
    <s v="Paid"/>
    <s v=""/>
    <d v="2026-03-19T00:00:00"/>
    <d v="2026-03-19T00:00:00"/>
    <n v="420"/>
    <n v="0.27"/>
    <n v="113.4"/>
    <n v="10.450000000000003"/>
    <x v="1"/>
    <x v="2"/>
    <x v="5"/>
  </r>
  <r>
    <s v="CLM101181"/>
    <s v="PT11810"/>
    <s v="P01"/>
    <x v="0"/>
    <x v="0"/>
    <n v="1"/>
    <d v="2026-04-17T00:00:00"/>
    <d v="2026-04-23T00:00:00"/>
    <n v="142.25"/>
    <n v="58.87"/>
    <n v="58.87"/>
    <n v="0"/>
    <s v="Paid"/>
    <s v=""/>
    <d v="2026-05-14T00:00:00"/>
    <d v="2026-05-14T00:00:00"/>
    <n v="145"/>
    <n v="0.45"/>
    <n v="65.25"/>
    <n v="6.3800000000000026"/>
    <x v="1"/>
    <x v="5"/>
    <x v="10"/>
  </r>
  <r>
    <s v="CLM101182"/>
    <s v="PT10625"/>
    <s v="P04"/>
    <x v="0"/>
    <x v="0"/>
    <n v="1"/>
    <d v="2026-06-15T00:00:00"/>
    <d v="2026-06-16T00:00:00"/>
    <n v="147.32"/>
    <n v="50.03"/>
    <n v="50.03"/>
    <n v="0"/>
    <s v="Paid"/>
    <s v=""/>
    <d v="2026-06-30T00:00:00"/>
    <d v="2026-06-30T00:00:00"/>
    <n v="145"/>
    <n v="0.36"/>
    <n v="52.2"/>
    <n v="2.1700000000000017"/>
    <x v="0"/>
    <x v="1"/>
    <x v="11"/>
  </r>
  <r>
    <s v="CLM101183"/>
    <s v="PT12569"/>
    <s v="P07"/>
    <x v="0"/>
    <x v="8"/>
    <n v="1"/>
    <d v="2026-03-29T00:00:00"/>
    <d v="2026-04-08T00:00:00"/>
    <n v="259.41000000000003"/>
    <m/>
    <m/>
    <m/>
    <s v="Denied"/>
    <s v="CO-27"/>
    <d v="2026-05-25T00:00:00"/>
    <m/>
    <n v="260"/>
    <n v="0.28000000000000003"/>
    <n v="72.8"/>
    <s v=""/>
    <x v="2"/>
    <x v="3"/>
    <x v="2"/>
  </r>
  <r>
    <s v="CLM101184"/>
    <s v="PT11679"/>
    <s v="P04"/>
    <x v="1"/>
    <x v="7"/>
    <n v="1"/>
    <d v="2026-02-25T00:00:00"/>
    <d v="2026-02-26T00:00:00"/>
    <n v="210.72"/>
    <n v="65.400000000000006"/>
    <n v="65.400000000000006"/>
    <n v="0"/>
    <s v="Paid"/>
    <s v=""/>
    <d v="2026-03-15T00:00:00"/>
    <d v="2026-03-15T00:00:00"/>
    <n v="210"/>
    <n v="0.36"/>
    <n v="75.599999999999994"/>
    <n v="10.199999999999989"/>
    <x v="1"/>
    <x v="1"/>
    <x v="0"/>
  </r>
  <r>
    <s v="CLM101185"/>
    <s v="PT10239"/>
    <s v="P04"/>
    <x v="0"/>
    <x v="0"/>
    <n v="1"/>
    <d v="2025-12-26T00:00:00"/>
    <d v="2025-12-28T00:00:00"/>
    <n v="146.94999999999999"/>
    <m/>
    <m/>
    <m/>
    <s v="Denied"/>
    <s v="CO-18"/>
    <d v="2026-01-15T00:00:00"/>
    <m/>
    <n v="145"/>
    <n v="0.36"/>
    <n v="52.2"/>
    <s v=""/>
    <x v="2"/>
    <x v="1"/>
    <x v="6"/>
  </r>
  <r>
    <s v="CLM101186"/>
    <s v="PT11156"/>
    <s v="P06"/>
    <x v="3"/>
    <x v="3"/>
    <n v="5"/>
    <d v="2026-08-18T00:00:00"/>
    <d v="2026-08-19T00:00:00"/>
    <n v="7277.68"/>
    <n v="2216.11"/>
    <n v="1772.89"/>
    <n v="443.22"/>
    <s v="Paid"/>
    <s v=""/>
    <d v="2026-09-28T00:00:00"/>
    <d v="2026-09-28T00:00:00"/>
    <n v="1450"/>
    <n v="0.27"/>
    <n v="1957.5"/>
    <n v="-258.61000000000013"/>
    <x v="0"/>
    <x v="2"/>
    <x v="4"/>
  </r>
  <r>
    <s v="CLM101187"/>
    <s v="PT11860"/>
    <s v="P03"/>
    <x v="3"/>
    <x v="6"/>
    <n v="1"/>
    <d v="2026-01-30T00:00:00"/>
    <d v="2026-02-03T00:00:00"/>
    <n v="424.61"/>
    <n v="231.09"/>
    <n v="231.09"/>
    <n v="0"/>
    <s v="Paid"/>
    <s v=""/>
    <d v="2026-02-18T00:00:00"/>
    <d v="2026-02-18T00:00:00"/>
    <n v="420"/>
    <n v="0.47"/>
    <n v="197.4"/>
    <n v="-33.69"/>
    <x v="0"/>
    <x v="4"/>
    <x v="5"/>
  </r>
  <r>
    <s v="CLM101188"/>
    <s v="PT11507"/>
    <s v="P01"/>
    <x v="0"/>
    <x v="8"/>
    <n v="1"/>
    <d v="2026-02-24T00:00:00"/>
    <d v="2026-02-25T00:00:00"/>
    <n v="262.14"/>
    <n v="136.28"/>
    <n v="136.28"/>
    <n v="0"/>
    <s v="Paid"/>
    <s v=""/>
    <d v="2026-03-30T00:00:00"/>
    <d v="2026-03-30T00:00:00"/>
    <n v="260"/>
    <n v="0.45"/>
    <n v="117"/>
    <n v="-19.28"/>
    <x v="0"/>
    <x v="5"/>
    <x v="0"/>
  </r>
  <r>
    <s v="CLM101189"/>
    <s v="PT10852"/>
    <s v="P06"/>
    <x v="3"/>
    <x v="6"/>
    <n v="1"/>
    <d v="2025-12-13T00:00:00"/>
    <d v="2025-12-16T00:00:00"/>
    <n v="408.47"/>
    <n v="122.35"/>
    <n v="110.12"/>
    <n v="12.23"/>
    <s v="Paid"/>
    <s v=""/>
    <d v="2026-01-31T00:00:00"/>
    <d v="2026-01-31T00:00:00"/>
    <n v="420"/>
    <n v="0.27"/>
    <n v="113.4"/>
    <n v="-8.9499999999999886"/>
    <x v="0"/>
    <x v="2"/>
    <x v="6"/>
  </r>
  <r>
    <s v="CLM101190"/>
    <s v="PT12962"/>
    <s v="P07"/>
    <x v="2"/>
    <x v="9"/>
    <n v="4"/>
    <d v="2026-05-24T00:00:00"/>
    <d v="2026-06-06T00:00:00"/>
    <n v="231.34"/>
    <n v="67.86"/>
    <n v="67.86"/>
    <n v="0"/>
    <s v="Paid"/>
    <s v=""/>
    <d v="2026-08-05T00:00:00"/>
    <d v="2026-08-05T00:00:00"/>
    <n v="58"/>
    <n v="0.28000000000000003"/>
    <n v="64.959999999999994"/>
    <n v="-2.9000000000000057"/>
    <x v="0"/>
    <x v="3"/>
    <x v="7"/>
  </r>
  <r>
    <s v="CLM101191"/>
    <s v="PT11535"/>
    <s v="P01"/>
    <x v="0"/>
    <x v="7"/>
    <n v="1"/>
    <d v="2026-01-06T00:00:00"/>
    <d v="2026-01-18T00:00:00"/>
    <n v="210.86"/>
    <n v="103.27"/>
    <n v="82.62"/>
    <n v="20.65"/>
    <s v="Paid"/>
    <s v=""/>
    <d v="2026-02-08T00:00:00"/>
    <d v="2026-02-08T00:00:00"/>
    <n v="210"/>
    <n v="0.45"/>
    <n v="94.5"/>
    <n v="-8.769999999999996"/>
    <x v="0"/>
    <x v="5"/>
    <x v="5"/>
  </r>
  <r>
    <s v="CLM101192"/>
    <s v="PT10208"/>
    <s v="P02"/>
    <x v="3"/>
    <x v="3"/>
    <n v="5"/>
    <d v="2026-05-29T00:00:00"/>
    <d v="2026-06-01T00:00:00"/>
    <n v="7268.63"/>
    <n v="3547.91"/>
    <n v="2838.33"/>
    <n v="709.58"/>
    <s v="Paid"/>
    <s v=""/>
    <d v="2026-07-11T00:00:00"/>
    <d v="2026-07-11T00:00:00"/>
    <n v="1450"/>
    <n v="0.43"/>
    <n v="3117.5"/>
    <n v="-430.40999999999985"/>
    <x v="0"/>
    <x v="6"/>
    <x v="7"/>
  </r>
  <r>
    <s v="CLM101193"/>
    <s v="PT11119"/>
    <s v="P04"/>
    <x v="1"/>
    <x v="11"/>
    <n v="1"/>
    <d v="2025-12-20T00:00:00"/>
    <d v="2026-01-01T00:00:00"/>
    <n v="1161.02"/>
    <n v="475.6"/>
    <n v="475.6"/>
    <n v="0"/>
    <s v="Paid"/>
    <s v=""/>
    <d v="2026-01-22T00:00:00"/>
    <d v="2026-01-22T00:00:00"/>
    <n v="1150"/>
    <n v="0.36"/>
    <n v="414"/>
    <n v="-61.600000000000023"/>
    <x v="0"/>
    <x v="1"/>
    <x v="6"/>
  </r>
  <r>
    <s v="CLM101194"/>
    <s v="PT13024"/>
    <s v="P04"/>
    <x v="2"/>
    <x v="0"/>
    <n v="1"/>
    <d v="2025-12-19T00:00:00"/>
    <d v="2025-12-23T00:00:00"/>
    <n v="146.22999999999999"/>
    <n v="49.64"/>
    <n v="49.64"/>
    <n v="0"/>
    <s v="Paid"/>
    <s v=""/>
    <d v="2026-01-10T00:00:00"/>
    <d v="2026-01-10T00:00:00"/>
    <n v="145"/>
    <n v="0.36"/>
    <n v="52.2"/>
    <n v="2.5600000000000023"/>
    <x v="0"/>
    <x v="1"/>
    <x v="6"/>
  </r>
  <r>
    <s v="CLM101195"/>
    <s v="PT10216"/>
    <s v="P02"/>
    <x v="1"/>
    <x v="10"/>
    <n v="1"/>
    <d v="2026-08-10T00:00:00"/>
    <d v="2026-08-14T00:00:00"/>
    <n v="1051.93"/>
    <m/>
    <m/>
    <m/>
    <s v="Pending"/>
    <s v=""/>
    <m/>
    <m/>
    <n v="1050"/>
    <n v="0.43"/>
    <n v="451.5"/>
    <s v=""/>
    <x v="2"/>
    <x v="6"/>
    <x v="4"/>
  </r>
  <r>
    <s v="CLM101196"/>
    <s v="PT12552"/>
    <s v="P02"/>
    <x v="1"/>
    <x v="8"/>
    <n v="1"/>
    <d v="2026-04-01T00:00:00"/>
    <d v="2026-04-02T00:00:00"/>
    <n v="255.37"/>
    <n v="120.74"/>
    <n v="108.67"/>
    <n v="12.07"/>
    <s v="Paid"/>
    <s v=""/>
    <d v="2026-05-06T00:00:00"/>
    <d v="2026-05-06T00:00:00"/>
    <n v="260"/>
    <n v="0.43"/>
    <n v="111.8"/>
    <n v="-8.9399999999999977"/>
    <x v="0"/>
    <x v="6"/>
    <x v="10"/>
  </r>
  <r>
    <s v="CLM101197"/>
    <s v="PT12180"/>
    <s v="P07"/>
    <x v="2"/>
    <x v="0"/>
    <n v="1"/>
    <d v="2026-05-17T00:00:00"/>
    <d v="2026-05-22T00:00:00"/>
    <n v="144.78"/>
    <m/>
    <m/>
    <m/>
    <s v="Denied"/>
    <s v="CO-4"/>
    <d v="2026-08-01T00:00:00"/>
    <m/>
    <n v="145"/>
    <n v="0.28000000000000003"/>
    <n v="40.6"/>
    <s v=""/>
    <x v="2"/>
    <x v="3"/>
    <x v="7"/>
  </r>
  <r>
    <s v="CLM101198"/>
    <s v="PT11822"/>
    <s v="P05"/>
    <x v="0"/>
    <x v="4"/>
    <n v="1"/>
    <d v="2026-02-21T00:00:00"/>
    <d v="2026-03-03T00:00:00"/>
    <n v="38.43"/>
    <n v="15.45"/>
    <n v="15.45"/>
    <n v="0"/>
    <s v="Paid"/>
    <s v=""/>
    <d v="2026-05-07T00:00:00"/>
    <d v="2026-05-07T00:00:00"/>
    <n v="38"/>
    <n v="0.38"/>
    <n v="14.44"/>
    <n v="-1.0099999999999998"/>
    <x v="0"/>
    <x v="0"/>
    <x v="0"/>
  </r>
  <r>
    <s v="CLM101199"/>
    <s v="PT12395"/>
    <s v="P01"/>
    <x v="1"/>
    <x v="8"/>
    <n v="1"/>
    <d v="2026-04-14T00:00:00"/>
    <d v="2026-04-17T00:00:00"/>
    <n v="259.58"/>
    <n v="119.94"/>
    <n v="95.95"/>
    <n v="23.99"/>
    <s v="Paid"/>
    <s v=""/>
    <d v="2026-05-22T00:00:00"/>
    <d v="2026-05-22T00:00:00"/>
    <n v="260"/>
    <n v="0.45"/>
    <n v="117"/>
    <n v="-2.9399999999999977"/>
    <x v="0"/>
    <x v="5"/>
    <x v="10"/>
  </r>
  <r>
    <s v="CLM101200"/>
    <s v="PT10282"/>
    <s v="P07"/>
    <x v="0"/>
    <x v="4"/>
    <n v="1"/>
    <d v="2026-06-09T00:00:00"/>
    <d v="2026-06-13T00:00:00"/>
    <n v="39.020000000000003"/>
    <n v="12.54"/>
    <n v="11.29"/>
    <n v="1.25"/>
    <s v="Paid"/>
    <s v=""/>
    <d v="2026-08-11T00:00:00"/>
    <d v="2026-08-11T00:00:00"/>
    <n v="38"/>
    <n v="0.28000000000000003"/>
    <n v="10.64"/>
    <n v="-1.8999999999999986"/>
    <x v="0"/>
    <x v="3"/>
    <x v="11"/>
  </r>
  <r>
    <s v="CLM101201"/>
    <s v="PT12913"/>
    <s v="P02"/>
    <x v="1"/>
    <x v="1"/>
    <n v="1"/>
    <d v="2026-04-20T00:00:00"/>
    <d v="2026-04-21T00:00:00"/>
    <n v="246"/>
    <n v="120.23"/>
    <n v="108.21"/>
    <n v="12.02"/>
    <s v="Paid"/>
    <s v=""/>
    <d v="2026-05-27T00:00:00"/>
    <d v="2026-05-27T00:00:00"/>
    <n v="240"/>
    <n v="0.43"/>
    <n v="103.2"/>
    <n v="-17.03"/>
    <x v="0"/>
    <x v="6"/>
    <x v="10"/>
  </r>
  <r>
    <s v="CLM101202"/>
    <s v="PT10786"/>
    <s v="P02"/>
    <x v="3"/>
    <x v="3"/>
    <n v="5"/>
    <d v="2026-06-11T00:00:00"/>
    <d v="2026-06-15T00:00:00"/>
    <n v="7303.01"/>
    <n v="2991.12"/>
    <n v="2692.01"/>
    <n v="299.11"/>
    <s v="Paid"/>
    <s v=""/>
    <d v="2026-07-29T00:00:00"/>
    <d v="2026-07-29T00:00:00"/>
    <n v="1450"/>
    <n v="0.43"/>
    <n v="3117.5"/>
    <n v="126.38000000000011"/>
    <x v="0"/>
    <x v="6"/>
    <x v="11"/>
  </r>
  <r>
    <s v="CLM101203"/>
    <s v="PT12700"/>
    <s v="P03"/>
    <x v="0"/>
    <x v="0"/>
    <n v="1"/>
    <d v="2025-12-25T00:00:00"/>
    <d v="2025-12-27T00:00:00"/>
    <n v="141.1"/>
    <n v="65.61"/>
    <n v="52.49"/>
    <n v="13.12"/>
    <s v="Paid"/>
    <s v=""/>
    <d v="2026-02-06T00:00:00"/>
    <d v="2026-02-06T00:00:00"/>
    <n v="145"/>
    <n v="0.47"/>
    <n v="68.150000000000006"/>
    <n v="2.5400000000000063"/>
    <x v="0"/>
    <x v="4"/>
    <x v="6"/>
  </r>
  <r>
    <s v="CLM101204"/>
    <s v="PT11556"/>
    <s v="P01"/>
    <x v="1"/>
    <x v="1"/>
    <n v="1"/>
    <d v="2026-08-16T00:00:00"/>
    <d v="2026-08-20T00:00:00"/>
    <n v="232.95"/>
    <n v="95.03"/>
    <n v="76.02"/>
    <n v="19.010000000000002"/>
    <s v="Paid"/>
    <s v=""/>
    <d v="2026-09-17T00:00:00"/>
    <d v="2026-09-17T00:00:00"/>
    <n v="240"/>
    <n v="0.45"/>
    <n v="108"/>
    <n v="12.969999999999999"/>
    <x v="1"/>
    <x v="5"/>
    <x v="4"/>
  </r>
  <r>
    <s v="CLM101205"/>
    <s v="PT12945"/>
    <s v="P05"/>
    <x v="0"/>
    <x v="8"/>
    <n v="1"/>
    <d v="2026-03-21T00:00:00"/>
    <d v="2026-03-24T00:00:00"/>
    <n v="257.92"/>
    <n v="96.34"/>
    <n v="86.71"/>
    <n v="9.6300000000000008"/>
    <s v="Paid"/>
    <s v=""/>
    <d v="2026-05-12T00:00:00"/>
    <d v="2026-05-12T00:00:00"/>
    <n v="260"/>
    <n v="0.38"/>
    <n v="98.8"/>
    <n v="2.4599999999999937"/>
    <x v="0"/>
    <x v="0"/>
    <x v="2"/>
  </r>
  <r>
    <s v="CLM101206"/>
    <s v="PT12084"/>
    <s v="P03"/>
    <x v="1"/>
    <x v="7"/>
    <n v="1"/>
    <d v="2026-02-14T00:00:00"/>
    <d v="2026-02-17T00:00:00"/>
    <n v="204.75"/>
    <n v="105.94"/>
    <n v="95.35"/>
    <n v="10.59"/>
    <s v="Paid"/>
    <s v=""/>
    <d v="2026-03-27T00:00:00"/>
    <d v="2026-03-27T00:00:00"/>
    <n v="210"/>
    <n v="0.47"/>
    <n v="98.7"/>
    <n v="-7.2399999999999949"/>
    <x v="0"/>
    <x v="4"/>
    <x v="0"/>
  </r>
  <r>
    <s v="CLM101207"/>
    <s v="PT13016"/>
    <s v="P06"/>
    <x v="2"/>
    <x v="2"/>
    <n v="1"/>
    <d v="2025-11-24T00:00:00"/>
    <d v="2025-11-26T00:00:00"/>
    <n v="60.42"/>
    <n v="17.73"/>
    <n v="17.73"/>
    <n v="0"/>
    <s v="Paid"/>
    <s v=""/>
    <d v="2026-01-06T00:00:00"/>
    <d v="2026-01-06T00:00:00"/>
    <n v="62"/>
    <n v="0.27"/>
    <n v="16.739999999999998"/>
    <n v="-0.99000000000000199"/>
    <x v="0"/>
    <x v="2"/>
    <x v="3"/>
  </r>
  <r>
    <s v="CLM101208"/>
    <s v="PT12509"/>
    <s v="P01"/>
    <x v="2"/>
    <x v="0"/>
    <n v="1"/>
    <d v="2026-07-26T00:00:00"/>
    <d v="2026-08-04T00:00:00"/>
    <n v="146.1"/>
    <n v="71.599999999999994"/>
    <n v="71.599999999999994"/>
    <n v="0"/>
    <s v="Paid"/>
    <s v=""/>
    <d v="2026-08-31T00:00:00"/>
    <d v="2026-08-31T00:00:00"/>
    <n v="145"/>
    <n v="0.45"/>
    <n v="65.25"/>
    <n v="-6.3499999999999943"/>
    <x v="0"/>
    <x v="5"/>
    <x v="1"/>
  </r>
  <r>
    <s v="CLM101209"/>
    <s v="PT11584"/>
    <s v="P01"/>
    <x v="1"/>
    <x v="4"/>
    <n v="1"/>
    <d v="2025-11-11T00:00:00"/>
    <d v="2025-11-17T00:00:00"/>
    <n v="37.28"/>
    <m/>
    <m/>
    <m/>
    <s v="Denied"/>
    <s v="CO-27"/>
    <d v="2025-12-18T00:00:00"/>
    <m/>
    <n v="38"/>
    <n v="0.45"/>
    <n v="17.100000000000001"/>
    <s v=""/>
    <x v="2"/>
    <x v="5"/>
    <x v="3"/>
  </r>
  <r>
    <s v="CLM101210"/>
    <s v="PT10757"/>
    <s v="P04"/>
    <x v="1"/>
    <x v="10"/>
    <n v="1"/>
    <d v="2026-01-04T00:00:00"/>
    <d v="2026-01-10T00:00:00"/>
    <n v="1048.06"/>
    <n v="419.66"/>
    <n v="335.73"/>
    <n v="83.93"/>
    <s v="Paid"/>
    <s v=""/>
    <d v="2026-02-05T00:00:00"/>
    <d v="2026-02-05T00:00:00"/>
    <n v="1050"/>
    <n v="0.36"/>
    <n v="378"/>
    <n v="-41.660000000000025"/>
    <x v="0"/>
    <x v="1"/>
    <x v="5"/>
  </r>
  <r>
    <s v="CLM101211"/>
    <s v="PT10766"/>
    <s v="P01"/>
    <x v="0"/>
    <x v="0"/>
    <n v="1"/>
    <d v="2026-01-10T00:00:00"/>
    <d v="2026-01-19T00:00:00"/>
    <n v="142.94"/>
    <n v="58.11"/>
    <n v="58.11"/>
    <n v="0"/>
    <s v="Paid"/>
    <s v=""/>
    <d v="2026-02-26T00:00:00"/>
    <d v="2026-02-26T00:00:00"/>
    <n v="145"/>
    <n v="0.45"/>
    <n v="65.25"/>
    <n v="7.1400000000000006"/>
    <x v="1"/>
    <x v="5"/>
    <x v="5"/>
  </r>
  <r>
    <s v="CLM101212"/>
    <s v="PT11412"/>
    <s v="P01"/>
    <x v="2"/>
    <x v="2"/>
    <n v="3"/>
    <d v="2026-08-22T00:00:00"/>
    <d v="2026-08-25T00:00:00"/>
    <n v="183.73"/>
    <m/>
    <m/>
    <m/>
    <s v="Pending"/>
    <s v=""/>
    <m/>
    <m/>
    <n v="62"/>
    <n v="0.45"/>
    <n v="83.7"/>
    <s v=""/>
    <x v="2"/>
    <x v="5"/>
    <x v="4"/>
  </r>
  <r>
    <s v="CLM101213"/>
    <s v="PT13349"/>
    <s v="P01"/>
    <x v="3"/>
    <x v="7"/>
    <n v="1"/>
    <d v="2026-09-15T00:00:00"/>
    <d v="2026-09-21T00:00:00"/>
    <n v="206.87"/>
    <m/>
    <m/>
    <m/>
    <s v="Pending"/>
    <s v=""/>
    <m/>
    <m/>
    <n v="210"/>
    <n v="0.45"/>
    <n v="94.5"/>
    <s v=""/>
    <x v="2"/>
    <x v="5"/>
    <x v="8"/>
  </r>
  <r>
    <s v="CLM101214"/>
    <s v="PT12789"/>
    <s v="P01"/>
    <x v="0"/>
    <x v="4"/>
    <n v="1"/>
    <d v="2026-09-11T00:00:00"/>
    <d v="2026-09-15T00:00:00"/>
    <n v="37.06"/>
    <m/>
    <m/>
    <m/>
    <s v="Pending"/>
    <s v=""/>
    <m/>
    <m/>
    <n v="38"/>
    <n v="0.45"/>
    <n v="17.100000000000001"/>
    <s v=""/>
    <x v="2"/>
    <x v="5"/>
    <x v="8"/>
  </r>
  <r>
    <s v="CLM101215"/>
    <s v="PT10934"/>
    <s v="P04"/>
    <x v="0"/>
    <x v="0"/>
    <n v="1"/>
    <d v="2026-03-13T00:00:00"/>
    <d v="2026-03-19T00:00:00"/>
    <n v="144.57"/>
    <n v="52.04"/>
    <n v="52.04"/>
    <n v="0"/>
    <s v="Paid"/>
    <s v=""/>
    <d v="2026-04-06T00:00:00"/>
    <d v="2026-04-06T00:00:00"/>
    <n v="145"/>
    <n v="0.36"/>
    <n v="52.2"/>
    <n v="0.16000000000000369"/>
    <x v="0"/>
    <x v="1"/>
    <x v="2"/>
  </r>
  <r>
    <s v="CLM101216"/>
    <s v="PT11899"/>
    <s v="P05"/>
    <x v="0"/>
    <x v="0"/>
    <n v="1"/>
    <d v="2026-04-28T00:00:00"/>
    <d v="2026-05-01T00:00:00"/>
    <n v="144.69999999999999"/>
    <n v="61.31"/>
    <n v="49.05"/>
    <n v="12.26"/>
    <s v="Paid"/>
    <s v=""/>
    <d v="2026-06-08T00:00:00"/>
    <d v="2026-06-08T00:00:00"/>
    <n v="145"/>
    <n v="0.38"/>
    <n v="55.1"/>
    <n v="-6.2100000000000009"/>
    <x v="0"/>
    <x v="0"/>
    <x v="10"/>
  </r>
  <r>
    <s v="CLM101217"/>
    <s v="PT11497"/>
    <s v="P03"/>
    <x v="2"/>
    <x v="9"/>
    <n v="4"/>
    <d v="2025-12-12T00:00:00"/>
    <d v="2026-03-25T00:00:00"/>
    <n v="235.49"/>
    <m/>
    <m/>
    <m/>
    <s v="Denied"/>
    <s v="CO-29"/>
    <d v="2026-05-14T00:00:00"/>
    <m/>
    <n v="58"/>
    <n v="0.47"/>
    <n v="109.04"/>
    <s v=""/>
    <x v="2"/>
    <x v="4"/>
    <x v="6"/>
  </r>
  <r>
    <s v="CLM101218"/>
    <s v="PT11109"/>
    <s v="P06"/>
    <x v="1"/>
    <x v="5"/>
    <n v="1"/>
    <d v="2025-12-28T00:00:00"/>
    <d v="2026-01-09T00:00:00"/>
    <n v="4699.5"/>
    <m/>
    <m/>
    <m/>
    <s v="Denied"/>
    <s v="CO-197"/>
    <d v="2026-02-13T00:00:00"/>
    <m/>
    <n v="4800"/>
    <n v="0.27"/>
    <n v="1296"/>
    <s v=""/>
    <x v="2"/>
    <x v="2"/>
    <x v="6"/>
  </r>
  <r>
    <s v="CLM101219"/>
    <s v="PT11447"/>
    <s v="P04"/>
    <x v="1"/>
    <x v="5"/>
    <n v="1"/>
    <d v="2026-01-25T00:00:00"/>
    <d v="2026-01-29T00:00:00"/>
    <n v="4710.7"/>
    <n v="1661.61"/>
    <n v="1661.61"/>
    <n v="0"/>
    <s v="Paid"/>
    <s v=""/>
    <d v="2026-02-19T00:00:00"/>
    <d v="2026-02-19T00:00:00"/>
    <n v="4800"/>
    <n v="0.36"/>
    <n v="1728"/>
    <n v="66.3900000000001"/>
    <x v="0"/>
    <x v="1"/>
    <x v="5"/>
  </r>
  <r>
    <s v="CLM101220"/>
    <s v="PT10886"/>
    <s v="P08"/>
    <x v="2"/>
    <x v="2"/>
    <n v="2"/>
    <d v="2026-09-27T00:00:00"/>
    <d v="2026-09-28T00:00:00"/>
    <n v="124.8"/>
    <m/>
    <m/>
    <m/>
    <s v="Pending"/>
    <s v=""/>
    <m/>
    <m/>
    <n v="62"/>
    <n v="1"/>
    <n v="124"/>
    <s v=""/>
    <x v="2"/>
    <x v="7"/>
    <x v="8"/>
  </r>
  <r>
    <s v="CLM101221"/>
    <s v="PT10530"/>
    <s v="P08"/>
    <x v="0"/>
    <x v="0"/>
    <n v="1"/>
    <d v="2026-08-20T00:00:00"/>
    <d v="2026-08-24T00:00:00"/>
    <n v="142.03"/>
    <m/>
    <m/>
    <m/>
    <s v="Pending"/>
    <s v=""/>
    <m/>
    <m/>
    <n v="145"/>
    <n v="1"/>
    <n v="145"/>
    <s v=""/>
    <x v="2"/>
    <x v="7"/>
    <x v="4"/>
  </r>
  <r>
    <s v="CLM101222"/>
    <s v="PT11831"/>
    <s v="P05"/>
    <x v="0"/>
    <x v="8"/>
    <n v="1"/>
    <d v="2026-09-18T00:00:00"/>
    <d v="2026-09-20T00:00:00"/>
    <n v="265.68"/>
    <m/>
    <m/>
    <m/>
    <s v="Pending"/>
    <s v=""/>
    <m/>
    <m/>
    <n v="260"/>
    <n v="0.38"/>
    <n v="98.8"/>
    <s v=""/>
    <x v="2"/>
    <x v="0"/>
    <x v="8"/>
  </r>
  <r>
    <s v="CLM101223"/>
    <s v="PT12273"/>
    <s v="P01"/>
    <x v="0"/>
    <x v="7"/>
    <n v="1"/>
    <d v="2026-03-17T00:00:00"/>
    <d v="2026-03-27T00:00:00"/>
    <n v="212.37"/>
    <n v="99.55"/>
    <n v="89.59"/>
    <n v="9.9600000000000009"/>
    <s v="Paid"/>
    <s v=""/>
    <d v="2026-05-01T00:00:00"/>
    <d v="2026-05-01T00:00:00"/>
    <n v="210"/>
    <n v="0.45"/>
    <n v="94.5"/>
    <n v="-5.0499999999999972"/>
    <x v="0"/>
    <x v="5"/>
    <x v="2"/>
  </r>
  <r>
    <s v="CLM101224"/>
    <s v="PT13331"/>
    <s v="P05"/>
    <x v="0"/>
    <x v="8"/>
    <n v="1"/>
    <d v="2025-12-05T00:00:00"/>
    <d v="2025-12-12T00:00:00"/>
    <n v="267.26"/>
    <n v="115.31"/>
    <n v="115.31"/>
    <n v="0"/>
    <s v="Paid"/>
    <s v=""/>
    <d v="2026-01-22T00:00:00"/>
    <d v="2026-01-22T00:00:00"/>
    <n v="260"/>
    <n v="0.38"/>
    <n v="98.8"/>
    <n v="-16.510000000000005"/>
    <x v="0"/>
    <x v="0"/>
    <x v="6"/>
  </r>
  <r>
    <s v="CLM101225"/>
    <s v="PT10274"/>
    <s v="P04"/>
    <x v="2"/>
    <x v="9"/>
    <n v="1"/>
    <d v="2025-10-10T00:00:00"/>
    <d v="2025-10-11T00:00:00"/>
    <n v="58.04"/>
    <n v="18.170000000000002"/>
    <n v="16.350000000000001"/>
    <n v="1.82"/>
    <s v="Paid"/>
    <s v=""/>
    <d v="2025-10-21T00:00:00"/>
    <d v="2025-10-21T00:00:00"/>
    <n v="58"/>
    <n v="0.36"/>
    <n v="20.88"/>
    <n v="2.7099999999999973"/>
    <x v="1"/>
    <x v="1"/>
    <x v="9"/>
  </r>
  <r>
    <s v="CLM101226"/>
    <s v="PT12593"/>
    <s v="P06"/>
    <x v="0"/>
    <x v="7"/>
    <n v="1"/>
    <d v="2026-02-19T00:00:00"/>
    <d v="2026-02-21T00:00:00"/>
    <n v="212.67"/>
    <n v="56.95"/>
    <n v="56.95"/>
    <n v="0"/>
    <s v="Paid"/>
    <s v=""/>
    <d v="2026-04-02T00:00:00"/>
    <d v="2026-04-02T00:00:00"/>
    <n v="210"/>
    <n v="0.27"/>
    <n v="56.7"/>
    <n v="-0.25"/>
    <x v="0"/>
    <x v="2"/>
    <x v="0"/>
  </r>
  <r>
    <s v="CLM101227"/>
    <s v="PT13375"/>
    <s v="P06"/>
    <x v="1"/>
    <x v="11"/>
    <n v="1"/>
    <d v="2026-06-05T00:00:00"/>
    <d v="2026-06-12T00:00:00"/>
    <n v="1154.27"/>
    <n v="310.17"/>
    <n v="310.17"/>
    <n v="0"/>
    <s v="Paid"/>
    <s v=""/>
    <d v="2026-07-12T00:00:00"/>
    <d v="2026-07-12T00:00:00"/>
    <n v="1150"/>
    <n v="0.27"/>
    <n v="310.5"/>
    <n v="0.32999999999998408"/>
    <x v="0"/>
    <x v="2"/>
    <x v="11"/>
  </r>
  <r>
    <s v="CLM101228"/>
    <s v="PT13272"/>
    <s v="P08"/>
    <x v="2"/>
    <x v="2"/>
    <n v="3"/>
    <d v="2026-08-02T00:00:00"/>
    <d v="2026-08-08T00:00:00"/>
    <n v="181.76"/>
    <m/>
    <m/>
    <m/>
    <s v="Pending"/>
    <s v=""/>
    <m/>
    <m/>
    <n v="62"/>
    <n v="1"/>
    <n v="186"/>
    <s v=""/>
    <x v="2"/>
    <x v="7"/>
    <x v="4"/>
  </r>
  <r>
    <s v="CLM101229"/>
    <s v="PT10322"/>
    <s v="P06"/>
    <x v="0"/>
    <x v="7"/>
    <n v="1"/>
    <d v="2026-05-05T00:00:00"/>
    <d v="2026-05-13T00:00:00"/>
    <n v="212.53"/>
    <n v="52.1"/>
    <n v="41.68"/>
    <n v="10.42"/>
    <s v="Paid"/>
    <s v=""/>
    <d v="2026-06-21T00:00:00"/>
    <d v="2026-06-21T00:00:00"/>
    <n v="210"/>
    <n v="0.27"/>
    <n v="56.7"/>
    <n v="4.6000000000000014"/>
    <x v="1"/>
    <x v="2"/>
    <x v="7"/>
  </r>
  <r>
    <s v="CLM101230"/>
    <s v="PT11867"/>
    <s v="P03"/>
    <x v="0"/>
    <x v="7"/>
    <n v="1"/>
    <d v="2026-04-14T00:00:00"/>
    <d v="2026-04-18T00:00:00"/>
    <n v="210.7"/>
    <n v="87.41"/>
    <n v="78.67"/>
    <n v="8.74"/>
    <s v="Paid"/>
    <s v=""/>
    <d v="2026-06-05T00:00:00"/>
    <d v="2026-06-05T00:00:00"/>
    <n v="210"/>
    <n v="0.47"/>
    <n v="98.7"/>
    <n v="11.290000000000006"/>
    <x v="1"/>
    <x v="4"/>
    <x v="10"/>
  </r>
  <r>
    <s v="CLM101231"/>
    <s v="PT10580"/>
    <s v="P04"/>
    <x v="1"/>
    <x v="4"/>
    <n v="1"/>
    <d v="2026-02-23T00:00:00"/>
    <d v="2026-02-24T00:00:00"/>
    <n v="37.229999999999997"/>
    <n v="11.83"/>
    <n v="10.65"/>
    <n v="1.18"/>
    <s v="Paid"/>
    <s v=""/>
    <d v="2026-03-18T00:00:00"/>
    <d v="2026-03-18T00:00:00"/>
    <n v="38"/>
    <n v="0.36"/>
    <n v="13.68"/>
    <n v="1.8499999999999996"/>
    <x v="1"/>
    <x v="1"/>
    <x v="0"/>
  </r>
  <r>
    <s v="CLM101232"/>
    <s v="PT12636"/>
    <s v="P02"/>
    <x v="1"/>
    <x v="4"/>
    <n v="1"/>
    <d v="2025-10-14T00:00:00"/>
    <d v="2025-10-19T00:00:00"/>
    <n v="38.29"/>
    <n v="15.49"/>
    <n v="15.49"/>
    <n v="0"/>
    <s v="Paid"/>
    <s v=""/>
    <d v="2025-11-11T00:00:00"/>
    <d v="2025-11-11T00:00:00"/>
    <n v="38"/>
    <n v="0.43"/>
    <n v="16.34"/>
    <n v="0.84999999999999964"/>
    <x v="1"/>
    <x v="6"/>
    <x v="9"/>
  </r>
  <r>
    <s v="CLM101233"/>
    <s v="PT10418"/>
    <s v="P05"/>
    <x v="1"/>
    <x v="1"/>
    <n v="1"/>
    <d v="2025-10-21T00:00:00"/>
    <d v="2025-10-22T00:00:00"/>
    <n v="245.52"/>
    <n v="83.16"/>
    <n v="83.16"/>
    <n v="0"/>
    <s v="Paid"/>
    <s v=""/>
    <d v="2025-12-18T00:00:00"/>
    <d v="2025-12-18T00:00:00"/>
    <n v="240"/>
    <n v="0.38"/>
    <n v="91.2"/>
    <n v="8.0400000000000063"/>
    <x v="1"/>
    <x v="0"/>
    <x v="9"/>
  </r>
  <r>
    <s v="CLM101234"/>
    <s v="PT11640"/>
    <s v="P01"/>
    <x v="0"/>
    <x v="7"/>
    <n v="1"/>
    <d v="2026-04-03T00:00:00"/>
    <d v="2026-04-05T00:00:00"/>
    <n v="215.95"/>
    <n v="104.76"/>
    <n v="83.81"/>
    <n v="20.95"/>
    <s v="Paid"/>
    <s v=""/>
    <d v="2026-05-04T00:00:00"/>
    <d v="2026-05-04T00:00:00"/>
    <n v="210"/>
    <n v="0.45"/>
    <n v="94.5"/>
    <n v="-10.260000000000005"/>
    <x v="0"/>
    <x v="5"/>
    <x v="10"/>
  </r>
  <r>
    <s v="CLM101235"/>
    <s v="PT10931"/>
    <s v="P04"/>
    <x v="0"/>
    <x v="4"/>
    <n v="1"/>
    <d v="2026-04-21T00:00:00"/>
    <d v="2026-04-25T00:00:00"/>
    <n v="38.44"/>
    <n v="12.58"/>
    <n v="11.32"/>
    <n v="1.26"/>
    <s v="Paid"/>
    <s v=""/>
    <d v="2026-05-17T00:00:00"/>
    <d v="2026-05-17T00:00:00"/>
    <n v="38"/>
    <n v="0.36"/>
    <n v="13.68"/>
    <n v="1.0999999999999996"/>
    <x v="1"/>
    <x v="1"/>
    <x v="10"/>
  </r>
  <r>
    <s v="CLM101236"/>
    <s v="PT10952"/>
    <s v="P05"/>
    <x v="1"/>
    <x v="4"/>
    <n v="1"/>
    <d v="2025-10-13T00:00:00"/>
    <d v="2025-10-21T00:00:00"/>
    <n v="36.979999999999997"/>
    <m/>
    <m/>
    <m/>
    <s v="Denied"/>
    <s v="CO-16"/>
    <d v="2026-01-03T00:00:00"/>
    <m/>
    <n v="38"/>
    <n v="0.38"/>
    <n v="14.44"/>
    <s v=""/>
    <x v="2"/>
    <x v="0"/>
    <x v="9"/>
  </r>
  <r>
    <s v="CLM101237"/>
    <s v="PT10164"/>
    <s v="P03"/>
    <x v="2"/>
    <x v="2"/>
    <n v="2"/>
    <d v="2026-03-15T00:00:00"/>
    <d v="2026-07-06T00:00:00"/>
    <n v="125.9"/>
    <m/>
    <m/>
    <m/>
    <s v="Denied"/>
    <s v="CO-29"/>
    <d v="2026-08-14T00:00:00"/>
    <m/>
    <n v="62"/>
    <n v="0.47"/>
    <n v="58.28"/>
    <s v=""/>
    <x v="2"/>
    <x v="4"/>
    <x v="2"/>
  </r>
  <r>
    <s v="CLM101238"/>
    <s v="PT13395"/>
    <s v="P01"/>
    <x v="1"/>
    <x v="8"/>
    <n v="1"/>
    <d v="2026-07-26T00:00:00"/>
    <d v="2026-07-28T00:00:00"/>
    <n v="259.87"/>
    <m/>
    <m/>
    <m/>
    <s v="Denied"/>
    <s v="CO-18"/>
    <d v="2026-08-14T00:00:00"/>
    <m/>
    <n v="260"/>
    <n v="0.45"/>
    <n v="117"/>
    <s v=""/>
    <x v="2"/>
    <x v="5"/>
    <x v="1"/>
  </r>
  <r>
    <s v="CLM101239"/>
    <s v="PT11608"/>
    <s v="P04"/>
    <x v="2"/>
    <x v="0"/>
    <n v="1"/>
    <d v="2026-02-14T00:00:00"/>
    <d v="2026-02-17T00:00:00"/>
    <n v="145.49"/>
    <n v="54.13"/>
    <n v="48.72"/>
    <n v="5.41"/>
    <s v="Paid"/>
    <s v=""/>
    <d v="2026-03-04T00:00:00"/>
    <d v="2026-03-04T00:00:00"/>
    <n v="145"/>
    <n v="0.36"/>
    <n v="52.2"/>
    <n v="-1.9299999999999997"/>
    <x v="0"/>
    <x v="1"/>
    <x v="0"/>
  </r>
  <r>
    <s v="CLM101240"/>
    <s v="PT10461"/>
    <s v="P03"/>
    <x v="1"/>
    <x v="11"/>
    <n v="1"/>
    <d v="2026-05-17T00:00:00"/>
    <d v="2026-05-22T00:00:00"/>
    <n v="1157.1300000000001"/>
    <n v="530.70000000000005"/>
    <n v="530.70000000000005"/>
    <n v="0"/>
    <s v="Paid"/>
    <s v=""/>
    <d v="2026-07-16T00:00:00"/>
    <d v="2026-07-16T00:00:00"/>
    <n v="1150"/>
    <n v="0.47"/>
    <n v="540.5"/>
    <n v="9.7999999999999545"/>
    <x v="0"/>
    <x v="4"/>
    <x v="7"/>
  </r>
  <r>
    <s v="CLM101241"/>
    <s v="PT11478"/>
    <s v="P01"/>
    <x v="1"/>
    <x v="5"/>
    <n v="1"/>
    <d v="2026-01-14T00:00:00"/>
    <d v="2026-01-18T00:00:00"/>
    <n v="4713.6400000000003"/>
    <n v="2340.84"/>
    <n v="2106.7600000000002"/>
    <n v="234.08"/>
    <s v="Paid"/>
    <s v=""/>
    <d v="2026-02-06T00:00:00"/>
    <d v="2026-02-06T00:00:00"/>
    <n v="4800"/>
    <n v="0.45"/>
    <n v="2160"/>
    <n v="-180.84000000000015"/>
    <x v="0"/>
    <x v="5"/>
    <x v="5"/>
  </r>
  <r>
    <s v="CLM101242"/>
    <s v="PT10845"/>
    <s v="P04"/>
    <x v="0"/>
    <x v="7"/>
    <n v="1"/>
    <d v="2026-02-07T00:00:00"/>
    <d v="2026-02-08T00:00:00"/>
    <n v="206.43"/>
    <m/>
    <m/>
    <m/>
    <s v="Denied"/>
    <s v="CO-18"/>
    <d v="2026-02-15T00:00:00"/>
    <m/>
    <n v="210"/>
    <n v="0.36"/>
    <n v="75.599999999999994"/>
    <s v=""/>
    <x v="2"/>
    <x v="1"/>
    <x v="0"/>
  </r>
  <r>
    <s v="CLM101243"/>
    <s v="PT13492"/>
    <s v="P07"/>
    <x v="0"/>
    <x v="7"/>
    <n v="1"/>
    <d v="2026-06-03T00:00:00"/>
    <d v="2026-06-05T00:00:00"/>
    <n v="210.77"/>
    <n v="65.34"/>
    <n v="65.34"/>
    <n v="0"/>
    <s v="Paid"/>
    <s v=""/>
    <d v="2026-08-05T00:00:00"/>
    <d v="2026-08-05T00:00:00"/>
    <n v="210"/>
    <n v="0.28000000000000003"/>
    <n v="58.8"/>
    <n v="-6.5400000000000063"/>
    <x v="0"/>
    <x v="3"/>
    <x v="11"/>
  </r>
  <r>
    <s v="CLM101244"/>
    <s v="PT10219"/>
    <s v="P07"/>
    <x v="1"/>
    <x v="8"/>
    <n v="1"/>
    <d v="2026-02-18T00:00:00"/>
    <d v="2026-02-20T00:00:00"/>
    <n v="266.70999999999998"/>
    <m/>
    <m/>
    <m/>
    <s v="Denied"/>
    <s v="CO-4"/>
    <d v="2026-05-17T00:00:00"/>
    <m/>
    <n v="260"/>
    <n v="0.28000000000000003"/>
    <n v="72.8"/>
    <s v=""/>
    <x v="2"/>
    <x v="3"/>
    <x v="0"/>
  </r>
  <r>
    <s v="CLM101245"/>
    <s v="PT10492"/>
    <s v="P01"/>
    <x v="1"/>
    <x v="4"/>
    <n v="1"/>
    <d v="2025-10-18T00:00:00"/>
    <d v="2025-10-20T00:00:00"/>
    <n v="38.909999999999997"/>
    <n v="19.850000000000001"/>
    <n v="19.850000000000001"/>
    <n v="0"/>
    <s v="Paid"/>
    <s v=""/>
    <d v="2025-11-28T00:00:00"/>
    <d v="2025-11-28T00:00:00"/>
    <n v="38"/>
    <n v="0.45"/>
    <n v="17.100000000000001"/>
    <n v="-2.75"/>
    <x v="0"/>
    <x v="5"/>
    <x v="9"/>
  </r>
  <r>
    <s v="CLM101246"/>
    <s v="PT11864"/>
    <s v="P08"/>
    <x v="2"/>
    <x v="0"/>
    <n v="1"/>
    <d v="2025-10-16T00:00:00"/>
    <d v="2025-10-27T00:00:00"/>
    <n v="148.31"/>
    <n v="148.31"/>
    <n v="148.31"/>
    <n v="0"/>
    <s v="Paid"/>
    <s v=""/>
    <d v="2025-12-14T00:00:00"/>
    <d v="2025-12-14T00:00:00"/>
    <n v="145"/>
    <n v="1"/>
    <n v="145"/>
    <n v="-3.3100000000000023"/>
    <x v="0"/>
    <x v="7"/>
    <x v="9"/>
  </r>
  <r>
    <s v="CLM101247"/>
    <s v="PT10152"/>
    <s v="P05"/>
    <x v="2"/>
    <x v="0"/>
    <n v="1"/>
    <d v="2026-02-17T00:00:00"/>
    <d v="2026-02-22T00:00:00"/>
    <n v="143"/>
    <n v="48.8"/>
    <n v="48.8"/>
    <n v="0"/>
    <s v="Paid"/>
    <s v=""/>
    <d v="2026-05-06T00:00:00"/>
    <d v="2026-05-06T00:00:00"/>
    <n v="145"/>
    <n v="0.38"/>
    <n v="55.1"/>
    <n v="6.3000000000000043"/>
    <x v="1"/>
    <x v="0"/>
    <x v="0"/>
  </r>
  <r>
    <s v="CLM101248"/>
    <s v="PT11153"/>
    <s v="P02"/>
    <x v="0"/>
    <x v="4"/>
    <n v="1"/>
    <d v="2025-10-07T00:00:00"/>
    <d v="2025-10-08T00:00:00"/>
    <n v="38.18"/>
    <m/>
    <m/>
    <m/>
    <s v="Denied"/>
    <s v="CO-11"/>
    <d v="2025-11-14T00:00:00"/>
    <m/>
    <n v="38"/>
    <n v="0.43"/>
    <n v="16.34"/>
    <s v=""/>
    <x v="2"/>
    <x v="6"/>
    <x v="9"/>
  </r>
  <r>
    <s v="CLM101249"/>
    <s v="PT12289"/>
    <s v="P01"/>
    <x v="1"/>
    <x v="11"/>
    <n v="1"/>
    <d v="2026-02-17T00:00:00"/>
    <d v="2026-02-18T00:00:00"/>
    <n v="1181.96"/>
    <n v="583.24"/>
    <n v="466.59"/>
    <n v="116.65"/>
    <s v="Paid"/>
    <s v=""/>
    <d v="2026-03-20T00:00:00"/>
    <d v="2026-03-20T00:00:00"/>
    <n v="1150"/>
    <n v="0.45"/>
    <n v="517.5"/>
    <n v="-65.740000000000009"/>
    <x v="0"/>
    <x v="5"/>
    <x v="0"/>
  </r>
  <r>
    <s v="CLM101250"/>
    <s v="PT12974"/>
    <s v="P06"/>
    <x v="2"/>
    <x v="9"/>
    <n v="1"/>
    <d v="2025-10-25T00:00:00"/>
    <d v="2025-10-29T00:00:00"/>
    <n v="57.53"/>
    <n v="13.91"/>
    <n v="12.52"/>
    <n v="1.39"/>
    <s v="Paid"/>
    <s v=""/>
    <d v="2025-12-07T00:00:00"/>
    <d v="2025-12-07T00:00:00"/>
    <n v="58"/>
    <n v="0.27"/>
    <n v="15.66"/>
    <n v="1.75"/>
    <x v="1"/>
    <x v="2"/>
    <x v="9"/>
  </r>
  <r>
    <s v="CLM101251"/>
    <s v="PT12767"/>
    <s v="P02"/>
    <x v="0"/>
    <x v="7"/>
    <n v="1"/>
    <d v="2026-08-24T00:00:00"/>
    <d v="2026-08-25T00:00:00"/>
    <n v="208.07"/>
    <n v="88.05"/>
    <n v="70.44"/>
    <n v="17.61"/>
    <s v="Paid"/>
    <s v=""/>
    <d v="2026-09-21T00:00:00"/>
    <d v="2026-09-21T00:00:00"/>
    <n v="210"/>
    <n v="0.43"/>
    <n v="90.3"/>
    <n v="2.25"/>
    <x v="0"/>
    <x v="6"/>
    <x v="4"/>
  </r>
  <r>
    <s v="CLM101252"/>
    <s v="PT11911"/>
    <s v="P08"/>
    <x v="0"/>
    <x v="8"/>
    <n v="1"/>
    <d v="2025-11-14T00:00:00"/>
    <d v="2025-11-23T00:00:00"/>
    <n v="261.58999999999997"/>
    <m/>
    <m/>
    <m/>
    <s v="Pending"/>
    <s v=""/>
    <m/>
    <m/>
    <n v="260"/>
    <n v="1"/>
    <n v="260"/>
    <s v=""/>
    <x v="2"/>
    <x v="7"/>
    <x v="3"/>
  </r>
  <r>
    <s v="CLM101253"/>
    <s v="PT13486"/>
    <s v="P07"/>
    <x v="0"/>
    <x v="7"/>
    <n v="1"/>
    <d v="2026-03-25T00:00:00"/>
    <d v="2026-04-02T00:00:00"/>
    <n v="210.08"/>
    <n v="60.41"/>
    <n v="60.41"/>
    <n v="0"/>
    <s v="Paid"/>
    <s v=""/>
    <d v="2026-04-29T00:00:00"/>
    <d v="2026-04-29T00:00:00"/>
    <n v="210"/>
    <n v="0.28000000000000003"/>
    <n v="58.8"/>
    <n v="-1.6099999999999994"/>
    <x v="0"/>
    <x v="3"/>
    <x v="2"/>
  </r>
  <r>
    <s v="CLM101254"/>
    <s v="PT10425"/>
    <s v="P01"/>
    <x v="3"/>
    <x v="3"/>
    <n v="30"/>
    <d v="2026-01-14T00:00:00"/>
    <d v="2026-01-17T00:00:00"/>
    <n v="42408.35"/>
    <m/>
    <m/>
    <m/>
    <s v="Denied"/>
    <s v="CO-50"/>
    <d v="2026-02-10T00:00:00"/>
    <m/>
    <n v="1450"/>
    <n v="0.45"/>
    <n v="19575"/>
    <s v=""/>
    <x v="2"/>
    <x v="5"/>
    <x v="5"/>
  </r>
  <r>
    <s v="CLM101255"/>
    <s v="PT12246"/>
    <s v="P04"/>
    <x v="1"/>
    <x v="1"/>
    <n v="1"/>
    <d v="2025-12-24T00:00:00"/>
    <d v="2025-12-29T00:00:00"/>
    <n v="243.45"/>
    <n v="87.35"/>
    <n v="78.62"/>
    <n v="8.73"/>
    <s v="Paid"/>
    <s v=""/>
    <d v="2026-01-11T00:00:00"/>
    <d v="2026-01-11T00:00:00"/>
    <n v="240"/>
    <n v="0.36"/>
    <n v="86.4"/>
    <n v="-0.94999999999998863"/>
    <x v="0"/>
    <x v="1"/>
    <x v="6"/>
  </r>
  <r>
    <s v="CLM101256"/>
    <s v="PT10637"/>
    <s v="P04"/>
    <x v="2"/>
    <x v="0"/>
    <n v="1"/>
    <d v="2026-04-20T00:00:00"/>
    <d v="2026-04-22T00:00:00"/>
    <n v="142.56"/>
    <n v="45.04"/>
    <n v="36.03"/>
    <n v="9.01"/>
    <s v="Paid"/>
    <s v=""/>
    <d v="2026-05-19T00:00:00"/>
    <d v="2026-05-19T00:00:00"/>
    <n v="145"/>
    <n v="0.36"/>
    <n v="52.2"/>
    <n v="7.1600000000000037"/>
    <x v="1"/>
    <x v="1"/>
    <x v="10"/>
  </r>
  <r>
    <s v="CLM101257"/>
    <s v="PT13336"/>
    <s v="P05"/>
    <x v="2"/>
    <x v="2"/>
    <n v="1"/>
    <d v="2026-06-16T00:00:00"/>
    <d v="2026-06-26T00:00:00"/>
    <n v="61.98"/>
    <n v="25.59"/>
    <n v="25.59"/>
    <n v="0"/>
    <s v="Paid"/>
    <s v=""/>
    <d v="2026-08-13T00:00:00"/>
    <d v="2026-08-13T00:00:00"/>
    <n v="62"/>
    <n v="0.38"/>
    <n v="23.56"/>
    <n v="-2.0300000000000011"/>
    <x v="0"/>
    <x v="0"/>
    <x v="11"/>
  </r>
  <r>
    <s v="CLM101258"/>
    <s v="PT10487"/>
    <s v="P01"/>
    <x v="1"/>
    <x v="8"/>
    <n v="1"/>
    <d v="2025-12-01T00:00:00"/>
    <d v="2025-12-09T00:00:00"/>
    <n v="255.43"/>
    <n v="99.46"/>
    <n v="79.569999999999993"/>
    <n v="19.89"/>
    <s v="Paid"/>
    <s v=""/>
    <d v="2026-01-11T00:00:00"/>
    <d v="2026-01-11T00:00:00"/>
    <n v="260"/>
    <n v="0.45"/>
    <n v="117"/>
    <n v="17.540000000000006"/>
    <x v="1"/>
    <x v="5"/>
    <x v="6"/>
  </r>
  <r>
    <s v="CLM101259"/>
    <s v="PT12601"/>
    <s v="P04"/>
    <x v="0"/>
    <x v="8"/>
    <n v="1"/>
    <d v="2025-10-06T00:00:00"/>
    <d v="2025-10-08T00:00:00"/>
    <n v="263.08999999999997"/>
    <n v="86.12"/>
    <n v="68.900000000000006"/>
    <n v="17.22"/>
    <s v="Paid"/>
    <s v=""/>
    <d v="2025-10-19T00:00:00"/>
    <d v="2025-10-19T00:00:00"/>
    <n v="260"/>
    <n v="0.36"/>
    <n v="93.6"/>
    <n v="7.4799999999999898"/>
    <x v="1"/>
    <x v="1"/>
    <x v="9"/>
  </r>
  <r>
    <s v="CLM101260"/>
    <s v="PT13083"/>
    <s v="P05"/>
    <x v="0"/>
    <x v="0"/>
    <n v="1"/>
    <d v="2025-10-17T00:00:00"/>
    <d v="2025-10-19T00:00:00"/>
    <n v="145"/>
    <n v="55.01"/>
    <n v="44.01"/>
    <n v="11"/>
    <s v="Paid"/>
    <s v=""/>
    <d v="2025-12-19T00:00:00"/>
    <d v="2025-12-19T00:00:00"/>
    <n v="145"/>
    <n v="0.38"/>
    <n v="55.1"/>
    <n v="9.0000000000003411E-2"/>
    <x v="0"/>
    <x v="0"/>
    <x v="9"/>
  </r>
  <r>
    <s v="CLM101261"/>
    <s v="PT13109"/>
    <s v="P03"/>
    <x v="0"/>
    <x v="0"/>
    <n v="1"/>
    <d v="2026-07-28T00:00:00"/>
    <d v="2026-07-30T00:00:00"/>
    <n v="146.05000000000001"/>
    <n v="68.8"/>
    <n v="55.04"/>
    <n v="13.76"/>
    <s v="Paid"/>
    <s v=""/>
    <d v="2026-09-16T00:00:00"/>
    <d v="2026-09-16T00:00:00"/>
    <n v="145"/>
    <n v="0.47"/>
    <n v="68.150000000000006"/>
    <n v="-0.64999999999999147"/>
    <x v="0"/>
    <x v="4"/>
    <x v="1"/>
  </r>
  <r>
    <s v="CLM101262"/>
    <s v="PT12472"/>
    <s v="P02"/>
    <x v="2"/>
    <x v="9"/>
    <n v="1"/>
    <d v="2025-11-17T00:00:00"/>
    <d v="2025-11-25T00:00:00"/>
    <n v="57.11"/>
    <m/>
    <m/>
    <m/>
    <s v="Denied"/>
    <s v="CO-27"/>
    <d v="2025-12-27T00:00:00"/>
    <m/>
    <n v="58"/>
    <n v="0.43"/>
    <n v="24.94"/>
    <s v=""/>
    <x v="2"/>
    <x v="6"/>
    <x v="3"/>
  </r>
  <r>
    <s v="CLM101263"/>
    <s v="PT13198"/>
    <s v="P04"/>
    <x v="1"/>
    <x v="11"/>
    <n v="1"/>
    <d v="2026-09-26T00:00:00"/>
    <d v="2026-09-27T00:00:00"/>
    <n v="1174.47"/>
    <m/>
    <m/>
    <m/>
    <s v="Pending"/>
    <s v=""/>
    <m/>
    <m/>
    <n v="1150"/>
    <n v="0.36"/>
    <n v="414"/>
    <s v=""/>
    <x v="2"/>
    <x v="1"/>
    <x v="8"/>
  </r>
  <r>
    <s v="CLM101264"/>
    <s v="PT11037"/>
    <s v="P03"/>
    <x v="1"/>
    <x v="1"/>
    <n v="1"/>
    <d v="2026-06-15T00:00:00"/>
    <d v="2026-06-17T00:00:00"/>
    <n v="235.41"/>
    <n v="121.66"/>
    <n v="121.66"/>
    <n v="0"/>
    <s v="Paid"/>
    <s v=""/>
    <d v="2026-08-20T00:00:00"/>
    <d v="2026-08-20T00:00:00"/>
    <n v="240"/>
    <n v="0.47"/>
    <n v="112.8"/>
    <n v="-8.86"/>
    <x v="0"/>
    <x v="4"/>
    <x v="11"/>
  </r>
  <r>
    <s v="CLM101265"/>
    <s v="PT10815"/>
    <s v="P01"/>
    <x v="0"/>
    <x v="4"/>
    <n v="1"/>
    <d v="2026-05-20T00:00:00"/>
    <d v="2026-05-21T00:00:00"/>
    <n v="37.53"/>
    <n v="16"/>
    <n v="16"/>
    <n v="0"/>
    <s v="Paid"/>
    <s v=""/>
    <d v="2026-06-21T00:00:00"/>
    <d v="2026-06-21T00:00:00"/>
    <n v="38"/>
    <n v="0.45"/>
    <n v="17.100000000000001"/>
    <n v="1.1000000000000014"/>
    <x v="1"/>
    <x v="5"/>
    <x v="7"/>
  </r>
  <r>
    <s v="CLM101266"/>
    <s v="PT12797"/>
    <s v="P01"/>
    <x v="0"/>
    <x v="7"/>
    <n v="1"/>
    <d v="2026-08-31T00:00:00"/>
    <d v="2026-09-06T00:00:00"/>
    <n v="215.11"/>
    <m/>
    <m/>
    <m/>
    <s v="Pending"/>
    <s v=""/>
    <m/>
    <m/>
    <n v="210"/>
    <n v="0.45"/>
    <n v="94.5"/>
    <s v=""/>
    <x v="2"/>
    <x v="5"/>
    <x v="4"/>
  </r>
  <r>
    <s v="CLM101267"/>
    <s v="PT11794"/>
    <s v="P01"/>
    <x v="0"/>
    <x v="4"/>
    <n v="1"/>
    <d v="2026-05-16T00:00:00"/>
    <d v="2026-05-28T00:00:00"/>
    <n v="38.700000000000003"/>
    <n v="15.6"/>
    <n v="15.6"/>
    <n v="0"/>
    <s v="Paid"/>
    <s v=""/>
    <d v="2026-07-10T00:00:00"/>
    <d v="2026-07-10T00:00:00"/>
    <n v="38"/>
    <n v="0.45"/>
    <n v="17.100000000000001"/>
    <n v="1.5000000000000018"/>
    <x v="1"/>
    <x v="5"/>
    <x v="7"/>
  </r>
  <r>
    <s v="CLM101268"/>
    <s v="PT11142"/>
    <s v="P01"/>
    <x v="0"/>
    <x v="4"/>
    <n v="1"/>
    <d v="2026-06-26T00:00:00"/>
    <d v="2026-06-28T00:00:00"/>
    <n v="38.909999999999997"/>
    <n v="17.07"/>
    <n v="17.07"/>
    <n v="0"/>
    <s v="Paid"/>
    <s v=""/>
    <d v="2026-08-12T00:00:00"/>
    <d v="2026-08-12T00:00:00"/>
    <n v="38"/>
    <n v="0.45"/>
    <n v="17.100000000000001"/>
    <n v="3.0000000000001137E-2"/>
    <x v="0"/>
    <x v="5"/>
    <x v="11"/>
  </r>
  <r>
    <s v="CLM101269"/>
    <s v="PT10495"/>
    <s v="P01"/>
    <x v="0"/>
    <x v="4"/>
    <n v="1"/>
    <d v="2025-11-14T00:00:00"/>
    <d v="2025-11-26T00:00:00"/>
    <n v="37.46"/>
    <n v="16.34"/>
    <n v="16.34"/>
    <n v="0"/>
    <s v="Paid"/>
    <s v=""/>
    <d v="2026-01-08T00:00:00"/>
    <d v="2026-01-08T00:00:00"/>
    <n v="38"/>
    <n v="0.45"/>
    <n v="17.100000000000001"/>
    <n v="0.76000000000000156"/>
    <x v="0"/>
    <x v="5"/>
    <x v="3"/>
  </r>
  <r>
    <s v="CLM101270"/>
    <s v="PT10273"/>
    <s v="P04"/>
    <x v="1"/>
    <x v="8"/>
    <n v="1"/>
    <d v="2026-09-06T00:00:00"/>
    <d v="2026-09-11T00:00:00"/>
    <n v="255.27"/>
    <n v="93.54"/>
    <n v="74.83"/>
    <n v="18.71"/>
    <s v="Paid"/>
    <s v=""/>
    <d v="2026-09-23T00:00:00"/>
    <d v="2026-09-23T00:00:00"/>
    <n v="260"/>
    <n v="0.36"/>
    <n v="93.6"/>
    <n v="5.9999999999988063E-2"/>
    <x v="0"/>
    <x v="1"/>
    <x v="8"/>
  </r>
  <r>
    <s v="CLM101271"/>
    <s v="PT10461"/>
    <s v="P01"/>
    <x v="2"/>
    <x v="0"/>
    <n v="1"/>
    <d v="2026-04-30T00:00:00"/>
    <d v="2026-05-01T00:00:00"/>
    <n v="141.66"/>
    <n v="68.64"/>
    <n v="68.64"/>
    <n v="0"/>
    <s v="Paid"/>
    <s v=""/>
    <d v="2026-05-22T00:00:00"/>
    <d v="2026-05-22T00:00:00"/>
    <n v="145"/>
    <n v="0.45"/>
    <n v="65.25"/>
    <n v="-3.3900000000000006"/>
    <x v="0"/>
    <x v="5"/>
    <x v="10"/>
  </r>
  <r>
    <s v="CLM101272"/>
    <s v="PT13281"/>
    <s v="P04"/>
    <x v="0"/>
    <x v="8"/>
    <n v="1"/>
    <d v="2025-10-05T00:00:00"/>
    <d v="2025-10-12T00:00:00"/>
    <n v="256.93"/>
    <n v="85.12"/>
    <n v="68.099999999999994"/>
    <n v="17.02"/>
    <s v="Paid"/>
    <s v=""/>
    <d v="2025-11-02T00:00:00"/>
    <d v="2025-11-02T00:00:00"/>
    <n v="260"/>
    <n v="0.36"/>
    <n v="93.6"/>
    <n v="8.4799999999999898"/>
    <x v="1"/>
    <x v="1"/>
    <x v="9"/>
  </r>
  <r>
    <s v="CLM101273"/>
    <s v="PT12088"/>
    <s v="P03"/>
    <x v="1"/>
    <x v="4"/>
    <n v="1"/>
    <d v="2026-06-03T00:00:00"/>
    <d v="2026-06-04T00:00:00"/>
    <n v="37.35"/>
    <n v="18.350000000000001"/>
    <n v="18.350000000000001"/>
    <n v="0"/>
    <s v="Paid"/>
    <s v=""/>
    <d v="2026-07-22T00:00:00"/>
    <d v="2026-07-22T00:00:00"/>
    <n v="38"/>
    <n v="0.47"/>
    <n v="17.86"/>
    <n v="-0.49000000000000199"/>
    <x v="0"/>
    <x v="4"/>
    <x v="11"/>
  </r>
  <r>
    <s v="CLM101274"/>
    <s v="PT12562"/>
    <s v="P01"/>
    <x v="1"/>
    <x v="5"/>
    <n v="1"/>
    <d v="2026-06-20T00:00:00"/>
    <d v="2026-06-21T00:00:00"/>
    <n v="4941.08"/>
    <m/>
    <m/>
    <m/>
    <s v="Denied"/>
    <s v="CO-16"/>
    <d v="2026-07-16T00:00:00"/>
    <m/>
    <n v="4800"/>
    <n v="0.45"/>
    <n v="2160"/>
    <s v=""/>
    <x v="2"/>
    <x v="5"/>
    <x v="11"/>
  </r>
  <r>
    <s v="CLM101275"/>
    <s v="PT11963"/>
    <s v="P06"/>
    <x v="1"/>
    <x v="11"/>
    <n v="1"/>
    <d v="2025-10-15T00:00:00"/>
    <d v="2025-10-21T00:00:00"/>
    <n v="1128.79"/>
    <n v="300.02"/>
    <n v="300.02"/>
    <n v="0"/>
    <s v="Paid"/>
    <s v=""/>
    <d v="2025-12-04T00:00:00"/>
    <d v="2025-12-04T00:00:00"/>
    <n v="1150"/>
    <n v="0.27"/>
    <n v="310.5"/>
    <n v="10.480000000000018"/>
    <x v="0"/>
    <x v="2"/>
    <x v="9"/>
  </r>
  <r>
    <s v="CLM101276"/>
    <s v="PT12456"/>
    <s v="P04"/>
    <x v="0"/>
    <x v="4"/>
    <n v="1"/>
    <d v="2026-08-22T00:00:00"/>
    <d v="2026-08-26T00:00:00"/>
    <n v="37.22"/>
    <n v="14.54"/>
    <n v="11.63"/>
    <n v="2.91"/>
    <s v="Paid"/>
    <s v=""/>
    <d v="2026-09-09T00:00:00"/>
    <d v="2026-09-09T00:00:00"/>
    <n v="38"/>
    <n v="0.36"/>
    <n v="13.68"/>
    <n v="-0.85999999999999943"/>
    <x v="0"/>
    <x v="1"/>
    <x v="4"/>
  </r>
  <r>
    <s v="CLM101277"/>
    <s v="PT13304"/>
    <s v="P04"/>
    <x v="1"/>
    <x v="8"/>
    <n v="1"/>
    <d v="2026-09-26T00:00:00"/>
    <d v="2026-09-27T00:00:00"/>
    <n v="266.11"/>
    <m/>
    <m/>
    <m/>
    <s v="Pending"/>
    <s v=""/>
    <m/>
    <m/>
    <n v="260"/>
    <n v="0.36"/>
    <n v="93.6"/>
    <s v=""/>
    <x v="2"/>
    <x v="1"/>
    <x v="8"/>
  </r>
  <r>
    <s v="CLM101278"/>
    <s v="PT11922"/>
    <s v="P02"/>
    <x v="2"/>
    <x v="9"/>
    <n v="3"/>
    <d v="2026-07-02T00:00:00"/>
    <d v="2026-07-04T00:00:00"/>
    <n v="172.19"/>
    <n v="71"/>
    <n v="71"/>
    <n v="0"/>
    <s v="Paid"/>
    <s v=""/>
    <d v="2026-08-11T00:00:00"/>
    <d v="2026-08-11T00:00:00"/>
    <n v="58"/>
    <n v="0.43"/>
    <n v="74.819999999999993"/>
    <n v="3.8199999999999932"/>
    <x v="1"/>
    <x v="6"/>
    <x v="1"/>
  </r>
  <r>
    <s v="CLM101279"/>
    <s v="PT10933"/>
    <s v="P03"/>
    <x v="1"/>
    <x v="4"/>
    <n v="1"/>
    <d v="2026-03-25T00:00:00"/>
    <d v="2026-03-29T00:00:00"/>
    <n v="38.07"/>
    <m/>
    <m/>
    <m/>
    <s v="Denied"/>
    <s v="CO-4"/>
    <d v="2026-05-25T00:00:00"/>
    <m/>
    <n v="38"/>
    <n v="0.47"/>
    <n v="17.86"/>
    <s v=""/>
    <x v="2"/>
    <x v="4"/>
    <x v="2"/>
  </r>
  <r>
    <s v="CLM101280"/>
    <s v="PT13147"/>
    <s v="P02"/>
    <x v="1"/>
    <x v="5"/>
    <n v="1"/>
    <d v="2026-09-12T00:00:00"/>
    <d v="2026-09-14T00:00:00"/>
    <n v="4774.5200000000004"/>
    <m/>
    <m/>
    <m/>
    <s v="Pending"/>
    <s v=""/>
    <m/>
    <m/>
    <n v="4800"/>
    <n v="0.43"/>
    <n v="2064"/>
    <s v=""/>
    <x v="2"/>
    <x v="6"/>
    <x v="8"/>
  </r>
  <r>
    <s v="CLM101281"/>
    <s v="PT12382"/>
    <s v="P06"/>
    <x v="0"/>
    <x v="7"/>
    <n v="1"/>
    <d v="2026-09-18T00:00:00"/>
    <d v="2026-09-23T00:00:00"/>
    <n v="207.42"/>
    <m/>
    <m/>
    <m/>
    <s v="Pending"/>
    <s v=""/>
    <m/>
    <m/>
    <n v="210"/>
    <n v="0.27"/>
    <n v="56.7"/>
    <s v=""/>
    <x v="2"/>
    <x v="2"/>
    <x v="8"/>
  </r>
  <r>
    <s v="CLM101282"/>
    <s v="PT12652"/>
    <s v="P05"/>
    <x v="0"/>
    <x v="0"/>
    <n v="1"/>
    <d v="2026-02-27T00:00:00"/>
    <d v="2026-02-28T00:00:00"/>
    <n v="146.21"/>
    <n v="61.67"/>
    <n v="61.67"/>
    <n v="0"/>
    <s v="Paid"/>
    <s v=""/>
    <d v="2026-05-16T00:00:00"/>
    <d v="2026-05-16T00:00:00"/>
    <n v="145"/>
    <n v="0.38"/>
    <n v="55.1"/>
    <n v="-6.57"/>
    <x v="0"/>
    <x v="0"/>
    <x v="0"/>
  </r>
  <r>
    <s v="CLM101283"/>
    <s v="PT10013"/>
    <s v="P02"/>
    <x v="2"/>
    <x v="9"/>
    <n v="4"/>
    <d v="2026-06-05T00:00:00"/>
    <d v="2026-06-09T00:00:00"/>
    <n v="228.81"/>
    <n v="101.04"/>
    <n v="80.83"/>
    <n v="20.21"/>
    <s v="Paid"/>
    <s v=""/>
    <d v="2026-07-10T00:00:00"/>
    <d v="2026-07-10T00:00:00"/>
    <n v="58"/>
    <n v="0.43"/>
    <n v="99.76"/>
    <n v="-1.2800000000000011"/>
    <x v="0"/>
    <x v="6"/>
    <x v="11"/>
  </r>
  <r>
    <s v="CLM101284"/>
    <s v="PT12324"/>
    <s v="P07"/>
    <x v="1"/>
    <x v="5"/>
    <n v="1"/>
    <d v="2026-06-11T00:00:00"/>
    <d v="2026-06-30T00:00:00"/>
    <n v="4786.97"/>
    <m/>
    <m/>
    <m/>
    <s v="Pending"/>
    <s v=""/>
    <m/>
    <m/>
    <n v="4800"/>
    <n v="0.28000000000000003"/>
    <n v="1344"/>
    <s v=""/>
    <x v="2"/>
    <x v="3"/>
    <x v="11"/>
  </r>
  <r>
    <s v="CLM101285"/>
    <s v="PT13113"/>
    <s v="P01"/>
    <x v="0"/>
    <x v="8"/>
    <n v="1"/>
    <d v="2026-05-07T00:00:00"/>
    <d v="2026-05-10T00:00:00"/>
    <n v="262"/>
    <m/>
    <m/>
    <m/>
    <s v="Denied"/>
    <s v="CO-27"/>
    <d v="2026-06-09T00:00:00"/>
    <m/>
    <n v="260"/>
    <n v="0.45"/>
    <n v="117"/>
    <s v=""/>
    <x v="2"/>
    <x v="5"/>
    <x v="7"/>
  </r>
  <r>
    <s v="CLM101286"/>
    <s v="PT10839"/>
    <s v="P01"/>
    <x v="1"/>
    <x v="5"/>
    <n v="1"/>
    <d v="2025-11-25T00:00:00"/>
    <d v="2025-11-27T00:00:00"/>
    <n v="4813.97"/>
    <n v="2453.2199999999998"/>
    <n v="1962.58"/>
    <n v="490.64"/>
    <s v="Paid"/>
    <s v=""/>
    <d v="2025-12-28T00:00:00"/>
    <d v="2025-12-28T00:00:00"/>
    <n v="4800"/>
    <n v="0.45"/>
    <n v="2160"/>
    <n v="-293.2199999999998"/>
    <x v="0"/>
    <x v="5"/>
    <x v="3"/>
  </r>
  <r>
    <s v="CLM101287"/>
    <s v="PT12263"/>
    <s v="P04"/>
    <x v="1"/>
    <x v="4"/>
    <n v="1"/>
    <d v="2025-10-06T00:00:00"/>
    <d v="2025-10-22T00:00:00"/>
    <n v="37.11"/>
    <n v="12.46"/>
    <n v="11.21"/>
    <n v="1.25"/>
    <s v="Paid"/>
    <s v=""/>
    <d v="2025-11-09T00:00:00"/>
    <d v="2025-11-09T00:00:00"/>
    <n v="38"/>
    <n v="0.36"/>
    <n v="13.68"/>
    <n v="1.2199999999999989"/>
    <x v="1"/>
    <x v="1"/>
    <x v="9"/>
  </r>
  <r>
    <s v="CLM101288"/>
    <s v="PT10832"/>
    <s v="P01"/>
    <x v="0"/>
    <x v="7"/>
    <n v="1"/>
    <d v="2026-07-11T00:00:00"/>
    <d v="2026-07-17T00:00:00"/>
    <n v="211.06"/>
    <n v="108.76"/>
    <n v="87.01"/>
    <n v="21.75"/>
    <s v="Paid"/>
    <s v=""/>
    <d v="2026-08-19T00:00:00"/>
    <d v="2026-08-19T00:00:00"/>
    <n v="210"/>
    <n v="0.45"/>
    <n v="94.5"/>
    <n v="-14.260000000000005"/>
    <x v="0"/>
    <x v="5"/>
    <x v="1"/>
  </r>
  <r>
    <s v="CLM101289"/>
    <s v="PT11664"/>
    <s v="P08"/>
    <x v="0"/>
    <x v="0"/>
    <n v="1"/>
    <d v="2025-11-16T00:00:00"/>
    <d v="2025-11-20T00:00:00"/>
    <n v="145.62"/>
    <m/>
    <m/>
    <m/>
    <s v="Pending"/>
    <s v=""/>
    <m/>
    <m/>
    <n v="145"/>
    <n v="1"/>
    <n v="145"/>
    <s v=""/>
    <x v="2"/>
    <x v="7"/>
    <x v="3"/>
  </r>
  <r>
    <s v="CLM101290"/>
    <s v="PT12456"/>
    <s v="P04"/>
    <x v="1"/>
    <x v="10"/>
    <n v="1"/>
    <d v="2025-12-28T00:00:00"/>
    <d v="2025-12-30T00:00:00"/>
    <n v="1076.31"/>
    <m/>
    <m/>
    <m/>
    <s v="Denied"/>
    <s v="CO-16"/>
    <d v="2026-01-14T00:00:00"/>
    <m/>
    <n v="1050"/>
    <n v="0.36"/>
    <n v="378"/>
    <s v=""/>
    <x v="2"/>
    <x v="1"/>
    <x v="6"/>
  </r>
  <r>
    <s v="CLM101291"/>
    <s v="PT12217"/>
    <s v="P01"/>
    <x v="0"/>
    <x v="7"/>
    <n v="1"/>
    <d v="2025-11-11T00:00:00"/>
    <d v="2025-11-14T00:00:00"/>
    <n v="208.85"/>
    <n v="105.33"/>
    <n v="105.33"/>
    <n v="0"/>
    <s v="Paid"/>
    <s v=""/>
    <d v="2025-12-20T00:00:00"/>
    <d v="2025-12-20T00:00:00"/>
    <n v="210"/>
    <n v="0.45"/>
    <n v="94.5"/>
    <n v="-10.829999999999998"/>
    <x v="0"/>
    <x v="5"/>
    <x v="3"/>
  </r>
  <r>
    <s v="CLM101292"/>
    <s v="PT13433"/>
    <s v="P07"/>
    <x v="3"/>
    <x v="3"/>
    <n v="30"/>
    <d v="2026-06-09T00:00:00"/>
    <d v="2026-06-12T00:00:00"/>
    <n v="44255.82"/>
    <m/>
    <m/>
    <m/>
    <s v="Denied"/>
    <s v="CO-50"/>
    <d v="2026-07-18T00:00:00"/>
    <m/>
    <n v="1450"/>
    <n v="0.28000000000000003"/>
    <n v="12180"/>
    <s v=""/>
    <x v="2"/>
    <x v="3"/>
    <x v="11"/>
  </r>
  <r>
    <s v="CLM101293"/>
    <s v="PT10099"/>
    <s v="P02"/>
    <x v="2"/>
    <x v="0"/>
    <n v="1"/>
    <d v="2026-04-25T00:00:00"/>
    <d v="2026-04-27T00:00:00"/>
    <n v="142.44999999999999"/>
    <n v="56.93"/>
    <n v="45.54"/>
    <n v="11.39"/>
    <s v="Paid"/>
    <s v=""/>
    <d v="2026-05-30T00:00:00"/>
    <d v="2026-05-30T00:00:00"/>
    <n v="145"/>
    <n v="0.43"/>
    <n v="62.35"/>
    <n v="5.4200000000000017"/>
    <x v="1"/>
    <x v="6"/>
    <x v="10"/>
  </r>
  <r>
    <s v="CLM101294"/>
    <s v="PT10083"/>
    <s v="P02"/>
    <x v="3"/>
    <x v="7"/>
    <n v="1"/>
    <d v="2026-09-23T00:00:00"/>
    <d v="2026-09-28T00:00:00"/>
    <n v="204.52"/>
    <m/>
    <m/>
    <m/>
    <s v="Pending"/>
    <s v=""/>
    <m/>
    <m/>
    <n v="210"/>
    <n v="0.43"/>
    <n v="90.3"/>
    <s v=""/>
    <x v="2"/>
    <x v="6"/>
    <x v="8"/>
  </r>
  <r>
    <s v="CLM101295"/>
    <s v="PT12398"/>
    <s v="P07"/>
    <x v="0"/>
    <x v="4"/>
    <n v="1"/>
    <d v="2025-11-15T00:00:00"/>
    <d v="2025-11-17T00:00:00"/>
    <n v="37.86"/>
    <m/>
    <m/>
    <m/>
    <s v="Denied"/>
    <s v="CO-18"/>
    <d v="2026-01-24T00:00:00"/>
    <m/>
    <n v="38"/>
    <n v="0.28000000000000003"/>
    <n v="10.64"/>
    <s v=""/>
    <x v="2"/>
    <x v="3"/>
    <x v="3"/>
  </r>
  <r>
    <s v="CLM101296"/>
    <s v="PT12848"/>
    <s v="P06"/>
    <x v="0"/>
    <x v="7"/>
    <n v="1"/>
    <d v="2026-04-14T00:00:00"/>
    <d v="2026-04-20T00:00:00"/>
    <n v="208.29"/>
    <m/>
    <m/>
    <m/>
    <s v="Denied"/>
    <s v="CO-18"/>
    <d v="2026-06-06T00:00:00"/>
    <m/>
    <n v="210"/>
    <n v="0.27"/>
    <n v="56.7"/>
    <s v=""/>
    <x v="2"/>
    <x v="2"/>
    <x v="10"/>
  </r>
  <r>
    <s v="CLM101297"/>
    <s v="PT12132"/>
    <s v="P07"/>
    <x v="1"/>
    <x v="1"/>
    <n v="1"/>
    <d v="2026-05-20T00:00:00"/>
    <d v="2026-05-21T00:00:00"/>
    <n v="234.95"/>
    <n v="73.12"/>
    <n v="73.12"/>
    <n v="0"/>
    <s v="Paid"/>
    <s v=""/>
    <d v="2026-07-28T00:00:00"/>
    <d v="2026-07-28T00:00:00"/>
    <n v="240"/>
    <n v="0.28000000000000003"/>
    <n v="67.2"/>
    <n v="-5.9200000000000017"/>
    <x v="0"/>
    <x v="3"/>
    <x v="7"/>
  </r>
  <r>
    <s v="CLM101298"/>
    <s v="PT11180"/>
    <s v="P01"/>
    <x v="1"/>
    <x v="5"/>
    <n v="1"/>
    <d v="2025-10-27T00:00:00"/>
    <d v="2025-11-03T00:00:00"/>
    <n v="4820.91"/>
    <n v="2416.98"/>
    <n v="2416.98"/>
    <n v="0"/>
    <s v="Paid"/>
    <s v=""/>
    <d v="2025-12-08T00:00:00"/>
    <d v="2025-12-08T00:00:00"/>
    <n v="4800"/>
    <n v="0.45"/>
    <n v="2160"/>
    <n v="-256.98"/>
    <x v="0"/>
    <x v="5"/>
    <x v="9"/>
  </r>
  <r>
    <s v="CLM101299"/>
    <s v="PT12187"/>
    <s v="P07"/>
    <x v="0"/>
    <x v="4"/>
    <n v="1"/>
    <d v="2026-01-29T00:00:00"/>
    <d v="2026-02-12T00:00:00"/>
    <n v="36.9"/>
    <n v="8.94"/>
    <n v="8.94"/>
    <n v="0"/>
    <s v="Paid"/>
    <s v=""/>
    <d v="2026-04-16T00:00:00"/>
    <d v="2026-04-16T00:00:00"/>
    <n v="38"/>
    <n v="0.28000000000000003"/>
    <n v="10.64"/>
    <n v="1.7000000000000011"/>
    <x v="1"/>
    <x v="3"/>
    <x v="5"/>
  </r>
  <r>
    <s v="CLM101300"/>
    <s v="PT11333"/>
    <s v="P04"/>
    <x v="1"/>
    <x v="10"/>
    <n v="1"/>
    <d v="2026-04-07T00:00:00"/>
    <d v="2026-04-08T00:00:00"/>
    <n v="1064.06"/>
    <n v="352.75"/>
    <n v="352.75"/>
    <n v="0"/>
    <s v="Paid"/>
    <s v=""/>
    <d v="2026-04-21T00:00:00"/>
    <d v="2026-04-21T00:00:00"/>
    <n v="1050"/>
    <n v="0.36"/>
    <n v="378"/>
    <n v="25.25"/>
    <x v="1"/>
    <x v="1"/>
    <x v="10"/>
  </r>
  <r>
    <s v="CLM101301"/>
    <s v="PT12350"/>
    <s v="P03"/>
    <x v="2"/>
    <x v="9"/>
    <n v="3"/>
    <d v="2025-10-11T00:00:00"/>
    <d v="2025-10-12T00:00:00"/>
    <n v="174.05"/>
    <m/>
    <m/>
    <m/>
    <s v="Denied"/>
    <s v="CO-16"/>
    <d v="2025-12-12T00:00:00"/>
    <m/>
    <n v="58"/>
    <n v="0.47"/>
    <n v="81.78"/>
    <s v=""/>
    <x v="2"/>
    <x v="4"/>
    <x v="9"/>
  </r>
  <r>
    <s v="CLM101302"/>
    <s v="PT10556"/>
    <s v="P01"/>
    <x v="0"/>
    <x v="4"/>
    <n v="1"/>
    <d v="2025-11-26T00:00:00"/>
    <d v="2025-11-27T00:00:00"/>
    <n v="38.49"/>
    <n v="14.85"/>
    <n v="11.88"/>
    <n v="2.97"/>
    <s v="Paid"/>
    <s v=""/>
    <d v="2025-12-12T00:00:00"/>
    <d v="2025-12-12T00:00:00"/>
    <n v="38"/>
    <n v="0.45"/>
    <n v="17.100000000000001"/>
    <n v="2.2500000000000018"/>
    <x v="1"/>
    <x v="5"/>
    <x v="3"/>
  </r>
  <r>
    <s v="CLM101303"/>
    <s v="PT13221"/>
    <s v="P04"/>
    <x v="1"/>
    <x v="10"/>
    <n v="1"/>
    <d v="2026-06-08T00:00:00"/>
    <d v="2026-06-11T00:00:00"/>
    <n v="1061.18"/>
    <n v="370.6"/>
    <n v="333.54"/>
    <n v="37.06"/>
    <s v="Paid"/>
    <s v=""/>
    <d v="2026-06-16T00:00:00"/>
    <d v="2026-06-16T00:00:00"/>
    <n v="1050"/>
    <n v="0.36"/>
    <n v="378"/>
    <n v="7.3999999999999773"/>
    <x v="0"/>
    <x v="1"/>
    <x v="11"/>
  </r>
  <r>
    <s v="CLM101304"/>
    <s v="PT10847"/>
    <s v="P05"/>
    <x v="0"/>
    <x v="4"/>
    <n v="1"/>
    <d v="2026-06-26T00:00:00"/>
    <d v="2026-06-27T00:00:00"/>
    <n v="39"/>
    <n v="13.18"/>
    <n v="13.18"/>
    <n v="0"/>
    <s v="Paid"/>
    <s v=""/>
    <d v="2026-08-11T00:00:00"/>
    <d v="2026-08-11T00:00:00"/>
    <n v="38"/>
    <n v="0.38"/>
    <n v="14.44"/>
    <n v="1.2599999999999998"/>
    <x v="1"/>
    <x v="0"/>
    <x v="11"/>
  </r>
  <r>
    <s v="CLM101305"/>
    <s v="PT10882"/>
    <s v="P06"/>
    <x v="1"/>
    <x v="11"/>
    <n v="1"/>
    <d v="2025-11-29T00:00:00"/>
    <d v="2025-12-02T00:00:00"/>
    <n v="1157.2"/>
    <n v="300.16000000000003"/>
    <n v="300.16000000000003"/>
    <n v="0"/>
    <s v="Paid"/>
    <s v=""/>
    <d v="2026-01-07T00:00:00"/>
    <d v="2026-01-07T00:00:00"/>
    <n v="1150"/>
    <n v="0.27"/>
    <n v="310.5"/>
    <n v="10.339999999999975"/>
    <x v="0"/>
    <x v="2"/>
    <x v="3"/>
  </r>
  <r>
    <s v="CLM101306"/>
    <s v="PT10582"/>
    <s v="P03"/>
    <x v="0"/>
    <x v="7"/>
    <n v="1"/>
    <d v="2026-07-30T00:00:00"/>
    <d v="2026-08-05T00:00:00"/>
    <n v="213.66"/>
    <n v="94.73"/>
    <n v="94.73"/>
    <n v="0"/>
    <s v="Paid"/>
    <s v=""/>
    <d v="2026-09-27T00:00:00"/>
    <d v="2026-09-27T00:00:00"/>
    <n v="210"/>
    <n v="0.47"/>
    <n v="98.7"/>
    <n v="3.9699999999999989"/>
    <x v="0"/>
    <x v="4"/>
    <x v="1"/>
  </r>
  <r>
    <s v="CLM101307"/>
    <s v="PT11005"/>
    <s v="P07"/>
    <x v="1"/>
    <x v="7"/>
    <n v="1"/>
    <d v="2026-02-07T00:00:00"/>
    <d v="2026-02-10T00:00:00"/>
    <n v="209.83"/>
    <n v="65.510000000000005"/>
    <n v="65.510000000000005"/>
    <n v="0"/>
    <s v="Paid"/>
    <s v=""/>
    <d v="2026-03-24T00:00:00"/>
    <d v="2026-03-24T00:00:00"/>
    <n v="210"/>
    <n v="0.28000000000000003"/>
    <n v="58.8"/>
    <n v="-6.710000000000008"/>
    <x v="0"/>
    <x v="3"/>
    <x v="0"/>
  </r>
  <r>
    <s v="CLM101308"/>
    <s v="PT12450"/>
    <s v="P07"/>
    <x v="2"/>
    <x v="0"/>
    <n v="1"/>
    <d v="2026-03-01T00:00:00"/>
    <d v="2026-03-03T00:00:00"/>
    <n v="143.9"/>
    <n v="44.8"/>
    <n v="44.8"/>
    <n v="0"/>
    <s v="Paid"/>
    <s v=""/>
    <d v="2026-05-07T00:00:00"/>
    <d v="2026-05-07T00:00:00"/>
    <n v="145"/>
    <n v="0.28000000000000003"/>
    <n v="40.6"/>
    <n v="-4.1999999999999957"/>
    <x v="0"/>
    <x v="3"/>
    <x v="2"/>
  </r>
  <r>
    <s v="CLM101309"/>
    <s v="PT10045"/>
    <s v="P03"/>
    <x v="1"/>
    <x v="5"/>
    <n v="1"/>
    <d v="2026-06-02T00:00:00"/>
    <d v="2026-06-18T00:00:00"/>
    <n v="4667.67"/>
    <n v="1908.89"/>
    <n v="1908.89"/>
    <n v="0"/>
    <s v="Paid"/>
    <s v=""/>
    <d v="2026-07-27T00:00:00"/>
    <d v="2026-07-27T00:00:00"/>
    <n v="4800"/>
    <n v="0.47"/>
    <n v="2256"/>
    <n v="347.1099999999999"/>
    <x v="1"/>
    <x v="4"/>
    <x v="11"/>
  </r>
  <r>
    <s v="CLM101310"/>
    <s v="PT13270"/>
    <s v="P05"/>
    <x v="2"/>
    <x v="2"/>
    <n v="1"/>
    <d v="2026-07-15T00:00:00"/>
    <d v="2026-07-18T00:00:00"/>
    <n v="60.36"/>
    <n v="22.72"/>
    <n v="20.45"/>
    <n v="2.27"/>
    <s v="Paid"/>
    <s v=""/>
    <d v="2026-09-19T00:00:00"/>
    <d v="2026-09-19T00:00:00"/>
    <n v="62"/>
    <n v="0.38"/>
    <n v="23.56"/>
    <n v="0.83999999999999986"/>
    <x v="0"/>
    <x v="0"/>
    <x v="1"/>
  </r>
  <r>
    <s v="CLM101311"/>
    <s v="PT12729"/>
    <s v="P04"/>
    <x v="0"/>
    <x v="8"/>
    <n v="1"/>
    <d v="2026-02-23T00:00:00"/>
    <d v="2026-03-02T00:00:00"/>
    <n v="257.94"/>
    <n v="103.94"/>
    <n v="103.94"/>
    <n v="0"/>
    <s v="Paid"/>
    <s v=""/>
    <d v="2026-03-20T00:00:00"/>
    <d v="2026-03-20T00:00:00"/>
    <n v="260"/>
    <n v="0.36"/>
    <n v="93.6"/>
    <n v="-10.340000000000003"/>
    <x v="0"/>
    <x v="1"/>
    <x v="0"/>
  </r>
  <r>
    <s v="CLM101312"/>
    <s v="PT12996"/>
    <s v="P05"/>
    <x v="3"/>
    <x v="7"/>
    <n v="1"/>
    <d v="2026-06-17T00:00:00"/>
    <d v="2026-07-01T00:00:00"/>
    <n v="204.55"/>
    <n v="75.27"/>
    <n v="60.22"/>
    <n v="15.05"/>
    <s v="Paid"/>
    <s v=""/>
    <d v="2026-08-05T00:00:00"/>
    <d v="2026-08-05T00:00:00"/>
    <n v="210"/>
    <n v="0.38"/>
    <n v="79.8"/>
    <n v="4.5300000000000011"/>
    <x v="1"/>
    <x v="0"/>
    <x v="11"/>
  </r>
  <r>
    <s v="CLM101313"/>
    <s v="PT11713"/>
    <s v="P01"/>
    <x v="3"/>
    <x v="6"/>
    <n v="1"/>
    <d v="2026-01-09T00:00:00"/>
    <d v="2026-01-11T00:00:00"/>
    <n v="409.75"/>
    <n v="158.11000000000001"/>
    <n v="158.11000000000001"/>
    <n v="0"/>
    <s v="Paid"/>
    <s v=""/>
    <d v="2026-02-01T00:00:00"/>
    <d v="2026-02-01T00:00:00"/>
    <n v="420"/>
    <n v="0.45"/>
    <n v="189"/>
    <n v="30.889999999999986"/>
    <x v="1"/>
    <x v="5"/>
    <x v="5"/>
  </r>
  <r>
    <s v="CLM101314"/>
    <s v="PT10669"/>
    <s v="P06"/>
    <x v="0"/>
    <x v="4"/>
    <n v="1"/>
    <d v="2025-12-17T00:00:00"/>
    <d v="2025-12-21T00:00:00"/>
    <n v="37.83"/>
    <n v="9.2899999999999991"/>
    <n v="9.2899999999999991"/>
    <n v="0"/>
    <s v="Paid"/>
    <s v=""/>
    <d v="2026-02-27T00:00:00"/>
    <d v="2026-02-27T00:00:00"/>
    <n v="38"/>
    <n v="0.27"/>
    <n v="10.26"/>
    <n v="0.97000000000000064"/>
    <x v="1"/>
    <x v="2"/>
    <x v="6"/>
  </r>
  <r>
    <s v="CLM101315"/>
    <s v="PT13484"/>
    <s v="P05"/>
    <x v="2"/>
    <x v="9"/>
    <n v="1"/>
    <d v="2025-11-03T00:00:00"/>
    <d v="2025-11-19T00:00:00"/>
    <n v="57.89"/>
    <n v="19.25"/>
    <n v="17.32"/>
    <n v="1.93"/>
    <s v="Paid"/>
    <s v=""/>
    <d v="2025-12-08T00:00:00"/>
    <d v="2025-12-08T00:00:00"/>
    <n v="58"/>
    <n v="0.38"/>
    <n v="22.04"/>
    <n v="2.7899999999999991"/>
    <x v="1"/>
    <x v="0"/>
    <x v="3"/>
  </r>
  <r>
    <s v="CLM101316"/>
    <s v="PT12735"/>
    <s v="P04"/>
    <x v="0"/>
    <x v="8"/>
    <n v="1"/>
    <d v="2026-07-08T00:00:00"/>
    <d v="2026-07-15T00:00:00"/>
    <n v="266.07"/>
    <n v="100.7"/>
    <n v="100.7"/>
    <n v="0"/>
    <s v="Paid"/>
    <s v=""/>
    <d v="2026-08-04T00:00:00"/>
    <d v="2026-08-04T00:00:00"/>
    <n v="260"/>
    <n v="0.36"/>
    <n v="93.6"/>
    <n v="-7.1000000000000085"/>
    <x v="0"/>
    <x v="1"/>
    <x v="1"/>
  </r>
  <r>
    <s v="CLM101317"/>
    <s v="PT11344"/>
    <s v="P04"/>
    <x v="3"/>
    <x v="7"/>
    <n v="1"/>
    <d v="2026-09-15T00:00:00"/>
    <d v="2026-09-19T00:00:00"/>
    <n v="207.21"/>
    <m/>
    <m/>
    <m/>
    <s v="Pending"/>
    <s v=""/>
    <m/>
    <m/>
    <n v="210"/>
    <n v="0.36"/>
    <n v="75.599999999999994"/>
    <s v=""/>
    <x v="2"/>
    <x v="1"/>
    <x v="8"/>
  </r>
  <r>
    <s v="CLM101318"/>
    <s v="PT13209"/>
    <s v="P03"/>
    <x v="2"/>
    <x v="9"/>
    <n v="1"/>
    <d v="2026-04-26T00:00:00"/>
    <d v="2026-04-28T00:00:00"/>
    <n v="59.57"/>
    <m/>
    <m/>
    <m/>
    <s v="Denied"/>
    <s v="CO-16"/>
    <d v="2026-06-14T00:00:00"/>
    <m/>
    <n v="58"/>
    <n v="0.47"/>
    <n v="27.26"/>
    <s v=""/>
    <x v="2"/>
    <x v="4"/>
    <x v="10"/>
  </r>
  <r>
    <s v="CLM101319"/>
    <s v="PT13174"/>
    <s v="P04"/>
    <x v="2"/>
    <x v="0"/>
    <n v="1"/>
    <d v="2026-04-04T00:00:00"/>
    <d v="2026-04-07T00:00:00"/>
    <n v="144.24"/>
    <n v="47.77"/>
    <n v="47.77"/>
    <n v="0"/>
    <s v="Paid"/>
    <s v=""/>
    <d v="2026-04-15T00:00:00"/>
    <d v="2026-04-15T00:00:00"/>
    <n v="145"/>
    <n v="0.36"/>
    <n v="52.2"/>
    <n v="4.43"/>
    <x v="1"/>
    <x v="1"/>
    <x v="10"/>
  </r>
  <r>
    <s v="CLM101320"/>
    <s v="PT10965"/>
    <s v="P03"/>
    <x v="1"/>
    <x v="8"/>
    <n v="1"/>
    <d v="2026-05-10T00:00:00"/>
    <d v="2026-05-13T00:00:00"/>
    <n v="254.6"/>
    <m/>
    <m/>
    <m/>
    <s v="Denied"/>
    <s v="CO-50"/>
    <d v="2026-06-04T00:00:00"/>
    <m/>
    <n v="260"/>
    <n v="0.47"/>
    <n v="122.2"/>
    <s v=""/>
    <x v="2"/>
    <x v="4"/>
    <x v="7"/>
  </r>
  <r>
    <s v="CLM101321"/>
    <s v="PT13261"/>
    <s v="P02"/>
    <x v="0"/>
    <x v="7"/>
    <n v="1"/>
    <d v="2026-08-09T00:00:00"/>
    <d v="2026-08-11T00:00:00"/>
    <n v="213.84"/>
    <n v="94.07"/>
    <n v="94.07"/>
    <n v="0"/>
    <s v="Paid"/>
    <s v=""/>
    <d v="2026-09-14T00:00:00"/>
    <d v="2026-09-14T00:00:00"/>
    <n v="210"/>
    <n v="0.43"/>
    <n v="90.3"/>
    <n v="-3.769999999999996"/>
    <x v="0"/>
    <x v="6"/>
    <x v="4"/>
  </r>
  <r>
    <s v="CLM101322"/>
    <s v="PT10008"/>
    <s v="P04"/>
    <x v="3"/>
    <x v="3"/>
    <n v="5"/>
    <d v="2026-06-10T00:00:00"/>
    <d v="2026-06-17T00:00:00"/>
    <n v="7438.95"/>
    <n v="2387.9899999999998"/>
    <n v="2387.9899999999998"/>
    <n v="0"/>
    <s v="Paid"/>
    <s v=""/>
    <d v="2026-07-03T00:00:00"/>
    <d v="2026-07-03T00:00:00"/>
    <n v="1450"/>
    <n v="0.36"/>
    <n v="2610"/>
    <n v="222.01000000000022"/>
    <x v="1"/>
    <x v="1"/>
    <x v="11"/>
  </r>
  <r>
    <s v="CLM101323"/>
    <s v="PT11352"/>
    <s v="P01"/>
    <x v="0"/>
    <x v="0"/>
    <n v="1"/>
    <d v="2026-04-06T00:00:00"/>
    <d v="2026-04-17T00:00:00"/>
    <n v="146.56"/>
    <n v="69.36"/>
    <n v="62.42"/>
    <n v="6.94"/>
    <s v="Paid"/>
    <s v=""/>
    <d v="2026-05-19T00:00:00"/>
    <d v="2026-05-19T00:00:00"/>
    <n v="145"/>
    <n v="0.45"/>
    <n v="65.25"/>
    <n v="-4.1099999999999994"/>
    <x v="0"/>
    <x v="5"/>
    <x v="10"/>
  </r>
  <r>
    <s v="CLM101324"/>
    <s v="PT13375"/>
    <s v="P01"/>
    <x v="1"/>
    <x v="1"/>
    <n v="1"/>
    <d v="2025-10-21T00:00:00"/>
    <d v="2025-10-28T00:00:00"/>
    <n v="241.65"/>
    <n v="97.58"/>
    <n v="78.06"/>
    <n v="19.52"/>
    <s v="Paid"/>
    <s v=""/>
    <d v="2025-11-27T00:00:00"/>
    <d v="2025-11-27T00:00:00"/>
    <n v="240"/>
    <n v="0.45"/>
    <n v="108"/>
    <n v="10.420000000000002"/>
    <x v="1"/>
    <x v="5"/>
    <x v="9"/>
  </r>
  <r>
    <s v="CLM101325"/>
    <s v="PT12108"/>
    <s v="P02"/>
    <x v="2"/>
    <x v="2"/>
    <n v="3"/>
    <d v="2026-02-27T00:00:00"/>
    <d v="2026-02-28T00:00:00"/>
    <n v="189.76"/>
    <m/>
    <m/>
    <m/>
    <s v="Denied"/>
    <s v="CO-27"/>
    <d v="2026-04-10T00:00:00"/>
    <m/>
    <n v="62"/>
    <n v="0.43"/>
    <n v="79.98"/>
    <s v=""/>
    <x v="2"/>
    <x v="6"/>
    <x v="0"/>
  </r>
  <r>
    <s v="CLM101326"/>
    <s v="PT11712"/>
    <s v="P03"/>
    <x v="3"/>
    <x v="7"/>
    <n v="1"/>
    <d v="2026-05-20T00:00:00"/>
    <d v="2026-05-23T00:00:00"/>
    <n v="208.22"/>
    <n v="104.68"/>
    <n v="83.74"/>
    <n v="20.94"/>
    <s v="Paid"/>
    <s v=""/>
    <d v="2026-07-26T00:00:00"/>
    <d v="2026-07-26T00:00:00"/>
    <n v="210"/>
    <n v="0.47"/>
    <n v="98.7"/>
    <n v="-5.980000000000004"/>
    <x v="0"/>
    <x v="4"/>
    <x v="7"/>
  </r>
  <r>
    <s v="CLM101327"/>
    <s v="PT11838"/>
    <s v="P06"/>
    <x v="2"/>
    <x v="2"/>
    <n v="4"/>
    <d v="2026-03-08T00:00:00"/>
    <d v="2026-03-10T00:00:00"/>
    <n v="245.42"/>
    <m/>
    <m/>
    <m/>
    <s v="Denied"/>
    <s v="CO-16"/>
    <d v="2026-04-23T00:00:00"/>
    <m/>
    <n v="62"/>
    <n v="0.27"/>
    <n v="66.959999999999994"/>
    <s v=""/>
    <x v="2"/>
    <x v="2"/>
    <x v="2"/>
  </r>
  <r>
    <s v="CLM101328"/>
    <s v="PT12904"/>
    <s v="P02"/>
    <x v="3"/>
    <x v="7"/>
    <n v="1"/>
    <d v="2026-06-04T00:00:00"/>
    <d v="2026-06-05T00:00:00"/>
    <n v="209.19"/>
    <n v="101.74"/>
    <n v="91.57"/>
    <n v="10.17"/>
    <s v="Paid"/>
    <s v=""/>
    <d v="2026-07-10T00:00:00"/>
    <d v="2026-07-10T00:00:00"/>
    <n v="210"/>
    <n v="0.43"/>
    <n v="90.3"/>
    <n v="-11.439999999999998"/>
    <x v="0"/>
    <x v="6"/>
    <x v="11"/>
  </r>
  <r>
    <s v="CLM101329"/>
    <s v="PT12038"/>
    <s v="P04"/>
    <x v="1"/>
    <x v="10"/>
    <n v="1"/>
    <d v="2026-04-05T00:00:00"/>
    <d v="2026-04-06T00:00:00"/>
    <n v="1028.3599999999999"/>
    <m/>
    <m/>
    <m/>
    <s v="Denied"/>
    <s v="CO-197"/>
    <d v="2026-04-23T00:00:00"/>
    <m/>
    <n v="1050"/>
    <n v="0.36"/>
    <n v="378"/>
    <s v=""/>
    <x v="2"/>
    <x v="1"/>
    <x v="10"/>
  </r>
  <r>
    <s v="CLM101330"/>
    <s v="PT13208"/>
    <s v="P08"/>
    <x v="2"/>
    <x v="0"/>
    <n v="1"/>
    <d v="2026-05-05T00:00:00"/>
    <d v="2026-05-18T00:00:00"/>
    <n v="146.38"/>
    <m/>
    <m/>
    <m/>
    <s v="Pending"/>
    <s v=""/>
    <m/>
    <m/>
    <n v="145"/>
    <n v="1"/>
    <n v="145"/>
    <s v=""/>
    <x v="2"/>
    <x v="7"/>
    <x v="7"/>
  </r>
  <r>
    <s v="CLM101331"/>
    <s v="PT10828"/>
    <s v="P03"/>
    <x v="1"/>
    <x v="11"/>
    <n v="1"/>
    <d v="2026-06-07T00:00:00"/>
    <d v="2026-06-09T00:00:00"/>
    <n v="1175.9100000000001"/>
    <m/>
    <m/>
    <m/>
    <s v="Denied"/>
    <s v="CO-197"/>
    <d v="2026-07-13T00:00:00"/>
    <m/>
    <n v="1150"/>
    <n v="0.47"/>
    <n v="540.5"/>
    <s v=""/>
    <x v="2"/>
    <x v="4"/>
    <x v="11"/>
  </r>
  <r>
    <s v="CLM101333"/>
    <s v="PT12174"/>
    <s v="P03"/>
    <x v="1"/>
    <x v="8"/>
    <n v="1"/>
    <d v="2026-06-14T00:00:00"/>
    <d v="2026-06-15T00:00:00"/>
    <n v="255.35"/>
    <n v="134.08000000000001"/>
    <n v="120.67"/>
    <n v="13.41"/>
    <s v="Paid"/>
    <s v=""/>
    <d v="2026-07-30T00:00:00"/>
    <d v="2026-07-30T00:00:00"/>
    <n v="260"/>
    <n v="0.47"/>
    <n v="122.2"/>
    <n v="-11.88000000000001"/>
    <x v="0"/>
    <x v="4"/>
    <x v="11"/>
  </r>
  <r>
    <s v="CLM101334"/>
    <s v="PT10073"/>
    <s v="P03"/>
    <x v="0"/>
    <x v="7"/>
    <n v="1"/>
    <d v="2025-10-21T00:00:00"/>
    <d v="2025-10-27T00:00:00"/>
    <n v="209.43"/>
    <n v="100.15"/>
    <n v="90.13"/>
    <n v="10.02"/>
    <s v="Paid"/>
    <s v=""/>
    <d v="2025-12-11T00:00:00"/>
    <d v="2025-12-11T00:00:00"/>
    <n v="210"/>
    <n v="0.47"/>
    <n v="98.7"/>
    <n v="-1.4500000000000028"/>
    <x v="0"/>
    <x v="4"/>
    <x v="9"/>
  </r>
  <r>
    <s v="CLM101335"/>
    <s v="PT13419"/>
    <s v="P03"/>
    <x v="0"/>
    <x v="0"/>
    <n v="1"/>
    <d v="2026-05-02T00:00:00"/>
    <d v="2026-05-12T00:00:00"/>
    <n v="148.72999999999999"/>
    <n v="64.39"/>
    <n v="57.95"/>
    <n v="6.44"/>
    <s v="Paid"/>
    <s v=""/>
    <d v="2026-06-21T00:00:00"/>
    <d v="2026-06-21T00:00:00"/>
    <n v="145"/>
    <n v="0.47"/>
    <n v="68.150000000000006"/>
    <n v="3.7600000000000051"/>
    <x v="1"/>
    <x v="4"/>
    <x v="7"/>
  </r>
  <r>
    <s v="CLM101336"/>
    <s v="PT10938"/>
    <s v="P02"/>
    <x v="0"/>
    <x v="4"/>
    <n v="1"/>
    <d v="2026-08-30T00:00:00"/>
    <d v="2026-09-06T00:00:00"/>
    <n v="38.799999999999997"/>
    <m/>
    <m/>
    <m/>
    <s v="Pending"/>
    <s v=""/>
    <m/>
    <m/>
    <n v="38"/>
    <n v="0.43"/>
    <n v="16.34"/>
    <s v=""/>
    <x v="2"/>
    <x v="6"/>
    <x v="4"/>
  </r>
  <r>
    <s v="CLM101337"/>
    <s v="PT12238"/>
    <s v="P03"/>
    <x v="1"/>
    <x v="5"/>
    <n v="1"/>
    <d v="2026-04-22T00:00:00"/>
    <d v="2026-04-23T00:00:00"/>
    <n v="4656.6499999999996"/>
    <m/>
    <m/>
    <m/>
    <s v="Denied"/>
    <s v="CO-11"/>
    <d v="2026-06-07T00:00:00"/>
    <m/>
    <n v="4800"/>
    <n v="0.47"/>
    <n v="2256"/>
    <s v=""/>
    <x v="2"/>
    <x v="4"/>
    <x v="10"/>
  </r>
  <r>
    <s v="CLM101338"/>
    <s v="PT12187"/>
    <s v="P08"/>
    <x v="1"/>
    <x v="5"/>
    <n v="1"/>
    <d v="2026-08-24T00:00:00"/>
    <d v="2026-08-30T00:00:00"/>
    <n v="4882.9399999999996"/>
    <m/>
    <m/>
    <m/>
    <s v="Pending"/>
    <s v=""/>
    <m/>
    <m/>
    <n v="4800"/>
    <n v="1"/>
    <n v="4800"/>
    <s v=""/>
    <x v="2"/>
    <x v="7"/>
    <x v="4"/>
  </r>
  <r>
    <s v="CLM101339"/>
    <s v="PT10058"/>
    <s v="P06"/>
    <x v="3"/>
    <x v="6"/>
    <n v="1"/>
    <d v="2026-01-29T00:00:00"/>
    <d v="2026-01-31T00:00:00"/>
    <n v="430.73"/>
    <n v="104.62"/>
    <n v="104.62"/>
    <n v="0"/>
    <s v="Paid"/>
    <s v=""/>
    <d v="2026-03-12T00:00:00"/>
    <d v="2026-03-12T00:00:00"/>
    <n v="420"/>
    <n v="0.27"/>
    <n v="113.4"/>
    <n v="8.7800000000000011"/>
    <x v="1"/>
    <x v="2"/>
    <x v="5"/>
  </r>
  <r>
    <s v="CLM101340"/>
    <s v="PT10662"/>
    <s v="P02"/>
    <x v="3"/>
    <x v="3"/>
    <n v="30"/>
    <d v="2026-02-03T00:00:00"/>
    <d v="2026-02-04T00:00:00"/>
    <n v="42249"/>
    <n v="16702.71"/>
    <n v="13362.17"/>
    <n v="3340.54"/>
    <s v="Paid"/>
    <s v=""/>
    <d v="2026-02-28T00:00:00"/>
    <d v="2026-02-28T00:00:00"/>
    <n v="1450"/>
    <n v="0.43"/>
    <n v="18705"/>
    <n v="2002.2900000000009"/>
    <x v="1"/>
    <x v="6"/>
    <x v="0"/>
  </r>
  <r>
    <s v="CLM101341"/>
    <s v="PT10637"/>
    <s v="P05"/>
    <x v="2"/>
    <x v="2"/>
    <n v="1"/>
    <d v="2026-04-04T00:00:00"/>
    <d v="2026-04-06T00:00:00"/>
    <n v="62.99"/>
    <n v="25.14"/>
    <n v="25.14"/>
    <n v="0"/>
    <s v="Paid"/>
    <s v=""/>
    <d v="2026-05-08T00:00:00"/>
    <d v="2026-05-08T00:00:00"/>
    <n v="62"/>
    <n v="0.38"/>
    <n v="23.56"/>
    <n v="-1.5800000000000018"/>
    <x v="0"/>
    <x v="0"/>
    <x v="10"/>
  </r>
  <r>
    <s v="CLM101342"/>
    <s v="PT10500"/>
    <s v="P08"/>
    <x v="2"/>
    <x v="2"/>
    <n v="1"/>
    <d v="2025-11-03T00:00:00"/>
    <d v="2025-11-04T00:00:00"/>
    <n v="63.73"/>
    <m/>
    <m/>
    <m/>
    <s v="Pending"/>
    <s v=""/>
    <m/>
    <m/>
    <n v="62"/>
    <n v="1"/>
    <n v="62"/>
    <s v=""/>
    <x v="2"/>
    <x v="7"/>
    <x v="3"/>
  </r>
  <r>
    <s v="CLM101343"/>
    <s v="PT12970"/>
    <s v="P06"/>
    <x v="0"/>
    <x v="8"/>
    <n v="1"/>
    <d v="2026-04-01T00:00:00"/>
    <d v="2026-04-03T00:00:00"/>
    <n v="264.51"/>
    <n v="64.510000000000005"/>
    <n v="58.06"/>
    <n v="6.45"/>
    <s v="Paid"/>
    <s v=""/>
    <d v="2026-04-22T00:00:00"/>
    <d v="2026-04-22T00:00:00"/>
    <n v="260"/>
    <n v="0.27"/>
    <n v="70.2"/>
    <n v="5.6899999999999977"/>
    <x v="1"/>
    <x v="2"/>
    <x v="10"/>
  </r>
  <r>
    <s v="CLM101344"/>
    <s v="PT10122"/>
    <s v="P06"/>
    <x v="1"/>
    <x v="1"/>
    <n v="1"/>
    <d v="2025-11-14T00:00:00"/>
    <d v="2025-11-15T00:00:00"/>
    <n v="247.09"/>
    <n v="67.17"/>
    <n v="60.45"/>
    <n v="6.72"/>
    <s v="Paid"/>
    <s v=""/>
    <d v="2025-12-22T00:00:00"/>
    <d v="2025-12-22T00:00:00"/>
    <n v="240"/>
    <n v="0.27"/>
    <n v="64.8"/>
    <n v="-2.3700000000000045"/>
    <x v="0"/>
    <x v="2"/>
    <x v="3"/>
  </r>
  <r>
    <s v="CLM101345"/>
    <s v="PT12543"/>
    <s v="P06"/>
    <x v="0"/>
    <x v="4"/>
    <n v="1"/>
    <d v="2026-05-10T00:00:00"/>
    <d v="2026-05-13T00:00:00"/>
    <n v="37.1"/>
    <n v="9.1199999999999992"/>
    <n v="9.1199999999999992"/>
    <n v="0"/>
    <s v="Paid"/>
    <s v=""/>
    <d v="2026-06-14T00:00:00"/>
    <d v="2026-06-14T00:00:00"/>
    <n v="38"/>
    <n v="0.27"/>
    <n v="10.26"/>
    <n v="1.1400000000000006"/>
    <x v="1"/>
    <x v="2"/>
    <x v="7"/>
  </r>
  <r>
    <s v="CLM101346"/>
    <s v="PT11510"/>
    <s v="P08"/>
    <x v="0"/>
    <x v="0"/>
    <n v="1"/>
    <d v="2026-01-25T00:00:00"/>
    <d v="2026-02-05T00:00:00"/>
    <n v="147.91"/>
    <m/>
    <m/>
    <m/>
    <s v="Pending"/>
    <s v=""/>
    <m/>
    <m/>
    <n v="145"/>
    <n v="1"/>
    <n v="145"/>
    <s v=""/>
    <x v="2"/>
    <x v="7"/>
    <x v="5"/>
  </r>
  <r>
    <s v="CLM101347"/>
    <s v="PT11702"/>
    <s v="P01"/>
    <x v="1"/>
    <x v="8"/>
    <n v="1"/>
    <d v="2026-01-05T00:00:00"/>
    <d v="2026-01-07T00:00:00"/>
    <n v="252.26"/>
    <n v="128.84"/>
    <n v="115.96"/>
    <n v="12.88"/>
    <s v="Paid"/>
    <s v=""/>
    <d v="2026-01-31T00:00:00"/>
    <d v="2026-01-31T00:00:00"/>
    <n v="260"/>
    <n v="0.45"/>
    <n v="117"/>
    <n v="-11.840000000000003"/>
    <x v="0"/>
    <x v="5"/>
    <x v="5"/>
  </r>
  <r>
    <s v="CLM101348"/>
    <s v="PT10490"/>
    <s v="P01"/>
    <x v="3"/>
    <x v="3"/>
    <n v="5"/>
    <d v="2026-05-26T00:00:00"/>
    <d v="2026-05-27T00:00:00"/>
    <n v="7090.82"/>
    <n v="3455.06"/>
    <n v="3109.55"/>
    <n v="345.51"/>
    <s v="Paid"/>
    <s v=""/>
    <d v="2026-06-16T00:00:00"/>
    <d v="2026-06-16T00:00:00"/>
    <n v="1450"/>
    <n v="0.45"/>
    <n v="3262.5"/>
    <n v="-192.55999999999995"/>
    <x v="0"/>
    <x v="5"/>
    <x v="7"/>
  </r>
  <r>
    <s v="CLM101349"/>
    <s v="PT10224"/>
    <s v="P06"/>
    <x v="0"/>
    <x v="0"/>
    <n v="1"/>
    <d v="2026-08-23T00:00:00"/>
    <d v="2026-08-25T00:00:00"/>
    <n v="143.41"/>
    <n v="36.229999999999997"/>
    <n v="36.229999999999997"/>
    <n v="0"/>
    <s v="Paid"/>
    <s v=""/>
    <d v="2026-09-26T00:00:00"/>
    <d v="2026-09-26T00:00:00"/>
    <n v="145"/>
    <n v="0.27"/>
    <n v="39.15"/>
    <n v="2.9200000000000017"/>
    <x v="1"/>
    <x v="2"/>
    <x v="4"/>
  </r>
  <r>
    <s v="CLM101350"/>
    <s v="PT11490"/>
    <s v="P08"/>
    <x v="2"/>
    <x v="0"/>
    <n v="1"/>
    <d v="2025-12-10T00:00:00"/>
    <d v="2025-12-17T00:00:00"/>
    <n v="146.69999999999999"/>
    <n v="146.69999999999999"/>
    <n v="146.69999999999999"/>
    <n v="0"/>
    <s v="Paid"/>
    <s v=""/>
    <d v="2026-04-08T00:00:00"/>
    <d v="2026-04-08T00:00:00"/>
    <n v="145"/>
    <n v="1"/>
    <n v="145"/>
    <n v="-1.6999999999999886"/>
    <x v="0"/>
    <x v="7"/>
    <x v="6"/>
  </r>
  <r>
    <s v="CLM101351"/>
    <s v="PT12150"/>
    <s v="P05"/>
    <x v="1"/>
    <x v="11"/>
    <n v="1"/>
    <d v="2026-04-27T00:00:00"/>
    <d v="2026-05-13T00:00:00"/>
    <n v="1117.07"/>
    <m/>
    <m/>
    <m/>
    <s v="Denied"/>
    <s v="CO-16"/>
    <d v="2026-05-29T00:00:00"/>
    <m/>
    <n v="1150"/>
    <n v="0.38"/>
    <n v="437"/>
    <s v=""/>
    <x v="2"/>
    <x v="0"/>
    <x v="10"/>
  </r>
  <r>
    <s v="CLM101352"/>
    <s v="PT13324"/>
    <s v="P01"/>
    <x v="2"/>
    <x v="9"/>
    <n v="1"/>
    <d v="2026-02-13T00:00:00"/>
    <d v="2026-02-14T00:00:00"/>
    <n v="57.37"/>
    <n v="22.43"/>
    <n v="22.43"/>
    <n v="0"/>
    <s v="Paid"/>
    <s v=""/>
    <d v="2026-03-20T00:00:00"/>
    <d v="2026-03-20T00:00:00"/>
    <n v="58"/>
    <n v="0.45"/>
    <n v="26.1"/>
    <n v="3.6700000000000017"/>
    <x v="1"/>
    <x v="5"/>
    <x v="0"/>
  </r>
  <r>
    <s v="CLM101353"/>
    <s v="PT11277"/>
    <s v="P07"/>
    <x v="3"/>
    <x v="7"/>
    <n v="1"/>
    <d v="2026-07-07T00:00:00"/>
    <d v="2026-07-11T00:00:00"/>
    <n v="207.44"/>
    <n v="64.989999999999995"/>
    <n v="64.989999999999995"/>
    <n v="0"/>
    <s v="Paid"/>
    <s v=""/>
    <d v="2026-09-14T00:00:00"/>
    <d v="2026-09-14T00:00:00"/>
    <n v="210"/>
    <n v="0.28000000000000003"/>
    <n v="58.8"/>
    <n v="-6.1899999999999977"/>
    <x v="0"/>
    <x v="3"/>
    <x v="1"/>
  </r>
  <r>
    <s v="CLM101354"/>
    <s v="PT11662"/>
    <s v="P01"/>
    <x v="2"/>
    <x v="9"/>
    <n v="1"/>
    <d v="2026-03-20T00:00:00"/>
    <d v="2026-07-30T00:00:00"/>
    <n v="58.84"/>
    <m/>
    <m/>
    <m/>
    <s v="Denied"/>
    <s v="CO-29"/>
    <d v="2026-09-10T00:00:00"/>
    <m/>
    <n v="58"/>
    <n v="0.45"/>
    <n v="26.1"/>
    <s v=""/>
    <x v="2"/>
    <x v="5"/>
    <x v="2"/>
  </r>
  <r>
    <s v="CLM101355"/>
    <s v="PT12583"/>
    <s v="P01"/>
    <x v="0"/>
    <x v="8"/>
    <n v="1"/>
    <d v="2026-07-15T00:00:00"/>
    <d v="2026-07-17T00:00:00"/>
    <n v="266.16000000000003"/>
    <n v="108.04"/>
    <n v="108.04"/>
    <n v="0"/>
    <s v="Paid"/>
    <s v=""/>
    <d v="2026-08-18T00:00:00"/>
    <d v="2026-08-18T00:00:00"/>
    <n v="260"/>
    <n v="0.45"/>
    <n v="117"/>
    <n v="8.9599999999999937"/>
    <x v="1"/>
    <x v="5"/>
    <x v="1"/>
  </r>
  <r>
    <s v="CLM101357"/>
    <s v="PT10864"/>
    <s v="P01"/>
    <x v="0"/>
    <x v="4"/>
    <n v="1"/>
    <d v="2026-06-25T00:00:00"/>
    <d v="2026-06-29T00:00:00"/>
    <n v="38.86"/>
    <n v="19.350000000000001"/>
    <n v="15.48"/>
    <n v="3.87"/>
    <s v="Paid"/>
    <s v=""/>
    <d v="2026-07-20T00:00:00"/>
    <d v="2026-07-20T00:00:00"/>
    <n v="38"/>
    <n v="0.45"/>
    <n v="17.100000000000001"/>
    <n v="-2.25"/>
    <x v="0"/>
    <x v="5"/>
    <x v="11"/>
  </r>
  <r>
    <s v="CLM101358"/>
    <s v="PT11103"/>
    <s v="P01"/>
    <x v="0"/>
    <x v="4"/>
    <n v="1"/>
    <d v="2026-06-28T00:00:00"/>
    <d v="2026-06-29T00:00:00"/>
    <n v="37.53"/>
    <n v="16.420000000000002"/>
    <n v="14.78"/>
    <n v="1.64"/>
    <s v="Paid"/>
    <s v=""/>
    <d v="2026-07-27T00:00:00"/>
    <d v="2026-07-27T00:00:00"/>
    <n v="38"/>
    <n v="0.45"/>
    <n v="17.100000000000001"/>
    <n v="0.67999999999999972"/>
    <x v="0"/>
    <x v="5"/>
    <x v="11"/>
  </r>
  <r>
    <s v="CLM101360"/>
    <s v="PT10542"/>
    <s v="P02"/>
    <x v="0"/>
    <x v="0"/>
    <n v="1"/>
    <d v="2026-01-06T00:00:00"/>
    <d v="2026-01-11T00:00:00"/>
    <n v="147.15"/>
    <n v="69.06"/>
    <n v="69.06"/>
    <n v="0"/>
    <s v="Paid"/>
    <s v=""/>
    <d v="2026-01-21T00:00:00"/>
    <d v="2026-01-21T00:00:00"/>
    <n v="145"/>
    <n v="0.43"/>
    <n v="62.35"/>
    <n v="-6.7100000000000009"/>
    <x v="0"/>
    <x v="6"/>
    <x v="5"/>
  </r>
  <r>
    <s v="CLM101361"/>
    <s v="PT12669"/>
    <s v="P01"/>
    <x v="3"/>
    <x v="3"/>
    <n v="5"/>
    <d v="2025-10-24T00:00:00"/>
    <d v="2025-10-25T00:00:00"/>
    <n v="7330.07"/>
    <n v="3769.97"/>
    <n v="3769.97"/>
    <n v="0"/>
    <s v="Paid"/>
    <s v=""/>
    <d v="2025-11-11T00:00:00"/>
    <d v="2025-11-11T00:00:00"/>
    <n v="1450"/>
    <n v="0.45"/>
    <n v="3262.5"/>
    <n v="-507.4699999999998"/>
    <x v="0"/>
    <x v="5"/>
    <x v="9"/>
  </r>
  <r>
    <s v="CLM101362"/>
    <s v="PT11331"/>
    <s v="P06"/>
    <x v="1"/>
    <x v="8"/>
    <n v="1"/>
    <d v="2025-10-08T00:00:00"/>
    <d v="2025-10-10T00:00:00"/>
    <n v="258.64999999999998"/>
    <n v="62.17"/>
    <n v="55.95"/>
    <n v="6.22"/>
    <s v="Paid"/>
    <s v=""/>
    <d v="2025-11-15T00:00:00"/>
    <d v="2025-11-15T00:00:00"/>
    <n v="260"/>
    <n v="0.27"/>
    <n v="70.2"/>
    <n v="8.0300000000000011"/>
    <x v="1"/>
    <x v="2"/>
    <x v="9"/>
  </r>
  <r>
    <s v="CLM101363"/>
    <s v="PT12006"/>
    <s v="P04"/>
    <x v="2"/>
    <x v="9"/>
    <n v="1"/>
    <d v="2026-09-14T00:00:00"/>
    <d v="2026-09-15T00:00:00"/>
    <n v="57.8"/>
    <n v="19.86"/>
    <n v="19.86"/>
    <n v="0"/>
    <s v="Paid"/>
    <s v=""/>
    <d v="2026-09-30T00:00:00"/>
    <d v="2026-09-30T00:00:00"/>
    <n v="58"/>
    <n v="0.36"/>
    <n v="20.88"/>
    <n v="1.0199999999999996"/>
    <x v="0"/>
    <x v="1"/>
    <x v="8"/>
  </r>
  <r>
    <s v="CLM101364"/>
    <s v="PT11693"/>
    <s v="P03"/>
    <x v="0"/>
    <x v="8"/>
    <n v="1"/>
    <d v="2026-02-07T00:00:00"/>
    <d v="2026-02-10T00:00:00"/>
    <n v="252.25"/>
    <m/>
    <m/>
    <m/>
    <s v="Denied"/>
    <s v="CO-18"/>
    <d v="2026-03-16T00:00:00"/>
    <m/>
    <n v="260"/>
    <n v="0.47"/>
    <n v="122.2"/>
    <s v=""/>
    <x v="2"/>
    <x v="4"/>
    <x v="0"/>
  </r>
  <r>
    <s v="CLM101365"/>
    <s v="PT12819"/>
    <s v="P01"/>
    <x v="1"/>
    <x v="5"/>
    <n v="1"/>
    <d v="2026-06-29T00:00:00"/>
    <d v="2026-07-02T00:00:00"/>
    <n v="4674.8"/>
    <n v="1923.23"/>
    <n v="1923.23"/>
    <n v="0"/>
    <s v="Paid"/>
    <s v=""/>
    <d v="2026-07-31T00:00:00"/>
    <d v="2026-07-31T00:00:00"/>
    <n v="4800"/>
    <n v="0.45"/>
    <n v="2160"/>
    <n v="236.76999999999998"/>
    <x v="1"/>
    <x v="5"/>
    <x v="11"/>
  </r>
  <r>
    <s v="CLM101366"/>
    <s v="PT12259"/>
    <s v="P08"/>
    <x v="2"/>
    <x v="9"/>
    <n v="1"/>
    <d v="2026-02-16T00:00:00"/>
    <d v="2026-02-19T00:00:00"/>
    <n v="57.93"/>
    <n v="57.93"/>
    <n v="57.93"/>
    <n v="0"/>
    <s v="Paid"/>
    <s v=""/>
    <d v="2026-04-21T00:00:00"/>
    <d v="2026-04-21T00:00:00"/>
    <n v="58"/>
    <n v="1"/>
    <n v="58"/>
    <n v="7.0000000000000284E-2"/>
    <x v="0"/>
    <x v="7"/>
    <x v="0"/>
  </r>
  <r>
    <s v="CLM101367"/>
    <s v="PT13057"/>
    <s v="P01"/>
    <x v="0"/>
    <x v="7"/>
    <n v="1"/>
    <d v="2026-04-08T00:00:00"/>
    <d v="2026-04-13T00:00:00"/>
    <n v="210.28"/>
    <n v="99.29"/>
    <n v="89.36"/>
    <n v="9.93"/>
    <s v="Paid"/>
    <s v=""/>
    <d v="2026-05-04T00:00:00"/>
    <d v="2026-05-04T00:00:00"/>
    <n v="210"/>
    <n v="0.45"/>
    <n v="94.5"/>
    <n v="-4.7900000000000063"/>
    <x v="0"/>
    <x v="5"/>
    <x v="10"/>
  </r>
  <r>
    <s v="CLM101368"/>
    <s v="PT12570"/>
    <s v="P04"/>
    <x v="0"/>
    <x v="0"/>
    <n v="1"/>
    <d v="2025-11-24T00:00:00"/>
    <d v="2025-11-26T00:00:00"/>
    <n v="142.75"/>
    <n v="55.51"/>
    <n v="55.51"/>
    <n v="0"/>
    <s v="Paid"/>
    <s v=""/>
    <d v="2025-12-10T00:00:00"/>
    <d v="2025-12-10T00:00:00"/>
    <n v="145"/>
    <n v="0.36"/>
    <n v="52.2"/>
    <n v="-3.3099999999999952"/>
    <x v="0"/>
    <x v="1"/>
    <x v="3"/>
  </r>
  <r>
    <s v="CLM101369"/>
    <s v="PT11970"/>
    <s v="P01"/>
    <x v="0"/>
    <x v="0"/>
    <n v="1"/>
    <d v="2025-10-11T00:00:00"/>
    <d v="2025-10-16T00:00:00"/>
    <n v="143.5"/>
    <n v="65.94"/>
    <n v="65.94"/>
    <n v="0"/>
    <s v="Paid"/>
    <s v=""/>
    <d v="2025-11-03T00:00:00"/>
    <d v="2025-11-03T00:00:00"/>
    <n v="145"/>
    <n v="0.45"/>
    <n v="65.25"/>
    <n v="-0.68999999999999773"/>
    <x v="0"/>
    <x v="5"/>
    <x v="9"/>
  </r>
  <r>
    <s v="CLM101370"/>
    <s v="PT10393"/>
    <s v="P05"/>
    <x v="1"/>
    <x v="8"/>
    <n v="1"/>
    <d v="2026-05-06T00:00:00"/>
    <d v="2026-05-13T00:00:00"/>
    <n v="256.12"/>
    <n v="101.89"/>
    <n v="91.7"/>
    <n v="10.19"/>
    <s v="Paid"/>
    <s v=""/>
    <d v="2026-06-14T00:00:00"/>
    <d v="2026-06-14T00:00:00"/>
    <n v="260"/>
    <n v="0.38"/>
    <n v="98.8"/>
    <n v="-3.0900000000000034"/>
    <x v="0"/>
    <x v="0"/>
    <x v="7"/>
  </r>
  <r>
    <s v="CLM101371"/>
    <s v="PT12019"/>
    <s v="P07"/>
    <x v="0"/>
    <x v="7"/>
    <n v="1"/>
    <d v="2026-03-16T00:00:00"/>
    <d v="2026-03-18T00:00:00"/>
    <n v="204.28"/>
    <n v="52.4"/>
    <n v="47.16"/>
    <n v="5.24"/>
    <s v="Paid"/>
    <s v=""/>
    <d v="2026-04-07T00:00:00"/>
    <d v="2026-04-07T00:00:00"/>
    <n v="210"/>
    <n v="0.28000000000000003"/>
    <n v="58.8"/>
    <n v="6.3999999999999986"/>
    <x v="1"/>
    <x v="3"/>
    <x v="2"/>
  </r>
  <r>
    <s v="CLM101372"/>
    <s v="PT10420"/>
    <s v="P01"/>
    <x v="1"/>
    <x v="1"/>
    <n v="1"/>
    <d v="2025-11-09T00:00:00"/>
    <d v="2025-11-19T00:00:00"/>
    <n v="234.29"/>
    <n v="117.45"/>
    <n v="117.45"/>
    <n v="0"/>
    <s v="Paid"/>
    <s v=""/>
    <d v="2025-12-19T00:00:00"/>
    <d v="2025-12-19T00:00:00"/>
    <n v="240"/>
    <n v="0.45"/>
    <n v="108"/>
    <n v="-9.4500000000000028"/>
    <x v="0"/>
    <x v="5"/>
    <x v="3"/>
  </r>
  <r>
    <s v="CLM101373"/>
    <s v="PT12406"/>
    <s v="P03"/>
    <x v="3"/>
    <x v="7"/>
    <n v="1"/>
    <d v="2025-12-09T00:00:00"/>
    <d v="2025-12-10T00:00:00"/>
    <n v="206.48"/>
    <n v="83.5"/>
    <n v="83.5"/>
    <n v="0"/>
    <s v="Paid"/>
    <s v=""/>
    <d v="2026-02-06T00:00:00"/>
    <d v="2026-02-06T00:00:00"/>
    <n v="210"/>
    <n v="0.47"/>
    <n v="98.7"/>
    <n v="15.200000000000003"/>
    <x v="1"/>
    <x v="4"/>
    <x v="6"/>
  </r>
  <r>
    <s v="CLM101374"/>
    <s v="PT10180"/>
    <s v="P04"/>
    <x v="0"/>
    <x v="8"/>
    <n v="1"/>
    <d v="2026-05-19T00:00:00"/>
    <d v="2026-05-20T00:00:00"/>
    <n v="266.13"/>
    <n v="99.14"/>
    <n v="99.14"/>
    <n v="0"/>
    <s v="Paid"/>
    <s v=""/>
    <d v="2026-06-10T00:00:00"/>
    <d v="2026-06-10T00:00:00"/>
    <n v="260"/>
    <n v="0.36"/>
    <n v="93.6"/>
    <n v="-5.5400000000000063"/>
    <x v="0"/>
    <x v="1"/>
    <x v="7"/>
  </r>
  <r>
    <s v="CLM101375"/>
    <s v="PT13259"/>
    <s v="P04"/>
    <x v="0"/>
    <x v="8"/>
    <n v="1"/>
    <d v="2026-09-02T00:00:00"/>
    <d v="2026-09-08T00:00:00"/>
    <n v="264.01"/>
    <n v="94.73"/>
    <n v="94.73"/>
    <n v="0"/>
    <s v="Paid"/>
    <s v=""/>
    <d v="2026-09-28T00:00:00"/>
    <d v="2026-09-28T00:00:00"/>
    <n v="260"/>
    <n v="0.36"/>
    <n v="93.6"/>
    <n v="-1.1300000000000097"/>
    <x v="0"/>
    <x v="1"/>
    <x v="8"/>
  </r>
  <r>
    <s v="CLM101376"/>
    <s v="PT12278"/>
    <s v="P01"/>
    <x v="0"/>
    <x v="8"/>
    <n v="1"/>
    <d v="2026-06-15T00:00:00"/>
    <d v="2026-06-26T00:00:00"/>
    <n v="261.29000000000002"/>
    <n v="114.91"/>
    <n v="91.93"/>
    <n v="22.98"/>
    <s v="Paid"/>
    <s v=""/>
    <d v="2026-07-19T00:00:00"/>
    <d v="2026-07-19T00:00:00"/>
    <n v="260"/>
    <n v="0.45"/>
    <n v="117"/>
    <n v="2.0900000000000034"/>
    <x v="0"/>
    <x v="5"/>
    <x v="11"/>
  </r>
  <r>
    <s v="CLM101377"/>
    <s v="PT10185"/>
    <s v="P05"/>
    <x v="3"/>
    <x v="3"/>
    <n v="5"/>
    <d v="2026-08-18T00:00:00"/>
    <d v="2026-08-19T00:00:00"/>
    <n v="7322.77"/>
    <m/>
    <m/>
    <m/>
    <s v="Pending"/>
    <s v=""/>
    <m/>
    <m/>
    <n v="1450"/>
    <n v="0.38"/>
    <n v="2755"/>
    <s v=""/>
    <x v="2"/>
    <x v="0"/>
    <x v="4"/>
  </r>
  <r>
    <s v="CLM101378"/>
    <s v="PT11501"/>
    <s v="P06"/>
    <x v="3"/>
    <x v="3"/>
    <n v="10"/>
    <d v="2026-01-10T00:00:00"/>
    <d v="2026-01-11T00:00:00"/>
    <n v="14321.65"/>
    <n v="4009.58"/>
    <n v="4009.58"/>
    <n v="0"/>
    <s v="Paid"/>
    <s v=""/>
    <d v="2026-03-10T00:00:00"/>
    <d v="2026-03-10T00:00:00"/>
    <n v="1450"/>
    <n v="0.27"/>
    <n v="3915"/>
    <n v="-94.579999999999927"/>
    <x v="0"/>
    <x v="2"/>
    <x v="5"/>
  </r>
  <r>
    <s v="CLM101379"/>
    <s v="PT10701"/>
    <s v="P06"/>
    <x v="0"/>
    <x v="8"/>
    <n v="1"/>
    <d v="2026-05-10T00:00:00"/>
    <d v="2026-05-11T00:00:00"/>
    <n v="254.6"/>
    <n v="68.180000000000007"/>
    <n v="68.180000000000007"/>
    <n v="0"/>
    <s v="Paid"/>
    <s v=""/>
    <d v="2026-06-23T00:00:00"/>
    <d v="2026-06-23T00:00:00"/>
    <n v="260"/>
    <n v="0.27"/>
    <n v="70.2"/>
    <n v="2.019999999999996"/>
    <x v="0"/>
    <x v="2"/>
    <x v="7"/>
  </r>
  <r>
    <s v="CLM101380"/>
    <s v="PT11090"/>
    <s v="P05"/>
    <x v="0"/>
    <x v="7"/>
    <n v="1"/>
    <d v="2026-05-04T00:00:00"/>
    <d v="2026-05-10T00:00:00"/>
    <n v="205.07"/>
    <m/>
    <m/>
    <m/>
    <s v="Denied"/>
    <s v="CO-16"/>
    <d v="2026-07-04T00:00:00"/>
    <m/>
    <n v="210"/>
    <n v="0.38"/>
    <n v="79.8"/>
    <s v=""/>
    <x v="2"/>
    <x v="0"/>
    <x v="7"/>
  </r>
  <r>
    <s v="CLM101381"/>
    <s v="PT13394"/>
    <s v="P04"/>
    <x v="3"/>
    <x v="7"/>
    <n v="1"/>
    <d v="2026-07-30T00:00:00"/>
    <d v="2026-08-09T00:00:00"/>
    <n v="215.03"/>
    <n v="86.72"/>
    <n v="86.72"/>
    <n v="0"/>
    <s v="Paid"/>
    <s v=""/>
    <d v="2026-09-05T00:00:00"/>
    <d v="2026-09-05T00:00:00"/>
    <n v="210"/>
    <n v="0.36"/>
    <n v="75.599999999999994"/>
    <n v="-11.120000000000005"/>
    <x v="0"/>
    <x v="1"/>
    <x v="1"/>
  </r>
  <r>
    <s v="CLM101382"/>
    <s v="PT10803"/>
    <s v="P04"/>
    <x v="2"/>
    <x v="0"/>
    <n v="1"/>
    <d v="2026-01-19T00:00:00"/>
    <d v="2026-01-22T00:00:00"/>
    <n v="148.94999999999999"/>
    <n v="49.94"/>
    <n v="49.94"/>
    <n v="0"/>
    <s v="Paid"/>
    <s v=""/>
    <d v="2026-02-08T00:00:00"/>
    <d v="2026-02-08T00:00:00"/>
    <n v="145"/>
    <n v="0.36"/>
    <n v="52.2"/>
    <n v="2.2600000000000051"/>
    <x v="0"/>
    <x v="1"/>
    <x v="5"/>
  </r>
  <r>
    <s v="CLM101383"/>
    <s v="PT10941"/>
    <s v="P05"/>
    <x v="0"/>
    <x v="4"/>
    <n v="1"/>
    <d v="2026-05-27T00:00:00"/>
    <d v="2026-06-05T00:00:00"/>
    <n v="38.97"/>
    <m/>
    <m/>
    <m/>
    <s v="Denied"/>
    <s v="CO-11"/>
    <d v="2026-08-06T00:00:00"/>
    <m/>
    <n v="38"/>
    <n v="0.38"/>
    <n v="14.44"/>
    <s v=""/>
    <x v="2"/>
    <x v="0"/>
    <x v="7"/>
  </r>
  <r>
    <s v="CLM101384"/>
    <s v="PT13272"/>
    <s v="P04"/>
    <x v="0"/>
    <x v="0"/>
    <n v="1"/>
    <d v="2026-04-21T00:00:00"/>
    <d v="2026-04-25T00:00:00"/>
    <n v="148.56"/>
    <n v="47.41"/>
    <n v="47.41"/>
    <n v="0"/>
    <s v="Paid"/>
    <s v=""/>
    <d v="2026-05-06T00:00:00"/>
    <d v="2026-05-06T00:00:00"/>
    <n v="145"/>
    <n v="0.36"/>
    <n v="52.2"/>
    <n v="4.7900000000000063"/>
    <x v="1"/>
    <x v="1"/>
    <x v="10"/>
  </r>
  <r>
    <s v="CLM101385"/>
    <s v="PT11063"/>
    <s v="P03"/>
    <x v="1"/>
    <x v="8"/>
    <n v="1"/>
    <d v="2026-08-07T00:00:00"/>
    <d v="2026-08-08T00:00:00"/>
    <n v="260.68"/>
    <n v="107.21"/>
    <n v="107.21"/>
    <n v="0"/>
    <s v="Paid"/>
    <s v=""/>
    <d v="2026-09-20T00:00:00"/>
    <d v="2026-09-20T00:00:00"/>
    <n v="260"/>
    <n v="0.47"/>
    <n v="122.2"/>
    <n v="14.990000000000009"/>
    <x v="1"/>
    <x v="4"/>
    <x v="4"/>
  </r>
  <r>
    <s v="CLM101386"/>
    <s v="PT12121"/>
    <s v="P01"/>
    <x v="1"/>
    <x v="1"/>
    <n v="1"/>
    <d v="2025-12-31T00:00:00"/>
    <d v="2026-01-03T00:00:00"/>
    <n v="233.43"/>
    <n v="93.27"/>
    <n v="93.27"/>
    <n v="0"/>
    <s v="Paid"/>
    <s v=""/>
    <d v="2026-02-03T00:00:00"/>
    <d v="2026-02-03T00:00:00"/>
    <n v="240"/>
    <n v="0.45"/>
    <n v="108"/>
    <n v="14.730000000000004"/>
    <x v="1"/>
    <x v="5"/>
    <x v="6"/>
  </r>
  <r>
    <s v="CLM101387"/>
    <s v="PT13470"/>
    <s v="P01"/>
    <x v="1"/>
    <x v="10"/>
    <n v="1"/>
    <d v="2026-08-21T00:00:00"/>
    <d v="2026-08-27T00:00:00"/>
    <n v="1052.94"/>
    <n v="424.39"/>
    <n v="381.95"/>
    <n v="42.44"/>
    <s v="Paid"/>
    <s v=""/>
    <d v="2026-09-11T00:00:00"/>
    <d v="2026-09-11T00:00:00"/>
    <n v="1050"/>
    <n v="0.45"/>
    <n v="472.5"/>
    <n v="48.110000000000014"/>
    <x v="1"/>
    <x v="5"/>
    <x v="4"/>
  </r>
  <r>
    <s v="CLM101388"/>
    <s v="PT10338"/>
    <s v="P05"/>
    <x v="1"/>
    <x v="8"/>
    <n v="1"/>
    <d v="2025-10-14T00:00:00"/>
    <d v="2025-10-19T00:00:00"/>
    <n v="264.29000000000002"/>
    <n v="108.11"/>
    <n v="108.11"/>
    <n v="0"/>
    <s v="Paid"/>
    <s v=""/>
    <d v="2025-12-18T00:00:00"/>
    <d v="2025-12-18T00:00:00"/>
    <n v="260"/>
    <n v="0.38"/>
    <n v="98.8"/>
    <n v="-9.3100000000000023"/>
    <x v="0"/>
    <x v="0"/>
    <x v="9"/>
  </r>
  <r>
    <s v="CLM101389"/>
    <s v="PT12945"/>
    <s v="P01"/>
    <x v="3"/>
    <x v="6"/>
    <n v="1"/>
    <d v="2025-11-20T00:00:00"/>
    <d v="2025-11-29T00:00:00"/>
    <n v="418.46"/>
    <n v="162.37"/>
    <n v="162.37"/>
    <n v="0"/>
    <s v="Paid"/>
    <s v=""/>
    <d v="2025-12-29T00:00:00"/>
    <d v="2025-12-29T00:00:00"/>
    <n v="420"/>
    <n v="0.45"/>
    <n v="189"/>
    <n v="26.629999999999995"/>
    <x v="1"/>
    <x v="5"/>
    <x v="3"/>
  </r>
  <r>
    <s v="CLM101390"/>
    <s v="PT13329"/>
    <s v="P02"/>
    <x v="1"/>
    <x v="11"/>
    <n v="1"/>
    <d v="2026-09-10T00:00:00"/>
    <d v="2026-09-20T00:00:00"/>
    <n v="1123.45"/>
    <m/>
    <m/>
    <m/>
    <s v="Pending"/>
    <s v=""/>
    <m/>
    <m/>
    <n v="1150"/>
    <n v="0.43"/>
    <n v="494.5"/>
    <s v=""/>
    <x v="2"/>
    <x v="6"/>
    <x v="8"/>
  </r>
  <r>
    <s v="CLM101391"/>
    <s v="PT12053"/>
    <s v="P04"/>
    <x v="1"/>
    <x v="4"/>
    <n v="1"/>
    <d v="2026-06-02T00:00:00"/>
    <d v="2026-06-05T00:00:00"/>
    <n v="37.51"/>
    <n v="12.04"/>
    <n v="10.84"/>
    <n v="1.2"/>
    <s v="Paid"/>
    <s v=""/>
    <d v="2026-06-25T00:00:00"/>
    <d v="2026-06-25T00:00:00"/>
    <n v="38"/>
    <n v="0.36"/>
    <n v="13.68"/>
    <n v="1.6400000000000006"/>
    <x v="1"/>
    <x v="1"/>
    <x v="11"/>
  </r>
  <r>
    <s v="CLM101392"/>
    <s v="PT11414"/>
    <s v="P02"/>
    <x v="0"/>
    <x v="0"/>
    <n v="1"/>
    <d v="2026-05-29T00:00:00"/>
    <d v="2026-06-01T00:00:00"/>
    <n v="141"/>
    <m/>
    <m/>
    <m/>
    <s v="Denied"/>
    <s v="CO-4"/>
    <d v="2026-07-02T00:00:00"/>
    <m/>
    <n v="145"/>
    <n v="0.43"/>
    <n v="62.35"/>
    <s v=""/>
    <x v="2"/>
    <x v="6"/>
    <x v="7"/>
  </r>
  <r>
    <s v="CLM101393"/>
    <s v="PT12095"/>
    <s v="P03"/>
    <x v="1"/>
    <x v="4"/>
    <n v="1"/>
    <d v="2026-06-29T00:00:00"/>
    <d v="2026-07-01T00:00:00"/>
    <n v="37.200000000000003"/>
    <m/>
    <m/>
    <m/>
    <s v="Denied"/>
    <s v="CO-27"/>
    <d v="2026-08-25T00:00:00"/>
    <m/>
    <n v="38"/>
    <n v="0.47"/>
    <n v="17.86"/>
    <s v=""/>
    <x v="2"/>
    <x v="4"/>
    <x v="11"/>
  </r>
  <r>
    <s v="CLM101394"/>
    <s v="PT11680"/>
    <s v="P02"/>
    <x v="3"/>
    <x v="6"/>
    <n v="1"/>
    <d v="2025-12-27T00:00:00"/>
    <d v="2025-12-29T00:00:00"/>
    <n v="427.19"/>
    <m/>
    <m/>
    <m/>
    <s v="Denied"/>
    <s v="CO-16"/>
    <d v="2026-02-05T00:00:00"/>
    <m/>
    <n v="420"/>
    <n v="0.43"/>
    <n v="180.6"/>
    <s v=""/>
    <x v="2"/>
    <x v="6"/>
    <x v="6"/>
  </r>
  <r>
    <s v="CLM101395"/>
    <s v="PT10515"/>
    <s v="P04"/>
    <x v="0"/>
    <x v="4"/>
    <n v="1"/>
    <d v="2025-10-09T00:00:00"/>
    <d v="2025-10-16T00:00:00"/>
    <n v="38.619999999999997"/>
    <n v="15.44"/>
    <n v="15.44"/>
    <n v="0"/>
    <s v="Paid"/>
    <s v=""/>
    <d v="2025-11-04T00:00:00"/>
    <d v="2025-11-04T00:00:00"/>
    <n v="38"/>
    <n v="0.36"/>
    <n v="13.68"/>
    <n v="-1.7599999999999998"/>
    <x v="0"/>
    <x v="1"/>
    <x v="9"/>
  </r>
  <r>
    <s v="CLM101396"/>
    <s v="PT12562"/>
    <s v="P06"/>
    <x v="1"/>
    <x v="11"/>
    <n v="1"/>
    <d v="2025-12-02T00:00:00"/>
    <d v="2025-12-04T00:00:00"/>
    <n v="1175.2"/>
    <n v="355.82"/>
    <n v="320.24"/>
    <n v="35.58"/>
    <s v="Paid"/>
    <s v=""/>
    <d v="2026-01-29T00:00:00"/>
    <d v="2026-01-29T00:00:00"/>
    <n v="1150"/>
    <n v="0.27"/>
    <n v="310.5"/>
    <n v="-45.319999999999993"/>
    <x v="0"/>
    <x v="2"/>
    <x v="6"/>
  </r>
  <r>
    <s v="CLM101397"/>
    <s v="PT12164"/>
    <s v="P01"/>
    <x v="3"/>
    <x v="7"/>
    <n v="1"/>
    <d v="2026-05-31T00:00:00"/>
    <d v="2026-06-11T00:00:00"/>
    <n v="209.98"/>
    <n v="90.91"/>
    <n v="90.91"/>
    <n v="0"/>
    <s v="Paid"/>
    <s v=""/>
    <d v="2026-07-02T00:00:00"/>
    <d v="2026-07-02T00:00:00"/>
    <n v="210"/>
    <n v="0.45"/>
    <n v="94.5"/>
    <n v="3.5900000000000034"/>
    <x v="0"/>
    <x v="5"/>
    <x v="7"/>
  </r>
  <r>
    <s v="CLM101398"/>
    <s v="PT11669"/>
    <s v="P02"/>
    <x v="3"/>
    <x v="6"/>
    <n v="1"/>
    <d v="2025-12-19T00:00:00"/>
    <d v="2025-12-20T00:00:00"/>
    <n v="424.36"/>
    <n v="191.45"/>
    <n v="172.31"/>
    <n v="19.14"/>
    <s v="Paid"/>
    <s v=""/>
    <d v="2026-01-19T00:00:00"/>
    <d v="2026-01-19T00:00:00"/>
    <n v="420"/>
    <n v="0.43"/>
    <n v="180.6"/>
    <n v="-10.849999999999994"/>
    <x v="0"/>
    <x v="6"/>
    <x v="6"/>
  </r>
  <r>
    <s v="CLM101399"/>
    <s v="PT10876"/>
    <s v="P02"/>
    <x v="1"/>
    <x v="8"/>
    <n v="1"/>
    <d v="2026-05-03T00:00:00"/>
    <d v="2026-05-04T00:00:00"/>
    <n v="264"/>
    <n v="124.98"/>
    <n v="99.98"/>
    <n v="25"/>
    <s v="Paid"/>
    <s v=""/>
    <d v="2026-05-24T00:00:00"/>
    <d v="2026-05-24T00:00:00"/>
    <n v="260"/>
    <n v="0.43"/>
    <n v="111.8"/>
    <n v="-13.180000000000007"/>
    <x v="0"/>
    <x v="6"/>
    <x v="7"/>
  </r>
  <r>
    <s v="CLM101400"/>
    <s v="PT13103"/>
    <s v="P02"/>
    <x v="1"/>
    <x v="5"/>
    <n v="1"/>
    <d v="2026-05-25T00:00:00"/>
    <d v="2026-06-01T00:00:00"/>
    <n v="4907.55"/>
    <n v="2412.7199999999998"/>
    <n v="2171.4499999999998"/>
    <n v="241.27"/>
    <s v="Paid"/>
    <s v=""/>
    <d v="2026-06-26T00:00:00"/>
    <d v="2026-06-26T00:00:00"/>
    <n v="4800"/>
    <n v="0.43"/>
    <n v="2064"/>
    <n v="-348.7199999999998"/>
    <x v="0"/>
    <x v="6"/>
    <x v="7"/>
  </r>
  <r>
    <s v="CLM101401"/>
    <s v="PT11203"/>
    <s v="P01"/>
    <x v="1"/>
    <x v="5"/>
    <n v="1"/>
    <d v="2026-04-25T00:00:00"/>
    <d v="2026-05-01T00:00:00"/>
    <n v="4883.13"/>
    <n v="2227.13"/>
    <n v="2227.13"/>
    <n v="0"/>
    <s v="Paid"/>
    <s v=""/>
    <d v="2026-06-03T00:00:00"/>
    <d v="2026-06-03T00:00:00"/>
    <n v="4800"/>
    <n v="0.45"/>
    <n v="2160"/>
    <n v="-67.130000000000109"/>
    <x v="0"/>
    <x v="5"/>
    <x v="10"/>
  </r>
  <r>
    <s v="CLM101402"/>
    <s v="PT12172"/>
    <s v="P07"/>
    <x v="1"/>
    <x v="5"/>
    <n v="1"/>
    <d v="2025-10-12T00:00:00"/>
    <d v="2025-10-15T00:00:00"/>
    <n v="4848.58"/>
    <m/>
    <m/>
    <m/>
    <s v="Denied"/>
    <s v="CO-11"/>
    <d v="2025-10-29T00:00:00"/>
    <m/>
    <n v="4800"/>
    <n v="0.28000000000000003"/>
    <n v="1344"/>
    <s v=""/>
    <x v="2"/>
    <x v="3"/>
    <x v="9"/>
  </r>
  <r>
    <s v="CLM101403"/>
    <s v="PT12759"/>
    <s v="P06"/>
    <x v="0"/>
    <x v="7"/>
    <n v="1"/>
    <d v="2026-02-19T00:00:00"/>
    <d v="2026-03-06T00:00:00"/>
    <n v="207.88"/>
    <n v="61.92"/>
    <n v="61.92"/>
    <n v="0"/>
    <s v="Paid"/>
    <s v=""/>
    <d v="2026-04-12T00:00:00"/>
    <d v="2026-04-12T00:00:00"/>
    <n v="210"/>
    <n v="0.27"/>
    <n v="56.7"/>
    <n v="-5.2199999999999989"/>
    <x v="0"/>
    <x v="2"/>
    <x v="0"/>
  </r>
  <r>
    <s v="CLM101404"/>
    <s v="PT12155"/>
    <s v="P02"/>
    <x v="3"/>
    <x v="3"/>
    <n v="5"/>
    <d v="2026-08-24T00:00:00"/>
    <d v="2026-08-26T00:00:00"/>
    <n v="7464.51"/>
    <m/>
    <m/>
    <m/>
    <s v="Denied"/>
    <s v="CO-197"/>
    <d v="2026-09-29T00:00:00"/>
    <m/>
    <n v="1450"/>
    <n v="0.43"/>
    <n v="3117.5"/>
    <s v=""/>
    <x v="2"/>
    <x v="6"/>
    <x v="4"/>
  </r>
  <r>
    <s v="CLM101405"/>
    <s v="PT11910"/>
    <s v="P01"/>
    <x v="1"/>
    <x v="4"/>
    <n v="1"/>
    <d v="2026-01-22T00:00:00"/>
    <d v="2026-01-29T00:00:00"/>
    <n v="38.700000000000003"/>
    <m/>
    <m/>
    <m/>
    <s v="Denied"/>
    <s v="CO-11"/>
    <d v="2026-02-21T00:00:00"/>
    <m/>
    <n v="38"/>
    <n v="0.45"/>
    <n v="17.100000000000001"/>
    <s v=""/>
    <x v="2"/>
    <x v="5"/>
    <x v="5"/>
  </r>
  <r>
    <s v="CLM101406"/>
    <s v="PT10160"/>
    <s v="P01"/>
    <x v="3"/>
    <x v="7"/>
    <n v="1"/>
    <d v="2026-01-10T00:00:00"/>
    <d v="2026-01-11T00:00:00"/>
    <n v="206.74"/>
    <n v="92.82"/>
    <n v="92.82"/>
    <n v="0"/>
    <s v="Paid"/>
    <s v=""/>
    <d v="2026-02-16T00:00:00"/>
    <d v="2026-02-16T00:00:00"/>
    <n v="210"/>
    <n v="0.45"/>
    <n v="94.5"/>
    <n v="1.6800000000000068"/>
    <x v="0"/>
    <x v="5"/>
    <x v="5"/>
  </r>
  <r>
    <s v="CLM101407"/>
    <s v="PT13190"/>
    <s v="P05"/>
    <x v="2"/>
    <x v="2"/>
    <n v="3"/>
    <d v="2025-11-12T00:00:00"/>
    <d v="2025-11-15T00:00:00"/>
    <n v="188.92"/>
    <n v="63.16"/>
    <n v="50.53"/>
    <n v="12.63"/>
    <s v="Paid"/>
    <s v=""/>
    <d v="2026-01-22T00:00:00"/>
    <d v="2026-01-22T00:00:00"/>
    <n v="62"/>
    <n v="0.38"/>
    <n v="70.680000000000007"/>
    <n v="7.5200000000000102"/>
    <x v="1"/>
    <x v="0"/>
    <x v="3"/>
  </r>
  <r>
    <s v="CLM101408"/>
    <s v="PT13430"/>
    <s v="P01"/>
    <x v="0"/>
    <x v="0"/>
    <n v="1"/>
    <d v="2026-01-03T00:00:00"/>
    <d v="2026-01-04T00:00:00"/>
    <n v="142.47"/>
    <n v="65.83"/>
    <n v="65.83"/>
    <n v="0"/>
    <s v="Paid"/>
    <s v=""/>
    <d v="2026-01-27T00:00:00"/>
    <d v="2026-01-27T00:00:00"/>
    <n v="145"/>
    <n v="0.45"/>
    <n v="65.25"/>
    <n v="-0.57999999999999829"/>
    <x v="0"/>
    <x v="5"/>
    <x v="5"/>
  </r>
  <r>
    <s v="CLM101409"/>
    <s v="PT12968"/>
    <s v="P02"/>
    <x v="0"/>
    <x v="0"/>
    <n v="1"/>
    <d v="2026-04-12T00:00:00"/>
    <d v="2026-04-17T00:00:00"/>
    <n v="143.55000000000001"/>
    <n v="65.739999999999995"/>
    <n v="65.739999999999995"/>
    <n v="0"/>
    <s v="Paid"/>
    <s v=""/>
    <d v="2026-05-27T00:00:00"/>
    <d v="2026-05-27T00:00:00"/>
    <n v="145"/>
    <n v="0.43"/>
    <n v="62.35"/>
    <n v="-3.3899999999999935"/>
    <x v="0"/>
    <x v="6"/>
    <x v="10"/>
  </r>
  <r>
    <s v="CLM101410"/>
    <s v="PT12154"/>
    <s v="P07"/>
    <x v="2"/>
    <x v="2"/>
    <n v="1"/>
    <d v="2026-09-14T00:00:00"/>
    <d v="2026-09-18T00:00:00"/>
    <n v="61.6"/>
    <m/>
    <m/>
    <m/>
    <s v="Pending"/>
    <s v=""/>
    <m/>
    <m/>
    <n v="62"/>
    <n v="0.28000000000000003"/>
    <n v="17.36"/>
    <s v=""/>
    <x v="2"/>
    <x v="3"/>
    <x v="8"/>
  </r>
  <r>
    <s v="CLM101411"/>
    <s v="PT13098"/>
    <s v="P01"/>
    <x v="0"/>
    <x v="8"/>
    <n v="1"/>
    <d v="2026-02-27T00:00:00"/>
    <d v="2026-03-02T00:00:00"/>
    <n v="255.72"/>
    <n v="127.18"/>
    <n v="127.18"/>
    <n v="0"/>
    <s v="Paid"/>
    <s v=""/>
    <d v="2026-03-20T00:00:00"/>
    <d v="2026-03-20T00:00:00"/>
    <n v="260"/>
    <n v="0.45"/>
    <n v="117"/>
    <n v="-10.180000000000007"/>
    <x v="0"/>
    <x v="5"/>
    <x v="0"/>
  </r>
  <r>
    <s v="CLM101412"/>
    <s v="PT10149"/>
    <s v="P01"/>
    <x v="2"/>
    <x v="2"/>
    <n v="1"/>
    <d v="2025-12-20T00:00:00"/>
    <d v="2026-04-22T00:00:00"/>
    <n v="62.4"/>
    <m/>
    <m/>
    <m/>
    <s v="Denied"/>
    <s v="CO-29"/>
    <d v="2026-05-25T00:00:00"/>
    <m/>
    <n v="62"/>
    <n v="0.45"/>
    <n v="27.9"/>
    <s v=""/>
    <x v="2"/>
    <x v="5"/>
    <x v="6"/>
  </r>
  <r>
    <s v="CLM101413"/>
    <s v="PT13244"/>
    <s v="P02"/>
    <x v="3"/>
    <x v="7"/>
    <n v="1"/>
    <d v="2026-06-24T00:00:00"/>
    <d v="2026-07-06T00:00:00"/>
    <n v="210.45"/>
    <m/>
    <m/>
    <m/>
    <s v="Denied"/>
    <s v="CO-27"/>
    <d v="2026-08-10T00:00:00"/>
    <m/>
    <n v="210"/>
    <n v="0.43"/>
    <n v="90.3"/>
    <s v=""/>
    <x v="2"/>
    <x v="6"/>
    <x v="11"/>
  </r>
  <r>
    <s v="CLM101414"/>
    <s v="PT12130"/>
    <s v="P03"/>
    <x v="0"/>
    <x v="0"/>
    <n v="1"/>
    <d v="2025-11-19T00:00:00"/>
    <d v="2025-11-20T00:00:00"/>
    <n v="141.66"/>
    <n v="56.9"/>
    <n v="56.9"/>
    <n v="0"/>
    <s v="Paid"/>
    <s v=""/>
    <d v="2026-01-12T00:00:00"/>
    <d v="2026-01-12T00:00:00"/>
    <n v="145"/>
    <n v="0.47"/>
    <n v="68.150000000000006"/>
    <n v="11.250000000000007"/>
    <x v="1"/>
    <x v="4"/>
    <x v="3"/>
  </r>
  <r>
    <s v="CLM101415"/>
    <s v="PT10409"/>
    <s v="P02"/>
    <x v="2"/>
    <x v="9"/>
    <n v="1"/>
    <d v="2026-08-08T00:00:00"/>
    <d v="2026-08-14T00:00:00"/>
    <n v="59.11"/>
    <n v="21.91"/>
    <n v="21.91"/>
    <n v="0"/>
    <s v="Paid"/>
    <s v=""/>
    <d v="2026-09-16T00:00:00"/>
    <d v="2026-09-16T00:00:00"/>
    <n v="58"/>
    <n v="0.43"/>
    <n v="24.94"/>
    <n v="3.0300000000000011"/>
    <x v="1"/>
    <x v="6"/>
    <x v="4"/>
  </r>
  <r>
    <s v="CLM101416"/>
    <s v="PT12544"/>
    <s v="P02"/>
    <x v="2"/>
    <x v="2"/>
    <n v="1"/>
    <d v="2026-03-24T00:00:00"/>
    <d v="2026-03-27T00:00:00"/>
    <n v="60.33"/>
    <n v="22.65"/>
    <n v="22.65"/>
    <n v="0"/>
    <s v="Paid"/>
    <s v=""/>
    <d v="2026-04-20T00:00:00"/>
    <d v="2026-04-20T00:00:00"/>
    <n v="62"/>
    <n v="0.43"/>
    <n v="26.66"/>
    <n v="4.0100000000000016"/>
    <x v="1"/>
    <x v="6"/>
    <x v="2"/>
  </r>
  <r>
    <s v="CLM101417"/>
    <s v="PT13251"/>
    <s v="P06"/>
    <x v="1"/>
    <x v="1"/>
    <n v="1"/>
    <d v="2026-02-26T00:00:00"/>
    <d v="2026-02-27T00:00:00"/>
    <n v="243.6"/>
    <n v="73.88"/>
    <n v="73.88"/>
    <n v="0"/>
    <s v="Paid"/>
    <s v=""/>
    <d v="2026-03-29T00:00:00"/>
    <d v="2026-03-29T00:00:00"/>
    <n v="240"/>
    <n v="0.27"/>
    <n v="64.8"/>
    <n v="-9.0799999999999983"/>
    <x v="0"/>
    <x v="2"/>
    <x v="0"/>
  </r>
  <r>
    <s v="CLM101418"/>
    <s v="PT10868"/>
    <s v="P06"/>
    <x v="0"/>
    <x v="4"/>
    <n v="1"/>
    <d v="2026-03-25T00:00:00"/>
    <d v="2026-03-28T00:00:00"/>
    <n v="37.54"/>
    <n v="10.29"/>
    <n v="10.29"/>
    <n v="0"/>
    <s v="Paid"/>
    <s v=""/>
    <d v="2026-05-12T00:00:00"/>
    <d v="2026-05-12T00:00:00"/>
    <n v="38"/>
    <n v="0.27"/>
    <n v="10.26"/>
    <n v="-2.9999999999999361E-2"/>
    <x v="0"/>
    <x v="2"/>
    <x v="2"/>
  </r>
  <r>
    <s v="CLM101419"/>
    <s v="PT12078"/>
    <s v="P04"/>
    <x v="1"/>
    <x v="11"/>
    <n v="1"/>
    <d v="2025-12-03T00:00:00"/>
    <d v="2025-12-08T00:00:00"/>
    <n v="1119.18"/>
    <n v="427.22"/>
    <n v="427.22"/>
    <n v="0"/>
    <s v="Paid"/>
    <s v=""/>
    <d v="2025-12-24T00:00:00"/>
    <d v="2025-12-24T00:00:00"/>
    <n v="1150"/>
    <n v="0.36"/>
    <n v="414"/>
    <n v="-13.220000000000027"/>
    <x v="0"/>
    <x v="1"/>
    <x v="6"/>
  </r>
  <r>
    <s v="CLM101420"/>
    <s v="PT13097"/>
    <s v="P06"/>
    <x v="0"/>
    <x v="0"/>
    <n v="1"/>
    <d v="2026-02-24T00:00:00"/>
    <d v="2026-03-07T00:00:00"/>
    <n v="145.63999999999999"/>
    <n v="38.75"/>
    <n v="31"/>
    <n v="7.75"/>
    <s v="Paid"/>
    <s v=""/>
    <d v="2026-04-15T00:00:00"/>
    <d v="2026-04-15T00:00:00"/>
    <n v="145"/>
    <n v="0.27"/>
    <n v="39.15"/>
    <n v="0.39999999999999858"/>
    <x v="0"/>
    <x v="2"/>
    <x v="0"/>
  </r>
  <r>
    <s v="CLM101421"/>
    <s v="PT12628"/>
    <s v="P05"/>
    <x v="0"/>
    <x v="4"/>
    <n v="1"/>
    <d v="2026-07-21T00:00:00"/>
    <d v="2026-07-30T00:00:00"/>
    <n v="38.700000000000003"/>
    <m/>
    <m/>
    <m/>
    <s v="Pending"/>
    <s v=""/>
    <m/>
    <m/>
    <n v="38"/>
    <n v="0.38"/>
    <n v="14.44"/>
    <s v=""/>
    <x v="2"/>
    <x v="0"/>
    <x v="1"/>
  </r>
  <r>
    <s v="CLM101422"/>
    <s v="PT12315"/>
    <s v="P01"/>
    <x v="0"/>
    <x v="4"/>
    <n v="1"/>
    <d v="2026-06-25T00:00:00"/>
    <d v="2026-06-29T00:00:00"/>
    <n v="37.53"/>
    <n v="16.28"/>
    <n v="14.65"/>
    <n v="1.63"/>
    <s v="Paid"/>
    <s v=""/>
    <d v="2026-08-02T00:00:00"/>
    <d v="2026-08-02T00:00:00"/>
    <n v="38"/>
    <n v="0.45"/>
    <n v="17.100000000000001"/>
    <n v="0.82000000000000028"/>
    <x v="0"/>
    <x v="5"/>
    <x v="11"/>
  </r>
  <r>
    <s v="CLM101423"/>
    <s v="PT10443"/>
    <s v="P05"/>
    <x v="1"/>
    <x v="8"/>
    <n v="1"/>
    <d v="2026-03-08T00:00:00"/>
    <d v="2026-03-15T00:00:00"/>
    <n v="261.08"/>
    <n v="113.95"/>
    <n v="113.95"/>
    <n v="0"/>
    <s v="Paid"/>
    <s v=""/>
    <d v="2026-05-02T00:00:00"/>
    <d v="2026-05-02T00:00:00"/>
    <n v="260"/>
    <n v="0.38"/>
    <n v="98.8"/>
    <n v="-15.150000000000006"/>
    <x v="0"/>
    <x v="0"/>
    <x v="2"/>
  </r>
  <r>
    <s v="CLM101424"/>
    <s v="PT12548"/>
    <s v="P06"/>
    <x v="1"/>
    <x v="5"/>
    <n v="1"/>
    <d v="2026-01-23T00:00:00"/>
    <d v="2026-01-24T00:00:00"/>
    <n v="4740.8"/>
    <n v="1241.8699999999999"/>
    <n v="993.5"/>
    <n v="248.37"/>
    <s v="Paid"/>
    <s v=""/>
    <d v="2026-02-06T00:00:00"/>
    <d v="2026-02-06T00:00:00"/>
    <n v="4800"/>
    <n v="0.27"/>
    <n v="1296"/>
    <n v="54.130000000000109"/>
    <x v="0"/>
    <x v="2"/>
    <x v="5"/>
  </r>
  <r>
    <s v="CLM101425"/>
    <s v="PT10712"/>
    <s v="P03"/>
    <x v="3"/>
    <x v="7"/>
    <n v="1"/>
    <d v="2026-04-22T00:00:00"/>
    <d v="2026-04-25T00:00:00"/>
    <n v="211.77"/>
    <n v="112.25"/>
    <n v="89.8"/>
    <n v="22.45"/>
    <s v="Paid"/>
    <s v=""/>
    <d v="2026-05-28T00:00:00"/>
    <d v="2026-05-28T00:00:00"/>
    <n v="210"/>
    <n v="0.47"/>
    <n v="98.7"/>
    <n v="-13.549999999999997"/>
    <x v="0"/>
    <x v="4"/>
    <x v="10"/>
  </r>
  <r>
    <s v="CLM101426"/>
    <s v="PT12692"/>
    <s v="P04"/>
    <x v="3"/>
    <x v="6"/>
    <n v="1"/>
    <d v="2026-01-25T00:00:00"/>
    <d v="2026-01-26T00:00:00"/>
    <n v="420.5"/>
    <n v="156.19999999999999"/>
    <n v="156.19999999999999"/>
    <n v="0"/>
    <s v="Paid"/>
    <s v=""/>
    <d v="2026-02-10T00:00:00"/>
    <d v="2026-02-10T00:00:00"/>
    <n v="420"/>
    <n v="0.36"/>
    <n v="151.19999999999999"/>
    <n v="-5"/>
    <x v="0"/>
    <x v="1"/>
    <x v="5"/>
  </r>
  <r>
    <s v="CLM101427"/>
    <s v="PT12498"/>
    <s v="P06"/>
    <x v="2"/>
    <x v="2"/>
    <n v="1"/>
    <d v="2026-02-23T00:00:00"/>
    <d v="2026-03-08T00:00:00"/>
    <n v="63.48"/>
    <m/>
    <m/>
    <m/>
    <s v="Denied"/>
    <s v="CO-16"/>
    <d v="2026-04-23T00:00:00"/>
    <m/>
    <n v="62"/>
    <n v="0.27"/>
    <n v="16.739999999999998"/>
    <s v=""/>
    <x v="2"/>
    <x v="2"/>
    <x v="0"/>
  </r>
  <r>
    <s v="CLM101428"/>
    <s v="PT11666"/>
    <s v="P04"/>
    <x v="3"/>
    <x v="6"/>
    <n v="1"/>
    <d v="2026-04-02T00:00:00"/>
    <d v="2026-04-03T00:00:00"/>
    <n v="421.12"/>
    <n v="132.43"/>
    <n v="119.19"/>
    <n v="13.24"/>
    <s v="Paid"/>
    <s v=""/>
    <d v="2026-04-14T00:00:00"/>
    <d v="2026-04-14T00:00:00"/>
    <n v="420"/>
    <n v="0.36"/>
    <n v="151.19999999999999"/>
    <n v="18.769999999999982"/>
    <x v="1"/>
    <x v="1"/>
    <x v="10"/>
  </r>
  <r>
    <s v="CLM101429"/>
    <s v="PT13306"/>
    <s v="P01"/>
    <x v="0"/>
    <x v="7"/>
    <n v="1"/>
    <d v="2026-06-04T00:00:00"/>
    <d v="2026-06-05T00:00:00"/>
    <n v="213.89"/>
    <n v="107.7"/>
    <n v="107.7"/>
    <n v="0"/>
    <s v="Paid"/>
    <s v=""/>
    <d v="2026-06-29T00:00:00"/>
    <d v="2026-06-29T00:00:00"/>
    <n v="210"/>
    <n v="0.45"/>
    <n v="94.5"/>
    <n v="-13.200000000000003"/>
    <x v="0"/>
    <x v="5"/>
    <x v="11"/>
  </r>
  <r>
    <s v="CLM101430"/>
    <s v="PT11272"/>
    <s v="P08"/>
    <x v="0"/>
    <x v="8"/>
    <n v="1"/>
    <d v="2025-12-01T00:00:00"/>
    <d v="2025-12-02T00:00:00"/>
    <n v="256.13"/>
    <n v="256.13"/>
    <n v="256.13"/>
    <n v="0"/>
    <s v="Paid"/>
    <s v=""/>
    <d v="2026-01-29T00:00:00"/>
    <d v="2026-01-29T00:00:00"/>
    <n v="260"/>
    <n v="1"/>
    <n v="260"/>
    <n v="3.8700000000000045"/>
    <x v="0"/>
    <x v="7"/>
    <x v="6"/>
  </r>
  <r>
    <s v="CLM101431"/>
    <s v="PT12459"/>
    <s v="P04"/>
    <x v="2"/>
    <x v="9"/>
    <n v="1"/>
    <d v="2025-10-21T00:00:00"/>
    <d v="2025-10-22T00:00:00"/>
    <n v="59.16"/>
    <m/>
    <m/>
    <m/>
    <s v="Denied"/>
    <s v="CO-4"/>
    <d v="2025-11-07T00:00:00"/>
    <m/>
    <n v="58"/>
    <n v="0.36"/>
    <n v="20.88"/>
    <s v=""/>
    <x v="2"/>
    <x v="1"/>
    <x v="9"/>
  </r>
  <r>
    <s v="CLM101432"/>
    <s v="PT10271"/>
    <s v="P02"/>
    <x v="1"/>
    <x v="5"/>
    <n v="1"/>
    <d v="2026-01-12T00:00:00"/>
    <d v="2026-01-17T00:00:00"/>
    <n v="4677.62"/>
    <n v="1896.93"/>
    <n v="1896.93"/>
    <n v="0"/>
    <s v="Paid"/>
    <s v=""/>
    <d v="2026-03-08T00:00:00"/>
    <d v="2026-03-08T00:00:00"/>
    <n v="4800"/>
    <n v="0.43"/>
    <n v="2064"/>
    <n v="167.06999999999994"/>
    <x v="1"/>
    <x v="6"/>
    <x v="5"/>
  </r>
  <r>
    <s v="CLM101433"/>
    <s v="PT11670"/>
    <s v="P04"/>
    <x v="0"/>
    <x v="0"/>
    <n v="1"/>
    <d v="2026-02-20T00:00:00"/>
    <d v="2026-02-24T00:00:00"/>
    <n v="141.35"/>
    <m/>
    <m/>
    <m/>
    <s v="Denied"/>
    <s v="CO-11"/>
    <d v="2026-03-11T00:00:00"/>
    <m/>
    <n v="145"/>
    <n v="0.36"/>
    <n v="52.2"/>
    <s v=""/>
    <x v="2"/>
    <x v="1"/>
    <x v="0"/>
  </r>
  <r>
    <s v="CLM101434"/>
    <s v="PT11804"/>
    <s v="P01"/>
    <x v="2"/>
    <x v="0"/>
    <n v="1"/>
    <d v="2026-07-26T00:00:00"/>
    <d v="2026-07-31T00:00:00"/>
    <n v="148.91"/>
    <m/>
    <m/>
    <m/>
    <s v="Denied"/>
    <s v="CO-27"/>
    <d v="2026-08-25T00:00:00"/>
    <m/>
    <n v="145"/>
    <n v="0.45"/>
    <n v="65.25"/>
    <s v=""/>
    <x v="2"/>
    <x v="5"/>
    <x v="1"/>
  </r>
  <r>
    <s v="CLM101435"/>
    <s v="PT11411"/>
    <s v="P07"/>
    <x v="1"/>
    <x v="4"/>
    <n v="1"/>
    <d v="2025-12-11T00:00:00"/>
    <d v="2025-12-17T00:00:00"/>
    <n v="38.520000000000003"/>
    <n v="9.51"/>
    <n v="9.51"/>
    <n v="0"/>
    <s v="Paid"/>
    <s v=""/>
    <d v="2026-03-26T00:00:00"/>
    <d v="2026-03-26T00:00:00"/>
    <n v="38"/>
    <n v="0.28000000000000003"/>
    <n v="10.64"/>
    <n v="1.1300000000000008"/>
    <x v="1"/>
    <x v="3"/>
    <x v="6"/>
  </r>
  <r>
    <s v="CLM101436"/>
    <s v="PT13150"/>
    <s v="P01"/>
    <x v="1"/>
    <x v="5"/>
    <n v="1"/>
    <d v="2026-06-09T00:00:00"/>
    <d v="2026-06-16T00:00:00"/>
    <n v="4864.8"/>
    <n v="2477.31"/>
    <n v="2477.31"/>
    <n v="0"/>
    <s v="Paid"/>
    <s v=""/>
    <d v="2026-07-24T00:00:00"/>
    <d v="2026-07-24T00:00:00"/>
    <n v="4800"/>
    <n v="0.45"/>
    <n v="2160"/>
    <n v="-317.30999999999995"/>
    <x v="0"/>
    <x v="5"/>
    <x v="11"/>
  </r>
  <r>
    <s v="CLM101437"/>
    <s v="PT11286"/>
    <s v="P02"/>
    <x v="3"/>
    <x v="3"/>
    <n v="20"/>
    <d v="2026-06-26T00:00:00"/>
    <d v="2026-06-27T00:00:00"/>
    <n v="28246.86"/>
    <m/>
    <m/>
    <m/>
    <s v="Denied"/>
    <s v="CO-197"/>
    <d v="2026-07-27T00:00:00"/>
    <m/>
    <n v="1450"/>
    <n v="0.43"/>
    <n v="12470"/>
    <s v=""/>
    <x v="2"/>
    <x v="6"/>
    <x v="11"/>
  </r>
  <r>
    <s v="CLM101438"/>
    <s v="PT13073"/>
    <s v="P03"/>
    <x v="2"/>
    <x v="2"/>
    <n v="2"/>
    <d v="2025-11-10T00:00:00"/>
    <d v="2025-11-18T00:00:00"/>
    <n v="120.36"/>
    <m/>
    <m/>
    <m/>
    <s v="Denied"/>
    <s v="CO-16"/>
    <d v="2026-01-08T00:00:00"/>
    <m/>
    <n v="62"/>
    <n v="0.47"/>
    <n v="58.28"/>
    <s v=""/>
    <x v="2"/>
    <x v="4"/>
    <x v="3"/>
  </r>
  <r>
    <s v="CLM101439"/>
    <s v="PT12427"/>
    <s v="P02"/>
    <x v="0"/>
    <x v="8"/>
    <n v="1"/>
    <d v="2026-01-06T00:00:00"/>
    <d v="2026-01-07T00:00:00"/>
    <n v="255.6"/>
    <n v="102.36"/>
    <n v="92.12"/>
    <n v="10.24"/>
    <s v="Paid"/>
    <s v=""/>
    <d v="2026-02-08T00:00:00"/>
    <d v="2026-02-08T00:00:00"/>
    <n v="260"/>
    <n v="0.43"/>
    <n v="111.8"/>
    <n v="9.4399999999999977"/>
    <x v="1"/>
    <x v="6"/>
    <x v="5"/>
  </r>
  <r>
    <s v="CLM101440"/>
    <s v="PT10216"/>
    <s v="P07"/>
    <x v="1"/>
    <x v="7"/>
    <n v="1"/>
    <d v="2026-03-15T00:00:00"/>
    <d v="2026-03-23T00:00:00"/>
    <n v="204.3"/>
    <m/>
    <m/>
    <m/>
    <s v="Denied"/>
    <s v="CO-16"/>
    <d v="2026-05-09T00:00:00"/>
    <m/>
    <n v="210"/>
    <n v="0.28000000000000003"/>
    <n v="58.8"/>
    <s v=""/>
    <x v="2"/>
    <x v="3"/>
    <x v="2"/>
  </r>
  <r>
    <s v="CLM101441"/>
    <s v="PT10057"/>
    <s v="P07"/>
    <x v="0"/>
    <x v="0"/>
    <n v="1"/>
    <d v="2026-05-26T00:00:00"/>
    <d v="2026-05-29T00:00:00"/>
    <n v="147.1"/>
    <n v="46.34"/>
    <n v="46.34"/>
    <n v="0"/>
    <s v="Paid"/>
    <s v=""/>
    <d v="2026-08-04T00:00:00"/>
    <d v="2026-08-04T00:00:00"/>
    <n v="145"/>
    <n v="0.28000000000000003"/>
    <n v="40.6"/>
    <n v="-5.740000000000002"/>
    <x v="0"/>
    <x v="3"/>
    <x v="7"/>
  </r>
  <r>
    <s v="CLM101442"/>
    <s v="PT12236"/>
    <s v="P01"/>
    <x v="2"/>
    <x v="0"/>
    <n v="1"/>
    <d v="2026-06-09T00:00:00"/>
    <d v="2026-06-13T00:00:00"/>
    <n v="148.43"/>
    <m/>
    <m/>
    <m/>
    <s v="Denied"/>
    <s v="CO-16"/>
    <d v="2026-07-16T00:00:00"/>
    <m/>
    <n v="145"/>
    <n v="0.45"/>
    <n v="65.25"/>
    <s v=""/>
    <x v="2"/>
    <x v="5"/>
    <x v="11"/>
  </r>
  <r>
    <s v="CLM101443"/>
    <s v="PT12226"/>
    <s v="P07"/>
    <x v="0"/>
    <x v="4"/>
    <n v="1"/>
    <d v="2026-01-27T00:00:00"/>
    <d v="2026-01-31T00:00:00"/>
    <n v="38.85"/>
    <n v="12.01"/>
    <n v="12.01"/>
    <n v="0"/>
    <s v="Paid"/>
    <s v=""/>
    <d v="2026-03-31T00:00:00"/>
    <d v="2026-03-31T00:00:00"/>
    <n v="38"/>
    <n v="0.28000000000000003"/>
    <n v="10.64"/>
    <n v="-1.3699999999999992"/>
    <x v="0"/>
    <x v="3"/>
    <x v="5"/>
  </r>
  <r>
    <s v="CLM101444"/>
    <s v="PT11649"/>
    <s v="P02"/>
    <x v="3"/>
    <x v="6"/>
    <n v="1"/>
    <d v="2026-03-23T00:00:00"/>
    <d v="2026-03-29T00:00:00"/>
    <n v="413.17"/>
    <n v="150.41"/>
    <n v="120.33"/>
    <n v="30.08"/>
    <s v="Paid"/>
    <s v=""/>
    <d v="2026-05-02T00:00:00"/>
    <d v="2026-05-02T00:00:00"/>
    <n v="420"/>
    <n v="0.43"/>
    <n v="180.6"/>
    <n v="30.189999999999998"/>
    <x v="1"/>
    <x v="6"/>
    <x v="2"/>
  </r>
  <r>
    <s v="CLM101446"/>
    <s v="PT10345"/>
    <s v="P03"/>
    <x v="1"/>
    <x v="10"/>
    <n v="1"/>
    <d v="2025-12-15T00:00:00"/>
    <d v="2025-12-16T00:00:00"/>
    <n v="1072.69"/>
    <n v="487.31"/>
    <n v="487.31"/>
    <n v="0"/>
    <s v="Paid"/>
    <s v=""/>
    <d v="2026-01-12T00:00:00"/>
    <d v="2026-01-12T00:00:00"/>
    <n v="1050"/>
    <n v="0.47"/>
    <n v="493.5"/>
    <n v="6.1899999999999977"/>
    <x v="0"/>
    <x v="4"/>
    <x v="6"/>
  </r>
  <r>
    <s v="CLM101447"/>
    <s v="PT12208"/>
    <s v="P01"/>
    <x v="3"/>
    <x v="3"/>
    <n v="20"/>
    <d v="2026-08-19T00:00:00"/>
    <d v="2026-08-20T00:00:00"/>
    <n v="28700.53"/>
    <n v="13633.46"/>
    <n v="12270.11"/>
    <n v="1363.35"/>
    <s v="Paid"/>
    <s v=""/>
    <d v="2026-09-16T00:00:00"/>
    <d v="2026-09-16T00:00:00"/>
    <n v="1450"/>
    <n v="0.45"/>
    <n v="13050"/>
    <n v="-583.45999999999913"/>
    <x v="0"/>
    <x v="5"/>
    <x v="4"/>
  </r>
  <r>
    <s v="CLM101448"/>
    <s v="PT11340"/>
    <s v="P05"/>
    <x v="2"/>
    <x v="2"/>
    <n v="3"/>
    <d v="2026-04-26T00:00:00"/>
    <d v="2026-04-27T00:00:00"/>
    <n v="182.1"/>
    <n v="60.39"/>
    <n v="60.39"/>
    <n v="0"/>
    <s v="Paid"/>
    <s v=""/>
    <d v="2026-06-15T00:00:00"/>
    <d v="2026-06-15T00:00:00"/>
    <n v="62"/>
    <n v="0.38"/>
    <n v="70.680000000000007"/>
    <n v="10.290000000000006"/>
    <x v="1"/>
    <x v="0"/>
    <x v="10"/>
  </r>
  <r>
    <s v="CLM101449"/>
    <s v="PT10648"/>
    <s v="P05"/>
    <x v="0"/>
    <x v="4"/>
    <n v="1"/>
    <d v="2025-10-21T00:00:00"/>
    <d v="2025-10-25T00:00:00"/>
    <n v="38.130000000000003"/>
    <n v="13.38"/>
    <n v="13.38"/>
    <n v="0"/>
    <s v="Paid"/>
    <s v=""/>
    <d v="2025-12-02T00:00:00"/>
    <d v="2025-12-02T00:00:00"/>
    <n v="38"/>
    <n v="0.38"/>
    <n v="14.44"/>
    <n v="1.0599999999999987"/>
    <x v="1"/>
    <x v="0"/>
    <x v="9"/>
  </r>
  <r>
    <s v="CLM101450"/>
    <s v="PT12945"/>
    <s v="P06"/>
    <x v="1"/>
    <x v="8"/>
    <n v="1"/>
    <d v="2025-10-18T00:00:00"/>
    <d v="2025-10-23T00:00:00"/>
    <n v="267.04000000000002"/>
    <n v="79.77"/>
    <n v="63.82"/>
    <n v="15.95"/>
    <s v="Paid"/>
    <s v=""/>
    <d v="2025-11-21T00:00:00"/>
    <d v="2025-11-21T00:00:00"/>
    <n v="260"/>
    <n v="0.27"/>
    <n v="70.2"/>
    <n v="-9.5699999999999932"/>
    <x v="0"/>
    <x v="2"/>
    <x v="9"/>
  </r>
  <r>
    <s v="CLM101451"/>
    <s v="PT12651"/>
    <s v="P03"/>
    <x v="0"/>
    <x v="8"/>
    <n v="1"/>
    <d v="2026-02-27T00:00:00"/>
    <d v="2026-03-01T00:00:00"/>
    <n v="262.31"/>
    <n v="137.29"/>
    <n v="137.29"/>
    <n v="0"/>
    <s v="Paid"/>
    <s v=""/>
    <d v="2026-04-01T00:00:00"/>
    <d v="2026-04-01T00:00:00"/>
    <n v="260"/>
    <n v="0.47"/>
    <n v="122.2"/>
    <n v="-15.089999999999989"/>
    <x v="0"/>
    <x v="4"/>
    <x v="0"/>
  </r>
  <r>
    <s v="CLM101452"/>
    <s v="PT10375"/>
    <s v="P03"/>
    <x v="1"/>
    <x v="11"/>
    <n v="1"/>
    <d v="2026-07-07T00:00:00"/>
    <d v="2026-07-21T00:00:00"/>
    <n v="1150.52"/>
    <n v="465.11"/>
    <n v="372.09"/>
    <n v="93.02"/>
    <s v="Paid"/>
    <s v=""/>
    <d v="2026-08-24T00:00:00"/>
    <d v="2026-08-24T00:00:00"/>
    <n v="1150"/>
    <n v="0.47"/>
    <n v="540.5"/>
    <n v="75.389999999999986"/>
    <x v="1"/>
    <x v="4"/>
    <x v="1"/>
  </r>
  <r>
    <s v="CLM101453"/>
    <s v="PT11125"/>
    <s v="P01"/>
    <x v="0"/>
    <x v="7"/>
    <n v="1"/>
    <d v="2026-07-06T00:00:00"/>
    <d v="2026-07-08T00:00:00"/>
    <n v="208.76"/>
    <n v="101.81"/>
    <n v="81.45"/>
    <n v="20.36"/>
    <s v="Paid"/>
    <s v=""/>
    <d v="2026-08-03T00:00:00"/>
    <d v="2026-08-03T00:00:00"/>
    <n v="210"/>
    <n v="0.45"/>
    <n v="94.5"/>
    <n v="-7.3100000000000023"/>
    <x v="0"/>
    <x v="5"/>
    <x v="1"/>
  </r>
  <r>
    <s v="CLM101454"/>
    <s v="PT12017"/>
    <s v="P08"/>
    <x v="0"/>
    <x v="0"/>
    <n v="1"/>
    <d v="2025-11-02T00:00:00"/>
    <d v="2025-11-07T00:00:00"/>
    <n v="146.91"/>
    <n v="146.91"/>
    <n v="146.91"/>
    <n v="0"/>
    <s v="Paid"/>
    <s v=""/>
    <d v="2026-01-16T00:00:00"/>
    <d v="2026-01-16T00:00:00"/>
    <n v="145"/>
    <n v="1"/>
    <n v="145"/>
    <n v="-1.9099999999999966"/>
    <x v="0"/>
    <x v="7"/>
    <x v="3"/>
  </r>
  <r>
    <s v="CLM101455"/>
    <s v="PT12023"/>
    <s v="P06"/>
    <x v="0"/>
    <x v="7"/>
    <n v="1"/>
    <d v="2026-07-22T00:00:00"/>
    <d v="2026-07-25T00:00:00"/>
    <n v="215.23"/>
    <n v="51.86"/>
    <n v="51.86"/>
    <n v="0"/>
    <s v="Paid"/>
    <s v=""/>
    <d v="2026-09-08T00:00:00"/>
    <d v="2026-09-08T00:00:00"/>
    <n v="210"/>
    <n v="0.27"/>
    <n v="56.7"/>
    <n v="4.8400000000000034"/>
    <x v="1"/>
    <x v="2"/>
    <x v="1"/>
  </r>
  <r>
    <s v="CLM101456"/>
    <s v="PT10212"/>
    <s v="P06"/>
    <x v="2"/>
    <x v="2"/>
    <n v="1"/>
    <d v="2026-06-30T00:00:00"/>
    <d v="2026-07-01T00:00:00"/>
    <n v="62.68"/>
    <n v="18.46"/>
    <n v="16.61"/>
    <n v="1.85"/>
    <s v="Paid"/>
    <s v=""/>
    <d v="2026-07-31T00:00:00"/>
    <d v="2026-07-31T00:00:00"/>
    <n v="62"/>
    <n v="0.27"/>
    <n v="16.739999999999998"/>
    <n v="-1.7200000000000024"/>
    <x v="0"/>
    <x v="2"/>
    <x v="11"/>
  </r>
  <r>
    <s v="CLM101457"/>
    <s v="PT12219"/>
    <s v="P04"/>
    <x v="3"/>
    <x v="3"/>
    <n v="30"/>
    <d v="2026-04-03T00:00:00"/>
    <d v="2026-04-07T00:00:00"/>
    <n v="43189.25"/>
    <n v="15882.83"/>
    <n v="14294.55"/>
    <n v="1588.28"/>
    <s v="Paid"/>
    <s v=""/>
    <d v="2026-04-27T00:00:00"/>
    <d v="2026-04-27T00:00:00"/>
    <n v="1450"/>
    <n v="0.36"/>
    <n v="15660"/>
    <n v="-222.82999999999993"/>
    <x v="0"/>
    <x v="1"/>
    <x v="10"/>
  </r>
  <r>
    <s v="CLM101458"/>
    <s v="PT10803"/>
    <s v="P02"/>
    <x v="1"/>
    <x v="4"/>
    <n v="1"/>
    <d v="2026-04-10T00:00:00"/>
    <d v="2026-04-11T00:00:00"/>
    <n v="37.47"/>
    <n v="15.82"/>
    <n v="12.66"/>
    <n v="3.16"/>
    <s v="Paid"/>
    <s v=""/>
    <d v="2026-05-13T00:00:00"/>
    <d v="2026-05-13T00:00:00"/>
    <n v="38"/>
    <n v="0.43"/>
    <n v="16.34"/>
    <n v="0.51999999999999957"/>
    <x v="0"/>
    <x v="6"/>
    <x v="10"/>
  </r>
  <r>
    <s v="CLM101459"/>
    <s v="PT13400"/>
    <s v="P06"/>
    <x v="1"/>
    <x v="5"/>
    <n v="1"/>
    <d v="2026-02-28T00:00:00"/>
    <d v="2026-03-02T00:00:00"/>
    <n v="4709.4799999999996"/>
    <n v="1344.16"/>
    <n v="1075.33"/>
    <n v="268.83"/>
    <s v="Paid"/>
    <s v=""/>
    <d v="2026-04-09T00:00:00"/>
    <d v="2026-04-09T00:00:00"/>
    <n v="4800"/>
    <n v="0.27"/>
    <n v="1296"/>
    <n v="-48.160000000000082"/>
    <x v="0"/>
    <x v="2"/>
    <x v="0"/>
  </r>
  <r>
    <s v="CLM101461"/>
    <s v="PT11653"/>
    <s v="P04"/>
    <x v="2"/>
    <x v="2"/>
    <n v="4"/>
    <d v="2026-03-22T00:00:00"/>
    <d v="2026-03-25T00:00:00"/>
    <n v="255.28"/>
    <n v="82.4"/>
    <n v="82.4"/>
    <n v="0"/>
    <s v="Paid"/>
    <s v=""/>
    <d v="2026-04-01T00:00:00"/>
    <d v="2026-04-01T00:00:00"/>
    <n v="62"/>
    <n v="0.36"/>
    <n v="89.28"/>
    <n v="6.8799999999999955"/>
    <x v="1"/>
    <x v="1"/>
    <x v="2"/>
  </r>
  <r>
    <s v="CLM101462"/>
    <s v="PT11498"/>
    <s v="P07"/>
    <x v="2"/>
    <x v="2"/>
    <n v="1"/>
    <d v="2026-01-22T00:00:00"/>
    <d v="2026-01-29T00:00:00"/>
    <n v="62.11"/>
    <m/>
    <m/>
    <m/>
    <s v="Denied"/>
    <s v="CO-50"/>
    <d v="2026-03-14T00:00:00"/>
    <m/>
    <n v="62"/>
    <n v="0.28000000000000003"/>
    <n v="17.36"/>
    <s v=""/>
    <x v="2"/>
    <x v="3"/>
    <x v="5"/>
  </r>
  <r>
    <s v="CLM101463"/>
    <s v="PT12766"/>
    <s v="P01"/>
    <x v="2"/>
    <x v="9"/>
    <n v="2"/>
    <d v="2026-03-14T00:00:00"/>
    <d v="2026-03-16T00:00:00"/>
    <n v="117.9"/>
    <m/>
    <m/>
    <m/>
    <s v="Denied"/>
    <s v="CO-16"/>
    <d v="2026-04-09T00:00:00"/>
    <m/>
    <n v="58"/>
    <n v="0.45"/>
    <n v="52.2"/>
    <s v=""/>
    <x v="2"/>
    <x v="5"/>
    <x v="2"/>
  </r>
  <r>
    <s v="CLM101464"/>
    <s v="PT13434"/>
    <s v="P07"/>
    <x v="2"/>
    <x v="2"/>
    <n v="2"/>
    <d v="2025-11-27T00:00:00"/>
    <d v="2025-11-28T00:00:00"/>
    <n v="124.74"/>
    <n v="33"/>
    <n v="33"/>
    <n v="0"/>
    <s v="Paid"/>
    <s v=""/>
    <d v="2026-01-30T00:00:00"/>
    <d v="2026-01-30T00:00:00"/>
    <n v="62"/>
    <n v="0.28000000000000003"/>
    <n v="34.72"/>
    <n v="1.7199999999999989"/>
    <x v="0"/>
    <x v="3"/>
    <x v="3"/>
  </r>
  <r>
    <s v="CLM101465"/>
    <s v="PT12985"/>
    <s v="P02"/>
    <x v="0"/>
    <x v="4"/>
    <n v="1"/>
    <d v="2026-03-16T00:00:00"/>
    <d v="2026-03-17T00:00:00"/>
    <n v="37.53"/>
    <n v="14.56"/>
    <n v="14.56"/>
    <n v="0"/>
    <s v="Paid"/>
    <s v=""/>
    <d v="2026-05-04T00:00:00"/>
    <d v="2026-05-04T00:00:00"/>
    <n v="38"/>
    <n v="0.43"/>
    <n v="16.34"/>
    <n v="1.7799999999999994"/>
    <x v="1"/>
    <x v="6"/>
    <x v="2"/>
  </r>
  <r>
    <s v="CLM101466"/>
    <s v="PT10065"/>
    <s v="P07"/>
    <x v="1"/>
    <x v="1"/>
    <n v="1"/>
    <d v="2026-05-03T00:00:00"/>
    <d v="2026-05-11T00:00:00"/>
    <n v="239.65"/>
    <n v="61.42"/>
    <n v="61.42"/>
    <n v="0"/>
    <s v="Paid"/>
    <s v=""/>
    <d v="2026-06-09T00:00:00"/>
    <d v="2026-06-09T00:00:00"/>
    <n v="240"/>
    <n v="0.28000000000000003"/>
    <n v="67.2"/>
    <n v="5.7800000000000011"/>
    <x v="1"/>
    <x v="3"/>
    <x v="7"/>
  </r>
  <r>
    <s v="CLM101467"/>
    <s v="PT13179"/>
    <s v="P08"/>
    <x v="2"/>
    <x v="9"/>
    <n v="4"/>
    <d v="2025-12-16T00:00:00"/>
    <d v="2025-12-23T00:00:00"/>
    <n v="237.07"/>
    <m/>
    <m/>
    <m/>
    <s v="Pending"/>
    <s v=""/>
    <m/>
    <m/>
    <n v="58"/>
    <n v="1"/>
    <n v="232"/>
    <s v=""/>
    <x v="2"/>
    <x v="7"/>
    <x v="6"/>
  </r>
  <r>
    <s v="CLM101468"/>
    <s v="PT13103"/>
    <s v="P02"/>
    <x v="0"/>
    <x v="4"/>
    <n v="1"/>
    <d v="2026-06-28T00:00:00"/>
    <d v="2026-06-29T00:00:00"/>
    <n v="39.020000000000003"/>
    <n v="16.54"/>
    <n v="16.54"/>
    <n v="0"/>
    <s v="Paid"/>
    <s v=""/>
    <d v="2026-08-14T00:00:00"/>
    <d v="2026-08-14T00:00:00"/>
    <n v="38"/>
    <n v="0.43"/>
    <n v="16.34"/>
    <n v="-0.19999999999999929"/>
    <x v="0"/>
    <x v="6"/>
    <x v="11"/>
  </r>
  <r>
    <s v="CLM101469"/>
    <s v="PT10560"/>
    <s v="P02"/>
    <x v="0"/>
    <x v="8"/>
    <n v="1"/>
    <d v="2026-01-29T00:00:00"/>
    <d v="2026-02-01T00:00:00"/>
    <n v="265.38"/>
    <n v="108.1"/>
    <n v="108.1"/>
    <n v="0"/>
    <s v="Paid"/>
    <s v=""/>
    <d v="2026-03-10T00:00:00"/>
    <d v="2026-03-10T00:00:00"/>
    <n v="260"/>
    <n v="0.43"/>
    <n v="111.8"/>
    <n v="3.7000000000000028"/>
    <x v="0"/>
    <x v="6"/>
    <x v="5"/>
  </r>
  <r>
    <s v="CLM101470"/>
    <s v="PT11223"/>
    <s v="P06"/>
    <x v="2"/>
    <x v="0"/>
    <n v="1"/>
    <d v="2026-05-08T00:00:00"/>
    <d v="2026-05-21T00:00:00"/>
    <n v="144.27000000000001"/>
    <n v="37.93"/>
    <n v="34.14"/>
    <n v="3.79"/>
    <s v="Paid"/>
    <s v=""/>
    <d v="2026-06-30T00:00:00"/>
    <d v="2026-06-30T00:00:00"/>
    <n v="145"/>
    <n v="0.27"/>
    <n v="39.15"/>
    <n v="1.2199999999999989"/>
    <x v="0"/>
    <x v="2"/>
    <x v="7"/>
  </r>
  <r>
    <s v="CLM101471"/>
    <s v="PT11489"/>
    <s v="P03"/>
    <x v="2"/>
    <x v="2"/>
    <n v="3"/>
    <d v="2026-03-22T00:00:00"/>
    <d v="2026-03-28T00:00:00"/>
    <n v="184.18"/>
    <n v="82.68"/>
    <n v="66.14"/>
    <n v="16.54"/>
    <s v="Paid"/>
    <s v=""/>
    <d v="2026-04-25T00:00:00"/>
    <d v="2026-04-25T00:00:00"/>
    <n v="62"/>
    <n v="0.47"/>
    <n v="87.42"/>
    <n v="4.7399999999999949"/>
    <x v="1"/>
    <x v="4"/>
    <x v="2"/>
  </r>
  <r>
    <s v="CLM101472"/>
    <s v="PT11361"/>
    <s v="P06"/>
    <x v="3"/>
    <x v="6"/>
    <n v="1"/>
    <d v="2026-08-11T00:00:00"/>
    <d v="2026-08-14T00:00:00"/>
    <n v="414.66"/>
    <n v="115.94"/>
    <n v="92.75"/>
    <n v="23.19"/>
    <s v="Paid"/>
    <s v=""/>
    <d v="2026-09-26T00:00:00"/>
    <d v="2026-09-26T00:00:00"/>
    <n v="420"/>
    <n v="0.27"/>
    <n v="113.4"/>
    <n v="-2.539999999999992"/>
    <x v="0"/>
    <x v="2"/>
    <x v="4"/>
  </r>
  <r>
    <s v="CLM101473"/>
    <s v="PT10297"/>
    <s v="P01"/>
    <x v="1"/>
    <x v="5"/>
    <n v="1"/>
    <d v="2025-10-21T00:00:00"/>
    <d v="2025-10-28T00:00:00"/>
    <n v="4668.3500000000004"/>
    <n v="1924.02"/>
    <n v="1924.02"/>
    <n v="0"/>
    <s v="Paid"/>
    <s v=""/>
    <d v="2025-11-27T00:00:00"/>
    <d v="2025-11-27T00:00:00"/>
    <n v="4800"/>
    <n v="0.45"/>
    <n v="2160"/>
    <n v="235.98000000000002"/>
    <x v="1"/>
    <x v="5"/>
    <x v="9"/>
  </r>
  <r>
    <s v="CLM101474"/>
    <s v="PT13023"/>
    <s v="P04"/>
    <x v="2"/>
    <x v="2"/>
    <n v="1"/>
    <d v="2025-11-29T00:00:00"/>
    <d v="2026-03-25T00:00:00"/>
    <n v="63.37"/>
    <m/>
    <m/>
    <m/>
    <s v="Denied"/>
    <s v="CO-29"/>
    <d v="2026-04-08T00:00:00"/>
    <m/>
    <n v="62"/>
    <n v="0.36"/>
    <n v="22.32"/>
    <s v=""/>
    <x v="2"/>
    <x v="1"/>
    <x v="3"/>
  </r>
  <r>
    <s v="CLM101475"/>
    <s v="PT10590"/>
    <s v="P02"/>
    <x v="1"/>
    <x v="8"/>
    <n v="1"/>
    <d v="2026-02-23T00:00:00"/>
    <d v="2026-02-26T00:00:00"/>
    <n v="265.48"/>
    <n v="116.54"/>
    <n v="93.23"/>
    <n v="23.31"/>
    <s v="Paid"/>
    <s v=""/>
    <d v="2026-03-22T00:00:00"/>
    <d v="2026-03-22T00:00:00"/>
    <n v="260"/>
    <n v="0.43"/>
    <n v="111.8"/>
    <n v="-4.7400000000000091"/>
    <x v="0"/>
    <x v="6"/>
    <x v="0"/>
  </r>
  <r>
    <s v="CLM101476"/>
    <s v="PT13465"/>
    <s v="P03"/>
    <x v="0"/>
    <x v="7"/>
    <n v="1"/>
    <d v="2026-08-23T00:00:00"/>
    <d v="2026-08-29T00:00:00"/>
    <n v="213.64"/>
    <m/>
    <m/>
    <m/>
    <s v="Pending"/>
    <s v=""/>
    <m/>
    <m/>
    <n v="210"/>
    <n v="0.47"/>
    <n v="98.7"/>
    <s v=""/>
    <x v="2"/>
    <x v="4"/>
    <x v="4"/>
  </r>
  <r>
    <s v="CLM101477"/>
    <s v="PT12898"/>
    <s v="P07"/>
    <x v="0"/>
    <x v="7"/>
    <n v="1"/>
    <d v="2026-02-25T00:00:00"/>
    <d v="2026-03-10T00:00:00"/>
    <n v="206.34"/>
    <n v="63.04"/>
    <n v="63.04"/>
    <n v="0"/>
    <s v="Paid"/>
    <s v=""/>
    <d v="2026-04-30T00:00:00"/>
    <d v="2026-04-30T00:00:00"/>
    <n v="210"/>
    <n v="0.28000000000000003"/>
    <n v="58.8"/>
    <n v="-4.240000000000002"/>
    <x v="0"/>
    <x v="3"/>
    <x v="0"/>
  </r>
  <r>
    <s v="CLM101478"/>
    <s v="PT10241"/>
    <s v="P05"/>
    <x v="0"/>
    <x v="0"/>
    <n v="1"/>
    <d v="2026-01-06T00:00:00"/>
    <d v="2026-01-07T00:00:00"/>
    <n v="147.93"/>
    <n v="63.25"/>
    <n v="63.25"/>
    <n v="0"/>
    <s v="Paid"/>
    <s v=""/>
    <d v="2026-02-14T00:00:00"/>
    <d v="2026-02-14T00:00:00"/>
    <n v="145"/>
    <n v="0.38"/>
    <n v="55.1"/>
    <n v="-8.1499999999999986"/>
    <x v="0"/>
    <x v="0"/>
    <x v="5"/>
  </r>
  <r>
    <s v="CLM101479"/>
    <s v="PT10099"/>
    <s v="P07"/>
    <x v="0"/>
    <x v="0"/>
    <n v="1"/>
    <d v="2026-06-24T00:00:00"/>
    <d v="2026-06-26T00:00:00"/>
    <n v="142.78"/>
    <m/>
    <m/>
    <m/>
    <s v="Denied"/>
    <s v="CO-11"/>
    <d v="2026-08-05T00:00:00"/>
    <m/>
    <n v="145"/>
    <n v="0.28000000000000003"/>
    <n v="40.6"/>
    <s v=""/>
    <x v="2"/>
    <x v="3"/>
    <x v="11"/>
  </r>
  <r>
    <s v="CLM101480"/>
    <s v="PT11981"/>
    <s v="P04"/>
    <x v="0"/>
    <x v="0"/>
    <n v="1"/>
    <d v="2025-12-30T00:00:00"/>
    <d v="2026-01-09T00:00:00"/>
    <n v="147.5"/>
    <n v="50.14"/>
    <n v="45.13"/>
    <n v="5.01"/>
    <s v="Paid"/>
    <s v=""/>
    <d v="2026-01-26T00:00:00"/>
    <d v="2026-01-26T00:00:00"/>
    <n v="145"/>
    <n v="0.36"/>
    <n v="52.2"/>
    <n v="2.0600000000000023"/>
    <x v="0"/>
    <x v="1"/>
    <x v="6"/>
  </r>
  <r>
    <s v="CLM101481"/>
    <s v="PT11566"/>
    <s v="P07"/>
    <x v="1"/>
    <x v="7"/>
    <n v="1"/>
    <d v="2025-10-17T00:00:00"/>
    <d v="2025-10-21T00:00:00"/>
    <n v="207.8"/>
    <n v="62.95"/>
    <n v="50.36"/>
    <n v="12.59"/>
    <s v="Paid"/>
    <s v=""/>
    <d v="2025-12-03T00:00:00"/>
    <d v="2025-12-03T00:00:00"/>
    <n v="210"/>
    <n v="0.28000000000000003"/>
    <n v="58.8"/>
    <n v="-4.1500000000000057"/>
    <x v="0"/>
    <x v="3"/>
    <x v="9"/>
  </r>
  <r>
    <s v="CLM101482"/>
    <s v="PT10812"/>
    <s v="P02"/>
    <x v="2"/>
    <x v="0"/>
    <n v="1"/>
    <d v="2025-11-22T00:00:00"/>
    <d v="2025-11-26T00:00:00"/>
    <n v="144.06"/>
    <n v="54.32"/>
    <n v="54.32"/>
    <n v="0"/>
    <s v="Paid"/>
    <s v=""/>
    <d v="2025-12-24T00:00:00"/>
    <d v="2025-12-24T00:00:00"/>
    <n v="145"/>
    <n v="0.43"/>
    <n v="62.35"/>
    <n v="8.0300000000000011"/>
    <x v="1"/>
    <x v="6"/>
    <x v="3"/>
  </r>
  <r>
    <s v="CLM101483"/>
    <s v="PT10744"/>
    <s v="P07"/>
    <x v="0"/>
    <x v="7"/>
    <n v="1"/>
    <d v="2026-09-01T00:00:00"/>
    <d v="2026-09-02T00:00:00"/>
    <n v="211.04"/>
    <m/>
    <m/>
    <m/>
    <s v="Pending"/>
    <s v=""/>
    <m/>
    <m/>
    <n v="210"/>
    <n v="0.28000000000000003"/>
    <n v="58.8"/>
    <s v=""/>
    <x v="2"/>
    <x v="3"/>
    <x v="8"/>
  </r>
  <r>
    <s v="CLM101484"/>
    <s v="PT11339"/>
    <s v="P08"/>
    <x v="1"/>
    <x v="1"/>
    <n v="1"/>
    <d v="2026-08-11T00:00:00"/>
    <d v="2026-08-14T00:00:00"/>
    <n v="235.88"/>
    <m/>
    <m/>
    <m/>
    <s v="Pending"/>
    <s v=""/>
    <m/>
    <m/>
    <n v="240"/>
    <n v="1"/>
    <n v="240"/>
    <s v=""/>
    <x v="2"/>
    <x v="7"/>
    <x v="4"/>
  </r>
  <r>
    <s v="CLM101485"/>
    <s v="PT12877"/>
    <s v="P01"/>
    <x v="3"/>
    <x v="7"/>
    <n v="1"/>
    <d v="2026-03-05T00:00:00"/>
    <d v="2026-03-09T00:00:00"/>
    <n v="206.68"/>
    <n v="83.36"/>
    <n v="75.02"/>
    <n v="8.34"/>
    <s v="Paid"/>
    <s v=""/>
    <d v="2026-04-11T00:00:00"/>
    <d v="2026-04-11T00:00:00"/>
    <n v="210"/>
    <n v="0.45"/>
    <n v="94.5"/>
    <n v="11.14"/>
    <x v="1"/>
    <x v="5"/>
    <x v="2"/>
  </r>
  <r>
    <s v="CLM101486"/>
    <s v="PT10896"/>
    <s v="P06"/>
    <x v="2"/>
    <x v="0"/>
    <n v="1"/>
    <d v="2026-07-04T00:00:00"/>
    <d v="2026-07-08T00:00:00"/>
    <n v="142.41999999999999"/>
    <n v="38.32"/>
    <n v="30.66"/>
    <n v="7.66"/>
    <s v="Paid"/>
    <s v=""/>
    <d v="2026-08-04T00:00:00"/>
    <d v="2026-08-04T00:00:00"/>
    <n v="145"/>
    <n v="0.27"/>
    <n v="39.15"/>
    <n v="0.82999999999999829"/>
    <x v="0"/>
    <x v="2"/>
    <x v="1"/>
  </r>
  <r>
    <s v="CLM101487"/>
    <s v="PT12503"/>
    <s v="P02"/>
    <x v="1"/>
    <x v="10"/>
    <n v="1"/>
    <d v="2025-10-11T00:00:00"/>
    <d v="2025-10-13T00:00:00"/>
    <n v="1054.48"/>
    <n v="494.37"/>
    <n v="395.5"/>
    <n v="98.87"/>
    <s v="Paid"/>
    <s v=""/>
    <d v="2025-11-01T00:00:00"/>
    <d v="2025-11-01T00:00:00"/>
    <n v="1050"/>
    <n v="0.43"/>
    <n v="451.5"/>
    <n v="-42.870000000000005"/>
    <x v="0"/>
    <x v="6"/>
    <x v="9"/>
  </r>
  <r>
    <s v="CLM101488"/>
    <s v="PT13111"/>
    <s v="P01"/>
    <x v="3"/>
    <x v="3"/>
    <n v="30"/>
    <d v="2026-05-17T00:00:00"/>
    <d v="2026-05-21T00:00:00"/>
    <n v="42202.02"/>
    <n v="16994.439999999999"/>
    <n v="13595.55"/>
    <n v="3398.89"/>
    <s v="Paid"/>
    <s v=""/>
    <d v="2026-06-11T00:00:00"/>
    <d v="2026-06-11T00:00:00"/>
    <n v="1450"/>
    <n v="0.45"/>
    <n v="19575"/>
    <n v="2580.5600000000013"/>
    <x v="1"/>
    <x v="5"/>
    <x v="7"/>
  </r>
  <r>
    <s v="CLM101489"/>
    <s v="PT10535"/>
    <s v="P05"/>
    <x v="0"/>
    <x v="4"/>
    <n v="1"/>
    <d v="2026-01-18T00:00:00"/>
    <d v="2026-01-28T00:00:00"/>
    <n v="37.979999999999997"/>
    <n v="14.89"/>
    <n v="14.89"/>
    <n v="0"/>
    <s v="Paid"/>
    <s v=""/>
    <d v="2026-04-10T00:00:00"/>
    <d v="2026-04-10T00:00:00"/>
    <n v="38"/>
    <n v="0.38"/>
    <n v="14.44"/>
    <n v="-0.45000000000000107"/>
    <x v="0"/>
    <x v="0"/>
    <x v="5"/>
  </r>
  <r>
    <s v="CLM101490"/>
    <s v="PT10182"/>
    <s v="P05"/>
    <x v="1"/>
    <x v="5"/>
    <n v="1"/>
    <d v="2025-11-20T00:00:00"/>
    <d v="2025-11-22T00:00:00"/>
    <n v="4694.8"/>
    <n v="1922.08"/>
    <n v="1922.08"/>
    <n v="0"/>
    <s v="Paid"/>
    <s v=""/>
    <d v="2026-01-22T00:00:00"/>
    <d v="2026-01-22T00:00:00"/>
    <n v="4800"/>
    <n v="0.38"/>
    <n v="1824"/>
    <n v="-98.079999999999927"/>
    <x v="0"/>
    <x v="0"/>
    <x v="3"/>
  </r>
  <r>
    <s v="CLM101491"/>
    <s v="PT11430"/>
    <s v="P03"/>
    <x v="1"/>
    <x v="1"/>
    <n v="1"/>
    <d v="2026-09-17T00:00:00"/>
    <d v="2026-09-20T00:00:00"/>
    <n v="245.54"/>
    <m/>
    <m/>
    <m/>
    <s v="Pending"/>
    <s v=""/>
    <m/>
    <m/>
    <n v="240"/>
    <n v="0.47"/>
    <n v="112.8"/>
    <s v=""/>
    <x v="2"/>
    <x v="4"/>
    <x v="8"/>
  </r>
  <r>
    <s v="CLM101493"/>
    <s v="PT11139"/>
    <s v="P04"/>
    <x v="0"/>
    <x v="7"/>
    <n v="1"/>
    <d v="2026-04-20T00:00:00"/>
    <d v="2026-04-27T00:00:00"/>
    <n v="215.35"/>
    <n v="84.53"/>
    <n v="84.53"/>
    <n v="0"/>
    <s v="Paid"/>
    <s v=""/>
    <d v="2026-05-15T00:00:00"/>
    <d v="2026-05-15T00:00:00"/>
    <n v="210"/>
    <n v="0.36"/>
    <n v="75.599999999999994"/>
    <n v="-8.9300000000000068"/>
    <x v="0"/>
    <x v="1"/>
    <x v="10"/>
  </r>
  <r>
    <s v="CLM101494"/>
    <s v="PT10667"/>
    <s v="P07"/>
    <x v="2"/>
    <x v="2"/>
    <n v="1"/>
    <d v="2026-08-27T00:00:00"/>
    <d v="2026-09-04T00:00:00"/>
    <n v="63.17"/>
    <m/>
    <m/>
    <m/>
    <s v="Pending"/>
    <s v=""/>
    <m/>
    <m/>
    <n v="62"/>
    <n v="0.28000000000000003"/>
    <n v="17.36"/>
    <s v=""/>
    <x v="2"/>
    <x v="3"/>
    <x v="4"/>
  </r>
  <r>
    <s v="CLM101495"/>
    <s v="PT10378"/>
    <s v="P04"/>
    <x v="2"/>
    <x v="0"/>
    <n v="1"/>
    <d v="2025-11-17T00:00:00"/>
    <d v="2025-11-18T00:00:00"/>
    <n v="140.85"/>
    <n v="54.33"/>
    <n v="54.33"/>
    <n v="0"/>
    <s v="Paid"/>
    <s v=""/>
    <d v="2025-12-01T00:00:00"/>
    <d v="2025-12-01T00:00:00"/>
    <n v="145"/>
    <n v="0.36"/>
    <n v="52.2"/>
    <n v="-2.1299999999999955"/>
    <x v="0"/>
    <x v="1"/>
    <x v="3"/>
  </r>
  <r>
    <s v="CLM101496"/>
    <s v="PT11925"/>
    <s v="P02"/>
    <x v="1"/>
    <x v="10"/>
    <n v="1"/>
    <d v="2026-06-19T00:00:00"/>
    <d v="2026-06-23T00:00:00"/>
    <n v="1030.6500000000001"/>
    <m/>
    <m/>
    <m/>
    <s v="Denied"/>
    <s v="CO-197"/>
    <d v="2026-07-20T00:00:00"/>
    <m/>
    <n v="1050"/>
    <n v="0.43"/>
    <n v="451.5"/>
    <s v=""/>
    <x v="2"/>
    <x v="6"/>
    <x v="11"/>
  </r>
  <r>
    <s v="CLM101497"/>
    <s v="PT13082"/>
    <s v="P01"/>
    <x v="1"/>
    <x v="10"/>
    <n v="1"/>
    <d v="2025-12-17T00:00:00"/>
    <d v="2025-12-18T00:00:00"/>
    <n v="1064.5999999999999"/>
    <m/>
    <m/>
    <m/>
    <s v="Denied"/>
    <s v="CO-11"/>
    <d v="2026-01-23T00:00:00"/>
    <m/>
    <n v="1050"/>
    <n v="0.45"/>
    <n v="472.5"/>
    <s v=""/>
    <x v="2"/>
    <x v="5"/>
    <x v="6"/>
  </r>
  <r>
    <s v="CLM101498"/>
    <s v="PT10740"/>
    <s v="P05"/>
    <x v="1"/>
    <x v="1"/>
    <n v="1"/>
    <d v="2026-09-10T00:00:00"/>
    <d v="2026-09-11T00:00:00"/>
    <n v="234.09"/>
    <m/>
    <m/>
    <m/>
    <s v="Pending"/>
    <s v=""/>
    <m/>
    <m/>
    <n v="240"/>
    <n v="0.38"/>
    <n v="91.2"/>
    <s v=""/>
    <x v="2"/>
    <x v="0"/>
    <x v="8"/>
  </r>
  <r>
    <s v="CLM101499"/>
    <s v="PT10151"/>
    <s v="P05"/>
    <x v="1"/>
    <x v="1"/>
    <n v="1"/>
    <d v="2026-05-17T00:00:00"/>
    <d v="2026-05-19T00:00:00"/>
    <n v="234.76"/>
    <n v="90.61"/>
    <n v="90.61"/>
    <n v="0"/>
    <s v="Paid"/>
    <s v=""/>
    <d v="2026-06-29T00:00:00"/>
    <d v="2026-06-29T00:00:00"/>
    <n v="240"/>
    <n v="0.38"/>
    <n v="91.2"/>
    <n v="0.59000000000000341"/>
    <x v="0"/>
    <x v="0"/>
    <x v="7"/>
  </r>
  <r>
    <s v="CLM101500"/>
    <s v="PT11234"/>
    <s v="P03"/>
    <x v="1"/>
    <x v="7"/>
    <n v="1"/>
    <d v="2026-03-22T00:00:00"/>
    <d v="2026-03-23T00:00:00"/>
    <n v="206.33"/>
    <m/>
    <m/>
    <m/>
    <s v="Denied"/>
    <s v="CO-4"/>
    <d v="2026-05-10T00:00:00"/>
    <m/>
    <n v="210"/>
    <n v="0.47"/>
    <n v="98.7"/>
    <s v=""/>
    <x v="2"/>
    <x v="4"/>
    <x v="2"/>
  </r>
  <r>
    <s v="CLM101501"/>
    <s v="PT10035"/>
    <s v="P06"/>
    <x v="1"/>
    <x v="5"/>
    <n v="1"/>
    <d v="2025-12-30T00:00:00"/>
    <d v="2026-01-01T00:00:00"/>
    <n v="4684.93"/>
    <n v="1336.96"/>
    <n v="1203.26"/>
    <n v="133.69999999999999"/>
    <s v="Paid"/>
    <s v=""/>
    <d v="2026-02-05T00:00:00"/>
    <d v="2026-02-05T00:00:00"/>
    <n v="4800"/>
    <n v="0.27"/>
    <n v="1296"/>
    <n v="-40.960000000000036"/>
    <x v="0"/>
    <x v="2"/>
    <x v="6"/>
  </r>
  <r>
    <s v="CLM101502"/>
    <s v="PT10793"/>
    <s v="P08"/>
    <x v="0"/>
    <x v="8"/>
    <n v="1"/>
    <d v="2025-12-16T00:00:00"/>
    <d v="2025-12-18T00:00:00"/>
    <n v="261.5"/>
    <n v="261.5"/>
    <n v="261.5"/>
    <n v="0"/>
    <s v="Paid"/>
    <s v=""/>
    <d v="2026-02-22T00:00:00"/>
    <d v="2026-02-22T00:00:00"/>
    <n v="260"/>
    <n v="1"/>
    <n v="260"/>
    <n v="-1.5"/>
    <x v="0"/>
    <x v="7"/>
    <x v="6"/>
  </r>
  <r>
    <s v="CLM101503"/>
    <s v="PT12731"/>
    <s v="P01"/>
    <x v="3"/>
    <x v="6"/>
    <n v="1"/>
    <d v="2026-03-29T00:00:00"/>
    <d v="2026-04-06T00:00:00"/>
    <n v="425.58"/>
    <m/>
    <m/>
    <m/>
    <s v="Denied"/>
    <s v="CO-16"/>
    <d v="2026-05-05T00:00:00"/>
    <m/>
    <n v="420"/>
    <n v="0.45"/>
    <n v="189"/>
    <s v=""/>
    <x v="2"/>
    <x v="5"/>
    <x v="2"/>
  </r>
  <r>
    <s v="CLM101504"/>
    <s v="PT12251"/>
    <s v="P06"/>
    <x v="0"/>
    <x v="4"/>
    <n v="1"/>
    <d v="2025-11-19T00:00:00"/>
    <d v="2025-11-22T00:00:00"/>
    <n v="37.380000000000003"/>
    <m/>
    <m/>
    <m/>
    <s v="Denied"/>
    <s v="CO-16"/>
    <d v="2025-12-24T00:00:00"/>
    <m/>
    <n v="38"/>
    <n v="0.27"/>
    <n v="10.26"/>
    <s v=""/>
    <x v="2"/>
    <x v="2"/>
    <x v="3"/>
  </r>
  <r>
    <s v="CLM101505"/>
    <s v="PT10663"/>
    <s v="P02"/>
    <x v="1"/>
    <x v="8"/>
    <n v="1"/>
    <d v="2025-11-08T00:00:00"/>
    <d v="2025-11-15T00:00:00"/>
    <n v="266.05"/>
    <m/>
    <m/>
    <m/>
    <s v="Denied"/>
    <s v="CO-50"/>
    <d v="2025-12-08T00:00:00"/>
    <m/>
    <n v="260"/>
    <n v="0.43"/>
    <n v="111.8"/>
    <s v=""/>
    <x v="2"/>
    <x v="6"/>
    <x v="3"/>
  </r>
  <r>
    <s v="CLM101506"/>
    <s v="PT11152"/>
    <s v="P05"/>
    <x v="0"/>
    <x v="4"/>
    <n v="1"/>
    <d v="2025-11-13T00:00:00"/>
    <d v="2025-11-21T00:00:00"/>
    <n v="37.840000000000003"/>
    <m/>
    <m/>
    <m/>
    <s v="Denied"/>
    <s v="CO-16"/>
    <d v="2026-01-18T00:00:00"/>
    <m/>
    <n v="38"/>
    <n v="0.38"/>
    <n v="14.44"/>
    <s v=""/>
    <x v="2"/>
    <x v="0"/>
    <x v="3"/>
  </r>
  <r>
    <s v="CLM101507"/>
    <s v="PT12033"/>
    <s v="P04"/>
    <x v="1"/>
    <x v="4"/>
    <n v="1"/>
    <d v="2025-10-04T00:00:00"/>
    <d v="2025-10-09T00:00:00"/>
    <n v="37.369999999999997"/>
    <n v="12.41"/>
    <n v="9.93"/>
    <n v="2.48"/>
    <s v="Paid"/>
    <s v=""/>
    <d v="2025-11-01T00:00:00"/>
    <d v="2025-11-01T00:00:00"/>
    <n v="38"/>
    <n v="0.36"/>
    <n v="13.68"/>
    <n v="1.2699999999999996"/>
    <x v="1"/>
    <x v="1"/>
    <x v="9"/>
  </r>
  <r>
    <s v="CLM101508"/>
    <s v="PT11523"/>
    <s v="P02"/>
    <x v="0"/>
    <x v="4"/>
    <n v="1"/>
    <d v="2026-03-07T00:00:00"/>
    <d v="2026-03-09T00:00:00"/>
    <n v="38.28"/>
    <n v="17.78"/>
    <n v="16"/>
    <n v="1.78"/>
    <s v="Paid"/>
    <s v=""/>
    <d v="2026-04-19T00:00:00"/>
    <d v="2026-04-19T00:00:00"/>
    <n v="38"/>
    <n v="0.43"/>
    <n v="16.34"/>
    <n v="-1.4400000000000013"/>
    <x v="0"/>
    <x v="6"/>
    <x v="2"/>
  </r>
  <r>
    <s v="CLM101509"/>
    <s v="PT10243"/>
    <s v="P01"/>
    <x v="1"/>
    <x v="5"/>
    <n v="1"/>
    <d v="2026-02-04T00:00:00"/>
    <d v="2026-02-12T00:00:00"/>
    <n v="4728.37"/>
    <m/>
    <m/>
    <m/>
    <s v="Denied"/>
    <s v="CO-11"/>
    <d v="2026-03-14T00:00:00"/>
    <m/>
    <n v="4800"/>
    <n v="0.45"/>
    <n v="2160"/>
    <s v=""/>
    <x v="2"/>
    <x v="5"/>
    <x v="0"/>
  </r>
  <r>
    <s v="CLM101510"/>
    <s v="PT11840"/>
    <s v="P01"/>
    <x v="3"/>
    <x v="7"/>
    <n v="1"/>
    <d v="2026-01-15T00:00:00"/>
    <d v="2026-01-25T00:00:00"/>
    <n v="204.04"/>
    <n v="93.36"/>
    <n v="93.36"/>
    <n v="0"/>
    <s v="Paid"/>
    <s v=""/>
    <d v="2026-02-22T00:00:00"/>
    <d v="2026-02-22T00:00:00"/>
    <n v="210"/>
    <n v="0.45"/>
    <n v="94.5"/>
    <n v="1.1400000000000006"/>
    <x v="0"/>
    <x v="5"/>
    <x v="5"/>
  </r>
  <r>
    <s v="CLM101511"/>
    <s v="PT12427"/>
    <s v="P03"/>
    <x v="0"/>
    <x v="0"/>
    <n v="1"/>
    <d v="2026-05-05T00:00:00"/>
    <d v="2026-05-09T00:00:00"/>
    <n v="145.13999999999999"/>
    <n v="75.239999999999995"/>
    <n v="75.239999999999995"/>
    <n v="0"/>
    <s v="Paid"/>
    <s v=""/>
    <d v="2026-06-15T00:00:00"/>
    <d v="2026-06-15T00:00:00"/>
    <n v="145"/>
    <n v="0.47"/>
    <n v="68.150000000000006"/>
    <n v="-7.0899999999999892"/>
    <x v="0"/>
    <x v="4"/>
    <x v="7"/>
  </r>
  <r>
    <s v="CLM101512"/>
    <s v="PT10416"/>
    <s v="P01"/>
    <x v="1"/>
    <x v="4"/>
    <n v="1"/>
    <d v="2026-03-25T00:00:00"/>
    <d v="2026-03-28T00:00:00"/>
    <n v="38.47"/>
    <n v="14.85"/>
    <n v="11.88"/>
    <n v="2.97"/>
    <s v="Paid"/>
    <s v=""/>
    <d v="2026-04-16T00:00:00"/>
    <d v="2026-04-16T00:00:00"/>
    <n v="38"/>
    <n v="0.45"/>
    <n v="17.100000000000001"/>
    <n v="2.2500000000000018"/>
    <x v="1"/>
    <x v="5"/>
    <x v="2"/>
  </r>
  <r>
    <s v="CLM101513"/>
    <s v="PT10817"/>
    <s v="P05"/>
    <x v="1"/>
    <x v="10"/>
    <n v="1"/>
    <d v="2026-03-20T00:00:00"/>
    <d v="2026-03-21T00:00:00"/>
    <n v="1023.52"/>
    <n v="374.58"/>
    <n v="337.12"/>
    <n v="37.46"/>
    <s v="Paid"/>
    <s v=""/>
    <d v="2026-04-29T00:00:00"/>
    <d v="2026-04-29T00:00:00"/>
    <n v="1050"/>
    <n v="0.38"/>
    <n v="399"/>
    <n v="24.420000000000016"/>
    <x v="1"/>
    <x v="0"/>
    <x v="2"/>
  </r>
  <r>
    <s v="CLM101514"/>
    <s v="PT11744"/>
    <s v="P01"/>
    <x v="2"/>
    <x v="2"/>
    <n v="1"/>
    <d v="2026-01-09T00:00:00"/>
    <d v="2026-01-12T00:00:00"/>
    <n v="60.2"/>
    <n v="28.58"/>
    <n v="22.86"/>
    <n v="5.72"/>
    <s v="Paid"/>
    <s v=""/>
    <d v="2026-02-07T00:00:00"/>
    <d v="2026-02-07T00:00:00"/>
    <n v="62"/>
    <n v="0.45"/>
    <n v="27.9"/>
    <n v="-0.67999999999999972"/>
    <x v="0"/>
    <x v="5"/>
    <x v="5"/>
  </r>
  <r>
    <s v="CLM101515"/>
    <s v="PT10641"/>
    <s v="P02"/>
    <x v="3"/>
    <x v="7"/>
    <n v="1"/>
    <d v="2025-10-16T00:00:00"/>
    <d v="2025-10-20T00:00:00"/>
    <n v="206.28"/>
    <n v="101.9"/>
    <n v="81.52"/>
    <n v="20.38"/>
    <s v="Paid"/>
    <s v=""/>
    <d v="2025-11-26T00:00:00"/>
    <d v="2025-11-26T00:00:00"/>
    <n v="210"/>
    <n v="0.43"/>
    <n v="90.3"/>
    <n v="-11.600000000000009"/>
    <x v="0"/>
    <x v="6"/>
    <x v="9"/>
  </r>
  <r>
    <s v="CLM101516"/>
    <s v="PT13496"/>
    <s v="P07"/>
    <x v="2"/>
    <x v="9"/>
    <n v="2"/>
    <d v="2026-05-12T00:00:00"/>
    <d v="2026-05-13T00:00:00"/>
    <n v="115.56"/>
    <m/>
    <m/>
    <m/>
    <s v="Denied"/>
    <s v="CO-16"/>
    <d v="2026-06-13T00:00:00"/>
    <m/>
    <n v="58"/>
    <n v="0.28000000000000003"/>
    <n v="32.479999999999997"/>
    <s v=""/>
    <x v="2"/>
    <x v="3"/>
    <x v="7"/>
  </r>
  <r>
    <s v="CLM101517"/>
    <s v="PT11033"/>
    <s v="P01"/>
    <x v="0"/>
    <x v="4"/>
    <n v="1"/>
    <d v="2026-03-19T00:00:00"/>
    <d v="2026-03-20T00:00:00"/>
    <n v="38.29"/>
    <m/>
    <m/>
    <m/>
    <s v="Denied"/>
    <s v="CO-16"/>
    <d v="2026-04-07T00:00:00"/>
    <m/>
    <n v="38"/>
    <n v="0.45"/>
    <n v="17.100000000000001"/>
    <s v=""/>
    <x v="2"/>
    <x v="5"/>
    <x v="2"/>
  </r>
  <r>
    <s v="CLM101518"/>
    <s v="PT12500"/>
    <s v="P04"/>
    <x v="0"/>
    <x v="8"/>
    <n v="1"/>
    <d v="2026-03-11T00:00:00"/>
    <d v="2026-04-04T00:00:00"/>
    <n v="256.08999999999997"/>
    <m/>
    <m/>
    <m/>
    <s v="Denied"/>
    <s v="CO-11"/>
    <d v="2026-04-22T00:00:00"/>
    <m/>
    <n v="260"/>
    <n v="0.36"/>
    <n v="93.6"/>
    <s v=""/>
    <x v="2"/>
    <x v="1"/>
    <x v="2"/>
  </r>
  <r>
    <s v="CLM101519"/>
    <s v="PT10813"/>
    <s v="P02"/>
    <x v="1"/>
    <x v="1"/>
    <n v="1"/>
    <d v="2026-08-03T00:00:00"/>
    <d v="2026-08-14T00:00:00"/>
    <n v="244.63"/>
    <n v="108.03"/>
    <n v="108.03"/>
    <n v="0"/>
    <s v="Paid"/>
    <s v=""/>
    <d v="2026-09-28T00:00:00"/>
    <d v="2026-09-28T00:00:00"/>
    <n v="240"/>
    <n v="0.43"/>
    <n v="103.2"/>
    <n v="-4.8299999999999983"/>
    <x v="0"/>
    <x v="6"/>
    <x v="4"/>
  </r>
  <r>
    <s v="CLM101520"/>
    <s v="PT10407"/>
    <s v="P05"/>
    <x v="0"/>
    <x v="4"/>
    <n v="1"/>
    <d v="2026-05-01T00:00:00"/>
    <d v="2026-05-05T00:00:00"/>
    <n v="37.729999999999997"/>
    <n v="14.03"/>
    <n v="11.22"/>
    <n v="2.81"/>
    <s v="Paid"/>
    <s v=""/>
    <d v="2026-06-24T00:00:00"/>
    <d v="2026-06-24T00:00:00"/>
    <n v="38"/>
    <n v="0.38"/>
    <n v="14.44"/>
    <n v="0.41000000000000014"/>
    <x v="0"/>
    <x v="0"/>
    <x v="7"/>
  </r>
  <r>
    <s v="CLM101521"/>
    <s v="PT13018"/>
    <s v="P02"/>
    <x v="1"/>
    <x v="10"/>
    <n v="1"/>
    <d v="2025-10-26T00:00:00"/>
    <d v="2025-10-30T00:00:00"/>
    <n v="1049.06"/>
    <n v="494.64"/>
    <n v="494.64"/>
    <n v="0"/>
    <s v="Paid"/>
    <s v=""/>
    <d v="2025-12-01T00:00:00"/>
    <d v="2025-12-01T00:00:00"/>
    <n v="1050"/>
    <n v="0.43"/>
    <n v="451.5"/>
    <n v="-43.139999999999986"/>
    <x v="0"/>
    <x v="6"/>
    <x v="9"/>
  </r>
  <r>
    <s v="CLM101522"/>
    <s v="PT10274"/>
    <s v="P05"/>
    <x v="3"/>
    <x v="7"/>
    <n v="1"/>
    <d v="2026-08-01T00:00:00"/>
    <d v="2026-08-05T00:00:00"/>
    <n v="207.34"/>
    <m/>
    <m/>
    <m/>
    <s v="Denied"/>
    <s v="CO-4"/>
    <d v="2026-09-09T00:00:00"/>
    <m/>
    <n v="210"/>
    <n v="0.38"/>
    <n v="79.8"/>
    <s v=""/>
    <x v="2"/>
    <x v="0"/>
    <x v="4"/>
  </r>
  <r>
    <s v="CLM101523"/>
    <s v="PT10224"/>
    <s v="P07"/>
    <x v="2"/>
    <x v="2"/>
    <n v="1"/>
    <d v="2026-09-04T00:00:00"/>
    <d v="2026-09-07T00:00:00"/>
    <n v="60.24"/>
    <m/>
    <m/>
    <m/>
    <s v="Pending"/>
    <s v=""/>
    <m/>
    <m/>
    <n v="62"/>
    <n v="0.28000000000000003"/>
    <n v="17.36"/>
    <s v=""/>
    <x v="2"/>
    <x v="3"/>
    <x v="8"/>
  </r>
  <r>
    <s v="CLM101524"/>
    <s v="PT10963"/>
    <s v="P04"/>
    <x v="2"/>
    <x v="0"/>
    <n v="1"/>
    <d v="2025-10-15T00:00:00"/>
    <d v="2025-10-20T00:00:00"/>
    <n v="146.13999999999999"/>
    <n v="59.19"/>
    <n v="59.19"/>
    <n v="0"/>
    <s v="Paid"/>
    <s v=""/>
    <d v="2025-11-09T00:00:00"/>
    <d v="2025-11-09T00:00:00"/>
    <n v="145"/>
    <n v="0.36"/>
    <n v="52.2"/>
    <n v="-6.9899999999999949"/>
    <x v="0"/>
    <x v="1"/>
    <x v="9"/>
  </r>
  <r>
    <s v="CLM101525"/>
    <s v="PT12709"/>
    <s v="P07"/>
    <x v="0"/>
    <x v="4"/>
    <n v="1"/>
    <d v="2025-11-27T00:00:00"/>
    <d v="2025-11-30T00:00:00"/>
    <n v="37.049999999999997"/>
    <m/>
    <m/>
    <m/>
    <s v="Denied"/>
    <s v="CO-18"/>
    <d v="2026-01-17T00:00:00"/>
    <m/>
    <n v="38"/>
    <n v="0.28000000000000003"/>
    <n v="10.64"/>
    <s v=""/>
    <x v="2"/>
    <x v="3"/>
    <x v="3"/>
  </r>
  <r>
    <s v="CLM101526"/>
    <s v="PT12076"/>
    <s v="P04"/>
    <x v="2"/>
    <x v="9"/>
    <n v="1"/>
    <d v="2025-12-22T00:00:00"/>
    <d v="2025-12-31T00:00:00"/>
    <n v="57.83"/>
    <n v="23.59"/>
    <n v="18.87"/>
    <n v="4.72"/>
    <s v="Paid"/>
    <s v=""/>
    <d v="2026-01-15T00:00:00"/>
    <d v="2026-01-15T00:00:00"/>
    <n v="58"/>
    <n v="0.36"/>
    <n v="20.88"/>
    <n v="-2.7100000000000009"/>
    <x v="0"/>
    <x v="1"/>
    <x v="6"/>
  </r>
  <r>
    <s v="CLM101527"/>
    <s v="PT13449"/>
    <s v="P04"/>
    <x v="0"/>
    <x v="0"/>
    <n v="1"/>
    <d v="2025-11-01T00:00:00"/>
    <d v="2025-11-03T00:00:00"/>
    <n v="147.71"/>
    <m/>
    <m/>
    <m/>
    <s v="Denied"/>
    <s v="CO-27"/>
    <d v="2025-11-29T00:00:00"/>
    <m/>
    <n v="145"/>
    <n v="0.36"/>
    <n v="52.2"/>
    <s v=""/>
    <x v="2"/>
    <x v="1"/>
    <x v="3"/>
  </r>
  <r>
    <s v="CLM101528"/>
    <s v="PT12457"/>
    <s v="P05"/>
    <x v="1"/>
    <x v="4"/>
    <n v="1"/>
    <d v="2025-12-20T00:00:00"/>
    <d v="2025-12-23T00:00:00"/>
    <n v="38.020000000000003"/>
    <n v="13.5"/>
    <n v="13.5"/>
    <n v="0"/>
    <s v="Paid"/>
    <s v=""/>
    <d v="2026-03-01T00:00:00"/>
    <d v="2026-03-01T00:00:00"/>
    <n v="38"/>
    <n v="0.38"/>
    <n v="14.44"/>
    <n v="0.9399999999999995"/>
    <x v="1"/>
    <x v="0"/>
    <x v="6"/>
  </r>
  <r>
    <s v="CLM101529"/>
    <s v="PT11094"/>
    <s v="P07"/>
    <x v="3"/>
    <x v="7"/>
    <n v="1"/>
    <d v="2025-12-17T00:00:00"/>
    <d v="2025-12-23T00:00:00"/>
    <n v="209.54"/>
    <n v="67.540000000000006"/>
    <n v="67.540000000000006"/>
    <n v="0"/>
    <s v="Paid"/>
    <s v=""/>
    <d v="2026-03-12T00:00:00"/>
    <d v="2026-03-12T00:00:00"/>
    <n v="210"/>
    <n v="0.28000000000000003"/>
    <n v="58.8"/>
    <n v="-8.7400000000000091"/>
    <x v="0"/>
    <x v="3"/>
    <x v="6"/>
  </r>
  <r>
    <s v="CLM101530"/>
    <s v="PT11749"/>
    <s v="P01"/>
    <x v="1"/>
    <x v="11"/>
    <n v="1"/>
    <d v="2025-11-30T00:00:00"/>
    <d v="2025-12-07T00:00:00"/>
    <n v="1133.3499999999999"/>
    <n v="497.87"/>
    <n v="448.08"/>
    <n v="49.79"/>
    <s v="Paid"/>
    <s v=""/>
    <d v="2025-12-30T00:00:00"/>
    <d v="2025-12-30T00:00:00"/>
    <n v="1150"/>
    <n v="0.45"/>
    <n v="517.5"/>
    <n v="19.629999999999995"/>
    <x v="0"/>
    <x v="5"/>
    <x v="3"/>
  </r>
  <r>
    <s v="CLM101531"/>
    <s v="PT10438"/>
    <s v="P04"/>
    <x v="1"/>
    <x v="1"/>
    <n v="1"/>
    <d v="2025-12-30T00:00:00"/>
    <d v="2026-01-04T00:00:00"/>
    <n v="239.82"/>
    <n v="87.76"/>
    <n v="78.98"/>
    <n v="8.7799999999999994"/>
    <s v="Paid"/>
    <s v=""/>
    <d v="2026-01-23T00:00:00"/>
    <d v="2026-01-23T00:00:00"/>
    <n v="240"/>
    <n v="0.36"/>
    <n v="86.4"/>
    <n v="-1.3599999999999994"/>
    <x v="0"/>
    <x v="1"/>
    <x v="6"/>
  </r>
  <r>
    <s v="CLM101532"/>
    <s v="PT12477"/>
    <s v="P04"/>
    <x v="3"/>
    <x v="6"/>
    <n v="1"/>
    <d v="2026-09-03T00:00:00"/>
    <d v="2026-09-06T00:00:00"/>
    <n v="424.28"/>
    <m/>
    <m/>
    <m/>
    <s v="Pending"/>
    <s v=""/>
    <m/>
    <m/>
    <n v="420"/>
    <n v="0.36"/>
    <n v="151.19999999999999"/>
    <s v=""/>
    <x v="2"/>
    <x v="1"/>
    <x v="8"/>
  </r>
  <r>
    <s v="CLM101533"/>
    <s v="PT10265"/>
    <s v="P04"/>
    <x v="2"/>
    <x v="0"/>
    <n v="1"/>
    <d v="2026-08-09T00:00:00"/>
    <d v="2026-08-13T00:00:00"/>
    <n v="143.91999999999999"/>
    <n v="50.67"/>
    <n v="50.67"/>
    <n v="0"/>
    <s v="Paid"/>
    <s v=""/>
    <d v="2026-08-30T00:00:00"/>
    <d v="2026-08-30T00:00:00"/>
    <n v="145"/>
    <n v="0.36"/>
    <n v="52.2"/>
    <n v="1.5300000000000011"/>
    <x v="0"/>
    <x v="1"/>
    <x v="4"/>
  </r>
  <r>
    <s v="CLM101534"/>
    <s v="PT13381"/>
    <s v="P04"/>
    <x v="0"/>
    <x v="7"/>
    <n v="1"/>
    <d v="2025-11-22T00:00:00"/>
    <d v="2025-11-23T00:00:00"/>
    <n v="208.56"/>
    <n v="76.95"/>
    <n v="76.95"/>
    <n v="0"/>
    <s v="Paid"/>
    <s v=""/>
    <d v="2025-12-17T00:00:00"/>
    <d v="2025-12-17T00:00:00"/>
    <n v="210"/>
    <n v="0.36"/>
    <n v="75.599999999999994"/>
    <n v="-1.3500000000000085"/>
    <x v="0"/>
    <x v="1"/>
    <x v="3"/>
  </r>
  <r>
    <s v="CLM101535"/>
    <s v="PT12515"/>
    <s v="P04"/>
    <x v="0"/>
    <x v="8"/>
    <n v="1"/>
    <d v="2025-12-04T00:00:00"/>
    <d v="2025-12-18T00:00:00"/>
    <n v="252.21"/>
    <n v="98.67"/>
    <n v="98.67"/>
    <n v="0"/>
    <s v="Paid"/>
    <s v=""/>
    <d v="2026-01-04T00:00:00"/>
    <d v="2026-01-04T00:00:00"/>
    <n v="260"/>
    <n v="0.36"/>
    <n v="93.6"/>
    <n v="-5.0700000000000074"/>
    <x v="0"/>
    <x v="1"/>
    <x v="6"/>
  </r>
  <r>
    <s v="CLM101536"/>
    <s v="PT11740"/>
    <s v="P01"/>
    <x v="1"/>
    <x v="10"/>
    <n v="1"/>
    <d v="2026-02-10T00:00:00"/>
    <d v="2026-02-11T00:00:00"/>
    <n v="1043.4000000000001"/>
    <n v="473.5"/>
    <n v="473.5"/>
    <n v="0"/>
    <s v="Paid"/>
    <s v=""/>
    <d v="2026-03-19T00:00:00"/>
    <d v="2026-03-19T00:00:00"/>
    <n v="1050"/>
    <n v="0.45"/>
    <n v="472.5"/>
    <n v="-1"/>
    <x v="0"/>
    <x v="5"/>
    <x v="0"/>
  </r>
  <r>
    <s v="CLM101537"/>
    <s v="PT12456"/>
    <s v="P01"/>
    <x v="1"/>
    <x v="5"/>
    <n v="1"/>
    <d v="2026-03-03T00:00:00"/>
    <d v="2026-03-30T00:00:00"/>
    <n v="4677.2700000000004"/>
    <m/>
    <m/>
    <m/>
    <s v="Denied"/>
    <s v="CO-11"/>
    <d v="2026-04-27T00:00:00"/>
    <m/>
    <n v="4800"/>
    <n v="0.45"/>
    <n v="2160"/>
    <s v=""/>
    <x v="2"/>
    <x v="5"/>
    <x v="2"/>
  </r>
  <r>
    <s v="CLM101538"/>
    <s v="PT10764"/>
    <s v="P07"/>
    <x v="1"/>
    <x v="5"/>
    <n v="1"/>
    <d v="2026-04-27T00:00:00"/>
    <d v="2026-04-28T00:00:00"/>
    <n v="4687.09"/>
    <n v="1468.17"/>
    <n v="1321.35"/>
    <n v="146.82"/>
    <s v="Paid"/>
    <s v=""/>
    <d v="2026-07-24T00:00:00"/>
    <d v="2026-07-24T00:00:00"/>
    <n v="4800"/>
    <n v="0.28000000000000003"/>
    <n v="1344"/>
    <n v="-124.17000000000007"/>
    <x v="0"/>
    <x v="3"/>
    <x v="10"/>
  </r>
  <r>
    <s v="CLM101539"/>
    <s v="PT12029"/>
    <s v="P07"/>
    <x v="2"/>
    <x v="2"/>
    <n v="3"/>
    <d v="2026-03-14T00:00:00"/>
    <d v="2026-03-17T00:00:00"/>
    <n v="186.12"/>
    <n v="58.55"/>
    <n v="52.69"/>
    <n v="5.86"/>
    <s v="Paid"/>
    <s v=""/>
    <d v="2026-04-17T00:00:00"/>
    <d v="2026-04-17T00:00:00"/>
    <n v="62"/>
    <n v="0.28000000000000003"/>
    <n v="52.08"/>
    <n v="-6.4699999999999989"/>
    <x v="0"/>
    <x v="3"/>
    <x v="2"/>
  </r>
  <r>
    <s v="CLM101540"/>
    <s v="PT13226"/>
    <s v="P04"/>
    <x v="1"/>
    <x v="8"/>
    <n v="1"/>
    <d v="2026-05-08T00:00:00"/>
    <d v="2026-05-09T00:00:00"/>
    <n v="257.16000000000003"/>
    <n v="86.5"/>
    <n v="86.5"/>
    <n v="0"/>
    <s v="Paid"/>
    <s v=""/>
    <d v="2026-06-06T00:00:00"/>
    <d v="2026-06-06T00:00:00"/>
    <n v="260"/>
    <n v="0.36"/>
    <n v="93.6"/>
    <n v="7.0999999999999943"/>
    <x v="1"/>
    <x v="1"/>
    <x v="7"/>
  </r>
  <r>
    <s v="CLM101541"/>
    <s v="PT12435"/>
    <s v="P06"/>
    <x v="0"/>
    <x v="4"/>
    <n v="1"/>
    <d v="2026-05-29T00:00:00"/>
    <d v="2026-06-01T00:00:00"/>
    <n v="38.58"/>
    <n v="11.22"/>
    <n v="10.1"/>
    <n v="1.1200000000000001"/>
    <s v="Paid"/>
    <s v=""/>
    <d v="2026-07-11T00:00:00"/>
    <d v="2026-07-11T00:00:00"/>
    <n v="38"/>
    <n v="0.27"/>
    <n v="10.26"/>
    <n v="-0.96000000000000085"/>
    <x v="0"/>
    <x v="2"/>
    <x v="7"/>
  </r>
  <r>
    <s v="CLM101542"/>
    <s v="PT11813"/>
    <s v="P04"/>
    <x v="0"/>
    <x v="0"/>
    <n v="1"/>
    <d v="2025-10-02T00:00:00"/>
    <d v="2025-10-05T00:00:00"/>
    <n v="148.19"/>
    <n v="46.66"/>
    <n v="46.66"/>
    <n v="0"/>
    <s v="Paid"/>
    <s v=""/>
    <d v="2025-10-20T00:00:00"/>
    <d v="2025-10-20T00:00:00"/>
    <n v="145"/>
    <n v="0.36"/>
    <n v="52.2"/>
    <n v="5.5400000000000063"/>
    <x v="1"/>
    <x v="1"/>
    <x v="9"/>
  </r>
  <r>
    <s v="CLM101543"/>
    <s v="PT12525"/>
    <s v="P06"/>
    <x v="1"/>
    <x v="1"/>
    <n v="1"/>
    <d v="2025-11-23T00:00:00"/>
    <d v="2025-12-01T00:00:00"/>
    <n v="244.14"/>
    <n v="74.510000000000005"/>
    <n v="59.61"/>
    <n v="14.9"/>
    <s v="Paid"/>
    <s v=""/>
    <d v="2025-12-20T00:00:00"/>
    <d v="2025-12-20T00:00:00"/>
    <n v="240"/>
    <n v="0.27"/>
    <n v="64.8"/>
    <n v="-9.710000000000008"/>
    <x v="0"/>
    <x v="2"/>
    <x v="3"/>
  </r>
  <r>
    <s v="CLM101544"/>
    <s v="PT12075"/>
    <s v="P06"/>
    <x v="3"/>
    <x v="7"/>
    <n v="1"/>
    <d v="2026-02-05T00:00:00"/>
    <d v="2026-02-09T00:00:00"/>
    <n v="212.51"/>
    <n v="58.26"/>
    <n v="52.43"/>
    <n v="5.83"/>
    <s v="Paid"/>
    <s v=""/>
    <d v="2026-02-28T00:00:00"/>
    <d v="2026-02-28T00:00:00"/>
    <n v="210"/>
    <n v="0.27"/>
    <n v="56.7"/>
    <n v="-1.5599999999999952"/>
    <x v="0"/>
    <x v="2"/>
    <x v="0"/>
  </r>
  <r>
    <s v="CLM101545"/>
    <s v="PT12958"/>
    <s v="P05"/>
    <x v="0"/>
    <x v="8"/>
    <n v="1"/>
    <d v="2025-11-16T00:00:00"/>
    <d v="2025-11-20T00:00:00"/>
    <n v="257.31"/>
    <n v="107.72"/>
    <n v="107.72"/>
    <n v="0"/>
    <s v="Paid"/>
    <s v=""/>
    <d v="2026-01-18T00:00:00"/>
    <d v="2026-01-18T00:00:00"/>
    <n v="260"/>
    <n v="0.38"/>
    <n v="98.8"/>
    <n v="-8.9200000000000017"/>
    <x v="0"/>
    <x v="0"/>
    <x v="3"/>
  </r>
  <r>
    <s v="CLM101547"/>
    <s v="PT13410"/>
    <s v="P07"/>
    <x v="1"/>
    <x v="10"/>
    <n v="1"/>
    <d v="2025-10-23T00:00:00"/>
    <d v="2025-10-24T00:00:00"/>
    <n v="1040.6300000000001"/>
    <m/>
    <m/>
    <m/>
    <s v="Denied"/>
    <s v="CO-16"/>
    <d v="2025-12-26T00:00:00"/>
    <m/>
    <n v="1050"/>
    <n v="0.28000000000000003"/>
    <n v="294"/>
    <s v=""/>
    <x v="2"/>
    <x v="3"/>
    <x v="9"/>
  </r>
  <r>
    <s v="CLM101548"/>
    <s v="PT11525"/>
    <s v="P06"/>
    <x v="3"/>
    <x v="7"/>
    <n v="1"/>
    <d v="2026-01-15T00:00:00"/>
    <d v="2026-01-17T00:00:00"/>
    <n v="209.01"/>
    <n v="59.02"/>
    <n v="53.12"/>
    <n v="5.9"/>
    <s v="Paid"/>
    <s v=""/>
    <d v="2026-03-10T00:00:00"/>
    <d v="2026-03-10T00:00:00"/>
    <n v="210"/>
    <n v="0.27"/>
    <n v="56.7"/>
    <n v="-2.3200000000000003"/>
    <x v="0"/>
    <x v="2"/>
    <x v="5"/>
  </r>
  <r>
    <s v="CLM101549"/>
    <s v="PT12172"/>
    <s v="P03"/>
    <x v="0"/>
    <x v="4"/>
    <n v="1"/>
    <d v="2025-10-26T00:00:00"/>
    <d v="2025-10-31T00:00:00"/>
    <n v="36.92"/>
    <n v="19.11"/>
    <n v="17.2"/>
    <n v="1.91"/>
    <s v="Paid"/>
    <s v=""/>
    <d v="2025-12-25T00:00:00"/>
    <d v="2025-12-25T00:00:00"/>
    <n v="38"/>
    <n v="0.47"/>
    <n v="17.86"/>
    <n v="-1.25"/>
    <x v="0"/>
    <x v="4"/>
    <x v="9"/>
  </r>
  <r>
    <s v="CLM101550"/>
    <s v="PT10204"/>
    <s v="P01"/>
    <x v="2"/>
    <x v="9"/>
    <n v="2"/>
    <d v="2026-02-28T00:00:00"/>
    <d v="2026-03-05T00:00:00"/>
    <n v="119.47"/>
    <n v="59.81"/>
    <n v="47.85"/>
    <n v="11.96"/>
    <s v="Paid"/>
    <s v=""/>
    <d v="2026-03-26T00:00:00"/>
    <d v="2026-03-26T00:00:00"/>
    <n v="58"/>
    <n v="0.45"/>
    <n v="52.2"/>
    <n v="-7.6099999999999994"/>
    <x v="0"/>
    <x v="5"/>
    <x v="0"/>
  </r>
  <r>
    <s v="CLM101551"/>
    <s v="PT13097"/>
    <s v="P02"/>
    <x v="1"/>
    <x v="10"/>
    <n v="1"/>
    <d v="2025-10-08T00:00:00"/>
    <d v="2025-10-19T00:00:00"/>
    <n v="1070.17"/>
    <n v="509.47"/>
    <n v="407.58"/>
    <n v="101.89"/>
    <s v="Paid"/>
    <s v=""/>
    <d v="2025-11-13T00:00:00"/>
    <d v="2025-11-13T00:00:00"/>
    <n v="1050"/>
    <n v="0.43"/>
    <n v="451.5"/>
    <n v="-57.970000000000027"/>
    <x v="0"/>
    <x v="6"/>
    <x v="9"/>
  </r>
  <r>
    <s v="CLM101552"/>
    <s v="PT13204"/>
    <s v="P04"/>
    <x v="0"/>
    <x v="0"/>
    <n v="1"/>
    <d v="2026-03-07T00:00:00"/>
    <d v="2026-03-21T00:00:00"/>
    <n v="147.33000000000001"/>
    <n v="53.14"/>
    <n v="53.14"/>
    <n v="0"/>
    <s v="Paid"/>
    <s v=""/>
    <d v="2026-04-03T00:00:00"/>
    <d v="2026-04-03T00:00:00"/>
    <n v="145"/>
    <n v="0.36"/>
    <n v="52.2"/>
    <n v="-0.93999999999999773"/>
    <x v="0"/>
    <x v="1"/>
    <x v="2"/>
  </r>
  <r>
    <s v="CLM101553"/>
    <s v="PT10444"/>
    <s v="P07"/>
    <x v="0"/>
    <x v="4"/>
    <n v="1"/>
    <d v="2025-12-06T00:00:00"/>
    <d v="2025-12-07T00:00:00"/>
    <n v="38.81"/>
    <n v="11.5"/>
    <n v="11.5"/>
    <n v="0"/>
    <s v="Paid"/>
    <s v=""/>
    <d v="2026-01-24T00:00:00"/>
    <d v="2026-01-24T00:00:00"/>
    <n v="38"/>
    <n v="0.28000000000000003"/>
    <n v="10.64"/>
    <n v="-0.85999999999999943"/>
    <x v="0"/>
    <x v="3"/>
    <x v="6"/>
  </r>
  <r>
    <s v="CLM101554"/>
    <s v="PT10623"/>
    <s v="P04"/>
    <x v="0"/>
    <x v="8"/>
    <n v="1"/>
    <d v="2026-03-27T00:00:00"/>
    <d v="2026-03-28T00:00:00"/>
    <n v="255.77"/>
    <n v="97.1"/>
    <n v="97.1"/>
    <n v="0"/>
    <s v="Paid"/>
    <s v=""/>
    <d v="2026-04-16T00:00:00"/>
    <d v="2026-04-16T00:00:00"/>
    <n v="260"/>
    <n v="0.36"/>
    <n v="93.6"/>
    <n v="-3.5"/>
    <x v="0"/>
    <x v="1"/>
    <x v="2"/>
  </r>
  <r>
    <s v="CLM101555"/>
    <s v="PT13128"/>
    <s v="P06"/>
    <x v="1"/>
    <x v="5"/>
    <n v="1"/>
    <d v="2026-05-08T00:00:00"/>
    <d v="2026-05-11T00:00:00"/>
    <n v="4933.7299999999996"/>
    <n v="1253.6199999999999"/>
    <n v="1253.6199999999999"/>
    <n v="0"/>
    <s v="Paid"/>
    <s v=""/>
    <d v="2026-06-26T00:00:00"/>
    <d v="2026-06-26T00:00:00"/>
    <n v="4800"/>
    <n v="0.27"/>
    <n v="1296"/>
    <n v="42.380000000000109"/>
    <x v="0"/>
    <x v="2"/>
    <x v="7"/>
  </r>
  <r>
    <s v="CLM101556"/>
    <s v="PT12184"/>
    <s v="P02"/>
    <x v="1"/>
    <x v="8"/>
    <n v="1"/>
    <d v="2025-11-23T00:00:00"/>
    <d v="2025-11-25T00:00:00"/>
    <n v="253.43"/>
    <n v="94.6"/>
    <n v="85.14"/>
    <n v="9.4600000000000009"/>
    <s v="Paid"/>
    <s v=""/>
    <d v="2026-01-11T00:00:00"/>
    <d v="2026-01-11T00:00:00"/>
    <n v="260"/>
    <n v="0.43"/>
    <n v="111.8"/>
    <n v="17.200000000000003"/>
    <x v="1"/>
    <x v="6"/>
    <x v="3"/>
  </r>
  <r>
    <s v="CLM101557"/>
    <s v="PT11970"/>
    <s v="P02"/>
    <x v="3"/>
    <x v="7"/>
    <n v="1"/>
    <d v="2025-10-31T00:00:00"/>
    <d v="2025-11-10T00:00:00"/>
    <n v="203.78"/>
    <n v="76.5"/>
    <n v="61.2"/>
    <n v="15.3"/>
    <s v="Paid"/>
    <s v=""/>
    <d v="2025-12-02T00:00:00"/>
    <d v="2025-12-02T00:00:00"/>
    <n v="210"/>
    <n v="0.43"/>
    <n v="90.3"/>
    <n v="13.799999999999997"/>
    <x v="1"/>
    <x v="6"/>
    <x v="9"/>
  </r>
  <r>
    <s v="CLM101558"/>
    <s v="PT11827"/>
    <s v="P01"/>
    <x v="3"/>
    <x v="7"/>
    <n v="1"/>
    <d v="2025-11-10T00:00:00"/>
    <d v="2025-11-14T00:00:00"/>
    <n v="205.88"/>
    <n v="91.03"/>
    <n v="81.93"/>
    <n v="9.1"/>
    <s v="Paid"/>
    <s v=""/>
    <d v="2025-12-12T00:00:00"/>
    <d v="2025-12-12T00:00:00"/>
    <n v="210"/>
    <n v="0.45"/>
    <n v="94.5"/>
    <n v="3.4699999999999989"/>
    <x v="0"/>
    <x v="5"/>
    <x v="3"/>
  </r>
  <r>
    <s v="CLM101559"/>
    <s v="PT10674"/>
    <s v="P02"/>
    <x v="1"/>
    <x v="4"/>
    <n v="1"/>
    <d v="2026-02-12T00:00:00"/>
    <d v="2026-02-17T00:00:00"/>
    <n v="38.799999999999997"/>
    <n v="14.77"/>
    <n v="14.77"/>
    <n v="0"/>
    <s v="Paid"/>
    <s v=""/>
    <d v="2026-03-19T00:00:00"/>
    <d v="2026-03-19T00:00:00"/>
    <n v="38"/>
    <n v="0.43"/>
    <n v="16.34"/>
    <n v="1.5700000000000003"/>
    <x v="1"/>
    <x v="6"/>
    <x v="0"/>
  </r>
  <r>
    <s v="CLM101560"/>
    <s v="PT12269"/>
    <s v="P02"/>
    <x v="1"/>
    <x v="1"/>
    <n v="1"/>
    <d v="2026-06-03T00:00:00"/>
    <d v="2026-06-06T00:00:00"/>
    <n v="237.73"/>
    <n v="108.89"/>
    <n v="87.11"/>
    <n v="21.78"/>
    <s v="Paid"/>
    <s v=""/>
    <d v="2026-07-15T00:00:00"/>
    <d v="2026-07-15T00:00:00"/>
    <n v="240"/>
    <n v="0.43"/>
    <n v="103.2"/>
    <n v="-5.6899999999999977"/>
    <x v="0"/>
    <x v="6"/>
    <x v="11"/>
  </r>
  <r>
    <s v="CLM101561"/>
    <s v="PT10952"/>
    <s v="P02"/>
    <x v="0"/>
    <x v="7"/>
    <n v="1"/>
    <d v="2026-02-13T00:00:00"/>
    <d v="2026-02-14T00:00:00"/>
    <n v="215.64"/>
    <m/>
    <m/>
    <m/>
    <s v="Denied"/>
    <s v="CO-4"/>
    <d v="2026-03-09T00:00:00"/>
    <m/>
    <n v="210"/>
    <n v="0.43"/>
    <n v="90.3"/>
    <s v=""/>
    <x v="2"/>
    <x v="6"/>
    <x v="0"/>
  </r>
  <r>
    <s v="CLM101562"/>
    <s v="PT10314"/>
    <s v="P01"/>
    <x v="2"/>
    <x v="9"/>
    <n v="2"/>
    <d v="2026-09-12T00:00:00"/>
    <d v="2026-09-17T00:00:00"/>
    <n v="114.29"/>
    <m/>
    <m/>
    <m/>
    <s v="Pending"/>
    <s v=""/>
    <m/>
    <m/>
    <n v="58"/>
    <n v="0.45"/>
    <n v="52.2"/>
    <s v=""/>
    <x v="2"/>
    <x v="5"/>
    <x v="8"/>
  </r>
  <r>
    <s v="CLM101563"/>
    <s v="PT12794"/>
    <s v="P01"/>
    <x v="1"/>
    <x v="7"/>
    <n v="1"/>
    <d v="2026-05-18T00:00:00"/>
    <d v="2026-05-22T00:00:00"/>
    <n v="207.3"/>
    <n v="99.99"/>
    <n v="79.989999999999995"/>
    <n v="20"/>
    <s v="Paid"/>
    <s v=""/>
    <d v="2026-06-07T00:00:00"/>
    <d v="2026-06-07T00:00:00"/>
    <n v="210"/>
    <n v="0.45"/>
    <n v="94.5"/>
    <n v="-5.4899999999999949"/>
    <x v="0"/>
    <x v="5"/>
    <x v="7"/>
  </r>
  <r>
    <s v="CLM101564"/>
    <s v="PT12004"/>
    <s v="P06"/>
    <x v="2"/>
    <x v="0"/>
    <n v="1"/>
    <d v="2025-11-13T00:00:00"/>
    <d v="2025-11-23T00:00:00"/>
    <n v="144.57"/>
    <n v="41.03"/>
    <n v="41.03"/>
    <n v="0"/>
    <s v="Paid"/>
    <s v=""/>
    <d v="2025-12-21T00:00:00"/>
    <d v="2025-12-21T00:00:00"/>
    <n v="145"/>
    <n v="0.27"/>
    <n v="39.15"/>
    <n v="-1.8800000000000026"/>
    <x v="0"/>
    <x v="2"/>
    <x v="3"/>
  </r>
  <r>
    <s v="CLM101565"/>
    <s v="PT12925"/>
    <s v="P07"/>
    <x v="1"/>
    <x v="7"/>
    <n v="1"/>
    <d v="2026-07-12T00:00:00"/>
    <d v="2026-07-17T00:00:00"/>
    <n v="210.49"/>
    <n v="65.989999999999995"/>
    <n v="59.39"/>
    <n v="6.6"/>
    <s v="Paid"/>
    <s v=""/>
    <d v="2026-08-25T00:00:00"/>
    <d v="2026-08-25T00:00:00"/>
    <n v="210"/>
    <n v="0.28000000000000003"/>
    <n v="58.8"/>
    <n v="-7.1899999999999977"/>
    <x v="0"/>
    <x v="3"/>
    <x v="1"/>
  </r>
  <r>
    <s v="CLM101566"/>
    <s v="PT11583"/>
    <s v="P01"/>
    <x v="1"/>
    <x v="1"/>
    <n v="1"/>
    <d v="2025-11-04T00:00:00"/>
    <d v="2025-11-06T00:00:00"/>
    <n v="241.54"/>
    <n v="93.2"/>
    <n v="93.2"/>
    <n v="0"/>
    <s v="Paid"/>
    <s v=""/>
    <d v="2025-11-28T00:00:00"/>
    <d v="2025-11-28T00:00:00"/>
    <n v="240"/>
    <n v="0.45"/>
    <n v="108"/>
    <n v="14.799999999999997"/>
    <x v="1"/>
    <x v="5"/>
    <x v="3"/>
  </r>
  <r>
    <s v="CLM101567"/>
    <s v="PT11251"/>
    <s v="P02"/>
    <x v="0"/>
    <x v="7"/>
    <n v="1"/>
    <d v="2026-07-07T00:00:00"/>
    <d v="2026-07-08T00:00:00"/>
    <n v="210.04"/>
    <n v="82.23"/>
    <n v="82.23"/>
    <n v="0"/>
    <s v="Paid"/>
    <s v=""/>
    <d v="2026-08-20T00:00:00"/>
    <d v="2026-08-20T00:00:00"/>
    <n v="210"/>
    <n v="0.43"/>
    <n v="90.3"/>
    <n v="8.0699999999999932"/>
    <x v="1"/>
    <x v="6"/>
    <x v="1"/>
  </r>
  <r>
    <s v="CLM101568"/>
    <s v="PT11173"/>
    <s v="P07"/>
    <x v="1"/>
    <x v="5"/>
    <n v="1"/>
    <d v="2026-09-24T00:00:00"/>
    <d v="2026-09-30T00:00:00"/>
    <n v="4882.8999999999996"/>
    <m/>
    <m/>
    <m/>
    <s v="Pending"/>
    <s v=""/>
    <m/>
    <m/>
    <n v="4800"/>
    <n v="0.28000000000000003"/>
    <n v="1344"/>
    <s v=""/>
    <x v="2"/>
    <x v="3"/>
    <x v="8"/>
  </r>
  <r>
    <s v="CLM101569"/>
    <s v="PT11071"/>
    <s v="P06"/>
    <x v="0"/>
    <x v="0"/>
    <n v="1"/>
    <d v="2026-03-26T00:00:00"/>
    <d v="2026-03-28T00:00:00"/>
    <n v="149.25"/>
    <n v="42.43"/>
    <n v="38.19"/>
    <n v="4.24"/>
    <s v="Paid"/>
    <s v=""/>
    <d v="2026-05-15T00:00:00"/>
    <d v="2026-05-15T00:00:00"/>
    <n v="145"/>
    <n v="0.27"/>
    <n v="39.15"/>
    <n v="-3.2800000000000011"/>
    <x v="0"/>
    <x v="2"/>
    <x v="2"/>
  </r>
  <r>
    <s v="CLM101570"/>
    <s v="PT10063"/>
    <s v="P06"/>
    <x v="1"/>
    <x v="8"/>
    <n v="1"/>
    <d v="2026-01-16T00:00:00"/>
    <d v="2026-01-25T00:00:00"/>
    <n v="264.98"/>
    <n v="70.989999999999995"/>
    <n v="70.989999999999995"/>
    <n v="0"/>
    <s v="Paid"/>
    <s v=""/>
    <d v="2026-02-24T00:00:00"/>
    <d v="2026-02-24T00:00:00"/>
    <n v="260"/>
    <n v="0.27"/>
    <n v="70.2"/>
    <n v="-0.78999999999999204"/>
    <x v="0"/>
    <x v="2"/>
    <x v="5"/>
  </r>
  <r>
    <s v="CLM101571"/>
    <s v="PT12099"/>
    <s v="P05"/>
    <x v="3"/>
    <x v="7"/>
    <n v="1"/>
    <d v="2026-09-08T00:00:00"/>
    <d v="2026-09-13T00:00:00"/>
    <n v="207.74"/>
    <m/>
    <m/>
    <m/>
    <s v="Pending"/>
    <s v=""/>
    <m/>
    <m/>
    <n v="210"/>
    <n v="0.38"/>
    <n v="79.8"/>
    <s v=""/>
    <x v="2"/>
    <x v="0"/>
    <x v="8"/>
  </r>
  <r>
    <s v="CLM101572"/>
    <s v="PT12828"/>
    <s v="P05"/>
    <x v="3"/>
    <x v="7"/>
    <n v="1"/>
    <d v="2026-08-15T00:00:00"/>
    <d v="2026-08-18T00:00:00"/>
    <n v="210.86"/>
    <m/>
    <m/>
    <m/>
    <s v="Pending"/>
    <s v=""/>
    <m/>
    <m/>
    <n v="210"/>
    <n v="0.38"/>
    <n v="79.8"/>
    <s v=""/>
    <x v="2"/>
    <x v="0"/>
    <x v="4"/>
  </r>
  <r>
    <s v="CLM101573"/>
    <s v="PT13439"/>
    <s v="P08"/>
    <x v="0"/>
    <x v="8"/>
    <n v="1"/>
    <d v="2026-03-11T00:00:00"/>
    <d v="2026-03-16T00:00:00"/>
    <n v="259.70999999999998"/>
    <m/>
    <m/>
    <m/>
    <s v="Pending"/>
    <s v=""/>
    <m/>
    <m/>
    <n v="260"/>
    <n v="1"/>
    <n v="260"/>
    <s v=""/>
    <x v="2"/>
    <x v="7"/>
    <x v="2"/>
  </r>
  <r>
    <s v="CLM101574"/>
    <s v="PT10716"/>
    <s v="P02"/>
    <x v="0"/>
    <x v="7"/>
    <n v="1"/>
    <d v="2026-01-28T00:00:00"/>
    <d v="2026-01-29T00:00:00"/>
    <n v="204.16"/>
    <n v="89.95"/>
    <n v="80.95"/>
    <n v="9"/>
    <s v="Paid"/>
    <s v=""/>
    <d v="2026-03-01T00:00:00"/>
    <d v="2026-03-01T00:00:00"/>
    <n v="210"/>
    <n v="0.43"/>
    <n v="90.3"/>
    <n v="0.34999999999999432"/>
    <x v="0"/>
    <x v="6"/>
    <x v="5"/>
  </r>
  <r>
    <s v="CLM101575"/>
    <s v="PT10618"/>
    <s v="P06"/>
    <x v="1"/>
    <x v="7"/>
    <n v="1"/>
    <d v="2026-08-29T00:00:00"/>
    <d v="2026-09-01T00:00:00"/>
    <n v="206.55"/>
    <n v="51.23"/>
    <n v="51.23"/>
    <n v="0"/>
    <s v="Paid"/>
    <s v=""/>
    <d v="2026-09-29T00:00:00"/>
    <d v="2026-09-29T00:00:00"/>
    <n v="210"/>
    <n v="0.27"/>
    <n v="56.7"/>
    <n v="5.470000000000006"/>
    <x v="1"/>
    <x v="2"/>
    <x v="4"/>
  </r>
  <r>
    <s v="CLM101576"/>
    <s v="PT12915"/>
    <s v="P04"/>
    <x v="2"/>
    <x v="0"/>
    <n v="1"/>
    <d v="2026-06-13T00:00:00"/>
    <d v="2026-06-24T00:00:00"/>
    <n v="140.91"/>
    <n v="46.15"/>
    <n v="46.15"/>
    <n v="0"/>
    <s v="Paid"/>
    <s v=""/>
    <d v="2026-07-17T00:00:00"/>
    <d v="2026-07-17T00:00:00"/>
    <n v="145"/>
    <n v="0.36"/>
    <n v="52.2"/>
    <n v="6.0500000000000043"/>
    <x v="1"/>
    <x v="1"/>
    <x v="11"/>
  </r>
  <r>
    <s v="CLM101577"/>
    <s v="PT10066"/>
    <s v="P01"/>
    <x v="0"/>
    <x v="7"/>
    <n v="1"/>
    <d v="2025-12-02T00:00:00"/>
    <d v="2025-12-03T00:00:00"/>
    <n v="204.26"/>
    <n v="82.64"/>
    <n v="82.64"/>
    <n v="0"/>
    <s v="Paid"/>
    <s v=""/>
    <d v="2026-01-14T00:00:00"/>
    <d v="2026-01-14T00:00:00"/>
    <n v="210"/>
    <n v="0.45"/>
    <n v="94.5"/>
    <n v="11.86"/>
    <x v="1"/>
    <x v="5"/>
    <x v="6"/>
  </r>
  <r>
    <s v="CLM101578"/>
    <s v="PT12771"/>
    <s v="P02"/>
    <x v="1"/>
    <x v="1"/>
    <n v="1"/>
    <d v="2026-05-11T00:00:00"/>
    <d v="2026-05-12T00:00:00"/>
    <n v="238.26"/>
    <m/>
    <m/>
    <m/>
    <s v="Denied"/>
    <s v="CO-18"/>
    <d v="2026-06-27T00:00:00"/>
    <m/>
    <n v="240"/>
    <n v="0.43"/>
    <n v="103.2"/>
    <s v=""/>
    <x v="2"/>
    <x v="6"/>
    <x v="7"/>
  </r>
  <r>
    <s v="CLM101579"/>
    <s v="PT12661"/>
    <s v="P02"/>
    <x v="1"/>
    <x v="11"/>
    <n v="1"/>
    <d v="2025-11-17T00:00:00"/>
    <d v="2025-11-27T00:00:00"/>
    <n v="1135.42"/>
    <m/>
    <m/>
    <m/>
    <s v="Denied"/>
    <s v="CO-50"/>
    <d v="2025-12-13T00:00:00"/>
    <m/>
    <n v="1150"/>
    <n v="0.43"/>
    <n v="494.5"/>
    <s v=""/>
    <x v="2"/>
    <x v="6"/>
    <x v="3"/>
  </r>
  <r>
    <s v="CLM101580"/>
    <s v="PT10142"/>
    <s v="P02"/>
    <x v="1"/>
    <x v="10"/>
    <n v="1"/>
    <d v="2026-07-09T00:00:00"/>
    <d v="2026-07-10T00:00:00"/>
    <n v="1058.92"/>
    <n v="504.28"/>
    <n v="504.28"/>
    <n v="0"/>
    <s v="Paid"/>
    <s v=""/>
    <d v="2026-07-26T00:00:00"/>
    <d v="2026-07-26T00:00:00"/>
    <n v="1050"/>
    <n v="0.43"/>
    <n v="451.5"/>
    <n v="-52.779999999999973"/>
    <x v="0"/>
    <x v="6"/>
    <x v="1"/>
  </r>
  <r>
    <s v="CLM101581"/>
    <s v="PT11349"/>
    <s v="P05"/>
    <x v="1"/>
    <x v="4"/>
    <n v="1"/>
    <d v="2025-10-09T00:00:00"/>
    <d v="2025-10-15T00:00:00"/>
    <n v="37.9"/>
    <n v="12.26"/>
    <n v="11.03"/>
    <n v="1.23"/>
    <s v="Paid"/>
    <s v=""/>
    <d v="2025-11-20T00:00:00"/>
    <d v="2025-11-20T00:00:00"/>
    <n v="38"/>
    <n v="0.38"/>
    <n v="14.44"/>
    <n v="2.1799999999999997"/>
    <x v="1"/>
    <x v="0"/>
    <x v="9"/>
  </r>
  <r>
    <s v="CLM101582"/>
    <s v="PT10053"/>
    <s v="P02"/>
    <x v="2"/>
    <x v="0"/>
    <n v="1"/>
    <d v="2025-11-08T00:00:00"/>
    <d v="2026-03-10T00:00:00"/>
    <n v="143.53"/>
    <m/>
    <m/>
    <m/>
    <s v="Denied"/>
    <s v="CO-29"/>
    <d v="2026-04-07T00:00:00"/>
    <m/>
    <n v="145"/>
    <n v="0.43"/>
    <n v="62.35"/>
    <s v=""/>
    <x v="2"/>
    <x v="6"/>
    <x v="3"/>
  </r>
  <r>
    <s v="CLM101583"/>
    <s v="PT13308"/>
    <s v="P07"/>
    <x v="2"/>
    <x v="9"/>
    <n v="1"/>
    <d v="2026-03-03T00:00:00"/>
    <d v="2026-03-08T00:00:00"/>
    <n v="58.73"/>
    <n v="18.87"/>
    <n v="18.87"/>
    <n v="0"/>
    <s v="Paid"/>
    <s v=""/>
    <d v="2026-05-11T00:00:00"/>
    <d v="2026-05-11T00:00:00"/>
    <n v="58"/>
    <n v="0.28000000000000003"/>
    <n v="16.239999999999998"/>
    <n v="-2.6300000000000026"/>
    <x v="0"/>
    <x v="3"/>
    <x v="2"/>
  </r>
  <r>
    <s v="CLM101584"/>
    <s v="PT13166"/>
    <s v="P01"/>
    <x v="0"/>
    <x v="8"/>
    <n v="1"/>
    <d v="2026-08-11T00:00:00"/>
    <d v="2026-08-21T00:00:00"/>
    <n v="264.95999999999998"/>
    <n v="123.63"/>
    <n v="111.27"/>
    <n v="12.36"/>
    <s v="Paid"/>
    <s v=""/>
    <d v="2026-09-29T00:00:00"/>
    <d v="2026-09-29T00:00:00"/>
    <n v="260"/>
    <n v="0.45"/>
    <n v="117"/>
    <n v="-6.6299999999999955"/>
    <x v="0"/>
    <x v="5"/>
    <x v="4"/>
  </r>
  <r>
    <s v="CLM101585"/>
    <s v="PT10652"/>
    <s v="P03"/>
    <x v="0"/>
    <x v="7"/>
    <n v="1"/>
    <d v="2026-07-08T00:00:00"/>
    <d v="2026-07-12T00:00:00"/>
    <n v="206.25"/>
    <n v="104.29"/>
    <n v="83.43"/>
    <n v="20.86"/>
    <s v="Paid"/>
    <s v=""/>
    <d v="2026-08-30T00:00:00"/>
    <d v="2026-08-30T00:00:00"/>
    <n v="210"/>
    <n v="0.47"/>
    <n v="98.7"/>
    <n v="-5.5900000000000034"/>
    <x v="0"/>
    <x v="4"/>
    <x v="1"/>
  </r>
  <r>
    <s v="CLM101586"/>
    <s v="PT13201"/>
    <s v="P06"/>
    <x v="0"/>
    <x v="4"/>
    <n v="1"/>
    <d v="2026-06-28T00:00:00"/>
    <d v="2026-07-01T00:00:00"/>
    <n v="37.39"/>
    <n v="11.34"/>
    <n v="9.07"/>
    <n v="2.27"/>
    <s v="Paid"/>
    <s v=""/>
    <d v="2026-07-28T00:00:00"/>
    <d v="2026-07-28T00:00:00"/>
    <n v="38"/>
    <n v="0.27"/>
    <n v="10.26"/>
    <n v="-1.08"/>
    <x v="0"/>
    <x v="2"/>
    <x v="11"/>
  </r>
  <r>
    <s v="CLM101587"/>
    <s v="PT10095"/>
    <s v="P01"/>
    <x v="0"/>
    <x v="8"/>
    <n v="1"/>
    <d v="2026-07-30T00:00:00"/>
    <d v="2026-08-01T00:00:00"/>
    <n v="258.89"/>
    <n v="119.01"/>
    <n v="95.21"/>
    <n v="23.8"/>
    <s v="Paid"/>
    <s v=""/>
    <d v="2026-08-25T00:00:00"/>
    <d v="2026-08-25T00:00:00"/>
    <n v="260"/>
    <n v="0.45"/>
    <n v="117"/>
    <n v="-2.0100000000000051"/>
    <x v="0"/>
    <x v="5"/>
    <x v="1"/>
  </r>
  <r>
    <s v="CLM101588"/>
    <s v="PT11557"/>
    <s v="P01"/>
    <x v="3"/>
    <x v="3"/>
    <n v="10"/>
    <d v="2025-11-14T00:00:00"/>
    <d v="2025-11-19T00:00:00"/>
    <n v="14440.5"/>
    <n v="6406.34"/>
    <n v="6406.34"/>
    <n v="0"/>
    <s v="Paid"/>
    <s v=""/>
    <d v="2025-12-26T00:00:00"/>
    <d v="2025-12-26T00:00:00"/>
    <n v="1450"/>
    <n v="0.45"/>
    <n v="6525"/>
    <n v="118.65999999999985"/>
    <x v="0"/>
    <x v="5"/>
    <x v="3"/>
  </r>
  <r>
    <s v="CLM101589"/>
    <s v="PT13211"/>
    <s v="P04"/>
    <x v="1"/>
    <x v="8"/>
    <n v="1"/>
    <d v="2025-10-03T00:00:00"/>
    <d v="2025-10-19T00:00:00"/>
    <n v="264.07"/>
    <n v="107.92"/>
    <n v="107.92"/>
    <n v="0"/>
    <s v="Paid"/>
    <s v=""/>
    <d v="2025-11-04T00:00:00"/>
    <d v="2025-11-04T00:00:00"/>
    <n v="260"/>
    <n v="0.36"/>
    <n v="93.6"/>
    <n v="-14.320000000000007"/>
    <x v="0"/>
    <x v="1"/>
    <x v="9"/>
  </r>
  <r>
    <s v="CLM101590"/>
    <s v="PT13211"/>
    <s v="P03"/>
    <x v="0"/>
    <x v="8"/>
    <n v="1"/>
    <d v="2025-11-30T00:00:00"/>
    <d v="2025-12-03T00:00:00"/>
    <n v="259.38"/>
    <n v="129.08000000000001"/>
    <n v="129.08000000000001"/>
    <n v="0"/>
    <s v="Paid"/>
    <s v=""/>
    <d v="2026-01-24T00:00:00"/>
    <d v="2026-01-24T00:00:00"/>
    <n v="260"/>
    <n v="0.47"/>
    <n v="122.2"/>
    <n v="-6.8800000000000097"/>
    <x v="0"/>
    <x v="4"/>
    <x v="3"/>
  </r>
  <r>
    <s v="CLM101591"/>
    <s v="PT10564"/>
    <s v="P05"/>
    <x v="1"/>
    <x v="1"/>
    <n v="1"/>
    <d v="2026-08-27T00:00:00"/>
    <d v="2026-08-29T00:00:00"/>
    <n v="240.74"/>
    <m/>
    <m/>
    <m/>
    <s v="Pending"/>
    <s v=""/>
    <m/>
    <m/>
    <n v="240"/>
    <n v="0.38"/>
    <n v="91.2"/>
    <s v=""/>
    <x v="2"/>
    <x v="0"/>
    <x v="4"/>
  </r>
  <r>
    <s v="CLM101592"/>
    <s v="PT12953"/>
    <s v="P01"/>
    <x v="0"/>
    <x v="7"/>
    <n v="1"/>
    <d v="2026-08-05T00:00:00"/>
    <d v="2026-08-07T00:00:00"/>
    <n v="215.58"/>
    <n v="95.48"/>
    <n v="85.93"/>
    <n v="9.5500000000000007"/>
    <s v="Paid"/>
    <s v=""/>
    <d v="2026-09-10T00:00:00"/>
    <d v="2026-09-10T00:00:00"/>
    <n v="210"/>
    <n v="0.45"/>
    <n v="94.5"/>
    <n v="-0.98000000000000398"/>
    <x v="0"/>
    <x v="5"/>
    <x v="4"/>
  </r>
  <r>
    <s v="CLM101593"/>
    <s v="PT11306"/>
    <s v="P07"/>
    <x v="3"/>
    <x v="6"/>
    <n v="1"/>
    <d v="2025-11-23T00:00:00"/>
    <d v="2025-11-25T00:00:00"/>
    <n v="428.15"/>
    <n v="118.94"/>
    <n v="118.94"/>
    <n v="0"/>
    <s v="Paid"/>
    <s v=""/>
    <d v="2025-12-20T00:00:00"/>
    <d v="2025-12-20T00:00:00"/>
    <n v="420"/>
    <n v="0.28000000000000003"/>
    <n v="117.6"/>
    <n v="-1.3400000000000034"/>
    <x v="0"/>
    <x v="3"/>
    <x v="3"/>
  </r>
  <r>
    <s v="CLM101594"/>
    <s v="PT10259"/>
    <s v="P01"/>
    <x v="0"/>
    <x v="7"/>
    <n v="1"/>
    <d v="2026-07-23T00:00:00"/>
    <d v="2026-07-31T00:00:00"/>
    <n v="205.48"/>
    <n v="101.97"/>
    <n v="101.97"/>
    <n v="0"/>
    <s v="Paid"/>
    <s v=""/>
    <d v="2026-08-27T00:00:00"/>
    <d v="2026-08-27T00:00:00"/>
    <n v="210"/>
    <n v="0.45"/>
    <n v="94.5"/>
    <n v="-7.4699999999999989"/>
    <x v="0"/>
    <x v="5"/>
    <x v="1"/>
  </r>
  <r>
    <s v="CLM101595"/>
    <s v="PT11140"/>
    <s v="P07"/>
    <x v="0"/>
    <x v="7"/>
    <n v="1"/>
    <d v="2026-03-25T00:00:00"/>
    <d v="2026-04-07T00:00:00"/>
    <n v="208.87"/>
    <n v="53.04"/>
    <n v="53.04"/>
    <n v="0"/>
    <s v="Paid"/>
    <s v=""/>
    <d v="2026-06-03T00:00:00"/>
    <d v="2026-06-03T00:00:00"/>
    <n v="210"/>
    <n v="0.28000000000000003"/>
    <n v="58.8"/>
    <n v="5.759999999999998"/>
    <x v="1"/>
    <x v="3"/>
    <x v="2"/>
  </r>
  <r>
    <s v="CLM101596"/>
    <s v="PT12670"/>
    <s v="P08"/>
    <x v="2"/>
    <x v="9"/>
    <n v="1"/>
    <d v="2026-06-15T00:00:00"/>
    <d v="2026-06-19T00:00:00"/>
    <n v="59.46"/>
    <m/>
    <m/>
    <m/>
    <s v="Pending"/>
    <s v=""/>
    <m/>
    <m/>
    <n v="58"/>
    <n v="1"/>
    <n v="58"/>
    <s v=""/>
    <x v="2"/>
    <x v="7"/>
    <x v="11"/>
  </r>
  <r>
    <s v="CLM101598"/>
    <s v="PT10374"/>
    <s v="P07"/>
    <x v="1"/>
    <x v="1"/>
    <n v="1"/>
    <d v="2026-04-10T00:00:00"/>
    <d v="2026-04-11T00:00:00"/>
    <n v="232.89"/>
    <n v="73.930000000000007"/>
    <n v="73.930000000000007"/>
    <n v="0"/>
    <s v="Paid"/>
    <s v=""/>
    <d v="2026-06-17T00:00:00"/>
    <d v="2026-06-17T00:00:00"/>
    <n v="240"/>
    <n v="0.28000000000000003"/>
    <n v="67.2"/>
    <n v="-6.730000000000004"/>
    <x v="0"/>
    <x v="3"/>
    <x v="10"/>
  </r>
  <r>
    <s v="CLM101599"/>
    <s v="PT11290"/>
    <s v="P08"/>
    <x v="1"/>
    <x v="11"/>
    <n v="1"/>
    <d v="2026-08-09T00:00:00"/>
    <d v="2026-08-12T00:00:00"/>
    <n v="1127.78"/>
    <m/>
    <m/>
    <m/>
    <s v="Pending"/>
    <s v=""/>
    <m/>
    <m/>
    <n v="1150"/>
    <n v="1"/>
    <n v="1150"/>
    <s v=""/>
    <x v="2"/>
    <x v="7"/>
    <x v="4"/>
  </r>
  <r>
    <s v="CLM101600"/>
    <s v="PT13362"/>
    <s v="P05"/>
    <x v="1"/>
    <x v="8"/>
    <n v="1"/>
    <d v="2025-10-23T00:00:00"/>
    <d v="2025-10-25T00:00:00"/>
    <n v="263.8"/>
    <n v="110.13"/>
    <n v="110.13"/>
    <n v="0"/>
    <s v="Paid"/>
    <s v=""/>
    <d v="2025-12-13T00:00:00"/>
    <d v="2025-12-13T00:00:00"/>
    <n v="260"/>
    <n v="0.38"/>
    <n v="98.8"/>
    <n v="-11.329999999999998"/>
    <x v="0"/>
    <x v="0"/>
    <x v="9"/>
  </r>
  <r>
    <s v="CLM101601"/>
    <s v="PT12065"/>
    <s v="P01"/>
    <x v="0"/>
    <x v="7"/>
    <n v="1"/>
    <d v="2026-05-25T00:00:00"/>
    <d v="2026-05-28T00:00:00"/>
    <n v="204.59"/>
    <n v="78.17"/>
    <n v="78.17"/>
    <n v="0"/>
    <s v="Paid"/>
    <s v=""/>
    <d v="2026-07-01T00:00:00"/>
    <d v="2026-07-01T00:00:00"/>
    <n v="210"/>
    <n v="0.45"/>
    <n v="94.5"/>
    <n v="16.329999999999998"/>
    <x v="1"/>
    <x v="5"/>
    <x v="7"/>
  </r>
  <r>
    <s v="CLM101602"/>
    <s v="PT11692"/>
    <s v="P04"/>
    <x v="0"/>
    <x v="8"/>
    <n v="1"/>
    <d v="2026-03-17T00:00:00"/>
    <d v="2026-03-19T00:00:00"/>
    <n v="263.11"/>
    <n v="103.48"/>
    <n v="82.78"/>
    <n v="20.7"/>
    <s v="Paid"/>
    <s v=""/>
    <d v="2026-04-04T00:00:00"/>
    <d v="2026-04-04T00:00:00"/>
    <n v="260"/>
    <n v="0.36"/>
    <n v="93.6"/>
    <n v="-9.8800000000000097"/>
    <x v="0"/>
    <x v="1"/>
    <x v="2"/>
  </r>
  <r>
    <s v="CLM101603"/>
    <s v="PT12557"/>
    <s v="P07"/>
    <x v="0"/>
    <x v="7"/>
    <n v="1"/>
    <d v="2026-04-30T00:00:00"/>
    <d v="2026-05-04T00:00:00"/>
    <n v="208.04"/>
    <n v="57.54"/>
    <n v="57.54"/>
    <n v="0"/>
    <s v="Paid"/>
    <s v=""/>
    <d v="2026-07-30T00:00:00"/>
    <d v="2026-07-30T00:00:00"/>
    <n v="210"/>
    <n v="0.28000000000000003"/>
    <n v="58.8"/>
    <n v="1.259999999999998"/>
    <x v="0"/>
    <x v="3"/>
    <x v="10"/>
  </r>
  <r>
    <s v="CLM101604"/>
    <s v="PT10145"/>
    <s v="P07"/>
    <x v="3"/>
    <x v="7"/>
    <n v="1"/>
    <d v="2026-05-31T00:00:00"/>
    <d v="2026-06-02T00:00:00"/>
    <n v="206.25"/>
    <n v="52.41"/>
    <n v="52.41"/>
    <n v="0"/>
    <s v="Paid"/>
    <s v=""/>
    <d v="2026-08-25T00:00:00"/>
    <d v="2026-08-25T00:00:00"/>
    <n v="210"/>
    <n v="0.28000000000000003"/>
    <n v="58.8"/>
    <n v="6.3900000000000006"/>
    <x v="1"/>
    <x v="3"/>
    <x v="7"/>
  </r>
  <r>
    <s v="CLM101605"/>
    <s v="PT11793"/>
    <s v="P01"/>
    <x v="1"/>
    <x v="8"/>
    <n v="1"/>
    <d v="2026-07-15T00:00:00"/>
    <d v="2026-07-18T00:00:00"/>
    <n v="262.56"/>
    <n v="102.3"/>
    <n v="92.07"/>
    <n v="10.23"/>
    <s v="Paid"/>
    <s v=""/>
    <d v="2026-08-19T00:00:00"/>
    <d v="2026-08-19T00:00:00"/>
    <n v="260"/>
    <n v="0.45"/>
    <n v="117"/>
    <n v="14.700000000000003"/>
    <x v="1"/>
    <x v="5"/>
    <x v="1"/>
  </r>
  <r>
    <s v="CLM101606"/>
    <s v="PT12235"/>
    <s v="P07"/>
    <x v="1"/>
    <x v="5"/>
    <n v="1"/>
    <d v="2026-02-01T00:00:00"/>
    <d v="2026-02-12T00:00:00"/>
    <n v="4753.17"/>
    <m/>
    <m/>
    <m/>
    <s v="Denied"/>
    <s v="CO-197"/>
    <d v="2026-04-06T00:00:00"/>
    <m/>
    <n v="4800"/>
    <n v="0.28000000000000003"/>
    <n v="1344"/>
    <s v=""/>
    <x v="2"/>
    <x v="3"/>
    <x v="0"/>
  </r>
  <r>
    <s v="CLM101607"/>
    <s v="PT13480"/>
    <s v="P07"/>
    <x v="2"/>
    <x v="9"/>
    <n v="3"/>
    <d v="2026-07-05T00:00:00"/>
    <d v="2026-07-07T00:00:00"/>
    <n v="170.82"/>
    <m/>
    <m/>
    <m/>
    <s v="Pending"/>
    <s v=""/>
    <m/>
    <m/>
    <n v="58"/>
    <n v="0.28000000000000003"/>
    <n v="48.72"/>
    <s v=""/>
    <x v="2"/>
    <x v="3"/>
    <x v="1"/>
  </r>
  <r>
    <s v="CLM101608"/>
    <s v="PT11611"/>
    <s v="P04"/>
    <x v="1"/>
    <x v="7"/>
    <n v="1"/>
    <d v="2026-03-19T00:00:00"/>
    <d v="2026-03-22T00:00:00"/>
    <n v="207.91"/>
    <n v="69.650000000000006"/>
    <n v="69.650000000000006"/>
    <n v="0"/>
    <s v="Paid"/>
    <s v=""/>
    <d v="2026-04-07T00:00:00"/>
    <d v="2026-04-07T00:00:00"/>
    <n v="210"/>
    <n v="0.36"/>
    <n v="75.599999999999994"/>
    <n v="5.9499999999999886"/>
    <x v="1"/>
    <x v="1"/>
    <x v="2"/>
  </r>
  <r>
    <s v="CLM101609"/>
    <s v="PT13136"/>
    <s v="P02"/>
    <x v="0"/>
    <x v="8"/>
    <n v="1"/>
    <d v="2026-04-05T00:00:00"/>
    <d v="2026-04-06T00:00:00"/>
    <n v="267.19"/>
    <n v="122.37"/>
    <n v="110.13"/>
    <n v="12.24"/>
    <s v="Paid"/>
    <s v=""/>
    <d v="2026-05-10T00:00:00"/>
    <d v="2026-05-10T00:00:00"/>
    <n v="260"/>
    <n v="0.43"/>
    <n v="111.8"/>
    <n v="-10.570000000000007"/>
    <x v="0"/>
    <x v="6"/>
    <x v="10"/>
  </r>
  <r>
    <s v="CLM101610"/>
    <s v="PT10956"/>
    <s v="P03"/>
    <x v="1"/>
    <x v="8"/>
    <n v="1"/>
    <d v="2026-09-24T00:00:00"/>
    <d v="2026-09-25T00:00:00"/>
    <n v="257.02999999999997"/>
    <m/>
    <m/>
    <m/>
    <s v="Pending"/>
    <s v=""/>
    <m/>
    <m/>
    <n v="260"/>
    <n v="0.47"/>
    <n v="122.2"/>
    <s v=""/>
    <x v="2"/>
    <x v="4"/>
    <x v="8"/>
  </r>
  <r>
    <s v="CLM101611"/>
    <s v="PT11208"/>
    <s v="P08"/>
    <x v="1"/>
    <x v="8"/>
    <n v="1"/>
    <d v="2026-05-25T00:00:00"/>
    <d v="2026-06-06T00:00:00"/>
    <n v="264.35000000000002"/>
    <m/>
    <m/>
    <m/>
    <s v="Pending"/>
    <s v=""/>
    <m/>
    <m/>
    <n v="260"/>
    <n v="1"/>
    <n v="260"/>
    <s v=""/>
    <x v="2"/>
    <x v="7"/>
    <x v="7"/>
  </r>
  <r>
    <s v="CLM101612"/>
    <s v="PT10957"/>
    <s v="P05"/>
    <x v="3"/>
    <x v="6"/>
    <n v="1"/>
    <d v="2025-10-28T00:00:00"/>
    <d v="2025-10-29T00:00:00"/>
    <n v="424.71"/>
    <n v="157.71"/>
    <n v="141.94"/>
    <n v="15.77"/>
    <s v="Paid"/>
    <s v=""/>
    <d v="2025-12-19T00:00:00"/>
    <d v="2025-12-19T00:00:00"/>
    <n v="420"/>
    <n v="0.38"/>
    <n v="159.6"/>
    <n v="1.8899999999999864"/>
    <x v="0"/>
    <x v="0"/>
    <x v="9"/>
  </r>
  <r>
    <s v="CLM101613"/>
    <s v="PT10243"/>
    <s v="P05"/>
    <x v="1"/>
    <x v="11"/>
    <n v="1"/>
    <d v="2025-11-12T00:00:00"/>
    <d v="2025-12-08T00:00:00"/>
    <n v="1162.5999999999999"/>
    <n v="467.78"/>
    <n v="421"/>
    <n v="46.78"/>
    <s v="Paid"/>
    <s v=""/>
    <d v="2026-02-11T00:00:00"/>
    <d v="2026-02-11T00:00:00"/>
    <n v="1150"/>
    <n v="0.38"/>
    <n v="437"/>
    <n v="-30.779999999999973"/>
    <x v="0"/>
    <x v="0"/>
    <x v="3"/>
  </r>
  <r>
    <s v="CLM101614"/>
    <s v="PT10749"/>
    <s v="P03"/>
    <x v="1"/>
    <x v="5"/>
    <n v="1"/>
    <d v="2026-09-24T00:00:00"/>
    <d v="2026-09-25T00:00:00"/>
    <n v="4920.66"/>
    <m/>
    <m/>
    <m/>
    <s v="Pending"/>
    <s v=""/>
    <m/>
    <m/>
    <n v="4800"/>
    <n v="0.47"/>
    <n v="2256"/>
    <s v=""/>
    <x v="2"/>
    <x v="4"/>
    <x v="8"/>
  </r>
  <r>
    <s v="CLM101615"/>
    <s v="PT13419"/>
    <s v="P08"/>
    <x v="2"/>
    <x v="9"/>
    <n v="4"/>
    <d v="2026-09-01T00:00:00"/>
    <d v="2026-09-03T00:00:00"/>
    <n v="234.59"/>
    <m/>
    <m/>
    <m/>
    <s v="Pending"/>
    <s v=""/>
    <m/>
    <m/>
    <n v="58"/>
    <n v="1"/>
    <n v="232"/>
    <s v=""/>
    <x v="2"/>
    <x v="7"/>
    <x v="8"/>
  </r>
  <r>
    <s v="CLM101616"/>
    <s v="PT12637"/>
    <s v="P05"/>
    <x v="0"/>
    <x v="4"/>
    <n v="1"/>
    <d v="2025-12-06T00:00:00"/>
    <d v="2025-12-10T00:00:00"/>
    <n v="37.92"/>
    <n v="15.44"/>
    <n v="13.9"/>
    <n v="1.54"/>
    <s v="Paid"/>
    <s v=""/>
    <d v="2026-02-02T00:00:00"/>
    <d v="2026-02-02T00:00:00"/>
    <n v="38"/>
    <n v="0.38"/>
    <n v="14.44"/>
    <n v="-1"/>
    <x v="0"/>
    <x v="0"/>
    <x v="6"/>
  </r>
  <r>
    <s v="CLM101617"/>
    <s v="PT10832"/>
    <s v="P04"/>
    <x v="1"/>
    <x v="7"/>
    <n v="1"/>
    <d v="2025-11-03T00:00:00"/>
    <d v="2025-11-20T00:00:00"/>
    <n v="204.31"/>
    <n v="77.61"/>
    <n v="77.61"/>
    <n v="0"/>
    <s v="Paid"/>
    <s v=""/>
    <d v="2025-12-08T00:00:00"/>
    <d v="2025-12-08T00:00:00"/>
    <n v="210"/>
    <n v="0.36"/>
    <n v="75.599999999999994"/>
    <n v="-2.0100000000000051"/>
    <x v="0"/>
    <x v="1"/>
    <x v="3"/>
  </r>
  <r>
    <s v="CLM101618"/>
    <s v="PT10263"/>
    <s v="P01"/>
    <x v="3"/>
    <x v="7"/>
    <n v="1"/>
    <d v="2026-02-20T00:00:00"/>
    <d v="2026-03-04T00:00:00"/>
    <n v="208.09"/>
    <n v="91.55"/>
    <n v="82.4"/>
    <n v="9.15"/>
    <s v="Paid"/>
    <s v=""/>
    <d v="2026-04-07T00:00:00"/>
    <d v="2026-04-07T00:00:00"/>
    <n v="210"/>
    <n v="0.45"/>
    <n v="94.5"/>
    <n v="2.9500000000000028"/>
    <x v="0"/>
    <x v="5"/>
    <x v="0"/>
  </r>
  <r>
    <s v="CLM101619"/>
    <s v="PT11417"/>
    <s v="P04"/>
    <x v="1"/>
    <x v="11"/>
    <n v="1"/>
    <d v="2025-11-18T00:00:00"/>
    <d v="2025-12-07T00:00:00"/>
    <n v="1181.42"/>
    <n v="440.58"/>
    <n v="396.52"/>
    <n v="44.06"/>
    <s v="Paid"/>
    <s v=""/>
    <d v="2026-01-04T00:00:00"/>
    <d v="2026-01-04T00:00:00"/>
    <n v="1150"/>
    <n v="0.36"/>
    <n v="414"/>
    <n v="-26.579999999999984"/>
    <x v="0"/>
    <x v="1"/>
    <x v="3"/>
  </r>
  <r>
    <s v="CLM101620"/>
    <s v="PT12332"/>
    <s v="P07"/>
    <x v="3"/>
    <x v="3"/>
    <n v="20"/>
    <d v="2026-09-17T00:00:00"/>
    <d v="2026-09-19T00:00:00"/>
    <n v="28384.92"/>
    <m/>
    <m/>
    <m/>
    <s v="Pending"/>
    <s v=""/>
    <m/>
    <m/>
    <n v="1450"/>
    <n v="0.28000000000000003"/>
    <n v="8120"/>
    <s v=""/>
    <x v="2"/>
    <x v="3"/>
    <x v="8"/>
  </r>
  <r>
    <s v="CLM101621"/>
    <s v="PT12848"/>
    <s v="P04"/>
    <x v="2"/>
    <x v="2"/>
    <n v="3"/>
    <d v="2026-04-22T00:00:00"/>
    <d v="2026-05-02T00:00:00"/>
    <n v="185.2"/>
    <m/>
    <m/>
    <m/>
    <s v="Denied"/>
    <s v="CO-4"/>
    <d v="2026-05-18T00:00:00"/>
    <m/>
    <n v="62"/>
    <n v="0.36"/>
    <n v="66.959999999999994"/>
    <s v=""/>
    <x v="2"/>
    <x v="1"/>
    <x v="10"/>
  </r>
  <r>
    <s v="CLM101622"/>
    <s v="PT11256"/>
    <s v="P02"/>
    <x v="2"/>
    <x v="0"/>
    <n v="1"/>
    <d v="2026-09-14T00:00:00"/>
    <d v="2026-09-23T00:00:00"/>
    <n v="141.74"/>
    <m/>
    <m/>
    <m/>
    <s v="Pending"/>
    <s v=""/>
    <m/>
    <m/>
    <n v="145"/>
    <n v="0.43"/>
    <n v="62.35"/>
    <s v=""/>
    <x v="2"/>
    <x v="6"/>
    <x v="8"/>
  </r>
  <r>
    <s v="CLM101623"/>
    <s v="PT10658"/>
    <s v="P07"/>
    <x v="0"/>
    <x v="8"/>
    <n v="1"/>
    <d v="2025-10-11T00:00:00"/>
    <d v="2025-10-14T00:00:00"/>
    <n v="252.24"/>
    <n v="78"/>
    <n v="78"/>
    <n v="0"/>
    <s v="Paid"/>
    <s v=""/>
    <d v="2025-12-22T00:00:00"/>
    <d v="2025-12-22T00:00:00"/>
    <n v="260"/>
    <n v="0.28000000000000003"/>
    <n v="72.8"/>
    <n v="-5.2000000000000028"/>
    <x v="0"/>
    <x v="3"/>
    <x v="9"/>
  </r>
  <r>
    <s v="CLM101624"/>
    <s v="PT10433"/>
    <s v="P01"/>
    <x v="0"/>
    <x v="0"/>
    <n v="1"/>
    <d v="2026-01-17T00:00:00"/>
    <d v="2026-01-19T00:00:00"/>
    <n v="149.22"/>
    <n v="64.88"/>
    <n v="58.39"/>
    <n v="6.49"/>
    <s v="Paid"/>
    <s v=""/>
    <d v="2026-02-22T00:00:00"/>
    <d v="2026-02-22T00:00:00"/>
    <n v="145"/>
    <n v="0.45"/>
    <n v="65.25"/>
    <n v="0.37000000000000455"/>
    <x v="0"/>
    <x v="5"/>
    <x v="5"/>
  </r>
  <r>
    <s v="CLM101625"/>
    <s v="PT10390"/>
    <s v="P01"/>
    <x v="0"/>
    <x v="8"/>
    <n v="1"/>
    <d v="2025-11-01T00:00:00"/>
    <d v="2025-11-06T00:00:00"/>
    <n v="261.99"/>
    <n v="128.13"/>
    <n v="115.32"/>
    <n v="12.81"/>
    <s v="Paid"/>
    <s v=""/>
    <d v="2025-12-05T00:00:00"/>
    <d v="2025-12-05T00:00:00"/>
    <n v="260"/>
    <n v="0.45"/>
    <n v="117"/>
    <n v="-11.129999999999995"/>
    <x v="0"/>
    <x v="5"/>
    <x v="3"/>
  </r>
  <r>
    <s v="CLM101626"/>
    <s v="PT11000"/>
    <s v="P06"/>
    <x v="1"/>
    <x v="4"/>
    <n v="1"/>
    <d v="2026-07-20T00:00:00"/>
    <d v="2026-07-30T00:00:00"/>
    <n v="36.950000000000003"/>
    <n v="10.53"/>
    <n v="9.48"/>
    <n v="1.05"/>
    <s v="Paid"/>
    <s v=""/>
    <d v="2026-09-16T00:00:00"/>
    <d v="2026-09-16T00:00:00"/>
    <n v="38"/>
    <n v="0.27"/>
    <n v="10.26"/>
    <n v="-0.26999999999999957"/>
    <x v="0"/>
    <x v="2"/>
    <x v="1"/>
  </r>
  <r>
    <s v="CLM101627"/>
    <s v="PT10362"/>
    <s v="P08"/>
    <x v="1"/>
    <x v="5"/>
    <n v="1"/>
    <d v="2026-07-12T00:00:00"/>
    <d v="2026-07-15T00:00:00"/>
    <n v="4919.1000000000004"/>
    <m/>
    <m/>
    <m/>
    <s v="Pending"/>
    <s v=""/>
    <m/>
    <m/>
    <n v="4800"/>
    <n v="1"/>
    <n v="4800"/>
    <s v=""/>
    <x v="2"/>
    <x v="7"/>
    <x v="1"/>
  </r>
  <r>
    <s v="CLM101628"/>
    <s v="PT11368"/>
    <s v="P01"/>
    <x v="0"/>
    <x v="4"/>
    <n v="1"/>
    <d v="2025-12-09T00:00:00"/>
    <d v="2025-12-10T00:00:00"/>
    <n v="38.270000000000003"/>
    <n v="16.329999999999998"/>
    <n v="13.06"/>
    <n v="3.27"/>
    <s v="Paid"/>
    <s v=""/>
    <d v="2026-01-21T00:00:00"/>
    <d v="2026-01-21T00:00:00"/>
    <n v="38"/>
    <n v="0.45"/>
    <n v="17.100000000000001"/>
    <n v="0.77000000000000313"/>
    <x v="0"/>
    <x v="5"/>
    <x v="6"/>
  </r>
  <r>
    <s v="CLM101629"/>
    <s v="PT11276"/>
    <s v="P04"/>
    <x v="3"/>
    <x v="7"/>
    <n v="1"/>
    <d v="2026-07-06T00:00:00"/>
    <d v="2026-07-14T00:00:00"/>
    <n v="209.38"/>
    <n v="65.709999999999994"/>
    <n v="52.57"/>
    <n v="13.14"/>
    <s v="Paid"/>
    <s v=""/>
    <d v="2026-07-25T00:00:00"/>
    <d v="2026-07-25T00:00:00"/>
    <n v="210"/>
    <n v="0.36"/>
    <n v="75.599999999999994"/>
    <n v="9.89"/>
    <x v="1"/>
    <x v="1"/>
    <x v="1"/>
  </r>
  <r>
    <s v="CLM101630"/>
    <s v="PT11874"/>
    <s v="P01"/>
    <x v="1"/>
    <x v="8"/>
    <n v="1"/>
    <d v="2026-02-01T00:00:00"/>
    <d v="2026-02-08T00:00:00"/>
    <n v="258.74"/>
    <n v="98.63"/>
    <n v="98.63"/>
    <n v="0"/>
    <s v="Paid"/>
    <s v=""/>
    <d v="2026-03-01T00:00:00"/>
    <d v="2026-03-01T00:00:00"/>
    <n v="260"/>
    <n v="0.45"/>
    <n v="117"/>
    <n v="18.370000000000005"/>
    <x v="1"/>
    <x v="5"/>
    <x v="0"/>
  </r>
  <r>
    <s v="CLM101631"/>
    <s v="PT13448"/>
    <s v="P01"/>
    <x v="0"/>
    <x v="7"/>
    <n v="1"/>
    <d v="2026-05-25T00:00:00"/>
    <d v="2026-06-03T00:00:00"/>
    <n v="216.09"/>
    <n v="85.93"/>
    <n v="77.34"/>
    <n v="8.59"/>
    <s v="Paid"/>
    <s v=""/>
    <d v="2026-07-04T00:00:00"/>
    <d v="2026-07-04T00:00:00"/>
    <n v="210"/>
    <n v="0.45"/>
    <n v="94.5"/>
    <n v="8.5699999999999932"/>
    <x v="1"/>
    <x v="5"/>
    <x v="7"/>
  </r>
  <r>
    <s v="CLM101632"/>
    <s v="PT10276"/>
    <s v="P05"/>
    <x v="1"/>
    <x v="4"/>
    <n v="1"/>
    <d v="2025-10-04T00:00:00"/>
    <d v="2025-10-07T00:00:00"/>
    <n v="37.270000000000003"/>
    <n v="12.48"/>
    <n v="12.48"/>
    <n v="0"/>
    <s v="Paid"/>
    <s v=""/>
    <d v="2025-11-23T00:00:00"/>
    <d v="2025-11-23T00:00:00"/>
    <n v="38"/>
    <n v="0.38"/>
    <n v="14.44"/>
    <n v="1.9599999999999991"/>
    <x v="1"/>
    <x v="0"/>
    <x v="9"/>
  </r>
  <r>
    <s v="CLM101633"/>
    <s v="PT12193"/>
    <s v="P03"/>
    <x v="0"/>
    <x v="0"/>
    <n v="1"/>
    <d v="2026-06-08T00:00:00"/>
    <d v="2026-06-13T00:00:00"/>
    <n v="146.94"/>
    <n v="68"/>
    <n v="68"/>
    <n v="0"/>
    <s v="Paid"/>
    <s v=""/>
    <d v="2026-07-30T00:00:00"/>
    <d v="2026-07-30T00:00:00"/>
    <n v="145"/>
    <n v="0.47"/>
    <n v="68.150000000000006"/>
    <n v="0.15000000000000568"/>
    <x v="0"/>
    <x v="4"/>
    <x v="11"/>
  </r>
  <r>
    <s v="CLM101634"/>
    <s v="PT11563"/>
    <s v="P05"/>
    <x v="0"/>
    <x v="0"/>
    <n v="1"/>
    <d v="2026-03-10T00:00:00"/>
    <d v="2026-03-13T00:00:00"/>
    <n v="145.6"/>
    <n v="49.93"/>
    <n v="49.93"/>
    <n v="0"/>
    <s v="Paid"/>
    <s v=""/>
    <d v="2026-04-15T00:00:00"/>
    <d v="2026-04-15T00:00:00"/>
    <n v="145"/>
    <n v="0.38"/>
    <n v="55.1"/>
    <n v="5.1700000000000017"/>
    <x v="1"/>
    <x v="0"/>
    <x v="2"/>
  </r>
  <r>
    <s v="CLM101635"/>
    <s v="PT12493"/>
    <s v="P05"/>
    <x v="0"/>
    <x v="0"/>
    <n v="1"/>
    <d v="2026-03-23T00:00:00"/>
    <d v="2026-03-26T00:00:00"/>
    <n v="148.63"/>
    <n v="60.38"/>
    <n v="48.3"/>
    <n v="12.08"/>
    <s v="Paid"/>
    <s v=""/>
    <d v="2026-05-20T00:00:00"/>
    <d v="2026-05-20T00:00:00"/>
    <n v="145"/>
    <n v="0.38"/>
    <n v="55.1"/>
    <n v="-5.2800000000000011"/>
    <x v="0"/>
    <x v="0"/>
    <x v="2"/>
  </r>
  <r>
    <s v="CLM101636"/>
    <s v="PT12692"/>
    <s v="P07"/>
    <x v="2"/>
    <x v="0"/>
    <n v="1"/>
    <d v="2026-06-03T00:00:00"/>
    <d v="2026-06-10T00:00:00"/>
    <n v="148.47"/>
    <n v="38.99"/>
    <n v="38.99"/>
    <n v="0"/>
    <s v="Paid"/>
    <s v=""/>
    <d v="2026-08-04T00:00:00"/>
    <d v="2026-08-04T00:00:00"/>
    <n v="145"/>
    <n v="0.28000000000000003"/>
    <n v="40.6"/>
    <n v="1.6099999999999994"/>
    <x v="0"/>
    <x v="3"/>
    <x v="11"/>
  </r>
  <r>
    <s v="CLM101637"/>
    <s v="PT10554"/>
    <s v="P01"/>
    <x v="1"/>
    <x v="1"/>
    <n v="1"/>
    <d v="2026-06-02T00:00:00"/>
    <d v="2026-06-03T00:00:00"/>
    <n v="235.14"/>
    <n v="109.6"/>
    <n v="109.6"/>
    <n v="0"/>
    <s v="Paid"/>
    <s v=""/>
    <d v="2026-06-19T00:00:00"/>
    <d v="2026-06-19T00:00:00"/>
    <n v="240"/>
    <n v="0.45"/>
    <n v="108"/>
    <n v="-1.5999999999999943"/>
    <x v="0"/>
    <x v="5"/>
    <x v="11"/>
  </r>
  <r>
    <s v="CLM101638"/>
    <s v="PT10270"/>
    <s v="P01"/>
    <x v="3"/>
    <x v="3"/>
    <n v="20"/>
    <d v="2025-11-15T00:00:00"/>
    <d v="2025-12-03T00:00:00"/>
    <n v="28615.02"/>
    <n v="13802.74"/>
    <n v="13802.74"/>
    <n v="0"/>
    <s v="Paid"/>
    <s v=""/>
    <d v="2025-12-28T00:00:00"/>
    <d v="2025-12-28T00:00:00"/>
    <n v="1450"/>
    <n v="0.45"/>
    <n v="13050"/>
    <n v="-752.73999999999978"/>
    <x v="0"/>
    <x v="5"/>
    <x v="3"/>
  </r>
  <r>
    <s v="CLM101639"/>
    <s v="PT10851"/>
    <s v="P04"/>
    <x v="0"/>
    <x v="8"/>
    <n v="1"/>
    <d v="2026-09-29T00:00:00"/>
    <d v="2026-09-30T00:00:00"/>
    <n v="255.26"/>
    <m/>
    <m/>
    <m/>
    <s v="Pending"/>
    <s v=""/>
    <m/>
    <m/>
    <n v="260"/>
    <n v="0.36"/>
    <n v="93.6"/>
    <s v=""/>
    <x v="2"/>
    <x v="1"/>
    <x v="8"/>
  </r>
  <r>
    <s v="CLM101640"/>
    <s v="PT10520"/>
    <s v="P07"/>
    <x v="2"/>
    <x v="9"/>
    <n v="1"/>
    <d v="2026-09-22T00:00:00"/>
    <d v="2026-09-23T00:00:00"/>
    <n v="57.02"/>
    <m/>
    <m/>
    <m/>
    <s v="Pending"/>
    <s v=""/>
    <m/>
    <m/>
    <n v="58"/>
    <n v="0.28000000000000003"/>
    <n v="16.239999999999998"/>
    <s v=""/>
    <x v="2"/>
    <x v="3"/>
    <x v="8"/>
  </r>
  <r>
    <s v="CLM101641"/>
    <s v="PT10807"/>
    <s v="P02"/>
    <x v="3"/>
    <x v="3"/>
    <n v="5"/>
    <d v="2026-01-08T00:00:00"/>
    <d v="2026-01-14T00:00:00"/>
    <n v="7423.35"/>
    <n v="3092.45"/>
    <n v="2473.96"/>
    <n v="618.49"/>
    <s v="Paid"/>
    <s v=""/>
    <d v="2026-02-22T00:00:00"/>
    <d v="2026-02-22T00:00:00"/>
    <n v="1450"/>
    <n v="0.43"/>
    <n v="3117.5"/>
    <n v="25.050000000000182"/>
    <x v="0"/>
    <x v="6"/>
    <x v="5"/>
  </r>
  <r>
    <s v="CLM101642"/>
    <s v="PT12503"/>
    <s v="P01"/>
    <x v="1"/>
    <x v="5"/>
    <n v="1"/>
    <d v="2026-08-01T00:00:00"/>
    <d v="2026-08-09T00:00:00"/>
    <n v="4722.47"/>
    <n v="2029.81"/>
    <n v="2029.81"/>
    <n v="0"/>
    <s v="Paid"/>
    <s v=""/>
    <d v="2026-08-31T00:00:00"/>
    <d v="2026-08-31T00:00:00"/>
    <n v="4800"/>
    <n v="0.45"/>
    <n v="2160"/>
    <n v="130.19000000000005"/>
    <x v="1"/>
    <x v="5"/>
    <x v="4"/>
  </r>
  <r>
    <s v="CLM101643"/>
    <s v="PT13040"/>
    <s v="P05"/>
    <x v="0"/>
    <x v="7"/>
    <n v="1"/>
    <d v="2026-09-16T00:00:00"/>
    <d v="2026-09-17T00:00:00"/>
    <n v="203.99"/>
    <m/>
    <m/>
    <m/>
    <s v="Pending"/>
    <s v=""/>
    <m/>
    <m/>
    <n v="210"/>
    <n v="0.38"/>
    <n v="79.8"/>
    <s v=""/>
    <x v="2"/>
    <x v="0"/>
    <x v="8"/>
  </r>
  <r>
    <s v="CLM101644"/>
    <s v="PT10488"/>
    <s v="P02"/>
    <x v="1"/>
    <x v="11"/>
    <n v="1"/>
    <d v="2026-08-08T00:00:00"/>
    <d v="2026-08-20T00:00:00"/>
    <n v="1118.32"/>
    <n v="545.87"/>
    <n v="545.87"/>
    <n v="0"/>
    <s v="Paid"/>
    <s v=""/>
    <d v="2026-09-11T00:00:00"/>
    <d v="2026-09-11T00:00:00"/>
    <n v="1150"/>
    <n v="0.43"/>
    <n v="494.5"/>
    <n v="-51.370000000000005"/>
    <x v="0"/>
    <x v="6"/>
    <x v="4"/>
  </r>
  <r>
    <s v="CLM101645"/>
    <s v="PT10057"/>
    <s v="P02"/>
    <x v="2"/>
    <x v="2"/>
    <n v="1"/>
    <d v="2026-07-05T00:00:00"/>
    <d v="2026-07-07T00:00:00"/>
    <n v="60.39"/>
    <n v="28.24"/>
    <n v="22.59"/>
    <n v="5.65"/>
    <s v="Paid"/>
    <s v=""/>
    <d v="2026-08-09T00:00:00"/>
    <d v="2026-08-09T00:00:00"/>
    <n v="62"/>
    <n v="0.43"/>
    <n v="26.66"/>
    <n v="-1.5799999999999983"/>
    <x v="0"/>
    <x v="6"/>
    <x v="1"/>
  </r>
  <r>
    <s v="CLM101646"/>
    <s v="PT11569"/>
    <s v="P02"/>
    <x v="0"/>
    <x v="8"/>
    <n v="1"/>
    <d v="2026-04-07T00:00:00"/>
    <d v="2026-04-10T00:00:00"/>
    <n v="267.31"/>
    <n v="110.48"/>
    <n v="110.48"/>
    <n v="0"/>
    <s v="Paid"/>
    <s v=""/>
    <d v="2026-05-16T00:00:00"/>
    <d v="2026-05-16T00:00:00"/>
    <n v="260"/>
    <n v="0.43"/>
    <n v="111.8"/>
    <n v="1.3199999999999932"/>
    <x v="0"/>
    <x v="6"/>
    <x v="10"/>
  </r>
  <r>
    <s v="CLM101647"/>
    <s v="PT11230"/>
    <s v="P07"/>
    <x v="1"/>
    <x v="10"/>
    <n v="1"/>
    <d v="2025-11-13T00:00:00"/>
    <d v="2025-11-20T00:00:00"/>
    <n v="1054.43"/>
    <m/>
    <m/>
    <m/>
    <s v="Denied"/>
    <s v="CO-197"/>
    <d v="2026-01-25T00:00:00"/>
    <m/>
    <n v="1050"/>
    <n v="0.28000000000000003"/>
    <n v="294"/>
    <s v=""/>
    <x v="2"/>
    <x v="3"/>
    <x v="3"/>
  </r>
  <r>
    <s v="CLM101648"/>
    <s v="PT11408"/>
    <s v="P02"/>
    <x v="0"/>
    <x v="4"/>
    <n v="1"/>
    <d v="2026-01-09T00:00:00"/>
    <d v="2026-01-13T00:00:00"/>
    <n v="38.42"/>
    <n v="15.02"/>
    <n v="12.02"/>
    <n v="3"/>
    <s v="Paid"/>
    <s v=""/>
    <d v="2026-01-28T00:00:00"/>
    <d v="2026-01-28T00:00:00"/>
    <n v="38"/>
    <n v="0.43"/>
    <n v="16.34"/>
    <n v="1.3200000000000003"/>
    <x v="1"/>
    <x v="6"/>
    <x v="5"/>
  </r>
  <r>
    <s v="CLM101649"/>
    <s v="PT10601"/>
    <s v="P04"/>
    <x v="1"/>
    <x v="4"/>
    <n v="1"/>
    <d v="2025-12-25T00:00:00"/>
    <d v="2025-12-26T00:00:00"/>
    <n v="37.89"/>
    <n v="12.09"/>
    <n v="10.88"/>
    <n v="1.21"/>
    <s v="Paid"/>
    <s v=""/>
    <d v="2026-01-14T00:00:00"/>
    <d v="2026-01-14T00:00:00"/>
    <n v="38"/>
    <n v="0.36"/>
    <n v="13.68"/>
    <n v="1.5899999999999999"/>
    <x v="1"/>
    <x v="1"/>
    <x v="6"/>
  </r>
  <r>
    <s v="CLM101650"/>
    <s v="PT11091"/>
    <s v="P02"/>
    <x v="1"/>
    <x v="5"/>
    <n v="1"/>
    <d v="2025-12-10T00:00:00"/>
    <d v="2025-12-16T00:00:00"/>
    <n v="4920.8500000000004"/>
    <n v="2139.5300000000002"/>
    <n v="1925.58"/>
    <n v="213.95"/>
    <s v="Paid"/>
    <s v=""/>
    <d v="2026-01-13T00:00:00"/>
    <d v="2026-01-13T00:00:00"/>
    <n v="4800"/>
    <n v="0.43"/>
    <n v="2064"/>
    <n v="-75.5300000000002"/>
    <x v="0"/>
    <x v="6"/>
    <x v="6"/>
  </r>
  <r>
    <s v="CLM101651"/>
    <s v="PT10604"/>
    <s v="P05"/>
    <x v="3"/>
    <x v="3"/>
    <n v="5"/>
    <d v="2026-06-20T00:00:00"/>
    <d v="2026-06-23T00:00:00"/>
    <n v="7264.7"/>
    <n v="3168.09"/>
    <n v="2534.4699999999998"/>
    <n v="633.62"/>
    <s v="Paid"/>
    <s v=""/>
    <d v="2026-07-26T00:00:00"/>
    <d v="2026-07-26T00:00:00"/>
    <n v="1450"/>
    <n v="0.38"/>
    <n v="2755"/>
    <n v="-413.09000000000015"/>
    <x v="0"/>
    <x v="0"/>
    <x v="11"/>
  </r>
  <r>
    <s v="CLM101653"/>
    <s v="PT11887"/>
    <s v="P01"/>
    <x v="3"/>
    <x v="6"/>
    <n v="1"/>
    <d v="2026-07-14T00:00:00"/>
    <d v="2026-07-16T00:00:00"/>
    <n v="415.94"/>
    <n v="214.29"/>
    <n v="192.86"/>
    <n v="21.43"/>
    <s v="Paid"/>
    <s v=""/>
    <d v="2026-08-03T00:00:00"/>
    <d v="2026-08-03T00:00:00"/>
    <n v="420"/>
    <n v="0.45"/>
    <n v="189"/>
    <n v="-25.289999999999992"/>
    <x v="0"/>
    <x v="5"/>
    <x v="1"/>
  </r>
  <r>
    <s v="CLM101654"/>
    <s v="PT10317"/>
    <s v="P07"/>
    <x v="2"/>
    <x v="2"/>
    <n v="1"/>
    <d v="2026-09-07T00:00:00"/>
    <d v="2026-09-09T00:00:00"/>
    <n v="61.5"/>
    <m/>
    <m/>
    <m/>
    <s v="Pending"/>
    <s v=""/>
    <m/>
    <m/>
    <n v="62"/>
    <n v="0.28000000000000003"/>
    <n v="17.36"/>
    <s v=""/>
    <x v="2"/>
    <x v="3"/>
    <x v="8"/>
  </r>
  <r>
    <s v="CLM101655"/>
    <s v="PT11514"/>
    <s v="P02"/>
    <x v="1"/>
    <x v="5"/>
    <n v="1"/>
    <d v="2026-09-08T00:00:00"/>
    <d v="2026-09-11T00:00:00"/>
    <n v="4808.3500000000004"/>
    <m/>
    <m/>
    <m/>
    <s v="Pending"/>
    <s v=""/>
    <m/>
    <m/>
    <n v="4800"/>
    <n v="0.43"/>
    <n v="2064"/>
    <s v=""/>
    <x v="2"/>
    <x v="6"/>
    <x v="8"/>
  </r>
  <r>
    <s v="CLM101656"/>
    <s v="PT11098"/>
    <s v="P02"/>
    <x v="2"/>
    <x v="0"/>
    <n v="1"/>
    <d v="2026-09-19T00:00:00"/>
    <d v="2026-09-21T00:00:00"/>
    <n v="145.55000000000001"/>
    <m/>
    <m/>
    <m/>
    <s v="Pending"/>
    <s v=""/>
    <m/>
    <m/>
    <n v="145"/>
    <n v="0.43"/>
    <n v="62.35"/>
    <s v=""/>
    <x v="2"/>
    <x v="6"/>
    <x v="8"/>
  </r>
  <r>
    <s v="CLM101657"/>
    <s v="PT11609"/>
    <s v="P02"/>
    <x v="3"/>
    <x v="7"/>
    <n v="1"/>
    <d v="2026-01-11T00:00:00"/>
    <d v="2026-01-13T00:00:00"/>
    <n v="208.24"/>
    <n v="88.25"/>
    <n v="79.42"/>
    <n v="8.83"/>
    <s v="Paid"/>
    <s v=""/>
    <d v="2026-02-03T00:00:00"/>
    <d v="2026-02-03T00:00:00"/>
    <n v="210"/>
    <n v="0.43"/>
    <n v="90.3"/>
    <n v="2.0499999999999972"/>
    <x v="0"/>
    <x v="6"/>
    <x v="5"/>
  </r>
  <r>
    <s v="CLM101658"/>
    <s v="PT12857"/>
    <s v="P08"/>
    <x v="0"/>
    <x v="4"/>
    <n v="1"/>
    <d v="2025-11-02T00:00:00"/>
    <d v="2025-11-12T00:00:00"/>
    <n v="37.840000000000003"/>
    <m/>
    <m/>
    <m/>
    <s v="Pending"/>
    <s v=""/>
    <m/>
    <m/>
    <n v="38"/>
    <n v="1"/>
    <n v="38"/>
    <s v=""/>
    <x v="2"/>
    <x v="7"/>
    <x v="3"/>
  </r>
  <r>
    <s v="CLM101660"/>
    <s v="PT10744"/>
    <s v="P04"/>
    <x v="1"/>
    <x v="10"/>
    <n v="1"/>
    <d v="2026-03-15T00:00:00"/>
    <d v="2026-03-17T00:00:00"/>
    <n v="1068.05"/>
    <n v="360.82"/>
    <n v="288.66000000000003"/>
    <n v="72.16"/>
    <s v="Paid"/>
    <s v=""/>
    <d v="2026-04-07T00:00:00"/>
    <d v="2026-04-07T00:00:00"/>
    <n v="1050"/>
    <n v="0.36"/>
    <n v="378"/>
    <n v="17.180000000000007"/>
    <x v="0"/>
    <x v="1"/>
    <x v="2"/>
  </r>
  <r>
    <s v="CLM101661"/>
    <s v="PT10215"/>
    <s v="P01"/>
    <x v="1"/>
    <x v="7"/>
    <n v="1"/>
    <d v="2026-02-19T00:00:00"/>
    <d v="2026-02-21T00:00:00"/>
    <n v="205.42"/>
    <n v="106.45"/>
    <n v="95.8"/>
    <n v="10.65"/>
    <s v="Paid"/>
    <s v=""/>
    <d v="2026-03-20T00:00:00"/>
    <d v="2026-03-20T00:00:00"/>
    <n v="210"/>
    <n v="0.45"/>
    <n v="94.5"/>
    <n v="-11.950000000000003"/>
    <x v="0"/>
    <x v="5"/>
    <x v="0"/>
  </r>
  <r>
    <s v="CLM101662"/>
    <s v="PT11265"/>
    <s v="P04"/>
    <x v="2"/>
    <x v="9"/>
    <n v="1"/>
    <d v="2026-07-26T00:00:00"/>
    <d v="2026-08-05T00:00:00"/>
    <n v="57.12"/>
    <n v="19.29"/>
    <n v="17.36"/>
    <n v="1.93"/>
    <s v="Paid"/>
    <s v=""/>
    <d v="2026-08-28T00:00:00"/>
    <d v="2026-08-28T00:00:00"/>
    <n v="58"/>
    <n v="0.36"/>
    <n v="20.88"/>
    <n v="1.5899999999999999"/>
    <x v="1"/>
    <x v="1"/>
    <x v="1"/>
  </r>
  <r>
    <s v="CLM101663"/>
    <s v="PT12187"/>
    <s v="P01"/>
    <x v="1"/>
    <x v="5"/>
    <n v="1"/>
    <d v="2026-07-18T00:00:00"/>
    <d v="2026-07-23T00:00:00"/>
    <n v="4774.84"/>
    <n v="1884.13"/>
    <n v="1884.13"/>
    <n v="0"/>
    <s v="Paid"/>
    <s v=""/>
    <d v="2026-09-04T00:00:00"/>
    <d v="2026-09-04T00:00:00"/>
    <n v="4800"/>
    <n v="0.45"/>
    <n v="2160"/>
    <n v="275.86999999999989"/>
    <x v="1"/>
    <x v="5"/>
    <x v="1"/>
  </r>
  <r>
    <s v="CLM101664"/>
    <s v="PT12989"/>
    <s v="P01"/>
    <x v="3"/>
    <x v="7"/>
    <n v="1"/>
    <d v="2026-06-29T00:00:00"/>
    <d v="2026-07-10T00:00:00"/>
    <n v="214.06"/>
    <n v="84.95"/>
    <n v="76.45"/>
    <n v="8.5"/>
    <s v="Paid"/>
    <s v=""/>
    <d v="2026-07-28T00:00:00"/>
    <d v="2026-07-28T00:00:00"/>
    <n v="210"/>
    <n v="0.45"/>
    <n v="94.5"/>
    <n v="9.5499999999999972"/>
    <x v="1"/>
    <x v="5"/>
    <x v="11"/>
  </r>
  <r>
    <s v="CLM101665"/>
    <s v="PT12070"/>
    <s v="P07"/>
    <x v="0"/>
    <x v="0"/>
    <n v="1"/>
    <d v="2026-07-13T00:00:00"/>
    <d v="2026-07-14T00:00:00"/>
    <n v="143.09"/>
    <n v="45.75"/>
    <n v="36.6"/>
    <n v="9.15"/>
    <s v="Paid"/>
    <s v=""/>
    <d v="2026-09-05T00:00:00"/>
    <d v="2026-09-05T00:00:00"/>
    <n v="145"/>
    <n v="0.28000000000000003"/>
    <n v="40.6"/>
    <n v="-5.1499999999999986"/>
    <x v="0"/>
    <x v="3"/>
    <x v="1"/>
  </r>
  <r>
    <s v="CLM101666"/>
    <s v="PT10670"/>
    <s v="P02"/>
    <x v="3"/>
    <x v="6"/>
    <n v="1"/>
    <d v="2026-09-14T00:00:00"/>
    <d v="2026-09-19T00:00:00"/>
    <n v="423.79"/>
    <m/>
    <m/>
    <m/>
    <s v="Pending"/>
    <s v=""/>
    <m/>
    <m/>
    <n v="420"/>
    <n v="0.43"/>
    <n v="180.6"/>
    <s v=""/>
    <x v="2"/>
    <x v="6"/>
    <x v="8"/>
  </r>
  <r>
    <s v="CLM101667"/>
    <s v="PT11639"/>
    <s v="P01"/>
    <x v="2"/>
    <x v="0"/>
    <n v="1"/>
    <d v="2026-06-28T00:00:00"/>
    <d v="2026-06-30T00:00:00"/>
    <n v="144.22999999999999"/>
    <n v="73.08"/>
    <n v="58.46"/>
    <n v="14.62"/>
    <s v="Paid"/>
    <s v=""/>
    <d v="2026-07-23T00:00:00"/>
    <d v="2026-07-23T00:00:00"/>
    <n v="145"/>
    <n v="0.45"/>
    <n v="65.25"/>
    <n v="-7.8299999999999983"/>
    <x v="0"/>
    <x v="5"/>
    <x v="11"/>
  </r>
  <r>
    <s v="CLM101668"/>
    <s v="PT12577"/>
    <s v="P01"/>
    <x v="3"/>
    <x v="6"/>
    <n v="1"/>
    <d v="2026-05-28T00:00:00"/>
    <d v="2026-05-30T00:00:00"/>
    <n v="407.49"/>
    <m/>
    <m/>
    <m/>
    <s v="Denied"/>
    <s v="CO-11"/>
    <d v="2026-06-28T00:00:00"/>
    <m/>
    <n v="420"/>
    <n v="0.45"/>
    <n v="189"/>
    <s v=""/>
    <x v="2"/>
    <x v="5"/>
    <x v="7"/>
  </r>
  <r>
    <s v="CLM101669"/>
    <s v="PT12987"/>
    <s v="P07"/>
    <x v="2"/>
    <x v="9"/>
    <n v="1"/>
    <d v="2025-11-02T00:00:00"/>
    <d v="2025-11-04T00:00:00"/>
    <n v="59.49"/>
    <n v="14.25"/>
    <n v="14.25"/>
    <n v="0"/>
    <s v="Paid"/>
    <s v=""/>
    <d v="2026-01-14T00:00:00"/>
    <d v="2026-01-14T00:00:00"/>
    <n v="58"/>
    <n v="0.28000000000000003"/>
    <n v="16.239999999999998"/>
    <n v="1.9899999999999984"/>
    <x v="1"/>
    <x v="3"/>
    <x v="3"/>
  </r>
  <r>
    <s v="CLM101670"/>
    <s v="PT12349"/>
    <s v="P01"/>
    <x v="1"/>
    <x v="11"/>
    <n v="1"/>
    <d v="2026-05-26T00:00:00"/>
    <d v="2026-06-07T00:00:00"/>
    <n v="1161.22"/>
    <m/>
    <m/>
    <m/>
    <s v="Denied"/>
    <s v="CO-197"/>
    <d v="2026-07-05T00:00:00"/>
    <m/>
    <n v="1150"/>
    <n v="0.45"/>
    <n v="517.5"/>
    <s v=""/>
    <x v="2"/>
    <x v="5"/>
    <x v="7"/>
  </r>
  <r>
    <s v="CLM101671"/>
    <s v="PT12549"/>
    <s v="P05"/>
    <x v="1"/>
    <x v="7"/>
    <n v="1"/>
    <d v="2026-06-28T00:00:00"/>
    <d v="2026-07-03T00:00:00"/>
    <n v="213.86"/>
    <n v="73.260000000000005"/>
    <n v="58.61"/>
    <n v="14.65"/>
    <s v="Paid"/>
    <s v=""/>
    <d v="2026-08-31T00:00:00"/>
    <d v="2026-08-31T00:00:00"/>
    <n v="210"/>
    <n v="0.38"/>
    <n v="79.8"/>
    <n v="6.539999999999992"/>
    <x v="1"/>
    <x v="0"/>
    <x v="11"/>
  </r>
  <r>
    <s v="CLM101672"/>
    <s v="PT13211"/>
    <s v="P03"/>
    <x v="0"/>
    <x v="7"/>
    <n v="1"/>
    <d v="2026-04-19T00:00:00"/>
    <d v="2026-04-25T00:00:00"/>
    <n v="205.92"/>
    <n v="87.81"/>
    <n v="70.25"/>
    <n v="17.559999999999999"/>
    <s v="Paid"/>
    <s v=""/>
    <d v="2026-06-10T00:00:00"/>
    <d v="2026-06-10T00:00:00"/>
    <n v="210"/>
    <n v="0.47"/>
    <n v="98.7"/>
    <n v="10.89"/>
    <x v="1"/>
    <x v="4"/>
    <x v="10"/>
  </r>
  <r>
    <s v="CLM101673"/>
    <s v="PT12621"/>
    <s v="P05"/>
    <x v="1"/>
    <x v="7"/>
    <n v="1"/>
    <d v="2026-08-12T00:00:00"/>
    <d v="2026-08-21T00:00:00"/>
    <n v="208.14"/>
    <m/>
    <m/>
    <m/>
    <s v="Pending"/>
    <s v=""/>
    <m/>
    <m/>
    <n v="210"/>
    <n v="0.38"/>
    <n v="79.8"/>
    <s v=""/>
    <x v="2"/>
    <x v="0"/>
    <x v="4"/>
  </r>
  <r>
    <s v="CLM101674"/>
    <s v="PT13493"/>
    <s v="P01"/>
    <x v="3"/>
    <x v="6"/>
    <n v="1"/>
    <d v="2026-08-12T00:00:00"/>
    <d v="2026-08-15T00:00:00"/>
    <n v="412.19"/>
    <n v="156.71"/>
    <n v="141.04"/>
    <n v="15.67"/>
    <s v="Paid"/>
    <s v=""/>
    <d v="2026-09-17T00:00:00"/>
    <d v="2026-09-17T00:00:00"/>
    <n v="420"/>
    <n v="0.45"/>
    <n v="189"/>
    <n v="32.289999999999992"/>
    <x v="1"/>
    <x v="5"/>
    <x v="4"/>
  </r>
  <r>
    <s v="CLM101675"/>
    <s v="PT12257"/>
    <s v="P06"/>
    <x v="0"/>
    <x v="7"/>
    <n v="1"/>
    <d v="2026-01-24T00:00:00"/>
    <d v="2026-01-27T00:00:00"/>
    <n v="205.33"/>
    <m/>
    <m/>
    <m/>
    <s v="Denied"/>
    <s v="CO-27"/>
    <d v="2026-02-15T00:00:00"/>
    <m/>
    <n v="210"/>
    <n v="0.27"/>
    <n v="56.7"/>
    <s v=""/>
    <x v="2"/>
    <x v="2"/>
    <x v="5"/>
  </r>
  <r>
    <s v="CLM101676"/>
    <s v="PT11561"/>
    <s v="P02"/>
    <x v="1"/>
    <x v="7"/>
    <n v="1"/>
    <d v="2026-06-12T00:00:00"/>
    <d v="2026-06-13T00:00:00"/>
    <n v="213.63"/>
    <n v="81.62"/>
    <n v="81.62"/>
    <n v="0"/>
    <s v="Paid"/>
    <s v=""/>
    <d v="2026-07-27T00:00:00"/>
    <d v="2026-07-27T00:00:00"/>
    <n v="210"/>
    <n v="0.43"/>
    <n v="90.3"/>
    <n v="8.6799999999999926"/>
    <x v="1"/>
    <x v="6"/>
    <x v="11"/>
  </r>
  <r>
    <s v="CLM101677"/>
    <s v="PT12892"/>
    <s v="P03"/>
    <x v="1"/>
    <x v="8"/>
    <n v="1"/>
    <d v="2025-12-19T00:00:00"/>
    <d v="2025-12-21T00:00:00"/>
    <n v="258.38"/>
    <n v="134.38"/>
    <n v="134.38"/>
    <n v="0"/>
    <s v="Paid"/>
    <s v=""/>
    <d v="2026-01-08T00:00:00"/>
    <d v="2026-01-08T00:00:00"/>
    <n v="260"/>
    <n v="0.47"/>
    <n v="122.2"/>
    <n v="-12.179999999999993"/>
    <x v="0"/>
    <x v="4"/>
    <x v="6"/>
  </r>
  <r>
    <s v="CLM101678"/>
    <s v="PT11959"/>
    <s v="P03"/>
    <x v="1"/>
    <x v="5"/>
    <n v="1"/>
    <d v="2026-08-19T00:00:00"/>
    <d v="2026-08-24T00:00:00"/>
    <n v="4781.21"/>
    <m/>
    <m/>
    <m/>
    <s v="Denied"/>
    <s v="CO-11"/>
    <d v="2026-09-28T00:00:00"/>
    <m/>
    <n v="4800"/>
    <n v="0.47"/>
    <n v="2256"/>
    <s v=""/>
    <x v="2"/>
    <x v="4"/>
    <x v="4"/>
  </r>
  <r>
    <s v="CLM101679"/>
    <s v="PT12599"/>
    <s v="P01"/>
    <x v="0"/>
    <x v="8"/>
    <n v="1"/>
    <d v="2026-01-16T00:00:00"/>
    <d v="2026-01-30T00:00:00"/>
    <n v="267.48"/>
    <n v="138.43"/>
    <n v="138.43"/>
    <n v="0"/>
    <s v="Paid"/>
    <s v=""/>
    <d v="2026-03-02T00:00:00"/>
    <d v="2026-03-02T00:00:00"/>
    <n v="260"/>
    <n v="0.45"/>
    <n v="117"/>
    <n v="-21.430000000000007"/>
    <x v="0"/>
    <x v="5"/>
    <x v="5"/>
  </r>
  <r>
    <s v="CLM101680"/>
    <s v="PT10731"/>
    <s v="P02"/>
    <x v="1"/>
    <x v="1"/>
    <n v="1"/>
    <d v="2025-12-18T00:00:00"/>
    <d v="2026-01-06T00:00:00"/>
    <n v="237.78"/>
    <n v="103.74"/>
    <n v="103.74"/>
    <n v="0"/>
    <s v="Paid"/>
    <s v=""/>
    <d v="2026-02-11T00:00:00"/>
    <d v="2026-02-11T00:00:00"/>
    <n v="240"/>
    <n v="0.43"/>
    <n v="103.2"/>
    <n v="-0.53999999999999204"/>
    <x v="0"/>
    <x v="6"/>
    <x v="6"/>
  </r>
  <r>
    <s v="CLM101681"/>
    <s v="PT10992"/>
    <s v="P02"/>
    <x v="3"/>
    <x v="6"/>
    <n v="1"/>
    <d v="2026-04-12T00:00:00"/>
    <d v="2026-04-21T00:00:00"/>
    <n v="412.01"/>
    <n v="167.23"/>
    <n v="133.78"/>
    <n v="33.450000000000003"/>
    <s v="Paid"/>
    <s v=""/>
    <d v="2026-05-20T00:00:00"/>
    <d v="2026-05-20T00:00:00"/>
    <n v="420"/>
    <n v="0.43"/>
    <n v="180.6"/>
    <n v="13.370000000000005"/>
    <x v="1"/>
    <x v="6"/>
    <x v="10"/>
  </r>
  <r>
    <s v="CLM101682"/>
    <s v="PT13248"/>
    <s v="P06"/>
    <x v="2"/>
    <x v="0"/>
    <n v="1"/>
    <d v="2026-06-03T00:00:00"/>
    <d v="2026-06-05T00:00:00"/>
    <n v="148.16999999999999"/>
    <m/>
    <m/>
    <m/>
    <s v="Denied"/>
    <s v="CO-16"/>
    <d v="2026-07-17T00:00:00"/>
    <m/>
    <n v="145"/>
    <n v="0.27"/>
    <n v="39.15"/>
    <s v=""/>
    <x v="2"/>
    <x v="2"/>
    <x v="11"/>
  </r>
  <r>
    <s v="CLM101683"/>
    <s v="PT10234"/>
    <s v="P07"/>
    <x v="1"/>
    <x v="1"/>
    <n v="1"/>
    <d v="2025-12-02T00:00:00"/>
    <d v="2025-12-04T00:00:00"/>
    <n v="242.21"/>
    <m/>
    <m/>
    <m/>
    <s v="Denied"/>
    <s v="CO-4"/>
    <d v="2026-01-20T00:00:00"/>
    <m/>
    <n v="240"/>
    <n v="0.28000000000000003"/>
    <n v="67.2"/>
    <s v=""/>
    <x v="2"/>
    <x v="3"/>
    <x v="6"/>
  </r>
  <r>
    <s v="CLM101684"/>
    <s v="PT13273"/>
    <s v="P02"/>
    <x v="0"/>
    <x v="8"/>
    <n v="1"/>
    <d v="2026-03-10T00:00:00"/>
    <d v="2026-03-17T00:00:00"/>
    <n v="263.60000000000002"/>
    <m/>
    <m/>
    <m/>
    <s v="Denied"/>
    <s v="CO-16"/>
    <d v="2026-04-24T00:00:00"/>
    <m/>
    <n v="260"/>
    <n v="0.43"/>
    <n v="111.8"/>
    <s v=""/>
    <x v="2"/>
    <x v="6"/>
    <x v="2"/>
  </r>
  <r>
    <s v="CLM101685"/>
    <s v="PT10866"/>
    <s v="P04"/>
    <x v="1"/>
    <x v="8"/>
    <n v="1"/>
    <d v="2026-09-10T00:00:00"/>
    <d v="2026-09-13T00:00:00"/>
    <n v="257.54000000000002"/>
    <m/>
    <m/>
    <m/>
    <s v="Denied"/>
    <s v="CO-50"/>
    <d v="2026-09-29T00:00:00"/>
    <m/>
    <n v="260"/>
    <n v="0.36"/>
    <n v="93.6"/>
    <s v=""/>
    <x v="2"/>
    <x v="1"/>
    <x v="8"/>
  </r>
  <r>
    <s v="CLM101686"/>
    <s v="PT11780"/>
    <s v="P02"/>
    <x v="0"/>
    <x v="4"/>
    <n v="1"/>
    <d v="2026-01-03T00:00:00"/>
    <d v="2026-01-10T00:00:00"/>
    <n v="37"/>
    <n v="13.45"/>
    <n v="13.45"/>
    <n v="0"/>
    <s v="Paid"/>
    <s v=""/>
    <d v="2026-01-29T00:00:00"/>
    <d v="2026-01-29T00:00:00"/>
    <n v="38"/>
    <n v="0.43"/>
    <n v="16.34"/>
    <n v="2.8900000000000006"/>
    <x v="1"/>
    <x v="6"/>
    <x v="5"/>
  </r>
  <r>
    <s v="CLM101687"/>
    <s v="PT13079"/>
    <s v="P01"/>
    <x v="2"/>
    <x v="0"/>
    <n v="1"/>
    <d v="2026-08-15T00:00:00"/>
    <d v="2026-08-18T00:00:00"/>
    <n v="148.19"/>
    <n v="59.42"/>
    <n v="59.42"/>
    <n v="0"/>
    <s v="Paid"/>
    <s v=""/>
    <d v="2026-09-20T00:00:00"/>
    <d v="2026-09-20T00:00:00"/>
    <n v="145"/>
    <n v="0.45"/>
    <n v="65.25"/>
    <n v="5.8299999999999983"/>
    <x v="1"/>
    <x v="5"/>
    <x v="4"/>
  </r>
  <r>
    <s v="CLM101688"/>
    <s v="PT10303"/>
    <s v="P02"/>
    <x v="3"/>
    <x v="7"/>
    <n v="1"/>
    <d v="2026-06-30T00:00:00"/>
    <d v="2026-07-03T00:00:00"/>
    <n v="210.84"/>
    <m/>
    <m/>
    <m/>
    <s v="Denied"/>
    <s v="CO-50"/>
    <d v="2026-08-06T00:00:00"/>
    <m/>
    <n v="210"/>
    <n v="0.43"/>
    <n v="90.3"/>
    <s v=""/>
    <x v="2"/>
    <x v="6"/>
    <x v="11"/>
  </r>
  <r>
    <s v="CLM101689"/>
    <s v="PT12657"/>
    <s v="P04"/>
    <x v="1"/>
    <x v="5"/>
    <n v="1"/>
    <d v="2026-01-03T00:00:00"/>
    <d v="2026-01-08T00:00:00"/>
    <n v="4693.97"/>
    <n v="1441.85"/>
    <n v="1153.48"/>
    <n v="288.37"/>
    <s v="Paid"/>
    <s v=""/>
    <d v="2026-02-03T00:00:00"/>
    <d v="2026-02-03T00:00:00"/>
    <n v="4800"/>
    <n v="0.36"/>
    <n v="1728"/>
    <n v="286.15000000000009"/>
    <x v="1"/>
    <x v="1"/>
    <x v="5"/>
  </r>
  <r>
    <s v="CLM101690"/>
    <s v="PT10831"/>
    <s v="P01"/>
    <x v="0"/>
    <x v="8"/>
    <n v="1"/>
    <d v="2026-08-23T00:00:00"/>
    <d v="2026-09-04T00:00:00"/>
    <n v="266.8"/>
    <n v="135"/>
    <n v="121.5"/>
    <n v="13.5"/>
    <s v="Paid"/>
    <s v=""/>
    <d v="2026-09-28T00:00:00"/>
    <d v="2026-09-28T00:00:00"/>
    <n v="260"/>
    <n v="0.45"/>
    <n v="117"/>
    <n v="-18"/>
    <x v="0"/>
    <x v="5"/>
    <x v="4"/>
  </r>
  <r>
    <s v="CLM101691"/>
    <s v="PT10955"/>
    <s v="P04"/>
    <x v="1"/>
    <x v="8"/>
    <n v="1"/>
    <d v="2026-04-14T00:00:00"/>
    <d v="2026-04-15T00:00:00"/>
    <n v="257.33"/>
    <n v="97.6"/>
    <n v="97.6"/>
    <n v="0"/>
    <s v="Paid"/>
    <s v=""/>
    <d v="2026-05-04T00:00:00"/>
    <d v="2026-05-04T00:00:00"/>
    <n v="260"/>
    <n v="0.36"/>
    <n v="93.6"/>
    <n v="-4"/>
    <x v="0"/>
    <x v="1"/>
    <x v="10"/>
  </r>
  <r>
    <s v="CLM101692"/>
    <s v="PT11115"/>
    <s v="P01"/>
    <x v="1"/>
    <x v="8"/>
    <n v="1"/>
    <d v="2026-07-28T00:00:00"/>
    <d v="2026-08-05T00:00:00"/>
    <n v="253.28"/>
    <n v="113.49"/>
    <n v="90.79"/>
    <n v="22.7"/>
    <s v="Paid"/>
    <s v=""/>
    <d v="2026-08-21T00:00:00"/>
    <d v="2026-08-21T00:00:00"/>
    <n v="260"/>
    <n v="0.45"/>
    <n v="117"/>
    <n v="3.5100000000000051"/>
    <x v="0"/>
    <x v="5"/>
    <x v="1"/>
  </r>
  <r>
    <s v="CLM101693"/>
    <s v="PT13123"/>
    <s v="P04"/>
    <x v="2"/>
    <x v="0"/>
    <n v="1"/>
    <d v="2026-02-23T00:00:00"/>
    <d v="2026-06-24T00:00:00"/>
    <n v="144.83000000000001"/>
    <m/>
    <m/>
    <m/>
    <s v="Denied"/>
    <s v="CO-29"/>
    <d v="2026-07-09T00:00:00"/>
    <m/>
    <n v="145"/>
    <n v="0.36"/>
    <n v="52.2"/>
    <s v=""/>
    <x v="2"/>
    <x v="1"/>
    <x v="0"/>
  </r>
  <r>
    <s v="CLM101694"/>
    <s v="PT11579"/>
    <s v="P02"/>
    <x v="0"/>
    <x v="4"/>
    <n v="1"/>
    <d v="2026-05-18T00:00:00"/>
    <d v="2026-05-29T00:00:00"/>
    <n v="38.21"/>
    <n v="14.25"/>
    <n v="14.25"/>
    <n v="0"/>
    <s v="Paid"/>
    <s v=""/>
    <d v="2026-07-11T00:00:00"/>
    <d v="2026-07-11T00:00:00"/>
    <n v="38"/>
    <n v="0.43"/>
    <n v="16.34"/>
    <n v="2.09"/>
    <x v="1"/>
    <x v="6"/>
    <x v="7"/>
  </r>
  <r>
    <s v="CLM101695"/>
    <s v="PT11115"/>
    <s v="P05"/>
    <x v="2"/>
    <x v="9"/>
    <n v="1"/>
    <d v="2025-10-18T00:00:00"/>
    <d v="2025-10-19T00:00:00"/>
    <n v="59.25"/>
    <n v="24.07"/>
    <n v="19.260000000000002"/>
    <n v="4.8099999999999996"/>
    <s v="Paid"/>
    <s v=""/>
    <d v="2025-12-05T00:00:00"/>
    <d v="2025-12-05T00:00:00"/>
    <n v="58"/>
    <n v="0.38"/>
    <n v="22.04"/>
    <n v="-2.0300000000000011"/>
    <x v="0"/>
    <x v="0"/>
    <x v="9"/>
  </r>
  <r>
    <s v="CLM101696"/>
    <s v="PT12331"/>
    <s v="P08"/>
    <x v="0"/>
    <x v="7"/>
    <n v="1"/>
    <d v="2026-05-14T00:00:00"/>
    <d v="2026-05-23T00:00:00"/>
    <n v="204.7"/>
    <m/>
    <m/>
    <m/>
    <s v="Pending"/>
    <s v=""/>
    <m/>
    <m/>
    <n v="210"/>
    <n v="1"/>
    <n v="210"/>
    <s v=""/>
    <x v="2"/>
    <x v="7"/>
    <x v="7"/>
  </r>
  <r>
    <s v="CLM101697"/>
    <s v="PT10845"/>
    <s v="P02"/>
    <x v="3"/>
    <x v="3"/>
    <n v="20"/>
    <d v="2025-10-26T00:00:00"/>
    <d v="2025-11-01T00:00:00"/>
    <n v="29162.799999999999"/>
    <m/>
    <m/>
    <m/>
    <s v="Denied"/>
    <s v="CO-197"/>
    <d v="2025-12-08T00:00:00"/>
    <m/>
    <n v="1450"/>
    <n v="0.43"/>
    <n v="12470"/>
    <s v=""/>
    <x v="2"/>
    <x v="6"/>
    <x v="9"/>
  </r>
  <r>
    <s v="CLM101698"/>
    <s v="PT13087"/>
    <s v="P04"/>
    <x v="0"/>
    <x v="8"/>
    <n v="1"/>
    <d v="2026-03-28T00:00:00"/>
    <d v="2026-03-31T00:00:00"/>
    <n v="266.58999999999997"/>
    <n v="89.96"/>
    <n v="80.959999999999994"/>
    <n v="9"/>
    <s v="Paid"/>
    <s v=""/>
    <d v="2026-04-22T00:00:00"/>
    <d v="2026-04-22T00:00:00"/>
    <n v="260"/>
    <n v="0.36"/>
    <n v="93.6"/>
    <n v="3.6400000000000006"/>
    <x v="0"/>
    <x v="1"/>
    <x v="2"/>
  </r>
  <r>
    <s v="CLM101699"/>
    <s v="PT13084"/>
    <s v="P05"/>
    <x v="1"/>
    <x v="11"/>
    <n v="1"/>
    <d v="2026-03-07T00:00:00"/>
    <d v="2026-03-14T00:00:00"/>
    <n v="1164.42"/>
    <n v="418.42"/>
    <n v="418.42"/>
    <n v="0"/>
    <s v="Paid"/>
    <s v=""/>
    <d v="2026-05-19T00:00:00"/>
    <d v="2026-05-19T00:00:00"/>
    <n v="1150"/>
    <n v="0.38"/>
    <n v="437"/>
    <n v="18.579999999999984"/>
    <x v="0"/>
    <x v="0"/>
    <x v="2"/>
  </r>
  <r>
    <s v="CLM101700"/>
    <s v="PT12153"/>
    <s v="P02"/>
    <x v="0"/>
    <x v="8"/>
    <n v="1"/>
    <d v="2026-05-19T00:00:00"/>
    <d v="2026-05-23T00:00:00"/>
    <n v="256.64999999999998"/>
    <n v="106.64"/>
    <n v="106.64"/>
    <n v="0"/>
    <s v="Paid"/>
    <s v=""/>
    <d v="2026-07-02T00:00:00"/>
    <d v="2026-07-02T00:00:00"/>
    <n v="260"/>
    <n v="0.43"/>
    <n v="111.8"/>
    <n v="5.1599999999999966"/>
    <x v="0"/>
    <x v="6"/>
    <x v="7"/>
  </r>
  <r>
    <s v="CLM101701"/>
    <s v="PT12357"/>
    <s v="P05"/>
    <x v="3"/>
    <x v="7"/>
    <n v="1"/>
    <d v="2025-12-27T00:00:00"/>
    <d v="2025-12-28T00:00:00"/>
    <n v="205.54"/>
    <n v="76.67"/>
    <n v="76.67"/>
    <n v="0"/>
    <s v="Paid"/>
    <s v=""/>
    <d v="2026-02-03T00:00:00"/>
    <d v="2026-02-03T00:00:00"/>
    <n v="210"/>
    <n v="0.38"/>
    <n v="79.8"/>
    <n v="3.1299999999999955"/>
    <x v="0"/>
    <x v="0"/>
    <x v="6"/>
  </r>
  <r>
    <s v="CLM101702"/>
    <s v="PT13113"/>
    <s v="P04"/>
    <x v="3"/>
    <x v="7"/>
    <n v="1"/>
    <d v="2026-06-25T00:00:00"/>
    <d v="2026-07-06T00:00:00"/>
    <n v="211.04"/>
    <n v="67.88"/>
    <n v="67.88"/>
    <n v="0"/>
    <s v="Paid"/>
    <s v=""/>
    <d v="2026-07-20T00:00:00"/>
    <d v="2026-07-20T00:00:00"/>
    <n v="210"/>
    <n v="0.36"/>
    <n v="75.599999999999994"/>
    <n v="7.7199999999999989"/>
    <x v="1"/>
    <x v="1"/>
    <x v="11"/>
  </r>
  <r>
    <s v="CLM101703"/>
    <s v="PT12581"/>
    <s v="P01"/>
    <x v="0"/>
    <x v="7"/>
    <n v="1"/>
    <d v="2025-12-28T00:00:00"/>
    <d v="2025-12-31T00:00:00"/>
    <n v="205.15"/>
    <m/>
    <m/>
    <m/>
    <s v="Denied"/>
    <s v="CO-27"/>
    <d v="2026-01-22T00:00:00"/>
    <m/>
    <n v="210"/>
    <n v="0.45"/>
    <n v="94.5"/>
    <s v=""/>
    <x v="2"/>
    <x v="5"/>
    <x v="6"/>
  </r>
  <r>
    <s v="CLM101704"/>
    <s v="PT12321"/>
    <s v="P03"/>
    <x v="0"/>
    <x v="8"/>
    <n v="1"/>
    <d v="2026-07-27T00:00:00"/>
    <d v="2026-08-03T00:00:00"/>
    <n v="254.26"/>
    <m/>
    <m/>
    <m/>
    <s v="Denied"/>
    <s v="CO-16"/>
    <d v="2026-09-15T00:00:00"/>
    <m/>
    <n v="260"/>
    <n v="0.47"/>
    <n v="122.2"/>
    <s v=""/>
    <x v="2"/>
    <x v="4"/>
    <x v="1"/>
  </r>
  <r>
    <s v="CLM101705"/>
    <s v="PT10835"/>
    <s v="P01"/>
    <x v="0"/>
    <x v="0"/>
    <n v="1"/>
    <d v="2026-08-09T00:00:00"/>
    <d v="2026-08-10T00:00:00"/>
    <n v="142.59"/>
    <m/>
    <m/>
    <m/>
    <s v="Denied"/>
    <s v="CO-18"/>
    <d v="2026-09-18T00:00:00"/>
    <m/>
    <n v="145"/>
    <n v="0.45"/>
    <n v="65.25"/>
    <s v=""/>
    <x v="2"/>
    <x v="5"/>
    <x v="4"/>
  </r>
  <r>
    <s v="CLM101706"/>
    <s v="PT10009"/>
    <s v="P07"/>
    <x v="0"/>
    <x v="4"/>
    <n v="1"/>
    <d v="2026-06-28T00:00:00"/>
    <d v="2026-06-30T00:00:00"/>
    <n v="38.47"/>
    <n v="10.19"/>
    <n v="8.15"/>
    <n v="2.04"/>
    <s v="Paid"/>
    <s v=""/>
    <d v="2026-09-18T00:00:00"/>
    <d v="2026-09-18T00:00:00"/>
    <n v="38"/>
    <n v="0.28000000000000003"/>
    <n v="10.64"/>
    <n v="0.45000000000000107"/>
    <x v="0"/>
    <x v="3"/>
    <x v="11"/>
  </r>
  <r>
    <s v="CLM101707"/>
    <s v="PT11062"/>
    <s v="P08"/>
    <x v="0"/>
    <x v="4"/>
    <n v="1"/>
    <d v="2025-11-10T00:00:00"/>
    <d v="2025-11-14T00:00:00"/>
    <n v="38.96"/>
    <m/>
    <m/>
    <m/>
    <s v="Pending"/>
    <s v=""/>
    <m/>
    <m/>
    <n v="38"/>
    <n v="1"/>
    <n v="38"/>
    <s v=""/>
    <x v="2"/>
    <x v="7"/>
    <x v="3"/>
  </r>
  <r>
    <s v="CLM101708"/>
    <s v="PT11214"/>
    <s v="P02"/>
    <x v="3"/>
    <x v="6"/>
    <n v="1"/>
    <d v="2025-11-13T00:00:00"/>
    <d v="2025-11-24T00:00:00"/>
    <n v="409.23"/>
    <n v="150.35"/>
    <n v="150.35"/>
    <n v="0"/>
    <s v="Paid"/>
    <s v=""/>
    <d v="2026-01-04T00:00:00"/>
    <d v="2026-01-04T00:00:00"/>
    <n v="420"/>
    <n v="0.43"/>
    <n v="180.6"/>
    <n v="30.25"/>
    <x v="1"/>
    <x v="6"/>
    <x v="3"/>
  </r>
  <r>
    <s v="CLM101709"/>
    <s v="PT10076"/>
    <s v="P06"/>
    <x v="2"/>
    <x v="2"/>
    <n v="4"/>
    <d v="2025-12-20T00:00:00"/>
    <d v="2025-12-21T00:00:00"/>
    <n v="251.58"/>
    <n v="63.55"/>
    <n v="63.55"/>
    <n v="0"/>
    <s v="Paid"/>
    <s v=""/>
    <d v="2026-01-29T00:00:00"/>
    <d v="2026-01-29T00:00:00"/>
    <n v="62"/>
    <n v="0.27"/>
    <n v="66.959999999999994"/>
    <n v="3.4099999999999966"/>
    <x v="1"/>
    <x v="2"/>
    <x v="6"/>
  </r>
  <r>
    <s v="CLM101710"/>
    <s v="PT10133"/>
    <s v="P03"/>
    <x v="1"/>
    <x v="4"/>
    <n v="1"/>
    <d v="2026-07-24T00:00:00"/>
    <d v="2026-07-30T00:00:00"/>
    <n v="37.81"/>
    <n v="18.739999999999998"/>
    <n v="18.739999999999998"/>
    <n v="0"/>
    <s v="Paid"/>
    <s v=""/>
    <d v="2026-09-22T00:00:00"/>
    <d v="2026-09-22T00:00:00"/>
    <n v="38"/>
    <n v="0.47"/>
    <n v="17.86"/>
    <n v="-0.87999999999999901"/>
    <x v="0"/>
    <x v="4"/>
    <x v="1"/>
  </r>
  <r>
    <s v="CLM101711"/>
    <s v="PT12648"/>
    <s v="P05"/>
    <x v="0"/>
    <x v="8"/>
    <n v="1"/>
    <d v="2025-12-12T00:00:00"/>
    <d v="2025-12-14T00:00:00"/>
    <n v="261.08"/>
    <n v="114.13"/>
    <n v="114.13"/>
    <n v="0"/>
    <s v="Paid"/>
    <s v=""/>
    <d v="2026-02-20T00:00:00"/>
    <d v="2026-02-20T00:00:00"/>
    <n v="260"/>
    <n v="0.38"/>
    <n v="98.8"/>
    <n v="-15.329999999999998"/>
    <x v="0"/>
    <x v="0"/>
    <x v="6"/>
  </r>
  <r>
    <s v="CLM101712"/>
    <s v="PT10239"/>
    <s v="P03"/>
    <x v="3"/>
    <x v="6"/>
    <n v="1"/>
    <d v="2026-02-24T00:00:00"/>
    <d v="2026-02-26T00:00:00"/>
    <n v="409.02"/>
    <n v="181.36"/>
    <n v="163.22"/>
    <n v="18.14"/>
    <s v="Paid"/>
    <s v=""/>
    <d v="2026-05-02T00:00:00"/>
    <d v="2026-05-02T00:00:00"/>
    <n v="420"/>
    <n v="0.47"/>
    <n v="197.4"/>
    <n v="16.039999999999992"/>
    <x v="1"/>
    <x v="4"/>
    <x v="0"/>
  </r>
  <r>
    <s v="CLM101713"/>
    <s v="PT11836"/>
    <s v="P06"/>
    <x v="1"/>
    <x v="1"/>
    <n v="1"/>
    <d v="2026-04-06T00:00:00"/>
    <d v="2026-04-07T00:00:00"/>
    <n v="246.44"/>
    <n v="68.81"/>
    <n v="68.81"/>
    <n v="0"/>
    <s v="Paid"/>
    <s v=""/>
    <d v="2026-05-14T00:00:00"/>
    <d v="2026-05-14T00:00:00"/>
    <n v="240"/>
    <n v="0.27"/>
    <n v="64.8"/>
    <n v="-4.0100000000000051"/>
    <x v="0"/>
    <x v="2"/>
    <x v="10"/>
  </r>
  <r>
    <s v="CLM101714"/>
    <s v="PT10038"/>
    <s v="P07"/>
    <x v="3"/>
    <x v="7"/>
    <n v="1"/>
    <d v="2025-12-21T00:00:00"/>
    <d v="2025-12-22T00:00:00"/>
    <n v="206.21"/>
    <n v="59.75"/>
    <n v="59.75"/>
    <n v="0"/>
    <s v="Paid"/>
    <s v=""/>
    <d v="2026-03-10T00:00:00"/>
    <d v="2026-03-10T00:00:00"/>
    <n v="210"/>
    <n v="0.28000000000000003"/>
    <n v="58.8"/>
    <n v="-0.95000000000000284"/>
    <x v="0"/>
    <x v="3"/>
    <x v="6"/>
  </r>
  <r>
    <s v="CLM101715"/>
    <s v="PT11806"/>
    <s v="P02"/>
    <x v="1"/>
    <x v="7"/>
    <n v="1"/>
    <d v="2026-07-21T00:00:00"/>
    <d v="2026-07-22T00:00:00"/>
    <n v="216.19"/>
    <n v="84.65"/>
    <n v="67.72"/>
    <n v="16.93"/>
    <s v="Paid"/>
    <s v=""/>
    <d v="2026-08-24T00:00:00"/>
    <d v="2026-08-24T00:00:00"/>
    <n v="210"/>
    <n v="0.43"/>
    <n v="90.3"/>
    <n v="5.6499999999999915"/>
    <x v="1"/>
    <x v="6"/>
    <x v="1"/>
  </r>
  <r>
    <s v="CLM101716"/>
    <s v="PT10581"/>
    <s v="P01"/>
    <x v="1"/>
    <x v="4"/>
    <n v="1"/>
    <d v="2026-05-08T00:00:00"/>
    <d v="2026-05-10T00:00:00"/>
    <n v="38.65"/>
    <n v="17.05"/>
    <n v="13.64"/>
    <n v="3.41"/>
    <s v="Paid"/>
    <s v=""/>
    <d v="2026-06-13T00:00:00"/>
    <d v="2026-06-13T00:00:00"/>
    <n v="38"/>
    <n v="0.45"/>
    <n v="17.100000000000001"/>
    <n v="5.0000000000000711E-2"/>
    <x v="0"/>
    <x v="5"/>
    <x v="7"/>
  </r>
  <r>
    <s v="CLM101717"/>
    <s v="PT10945"/>
    <s v="P04"/>
    <x v="3"/>
    <x v="7"/>
    <n v="1"/>
    <d v="2026-03-11T00:00:00"/>
    <d v="2026-03-17T00:00:00"/>
    <n v="206.84"/>
    <n v="77.75"/>
    <n v="77.75"/>
    <n v="0"/>
    <s v="Paid"/>
    <s v=""/>
    <d v="2026-04-04T00:00:00"/>
    <d v="2026-04-04T00:00:00"/>
    <n v="210"/>
    <n v="0.36"/>
    <n v="75.599999999999994"/>
    <n v="-2.1500000000000057"/>
    <x v="0"/>
    <x v="1"/>
    <x v="2"/>
  </r>
  <r>
    <s v="CLM101718"/>
    <s v="PT10191"/>
    <s v="P05"/>
    <x v="3"/>
    <x v="7"/>
    <n v="1"/>
    <d v="2026-06-07T00:00:00"/>
    <d v="2026-06-08T00:00:00"/>
    <n v="205.85"/>
    <n v="88.97"/>
    <n v="88.97"/>
    <n v="0"/>
    <s v="Paid"/>
    <s v=""/>
    <d v="2026-08-05T00:00:00"/>
    <d v="2026-08-05T00:00:00"/>
    <n v="210"/>
    <n v="0.38"/>
    <n v="79.8"/>
    <n v="-9.1700000000000017"/>
    <x v="0"/>
    <x v="0"/>
    <x v="11"/>
  </r>
  <r>
    <s v="CLM101719"/>
    <s v="PT12711"/>
    <s v="P03"/>
    <x v="1"/>
    <x v="11"/>
    <n v="1"/>
    <d v="2026-07-25T00:00:00"/>
    <d v="2026-08-01T00:00:00"/>
    <n v="1171.3599999999999"/>
    <n v="470.19"/>
    <n v="470.19"/>
    <n v="0"/>
    <s v="Paid"/>
    <s v=""/>
    <d v="2026-09-07T00:00:00"/>
    <d v="2026-09-07T00:00:00"/>
    <n v="1150"/>
    <n v="0.47"/>
    <n v="540.5"/>
    <n v="70.31"/>
    <x v="1"/>
    <x v="4"/>
    <x v="1"/>
  </r>
  <r>
    <s v="CLM101720"/>
    <s v="PT12705"/>
    <s v="P01"/>
    <x v="3"/>
    <x v="6"/>
    <n v="1"/>
    <d v="2026-04-10T00:00:00"/>
    <d v="2026-04-17T00:00:00"/>
    <n v="408.87"/>
    <n v="207.82"/>
    <n v="187.04"/>
    <n v="20.78"/>
    <s v="Paid"/>
    <s v=""/>
    <d v="2026-05-16T00:00:00"/>
    <d v="2026-05-16T00:00:00"/>
    <n v="420"/>
    <n v="0.45"/>
    <n v="189"/>
    <n v="-18.819999999999993"/>
    <x v="0"/>
    <x v="5"/>
    <x v="10"/>
  </r>
  <r>
    <s v="CLM101721"/>
    <s v="PT11080"/>
    <s v="P05"/>
    <x v="2"/>
    <x v="9"/>
    <n v="2"/>
    <d v="2025-11-22T00:00:00"/>
    <d v="2025-11-27T00:00:00"/>
    <n v="116.99"/>
    <n v="39.26"/>
    <n v="39.26"/>
    <n v="0"/>
    <s v="Paid"/>
    <s v=""/>
    <d v="2026-01-22T00:00:00"/>
    <d v="2026-01-22T00:00:00"/>
    <n v="58"/>
    <n v="0.38"/>
    <n v="44.08"/>
    <n v="4.82"/>
    <x v="1"/>
    <x v="0"/>
    <x v="3"/>
  </r>
  <r>
    <s v="CLM101722"/>
    <s v="PT11390"/>
    <s v="P04"/>
    <x v="1"/>
    <x v="11"/>
    <n v="1"/>
    <d v="2026-01-25T00:00:00"/>
    <d v="2026-02-05T00:00:00"/>
    <n v="1152.54"/>
    <m/>
    <m/>
    <m/>
    <s v="Denied"/>
    <s v="CO-16"/>
    <d v="2026-02-15T00:00:00"/>
    <m/>
    <n v="1150"/>
    <n v="0.36"/>
    <n v="414"/>
    <s v=""/>
    <x v="2"/>
    <x v="1"/>
    <x v="5"/>
  </r>
  <r>
    <s v="CLM101723"/>
    <s v="PT11020"/>
    <s v="P06"/>
    <x v="2"/>
    <x v="0"/>
    <n v="1"/>
    <d v="2026-03-25T00:00:00"/>
    <d v="2026-03-31T00:00:00"/>
    <n v="144"/>
    <n v="38.97"/>
    <n v="31.18"/>
    <n v="7.79"/>
    <s v="Paid"/>
    <s v=""/>
    <d v="2026-05-08T00:00:00"/>
    <d v="2026-05-08T00:00:00"/>
    <n v="145"/>
    <n v="0.27"/>
    <n v="39.15"/>
    <n v="0.17999999999999972"/>
    <x v="0"/>
    <x v="2"/>
    <x v="2"/>
  </r>
  <r>
    <s v="CLM101724"/>
    <s v="PT12174"/>
    <s v="P04"/>
    <x v="0"/>
    <x v="4"/>
    <n v="1"/>
    <d v="2025-11-09T00:00:00"/>
    <d v="2025-11-10T00:00:00"/>
    <n v="38.67"/>
    <n v="16"/>
    <n v="16"/>
    <n v="0"/>
    <s v="Paid"/>
    <s v=""/>
    <d v="2025-11-15T00:00:00"/>
    <d v="2025-11-15T00:00:00"/>
    <n v="38"/>
    <n v="0.36"/>
    <n v="13.68"/>
    <n v="-2.3200000000000003"/>
    <x v="0"/>
    <x v="1"/>
    <x v="3"/>
  </r>
  <r>
    <s v="CLM101725"/>
    <s v="PT11861"/>
    <s v="P01"/>
    <x v="0"/>
    <x v="0"/>
    <n v="1"/>
    <d v="2026-03-27T00:00:00"/>
    <d v="2026-03-31T00:00:00"/>
    <n v="149.19999999999999"/>
    <n v="72.209999999999994"/>
    <n v="72.209999999999994"/>
    <n v="0"/>
    <s v="Paid"/>
    <s v=""/>
    <d v="2026-05-15T00:00:00"/>
    <d v="2026-05-15T00:00:00"/>
    <n v="145"/>
    <n v="0.45"/>
    <n v="65.25"/>
    <n v="-6.9599999999999937"/>
    <x v="0"/>
    <x v="5"/>
    <x v="2"/>
  </r>
  <r>
    <s v="CLM101726"/>
    <s v="PT12844"/>
    <s v="P02"/>
    <x v="2"/>
    <x v="9"/>
    <n v="4"/>
    <d v="2025-10-19T00:00:00"/>
    <d v="2025-10-23T00:00:00"/>
    <n v="238.02"/>
    <n v="105.53"/>
    <n v="94.98"/>
    <n v="10.55"/>
    <s v="Paid"/>
    <s v=""/>
    <d v="2025-11-30T00:00:00"/>
    <d v="2025-11-30T00:00:00"/>
    <n v="58"/>
    <n v="0.43"/>
    <n v="99.76"/>
    <n v="-5.769999999999996"/>
    <x v="0"/>
    <x v="6"/>
    <x v="9"/>
  </r>
  <r>
    <s v="CLM101727"/>
    <s v="PT11861"/>
    <s v="P05"/>
    <x v="0"/>
    <x v="8"/>
    <n v="1"/>
    <d v="2025-11-26T00:00:00"/>
    <d v="2025-11-27T00:00:00"/>
    <n v="259.91000000000003"/>
    <m/>
    <m/>
    <m/>
    <s v="Denied"/>
    <s v="CO-27"/>
    <d v="2026-01-17T00:00:00"/>
    <m/>
    <n v="260"/>
    <n v="0.38"/>
    <n v="98.8"/>
    <s v=""/>
    <x v="2"/>
    <x v="0"/>
    <x v="3"/>
  </r>
  <r>
    <s v="CLM101728"/>
    <s v="PT13481"/>
    <s v="P02"/>
    <x v="1"/>
    <x v="8"/>
    <n v="1"/>
    <d v="2026-04-11T00:00:00"/>
    <d v="2026-04-16T00:00:00"/>
    <n v="262.79000000000002"/>
    <n v="125.59"/>
    <n v="100.47"/>
    <n v="25.12"/>
    <s v="Paid"/>
    <s v=""/>
    <d v="2026-05-24T00:00:00"/>
    <d v="2026-05-24T00:00:00"/>
    <n v="260"/>
    <n v="0.43"/>
    <n v="111.8"/>
    <n v="-13.790000000000006"/>
    <x v="0"/>
    <x v="6"/>
    <x v="10"/>
  </r>
  <r>
    <s v="CLM101729"/>
    <s v="PT12083"/>
    <s v="P05"/>
    <x v="2"/>
    <x v="2"/>
    <n v="4"/>
    <d v="2025-10-01T00:00:00"/>
    <d v="2025-10-02T00:00:00"/>
    <n v="248.59"/>
    <n v="93.39"/>
    <n v="74.709999999999994"/>
    <n v="18.68"/>
    <s v="Paid"/>
    <s v=""/>
    <d v="2025-11-25T00:00:00"/>
    <d v="2025-11-25T00:00:00"/>
    <n v="62"/>
    <n v="0.38"/>
    <n v="94.24"/>
    <n v="0.84999999999999432"/>
    <x v="0"/>
    <x v="0"/>
    <x v="9"/>
  </r>
  <r>
    <s v="CLM101730"/>
    <s v="PT13137"/>
    <s v="P01"/>
    <x v="0"/>
    <x v="8"/>
    <n v="1"/>
    <d v="2026-05-26T00:00:00"/>
    <d v="2026-05-27T00:00:00"/>
    <n v="252.52"/>
    <n v="117.66"/>
    <n v="94.13"/>
    <n v="23.53"/>
    <s v="Paid"/>
    <s v=""/>
    <d v="2026-06-23T00:00:00"/>
    <d v="2026-06-23T00:00:00"/>
    <n v="260"/>
    <n v="0.45"/>
    <n v="117"/>
    <n v="-0.65999999999999659"/>
    <x v="0"/>
    <x v="5"/>
    <x v="7"/>
  </r>
  <r>
    <s v="CLM101731"/>
    <s v="PT10655"/>
    <s v="P01"/>
    <x v="0"/>
    <x v="8"/>
    <n v="1"/>
    <d v="2026-03-10T00:00:00"/>
    <d v="2026-03-15T00:00:00"/>
    <n v="255.16"/>
    <n v="119.25"/>
    <n v="119.25"/>
    <n v="0"/>
    <s v="Paid"/>
    <s v=""/>
    <d v="2026-04-18T00:00:00"/>
    <d v="2026-04-18T00:00:00"/>
    <n v="260"/>
    <n v="0.45"/>
    <n v="117"/>
    <n v="-2.25"/>
    <x v="0"/>
    <x v="5"/>
    <x v="2"/>
  </r>
  <r>
    <s v="CLM101732"/>
    <s v="PT11469"/>
    <s v="P05"/>
    <x v="2"/>
    <x v="0"/>
    <n v="1"/>
    <d v="2026-05-01T00:00:00"/>
    <d v="2026-05-02T00:00:00"/>
    <n v="142.68"/>
    <n v="59.58"/>
    <n v="59.58"/>
    <n v="0"/>
    <s v="Paid"/>
    <s v=""/>
    <d v="2026-06-14T00:00:00"/>
    <d v="2026-06-14T00:00:00"/>
    <n v="145"/>
    <n v="0.38"/>
    <n v="55.1"/>
    <n v="-4.4799999999999969"/>
    <x v="0"/>
    <x v="0"/>
    <x v="7"/>
  </r>
  <r>
    <s v="CLM101733"/>
    <s v="PT10618"/>
    <s v="P03"/>
    <x v="0"/>
    <x v="0"/>
    <n v="1"/>
    <d v="2026-04-23T00:00:00"/>
    <d v="2026-04-24T00:00:00"/>
    <n v="143.69"/>
    <n v="60.16"/>
    <n v="60.16"/>
    <n v="0"/>
    <s v="Paid"/>
    <s v=""/>
    <d v="2026-05-29T00:00:00"/>
    <d v="2026-05-29T00:00:00"/>
    <n v="145"/>
    <n v="0.47"/>
    <n v="68.150000000000006"/>
    <n v="7.9900000000000091"/>
    <x v="1"/>
    <x v="4"/>
    <x v="10"/>
  </r>
  <r>
    <s v="CLM101734"/>
    <s v="PT10952"/>
    <s v="P01"/>
    <x v="0"/>
    <x v="0"/>
    <n v="1"/>
    <d v="2026-04-29T00:00:00"/>
    <d v="2026-04-30T00:00:00"/>
    <n v="142.55000000000001"/>
    <n v="69.290000000000006"/>
    <n v="55.43"/>
    <n v="13.86"/>
    <s v="Paid"/>
    <s v=""/>
    <d v="2026-05-18T00:00:00"/>
    <d v="2026-05-18T00:00:00"/>
    <n v="145"/>
    <n v="0.45"/>
    <n v="65.25"/>
    <n v="-4.0400000000000063"/>
    <x v="0"/>
    <x v="5"/>
    <x v="10"/>
  </r>
  <r>
    <s v="CLM101735"/>
    <s v="PT11544"/>
    <s v="P05"/>
    <x v="0"/>
    <x v="4"/>
    <n v="1"/>
    <d v="2025-12-18T00:00:00"/>
    <d v="2025-12-19T00:00:00"/>
    <n v="38.33"/>
    <n v="13.73"/>
    <n v="10.98"/>
    <n v="2.75"/>
    <s v="Paid"/>
    <s v=""/>
    <d v="2026-02-09T00:00:00"/>
    <d v="2026-02-09T00:00:00"/>
    <n v="38"/>
    <n v="0.38"/>
    <n v="14.44"/>
    <n v="0.70999999999999908"/>
    <x v="0"/>
    <x v="0"/>
    <x v="6"/>
  </r>
  <r>
    <s v="CLM101736"/>
    <s v="PT10913"/>
    <s v="P02"/>
    <x v="1"/>
    <x v="4"/>
    <n v="1"/>
    <d v="2026-06-21T00:00:00"/>
    <d v="2026-06-26T00:00:00"/>
    <n v="36.92"/>
    <n v="14.28"/>
    <n v="14.28"/>
    <n v="0"/>
    <s v="Paid"/>
    <s v=""/>
    <d v="2026-07-21T00:00:00"/>
    <d v="2026-07-21T00:00:00"/>
    <n v="38"/>
    <n v="0.43"/>
    <n v="16.34"/>
    <n v="2.0600000000000005"/>
    <x v="1"/>
    <x v="6"/>
    <x v="11"/>
  </r>
  <r>
    <s v="CLM101737"/>
    <s v="PT13203"/>
    <s v="P01"/>
    <x v="3"/>
    <x v="3"/>
    <n v="10"/>
    <d v="2026-07-21T00:00:00"/>
    <d v="2026-07-22T00:00:00"/>
    <n v="14677.8"/>
    <n v="5749.57"/>
    <n v="5749.57"/>
    <n v="0"/>
    <s v="Paid"/>
    <s v=""/>
    <d v="2026-08-21T00:00:00"/>
    <d v="2026-08-21T00:00:00"/>
    <n v="1450"/>
    <n v="0.45"/>
    <n v="6525"/>
    <n v="775.43000000000029"/>
    <x v="1"/>
    <x v="5"/>
    <x v="1"/>
  </r>
  <r>
    <s v="CLM101738"/>
    <s v="PT11783"/>
    <s v="P02"/>
    <x v="1"/>
    <x v="4"/>
    <n v="1"/>
    <d v="2026-09-05T00:00:00"/>
    <d v="2026-09-06T00:00:00"/>
    <n v="38.94"/>
    <m/>
    <m/>
    <m/>
    <s v="Pending"/>
    <s v=""/>
    <m/>
    <m/>
    <n v="38"/>
    <n v="0.43"/>
    <n v="16.34"/>
    <s v=""/>
    <x v="2"/>
    <x v="6"/>
    <x v="8"/>
  </r>
  <r>
    <s v="CLM101739"/>
    <s v="PT11595"/>
    <s v="P08"/>
    <x v="0"/>
    <x v="4"/>
    <n v="1"/>
    <d v="2026-03-02T00:00:00"/>
    <d v="2026-03-03T00:00:00"/>
    <n v="38.9"/>
    <m/>
    <m/>
    <m/>
    <s v="Pending"/>
    <s v=""/>
    <m/>
    <m/>
    <n v="38"/>
    <n v="1"/>
    <n v="38"/>
    <s v=""/>
    <x v="2"/>
    <x v="7"/>
    <x v="2"/>
  </r>
  <r>
    <s v="CLM101740"/>
    <s v="PT12039"/>
    <s v="P05"/>
    <x v="1"/>
    <x v="11"/>
    <n v="1"/>
    <d v="2026-09-10T00:00:00"/>
    <d v="2026-09-17T00:00:00"/>
    <n v="1115.57"/>
    <m/>
    <m/>
    <m/>
    <s v="Pending"/>
    <s v=""/>
    <m/>
    <m/>
    <n v="1150"/>
    <n v="0.38"/>
    <n v="437"/>
    <s v=""/>
    <x v="2"/>
    <x v="0"/>
    <x v="8"/>
  </r>
  <r>
    <s v="CLM101741"/>
    <s v="PT13174"/>
    <s v="P02"/>
    <x v="0"/>
    <x v="4"/>
    <n v="1"/>
    <d v="2026-03-10T00:00:00"/>
    <d v="2026-03-16T00:00:00"/>
    <n v="38.049999999999997"/>
    <n v="16.96"/>
    <n v="15.26"/>
    <n v="1.7"/>
    <s v="Paid"/>
    <s v=""/>
    <d v="2026-04-13T00:00:00"/>
    <d v="2026-04-13T00:00:00"/>
    <n v="38"/>
    <n v="0.43"/>
    <n v="16.34"/>
    <n v="-0.62000000000000099"/>
    <x v="0"/>
    <x v="6"/>
    <x v="2"/>
  </r>
  <r>
    <s v="CLM101742"/>
    <s v="PT13312"/>
    <s v="P03"/>
    <x v="3"/>
    <x v="7"/>
    <n v="1"/>
    <d v="2025-12-06T00:00:00"/>
    <d v="2025-12-11T00:00:00"/>
    <n v="206.44"/>
    <m/>
    <m/>
    <m/>
    <s v="Denied"/>
    <s v="CO-16"/>
    <d v="2026-02-20T00:00:00"/>
    <m/>
    <n v="210"/>
    <n v="0.47"/>
    <n v="98.7"/>
    <s v=""/>
    <x v="2"/>
    <x v="4"/>
    <x v="6"/>
  </r>
  <r>
    <s v="CLM101743"/>
    <s v="PT12867"/>
    <s v="P01"/>
    <x v="1"/>
    <x v="11"/>
    <n v="1"/>
    <d v="2026-02-07T00:00:00"/>
    <d v="2026-02-14T00:00:00"/>
    <n v="1152.2"/>
    <m/>
    <m/>
    <m/>
    <s v="Denied"/>
    <s v="CO-16"/>
    <d v="2026-03-23T00:00:00"/>
    <m/>
    <n v="1150"/>
    <n v="0.45"/>
    <n v="517.5"/>
    <s v=""/>
    <x v="2"/>
    <x v="5"/>
    <x v="0"/>
  </r>
  <r>
    <s v="CLM101744"/>
    <s v="PT12356"/>
    <s v="P04"/>
    <x v="1"/>
    <x v="5"/>
    <n v="1"/>
    <d v="2025-12-18T00:00:00"/>
    <d v="2025-12-21T00:00:00"/>
    <n v="4893.71"/>
    <n v="2023.05"/>
    <n v="1820.74"/>
    <n v="202.31"/>
    <s v="Paid"/>
    <s v=""/>
    <d v="2026-01-04T00:00:00"/>
    <d v="2026-01-04T00:00:00"/>
    <n v="4800"/>
    <n v="0.36"/>
    <n v="1728"/>
    <n v="-295.04999999999995"/>
    <x v="0"/>
    <x v="1"/>
    <x v="6"/>
  </r>
  <r>
    <s v="CLM101745"/>
    <s v="PT10688"/>
    <s v="P04"/>
    <x v="3"/>
    <x v="3"/>
    <n v="10"/>
    <d v="2026-06-21T00:00:00"/>
    <d v="2026-06-25T00:00:00"/>
    <n v="14161.48"/>
    <m/>
    <m/>
    <m/>
    <s v="Denied"/>
    <s v="CO-11"/>
    <d v="2026-07-21T00:00:00"/>
    <m/>
    <n v="1450"/>
    <n v="0.36"/>
    <n v="5220"/>
    <s v=""/>
    <x v="2"/>
    <x v="1"/>
    <x v="11"/>
  </r>
  <r>
    <s v="CLM101746"/>
    <s v="PT11317"/>
    <s v="P07"/>
    <x v="1"/>
    <x v="11"/>
    <n v="1"/>
    <d v="2025-12-22T00:00:00"/>
    <d v="2025-12-23T00:00:00"/>
    <n v="1152.71"/>
    <n v="358.92"/>
    <n v="358.92"/>
    <n v="0"/>
    <s v="Paid"/>
    <s v=""/>
    <d v="2026-02-25T00:00:00"/>
    <d v="2026-02-25T00:00:00"/>
    <n v="1150"/>
    <n v="0.28000000000000003"/>
    <n v="322"/>
    <n v="-36.920000000000016"/>
    <x v="0"/>
    <x v="3"/>
    <x v="6"/>
  </r>
  <r>
    <s v="CLM101747"/>
    <s v="PT11711"/>
    <s v="P06"/>
    <x v="0"/>
    <x v="8"/>
    <n v="1"/>
    <d v="2026-02-16T00:00:00"/>
    <d v="2026-02-20T00:00:00"/>
    <n v="256.01"/>
    <n v="73.63"/>
    <n v="73.63"/>
    <n v="0"/>
    <s v="Paid"/>
    <s v=""/>
    <d v="2026-04-14T00:00:00"/>
    <d v="2026-04-14T00:00:00"/>
    <n v="260"/>
    <n v="0.27"/>
    <n v="70.2"/>
    <n v="-3.4299999999999926"/>
    <x v="0"/>
    <x v="2"/>
    <x v="0"/>
  </r>
  <r>
    <s v="CLM101748"/>
    <s v="PT13097"/>
    <s v="P01"/>
    <x v="2"/>
    <x v="0"/>
    <n v="1"/>
    <d v="2026-07-17T00:00:00"/>
    <d v="2026-07-18T00:00:00"/>
    <n v="147.33000000000001"/>
    <n v="64.900000000000006"/>
    <n v="51.92"/>
    <n v="12.98"/>
    <s v="Paid"/>
    <s v=""/>
    <d v="2026-08-10T00:00:00"/>
    <d v="2026-08-10T00:00:00"/>
    <n v="145"/>
    <n v="0.45"/>
    <n v="65.25"/>
    <n v="0.34999999999999432"/>
    <x v="0"/>
    <x v="5"/>
    <x v="1"/>
  </r>
  <r>
    <s v="CLM101749"/>
    <s v="PT10834"/>
    <s v="P07"/>
    <x v="0"/>
    <x v="7"/>
    <n v="1"/>
    <d v="2025-12-30T00:00:00"/>
    <d v="2026-01-19T00:00:00"/>
    <n v="214.33"/>
    <m/>
    <m/>
    <m/>
    <s v="Denied"/>
    <s v="CO-18"/>
    <d v="2026-02-24T00:00:00"/>
    <m/>
    <n v="210"/>
    <n v="0.28000000000000003"/>
    <n v="58.8"/>
    <s v=""/>
    <x v="2"/>
    <x v="3"/>
    <x v="6"/>
  </r>
  <r>
    <s v="CLM101750"/>
    <s v="PT11628"/>
    <s v="P04"/>
    <x v="1"/>
    <x v="11"/>
    <n v="1"/>
    <d v="2026-08-20T00:00:00"/>
    <d v="2026-08-30T00:00:00"/>
    <n v="1181.98"/>
    <n v="460.99"/>
    <n v="460.99"/>
    <n v="0"/>
    <s v="Paid"/>
    <s v=""/>
    <d v="2026-09-23T00:00:00"/>
    <d v="2026-09-23T00:00:00"/>
    <n v="1150"/>
    <n v="0.36"/>
    <n v="414"/>
    <n v="-46.990000000000009"/>
    <x v="0"/>
    <x v="1"/>
    <x v="4"/>
  </r>
  <r>
    <s v="CLM101751"/>
    <s v="PT10924"/>
    <s v="P03"/>
    <x v="0"/>
    <x v="7"/>
    <n v="1"/>
    <d v="2026-03-06T00:00:00"/>
    <d v="2026-03-07T00:00:00"/>
    <n v="215.86"/>
    <n v="92.15"/>
    <n v="92.15"/>
    <n v="0"/>
    <s v="Paid"/>
    <s v=""/>
    <d v="2026-04-08T00:00:00"/>
    <d v="2026-04-08T00:00:00"/>
    <n v="210"/>
    <n v="0.47"/>
    <n v="98.7"/>
    <n v="6.5499999999999972"/>
    <x v="1"/>
    <x v="4"/>
    <x v="2"/>
  </r>
  <r>
    <s v="CLM101752"/>
    <s v="PT12164"/>
    <s v="P01"/>
    <x v="3"/>
    <x v="3"/>
    <n v="10"/>
    <d v="2026-07-04T00:00:00"/>
    <d v="2026-07-05T00:00:00"/>
    <n v="14368.92"/>
    <n v="6925.32"/>
    <n v="6925.32"/>
    <n v="0"/>
    <s v="Paid"/>
    <s v=""/>
    <d v="2026-07-20T00:00:00"/>
    <d v="2026-07-20T00:00:00"/>
    <n v="1450"/>
    <n v="0.45"/>
    <n v="6525"/>
    <n v="-400.31999999999971"/>
    <x v="0"/>
    <x v="5"/>
    <x v="1"/>
  </r>
  <r>
    <s v="CLM101753"/>
    <s v="PT12600"/>
    <s v="P02"/>
    <x v="0"/>
    <x v="0"/>
    <n v="1"/>
    <d v="2026-06-04T00:00:00"/>
    <d v="2026-06-05T00:00:00"/>
    <n v="144.94"/>
    <m/>
    <m/>
    <m/>
    <s v="Denied"/>
    <s v="CO-11"/>
    <d v="2026-07-09T00:00:00"/>
    <m/>
    <n v="145"/>
    <n v="0.43"/>
    <n v="62.35"/>
    <s v=""/>
    <x v="2"/>
    <x v="6"/>
    <x v="11"/>
  </r>
  <r>
    <s v="CLM101754"/>
    <s v="PT10478"/>
    <s v="P06"/>
    <x v="0"/>
    <x v="0"/>
    <n v="1"/>
    <d v="2026-02-14T00:00:00"/>
    <d v="2026-02-15T00:00:00"/>
    <n v="142.80000000000001"/>
    <m/>
    <m/>
    <m/>
    <s v="Denied"/>
    <s v="CO-4"/>
    <d v="2026-03-20T00:00:00"/>
    <m/>
    <n v="145"/>
    <n v="0.27"/>
    <n v="39.15"/>
    <s v=""/>
    <x v="2"/>
    <x v="2"/>
    <x v="0"/>
  </r>
  <r>
    <s v="CLM101755"/>
    <s v="PT11543"/>
    <s v="P04"/>
    <x v="0"/>
    <x v="7"/>
    <n v="1"/>
    <d v="2026-03-03T00:00:00"/>
    <d v="2026-03-06T00:00:00"/>
    <n v="208.11"/>
    <n v="63.65"/>
    <n v="50.92"/>
    <n v="12.73"/>
    <s v="Paid"/>
    <s v=""/>
    <d v="2026-03-22T00:00:00"/>
    <d v="2026-03-22T00:00:00"/>
    <n v="210"/>
    <n v="0.36"/>
    <n v="75.599999999999994"/>
    <n v="11.949999999999996"/>
    <x v="1"/>
    <x v="1"/>
    <x v="2"/>
  </r>
  <r>
    <s v="CLM101756"/>
    <s v="PT10836"/>
    <s v="P04"/>
    <x v="0"/>
    <x v="4"/>
    <n v="1"/>
    <d v="2025-12-27T00:00:00"/>
    <d v="2025-12-29T00:00:00"/>
    <n v="38.25"/>
    <n v="12.22"/>
    <n v="9.7799999999999994"/>
    <n v="2.44"/>
    <s v="Paid"/>
    <s v=""/>
    <d v="2026-01-07T00:00:00"/>
    <d v="2026-01-07T00:00:00"/>
    <n v="38"/>
    <n v="0.36"/>
    <n v="13.68"/>
    <n v="1.4599999999999991"/>
    <x v="1"/>
    <x v="1"/>
    <x v="6"/>
  </r>
  <r>
    <s v="CLM101757"/>
    <s v="PT10559"/>
    <s v="P04"/>
    <x v="1"/>
    <x v="1"/>
    <n v="1"/>
    <d v="2025-12-23T00:00:00"/>
    <d v="2025-12-25T00:00:00"/>
    <n v="237.75"/>
    <n v="83.86"/>
    <n v="75.47"/>
    <n v="8.39"/>
    <s v="Paid"/>
    <s v=""/>
    <d v="2026-01-05T00:00:00"/>
    <d v="2026-01-05T00:00:00"/>
    <n v="240"/>
    <n v="0.36"/>
    <n v="86.4"/>
    <n v="2.5400000000000063"/>
    <x v="0"/>
    <x v="1"/>
    <x v="6"/>
  </r>
  <r>
    <s v="CLM101758"/>
    <s v="PT10257"/>
    <s v="P03"/>
    <x v="0"/>
    <x v="0"/>
    <n v="1"/>
    <d v="2026-08-18T00:00:00"/>
    <d v="2026-08-24T00:00:00"/>
    <n v="144.78"/>
    <n v="70.33"/>
    <n v="63.3"/>
    <n v="7.03"/>
    <s v="Paid"/>
    <s v=""/>
    <d v="2026-09-20T00:00:00"/>
    <d v="2026-09-20T00:00:00"/>
    <n v="145"/>
    <n v="0.47"/>
    <n v="68.150000000000006"/>
    <n v="-2.1799999999999926"/>
    <x v="0"/>
    <x v="4"/>
    <x v="4"/>
  </r>
  <r>
    <s v="CLM101759"/>
    <s v="PT12808"/>
    <s v="P04"/>
    <x v="3"/>
    <x v="7"/>
    <n v="1"/>
    <d v="2026-06-06T00:00:00"/>
    <d v="2026-06-07T00:00:00"/>
    <n v="203.97"/>
    <n v="72.45"/>
    <n v="65.2"/>
    <n v="7.25"/>
    <s v="Paid"/>
    <s v=""/>
    <d v="2026-06-22T00:00:00"/>
    <d v="2026-06-22T00:00:00"/>
    <n v="210"/>
    <n v="0.36"/>
    <n v="75.599999999999994"/>
    <n v="3.1499999999999915"/>
    <x v="0"/>
    <x v="1"/>
    <x v="11"/>
  </r>
  <r>
    <s v="CLM101760"/>
    <s v="PT10460"/>
    <s v="P02"/>
    <x v="0"/>
    <x v="8"/>
    <n v="1"/>
    <d v="2025-11-08T00:00:00"/>
    <d v="2025-11-09T00:00:00"/>
    <n v="267.08"/>
    <n v="114.32"/>
    <n v="102.89"/>
    <n v="11.43"/>
    <s v="Paid"/>
    <s v=""/>
    <d v="2025-11-30T00:00:00"/>
    <d v="2025-11-30T00:00:00"/>
    <n v="260"/>
    <n v="0.43"/>
    <n v="111.8"/>
    <n v="-2.519999999999996"/>
    <x v="0"/>
    <x v="6"/>
    <x v="3"/>
  </r>
  <r>
    <s v="CLM101761"/>
    <s v="PT11199"/>
    <s v="P02"/>
    <x v="0"/>
    <x v="7"/>
    <n v="1"/>
    <d v="2026-05-23T00:00:00"/>
    <d v="2026-05-27T00:00:00"/>
    <n v="210.24"/>
    <n v="96.39"/>
    <n v="77.11"/>
    <n v="19.28"/>
    <s v="Paid"/>
    <s v=""/>
    <d v="2026-06-16T00:00:00"/>
    <d v="2026-06-16T00:00:00"/>
    <n v="210"/>
    <n v="0.43"/>
    <n v="90.3"/>
    <n v="-6.0900000000000034"/>
    <x v="0"/>
    <x v="6"/>
    <x v="7"/>
  </r>
  <r>
    <s v="CLM101762"/>
    <s v="PT10040"/>
    <s v="P01"/>
    <x v="3"/>
    <x v="7"/>
    <n v="1"/>
    <d v="2026-02-26T00:00:00"/>
    <d v="2026-03-05T00:00:00"/>
    <n v="207.68"/>
    <n v="97.53"/>
    <n v="78.02"/>
    <n v="19.510000000000002"/>
    <s v="Paid"/>
    <s v=""/>
    <d v="2026-03-30T00:00:00"/>
    <d v="2026-03-30T00:00:00"/>
    <n v="210"/>
    <n v="0.45"/>
    <n v="94.5"/>
    <n v="-3.0300000000000011"/>
    <x v="0"/>
    <x v="5"/>
    <x v="0"/>
  </r>
  <r>
    <s v="CLM101763"/>
    <s v="PT10074"/>
    <s v="P01"/>
    <x v="1"/>
    <x v="7"/>
    <n v="1"/>
    <d v="2025-10-17T00:00:00"/>
    <d v="2025-10-18T00:00:00"/>
    <n v="205.77"/>
    <n v="89.62"/>
    <n v="89.62"/>
    <n v="0"/>
    <s v="Paid"/>
    <s v=""/>
    <d v="2025-11-12T00:00:00"/>
    <d v="2025-11-12T00:00:00"/>
    <n v="210"/>
    <n v="0.45"/>
    <n v="94.5"/>
    <n v="4.8799999999999955"/>
    <x v="1"/>
    <x v="5"/>
    <x v="9"/>
  </r>
  <r>
    <s v="CLM101764"/>
    <s v="PT12726"/>
    <s v="P02"/>
    <x v="2"/>
    <x v="2"/>
    <n v="1"/>
    <d v="2026-02-07T00:00:00"/>
    <d v="2026-06-16T00:00:00"/>
    <n v="62.07"/>
    <m/>
    <m/>
    <m/>
    <s v="Denied"/>
    <s v="CO-29"/>
    <d v="2026-07-30T00:00:00"/>
    <m/>
    <n v="62"/>
    <n v="0.43"/>
    <n v="26.66"/>
    <s v=""/>
    <x v="2"/>
    <x v="6"/>
    <x v="0"/>
  </r>
  <r>
    <s v="CLM101765"/>
    <s v="PT11703"/>
    <s v="P03"/>
    <x v="2"/>
    <x v="9"/>
    <n v="3"/>
    <d v="2026-09-07T00:00:00"/>
    <d v="2026-09-11T00:00:00"/>
    <n v="174.53"/>
    <m/>
    <m/>
    <m/>
    <s v="Pending"/>
    <s v=""/>
    <m/>
    <m/>
    <n v="58"/>
    <n v="0.47"/>
    <n v="81.78"/>
    <s v=""/>
    <x v="2"/>
    <x v="4"/>
    <x v="8"/>
  </r>
  <r>
    <s v="CLM101766"/>
    <s v="PT10417"/>
    <s v="P01"/>
    <x v="2"/>
    <x v="2"/>
    <n v="1"/>
    <d v="2026-05-17T00:00:00"/>
    <d v="2026-05-18T00:00:00"/>
    <n v="63.54"/>
    <n v="30.55"/>
    <n v="24.44"/>
    <n v="6.11"/>
    <s v="Paid"/>
    <s v=""/>
    <d v="2026-06-14T00:00:00"/>
    <d v="2026-06-14T00:00:00"/>
    <n v="62"/>
    <n v="0.45"/>
    <n v="27.9"/>
    <n v="-2.6500000000000021"/>
    <x v="0"/>
    <x v="5"/>
    <x v="7"/>
  </r>
  <r>
    <s v="CLM101767"/>
    <s v="PT12217"/>
    <s v="P04"/>
    <x v="0"/>
    <x v="8"/>
    <n v="1"/>
    <d v="2025-10-09T00:00:00"/>
    <d v="2025-10-22T00:00:00"/>
    <n v="266.41000000000003"/>
    <n v="83.89"/>
    <n v="67.11"/>
    <n v="16.78"/>
    <s v="Paid"/>
    <s v=""/>
    <d v="2025-11-08T00:00:00"/>
    <d v="2025-11-08T00:00:00"/>
    <n v="260"/>
    <n v="0.36"/>
    <n v="93.6"/>
    <n v="9.7099999999999937"/>
    <x v="1"/>
    <x v="1"/>
    <x v="9"/>
  </r>
  <r>
    <s v="CLM101768"/>
    <s v="PT12174"/>
    <s v="P03"/>
    <x v="3"/>
    <x v="6"/>
    <n v="1"/>
    <d v="2026-07-19T00:00:00"/>
    <d v="2026-07-25T00:00:00"/>
    <n v="408.71"/>
    <n v="217.88"/>
    <n v="217.88"/>
    <n v="0"/>
    <s v="Paid"/>
    <s v=""/>
    <d v="2026-09-25T00:00:00"/>
    <d v="2026-09-25T00:00:00"/>
    <n v="420"/>
    <n v="0.47"/>
    <n v="197.4"/>
    <n v="-20.47999999999999"/>
    <x v="0"/>
    <x v="4"/>
    <x v="1"/>
  </r>
  <r>
    <s v="CLM101769"/>
    <s v="PT11210"/>
    <s v="P07"/>
    <x v="0"/>
    <x v="4"/>
    <n v="1"/>
    <d v="2025-10-18T00:00:00"/>
    <d v="2025-10-22T00:00:00"/>
    <n v="36.93"/>
    <m/>
    <m/>
    <m/>
    <s v="Denied"/>
    <s v="CO-27"/>
    <d v="2026-01-04T00:00:00"/>
    <m/>
    <n v="38"/>
    <n v="0.28000000000000003"/>
    <n v="10.64"/>
    <s v=""/>
    <x v="2"/>
    <x v="3"/>
    <x v="9"/>
  </r>
  <r>
    <s v="CLM101770"/>
    <s v="PT11232"/>
    <s v="P03"/>
    <x v="2"/>
    <x v="9"/>
    <n v="1"/>
    <d v="2026-09-06T00:00:00"/>
    <d v="2026-09-10T00:00:00"/>
    <n v="59.58"/>
    <m/>
    <m/>
    <m/>
    <s v="Pending"/>
    <s v=""/>
    <m/>
    <m/>
    <n v="58"/>
    <n v="0.47"/>
    <n v="27.26"/>
    <s v=""/>
    <x v="2"/>
    <x v="4"/>
    <x v="8"/>
  </r>
  <r>
    <s v="CLM101771"/>
    <s v="PT10740"/>
    <s v="P01"/>
    <x v="2"/>
    <x v="9"/>
    <n v="1"/>
    <d v="2025-12-04T00:00:00"/>
    <d v="2025-12-06T00:00:00"/>
    <n v="57.39"/>
    <n v="22.91"/>
    <n v="22.91"/>
    <n v="0"/>
    <s v="Paid"/>
    <s v=""/>
    <d v="2026-01-16T00:00:00"/>
    <d v="2026-01-16T00:00:00"/>
    <n v="58"/>
    <n v="0.45"/>
    <n v="26.1"/>
    <n v="3.1900000000000013"/>
    <x v="1"/>
    <x v="5"/>
    <x v="6"/>
  </r>
  <r>
    <s v="CLM101772"/>
    <s v="PT12043"/>
    <s v="P02"/>
    <x v="1"/>
    <x v="8"/>
    <n v="1"/>
    <d v="2026-01-19T00:00:00"/>
    <d v="2026-01-24T00:00:00"/>
    <n v="266.74"/>
    <n v="124.43"/>
    <n v="111.99"/>
    <n v="12.44"/>
    <s v="Paid"/>
    <s v=""/>
    <d v="2026-02-18T00:00:00"/>
    <d v="2026-02-18T00:00:00"/>
    <n v="260"/>
    <n v="0.43"/>
    <n v="111.8"/>
    <n v="-12.63000000000001"/>
    <x v="0"/>
    <x v="6"/>
    <x v="5"/>
  </r>
  <r>
    <s v="CLM101773"/>
    <s v="PT12188"/>
    <s v="P02"/>
    <x v="1"/>
    <x v="10"/>
    <n v="1"/>
    <d v="2026-02-25T00:00:00"/>
    <d v="2026-02-27T00:00:00"/>
    <n v="1061.6400000000001"/>
    <n v="468.08"/>
    <n v="468.08"/>
    <n v="0"/>
    <s v="Paid"/>
    <s v=""/>
    <d v="2026-03-29T00:00:00"/>
    <d v="2026-03-29T00:00:00"/>
    <n v="1050"/>
    <n v="0.43"/>
    <n v="451.5"/>
    <n v="-16.579999999999984"/>
    <x v="0"/>
    <x v="6"/>
    <x v="0"/>
  </r>
  <r>
    <s v="CLM101774"/>
    <s v="PT12873"/>
    <s v="P03"/>
    <x v="1"/>
    <x v="8"/>
    <n v="1"/>
    <d v="2025-11-11T00:00:00"/>
    <d v="2025-11-13T00:00:00"/>
    <n v="267.32"/>
    <n v="115.23"/>
    <n v="115.23"/>
    <n v="0"/>
    <s v="Paid"/>
    <s v=""/>
    <d v="2026-01-02T00:00:00"/>
    <d v="2026-01-02T00:00:00"/>
    <n v="260"/>
    <n v="0.47"/>
    <n v="122.2"/>
    <n v="6.9699999999999989"/>
    <x v="1"/>
    <x v="4"/>
    <x v="3"/>
  </r>
  <r>
    <s v="CLM101775"/>
    <s v="PT12594"/>
    <s v="P01"/>
    <x v="2"/>
    <x v="0"/>
    <n v="1"/>
    <d v="2026-02-05T00:00:00"/>
    <d v="2026-02-10T00:00:00"/>
    <n v="144.08000000000001"/>
    <n v="56.12"/>
    <n v="56.12"/>
    <n v="0"/>
    <s v="Paid"/>
    <s v=""/>
    <d v="2026-03-08T00:00:00"/>
    <d v="2026-03-08T00:00:00"/>
    <n v="145"/>
    <n v="0.45"/>
    <n v="65.25"/>
    <n v="9.1300000000000026"/>
    <x v="1"/>
    <x v="5"/>
    <x v="0"/>
  </r>
  <r>
    <s v="CLM101776"/>
    <s v="PT12269"/>
    <s v="P01"/>
    <x v="2"/>
    <x v="9"/>
    <n v="3"/>
    <d v="2026-02-16T00:00:00"/>
    <d v="2026-02-22T00:00:00"/>
    <n v="175.49"/>
    <n v="84.19"/>
    <n v="75.77"/>
    <n v="8.42"/>
    <s v="Paid"/>
    <s v=""/>
    <d v="2026-03-12T00:00:00"/>
    <d v="2026-03-12T00:00:00"/>
    <n v="58"/>
    <n v="0.45"/>
    <n v="78.3"/>
    <n v="-5.8900000000000006"/>
    <x v="0"/>
    <x v="5"/>
    <x v="0"/>
  </r>
  <r>
    <s v="CLM101777"/>
    <s v="PT12003"/>
    <s v="P04"/>
    <x v="1"/>
    <x v="7"/>
    <n v="1"/>
    <d v="2026-03-06T00:00:00"/>
    <d v="2026-03-14T00:00:00"/>
    <n v="205.85"/>
    <n v="82.39"/>
    <n v="74.150000000000006"/>
    <n v="8.24"/>
    <s v="Paid"/>
    <s v=""/>
    <d v="2026-04-03T00:00:00"/>
    <d v="2026-04-03T00:00:00"/>
    <n v="210"/>
    <n v="0.36"/>
    <n v="75.599999999999994"/>
    <n v="-6.7900000000000063"/>
    <x v="0"/>
    <x v="1"/>
    <x v="2"/>
  </r>
  <r>
    <s v="CLM101778"/>
    <s v="PT12454"/>
    <s v="P03"/>
    <x v="0"/>
    <x v="0"/>
    <n v="1"/>
    <d v="2025-10-29T00:00:00"/>
    <d v="2025-10-30T00:00:00"/>
    <n v="143.57"/>
    <n v="58.28"/>
    <n v="52.45"/>
    <n v="5.83"/>
    <s v="Paid"/>
    <s v=""/>
    <d v="2025-12-17T00:00:00"/>
    <d v="2025-12-17T00:00:00"/>
    <n v="145"/>
    <n v="0.47"/>
    <n v="68.150000000000006"/>
    <n v="9.8700000000000045"/>
    <x v="1"/>
    <x v="4"/>
    <x v="9"/>
  </r>
  <r>
    <s v="CLM101779"/>
    <s v="PT10459"/>
    <s v="P03"/>
    <x v="1"/>
    <x v="10"/>
    <n v="1"/>
    <d v="2026-02-15T00:00:00"/>
    <d v="2026-02-21T00:00:00"/>
    <n v="1048.21"/>
    <n v="473.19"/>
    <n v="425.87"/>
    <n v="47.32"/>
    <s v="Paid"/>
    <s v=""/>
    <d v="2026-04-16T00:00:00"/>
    <d v="2026-04-16T00:00:00"/>
    <n v="1050"/>
    <n v="0.47"/>
    <n v="493.5"/>
    <n v="20.310000000000002"/>
    <x v="0"/>
    <x v="4"/>
    <x v="0"/>
  </r>
  <r>
    <s v="CLM101780"/>
    <s v="PT10150"/>
    <s v="P01"/>
    <x v="2"/>
    <x v="9"/>
    <n v="1"/>
    <d v="2026-07-25T00:00:00"/>
    <d v="2026-08-10T00:00:00"/>
    <n v="58.7"/>
    <n v="29.27"/>
    <n v="29.27"/>
    <n v="0"/>
    <s v="Paid"/>
    <s v=""/>
    <d v="2026-09-13T00:00:00"/>
    <d v="2026-09-13T00:00:00"/>
    <n v="58"/>
    <n v="0.45"/>
    <n v="26.1"/>
    <n v="-3.1699999999999982"/>
    <x v="0"/>
    <x v="5"/>
    <x v="1"/>
  </r>
  <r>
    <s v="CLM101781"/>
    <s v="PT12639"/>
    <s v="P03"/>
    <x v="1"/>
    <x v="10"/>
    <n v="1"/>
    <d v="2025-10-16T00:00:00"/>
    <d v="2025-10-17T00:00:00"/>
    <n v="1032.5"/>
    <m/>
    <m/>
    <m/>
    <s v="Denied"/>
    <s v="CO-197"/>
    <d v="2025-11-27T00:00:00"/>
    <m/>
    <n v="1050"/>
    <n v="0.47"/>
    <n v="493.5"/>
    <s v=""/>
    <x v="2"/>
    <x v="4"/>
    <x v="9"/>
  </r>
  <r>
    <s v="CLM101782"/>
    <s v="PT11168"/>
    <s v="P06"/>
    <x v="0"/>
    <x v="7"/>
    <n v="1"/>
    <d v="2026-07-13T00:00:00"/>
    <d v="2026-07-20T00:00:00"/>
    <n v="204.56"/>
    <n v="54.81"/>
    <n v="54.81"/>
    <n v="0"/>
    <s v="Paid"/>
    <s v=""/>
    <d v="2026-08-20T00:00:00"/>
    <d v="2026-08-20T00:00:00"/>
    <n v="210"/>
    <n v="0.27"/>
    <n v="56.7"/>
    <n v="1.8900000000000006"/>
    <x v="0"/>
    <x v="2"/>
    <x v="1"/>
  </r>
  <r>
    <s v="CLM101783"/>
    <s v="PT10927"/>
    <s v="P01"/>
    <x v="2"/>
    <x v="9"/>
    <n v="1"/>
    <d v="2026-09-16T00:00:00"/>
    <d v="2026-09-17T00:00:00"/>
    <n v="57.35"/>
    <m/>
    <m/>
    <m/>
    <s v="Pending"/>
    <s v=""/>
    <m/>
    <m/>
    <n v="58"/>
    <n v="0.45"/>
    <n v="26.1"/>
    <s v=""/>
    <x v="2"/>
    <x v="5"/>
    <x v="8"/>
  </r>
  <r>
    <s v="CLM101784"/>
    <s v="PT11562"/>
    <s v="P01"/>
    <x v="0"/>
    <x v="0"/>
    <n v="1"/>
    <d v="2026-07-17T00:00:00"/>
    <d v="2026-07-19T00:00:00"/>
    <n v="148.16"/>
    <n v="60.2"/>
    <n v="54.18"/>
    <n v="6.02"/>
    <s v="Paid"/>
    <s v=""/>
    <d v="2026-08-23T00:00:00"/>
    <d v="2026-08-23T00:00:00"/>
    <n v="145"/>
    <n v="0.45"/>
    <n v="65.25"/>
    <n v="5.0499999999999972"/>
    <x v="1"/>
    <x v="5"/>
    <x v="1"/>
  </r>
  <r>
    <s v="CLM101785"/>
    <s v="PT10559"/>
    <s v="P03"/>
    <x v="0"/>
    <x v="4"/>
    <n v="1"/>
    <d v="2026-04-12T00:00:00"/>
    <d v="2026-04-16T00:00:00"/>
    <n v="38.99"/>
    <n v="20.9"/>
    <n v="16.72"/>
    <n v="4.18"/>
    <s v="Paid"/>
    <s v=""/>
    <d v="2026-06-09T00:00:00"/>
    <d v="2026-06-09T00:00:00"/>
    <n v="38"/>
    <n v="0.47"/>
    <n v="17.86"/>
    <n v="-3.0399999999999991"/>
    <x v="0"/>
    <x v="4"/>
    <x v="10"/>
  </r>
  <r>
    <s v="CLM101786"/>
    <s v="PT12406"/>
    <s v="P07"/>
    <x v="0"/>
    <x v="8"/>
    <n v="1"/>
    <d v="2026-08-19T00:00:00"/>
    <d v="2026-08-21T00:00:00"/>
    <n v="264.58"/>
    <m/>
    <m/>
    <m/>
    <s v="Pending"/>
    <s v=""/>
    <m/>
    <m/>
    <n v="260"/>
    <n v="0.28000000000000003"/>
    <n v="72.8"/>
    <s v=""/>
    <x v="2"/>
    <x v="3"/>
    <x v="4"/>
  </r>
  <r>
    <s v="CLM101787"/>
    <s v="PT10670"/>
    <s v="P05"/>
    <x v="0"/>
    <x v="0"/>
    <n v="1"/>
    <d v="2025-11-27T00:00:00"/>
    <d v="2025-12-01T00:00:00"/>
    <n v="141.07"/>
    <n v="49.39"/>
    <n v="44.45"/>
    <n v="4.9400000000000004"/>
    <s v="Paid"/>
    <s v=""/>
    <d v="2026-02-24T00:00:00"/>
    <d v="2026-02-24T00:00:00"/>
    <n v="145"/>
    <n v="0.38"/>
    <n v="55.1"/>
    <n v="5.7100000000000009"/>
    <x v="1"/>
    <x v="0"/>
    <x v="3"/>
  </r>
  <r>
    <s v="CLM101788"/>
    <s v="PT11134"/>
    <s v="P04"/>
    <x v="1"/>
    <x v="8"/>
    <n v="1"/>
    <d v="2026-04-28T00:00:00"/>
    <d v="2026-04-30T00:00:00"/>
    <n v="262.55"/>
    <n v="98.95"/>
    <n v="79.16"/>
    <n v="19.79"/>
    <s v="Paid"/>
    <s v=""/>
    <d v="2026-05-19T00:00:00"/>
    <d v="2026-05-19T00:00:00"/>
    <n v="260"/>
    <n v="0.36"/>
    <n v="93.6"/>
    <n v="-5.3500000000000085"/>
    <x v="0"/>
    <x v="1"/>
    <x v="10"/>
  </r>
  <r>
    <s v="CLM101789"/>
    <s v="PT12298"/>
    <s v="P05"/>
    <x v="3"/>
    <x v="7"/>
    <n v="1"/>
    <d v="2026-03-02T00:00:00"/>
    <d v="2026-03-14T00:00:00"/>
    <n v="211.5"/>
    <n v="83.79"/>
    <n v="83.79"/>
    <n v="0"/>
    <s v="Paid"/>
    <s v=""/>
    <d v="2026-04-20T00:00:00"/>
    <d v="2026-04-20T00:00:00"/>
    <n v="210"/>
    <n v="0.38"/>
    <n v="79.8"/>
    <n v="-3.9900000000000091"/>
    <x v="0"/>
    <x v="0"/>
    <x v="2"/>
  </r>
  <r>
    <s v="CLM101790"/>
    <s v="PT12426"/>
    <s v="P06"/>
    <x v="2"/>
    <x v="9"/>
    <n v="1"/>
    <d v="2026-06-09T00:00:00"/>
    <d v="2026-06-13T00:00:00"/>
    <n v="58.47"/>
    <m/>
    <m/>
    <m/>
    <s v="Denied"/>
    <s v="CO-27"/>
    <d v="2026-07-26T00:00:00"/>
    <m/>
    <n v="58"/>
    <n v="0.27"/>
    <n v="15.66"/>
    <s v=""/>
    <x v="2"/>
    <x v="2"/>
    <x v="11"/>
  </r>
  <r>
    <s v="CLM101791"/>
    <s v="PT13074"/>
    <s v="P06"/>
    <x v="0"/>
    <x v="0"/>
    <n v="1"/>
    <d v="2026-03-03T00:00:00"/>
    <d v="2026-03-04T00:00:00"/>
    <n v="145.25"/>
    <n v="43.61"/>
    <n v="39.25"/>
    <n v="4.3600000000000003"/>
    <s v="Paid"/>
    <s v=""/>
    <d v="2026-04-23T00:00:00"/>
    <d v="2026-04-23T00:00:00"/>
    <n v="145"/>
    <n v="0.27"/>
    <n v="39.15"/>
    <n v="-4.4600000000000009"/>
    <x v="0"/>
    <x v="2"/>
    <x v="2"/>
  </r>
  <r>
    <s v="CLM101792"/>
    <s v="PT11742"/>
    <s v="P07"/>
    <x v="0"/>
    <x v="8"/>
    <n v="1"/>
    <d v="2026-02-12T00:00:00"/>
    <d v="2026-02-19T00:00:00"/>
    <n v="266.64"/>
    <n v="81.22"/>
    <n v="81.22"/>
    <n v="0"/>
    <s v="Paid"/>
    <s v=""/>
    <d v="2026-04-08T00:00:00"/>
    <d v="2026-04-08T00:00:00"/>
    <n v="260"/>
    <n v="0.28000000000000003"/>
    <n v="72.8"/>
    <n v="-8.4200000000000017"/>
    <x v="0"/>
    <x v="3"/>
    <x v="0"/>
  </r>
  <r>
    <s v="CLM101793"/>
    <s v="PT11779"/>
    <s v="P03"/>
    <x v="0"/>
    <x v="7"/>
    <n v="1"/>
    <d v="2026-04-19T00:00:00"/>
    <d v="2026-04-20T00:00:00"/>
    <n v="216.07"/>
    <m/>
    <m/>
    <m/>
    <s v="Denied"/>
    <s v="CO-16"/>
    <d v="2026-05-22T00:00:00"/>
    <m/>
    <n v="210"/>
    <n v="0.47"/>
    <n v="98.7"/>
    <s v=""/>
    <x v="2"/>
    <x v="4"/>
    <x v="10"/>
  </r>
  <r>
    <s v="CLM101794"/>
    <s v="PT12361"/>
    <s v="P04"/>
    <x v="1"/>
    <x v="8"/>
    <n v="1"/>
    <d v="2026-08-09T00:00:00"/>
    <d v="2026-08-12T00:00:00"/>
    <n v="267.58"/>
    <n v="89.59"/>
    <n v="80.63"/>
    <n v="8.9600000000000009"/>
    <s v="Paid"/>
    <s v=""/>
    <d v="2026-08-29T00:00:00"/>
    <d v="2026-08-29T00:00:00"/>
    <n v="260"/>
    <n v="0.36"/>
    <n v="93.6"/>
    <n v="4.0099999999999909"/>
    <x v="0"/>
    <x v="1"/>
    <x v="4"/>
  </r>
  <r>
    <s v="CLM101795"/>
    <s v="PT11916"/>
    <s v="P01"/>
    <x v="1"/>
    <x v="5"/>
    <n v="1"/>
    <d v="2026-08-13T00:00:00"/>
    <d v="2026-08-22T00:00:00"/>
    <n v="4845.13"/>
    <n v="2229.73"/>
    <n v="1783.78"/>
    <n v="445.95"/>
    <s v="Paid"/>
    <s v=""/>
    <d v="2026-09-28T00:00:00"/>
    <d v="2026-09-28T00:00:00"/>
    <n v="4800"/>
    <n v="0.45"/>
    <n v="2160"/>
    <n v="-69.730000000000018"/>
    <x v="0"/>
    <x v="5"/>
    <x v="4"/>
  </r>
  <r>
    <s v="CLM101796"/>
    <s v="PT10366"/>
    <s v="P02"/>
    <x v="0"/>
    <x v="8"/>
    <n v="1"/>
    <d v="2026-07-14T00:00:00"/>
    <d v="2026-07-25T00:00:00"/>
    <n v="265.64"/>
    <n v="103.7"/>
    <n v="93.33"/>
    <n v="10.37"/>
    <s v="Paid"/>
    <s v=""/>
    <d v="2026-08-11T00:00:00"/>
    <d v="2026-08-11T00:00:00"/>
    <n v="260"/>
    <n v="0.43"/>
    <n v="111.8"/>
    <n v="8.0999999999999943"/>
    <x v="1"/>
    <x v="6"/>
    <x v="1"/>
  </r>
  <r>
    <s v="CLM101797"/>
    <s v="PT10518"/>
    <s v="P05"/>
    <x v="0"/>
    <x v="8"/>
    <n v="1"/>
    <d v="2026-07-03T00:00:00"/>
    <d v="2026-07-09T00:00:00"/>
    <n v="263.91000000000003"/>
    <n v="108.77"/>
    <n v="108.77"/>
    <n v="0"/>
    <s v="Paid"/>
    <s v=""/>
    <d v="2026-09-01T00:00:00"/>
    <d v="2026-09-01T00:00:00"/>
    <n v="260"/>
    <n v="0.38"/>
    <n v="98.8"/>
    <n v="-9.9699999999999989"/>
    <x v="0"/>
    <x v="0"/>
    <x v="1"/>
  </r>
  <r>
    <s v="CLM101798"/>
    <s v="PT10514"/>
    <s v="P05"/>
    <x v="3"/>
    <x v="3"/>
    <n v="5"/>
    <d v="2025-12-02T00:00:00"/>
    <d v="2025-12-09T00:00:00"/>
    <n v="7282.92"/>
    <m/>
    <m/>
    <m/>
    <s v="Denied"/>
    <s v="CO-197"/>
    <d v="2026-01-06T00:00:00"/>
    <m/>
    <n v="1450"/>
    <n v="0.38"/>
    <n v="2755"/>
    <s v=""/>
    <x v="2"/>
    <x v="0"/>
    <x v="6"/>
  </r>
  <r>
    <s v="CLM101799"/>
    <s v="PT12057"/>
    <s v="P01"/>
    <x v="2"/>
    <x v="9"/>
    <n v="1"/>
    <d v="2026-03-11T00:00:00"/>
    <d v="2026-06-17T00:00:00"/>
    <n v="56.68"/>
    <m/>
    <m/>
    <m/>
    <s v="Denied"/>
    <s v="CO-29"/>
    <d v="2026-07-11T00:00:00"/>
    <m/>
    <n v="58"/>
    <n v="0.45"/>
    <n v="26.1"/>
    <s v=""/>
    <x v="2"/>
    <x v="5"/>
    <x v="2"/>
  </r>
  <r>
    <s v="CLM101800"/>
    <s v="PT12855"/>
    <s v="P02"/>
    <x v="3"/>
    <x v="3"/>
    <n v="10"/>
    <d v="2025-11-01T00:00:00"/>
    <d v="2025-11-07T00:00:00"/>
    <n v="14325.42"/>
    <m/>
    <m/>
    <m/>
    <s v="Denied"/>
    <s v="CO-197"/>
    <d v="2025-12-08T00:00:00"/>
    <m/>
    <n v="1450"/>
    <n v="0.43"/>
    <n v="6235"/>
    <s v=""/>
    <x v="2"/>
    <x v="6"/>
    <x v="3"/>
  </r>
  <r>
    <s v="CLM101801"/>
    <s v="PT10856"/>
    <s v="P02"/>
    <x v="0"/>
    <x v="7"/>
    <n v="1"/>
    <d v="2026-04-24T00:00:00"/>
    <d v="2026-04-27T00:00:00"/>
    <n v="205.46"/>
    <n v="83.7"/>
    <n v="83.7"/>
    <n v="0"/>
    <s v="Paid"/>
    <s v=""/>
    <d v="2026-05-27T00:00:00"/>
    <d v="2026-05-27T00:00:00"/>
    <n v="210"/>
    <n v="0.43"/>
    <n v="90.3"/>
    <n v="6.5999999999999943"/>
    <x v="1"/>
    <x v="6"/>
    <x v="10"/>
  </r>
  <r>
    <s v="CLM101802"/>
    <s v="PT10370"/>
    <s v="P05"/>
    <x v="0"/>
    <x v="0"/>
    <n v="1"/>
    <d v="2026-08-17T00:00:00"/>
    <d v="2026-08-19T00:00:00"/>
    <n v="143.55000000000001"/>
    <n v="59.2"/>
    <n v="47.36"/>
    <n v="11.84"/>
    <s v="Paid"/>
    <s v=""/>
    <d v="2026-09-24T00:00:00"/>
    <d v="2026-09-24T00:00:00"/>
    <n v="145"/>
    <n v="0.38"/>
    <n v="55.1"/>
    <n v="-4.1000000000000014"/>
    <x v="0"/>
    <x v="0"/>
    <x v="4"/>
  </r>
  <r>
    <s v="CLM101803"/>
    <s v="PT11420"/>
    <s v="P03"/>
    <x v="0"/>
    <x v="8"/>
    <n v="1"/>
    <d v="2026-02-04T00:00:00"/>
    <d v="2026-02-06T00:00:00"/>
    <n v="253.54"/>
    <n v="115.16"/>
    <n v="103.64"/>
    <n v="11.52"/>
    <s v="Paid"/>
    <s v=""/>
    <d v="2026-03-07T00:00:00"/>
    <d v="2026-03-07T00:00:00"/>
    <n v="260"/>
    <n v="0.47"/>
    <n v="122.2"/>
    <n v="7.0400000000000063"/>
    <x v="1"/>
    <x v="4"/>
    <x v="0"/>
  </r>
  <r>
    <s v="CLM101804"/>
    <s v="PT10982"/>
    <s v="P01"/>
    <x v="3"/>
    <x v="3"/>
    <n v="10"/>
    <d v="2026-02-26T00:00:00"/>
    <d v="2026-03-03T00:00:00"/>
    <n v="14406.81"/>
    <m/>
    <m/>
    <m/>
    <s v="Denied"/>
    <s v="CO-197"/>
    <d v="2026-03-25T00:00:00"/>
    <m/>
    <n v="1450"/>
    <n v="0.45"/>
    <n v="6525"/>
    <s v=""/>
    <x v="2"/>
    <x v="5"/>
    <x v="0"/>
  </r>
  <r>
    <s v="CLM101805"/>
    <s v="PT10313"/>
    <s v="P02"/>
    <x v="0"/>
    <x v="4"/>
    <n v="1"/>
    <d v="2026-03-25T00:00:00"/>
    <d v="2026-03-27T00:00:00"/>
    <n v="38.94"/>
    <n v="16.010000000000002"/>
    <n v="12.81"/>
    <n v="3.2"/>
    <s v="Paid"/>
    <s v=""/>
    <d v="2026-04-27T00:00:00"/>
    <d v="2026-04-27T00:00:00"/>
    <n v="38"/>
    <n v="0.43"/>
    <n v="16.34"/>
    <n v="0.32999999999999829"/>
    <x v="0"/>
    <x v="6"/>
    <x v="2"/>
  </r>
  <r>
    <s v="CLM101807"/>
    <s v="PT10153"/>
    <s v="P02"/>
    <x v="0"/>
    <x v="7"/>
    <n v="1"/>
    <d v="2026-08-22T00:00:00"/>
    <d v="2026-08-25T00:00:00"/>
    <n v="215.28"/>
    <n v="105.64"/>
    <n v="105.64"/>
    <n v="0"/>
    <s v="Paid"/>
    <s v=""/>
    <d v="2026-09-29T00:00:00"/>
    <d v="2026-09-29T00:00:00"/>
    <n v="210"/>
    <n v="0.43"/>
    <n v="90.3"/>
    <n v="-15.340000000000003"/>
    <x v="0"/>
    <x v="6"/>
    <x v="4"/>
  </r>
  <r>
    <s v="CLM101808"/>
    <s v="PT11078"/>
    <s v="P04"/>
    <x v="1"/>
    <x v="1"/>
    <n v="1"/>
    <d v="2025-12-09T00:00:00"/>
    <d v="2025-12-10T00:00:00"/>
    <n v="239.86"/>
    <n v="85.99"/>
    <n v="85.99"/>
    <n v="0"/>
    <s v="Paid"/>
    <s v=""/>
    <d v="2025-12-28T00:00:00"/>
    <d v="2025-12-28T00:00:00"/>
    <n v="240"/>
    <n v="0.36"/>
    <n v="86.4"/>
    <n v="0.4100000000000108"/>
    <x v="0"/>
    <x v="1"/>
    <x v="6"/>
  </r>
  <r>
    <s v="CLM101809"/>
    <s v="PT12356"/>
    <s v="P03"/>
    <x v="0"/>
    <x v="8"/>
    <n v="1"/>
    <d v="2026-06-28T00:00:00"/>
    <d v="2026-06-30T00:00:00"/>
    <n v="263.98"/>
    <n v="113.53"/>
    <n v="113.53"/>
    <n v="0"/>
    <s v="Paid"/>
    <s v=""/>
    <d v="2026-08-21T00:00:00"/>
    <d v="2026-08-21T00:00:00"/>
    <n v="260"/>
    <n v="0.47"/>
    <n v="122.2"/>
    <n v="8.6700000000000017"/>
    <x v="1"/>
    <x v="4"/>
    <x v="11"/>
  </r>
  <r>
    <s v="CLM101810"/>
    <s v="PT12333"/>
    <s v="P03"/>
    <x v="0"/>
    <x v="0"/>
    <n v="1"/>
    <d v="2026-04-24T00:00:00"/>
    <d v="2026-04-30T00:00:00"/>
    <n v="142.91"/>
    <n v="75.09"/>
    <n v="75.09"/>
    <n v="0"/>
    <s v="Paid"/>
    <s v=""/>
    <d v="2026-05-30T00:00:00"/>
    <d v="2026-05-30T00:00:00"/>
    <n v="145"/>
    <n v="0.47"/>
    <n v="68.150000000000006"/>
    <n v="-6.9399999999999977"/>
    <x v="0"/>
    <x v="4"/>
    <x v="10"/>
  </r>
  <r>
    <s v="CLM101811"/>
    <s v="PT10458"/>
    <s v="P04"/>
    <x v="1"/>
    <x v="1"/>
    <n v="1"/>
    <d v="2026-02-20T00:00:00"/>
    <d v="2026-02-23T00:00:00"/>
    <n v="246.31"/>
    <n v="98.91"/>
    <n v="89.02"/>
    <n v="9.89"/>
    <s v="Paid"/>
    <s v=""/>
    <d v="2026-03-07T00:00:00"/>
    <d v="2026-03-07T00:00:00"/>
    <n v="240"/>
    <n v="0.36"/>
    <n v="86.4"/>
    <n v="-12.509999999999991"/>
    <x v="0"/>
    <x v="1"/>
    <x v="0"/>
  </r>
  <r>
    <s v="CLM101812"/>
    <s v="PT12264"/>
    <s v="P06"/>
    <x v="2"/>
    <x v="2"/>
    <n v="3"/>
    <d v="2026-03-18T00:00:00"/>
    <d v="2026-03-21T00:00:00"/>
    <n v="188.77"/>
    <m/>
    <m/>
    <m/>
    <s v="Denied"/>
    <s v="CO-16"/>
    <d v="2026-04-22T00:00:00"/>
    <m/>
    <n v="62"/>
    <n v="0.27"/>
    <n v="50.22"/>
    <s v=""/>
    <x v="2"/>
    <x v="2"/>
    <x v="2"/>
  </r>
  <r>
    <s v="CLM101813"/>
    <s v="PT10266"/>
    <s v="P05"/>
    <x v="2"/>
    <x v="2"/>
    <n v="4"/>
    <d v="2026-02-16T00:00:00"/>
    <d v="2026-02-17T00:00:00"/>
    <n v="251.95"/>
    <m/>
    <m/>
    <m/>
    <s v="Denied"/>
    <s v="CO-27"/>
    <d v="2026-03-28T00:00:00"/>
    <m/>
    <n v="62"/>
    <n v="0.38"/>
    <n v="94.24"/>
    <s v=""/>
    <x v="2"/>
    <x v="0"/>
    <x v="0"/>
  </r>
  <r>
    <s v="CLM101814"/>
    <s v="PT12938"/>
    <s v="P01"/>
    <x v="3"/>
    <x v="6"/>
    <n v="1"/>
    <d v="2026-01-22T00:00:00"/>
    <d v="2026-01-23T00:00:00"/>
    <n v="425.85"/>
    <n v="190.14"/>
    <n v="190.14"/>
    <n v="0"/>
    <s v="Paid"/>
    <s v=""/>
    <d v="2026-02-26T00:00:00"/>
    <d v="2026-02-26T00:00:00"/>
    <n v="420"/>
    <n v="0.45"/>
    <n v="189"/>
    <n v="-1.1399999999999864"/>
    <x v="0"/>
    <x v="5"/>
    <x v="5"/>
  </r>
  <r>
    <s v="CLM101815"/>
    <s v="PT10094"/>
    <s v="P04"/>
    <x v="1"/>
    <x v="8"/>
    <n v="1"/>
    <d v="2025-11-27T00:00:00"/>
    <d v="2025-11-29T00:00:00"/>
    <n v="266.89999999999998"/>
    <n v="100.18"/>
    <n v="80.14"/>
    <n v="20.04"/>
    <s v="Paid"/>
    <s v=""/>
    <d v="2025-12-17T00:00:00"/>
    <d v="2025-12-17T00:00:00"/>
    <n v="260"/>
    <n v="0.36"/>
    <n v="93.6"/>
    <n v="-6.5800000000000125"/>
    <x v="0"/>
    <x v="1"/>
    <x v="3"/>
  </r>
  <r>
    <s v="CLM101816"/>
    <s v="PT10348"/>
    <s v="P02"/>
    <x v="1"/>
    <x v="7"/>
    <n v="1"/>
    <d v="2026-03-28T00:00:00"/>
    <d v="2026-03-29T00:00:00"/>
    <n v="207.03"/>
    <m/>
    <m/>
    <m/>
    <s v="Denied"/>
    <s v="CO-16"/>
    <d v="2026-05-09T00:00:00"/>
    <m/>
    <n v="210"/>
    <n v="0.43"/>
    <n v="90.3"/>
    <s v=""/>
    <x v="2"/>
    <x v="6"/>
    <x v="2"/>
  </r>
  <r>
    <s v="CLM101817"/>
    <s v="PT12824"/>
    <s v="P03"/>
    <x v="3"/>
    <x v="6"/>
    <n v="1"/>
    <d v="2025-12-08T00:00:00"/>
    <d v="2025-12-14T00:00:00"/>
    <n v="407.58"/>
    <m/>
    <m/>
    <m/>
    <s v="Denied"/>
    <s v="CO-197"/>
    <d v="2026-02-20T00:00:00"/>
    <m/>
    <n v="420"/>
    <n v="0.47"/>
    <n v="197.4"/>
    <s v=""/>
    <x v="2"/>
    <x v="4"/>
    <x v="6"/>
  </r>
  <r>
    <s v="CLM101818"/>
    <s v="PT10404"/>
    <s v="P04"/>
    <x v="3"/>
    <x v="3"/>
    <n v="20"/>
    <d v="2025-12-21T00:00:00"/>
    <d v="2025-12-28T00:00:00"/>
    <n v="28775.94"/>
    <n v="10821.01"/>
    <n v="9738.91"/>
    <n v="1082.0999999999999"/>
    <s v="Paid"/>
    <s v=""/>
    <d v="2026-01-20T00:00:00"/>
    <d v="2026-01-20T00:00:00"/>
    <n v="1450"/>
    <n v="0.36"/>
    <n v="10440"/>
    <n v="-381.01000000000022"/>
    <x v="0"/>
    <x v="1"/>
    <x v="6"/>
  </r>
  <r>
    <s v="CLM101819"/>
    <s v="PT11047"/>
    <s v="P01"/>
    <x v="2"/>
    <x v="2"/>
    <n v="3"/>
    <d v="2026-02-19T00:00:00"/>
    <d v="2026-02-20T00:00:00"/>
    <n v="191.05"/>
    <n v="76.64"/>
    <n v="61.31"/>
    <n v="15.33"/>
    <s v="Paid"/>
    <s v=""/>
    <d v="2026-03-23T00:00:00"/>
    <d v="2026-03-23T00:00:00"/>
    <n v="62"/>
    <n v="0.45"/>
    <n v="83.7"/>
    <n v="7.0600000000000023"/>
    <x v="1"/>
    <x v="5"/>
    <x v="0"/>
  </r>
  <r>
    <s v="CLM101820"/>
    <s v="PT10706"/>
    <s v="P02"/>
    <x v="2"/>
    <x v="0"/>
    <n v="1"/>
    <d v="2026-01-02T00:00:00"/>
    <d v="2026-01-03T00:00:00"/>
    <n v="142.19"/>
    <n v="54.06"/>
    <n v="54.06"/>
    <n v="0"/>
    <s v="Paid"/>
    <s v=""/>
    <d v="2026-02-02T00:00:00"/>
    <d v="2026-02-02T00:00:00"/>
    <n v="145"/>
    <n v="0.43"/>
    <n v="62.35"/>
    <n v="8.2899999999999991"/>
    <x v="1"/>
    <x v="6"/>
    <x v="5"/>
  </r>
  <r>
    <s v="CLM101821"/>
    <s v="PT10881"/>
    <s v="P04"/>
    <x v="0"/>
    <x v="0"/>
    <n v="1"/>
    <d v="2026-08-15T00:00:00"/>
    <d v="2026-08-16T00:00:00"/>
    <n v="141.1"/>
    <n v="49.72"/>
    <n v="39.78"/>
    <n v="9.94"/>
    <s v="Paid"/>
    <s v=""/>
    <d v="2026-09-07T00:00:00"/>
    <d v="2026-09-07T00:00:00"/>
    <n v="145"/>
    <n v="0.36"/>
    <n v="52.2"/>
    <n v="2.480000000000004"/>
    <x v="0"/>
    <x v="1"/>
    <x v="4"/>
  </r>
  <r>
    <s v="CLM101822"/>
    <s v="PT13245"/>
    <s v="P01"/>
    <x v="1"/>
    <x v="8"/>
    <n v="1"/>
    <d v="2026-04-23T00:00:00"/>
    <d v="2026-04-28T00:00:00"/>
    <n v="259.2"/>
    <m/>
    <m/>
    <m/>
    <s v="Denied"/>
    <s v="CO-50"/>
    <d v="2026-06-02T00:00:00"/>
    <m/>
    <n v="260"/>
    <n v="0.45"/>
    <n v="117"/>
    <s v=""/>
    <x v="2"/>
    <x v="5"/>
    <x v="10"/>
  </r>
  <r>
    <s v="CLM101823"/>
    <s v="PT13268"/>
    <s v="P01"/>
    <x v="0"/>
    <x v="0"/>
    <n v="1"/>
    <d v="2026-05-27T00:00:00"/>
    <d v="2026-05-29T00:00:00"/>
    <n v="144.79"/>
    <m/>
    <m/>
    <m/>
    <s v="Denied"/>
    <s v="CO-27"/>
    <d v="2026-06-27T00:00:00"/>
    <m/>
    <n v="145"/>
    <n v="0.45"/>
    <n v="65.25"/>
    <s v=""/>
    <x v="2"/>
    <x v="5"/>
    <x v="7"/>
  </r>
  <r>
    <s v="CLM101824"/>
    <s v="PT12214"/>
    <s v="P03"/>
    <x v="1"/>
    <x v="5"/>
    <n v="1"/>
    <d v="2026-08-12T00:00:00"/>
    <d v="2026-08-13T00:00:00"/>
    <n v="4788.91"/>
    <n v="2371.42"/>
    <n v="2371.42"/>
    <n v="0"/>
    <s v="Paid"/>
    <s v=""/>
    <d v="2026-09-29T00:00:00"/>
    <d v="2026-09-29T00:00:00"/>
    <n v="4800"/>
    <n v="0.47"/>
    <n v="2256"/>
    <n v="-115.42000000000007"/>
    <x v="0"/>
    <x v="4"/>
    <x v="4"/>
  </r>
  <r>
    <s v="CLM101825"/>
    <s v="PT11295"/>
    <s v="P01"/>
    <x v="2"/>
    <x v="0"/>
    <n v="1"/>
    <d v="2026-06-18T00:00:00"/>
    <d v="2026-06-19T00:00:00"/>
    <n v="144.76"/>
    <n v="57.44"/>
    <n v="51.7"/>
    <n v="5.74"/>
    <s v="Paid"/>
    <s v=""/>
    <d v="2026-07-20T00:00:00"/>
    <d v="2026-07-20T00:00:00"/>
    <n v="145"/>
    <n v="0.45"/>
    <n v="65.25"/>
    <n v="7.8100000000000023"/>
    <x v="1"/>
    <x v="5"/>
    <x v="11"/>
  </r>
  <r>
    <s v="CLM101826"/>
    <s v="PT11051"/>
    <s v="P05"/>
    <x v="2"/>
    <x v="0"/>
    <n v="1"/>
    <d v="2026-04-27T00:00:00"/>
    <d v="2026-05-24T00:00:00"/>
    <n v="147.54"/>
    <m/>
    <m/>
    <m/>
    <s v="Denied"/>
    <s v="CO-11"/>
    <d v="2026-07-13T00:00:00"/>
    <m/>
    <n v="145"/>
    <n v="0.38"/>
    <n v="55.1"/>
    <s v=""/>
    <x v="2"/>
    <x v="0"/>
    <x v="10"/>
  </r>
  <r>
    <s v="CLM101827"/>
    <s v="PT11627"/>
    <s v="P05"/>
    <x v="1"/>
    <x v="7"/>
    <n v="1"/>
    <d v="2026-02-28T00:00:00"/>
    <d v="2026-03-11T00:00:00"/>
    <n v="214.5"/>
    <m/>
    <m/>
    <m/>
    <s v="Denied"/>
    <s v="CO-27"/>
    <d v="2026-05-02T00:00:00"/>
    <m/>
    <n v="210"/>
    <n v="0.38"/>
    <n v="79.8"/>
    <s v=""/>
    <x v="2"/>
    <x v="0"/>
    <x v="0"/>
  </r>
  <r>
    <s v="CLM101828"/>
    <s v="PT10852"/>
    <s v="P01"/>
    <x v="3"/>
    <x v="3"/>
    <n v="5"/>
    <d v="2026-09-06T00:00:00"/>
    <d v="2026-09-08T00:00:00"/>
    <n v="7286.25"/>
    <n v="3582.63"/>
    <n v="3582.63"/>
    <n v="0"/>
    <s v="Paid"/>
    <s v=""/>
    <d v="2026-09-30T00:00:00"/>
    <d v="2026-09-30T00:00:00"/>
    <n v="1450"/>
    <n v="0.45"/>
    <n v="3262.5"/>
    <n v="-320.13000000000011"/>
    <x v="0"/>
    <x v="5"/>
    <x v="8"/>
  </r>
  <r>
    <s v="CLM101829"/>
    <s v="PT12468"/>
    <s v="P04"/>
    <x v="3"/>
    <x v="6"/>
    <n v="1"/>
    <d v="2026-03-30T00:00:00"/>
    <d v="2026-04-01T00:00:00"/>
    <n v="415.36"/>
    <n v="145.30000000000001"/>
    <n v="116.24"/>
    <n v="29.06"/>
    <s v="Paid"/>
    <s v=""/>
    <d v="2026-04-19T00:00:00"/>
    <d v="2026-04-19T00:00:00"/>
    <n v="420"/>
    <n v="0.36"/>
    <n v="151.19999999999999"/>
    <n v="5.8999999999999773"/>
    <x v="0"/>
    <x v="1"/>
    <x v="2"/>
  </r>
  <r>
    <s v="CLM101830"/>
    <s v="PT10433"/>
    <s v="P04"/>
    <x v="2"/>
    <x v="0"/>
    <n v="1"/>
    <d v="2026-09-12T00:00:00"/>
    <d v="2026-09-24T00:00:00"/>
    <n v="141.82"/>
    <m/>
    <m/>
    <m/>
    <s v="Pending"/>
    <s v=""/>
    <m/>
    <m/>
    <n v="145"/>
    <n v="0.36"/>
    <n v="52.2"/>
    <s v=""/>
    <x v="2"/>
    <x v="1"/>
    <x v="8"/>
  </r>
  <r>
    <s v="CLM101831"/>
    <s v="PT13102"/>
    <s v="P01"/>
    <x v="1"/>
    <x v="4"/>
    <n v="1"/>
    <d v="2026-07-02T00:00:00"/>
    <d v="2026-07-10T00:00:00"/>
    <n v="38.19"/>
    <n v="16.809999999999999"/>
    <n v="13.45"/>
    <n v="3.36"/>
    <s v="Paid"/>
    <s v=""/>
    <d v="2026-08-08T00:00:00"/>
    <d v="2026-08-08T00:00:00"/>
    <n v="38"/>
    <n v="0.45"/>
    <n v="17.100000000000001"/>
    <n v="0.2900000000000027"/>
    <x v="0"/>
    <x v="5"/>
    <x v="1"/>
  </r>
  <r>
    <s v="CLM101832"/>
    <s v="PT10519"/>
    <s v="P04"/>
    <x v="3"/>
    <x v="7"/>
    <n v="1"/>
    <d v="2026-07-02T00:00:00"/>
    <d v="2026-07-04T00:00:00"/>
    <n v="214.85"/>
    <n v="84.35"/>
    <n v="67.48"/>
    <n v="16.87"/>
    <s v="Paid"/>
    <s v=""/>
    <d v="2026-07-27T00:00:00"/>
    <d v="2026-07-27T00:00:00"/>
    <n v="210"/>
    <n v="0.36"/>
    <n v="75.599999999999994"/>
    <n v="-8.75"/>
    <x v="0"/>
    <x v="1"/>
    <x v="1"/>
  </r>
  <r>
    <s v="CLM101833"/>
    <s v="PT13068"/>
    <s v="P08"/>
    <x v="1"/>
    <x v="10"/>
    <n v="1"/>
    <d v="2025-10-05T00:00:00"/>
    <d v="2025-10-07T00:00:00"/>
    <n v="1050.01"/>
    <m/>
    <m/>
    <m/>
    <s v="Pending"/>
    <s v=""/>
    <m/>
    <m/>
    <n v="1050"/>
    <n v="1"/>
    <n v="1050"/>
    <s v=""/>
    <x v="2"/>
    <x v="7"/>
    <x v="9"/>
  </r>
  <r>
    <s v="CLM101834"/>
    <s v="PT10178"/>
    <s v="P04"/>
    <x v="1"/>
    <x v="5"/>
    <n v="1"/>
    <d v="2025-11-15T00:00:00"/>
    <d v="2025-11-16T00:00:00"/>
    <n v="4937.3"/>
    <m/>
    <m/>
    <m/>
    <s v="Denied"/>
    <s v="CO-197"/>
    <d v="2025-12-07T00:00:00"/>
    <m/>
    <n v="4800"/>
    <n v="0.36"/>
    <n v="1728"/>
    <s v=""/>
    <x v="2"/>
    <x v="1"/>
    <x v="3"/>
  </r>
  <r>
    <s v="CLM101835"/>
    <s v="PT10160"/>
    <s v="P01"/>
    <x v="2"/>
    <x v="0"/>
    <n v="1"/>
    <d v="2026-01-10T00:00:00"/>
    <d v="2026-01-26T00:00:00"/>
    <n v="147.47999999999999"/>
    <n v="65.069999999999993"/>
    <n v="52.06"/>
    <n v="13.01"/>
    <s v="Paid"/>
    <s v=""/>
    <d v="2026-03-01T00:00:00"/>
    <d v="2026-03-01T00:00:00"/>
    <n v="145"/>
    <n v="0.45"/>
    <n v="65.25"/>
    <n v="0.18000000000000682"/>
    <x v="0"/>
    <x v="5"/>
    <x v="5"/>
  </r>
  <r>
    <s v="CLM101836"/>
    <s v="PT10816"/>
    <s v="P01"/>
    <x v="0"/>
    <x v="0"/>
    <n v="1"/>
    <d v="2026-06-28T00:00:00"/>
    <d v="2026-06-30T00:00:00"/>
    <n v="144.22"/>
    <n v="69.23"/>
    <n v="69.23"/>
    <n v="0"/>
    <s v="Paid"/>
    <s v=""/>
    <d v="2026-07-31T00:00:00"/>
    <d v="2026-07-31T00:00:00"/>
    <n v="145"/>
    <n v="0.45"/>
    <n v="65.25"/>
    <n v="-3.980000000000004"/>
    <x v="0"/>
    <x v="5"/>
    <x v="11"/>
  </r>
  <r>
    <s v="CLM101837"/>
    <s v="PT10008"/>
    <s v="P05"/>
    <x v="3"/>
    <x v="6"/>
    <n v="1"/>
    <d v="2025-12-15T00:00:00"/>
    <d v="2025-12-17T00:00:00"/>
    <n v="429.23"/>
    <n v="183.52"/>
    <n v="183.52"/>
    <n v="0"/>
    <s v="Paid"/>
    <s v=""/>
    <d v="2026-02-07T00:00:00"/>
    <d v="2026-02-07T00:00:00"/>
    <n v="420"/>
    <n v="0.38"/>
    <n v="159.6"/>
    <n v="-23.920000000000016"/>
    <x v="0"/>
    <x v="0"/>
    <x v="6"/>
  </r>
  <r>
    <s v="CLM101838"/>
    <s v="PT10013"/>
    <s v="P04"/>
    <x v="1"/>
    <x v="8"/>
    <n v="1"/>
    <d v="2026-04-11T00:00:00"/>
    <d v="2026-04-13T00:00:00"/>
    <n v="256.08"/>
    <n v="89.42"/>
    <n v="89.42"/>
    <n v="0"/>
    <s v="Paid"/>
    <s v=""/>
    <d v="2026-05-01T00:00:00"/>
    <d v="2026-05-01T00:00:00"/>
    <n v="260"/>
    <n v="0.36"/>
    <n v="93.6"/>
    <n v="4.1799999999999926"/>
    <x v="0"/>
    <x v="1"/>
    <x v="10"/>
  </r>
  <r>
    <s v="CLM101839"/>
    <s v="PT11574"/>
    <s v="P01"/>
    <x v="0"/>
    <x v="0"/>
    <n v="1"/>
    <d v="2025-11-30T00:00:00"/>
    <d v="2025-12-01T00:00:00"/>
    <n v="144.18"/>
    <n v="72.06"/>
    <n v="72.06"/>
    <n v="0"/>
    <s v="Paid"/>
    <s v=""/>
    <d v="2026-01-02T00:00:00"/>
    <d v="2026-01-02T00:00:00"/>
    <n v="145"/>
    <n v="0.45"/>
    <n v="65.25"/>
    <n v="-6.8100000000000023"/>
    <x v="0"/>
    <x v="5"/>
    <x v="3"/>
  </r>
  <r>
    <s v="CLM101840"/>
    <s v="PT13031"/>
    <s v="P06"/>
    <x v="0"/>
    <x v="7"/>
    <n v="1"/>
    <d v="2025-12-11T00:00:00"/>
    <d v="2025-12-12T00:00:00"/>
    <n v="212.34"/>
    <n v="63.25"/>
    <n v="50.6"/>
    <n v="12.65"/>
    <s v="Paid"/>
    <s v=""/>
    <d v="2026-01-07T00:00:00"/>
    <d v="2026-01-07T00:00:00"/>
    <n v="210"/>
    <n v="0.27"/>
    <n v="56.7"/>
    <n v="-6.5499999999999972"/>
    <x v="0"/>
    <x v="2"/>
    <x v="6"/>
  </r>
  <r>
    <s v="CLM101841"/>
    <s v="PT11966"/>
    <s v="P02"/>
    <x v="3"/>
    <x v="3"/>
    <n v="20"/>
    <d v="2026-07-05T00:00:00"/>
    <d v="2026-07-24T00:00:00"/>
    <n v="28652.35"/>
    <n v="13936.3"/>
    <n v="11149.04"/>
    <n v="2787.26"/>
    <s v="Paid"/>
    <s v=""/>
    <d v="2026-08-04T00:00:00"/>
    <d v="2026-08-04T00:00:00"/>
    <n v="1450"/>
    <n v="0.43"/>
    <n v="12470"/>
    <n v="-1466.2999999999993"/>
    <x v="0"/>
    <x v="6"/>
    <x v="1"/>
  </r>
  <r>
    <s v="CLM101842"/>
    <s v="PT12961"/>
    <s v="P02"/>
    <x v="2"/>
    <x v="9"/>
    <n v="1"/>
    <d v="2025-10-26T00:00:00"/>
    <d v="2025-11-02T00:00:00"/>
    <n v="59.47"/>
    <n v="26.88"/>
    <n v="26.88"/>
    <n v="0"/>
    <s v="Paid"/>
    <s v=""/>
    <d v="2025-12-04T00:00:00"/>
    <d v="2025-12-04T00:00:00"/>
    <n v="58"/>
    <n v="0.43"/>
    <n v="24.94"/>
    <n v="-1.9399999999999977"/>
    <x v="0"/>
    <x v="6"/>
    <x v="9"/>
  </r>
  <r>
    <s v="CLM101843"/>
    <s v="PT11350"/>
    <s v="P01"/>
    <x v="2"/>
    <x v="9"/>
    <n v="3"/>
    <d v="2025-11-19T00:00:00"/>
    <d v="2025-11-21T00:00:00"/>
    <n v="177.99"/>
    <n v="76.84"/>
    <n v="69.16"/>
    <n v="7.68"/>
    <s v="Paid"/>
    <s v=""/>
    <d v="2025-12-23T00:00:00"/>
    <d v="2025-12-23T00:00:00"/>
    <n v="58"/>
    <n v="0.45"/>
    <n v="78.3"/>
    <n v="1.4599999999999937"/>
    <x v="0"/>
    <x v="5"/>
    <x v="3"/>
  </r>
  <r>
    <s v="CLM101844"/>
    <s v="PT11137"/>
    <s v="P01"/>
    <x v="0"/>
    <x v="8"/>
    <n v="1"/>
    <d v="2025-10-10T00:00:00"/>
    <d v="2025-10-12T00:00:00"/>
    <n v="255.15"/>
    <n v="97.39"/>
    <n v="97.39"/>
    <n v="0"/>
    <s v="Paid"/>
    <s v=""/>
    <d v="2025-11-04T00:00:00"/>
    <d v="2025-11-04T00:00:00"/>
    <n v="260"/>
    <n v="0.45"/>
    <n v="117"/>
    <n v="19.61"/>
    <x v="1"/>
    <x v="5"/>
    <x v="9"/>
  </r>
  <r>
    <s v="CLM101845"/>
    <s v="PT11656"/>
    <s v="P03"/>
    <x v="0"/>
    <x v="0"/>
    <n v="1"/>
    <d v="2026-04-11T00:00:00"/>
    <d v="2026-04-15T00:00:00"/>
    <n v="148.86000000000001"/>
    <n v="72.13"/>
    <n v="64.92"/>
    <n v="7.21"/>
    <s v="Paid"/>
    <s v=""/>
    <d v="2026-06-08T00:00:00"/>
    <d v="2026-06-08T00:00:00"/>
    <n v="145"/>
    <n v="0.47"/>
    <n v="68.150000000000006"/>
    <n v="-3.9799999999999898"/>
    <x v="0"/>
    <x v="4"/>
    <x v="10"/>
  </r>
  <r>
    <s v="CLM101846"/>
    <s v="PT12820"/>
    <s v="P05"/>
    <x v="0"/>
    <x v="7"/>
    <n v="1"/>
    <d v="2025-11-18T00:00:00"/>
    <d v="2025-11-19T00:00:00"/>
    <n v="204.44"/>
    <n v="83.58"/>
    <n v="83.58"/>
    <n v="0"/>
    <s v="Paid"/>
    <s v=""/>
    <d v="2026-01-19T00:00:00"/>
    <d v="2026-01-19T00:00:00"/>
    <n v="210"/>
    <n v="0.38"/>
    <n v="79.8"/>
    <n v="-3.7800000000000011"/>
    <x v="0"/>
    <x v="0"/>
    <x v="3"/>
  </r>
  <r>
    <s v="CLM101847"/>
    <s v="PT10576"/>
    <s v="P04"/>
    <x v="0"/>
    <x v="7"/>
    <n v="1"/>
    <d v="2026-06-20T00:00:00"/>
    <d v="2026-07-01T00:00:00"/>
    <n v="209.33"/>
    <n v="63.66"/>
    <n v="50.93"/>
    <n v="12.73"/>
    <s v="Paid"/>
    <s v=""/>
    <d v="2026-07-11T00:00:00"/>
    <d v="2026-07-11T00:00:00"/>
    <n v="210"/>
    <n v="0.36"/>
    <n v="75.599999999999994"/>
    <n v="11.939999999999998"/>
    <x v="1"/>
    <x v="1"/>
    <x v="11"/>
  </r>
  <r>
    <s v="CLM101848"/>
    <s v="PT11685"/>
    <s v="P03"/>
    <x v="1"/>
    <x v="11"/>
    <n v="1"/>
    <d v="2025-11-05T00:00:00"/>
    <d v="2025-11-10T00:00:00"/>
    <n v="1149.78"/>
    <n v="537.79"/>
    <n v="537.79"/>
    <n v="0"/>
    <s v="Paid"/>
    <s v=""/>
    <d v="2025-12-28T00:00:00"/>
    <d v="2025-12-28T00:00:00"/>
    <n v="1150"/>
    <n v="0.47"/>
    <n v="540.5"/>
    <n v="2.7100000000000364"/>
    <x v="0"/>
    <x v="4"/>
    <x v="3"/>
  </r>
  <r>
    <s v="CLM101849"/>
    <s v="PT12259"/>
    <s v="P02"/>
    <x v="1"/>
    <x v="7"/>
    <n v="1"/>
    <d v="2026-05-21T00:00:00"/>
    <d v="2026-05-23T00:00:00"/>
    <n v="203.92"/>
    <n v="76.180000000000007"/>
    <n v="76.180000000000007"/>
    <n v="0"/>
    <s v="Paid"/>
    <s v=""/>
    <d v="2026-06-15T00:00:00"/>
    <d v="2026-06-15T00:00:00"/>
    <n v="210"/>
    <n v="0.43"/>
    <n v="90.3"/>
    <n v="14.11999999999999"/>
    <x v="1"/>
    <x v="6"/>
    <x v="7"/>
  </r>
  <r>
    <s v="CLM101850"/>
    <s v="PT12726"/>
    <s v="P04"/>
    <x v="3"/>
    <x v="3"/>
    <n v="30"/>
    <d v="2026-09-17T00:00:00"/>
    <d v="2026-09-21T00:00:00"/>
    <n v="44643.88"/>
    <m/>
    <m/>
    <m/>
    <s v="Pending"/>
    <s v=""/>
    <m/>
    <m/>
    <n v="1450"/>
    <n v="0.36"/>
    <n v="15660"/>
    <s v=""/>
    <x v="2"/>
    <x v="1"/>
    <x v="8"/>
  </r>
  <r>
    <s v="CLM101851"/>
    <s v="PT10523"/>
    <s v="P01"/>
    <x v="2"/>
    <x v="9"/>
    <n v="1"/>
    <d v="2025-10-17T00:00:00"/>
    <d v="2026-02-16T00:00:00"/>
    <n v="57.88"/>
    <m/>
    <m/>
    <m/>
    <s v="Denied"/>
    <s v="CO-29"/>
    <d v="2026-03-17T00:00:00"/>
    <m/>
    <n v="58"/>
    <n v="0.45"/>
    <n v="26.1"/>
    <s v=""/>
    <x v="2"/>
    <x v="5"/>
    <x v="9"/>
  </r>
  <r>
    <s v="CLM101852"/>
    <s v="PT10281"/>
    <s v="P03"/>
    <x v="0"/>
    <x v="7"/>
    <n v="1"/>
    <d v="2025-10-16T00:00:00"/>
    <d v="2025-10-25T00:00:00"/>
    <n v="204.83"/>
    <n v="87.76"/>
    <n v="70.209999999999994"/>
    <n v="17.55"/>
    <s v="Paid"/>
    <s v=""/>
    <d v="2025-12-23T00:00:00"/>
    <d v="2025-12-23T00:00:00"/>
    <n v="210"/>
    <n v="0.47"/>
    <n v="98.7"/>
    <n v="10.939999999999998"/>
    <x v="1"/>
    <x v="4"/>
    <x v="9"/>
  </r>
  <r>
    <s v="CLM101853"/>
    <s v="PT11331"/>
    <s v="P01"/>
    <x v="0"/>
    <x v="7"/>
    <n v="1"/>
    <d v="2026-02-13T00:00:00"/>
    <d v="2026-02-19T00:00:00"/>
    <n v="215.63"/>
    <m/>
    <m/>
    <m/>
    <s v="Denied"/>
    <s v="CO-11"/>
    <d v="2026-03-12T00:00:00"/>
    <m/>
    <n v="210"/>
    <n v="0.45"/>
    <n v="94.5"/>
    <s v=""/>
    <x v="2"/>
    <x v="5"/>
    <x v="0"/>
  </r>
  <r>
    <s v="CLM101854"/>
    <s v="PT11363"/>
    <s v="P01"/>
    <x v="2"/>
    <x v="0"/>
    <n v="1"/>
    <d v="2025-12-13T00:00:00"/>
    <d v="2025-12-16T00:00:00"/>
    <n v="149.16"/>
    <n v="64.67"/>
    <n v="64.67"/>
    <n v="0"/>
    <s v="Paid"/>
    <s v=""/>
    <d v="2026-01-16T00:00:00"/>
    <d v="2026-01-16T00:00:00"/>
    <n v="145"/>
    <n v="0.45"/>
    <n v="65.25"/>
    <n v="0.57999999999999829"/>
    <x v="0"/>
    <x v="5"/>
    <x v="6"/>
  </r>
  <r>
    <s v="CLM101855"/>
    <s v="PT11062"/>
    <s v="P03"/>
    <x v="1"/>
    <x v="11"/>
    <n v="1"/>
    <d v="2026-08-17T00:00:00"/>
    <d v="2026-08-31T00:00:00"/>
    <n v="1183.33"/>
    <m/>
    <m/>
    <m/>
    <s v="Pending"/>
    <s v=""/>
    <m/>
    <m/>
    <n v="1150"/>
    <n v="0.47"/>
    <n v="540.5"/>
    <s v=""/>
    <x v="2"/>
    <x v="4"/>
    <x v="4"/>
  </r>
  <r>
    <s v="CLM101856"/>
    <s v="PT10516"/>
    <s v="P08"/>
    <x v="1"/>
    <x v="1"/>
    <n v="1"/>
    <d v="2025-11-12T00:00:00"/>
    <d v="2025-11-15T00:00:00"/>
    <n v="239.87"/>
    <n v="239.87"/>
    <n v="239.87"/>
    <n v="0"/>
    <s v="Paid"/>
    <s v=""/>
    <d v="2026-03-05T00:00:00"/>
    <d v="2026-03-05T00:00:00"/>
    <n v="240"/>
    <n v="1"/>
    <n v="240"/>
    <n v="0.12999999999999545"/>
    <x v="0"/>
    <x v="7"/>
    <x v="3"/>
  </r>
  <r>
    <s v="CLM101857"/>
    <s v="PT11438"/>
    <s v="P08"/>
    <x v="2"/>
    <x v="0"/>
    <n v="1"/>
    <d v="2026-04-20T00:00:00"/>
    <d v="2026-04-21T00:00:00"/>
    <n v="144.59"/>
    <n v="144.59"/>
    <n v="144.59"/>
    <n v="0"/>
    <s v="Paid"/>
    <s v=""/>
    <d v="2026-06-21T00:00:00"/>
    <d v="2026-06-21T00:00:00"/>
    <n v="145"/>
    <n v="1"/>
    <n v="145"/>
    <n v="0.40999999999999659"/>
    <x v="0"/>
    <x v="7"/>
    <x v="10"/>
  </r>
  <r>
    <s v="CLM101858"/>
    <s v="PT13458"/>
    <s v="P08"/>
    <x v="2"/>
    <x v="9"/>
    <n v="1"/>
    <d v="2025-12-06T00:00:00"/>
    <d v="2025-12-19T00:00:00"/>
    <n v="59.68"/>
    <m/>
    <m/>
    <m/>
    <s v="Pending"/>
    <s v=""/>
    <m/>
    <m/>
    <n v="58"/>
    <n v="1"/>
    <n v="58"/>
    <s v=""/>
    <x v="2"/>
    <x v="7"/>
    <x v="6"/>
  </r>
  <r>
    <s v="CLM101859"/>
    <s v="PT10061"/>
    <s v="P02"/>
    <x v="1"/>
    <x v="1"/>
    <n v="1"/>
    <d v="2026-05-28T00:00:00"/>
    <d v="2026-06-02T00:00:00"/>
    <n v="244.75"/>
    <n v="109.16"/>
    <n v="98.24"/>
    <n v="10.92"/>
    <s v="Paid"/>
    <s v=""/>
    <d v="2026-07-03T00:00:00"/>
    <d v="2026-07-03T00:00:00"/>
    <n v="240"/>
    <n v="0.43"/>
    <n v="103.2"/>
    <n v="-5.9599999999999937"/>
    <x v="0"/>
    <x v="6"/>
    <x v="7"/>
  </r>
  <r>
    <s v="CLM101860"/>
    <s v="PT11259"/>
    <s v="P06"/>
    <x v="1"/>
    <x v="8"/>
    <n v="1"/>
    <d v="2026-03-05T00:00:00"/>
    <d v="2026-03-08T00:00:00"/>
    <n v="260.01"/>
    <n v="62.46"/>
    <n v="62.46"/>
    <n v="0"/>
    <s v="Paid"/>
    <s v=""/>
    <d v="2026-04-19T00:00:00"/>
    <d v="2026-04-19T00:00:00"/>
    <n v="260"/>
    <n v="0.27"/>
    <n v="70.2"/>
    <n v="7.740000000000002"/>
    <x v="1"/>
    <x v="2"/>
    <x v="2"/>
  </r>
  <r>
    <s v="CLM101861"/>
    <s v="PT13454"/>
    <s v="P03"/>
    <x v="1"/>
    <x v="4"/>
    <n v="1"/>
    <d v="2026-04-12T00:00:00"/>
    <d v="2026-04-24T00:00:00"/>
    <n v="38.11"/>
    <m/>
    <m/>
    <m/>
    <s v="Denied"/>
    <s v="CO-27"/>
    <d v="2026-07-04T00:00:00"/>
    <m/>
    <n v="38"/>
    <n v="0.47"/>
    <n v="17.86"/>
    <s v=""/>
    <x v="2"/>
    <x v="4"/>
    <x v="10"/>
  </r>
  <r>
    <s v="CLM101862"/>
    <s v="PT13170"/>
    <s v="P01"/>
    <x v="0"/>
    <x v="7"/>
    <n v="1"/>
    <d v="2026-04-23T00:00:00"/>
    <d v="2026-04-25T00:00:00"/>
    <n v="212.02"/>
    <n v="104.86"/>
    <n v="83.89"/>
    <n v="20.97"/>
    <s v="Paid"/>
    <s v=""/>
    <d v="2026-05-23T00:00:00"/>
    <d v="2026-05-23T00:00:00"/>
    <n v="210"/>
    <n v="0.45"/>
    <n v="94.5"/>
    <n v="-10.36"/>
    <x v="0"/>
    <x v="5"/>
    <x v="10"/>
  </r>
  <r>
    <s v="CLM101863"/>
    <s v="PT11381"/>
    <s v="P01"/>
    <x v="1"/>
    <x v="1"/>
    <n v="1"/>
    <d v="2025-12-15T00:00:00"/>
    <d v="2025-12-16T00:00:00"/>
    <n v="239.48"/>
    <n v="98.83"/>
    <n v="98.83"/>
    <n v="0"/>
    <s v="Paid"/>
    <s v=""/>
    <d v="2026-01-09T00:00:00"/>
    <d v="2026-01-09T00:00:00"/>
    <n v="240"/>
    <n v="0.45"/>
    <n v="108"/>
    <n v="9.1700000000000017"/>
    <x v="1"/>
    <x v="5"/>
    <x v="6"/>
  </r>
  <r>
    <s v="CLM101864"/>
    <s v="PT11659"/>
    <s v="P03"/>
    <x v="3"/>
    <x v="6"/>
    <n v="1"/>
    <d v="2026-06-15T00:00:00"/>
    <d v="2026-06-21T00:00:00"/>
    <n v="427.72"/>
    <n v="188.09"/>
    <n v="150.47"/>
    <n v="37.619999999999997"/>
    <s v="Paid"/>
    <s v=""/>
    <d v="2026-08-10T00:00:00"/>
    <d v="2026-08-10T00:00:00"/>
    <n v="420"/>
    <n v="0.47"/>
    <n v="197.4"/>
    <n v="9.3100000000000023"/>
    <x v="0"/>
    <x v="4"/>
    <x v="11"/>
  </r>
  <r>
    <s v="CLM101865"/>
    <s v="PT11273"/>
    <s v="P01"/>
    <x v="1"/>
    <x v="5"/>
    <n v="1"/>
    <d v="2025-11-20T00:00:00"/>
    <d v="2025-12-10T00:00:00"/>
    <n v="4891.17"/>
    <m/>
    <m/>
    <m/>
    <s v="Denied"/>
    <s v="CO-197"/>
    <d v="2025-12-28T00:00:00"/>
    <m/>
    <n v="4800"/>
    <n v="0.45"/>
    <n v="2160"/>
    <s v=""/>
    <x v="2"/>
    <x v="5"/>
    <x v="3"/>
  </r>
  <r>
    <s v="CLM101866"/>
    <s v="PT12034"/>
    <s v="P01"/>
    <x v="1"/>
    <x v="5"/>
    <n v="1"/>
    <d v="2026-09-28T00:00:00"/>
    <d v="2026-09-30T00:00:00"/>
    <n v="4771.62"/>
    <m/>
    <m/>
    <m/>
    <s v="Pending"/>
    <s v=""/>
    <m/>
    <m/>
    <n v="4800"/>
    <n v="0.45"/>
    <n v="2160"/>
    <s v=""/>
    <x v="2"/>
    <x v="5"/>
    <x v="8"/>
  </r>
  <r>
    <s v="CLM101867"/>
    <s v="PT10430"/>
    <s v="P05"/>
    <x v="1"/>
    <x v="4"/>
    <n v="1"/>
    <d v="2026-06-16T00:00:00"/>
    <d v="2026-07-04T00:00:00"/>
    <n v="37.74"/>
    <m/>
    <m/>
    <m/>
    <s v="Denied"/>
    <s v="CO-16"/>
    <d v="2026-08-25T00:00:00"/>
    <m/>
    <n v="38"/>
    <n v="0.38"/>
    <n v="14.44"/>
    <s v=""/>
    <x v="2"/>
    <x v="0"/>
    <x v="11"/>
  </r>
  <r>
    <s v="CLM101868"/>
    <s v="PT13061"/>
    <s v="P01"/>
    <x v="0"/>
    <x v="0"/>
    <n v="1"/>
    <d v="2026-02-19T00:00:00"/>
    <d v="2026-02-20T00:00:00"/>
    <n v="140.93"/>
    <n v="72.040000000000006"/>
    <n v="57.63"/>
    <n v="14.41"/>
    <s v="Paid"/>
    <s v=""/>
    <d v="2026-03-22T00:00:00"/>
    <d v="2026-03-22T00:00:00"/>
    <n v="145"/>
    <n v="0.45"/>
    <n v="65.25"/>
    <n v="-6.7900000000000063"/>
    <x v="0"/>
    <x v="5"/>
    <x v="0"/>
  </r>
  <r>
    <s v="CLM101869"/>
    <s v="PT13103"/>
    <s v="P03"/>
    <x v="1"/>
    <x v="5"/>
    <n v="1"/>
    <d v="2026-08-30T00:00:00"/>
    <d v="2026-08-31T00:00:00"/>
    <n v="4815.78"/>
    <m/>
    <m/>
    <m/>
    <s v="Pending"/>
    <s v=""/>
    <m/>
    <m/>
    <n v="4800"/>
    <n v="0.47"/>
    <n v="2256"/>
    <s v=""/>
    <x v="2"/>
    <x v="4"/>
    <x v="4"/>
  </r>
  <r>
    <s v="CLM101870"/>
    <s v="PT13462"/>
    <s v="P05"/>
    <x v="0"/>
    <x v="7"/>
    <n v="1"/>
    <d v="2026-03-31T00:00:00"/>
    <d v="2026-04-04T00:00:00"/>
    <n v="212.32"/>
    <n v="69.87"/>
    <n v="62.88"/>
    <n v="6.99"/>
    <s v="Paid"/>
    <s v=""/>
    <d v="2026-05-18T00:00:00"/>
    <d v="2026-05-18T00:00:00"/>
    <n v="210"/>
    <n v="0.38"/>
    <n v="79.8"/>
    <n v="9.9299999999999926"/>
    <x v="1"/>
    <x v="0"/>
    <x v="2"/>
  </r>
  <r>
    <s v="CLM101871"/>
    <s v="PT10678"/>
    <s v="P06"/>
    <x v="2"/>
    <x v="9"/>
    <n v="1"/>
    <d v="2026-03-18T00:00:00"/>
    <d v="2026-07-19T00:00:00"/>
    <n v="59.47"/>
    <m/>
    <m/>
    <m/>
    <s v="Denied"/>
    <s v="CO-29"/>
    <d v="2026-08-27T00:00:00"/>
    <m/>
    <n v="58"/>
    <n v="0.27"/>
    <n v="15.66"/>
    <s v=""/>
    <x v="2"/>
    <x v="2"/>
    <x v="2"/>
  </r>
  <r>
    <s v="CLM101872"/>
    <s v="PT11701"/>
    <s v="P03"/>
    <x v="3"/>
    <x v="3"/>
    <n v="30"/>
    <d v="2025-12-25T00:00:00"/>
    <d v="2025-12-26T00:00:00"/>
    <n v="43558.95"/>
    <m/>
    <m/>
    <m/>
    <s v="Denied"/>
    <s v="CO-50"/>
    <d v="2026-02-05T00:00:00"/>
    <m/>
    <n v="1450"/>
    <n v="0.47"/>
    <n v="20445"/>
    <s v=""/>
    <x v="2"/>
    <x v="4"/>
    <x v="6"/>
  </r>
  <r>
    <s v="CLM101873"/>
    <s v="PT11029"/>
    <s v="P03"/>
    <x v="1"/>
    <x v="1"/>
    <n v="1"/>
    <d v="2025-12-19T00:00:00"/>
    <d v="2025-12-20T00:00:00"/>
    <n v="234.67"/>
    <n v="119.79"/>
    <n v="95.83"/>
    <n v="23.96"/>
    <s v="Paid"/>
    <s v=""/>
    <d v="2026-01-19T00:00:00"/>
    <d v="2026-01-19T00:00:00"/>
    <n v="240"/>
    <n v="0.47"/>
    <n v="112.8"/>
    <n v="-6.9900000000000091"/>
    <x v="0"/>
    <x v="4"/>
    <x v="6"/>
  </r>
  <r>
    <s v="CLM101874"/>
    <s v="PT10745"/>
    <s v="P04"/>
    <x v="0"/>
    <x v="0"/>
    <n v="1"/>
    <d v="2026-06-06T00:00:00"/>
    <d v="2026-06-08T00:00:00"/>
    <n v="143.6"/>
    <n v="50.4"/>
    <n v="50.4"/>
    <n v="0"/>
    <s v="Paid"/>
    <s v=""/>
    <d v="2026-07-03T00:00:00"/>
    <d v="2026-07-03T00:00:00"/>
    <n v="145"/>
    <n v="0.36"/>
    <n v="52.2"/>
    <n v="1.8000000000000043"/>
    <x v="0"/>
    <x v="1"/>
    <x v="11"/>
  </r>
  <r>
    <s v="CLM101875"/>
    <s v="PT10695"/>
    <s v="P01"/>
    <x v="3"/>
    <x v="7"/>
    <n v="1"/>
    <d v="2026-07-09T00:00:00"/>
    <d v="2026-07-11T00:00:00"/>
    <n v="208.32"/>
    <n v="93.76"/>
    <n v="93.76"/>
    <n v="0"/>
    <s v="Paid"/>
    <s v=""/>
    <d v="2026-07-25T00:00:00"/>
    <d v="2026-07-25T00:00:00"/>
    <n v="210"/>
    <n v="0.45"/>
    <n v="94.5"/>
    <n v="0.73999999999999488"/>
    <x v="0"/>
    <x v="5"/>
    <x v="1"/>
  </r>
  <r>
    <s v="CLM101876"/>
    <s v="PT12396"/>
    <s v="P07"/>
    <x v="3"/>
    <x v="7"/>
    <n v="1"/>
    <d v="2026-01-08T00:00:00"/>
    <d v="2026-01-09T00:00:00"/>
    <n v="213.76"/>
    <n v="68.25"/>
    <n v="54.6"/>
    <n v="13.65"/>
    <s v="Paid"/>
    <s v=""/>
    <d v="2026-03-28T00:00:00"/>
    <d v="2026-03-28T00:00:00"/>
    <n v="210"/>
    <n v="0.28000000000000003"/>
    <n v="58.8"/>
    <n v="-9.4500000000000028"/>
    <x v="0"/>
    <x v="3"/>
    <x v="5"/>
  </r>
  <r>
    <s v="CLM101877"/>
    <s v="PT11593"/>
    <s v="P04"/>
    <x v="1"/>
    <x v="10"/>
    <n v="1"/>
    <d v="2026-04-14T00:00:00"/>
    <d v="2026-04-22T00:00:00"/>
    <n v="1053.24"/>
    <n v="398.79"/>
    <n v="398.79"/>
    <n v="0"/>
    <s v="Paid"/>
    <s v=""/>
    <d v="2026-05-18T00:00:00"/>
    <d v="2026-05-18T00:00:00"/>
    <n v="1050"/>
    <n v="0.36"/>
    <n v="378"/>
    <n v="-20.79000000000002"/>
    <x v="0"/>
    <x v="1"/>
    <x v="10"/>
  </r>
  <r>
    <s v="CLM101878"/>
    <s v="PT10366"/>
    <s v="P05"/>
    <x v="2"/>
    <x v="0"/>
    <n v="1"/>
    <d v="2025-11-03T00:00:00"/>
    <d v="2025-11-08T00:00:00"/>
    <n v="144.44999999999999"/>
    <n v="62.38"/>
    <n v="62.38"/>
    <n v="0"/>
    <s v="Paid"/>
    <s v=""/>
    <d v="2025-12-12T00:00:00"/>
    <d v="2025-12-12T00:00:00"/>
    <n v="145"/>
    <n v="0.38"/>
    <n v="55.1"/>
    <n v="-7.2800000000000011"/>
    <x v="0"/>
    <x v="0"/>
    <x v="3"/>
  </r>
  <r>
    <s v="CLM101879"/>
    <s v="PT10891"/>
    <s v="P01"/>
    <x v="1"/>
    <x v="4"/>
    <n v="1"/>
    <d v="2026-04-27T00:00:00"/>
    <d v="2026-05-04T00:00:00"/>
    <n v="38.9"/>
    <n v="14.81"/>
    <n v="14.81"/>
    <n v="0"/>
    <s v="Paid"/>
    <s v=""/>
    <d v="2026-06-11T00:00:00"/>
    <d v="2026-06-11T00:00:00"/>
    <n v="38"/>
    <n v="0.45"/>
    <n v="17.100000000000001"/>
    <n v="2.2900000000000009"/>
    <x v="1"/>
    <x v="5"/>
    <x v="10"/>
  </r>
  <r>
    <s v="CLM101880"/>
    <s v="PT13064"/>
    <s v="P08"/>
    <x v="1"/>
    <x v="8"/>
    <n v="1"/>
    <d v="2026-08-29T00:00:00"/>
    <d v="2026-08-31T00:00:00"/>
    <n v="260.35000000000002"/>
    <m/>
    <m/>
    <m/>
    <s v="Pending"/>
    <s v=""/>
    <m/>
    <m/>
    <n v="260"/>
    <n v="1"/>
    <n v="260"/>
    <s v=""/>
    <x v="2"/>
    <x v="7"/>
    <x v="4"/>
  </r>
  <r>
    <s v="CLM101881"/>
    <s v="PT10096"/>
    <s v="P04"/>
    <x v="3"/>
    <x v="7"/>
    <n v="1"/>
    <d v="2026-01-22T00:00:00"/>
    <d v="2026-01-24T00:00:00"/>
    <n v="210.98"/>
    <n v="76.03"/>
    <n v="76.03"/>
    <n v="0"/>
    <s v="Paid"/>
    <s v=""/>
    <d v="2026-02-14T00:00:00"/>
    <d v="2026-02-14T00:00:00"/>
    <n v="210"/>
    <n v="0.36"/>
    <n v="75.599999999999994"/>
    <n v="-0.43000000000000682"/>
    <x v="0"/>
    <x v="1"/>
    <x v="5"/>
  </r>
  <r>
    <s v="CLM101882"/>
    <s v="PT11544"/>
    <s v="P05"/>
    <x v="1"/>
    <x v="8"/>
    <n v="1"/>
    <d v="2026-08-04T00:00:00"/>
    <d v="2026-08-05T00:00:00"/>
    <n v="264.83"/>
    <m/>
    <m/>
    <m/>
    <s v="Pending"/>
    <s v=""/>
    <m/>
    <m/>
    <n v="260"/>
    <n v="0.38"/>
    <n v="98.8"/>
    <s v=""/>
    <x v="2"/>
    <x v="0"/>
    <x v="4"/>
  </r>
  <r>
    <s v="CLM101883"/>
    <s v="PT12735"/>
    <s v="P05"/>
    <x v="0"/>
    <x v="8"/>
    <n v="1"/>
    <d v="2026-07-09T00:00:00"/>
    <d v="2026-07-14T00:00:00"/>
    <n v="267.63"/>
    <n v="111.74"/>
    <n v="111.74"/>
    <n v="0"/>
    <s v="Paid"/>
    <s v=""/>
    <d v="2026-09-24T00:00:00"/>
    <d v="2026-09-24T00:00:00"/>
    <n v="260"/>
    <n v="0.38"/>
    <n v="98.8"/>
    <n v="-12.939999999999998"/>
    <x v="0"/>
    <x v="0"/>
    <x v="1"/>
  </r>
  <r>
    <s v="CLM101884"/>
    <s v="PT11063"/>
    <s v="P07"/>
    <x v="2"/>
    <x v="0"/>
    <n v="1"/>
    <d v="2026-01-28T00:00:00"/>
    <d v="2026-05-04T00:00:00"/>
    <n v="143.35"/>
    <m/>
    <m/>
    <m/>
    <s v="Denied"/>
    <s v="CO-29"/>
    <d v="2026-06-30T00:00:00"/>
    <m/>
    <n v="145"/>
    <n v="0.28000000000000003"/>
    <n v="40.6"/>
    <s v=""/>
    <x v="2"/>
    <x v="3"/>
    <x v="5"/>
  </r>
  <r>
    <s v="CLM101885"/>
    <s v="PT13049"/>
    <s v="P03"/>
    <x v="3"/>
    <x v="3"/>
    <n v="30"/>
    <d v="2026-07-27T00:00:00"/>
    <d v="2026-07-28T00:00:00"/>
    <n v="44427.91"/>
    <n v="21330.55"/>
    <n v="19197.5"/>
    <n v="2133.0500000000002"/>
    <s v="Paid"/>
    <s v=""/>
    <d v="2026-09-26T00:00:00"/>
    <d v="2026-09-26T00:00:00"/>
    <n v="1450"/>
    <n v="0.47"/>
    <n v="20445"/>
    <n v="-885.54999999999927"/>
    <x v="0"/>
    <x v="4"/>
    <x v="1"/>
  </r>
  <r>
    <s v="CLM101886"/>
    <s v="PT11398"/>
    <s v="P01"/>
    <x v="3"/>
    <x v="3"/>
    <n v="30"/>
    <d v="2025-11-09T00:00:00"/>
    <d v="2025-11-11T00:00:00"/>
    <n v="44563.86"/>
    <m/>
    <m/>
    <m/>
    <s v="Denied"/>
    <s v="CO-197"/>
    <d v="2025-11-29T00:00:00"/>
    <m/>
    <n v="1450"/>
    <n v="0.45"/>
    <n v="19575"/>
    <s v=""/>
    <x v="2"/>
    <x v="5"/>
    <x v="3"/>
  </r>
  <r>
    <s v="CLM101887"/>
    <s v="PT13160"/>
    <s v="P01"/>
    <x v="0"/>
    <x v="4"/>
    <n v="1"/>
    <d v="2026-04-15T00:00:00"/>
    <d v="2026-04-17T00:00:00"/>
    <n v="36.9"/>
    <n v="17.940000000000001"/>
    <n v="16.149999999999999"/>
    <n v="1.79"/>
    <s v="Paid"/>
    <s v=""/>
    <d v="2026-05-11T00:00:00"/>
    <d v="2026-05-11T00:00:00"/>
    <n v="38"/>
    <n v="0.45"/>
    <n v="17.100000000000001"/>
    <n v="-0.83999999999999986"/>
    <x v="0"/>
    <x v="5"/>
    <x v="10"/>
  </r>
  <r>
    <s v="CLM101888"/>
    <s v="PT11573"/>
    <s v="P03"/>
    <x v="1"/>
    <x v="5"/>
    <n v="1"/>
    <d v="2025-12-12T00:00:00"/>
    <d v="2025-12-13T00:00:00"/>
    <n v="4666.5600000000004"/>
    <m/>
    <m/>
    <m/>
    <s v="Denied"/>
    <s v="CO-50"/>
    <d v="2026-01-20T00:00:00"/>
    <m/>
    <n v="4800"/>
    <n v="0.47"/>
    <n v="2256"/>
    <s v=""/>
    <x v="2"/>
    <x v="4"/>
    <x v="6"/>
  </r>
  <r>
    <s v="CLM101889"/>
    <s v="PT11302"/>
    <s v="P04"/>
    <x v="3"/>
    <x v="6"/>
    <n v="1"/>
    <d v="2026-08-25T00:00:00"/>
    <d v="2026-08-28T00:00:00"/>
    <n v="426.37"/>
    <n v="139.96"/>
    <n v="111.97"/>
    <n v="27.99"/>
    <s v="Paid"/>
    <s v=""/>
    <d v="2026-09-14T00:00:00"/>
    <d v="2026-09-14T00:00:00"/>
    <n v="420"/>
    <n v="0.36"/>
    <n v="151.19999999999999"/>
    <n v="11.239999999999981"/>
    <x v="1"/>
    <x v="1"/>
    <x v="4"/>
  </r>
  <r>
    <s v="CLM101890"/>
    <s v="PT11570"/>
    <s v="P04"/>
    <x v="1"/>
    <x v="7"/>
    <n v="1"/>
    <d v="2026-01-04T00:00:00"/>
    <d v="2026-01-06T00:00:00"/>
    <n v="214.9"/>
    <m/>
    <m/>
    <m/>
    <s v="Denied"/>
    <s v="CO-16"/>
    <d v="2026-01-21T00:00:00"/>
    <m/>
    <n v="210"/>
    <n v="0.36"/>
    <n v="75.599999999999994"/>
    <s v=""/>
    <x v="2"/>
    <x v="1"/>
    <x v="5"/>
  </r>
  <r>
    <s v="CLM101891"/>
    <s v="PT11755"/>
    <s v="P01"/>
    <x v="3"/>
    <x v="6"/>
    <n v="1"/>
    <d v="2026-05-19T00:00:00"/>
    <d v="2026-05-22T00:00:00"/>
    <n v="412.09"/>
    <n v="159.22999999999999"/>
    <n v="127.38"/>
    <n v="31.85"/>
    <s v="Paid"/>
    <s v=""/>
    <d v="2026-06-06T00:00:00"/>
    <d v="2026-06-06T00:00:00"/>
    <n v="420"/>
    <n v="0.45"/>
    <n v="189"/>
    <n v="29.77000000000001"/>
    <x v="1"/>
    <x v="5"/>
    <x v="7"/>
  </r>
  <r>
    <s v="CLM101892"/>
    <s v="PT12976"/>
    <s v="P03"/>
    <x v="1"/>
    <x v="8"/>
    <n v="1"/>
    <d v="2026-04-12T00:00:00"/>
    <d v="2026-04-13T00:00:00"/>
    <n v="262.86"/>
    <n v="138.1"/>
    <n v="138.1"/>
    <n v="0"/>
    <s v="Paid"/>
    <s v=""/>
    <d v="2026-05-19T00:00:00"/>
    <d v="2026-05-19T00:00:00"/>
    <n v="260"/>
    <n v="0.47"/>
    <n v="122.2"/>
    <n v="-15.899999999999991"/>
    <x v="0"/>
    <x v="4"/>
    <x v="10"/>
  </r>
  <r>
    <s v="CLM101893"/>
    <s v="PT12957"/>
    <s v="P03"/>
    <x v="0"/>
    <x v="4"/>
    <n v="1"/>
    <d v="2026-09-20T00:00:00"/>
    <d v="2026-09-24T00:00:00"/>
    <n v="37.18"/>
    <m/>
    <m/>
    <m/>
    <s v="Pending"/>
    <s v=""/>
    <m/>
    <m/>
    <n v="38"/>
    <n v="0.47"/>
    <n v="17.86"/>
    <s v=""/>
    <x v="2"/>
    <x v="4"/>
    <x v="8"/>
  </r>
  <r>
    <s v="CLM101894"/>
    <s v="PT10722"/>
    <s v="P04"/>
    <x v="0"/>
    <x v="4"/>
    <n v="1"/>
    <d v="2026-04-27T00:00:00"/>
    <d v="2026-05-02T00:00:00"/>
    <n v="38.9"/>
    <n v="14.08"/>
    <n v="14.08"/>
    <n v="0"/>
    <s v="Paid"/>
    <s v=""/>
    <d v="2026-06-04T00:00:00"/>
    <d v="2026-06-04T00:00:00"/>
    <n v="38"/>
    <n v="0.36"/>
    <n v="13.68"/>
    <n v="-0.40000000000000036"/>
    <x v="0"/>
    <x v="1"/>
    <x v="10"/>
  </r>
  <r>
    <s v="CLM101895"/>
    <s v="PT13162"/>
    <s v="P06"/>
    <x v="1"/>
    <x v="11"/>
    <n v="1"/>
    <d v="2026-01-29T00:00:00"/>
    <d v="2026-01-31T00:00:00"/>
    <n v="1133.42"/>
    <m/>
    <m/>
    <m/>
    <s v="Denied"/>
    <s v="CO-50"/>
    <d v="2026-02-25T00:00:00"/>
    <m/>
    <n v="1150"/>
    <n v="0.27"/>
    <n v="310.5"/>
    <s v=""/>
    <x v="2"/>
    <x v="2"/>
    <x v="5"/>
  </r>
  <r>
    <s v="CLM101896"/>
    <s v="PT13017"/>
    <s v="P04"/>
    <x v="1"/>
    <x v="11"/>
    <n v="1"/>
    <d v="2026-05-19T00:00:00"/>
    <d v="2026-05-21T00:00:00"/>
    <n v="1145.1099999999999"/>
    <m/>
    <m/>
    <m/>
    <s v="Denied"/>
    <s v="CO-197"/>
    <d v="2026-06-05T00:00:00"/>
    <m/>
    <n v="1150"/>
    <n v="0.36"/>
    <n v="414"/>
    <s v=""/>
    <x v="2"/>
    <x v="1"/>
    <x v="7"/>
  </r>
  <r>
    <s v="CLM101897"/>
    <s v="PT10602"/>
    <s v="P03"/>
    <x v="0"/>
    <x v="7"/>
    <n v="1"/>
    <d v="2025-11-09T00:00:00"/>
    <d v="2025-11-17T00:00:00"/>
    <n v="211.09"/>
    <n v="108.47"/>
    <n v="97.62"/>
    <n v="10.85"/>
    <s v="Paid"/>
    <s v=""/>
    <d v="2026-01-14T00:00:00"/>
    <d v="2026-01-14T00:00:00"/>
    <n v="210"/>
    <n v="0.47"/>
    <n v="98.7"/>
    <n v="-9.769999999999996"/>
    <x v="0"/>
    <x v="4"/>
    <x v="3"/>
  </r>
  <r>
    <s v="CLM101898"/>
    <s v="PT13119"/>
    <s v="P01"/>
    <x v="2"/>
    <x v="9"/>
    <n v="4"/>
    <d v="2026-04-25T00:00:00"/>
    <d v="2026-04-28T00:00:00"/>
    <n v="236.7"/>
    <m/>
    <m/>
    <m/>
    <s v="Denied"/>
    <s v="CO-16"/>
    <d v="2026-05-28T00:00:00"/>
    <m/>
    <n v="58"/>
    <n v="0.45"/>
    <n v="104.4"/>
    <s v=""/>
    <x v="2"/>
    <x v="5"/>
    <x v="10"/>
  </r>
  <r>
    <s v="CLM101899"/>
    <s v="PT11183"/>
    <s v="P01"/>
    <x v="0"/>
    <x v="4"/>
    <n v="1"/>
    <d v="2025-12-24T00:00:00"/>
    <d v="2025-12-26T00:00:00"/>
    <n v="36.99"/>
    <n v="16.87"/>
    <n v="16.87"/>
    <n v="0"/>
    <s v="Paid"/>
    <s v=""/>
    <d v="2026-01-26T00:00:00"/>
    <d v="2026-01-26T00:00:00"/>
    <n v="38"/>
    <n v="0.45"/>
    <n v="17.100000000000001"/>
    <n v="0.23000000000000043"/>
    <x v="0"/>
    <x v="5"/>
    <x v="6"/>
  </r>
  <r>
    <s v="CLM101900"/>
    <s v="PT10766"/>
    <s v="P02"/>
    <x v="1"/>
    <x v="1"/>
    <n v="1"/>
    <d v="2026-07-11T00:00:00"/>
    <d v="2026-07-13T00:00:00"/>
    <n v="236.15"/>
    <n v="111.49"/>
    <n v="111.49"/>
    <n v="0"/>
    <s v="Paid"/>
    <s v=""/>
    <d v="2026-08-15T00:00:00"/>
    <d v="2026-08-15T00:00:00"/>
    <n v="240"/>
    <n v="0.43"/>
    <n v="103.2"/>
    <n v="-8.289999999999992"/>
    <x v="0"/>
    <x v="6"/>
    <x v="1"/>
  </r>
  <r>
    <s v="CLM101901"/>
    <s v="PT12779"/>
    <s v="P05"/>
    <x v="1"/>
    <x v="7"/>
    <n v="1"/>
    <d v="2026-07-19T00:00:00"/>
    <d v="2026-07-20T00:00:00"/>
    <n v="213.71"/>
    <n v="91.67"/>
    <n v="91.67"/>
    <n v="0"/>
    <s v="Paid"/>
    <s v=""/>
    <d v="2026-09-09T00:00:00"/>
    <d v="2026-09-09T00:00:00"/>
    <n v="210"/>
    <n v="0.38"/>
    <n v="79.8"/>
    <n v="-11.870000000000005"/>
    <x v="0"/>
    <x v="0"/>
    <x v="1"/>
  </r>
  <r>
    <s v="CLM101902"/>
    <s v="PT10329"/>
    <s v="P06"/>
    <x v="0"/>
    <x v="4"/>
    <n v="1"/>
    <d v="2025-11-01T00:00:00"/>
    <d v="2025-11-02T00:00:00"/>
    <n v="37.82"/>
    <m/>
    <m/>
    <m/>
    <s v="Denied"/>
    <s v="CO-27"/>
    <d v="2025-12-20T00:00:00"/>
    <m/>
    <n v="38"/>
    <n v="0.27"/>
    <n v="10.26"/>
    <s v=""/>
    <x v="2"/>
    <x v="2"/>
    <x v="3"/>
  </r>
  <r>
    <s v="CLM101903"/>
    <s v="PT11145"/>
    <s v="P05"/>
    <x v="1"/>
    <x v="11"/>
    <n v="1"/>
    <d v="2025-10-17T00:00:00"/>
    <d v="2025-10-18T00:00:00"/>
    <n v="1135.5899999999999"/>
    <m/>
    <m/>
    <m/>
    <s v="Denied"/>
    <s v="CO-11"/>
    <d v="2025-12-10T00:00:00"/>
    <m/>
    <n v="1150"/>
    <n v="0.38"/>
    <n v="437"/>
    <s v=""/>
    <x v="2"/>
    <x v="0"/>
    <x v="9"/>
  </r>
  <r>
    <s v="CLM101904"/>
    <s v="PT11331"/>
    <s v="P06"/>
    <x v="0"/>
    <x v="8"/>
    <n v="1"/>
    <d v="2026-05-10T00:00:00"/>
    <d v="2026-05-20T00:00:00"/>
    <n v="267.47000000000003"/>
    <m/>
    <m/>
    <m/>
    <s v="Denied"/>
    <s v="CO-16"/>
    <d v="2026-06-27T00:00:00"/>
    <m/>
    <n v="260"/>
    <n v="0.27"/>
    <n v="70.2"/>
    <s v=""/>
    <x v="2"/>
    <x v="2"/>
    <x v="7"/>
  </r>
  <r>
    <s v="CLM101905"/>
    <s v="PT12215"/>
    <s v="P01"/>
    <x v="2"/>
    <x v="9"/>
    <n v="1"/>
    <d v="2026-08-06T00:00:00"/>
    <d v="2026-08-08T00:00:00"/>
    <n v="58.83"/>
    <n v="28.6"/>
    <n v="28.6"/>
    <n v="0"/>
    <s v="Paid"/>
    <s v=""/>
    <d v="2026-08-21T00:00:00"/>
    <d v="2026-08-21T00:00:00"/>
    <n v="58"/>
    <n v="0.45"/>
    <n v="26.1"/>
    <n v="-2.5"/>
    <x v="0"/>
    <x v="5"/>
    <x v="4"/>
  </r>
  <r>
    <s v="CLM101906"/>
    <s v="PT11853"/>
    <s v="P07"/>
    <x v="2"/>
    <x v="2"/>
    <n v="2"/>
    <d v="2025-11-30T00:00:00"/>
    <d v="2025-12-05T00:00:00"/>
    <n v="121.93"/>
    <n v="37.369999999999997"/>
    <n v="29.9"/>
    <n v="7.47"/>
    <s v="Paid"/>
    <s v=""/>
    <d v="2026-03-08T00:00:00"/>
    <d v="2026-03-08T00:00:00"/>
    <n v="62"/>
    <n v="0.28000000000000003"/>
    <n v="34.72"/>
    <n v="-2.6499999999999986"/>
    <x v="0"/>
    <x v="3"/>
    <x v="3"/>
  </r>
  <r>
    <s v="CLM101907"/>
    <s v="PT11084"/>
    <s v="P06"/>
    <x v="0"/>
    <x v="8"/>
    <n v="1"/>
    <d v="2026-05-21T00:00:00"/>
    <d v="2026-05-25T00:00:00"/>
    <n v="265.66000000000003"/>
    <n v="82.38"/>
    <n v="65.900000000000006"/>
    <n v="16.48"/>
    <s v="Paid"/>
    <s v=""/>
    <d v="2026-07-12T00:00:00"/>
    <d v="2026-07-12T00:00:00"/>
    <n v="260"/>
    <n v="0.27"/>
    <n v="70.2"/>
    <n v="-12.179999999999993"/>
    <x v="0"/>
    <x v="2"/>
    <x v="7"/>
  </r>
  <r>
    <s v="CLM101908"/>
    <s v="PT13467"/>
    <s v="P01"/>
    <x v="0"/>
    <x v="8"/>
    <n v="1"/>
    <d v="2025-10-01T00:00:00"/>
    <d v="2025-10-05T00:00:00"/>
    <n v="260.08999999999997"/>
    <n v="98.94"/>
    <n v="79.150000000000006"/>
    <n v="19.79"/>
    <s v="Paid"/>
    <s v=""/>
    <d v="2025-11-01T00:00:00"/>
    <d v="2025-11-01T00:00:00"/>
    <n v="260"/>
    <n v="0.45"/>
    <n v="117"/>
    <n v="18.060000000000002"/>
    <x v="1"/>
    <x v="5"/>
    <x v="9"/>
  </r>
  <r>
    <s v="CLM101909"/>
    <s v="PT10762"/>
    <s v="P01"/>
    <x v="2"/>
    <x v="2"/>
    <n v="4"/>
    <d v="2025-10-06T00:00:00"/>
    <d v="2025-10-07T00:00:00"/>
    <n v="251.2"/>
    <n v="116.38"/>
    <n v="116.38"/>
    <n v="0"/>
    <s v="Paid"/>
    <s v=""/>
    <d v="2025-10-12T00:00:00"/>
    <d v="2025-10-12T00:00:00"/>
    <n v="62"/>
    <n v="0.45"/>
    <n v="111.6"/>
    <n v="-4.7800000000000011"/>
    <x v="0"/>
    <x v="5"/>
    <x v="9"/>
  </r>
  <r>
    <s v="CLM101910"/>
    <s v="PT10642"/>
    <s v="P05"/>
    <x v="3"/>
    <x v="6"/>
    <n v="1"/>
    <d v="2026-03-03T00:00:00"/>
    <d v="2026-03-05T00:00:00"/>
    <n v="429.63"/>
    <m/>
    <m/>
    <m/>
    <s v="Denied"/>
    <s v="CO-197"/>
    <d v="2026-05-06T00:00:00"/>
    <m/>
    <n v="420"/>
    <n v="0.38"/>
    <n v="159.6"/>
    <s v=""/>
    <x v="2"/>
    <x v="0"/>
    <x v="2"/>
  </r>
  <r>
    <s v="CLM101911"/>
    <s v="PT10464"/>
    <s v="P01"/>
    <x v="1"/>
    <x v="11"/>
    <n v="1"/>
    <d v="2025-12-18T00:00:00"/>
    <d v="2025-12-28T00:00:00"/>
    <n v="1171.3599999999999"/>
    <n v="501.54"/>
    <n v="501.54"/>
    <n v="0"/>
    <s v="Paid"/>
    <s v=""/>
    <d v="2026-01-26T00:00:00"/>
    <d v="2026-01-26T00:00:00"/>
    <n v="1150"/>
    <n v="0.45"/>
    <n v="517.5"/>
    <n v="15.95999999999998"/>
    <x v="0"/>
    <x v="5"/>
    <x v="6"/>
  </r>
  <r>
    <s v="CLM101912"/>
    <s v="PT12270"/>
    <s v="P08"/>
    <x v="0"/>
    <x v="7"/>
    <n v="1"/>
    <d v="2026-02-23T00:00:00"/>
    <d v="2026-03-01T00:00:00"/>
    <n v="207.84"/>
    <m/>
    <m/>
    <m/>
    <s v="Pending"/>
    <s v=""/>
    <m/>
    <m/>
    <n v="210"/>
    <n v="1"/>
    <n v="210"/>
    <s v=""/>
    <x v="2"/>
    <x v="7"/>
    <x v="0"/>
  </r>
  <r>
    <s v="CLM101913"/>
    <s v="PT10668"/>
    <s v="P05"/>
    <x v="2"/>
    <x v="9"/>
    <n v="3"/>
    <d v="2026-01-15T00:00:00"/>
    <d v="2026-01-21T00:00:00"/>
    <n v="170.8"/>
    <m/>
    <m/>
    <m/>
    <s v="Denied"/>
    <s v="CO-18"/>
    <d v="2026-03-29T00:00:00"/>
    <m/>
    <n v="58"/>
    <n v="0.38"/>
    <n v="66.12"/>
    <s v=""/>
    <x v="2"/>
    <x v="0"/>
    <x v="5"/>
  </r>
  <r>
    <s v="CLM101914"/>
    <s v="PT13082"/>
    <s v="P04"/>
    <x v="1"/>
    <x v="5"/>
    <n v="1"/>
    <d v="2026-03-27T00:00:00"/>
    <d v="2026-04-02T00:00:00"/>
    <n v="4818.53"/>
    <n v="1589.22"/>
    <n v="1430.3"/>
    <n v="158.91999999999999"/>
    <s v="Paid"/>
    <s v=""/>
    <d v="2026-04-29T00:00:00"/>
    <d v="2026-04-29T00:00:00"/>
    <n v="4800"/>
    <n v="0.36"/>
    <n v="1728"/>
    <n v="138.77999999999997"/>
    <x v="1"/>
    <x v="1"/>
    <x v="2"/>
  </r>
  <r>
    <s v="CLM101915"/>
    <s v="PT10231"/>
    <s v="P07"/>
    <x v="1"/>
    <x v="7"/>
    <n v="1"/>
    <d v="2025-10-30T00:00:00"/>
    <d v="2025-11-01T00:00:00"/>
    <n v="209.3"/>
    <n v="55"/>
    <n v="55"/>
    <n v="0"/>
    <s v="Paid"/>
    <s v=""/>
    <d v="2026-02-03T00:00:00"/>
    <d v="2026-02-03T00:00:00"/>
    <n v="210"/>
    <n v="0.28000000000000003"/>
    <n v="58.8"/>
    <n v="3.7999999999999972"/>
    <x v="1"/>
    <x v="3"/>
    <x v="9"/>
  </r>
  <r>
    <s v="CLM101916"/>
    <s v="PT11572"/>
    <s v="P08"/>
    <x v="1"/>
    <x v="7"/>
    <n v="1"/>
    <d v="2026-04-24T00:00:00"/>
    <d v="2026-04-27T00:00:00"/>
    <n v="206.2"/>
    <n v="206.2"/>
    <n v="206.2"/>
    <n v="0"/>
    <s v="Paid"/>
    <s v=""/>
    <d v="2026-07-01T00:00:00"/>
    <d v="2026-07-01T00:00:00"/>
    <n v="210"/>
    <n v="1"/>
    <n v="210"/>
    <n v="3.8000000000000114"/>
    <x v="0"/>
    <x v="7"/>
    <x v="10"/>
  </r>
  <r>
    <s v="CLM101917"/>
    <s v="PT13263"/>
    <s v="P07"/>
    <x v="1"/>
    <x v="5"/>
    <n v="1"/>
    <d v="2026-08-25T00:00:00"/>
    <d v="2026-08-26T00:00:00"/>
    <n v="4682.76"/>
    <m/>
    <m/>
    <m/>
    <s v="Pending"/>
    <s v=""/>
    <m/>
    <m/>
    <n v="4800"/>
    <n v="0.28000000000000003"/>
    <n v="1344"/>
    <s v=""/>
    <x v="2"/>
    <x v="3"/>
    <x v="4"/>
  </r>
  <r>
    <s v="CLM101918"/>
    <s v="PT11939"/>
    <s v="P01"/>
    <x v="1"/>
    <x v="7"/>
    <n v="1"/>
    <d v="2026-05-17T00:00:00"/>
    <d v="2026-05-19T00:00:00"/>
    <n v="204.66"/>
    <n v="84.42"/>
    <n v="75.98"/>
    <n v="8.44"/>
    <s v="Paid"/>
    <s v=""/>
    <d v="2026-05-30T00:00:00"/>
    <d v="2026-05-30T00:00:00"/>
    <n v="210"/>
    <n v="0.45"/>
    <n v="94.5"/>
    <n v="10.079999999999998"/>
    <x v="1"/>
    <x v="5"/>
    <x v="7"/>
  </r>
  <r>
    <s v="CLM101919"/>
    <s v="PT12542"/>
    <s v="P06"/>
    <x v="1"/>
    <x v="4"/>
    <n v="1"/>
    <d v="2026-08-19T00:00:00"/>
    <d v="2026-08-21T00:00:00"/>
    <n v="38.950000000000003"/>
    <m/>
    <m/>
    <m/>
    <s v="Pending"/>
    <s v=""/>
    <m/>
    <m/>
    <n v="38"/>
    <n v="0.27"/>
    <n v="10.26"/>
    <s v=""/>
    <x v="2"/>
    <x v="2"/>
    <x v="4"/>
  </r>
  <r>
    <s v="CLM101920"/>
    <s v="PT11107"/>
    <s v="P06"/>
    <x v="0"/>
    <x v="4"/>
    <n v="1"/>
    <d v="2026-01-26T00:00:00"/>
    <d v="2026-01-30T00:00:00"/>
    <n v="36.92"/>
    <m/>
    <m/>
    <m/>
    <s v="Denied"/>
    <s v="CO-11"/>
    <d v="2026-03-08T00:00:00"/>
    <m/>
    <n v="38"/>
    <n v="0.27"/>
    <n v="10.26"/>
    <s v=""/>
    <x v="2"/>
    <x v="2"/>
    <x v="5"/>
  </r>
  <r>
    <s v="CLM101921"/>
    <s v="PT12119"/>
    <s v="P01"/>
    <x v="2"/>
    <x v="9"/>
    <n v="1"/>
    <d v="2025-11-18T00:00:00"/>
    <d v="2025-11-24T00:00:00"/>
    <n v="56.99"/>
    <n v="24.05"/>
    <n v="24.05"/>
    <n v="0"/>
    <s v="Paid"/>
    <s v=""/>
    <d v="2026-01-07T00:00:00"/>
    <d v="2026-01-07T00:00:00"/>
    <n v="58"/>
    <n v="0.45"/>
    <n v="26.1"/>
    <n v="2.0500000000000007"/>
    <x v="1"/>
    <x v="5"/>
    <x v="3"/>
  </r>
  <r>
    <s v="CLM101922"/>
    <s v="PT12055"/>
    <s v="P07"/>
    <x v="2"/>
    <x v="9"/>
    <n v="4"/>
    <d v="2026-05-25T00:00:00"/>
    <d v="2026-05-28T00:00:00"/>
    <n v="226.98"/>
    <n v="68.08"/>
    <n v="68.08"/>
    <n v="0"/>
    <s v="Paid"/>
    <s v=""/>
    <d v="2026-08-03T00:00:00"/>
    <d v="2026-08-03T00:00:00"/>
    <n v="58"/>
    <n v="0.28000000000000003"/>
    <n v="64.959999999999994"/>
    <n v="-3.1200000000000045"/>
    <x v="0"/>
    <x v="3"/>
    <x v="7"/>
  </r>
  <r>
    <s v="CLM101923"/>
    <s v="PT13014"/>
    <s v="P04"/>
    <x v="0"/>
    <x v="8"/>
    <n v="1"/>
    <d v="2026-09-11T00:00:00"/>
    <d v="2026-09-22T00:00:00"/>
    <n v="257.20999999999998"/>
    <m/>
    <m/>
    <m/>
    <s v="Pending"/>
    <s v=""/>
    <m/>
    <m/>
    <n v="260"/>
    <n v="0.36"/>
    <n v="93.6"/>
    <s v=""/>
    <x v="2"/>
    <x v="1"/>
    <x v="8"/>
  </r>
  <r>
    <s v="CLM101924"/>
    <s v="PT12412"/>
    <s v="P02"/>
    <x v="2"/>
    <x v="2"/>
    <n v="2"/>
    <d v="2026-07-05T00:00:00"/>
    <d v="2026-07-08T00:00:00"/>
    <n v="123.95"/>
    <n v="48.01"/>
    <n v="48.01"/>
    <n v="0"/>
    <s v="Paid"/>
    <s v=""/>
    <d v="2026-08-10T00:00:00"/>
    <d v="2026-08-10T00:00:00"/>
    <n v="62"/>
    <n v="0.43"/>
    <n v="53.32"/>
    <n v="5.3100000000000023"/>
    <x v="1"/>
    <x v="6"/>
    <x v="1"/>
  </r>
  <r>
    <s v="CLM101925"/>
    <s v="PT11774"/>
    <s v="P02"/>
    <x v="0"/>
    <x v="4"/>
    <n v="1"/>
    <d v="2026-04-02T00:00:00"/>
    <d v="2026-04-14T00:00:00"/>
    <n v="38.85"/>
    <n v="16.440000000000001"/>
    <n v="14.8"/>
    <n v="1.64"/>
    <s v="Paid"/>
    <s v=""/>
    <d v="2026-05-22T00:00:00"/>
    <d v="2026-05-22T00:00:00"/>
    <n v="38"/>
    <n v="0.43"/>
    <n v="16.34"/>
    <n v="-0.10000000000000142"/>
    <x v="0"/>
    <x v="6"/>
    <x v="10"/>
  </r>
  <r>
    <s v="CLM101926"/>
    <s v="PT12865"/>
    <s v="P02"/>
    <x v="1"/>
    <x v="1"/>
    <n v="1"/>
    <d v="2026-06-15T00:00:00"/>
    <d v="2026-06-17T00:00:00"/>
    <n v="244.11"/>
    <n v="94.36"/>
    <n v="84.92"/>
    <n v="9.44"/>
    <s v="Paid"/>
    <s v=""/>
    <d v="2026-07-18T00:00:00"/>
    <d v="2026-07-18T00:00:00"/>
    <n v="240"/>
    <n v="0.43"/>
    <n v="103.2"/>
    <n v="8.8400000000000034"/>
    <x v="1"/>
    <x v="6"/>
    <x v="11"/>
  </r>
  <r>
    <s v="CLM101927"/>
    <s v="PT11484"/>
    <s v="P01"/>
    <x v="0"/>
    <x v="4"/>
    <n v="1"/>
    <d v="2025-12-28T00:00:00"/>
    <d v="2025-12-31T00:00:00"/>
    <n v="36.9"/>
    <n v="14.67"/>
    <n v="14.67"/>
    <n v="0"/>
    <s v="Paid"/>
    <s v=""/>
    <d v="2026-01-22T00:00:00"/>
    <d v="2026-01-22T00:00:00"/>
    <n v="38"/>
    <n v="0.45"/>
    <n v="17.100000000000001"/>
    <n v="2.4300000000000015"/>
    <x v="1"/>
    <x v="5"/>
    <x v="6"/>
  </r>
  <r>
    <s v="CLM101928"/>
    <s v="PT11435"/>
    <s v="P07"/>
    <x v="1"/>
    <x v="7"/>
    <n v="1"/>
    <d v="2026-08-23T00:00:00"/>
    <d v="2026-08-29T00:00:00"/>
    <n v="214.72"/>
    <m/>
    <m/>
    <m/>
    <s v="Pending"/>
    <s v=""/>
    <m/>
    <m/>
    <n v="210"/>
    <n v="0.28000000000000003"/>
    <n v="58.8"/>
    <s v=""/>
    <x v="2"/>
    <x v="3"/>
    <x v="4"/>
  </r>
  <r>
    <s v="CLM101929"/>
    <s v="PT11831"/>
    <s v="P04"/>
    <x v="1"/>
    <x v="8"/>
    <n v="1"/>
    <d v="2026-03-30T00:00:00"/>
    <d v="2026-04-04T00:00:00"/>
    <n v="263.58"/>
    <n v="85.09"/>
    <n v="76.58"/>
    <n v="8.51"/>
    <s v="Paid"/>
    <s v=""/>
    <d v="2026-04-24T00:00:00"/>
    <d v="2026-04-24T00:00:00"/>
    <n v="260"/>
    <n v="0.36"/>
    <n v="93.6"/>
    <n v="8.5099999999999909"/>
    <x v="1"/>
    <x v="1"/>
    <x v="2"/>
  </r>
  <r>
    <s v="CLM101930"/>
    <s v="PT11177"/>
    <s v="P01"/>
    <x v="1"/>
    <x v="10"/>
    <n v="1"/>
    <d v="2026-02-06T00:00:00"/>
    <d v="2026-02-11T00:00:00"/>
    <n v="1073.99"/>
    <m/>
    <m/>
    <m/>
    <s v="Denied"/>
    <s v="CO-27"/>
    <d v="2026-03-11T00:00:00"/>
    <m/>
    <n v="1050"/>
    <n v="0.45"/>
    <n v="472.5"/>
    <s v=""/>
    <x v="2"/>
    <x v="5"/>
    <x v="0"/>
  </r>
  <r>
    <s v="CLM101931"/>
    <s v="PT10550"/>
    <s v="P06"/>
    <x v="1"/>
    <x v="8"/>
    <n v="1"/>
    <d v="2026-08-07T00:00:00"/>
    <d v="2026-08-10T00:00:00"/>
    <n v="263.14999999999998"/>
    <n v="75.33"/>
    <n v="75.33"/>
    <n v="0"/>
    <s v="Paid"/>
    <s v=""/>
    <d v="2026-09-28T00:00:00"/>
    <d v="2026-09-28T00:00:00"/>
    <n v="260"/>
    <n v="0.27"/>
    <n v="70.2"/>
    <n v="-5.1299999999999955"/>
    <x v="0"/>
    <x v="2"/>
    <x v="4"/>
  </r>
  <r>
    <s v="CLM101932"/>
    <s v="PT12650"/>
    <s v="P02"/>
    <x v="0"/>
    <x v="0"/>
    <n v="1"/>
    <d v="2026-03-25T00:00:00"/>
    <d v="2026-03-26T00:00:00"/>
    <n v="147.85"/>
    <n v="61.84"/>
    <n v="55.66"/>
    <n v="6.18"/>
    <s v="Paid"/>
    <s v=""/>
    <d v="2026-05-01T00:00:00"/>
    <d v="2026-05-01T00:00:00"/>
    <n v="145"/>
    <n v="0.43"/>
    <n v="62.35"/>
    <n v="0.50999999999999801"/>
    <x v="0"/>
    <x v="6"/>
    <x v="2"/>
  </r>
  <r>
    <s v="CLM101933"/>
    <s v="PT12206"/>
    <s v="P01"/>
    <x v="1"/>
    <x v="4"/>
    <n v="1"/>
    <d v="2025-11-08T00:00:00"/>
    <d v="2025-11-14T00:00:00"/>
    <n v="36.97"/>
    <n v="15.32"/>
    <n v="15.32"/>
    <n v="0"/>
    <s v="Paid"/>
    <s v=""/>
    <d v="2025-12-20T00:00:00"/>
    <d v="2025-12-20T00:00:00"/>
    <n v="38"/>
    <n v="0.45"/>
    <n v="17.100000000000001"/>
    <n v="1.7800000000000011"/>
    <x v="1"/>
    <x v="5"/>
    <x v="3"/>
  </r>
  <r>
    <s v="CLM101934"/>
    <s v="PT12166"/>
    <s v="P01"/>
    <x v="0"/>
    <x v="7"/>
    <n v="1"/>
    <d v="2026-05-26T00:00:00"/>
    <d v="2026-06-07T00:00:00"/>
    <n v="204.88"/>
    <n v="102.3"/>
    <n v="102.3"/>
    <n v="0"/>
    <s v="Paid"/>
    <s v=""/>
    <d v="2026-07-02T00:00:00"/>
    <d v="2026-07-02T00:00:00"/>
    <n v="210"/>
    <n v="0.45"/>
    <n v="94.5"/>
    <n v="-7.7999999999999972"/>
    <x v="0"/>
    <x v="5"/>
    <x v="7"/>
  </r>
  <r>
    <s v="CLM101935"/>
    <s v="PT11941"/>
    <s v="P04"/>
    <x v="1"/>
    <x v="10"/>
    <n v="1"/>
    <d v="2026-03-14T00:00:00"/>
    <d v="2026-03-17T00:00:00"/>
    <n v="1043.7"/>
    <n v="404.76"/>
    <n v="404.76"/>
    <n v="0"/>
    <s v="Paid"/>
    <s v=""/>
    <d v="2026-03-29T00:00:00"/>
    <d v="2026-03-29T00:00:00"/>
    <n v="1050"/>
    <n v="0.36"/>
    <n v="378"/>
    <n v="-26.759999999999991"/>
    <x v="0"/>
    <x v="1"/>
    <x v="2"/>
  </r>
  <r>
    <s v="CLM101936"/>
    <s v="PT11821"/>
    <s v="P02"/>
    <x v="2"/>
    <x v="2"/>
    <n v="4"/>
    <d v="2026-01-20T00:00:00"/>
    <d v="2026-05-31T00:00:00"/>
    <n v="248.38"/>
    <m/>
    <m/>
    <m/>
    <s v="Denied"/>
    <s v="CO-29"/>
    <d v="2026-07-05T00:00:00"/>
    <m/>
    <n v="62"/>
    <n v="0.43"/>
    <n v="106.64"/>
    <s v=""/>
    <x v="2"/>
    <x v="6"/>
    <x v="5"/>
  </r>
  <r>
    <s v="CLM101937"/>
    <s v="PT12633"/>
    <s v="P01"/>
    <x v="2"/>
    <x v="0"/>
    <n v="1"/>
    <d v="2026-01-23T00:00:00"/>
    <d v="2026-01-24T00:00:00"/>
    <n v="146.51"/>
    <n v="64.09"/>
    <n v="64.09"/>
    <n v="0"/>
    <s v="Paid"/>
    <s v=""/>
    <d v="2026-03-01T00:00:00"/>
    <d v="2026-03-01T00:00:00"/>
    <n v="145"/>
    <n v="0.45"/>
    <n v="65.25"/>
    <n v="1.1599999999999966"/>
    <x v="0"/>
    <x v="5"/>
    <x v="5"/>
  </r>
  <r>
    <s v="CLM101939"/>
    <s v="PT12143"/>
    <s v="P02"/>
    <x v="1"/>
    <x v="8"/>
    <n v="1"/>
    <d v="2026-02-19T00:00:00"/>
    <d v="2026-02-21T00:00:00"/>
    <n v="266.24"/>
    <n v="103.08"/>
    <n v="82.46"/>
    <n v="20.62"/>
    <s v="Paid"/>
    <s v=""/>
    <d v="2026-03-29T00:00:00"/>
    <d v="2026-03-29T00:00:00"/>
    <n v="260"/>
    <n v="0.43"/>
    <n v="111.8"/>
    <n v="8.7199999999999989"/>
    <x v="1"/>
    <x v="6"/>
    <x v="0"/>
  </r>
  <r>
    <s v="CLM101940"/>
    <s v="PT12554"/>
    <s v="P07"/>
    <x v="0"/>
    <x v="4"/>
    <n v="1"/>
    <d v="2025-10-17T00:00:00"/>
    <d v="2025-10-22T00:00:00"/>
    <n v="37.82"/>
    <n v="10.89"/>
    <n v="10.89"/>
    <n v="0"/>
    <s v="Paid"/>
    <s v=""/>
    <d v="2026-01-09T00:00:00"/>
    <d v="2026-01-09T00:00:00"/>
    <n v="38"/>
    <n v="0.28000000000000003"/>
    <n v="10.64"/>
    <n v="-0.25"/>
    <x v="0"/>
    <x v="3"/>
    <x v="9"/>
  </r>
  <r>
    <s v="CLM101941"/>
    <s v="PT10706"/>
    <s v="P07"/>
    <x v="2"/>
    <x v="9"/>
    <n v="2"/>
    <d v="2025-11-05T00:00:00"/>
    <d v="2025-11-07T00:00:00"/>
    <n v="114.8"/>
    <n v="36.99"/>
    <n v="36.99"/>
    <n v="0"/>
    <s v="Paid"/>
    <s v=""/>
    <d v="2026-01-17T00:00:00"/>
    <d v="2026-01-17T00:00:00"/>
    <n v="58"/>
    <n v="0.28000000000000003"/>
    <n v="32.479999999999997"/>
    <n v="-4.5100000000000051"/>
    <x v="0"/>
    <x v="3"/>
    <x v="3"/>
  </r>
  <r>
    <s v="CLM101942"/>
    <s v="PT13148"/>
    <s v="P01"/>
    <x v="1"/>
    <x v="7"/>
    <n v="1"/>
    <d v="2025-12-26T00:00:00"/>
    <d v="2025-12-27T00:00:00"/>
    <n v="207.32"/>
    <n v="101.17"/>
    <n v="101.17"/>
    <n v="0"/>
    <s v="Paid"/>
    <s v=""/>
    <d v="2026-01-15T00:00:00"/>
    <d v="2026-01-15T00:00:00"/>
    <n v="210"/>
    <n v="0.45"/>
    <n v="94.5"/>
    <n v="-6.6700000000000017"/>
    <x v="0"/>
    <x v="5"/>
    <x v="6"/>
  </r>
  <r>
    <s v="CLM101943"/>
    <s v="PT10677"/>
    <s v="P02"/>
    <x v="0"/>
    <x v="7"/>
    <n v="1"/>
    <d v="2026-05-08T00:00:00"/>
    <d v="2026-05-15T00:00:00"/>
    <n v="213.54"/>
    <n v="88.13"/>
    <n v="88.13"/>
    <n v="0"/>
    <s v="Paid"/>
    <s v=""/>
    <d v="2026-06-15T00:00:00"/>
    <d v="2026-06-15T00:00:00"/>
    <n v="210"/>
    <n v="0.43"/>
    <n v="90.3"/>
    <n v="2.1700000000000017"/>
    <x v="0"/>
    <x v="6"/>
    <x v="7"/>
  </r>
  <r>
    <s v="CLM101944"/>
    <s v="PT11150"/>
    <s v="P05"/>
    <x v="0"/>
    <x v="8"/>
    <n v="1"/>
    <d v="2026-04-08T00:00:00"/>
    <d v="2026-04-10T00:00:00"/>
    <n v="263.83"/>
    <n v="98.34"/>
    <n v="98.34"/>
    <n v="0"/>
    <s v="Paid"/>
    <s v=""/>
    <d v="2026-06-21T00:00:00"/>
    <d v="2026-06-21T00:00:00"/>
    <n v="260"/>
    <n v="0.38"/>
    <n v="98.8"/>
    <n v="0.45999999999999375"/>
    <x v="0"/>
    <x v="0"/>
    <x v="10"/>
  </r>
  <r>
    <s v="CLM101945"/>
    <s v="PT11973"/>
    <s v="P01"/>
    <x v="3"/>
    <x v="3"/>
    <n v="20"/>
    <d v="2026-05-11T00:00:00"/>
    <d v="2026-05-12T00:00:00"/>
    <n v="28240"/>
    <n v="13086.04"/>
    <n v="11777.44"/>
    <n v="1308.5999999999999"/>
    <s v="Paid"/>
    <s v=""/>
    <d v="2026-06-11T00:00:00"/>
    <d v="2026-06-11T00:00:00"/>
    <n v="1450"/>
    <n v="0.45"/>
    <n v="13050"/>
    <n v="-36.040000000000873"/>
    <x v="0"/>
    <x v="5"/>
    <x v="7"/>
  </r>
  <r>
    <s v="CLM101946"/>
    <s v="PT12382"/>
    <s v="P01"/>
    <x v="3"/>
    <x v="6"/>
    <n v="1"/>
    <d v="2026-04-19T00:00:00"/>
    <d v="2026-04-21T00:00:00"/>
    <n v="425.7"/>
    <n v="197.73"/>
    <n v="197.73"/>
    <n v="0"/>
    <s v="Paid"/>
    <s v=""/>
    <d v="2026-06-04T00:00:00"/>
    <d v="2026-06-04T00:00:00"/>
    <n v="420"/>
    <n v="0.45"/>
    <n v="189"/>
    <n v="-8.7299999999999898"/>
    <x v="0"/>
    <x v="5"/>
    <x v="10"/>
  </r>
  <r>
    <s v="CLM101947"/>
    <s v="PT11866"/>
    <s v="P04"/>
    <x v="3"/>
    <x v="6"/>
    <n v="1"/>
    <d v="2026-02-12T00:00:00"/>
    <d v="2026-02-13T00:00:00"/>
    <n v="424.33"/>
    <n v="159.77000000000001"/>
    <n v="159.77000000000001"/>
    <n v="0"/>
    <s v="Paid"/>
    <s v=""/>
    <d v="2026-02-28T00:00:00"/>
    <d v="2026-02-28T00:00:00"/>
    <n v="420"/>
    <n v="0.36"/>
    <n v="151.19999999999999"/>
    <n v="-8.5700000000000216"/>
    <x v="0"/>
    <x v="1"/>
    <x v="0"/>
  </r>
  <r>
    <s v="CLM101948"/>
    <s v="PT11439"/>
    <s v="P02"/>
    <x v="0"/>
    <x v="8"/>
    <n v="1"/>
    <d v="2026-05-23T00:00:00"/>
    <d v="2026-05-29T00:00:00"/>
    <n v="253"/>
    <m/>
    <m/>
    <m/>
    <s v="Denied"/>
    <s v="CO-11"/>
    <d v="2026-07-02T00:00:00"/>
    <m/>
    <n v="260"/>
    <n v="0.43"/>
    <n v="111.8"/>
    <s v=""/>
    <x v="2"/>
    <x v="6"/>
    <x v="7"/>
  </r>
  <r>
    <s v="CLM101949"/>
    <s v="PT12699"/>
    <s v="P06"/>
    <x v="1"/>
    <x v="10"/>
    <n v="1"/>
    <d v="2025-12-07T00:00:00"/>
    <d v="2025-12-09T00:00:00"/>
    <n v="1061.3"/>
    <m/>
    <m/>
    <m/>
    <s v="Denied"/>
    <s v="CO-50"/>
    <d v="2026-01-22T00:00:00"/>
    <m/>
    <n v="1050"/>
    <n v="0.27"/>
    <n v="283.5"/>
    <s v=""/>
    <x v="2"/>
    <x v="2"/>
    <x v="6"/>
  </r>
  <r>
    <s v="CLM101950"/>
    <s v="PT12117"/>
    <s v="P07"/>
    <x v="0"/>
    <x v="0"/>
    <n v="1"/>
    <d v="2025-12-16T00:00:00"/>
    <d v="2025-12-27T00:00:00"/>
    <n v="144.59"/>
    <m/>
    <m/>
    <m/>
    <s v="Denied"/>
    <s v="CO-18"/>
    <d v="2026-02-24T00:00:00"/>
    <m/>
    <n v="145"/>
    <n v="0.28000000000000003"/>
    <n v="40.6"/>
    <s v=""/>
    <x v="2"/>
    <x v="3"/>
    <x v="6"/>
  </r>
  <r>
    <s v="CLM101951"/>
    <s v="PT12085"/>
    <s v="P01"/>
    <x v="2"/>
    <x v="9"/>
    <n v="1"/>
    <d v="2026-01-29T00:00:00"/>
    <d v="2026-05-06T00:00:00"/>
    <n v="57.69"/>
    <m/>
    <m/>
    <m/>
    <s v="Denied"/>
    <s v="CO-29"/>
    <d v="2026-06-02T00:00:00"/>
    <m/>
    <n v="58"/>
    <n v="0.45"/>
    <n v="26.1"/>
    <s v=""/>
    <x v="2"/>
    <x v="5"/>
    <x v="5"/>
  </r>
  <r>
    <s v="CLM101952"/>
    <s v="PT13241"/>
    <s v="P02"/>
    <x v="1"/>
    <x v="8"/>
    <n v="1"/>
    <d v="2026-08-27T00:00:00"/>
    <d v="2026-08-28T00:00:00"/>
    <n v="259.06"/>
    <m/>
    <m/>
    <m/>
    <s v="Pending"/>
    <s v=""/>
    <m/>
    <m/>
    <n v="260"/>
    <n v="0.43"/>
    <n v="111.8"/>
    <s v=""/>
    <x v="2"/>
    <x v="6"/>
    <x v="4"/>
  </r>
  <r>
    <s v="CLM101953"/>
    <s v="PT13158"/>
    <s v="P04"/>
    <x v="2"/>
    <x v="2"/>
    <n v="1"/>
    <d v="2025-12-09T00:00:00"/>
    <d v="2025-12-12T00:00:00"/>
    <n v="62.87"/>
    <n v="23.16"/>
    <n v="23.16"/>
    <n v="0"/>
    <s v="Paid"/>
    <s v=""/>
    <d v="2025-12-29T00:00:00"/>
    <d v="2025-12-29T00:00:00"/>
    <n v="62"/>
    <n v="0.36"/>
    <n v="22.32"/>
    <n v="-0.83999999999999986"/>
    <x v="0"/>
    <x v="1"/>
    <x v="6"/>
  </r>
  <r>
    <s v="CLM101954"/>
    <s v="PT13077"/>
    <s v="P02"/>
    <x v="0"/>
    <x v="4"/>
    <n v="1"/>
    <d v="2026-06-15T00:00:00"/>
    <d v="2026-06-20T00:00:00"/>
    <n v="38.590000000000003"/>
    <n v="14.17"/>
    <n v="11.34"/>
    <n v="2.83"/>
    <s v="Paid"/>
    <s v=""/>
    <d v="2026-07-25T00:00:00"/>
    <d v="2026-07-25T00:00:00"/>
    <n v="38"/>
    <n v="0.43"/>
    <n v="16.34"/>
    <n v="2.17"/>
    <x v="1"/>
    <x v="6"/>
    <x v="11"/>
  </r>
  <r>
    <s v="CLM101955"/>
    <s v="PT11637"/>
    <s v="P01"/>
    <x v="1"/>
    <x v="10"/>
    <n v="1"/>
    <d v="2026-09-14T00:00:00"/>
    <d v="2026-09-19T00:00:00"/>
    <n v="1069.73"/>
    <m/>
    <m/>
    <m/>
    <s v="Pending"/>
    <s v=""/>
    <m/>
    <m/>
    <n v="1050"/>
    <n v="0.45"/>
    <n v="472.5"/>
    <s v=""/>
    <x v="2"/>
    <x v="5"/>
    <x v="8"/>
  </r>
  <r>
    <s v="CLM101956"/>
    <s v="PT10569"/>
    <s v="P02"/>
    <x v="1"/>
    <x v="5"/>
    <n v="1"/>
    <d v="2026-08-23T00:00:00"/>
    <d v="2026-08-24T00:00:00"/>
    <n v="4748.92"/>
    <n v="1905.54"/>
    <n v="1905.54"/>
    <n v="0"/>
    <s v="Paid"/>
    <s v=""/>
    <d v="2026-09-24T00:00:00"/>
    <d v="2026-09-24T00:00:00"/>
    <n v="4800"/>
    <n v="0.43"/>
    <n v="2064"/>
    <n v="158.46000000000004"/>
    <x v="1"/>
    <x v="6"/>
    <x v="4"/>
  </r>
  <r>
    <s v="CLM101957"/>
    <s v="PT11667"/>
    <s v="P03"/>
    <x v="2"/>
    <x v="0"/>
    <n v="1"/>
    <d v="2026-02-12T00:00:00"/>
    <d v="2026-02-16T00:00:00"/>
    <n v="146.29"/>
    <n v="70.09"/>
    <n v="70.09"/>
    <n v="0"/>
    <s v="Paid"/>
    <s v=""/>
    <d v="2026-03-15T00:00:00"/>
    <d v="2026-03-15T00:00:00"/>
    <n v="145"/>
    <n v="0.47"/>
    <n v="68.150000000000006"/>
    <n v="-1.9399999999999977"/>
    <x v="0"/>
    <x v="4"/>
    <x v="0"/>
  </r>
  <r>
    <s v="CLM101958"/>
    <s v="PT11943"/>
    <s v="P06"/>
    <x v="0"/>
    <x v="7"/>
    <n v="1"/>
    <d v="2025-11-05T00:00:00"/>
    <d v="2025-11-06T00:00:00"/>
    <n v="208.77"/>
    <n v="59.46"/>
    <n v="59.46"/>
    <n v="0"/>
    <s v="Paid"/>
    <s v=""/>
    <d v="2025-12-27T00:00:00"/>
    <d v="2025-12-27T00:00:00"/>
    <n v="210"/>
    <n v="0.27"/>
    <n v="56.7"/>
    <n v="-2.759999999999998"/>
    <x v="0"/>
    <x v="2"/>
    <x v="3"/>
  </r>
  <r>
    <s v="CLM101959"/>
    <s v="PT12009"/>
    <s v="P04"/>
    <x v="1"/>
    <x v="5"/>
    <n v="1"/>
    <d v="2025-12-30T00:00:00"/>
    <d v="2026-01-02T00:00:00"/>
    <n v="4876.82"/>
    <n v="1850.1"/>
    <n v="1850.1"/>
    <n v="0"/>
    <s v="Paid"/>
    <s v=""/>
    <d v="2026-01-13T00:00:00"/>
    <d v="2026-01-13T00:00:00"/>
    <n v="4800"/>
    <n v="0.36"/>
    <n v="1728"/>
    <n v="-122.09999999999991"/>
    <x v="0"/>
    <x v="1"/>
    <x v="6"/>
  </r>
  <r>
    <s v="CLM101960"/>
    <s v="PT11874"/>
    <s v="P03"/>
    <x v="1"/>
    <x v="7"/>
    <n v="1"/>
    <d v="2026-03-15T00:00:00"/>
    <d v="2026-03-21T00:00:00"/>
    <n v="215.87"/>
    <n v="93.54"/>
    <n v="93.54"/>
    <n v="0"/>
    <s v="Paid"/>
    <s v=""/>
    <d v="2026-04-28T00:00:00"/>
    <d v="2026-04-28T00:00:00"/>
    <n v="210"/>
    <n v="0.47"/>
    <n v="98.7"/>
    <n v="5.1599999999999966"/>
    <x v="1"/>
    <x v="4"/>
    <x v="2"/>
  </r>
  <r>
    <s v="CLM101961"/>
    <s v="PT10960"/>
    <s v="P04"/>
    <x v="3"/>
    <x v="3"/>
    <n v="20"/>
    <d v="2026-03-07T00:00:00"/>
    <d v="2026-03-11T00:00:00"/>
    <n v="28428.61"/>
    <m/>
    <m/>
    <m/>
    <s v="Denied"/>
    <s v="CO-197"/>
    <d v="2026-03-16T00:00:00"/>
    <m/>
    <n v="1450"/>
    <n v="0.36"/>
    <n v="10440"/>
    <s v=""/>
    <x v="2"/>
    <x v="1"/>
    <x v="2"/>
  </r>
  <r>
    <s v="CLM101962"/>
    <s v="PT11469"/>
    <s v="P01"/>
    <x v="1"/>
    <x v="5"/>
    <n v="1"/>
    <d v="2026-03-17T00:00:00"/>
    <d v="2026-04-05T00:00:00"/>
    <n v="4743.12"/>
    <n v="1815.19"/>
    <n v="1633.67"/>
    <n v="181.52"/>
    <s v="Paid"/>
    <s v=""/>
    <d v="2026-04-28T00:00:00"/>
    <d v="2026-04-28T00:00:00"/>
    <n v="4800"/>
    <n v="0.45"/>
    <n v="2160"/>
    <n v="344.80999999999995"/>
    <x v="1"/>
    <x v="5"/>
    <x v="2"/>
  </r>
  <r>
    <s v="CLM101963"/>
    <s v="PT10008"/>
    <s v="P08"/>
    <x v="3"/>
    <x v="7"/>
    <n v="1"/>
    <d v="2026-05-19T00:00:00"/>
    <d v="2026-05-21T00:00:00"/>
    <n v="204.04"/>
    <m/>
    <m/>
    <m/>
    <s v="Pending"/>
    <s v=""/>
    <m/>
    <m/>
    <n v="210"/>
    <n v="1"/>
    <n v="210"/>
    <s v=""/>
    <x v="2"/>
    <x v="7"/>
    <x v="7"/>
  </r>
  <r>
    <s v="CLM101964"/>
    <s v="PT13220"/>
    <s v="P08"/>
    <x v="0"/>
    <x v="7"/>
    <n v="1"/>
    <d v="2026-02-17T00:00:00"/>
    <d v="2026-02-27T00:00:00"/>
    <n v="206.62"/>
    <m/>
    <m/>
    <m/>
    <s v="Pending"/>
    <s v=""/>
    <m/>
    <m/>
    <n v="210"/>
    <n v="1"/>
    <n v="210"/>
    <s v=""/>
    <x v="2"/>
    <x v="7"/>
    <x v="0"/>
  </r>
  <r>
    <s v="CLM101965"/>
    <s v="PT10022"/>
    <s v="P05"/>
    <x v="1"/>
    <x v="8"/>
    <n v="1"/>
    <d v="2026-09-21T00:00:00"/>
    <d v="2026-09-27T00:00:00"/>
    <n v="262.77999999999997"/>
    <m/>
    <m/>
    <m/>
    <s v="Pending"/>
    <s v=""/>
    <m/>
    <m/>
    <n v="260"/>
    <n v="0.38"/>
    <n v="98.8"/>
    <s v=""/>
    <x v="2"/>
    <x v="0"/>
    <x v="8"/>
  </r>
  <r>
    <s v="CLM101966"/>
    <s v="PT12375"/>
    <s v="P08"/>
    <x v="0"/>
    <x v="4"/>
    <n v="1"/>
    <d v="2026-02-16T00:00:00"/>
    <d v="2026-02-21T00:00:00"/>
    <n v="38.369999999999997"/>
    <n v="38.369999999999997"/>
    <n v="38.369999999999997"/>
    <n v="0"/>
    <s v="Paid"/>
    <s v=""/>
    <d v="2026-05-20T00:00:00"/>
    <d v="2026-05-20T00:00:00"/>
    <n v="38"/>
    <n v="1"/>
    <n v="38"/>
    <n v="-0.36999999999999744"/>
    <x v="0"/>
    <x v="7"/>
    <x v="0"/>
  </r>
  <r>
    <s v="CLM101967"/>
    <s v="PT11838"/>
    <s v="P01"/>
    <x v="2"/>
    <x v="2"/>
    <n v="1"/>
    <d v="2026-08-30T00:00:00"/>
    <d v="2026-09-03T00:00:00"/>
    <n v="63.42"/>
    <n v="31.65"/>
    <n v="31.65"/>
    <n v="0"/>
    <s v="Paid"/>
    <s v=""/>
    <d v="2026-09-23T00:00:00"/>
    <d v="2026-09-23T00:00:00"/>
    <n v="62"/>
    <n v="0.45"/>
    <n v="27.9"/>
    <n v="-3.75"/>
    <x v="0"/>
    <x v="5"/>
    <x v="4"/>
  </r>
  <r>
    <s v="CLM101968"/>
    <s v="PT12101"/>
    <s v="P03"/>
    <x v="3"/>
    <x v="3"/>
    <n v="10"/>
    <d v="2026-08-03T00:00:00"/>
    <d v="2026-08-05T00:00:00"/>
    <n v="14423.67"/>
    <n v="5856.66"/>
    <n v="5856.66"/>
    <n v="0"/>
    <s v="Paid"/>
    <s v=""/>
    <d v="2026-09-18T00:00:00"/>
    <d v="2026-09-18T00:00:00"/>
    <n v="1450"/>
    <n v="0.47"/>
    <n v="6815"/>
    <n v="958.34000000000015"/>
    <x v="1"/>
    <x v="4"/>
    <x v="4"/>
  </r>
  <r>
    <s v="CLM101969"/>
    <s v="PT13411"/>
    <s v="P03"/>
    <x v="0"/>
    <x v="0"/>
    <n v="1"/>
    <d v="2025-11-03T00:00:00"/>
    <d v="2025-11-06T00:00:00"/>
    <n v="144.6"/>
    <n v="70.459999999999994"/>
    <n v="63.41"/>
    <n v="7.05"/>
    <s v="Paid"/>
    <s v=""/>
    <d v="2025-12-13T00:00:00"/>
    <d v="2025-12-13T00:00:00"/>
    <n v="145"/>
    <n v="0.47"/>
    <n v="68.150000000000006"/>
    <n v="-2.3099999999999881"/>
    <x v="0"/>
    <x v="4"/>
    <x v="3"/>
  </r>
  <r>
    <s v="CLM101970"/>
    <s v="PT12314"/>
    <s v="P02"/>
    <x v="1"/>
    <x v="1"/>
    <n v="1"/>
    <d v="2025-10-16T00:00:00"/>
    <d v="2025-10-17T00:00:00"/>
    <n v="242.31"/>
    <n v="103.83"/>
    <n v="93.45"/>
    <n v="10.38"/>
    <s v="Paid"/>
    <s v=""/>
    <d v="2025-11-21T00:00:00"/>
    <d v="2025-11-21T00:00:00"/>
    <n v="240"/>
    <n v="0.43"/>
    <n v="103.2"/>
    <n v="-0.62999999999999545"/>
    <x v="0"/>
    <x v="6"/>
    <x v="9"/>
  </r>
  <r>
    <s v="CLM101971"/>
    <s v="PT11576"/>
    <s v="P03"/>
    <x v="1"/>
    <x v="4"/>
    <n v="1"/>
    <d v="2026-02-19T00:00:00"/>
    <d v="2026-02-22T00:00:00"/>
    <n v="37.06"/>
    <m/>
    <m/>
    <m/>
    <s v="Denied"/>
    <s v="CO-50"/>
    <d v="2026-04-02T00:00:00"/>
    <m/>
    <n v="38"/>
    <n v="0.47"/>
    <n v="17.86"/>
    <s v=""/>
    <x v="2"/>
    <x v="4"/>
    <x v="0"/>
  </r>
  <r>
    <s v="CLM101972"/>
    <s v="PT11868"/>
    <s v="P02"/>
    <x v="1"/>
    <x v="10"/>
    <n v="1"/>
    <d v="2025-12-07T00:00:00"/>
    <d v="2025-12-08T00:00:00"/>
    <n v="1019.48"/>
    <m/>
    <m/>
    <m/>
    <s v="Denied"/>
    <s v="CO-197"/>
    <d v="2025-12-20T00:00:00"/>
    <m/>
    <n v="1050"/>
    <n v="0.43"/>
    <n v="451.5"/>
    <s v=""/>
    <x v="2"/>
    <x v="6"/>
    <x v="6"/>
  </r>
  <r>
    <s v="CLM101973"/>
    <s v="PT10024"/>
    <s v="P01"/>
    <x v="1"/>
    <x v="11"/>
    <n v="1"/>
    <d v="2026-08-01T00:00:00"/>
    <d v="2026-08-06T00:00:00"/>
    <n v="1141.82"/>
    <n v="487.28"/>
    <n v="389.82"/>
    <n v="97.46"/>
    <s v="Paid"/>
    <s v=""/>
    <d v="2026-08-18T00:00:00"/>
    <d v="2026-08-18T00:00:00"/>
    <n v="1150"/>
    <n v="0.45"/>
    <n v="517.5"/>
    <n v="30.220000000000027"/>
    <x v="1"/>
    <x v="5"/>
    <x v="4"/>
  </r>
  <r>
    <s v="CLM101974"/>
    <s v="PT10880"/>
    <s v="P05"/>
    <x v="1"/>
    <x v="8"/>
    <n v="1"/>
    <d v="2026-03-01T00:00:00"/>
    <d v="2026-03-12T00:00:00"/>
    <n v="264.83999999999997"/>
    <m/>
    <m/>
    <m/>
    <s v="Denied"/>
    <s v="CO-16"/>
    <d v="2026-04-29T00:00:00"/>
    <m/>
    <n v="260"/>
    <n v="0.38"/>
    <n v="98.8"/>
    <s v=""/>
    <x v="2"/>
    <x v="0"/>
    <x v="2"/>
  </r>
  <r>
    <s v="CLM101975"/>
    <s v="PT10003"/>
    <s v="P02"/>
    <x v="2"/>
    <x v="9"/>
    <n v="1"/>
    <d v="2025-10-05T00:00:00"/>
    <d v="2025-10-07T00:00:00"/>
    <n v="58.18"/>
    <n v="28.17"/>
    <n v="22.54"/>
    <n v="5.63"/>
    <s v="Paid"/>
    <s v=""/>
    <d v="2025-11-20T00:00:00"/>
    <d v="2025-11-20T00:00:00"/>
    <n v="58"/>
    <n v="0.43"/>
    <n v="24.94"/>
    <n v="-3.2300000000000004"/>
    <x v="0"/>
    <x v="6"/>
    <x v="9"/>
  </r>
  <r>
    <s v="CLM101976"/>
    <s v="PT11453"/>
    <s v="P02"/>
    <x v="1"/>
    <x v="5"/>
    <n v="1"/>
    <d v="2026-04-11T00:00:00"/>
    <d v="2026-04-19T00:00:00"/>
    <n v="4747.6499999999996"/>
    <n v="1908.6"/>
    <n v="1717.74"/>
    <n v="190.86"/>
    <s v="Paid"/>
    <s v=""/>
    <d v="2026-05-25T00:00:00"/>
    <d v="2026-05-25T00:00:00"/>
    <n v="4800"/>
    <n v="0.43"/>
    <n v="2064"/>
    <n v="155.40000000000009"/>
    <x v="1"/>
    <x v="6"/>
    <x v="10"/>
  </r>
  <r>
    <s v="CLM101977"/>
    <s v="PT10995"/>
    <s v="P03"/>
    <x v="1"/>
    <x v="5"/>
    <n v="1"/>
    <d v="2026-06-14T00:00:00"/>
    <d v="2026-06-19T00:00:00"/>
    <n v="4873.12"/>
    <n v="2510.13"/>
    <n v="2510.13"/>
    <n v="0"/>
    <s v="Paid"/>
    <s v=""/>
    <d v="2026-08-04T00:00:00"/>
    <d v="2026-08-04T00:00:00"/>
    <n v="4800"/>
    <n v="0.47"/>
    <n v="2256"/>
    <n v="-254.13000000000011"/>
    <x v="0"/>
    <x v="4"/>
    <x v="11"/>
  </r>
  <r>
    <s v="CLM101978"/>
    <s v="PT12120"/>
    <s v="P02"/>
    <x v="2"/>
    <x v="0"/>
    <n v="1"/>
    <d v="2026-06-19T00:00:00"/>
    <d v="2026-06-20T00:00:00"/>
    <n v="145.41"/>
    <n v="71.8"/>
    <n v="71.8"/>
    <n v="0"/>
    <s v="Paid"/>
    <s v=""/>
    <d v="2026-07-14T00:00:00"/>
    <d v="2026-07-14T00:00:00"/>
    <n v="145"/>
    <n v="0.43"/>
    <n v="62.35"/>
    <n v="-9.4499999999999957"/>
    <x v="0"/>
    <x v="6"/>
    <x v="11"/>
  </r>
  <r>
    <s v="CLM101979"/>
    <s v="PT11670"/>
    <s v="P02"/>
    <x v="0"/>
    <x v="4"/>
    <n v="1"/>
    <d v="2026-01-10T00:00:00"/>
    <d v="2026-01-12T00:00:00"/>
    <n v="39.049999999999997"/>
    <m/>
    <m/>
    <m/>
    <s v="Denied"/>
    <s v="CO-27"/>
    <d v="2026-02-17T00:00:00"/>
    <m/>
    <n v="38"/>
    <n v="0.43"/>
    <n v="16.34"/>
    <s v=""/>
    <x v="2"/>
    <x v="6"/>
    <x v="5"/>
  </r>
  <r>
    <s v="CLM101980"/>
    <s v="PT11584"/>
    <s v="P03"/>
    <x v="1"/>
    <x v="5"/>
    <n v="1"/>
    <d v="2026-09-07T00:00:00"/>
    <d v="2026-09-08T00:00:00"/>
    <n v="4916.66"/>
    <m/>
    <m/>
    <m/>
    <s v="Denied"/>
    <s v="CO-197"/>
    <d v="2026-09-17T00:00:00"/>
    <m/>
    <n v="4800"/>
    <n v="0.47"/>
    <n v="2256"/>
    <s v=""/>
    <x v="2"/>
    <x v="4"/>
    <x v="8"/>
  </r>
  <r>
    <s v="CLM101981"/>
    <s v="PT11544"/>
    <s v="P01"/>
    <x v="0"/>
    <x v="7"/>
    <n v="1"/>
    <d v="2026-05-02T00:00:00"/>
    <d v="2026-05-16T00:00:00"/>
    <n v="208.72"/>
    <n v="95.95"/>
    <n v="86.35"/>
    <n v="9.6"/>
    <s v="Paid"/>
    <s v=""/>
    <d v="2026-06-08T00:00:00"/>
    <d v="2026-06-08T00:00:00"/>
    <n v="210"/>
    <n v="0.45"/>
    <n v="94.5"/>
    <n v="-1.4500000000000028"/>
    <x v="0"/>
    <x v="5"/>
    <x v="7"/>
  </r>
  <r>
    <s v="CLM101982"/>
    <s v="PT11637"/>
    <s v="P04"/>
    <x v="0"/>
    <x v="7"/>
    <n v="1"/>
    <d v="2026-08-05T00:00:00"/>
    <d v="2026-08-11T00:00:00"/>
    <n v="213.67"/>
    <n v="72.63"/>
    <n v="58.1"/>
    <n v="14.53"/>
    <s v="Paid"/>
    <s v=""/>
    <d v="2026-08-30T00:00:00"/>
    <d v="2026-08-30T00:00:00"/>
    <n v="210"/>
    <n v="0.36"/>
    <n v="75.599999999999994"/>
    <n v="2.9699999999999989"/>
    <x v="0"/>
    <x v="1"/>
    <x v="4"/>
  </r>
  <r>
    <s v="CLM101983"/>
    <s v="PT10200"/>
    <s v="P05"/>
    <x v="0"/>
    <x v="4"/>
    <n v="1"/>
    <d v="2026-05-19T00:00:00"/>
    <d v="2026-05-21T00:00:00"/>
    <n v="38.25"/>
    <n v="12.41"/>
    <n v="12.41"/>
    <n v="0"/>
    <s v="Paid"/>
    <s v=""/>
    <d v="2026-07-20T00:00:00"/>
    <d v="2026-07-20T00:00:00"/>
    <n v="38"/>
    <n v="0.38"/>
    <n v="14.44"/>
    <n v="2.0299999999999994"/>
    <x v="1"/>
    <x v="0"/>
    <x v="7"/>
  </r>
  <r>
    <s v="CLM101984"/>
    <s v="PT10633"/>
    <s v="P07"/>
    <x v="0"/>
    <x v="8"/>
    <n v="1"/>
    <d v="2026-02-04T00:00:00"/>
    <d v="2026-02-05T00:00:00"/>
    <n v="253.69"/>
    <n v="63.94"/>
    <n v="63.94"/>
    <n v="0"/>
    <s v="Paid"/>
    <s v=""/>
    <d v="2026-04-16T00:00:00"/>
    <d v="2026-04-16T00:00:00"/>
    <n v="260"/>
    <n v="0.28000000000000003"/>
    <n v="72.8"/>
    <n v="8.86"/>
    <x v="1"/>
    <x v="3"/>
    <x v="0"/>
  </r>
  <r>
    <s v="CLM101985"/>
    <s v="PT13245"/>
    <s v="P01"/>
    <x v="2"/>
    <x v="9"/>
    <n v="1"/>
    <d v="2025-10-03T00:00:00"/>
    <d v="2025-10-04T00:00:00"/>
    <n v="57.27"/>
    <n v="29.22"/>
    <n v="29.22"/>
    <n v="0"/>
    <s v="Paid"/>
    <s v=""/>
    <d v="2025-11-08T00:00:00"/>
    <d v="2025-11-08T00:00:00"/>
    <n v="58"/>
    <n v="0.45"/>
    <n v="26.1"/>
    <n v="-3.1199999999999974"/>
    <x v="0"/>
    <x v="5"/>
    <x v="9"/>
  </r>
  <r>
    <s v="CLM101986"/>
    <s v="PT10068"/>
    <s v="P04"/>
    <x v="1"/>
    <x v="4"/>
    <n v="1"/>
    <d v="2025-10-18T00:00:00"/>
    <d v="2025-10-24T00:00:00"/>
    <n v="38.85"/>
    <n v="12.76"/>
    <n v="12.76"/>
    <n v="0"/>
    <s v="Paid"/>
    <s v=""/>
    <d v="2025-11-16T00:00:00"/>
    <d v="2025-11-16T00:00:00"/>
    <n v="38"/>
    <n v="0.36"/>
    <n v="13.68"/>
    <n v="0.91999999999999993"/>
    <x v="1"/>
    <x v="1"/>
    <x v="9"/>
  </r>
  <r>
    <s v="CLM101987"/>
    <s v="PT13411"/>
    <s v="P04"/>
    <x v="1"/>
    <x v="5"/>
    <n v="1"/>
    <d v="2026-03-14T00:00:00"/>
    <d v="2026-03-19T00:00:00"/>
    <n v="4699.8599999999997"/>
    <n v="1498.45"/>
    <n v="1348.61"/>
    <n v="149.84"/>
    <s v="Paid"/>
    <s v=""/>
    <d v="2026-03-31T00:00:00"/>
    <d v="2026-03-31T00:00:00"/>
    <n v="4800"/>
    <n v="0.36"/>
    <n v="1728"/>
    <n v="229.54999999999995"/>
    <x v="1"/>
    <x v="1"/>
    <x v="2"/>
  </r>
  <r>
    <s v="CLM101988"/>
    <s v="PT10227"/>
    <s v="P01"/>
    <x v="3"/>
    <x v="6"/>
    <n v="1"/>
    <d v="2026-09-07T00:00:00"/>
    <d v="2026-09-08T00:00:00"/>
    <n v="431.08"/>
    <n v="183.7"/>
    <n v="183.7"/>
    <n v="0"/>
    <s v="Paid"/>
    <s v=""/>
    <d v="2026-09-30T00:00:00"/>
    <d v="2026-09-30T00:00:00"/>
    <n v="420"/>
    <n v="0.45"/>
    <n v="189"/>
    <n v="5.3000000000000114"/>
    <x v="0"/>
    <x v="5"/>
    <x v="8"/>
  </r>
  <r>
    <s v="CLM101989"/>
    <s v="PT12288"/>
    <s v="P02"/>
    <x v="0"/>
    <x v="7"/>
    <n v="1"/>
    <d v="2026-01-27T00:00:00"/>
    <d v="2026-02-07T00:00:00"/>
    <n v="204.09"/>
    <n v="85.3"/>
    <n v="76.77"/>
    <n v="8.5299999999999994"/>
    <s v="Paid"/>
    <s v=""/>
    <d v="2026-03-15T00:00:00"/>
    <d v="2026-03-15T00:00:00"/>
    <n v="210"/>
    <n v="0.43"/>
    <n v="90.3"/>
    <n v="5"/>
    <x v="1"/>
    <x v="6"/>
    <x v="5"/>
  </r>
  <r>
    <s v="CLM101991"/>
    <s v="PT11675"/>
    <s v="P07"/>
    <x v="0"/>
    <x v="7"/>
    <n v="1"/>
    <d v="2025-11-13T00:00:00"/>
    <d v="2025-11-15T00:00:00"/>
    <n v="209.67"/>
    <n v="49.45"/>
    <n v="39.56"/>
    <n v="9.89"/>
    <s v="Paid"/>
    <s v=""/>
    <d v="2026-01-11T00:00:00"/>
    <d v="2026-01-11T00:00:00"/>
    <n v="210"/>
    <n v="0.28000000000000003"/>
    <n v="58.8"/>
    <n v="9.3499999999999943"/>
    <x v="1"/>
    <x v="3"/>
    <x v="3"/>
  </r>
  <r>
    <s v="CLM101992"/>
    <s v="PT11268"/>
    <s v="P03"/>
    <x v="1"/>
    <x v="1"/>
    <n v="1"/>
    <d v="2026-03-20T00:00:00"/>
    <d v="2026-03-21T00:00:00"/>
    <n v="246.89"/>
    <n v="131.72999999999999"/>
    <n v="131.72999999999999"/>
    <n v="0"/>
    <s v="Paid"/>
    <s v=""/>
    <d v="2026-04-20T00:00:00"/>
    <d v="2026-04-20T00:00:00"/>
    <n v="240"/>
    <n v="0.47"/>
    <n v="112.8"/>
    <n v="-18.929999999999993"/>
    <x v="0"/>
    <x v="4"/>
    <x v="2"/>
  </r>
  <r>
    <s v="CLM101993"/>
    <s v="PT12705"/>
    <s v="P03"/>
    <x v="1"/>
    <x v="11"/>
    <n v="1"/>
    <d v="2025-12-01T00:00:00"/>
    <d v="2025-12-03T00:00:00"/>
    <n v="1164.55"/>
    <n v="577.07000000000005"/>
    <n v="461.66"/>
    <n v="115.41"/>
    <s v="Paid"/>
    <s v=""/>
    <d v="2025-12-29T00:00:00"/>
    <d v="2025-12-29T00:00:00"/>
    <n v="1150"/>
    <n v="0.47"/>
    <n v="540.5"/>
    <n v="-36.57000000000005"/>
    <x v="0"/>
    <x v="4"/>
    <x v="6"/>
  </r>
  <r>
    <s v="CLM101994"/>
    <s v="PT11716"/>
    <s v="P01"/>
    <x v="0"/>
    <x v="4"/>
    <n v="1"/>
    <d v="2025-10-27T00:00:00"/>
    <d v="2025-10-30T00:00:00"/>
    <n v="37.99"/>
    <n v="14.83"/>
    <n v="14.83"/>
    <n v="0"/>
    <s v="Paid"/>
    <s v=""/>
    <d v="2025-12-04T00:00:00"/>
    <d v="2025-12-04T00:00:00"/>
    <n v="38"/>
    <n v="0.45"/>
    <n v="17.100000000000001"/>
    <n v="2.2700000000000014"/>
    <x v="1"/>
    <x v="5"/>
    <x v="9"/>
  </r>
  <r>
    <s v="CLM101995"/>
    <s v="PT12419"/>
    <s v="P05"/>
    <x v="1"/>
    <x v="1"/>
    <n v="1"/>
    <d v="2025-12-31T00:00:00"/>
    <d v="2026-01-01T00:00:00"/>
    <n v="246.71"/>
    <n v="97.95"/>
    <n v="97.95"/>
    <n v="0"/>
    <s v="Paid"/>
    <s v=""/>
    <d v="2026-02-21T00:00:00"/>
    <d v="2026-02-21T00:00:00"/>
    <n v="240"/>
    <n v="0.38"/>
    <n v="91.2"/>
    <n v="-6.75"/>
    <x v="0"/>
    <x v="0"/>
    <x v="6"/>
  </r>
  <r>
    <s v="CLM101996"/>
    <s v="PT12252"/>
    <s v="P01"/>
    <x v="1"/>
    <x v="10"/>
    <n v="1"/>
    <d v="2026-05-24T00:00:00"/>
    <d v="2026-05-26T00:00:00"/>
    <n v="1021.04"/>
    <m/>
    <m/>
    <m/>
    <s v="Denied"/>
    <s v="CO-197"/>
    <d v="2026-06-21T00:00:00"/>
    <m/>
    <n v="1050"/>
    <n v="0.45"/>
    <n v="472.5"/>
    <s v=""/>
    <x v="2"/>
    <x v="5"/>
    <x v="7"/>
  </r>
  <r>
    <s v="CLM101997"/>
    <s v="PT10269"/>
    <s v="P03"/>
    <x v="3"/>
    <x v="6"/>
    <n v="1"/>
    <d v="2026-05-16T00:00:00"/>
    <d v="2026-05-20T00:00:00"/>
    <n v="426.29"/>
    <n v="218.62"/>
    <n v="196.76"/>
    <n v="21.86"/>
    <s v="Paid"/>
    <s v=""/>
    <d v="2026-07-18T00:00:00"/>
    <d v="2026-07-18T00:00:00"/>
    <n v="420"/>
    <n v="0.47"/>
    <n v="197.4"/>
    <n v="-21.22"/>
    <x v="0"/>
    <x v="4"/>
    <x v="7"/>
  </r>
  <r>
    <s v="CLM101998"/>
    <s v="PT10367"/>
    <s v="P05"/>
    <x v="2"/>
    <x v="2"/>
    <n v="2"/>
    <d v="2026-05-29T00:00:00"/>
    <d v="2026-06-05T00:00:00"/>
    <n v="122.67"/>
    <n v="48.82"/>
    <n v="43.94"/>
    <n v="4.88"/>
    <s v="Paid"/>
    <s v=""/>
    <d v="2026-08-19T00:00:00"/>
    <d v="2026-08-19T00:00:00"/>
    <n v="62"/>
    <n v="0.38"/>
    <n v="47.12"/>
    <n v="-1.7000000000000028"/>
    <x v="0"/>
    <x v="0"/>
    <x v="7"/>
  </r>
  <r>
    <s v="CLM101999"/>
    <s v="PT10788"/>
    <s v="P08"/>
    <x v="0"/>
    <x v="7"/>
    <n v="1"/>
    <d v="2025-12-25T00:00:00"/>
    <d v="2025-12-29T00:00:00"/>
    <n v="214.58"/>
    <m/>
    <m/>
    <m/>
    <s v="Pending"/>
    <s v=""/>
    <m/>
    <m/>
    <n v="210"/>
    <n v="1"/>
    <n v="210"/>
    <s v=""/>
    <x v="2"/>
    <x v="7"/>
    <x v="6"/>
  </r>
  <r>
    <s v="CLM102000"/>
    <s v="PT11067"/>
    <s v="P04"/>
    <x v="2"/>
    <x v="2"/>
    <n v="3"/>
    <d v="2025-11-07T00:00:00"/>
    <d v="2025-11-10T00:00:00"/>
    <n v="189.29"/>
    <n v="59.22"/>
    <n v="47.38"/>
    <n v="11.84"/>
    <s v="Paid"/>
    <s v=""/>
    <d v="2025-11-27T00:00:00"/>
    <d v="2025-11-27T00:00:00"/>
    <n v="62"/>
    <n v="0.36"/>
    <n v="66.959999999999994"/>
    <n v="7.7399999999999949"/>
    <x v="1"/>
    <x v="1"/>
    <x v="3"/>
  </r>
  <r>
    <s v="CLM102001"/>
    <s v="PT13363"/>
    <s v="P04"/>
    <x v="1"/>
    <x v="5"/>
    <n v="1"/>
    <d v="2026-09-08T00:00:00"/>
    <d v="2026-09-12T00:00:00"/>
    <n v="4761.33"/>
    <m/>
    <m/>
    <m/>
    <s v="Denied"/>
    <s v="CO-50"/>
    <d v="2026-09-27T00:00:00"/>
    <m/>
    <n v="4800"/>
    <n v="0.36"/>
    <n v="1728"/>
    <s v=""/>
    <x v="2"/>
    <x v="1"/>
    <x v="8"/>
  </r>
  <r>
    <s v="CLM102002"/>
    <s v="PT12474"/>
    <s v="P04"/>
    <x v="1"/>
    <x v="8"/>
    <n v="1"/>
    <d v="2025-10-07T00:00:00"/>
    <d v="2025-10-09T00:00:00"/>
    <n v="263.38"/>
    <n v="95.98"/>
    <n v="95.98"/>
    <n v="0"/>
    <s v="Paid"/>
    <s v=""/>
    <d v="2025-11-13T00:00:00"/>
    <d v="2025-11-13T00:00:00"/>
    <n v="260"/>
    <n v="0.36"/>
    <n v="93.6"/>
    <n v="-2.3800000000000097"/>
    <x v="0"/>
    <x v="1"/>
    <x v="9"/>
  </r>
  <r>
    <s v="CLM102003"/>
    <s v="PT13142"/>
    <s v="P04"/>
    <x v="2"/>
    <x v="0"/>
    <n v="1"/>
    <d v="2025-12-31T00:00:00"/>
    <d v="2026-01-04T00:00:00"/>
    <n v="141.36000000000001"/>
    <n v="49.21"/>
    <n v="49.21"/>
    <n v="0"/>
    <s v="Paid"/>
    <s v=""/>
    <d v="2026-01-20T00:00:00"/>
    <d v="2026-01-20T00:00:00"/>
    <n v="145"/>
    <n v="0.36"/>
    <n v="52.2"/>
    <n v="2.990000000000002"/>
    <x v="1"/>
    <x v="1"/>
    <x v="6"/>
  </r>
  <r>
    <s v="CLM102004"/>
    <s v="PT12187"/>
    <s v="P01"/>
    <x v="2"/>
    <x v="0"/>
    <n v="1"/>
    <d v="2026-06-21T00:00:00"/>
    <d v="2026-06-28T00:00:00"/>
    <n v="143.88"/>
    <n v="60.29"/>
    <n v="48.23"/>
    <n v="12.06"/>
    <s v="Paid"/>
    <s v=""/>
    <d v="2026-08-08T00:00:00"/>
    <d v="2026-08-08T00:00:00"/>
    <n v="145"/>
    <n v="0.45"/>
    <n v="65.25"/>
    <n v="4.9600000000000009"/>
    <x v="1"/>
    <x v="5"/>
    <x v="11"/>
  </r>
  <r>
    <s v="CLM102005"/>
    <s v="PT12905"/>
    <s v="P02"/>
    <x v="0"/>
    <x v="7"/>
    <n v="1"/>
    <d v="2025-12-20T00:00:00"/>
    <d v="2025-12-22T00:00:00"/>
    <n v="211.36"/>
    <n v="87.04"/>
    <n v="69.63"/>
    <n v="17.41"/>
    <s v="Paid"/>
    <s v=""/>
    <d v="2026-01-20T00:00:00"/>
    <d v="2026-01-20T00:00:00"/>
    <n v="210"/>
    <n v="0.43"/>
    <n v="90.3"/>
    <n v="3.2599999999999909"/>
    <x v="0"/>
    <x v="6"/>
    <x v="6"/>
  </r>
  <r>
    <s v="CLM102006"/>
    <s v="PT12060"/>
    <s v="P05"/>
    <x v="0"/>
    <x v="7"/>
    <n v="1"/>
    <d v="2026-03-25T00:00:00"/>
    <d v="2026-03-26T00:00:00"/>
    <n v="212.78"/>
    <m/>
    <m/>
    <m/>
    <s v="Denied"/>
    <s v="CO-16"/>
    <d v="2026-05-07T00:00:00"/>
    <m/>
    <n v="210"/>
    <n v="0.38"/>
    <n v="79.8"/>
    <s v=""/>
    <x v="2"/>
    <x v="0"/>
    <x v="2"/>
  </r>
  <r>
    <s v="CLM102007"/>
    <s v="PT12931"/>
    <s v="P03"/>
    <x v="2"/>
    <x v="9"/>
    <n v="4"/>
    <d v="2026-06-16T00:00:00"/>
    <d v="2026-06-20T00:00:00"/>
    <n v="238.47"/>
    <m/>
    <m/>
    <m/>
    <s v="Denied"/>
    <s v="CO-16"/>
    <d v="2026-08-29T00:00:00"/>
    <m/>
    <n v="58"/>
    <n v="0.47"/>
    <n v="109.04"/>
    <s v=""/>
    <x v="2"/>
    <x v="4"/>
    <x v="11"/>
  </r>
  <r>
    <s v="CLM102008"/>
    <s v="PT12200"/>
    <s v="P04"/>
    <x v="2"/>
    <x v="0"/>
    <n v="1"/>
    <d v="2026-02-22T00:00:00"/>
    <d v="2026-02-23T00:00:00"/>
    <n v="148.18"/>
    <n v="47.46"/>
    <n v="42.71"/>
    <n v="4.75"/>
    <s v="Paid"/>
    <s v=""/>
    <d v="2026-03-11T00:00:00"/>
    <d v="2026-03-11T00:00:00"/>
    <n v="145"/>
    <n v="0.36"/>
    <n v="52.2"/>
    <n v="4.740000000000002"/>
    <x v="1"/>
    <x v="1"/>
    <x v="0"/>
  </r>
  <r>
    <s v="CLM102009"/>
    <s v="PT10132"/>
    <s v="P04"/>
    <x v="1"/>
    <x v="11"/>
    <n v="1"/>
    <d v="2026-03-25T00:00:00"/>
    <d v="2026-03-28T00:00:00"/>
    <n v="1126.75"/>
    <n v="357.59"/>
    <n v="286.07"/>
    <n v="71.52"/>
    <s v="Paid"/>
    <s v=""/>
    <d v="2026-04-16T00:00:00"/>
    <d v="2026-04-16T00:00:00"/>
    <n v="1150"/>
    <n v="0.36"/>
    <n v="414"/>
    <n v="56.410000000000025"/>
    <x v="1"/>
    <x v="1"/>
    <x v="2"/>
  </r>
  <r>
    <s v="CLM102010"/>
    <s v="PT11955"/>
    <s v="P06"/>
    <x v="1"/>
    <x v="10"/>
    <n v="1"/>
    <d v="2026-09-10T00:00:00"/>
    <d v="2026-09-11T00:00:00"/>
    <n v="1080.73"/>
    <m/>
    <m/>
    <m/>
    <s v="Pending"/>
    <s v=""/>
    <m/>
    <m/>
    <n v="1050"/>
    <n v="0.27"/>
    <n v="283.5"/>
    <s v=""/>
    <x v="2"/>
    <x v="2"/>
    <x v="8"/>
  </r>
  <r>
    <s v="CLM102011"/>
    <s v="PT10563"/>
    <s v="P05"/>
    <x v="2"/>
    <x v="9"/>
    <n v="2"/>
    <d v="2026-03-01T00:00:00"/>
    <d v="2026-07-08T00:00:00"/>
    <n v="117.58"/>
    <m/>
    <m/>
    <m/>
    <s v="Denied"/>
    <s v="CO-29"/>
    <d v="2026-08-29T00:00:00"/>
    <m/>
    <n v="58"/>
    <n v="0.38"/>
    <n v="44.08"/>
    <s v=""/>
    <x v="2"/>
    <x v="0"/>
    <x v="2"/>
  </r>
  <r>
    <s v="CLM102012"/>
    <s v="PT13292"/>
    <s v="P01"/>
    <x v="2"/>
    <x v="2"/>
    <n v="1"/>
    <d v="2025-11-02T00:00:00"/>
    <d v="2025-11-03T00:00:00"/>
    <n v="61.59"/>
    <n v="25.51"/>
    <n v="20.41"/>
    <n v="5.0999999999999996"/>
    <s v="Paid"/>
    <s v=""/>
    <d v="2025-11-28T00:00:00"/>
    <d v="2025-11-28T00:00:00"/>
    <n v="62"/>
    <n v="0.45"/>
    <n v="27.9"/>
    <n v="2.389999999999997"/>
    <x v="1"/>
    <x v="5"/>
    <x v="3"/>
  </r>
  <r>
    <s v="CLM102013"/>
    <s v="PT11488"/>
    <s v="P01"/>
    <x v="0"/>
    <x v="4"/>
    <n v="1"/>
    <d v="2026-04-27T00:00:00"/>
    <d v="2026-04-29T00:00:00"/>
    <n v="37.270000000000003"/>
    <n v="16.12"/>
    <n v="16.12"/>
    <n v="0"/>
    <s v="Paid"/>
    <s v=""/>
    <d v="2026-06-13T00:00:00"/>
    <d v="2026-06-13T00:00:00"/>
    <n v="38"/>
    <n v="0.45"/>
    <n v="17.100000000000001"/>
    <n v="0.98000000000000043"/>
    <x v="1"/>
    <x v="5"/>
    <x v="10"/>
  </r>
  <r>
    <s v="CLM102014"/>
    <s v="PT11590"/>
    <s v="P01"/>
    <x v="1"/>
    <x v="8"/>
    <n v="1"/>
    <d v="2026-04-15T00:00:00"/>
    <d v="2026-04-19T00:00:00"/>
    <n v="253.35"/>
    <m/>
    <m/>
    <m/>
    <s v="Denied"/>
    <s v="CO-27"/>
    <d v="2026-05-17T00:00:00"/>
    <m/>
    <n v="260"/>
    <n v="0.45"/>
    <n v="117"/>
    <s v=""/>
    <x v="2"/>
    <x v="5"/>
    <x v="10"/>
  </r>
  <r>
    <s v="CLM102015"/>
    <s v="PT12650"/>
    <s v="P01"/>
    <x v="1"/>
    <x v="7"/>
    <n v="1"/>
    <d v="2026-04-21T00:00:00"/>
    <d v="2026-04-29T00:00:00"/>
    <n v="206.71"/>
    <n v="82.29"/>
    <n v="82.29"/>
    <n v="0"/>
    <s v="Paid"/>
    <s v=""/>
    <d v="2026-05-26T00:00:00"/>
    <d v="2026-05-26T00:00:00"/>
    <n v="210"/>
    <n v="0.45"/>
    <n v="94.5"/>
    <n v="12.209999999999994"/>
    <x v="1"/>
    <x v="5"/>
    <x v="10"/>
  </r>
  <r>
    <s v="CLM102016"/>
    <s v="PT13299"/>
    <s v="P06"/>
    <x v="0"/>
    <x v="8"/>
    <n v="1"/>
    <d v="2026-08-16T00:00:00"/>
    <d v="2026-08-17T00:00:00"/>
    <n v="260.7"/>
    <n v="72.290000000000006"/>
    <n v="72.290000000000006"/>
    <n v="0"/>
    <s v="Paid"/>
    <s v=""/>
    <d v="2026-08-27T00:00:00"/>
    <d v="2026-08-27T00:00:00"/>
    <n v="260"/>
    <n v="0.27"/>
    <n v="70.2"/>
    <n v="-2.0900000000000034"/>
    <x v="0"/>
    <x v="2"/>
    <x v="4"/>
  </r>
  <r>
    <s v="CLM102017"/>
    <s v="PT13100"/>
    <s v="P01"/>
    <x v="3"/>
    <x v="7"/>
    <n v="1"/>
    <d v="2026-04-05T00:00:00"/>
    <d v="2026-04-09T00:00:00"/>
    <n v="205.4"/>
    <n v="97.85"/>
    <n v="78.28"/>
    <n v="19.57"/>
    <s v="Paid"/>
    <s v=""/>
    <d v="2026-04-23T00:00:00"/>
    <d v="2026-04-23T00:00:00"/>
    <n v="210"/>
    <n v="0.45"/>
    <n v="94.5"/>
    <n v="-3.3499999999999943"/>
    <x v="0"/>
    <x v="5"/>
    <x v="10"/>
  </r>
  <r>
    <s v="CLM102018"/>
    <s v="PT10176"/>
    <s v="P05"/>
    <x v="0"/>
    <x v="4"/>
    <n v="1"/>
    <d v="2026-04-06T00:00:00"/>
    <d v="2026-04-07T00:00:00"/>
    <n v="37.39"/>
    <n v="12.91"/>
    <n v="10.33"/>
    <n v="2.58"/>
    <s v="Paid"/>
    <s v=""/>
    <d v="2026-05-25T00:00:00"/>
    <d v="2026-05-25T00:00:00"/>
    <n v="38"/>
    <n v="0.38"/>
    <n v="14.44"/>
    <n v="1.5299999999999994"/>
    <x v="1"/>
    <x v="0"/>
    <x v="10"/>
  </r>
  <r>
    <s v="CLM102019"/>
    <s v="PT10179"/>
    <s v="P02"/>
    <x v="1"/>
    <x v="10"/>
    <n v="1"/>
    <d v="2026-06-10T00:00:00"/>
    <d v="2026-06-15T00:00:00"/>
    <n v="1077.3699999999999"/>
    <n v="428.1"/>
    <n v="428.1"/>
    <n v="0"/>
    <s v="Paid"/>
    <s v=""/>
    <d v="2026-07-18T00:00:00"/>
    <d v="2026-07-18T00:00:00"/>
    <n v="1050"/>
    <n v="0.43"/>
    <n v="451.5"/>
    <n v="23.399999999999977"/>
    <x v="1"/>
    <x v="6"/>
    <x v="11"/>
  </r>
  <r>
    <s v="CLM102020"/>
    <s v="PT12942"/>
    <s v="P04"/>
    <x v="1"/>
    <x v="4"/>
    <n v="1"/>
    <d v="2026-08-06T00:00:00"/>
    <d v="2026-08-08T00:00:00"/>
    <n v="37.5"/>
    <n v="13.56"/>
    <n v="13.56"/>
    <n v="0"/>
    <s v="Paid"/>
    <s v=""/>
    <d v="2026-08-26T00:00:00"/>
    <d v="2026-08-26T00:00:00"/>
    <n v="38"/>
    <n v="0.36"/>
    <n v="13.68"/>
    <n v="0.11999999999999922"/>
    <x v="0"/>
    <x v="1"/>
    <x v="4"/>
  </r>
  <r>
    <s v="CLM102021"/>
    <s v="PT11630"/>
    <s v="P02"/>
    <x v="0"/>
    <x v="4"/>
    <n v="1"/>
    <d v="2026-03-29T00:00:00"/>
    <d v="2026-03-31T00:00:00"/>
    <n v="38.07"/>
    <n v="15.18"/>
    <n v="13.66"/>
    <n v="1.52"/>
    <s v="Paid"/>
    <s v=""/>
    <d v="2026-05-03T00:00:00"/>
    <d v="2026-05-03T00:00:00"/>
    <n v="38"/>
    <n v="0.43"/>
    <n v="16.34"/>
    <n v="1.1600000000000001"/>
    <x v="1"/>
    <x v="6"/>
    <x v="2"/>
  </r>
  <r>
    <s v="CLM102022"/>
    <s v="PT10420"/>
    <s v="P07"/>
    <x v="2"/>
    <x v="2"/>
    <n v="4"/>
    <d v="2026-08-02T00:00:00"/>
    <d v="2026-08-03T00:00:00"/>
    <n v="246.08"/>
    <m/>
    <m/>
    <m/>
    <s v="Pending"/>
    <s v=""/>
    <m/>
    <m/>
    <n v="62"/>
    <n v="0.28000000000000003"/>
    <n v="69.44"/>
    <s v=""/>
    <x v="2"/>
    <x v="3"/>
    <x v="4"/>
  </r>
  <r>
    <s v="CLM102023"/>
    <s v="PT10065"/>
    <s v="P02"/>
    <x v="2"/>
    <x v="2"/>
    <n v="1"/>
    <d v="2026-05-05T00:00:00"/>
    <d v="2026-05-07T00:00:00"/>
    <n v="61.81"/>
    <n v="25.78"/>
    <n v="20.62"/>
    <n v="5.16"/>
    <s v="Paid"/>
    <s v=""/>
    <d v="2026-06-25T00:00:00"/>
    <d v="2026-06-25T00:00:00"/>
    <n v="62"/>
    <n v="0.43"/>
    <n v="26.66"/>
    <n v="0.87999999999999901"/>
    <x v="0"/>
    <x v="6"/>
    <x v="7"/>
  </r>
  <r>
    <s v="CLM102024"/>
    <s v="PT12973"/>
    <s v="P06"/>
    <x v="1"/>
    <x v="11"/>
    <n v="1"/>
    <d v="2025-11-02T00:00:00"/>
    <d v="2025-11-04T00:00:00"/>
    <n v="1140.75"/>
    <m/>
    <m/>
    <m/>
    <s v="Denied"/>
    <s v="CO-27"/>
    <d v="2025-12-21T00:00:00"/>
    <m/>
    <n v="1150"/>
    <n v="0.27"/>
    <n v="310.5"/>
    <s v=""/>
    <x v="2"/>
    <x v="2"/>
    <x v="3"/>
  </r>
  <r>
    <s v="CLM102025"/>
    <s v="PT10734"/>
    <s v="P06"/>
    <x v="1"/>
    <x v="10"/>
    <n v="1"/>
    <d v="2026-03-11T00:00:00"/>
    <d v="2026-03-13T00:00:00"/>
    <n v="1045.1600000000001"/>
    <n v="243.73"/>
    <n v="243.73"/>
    <n v="0"/>
    <s v="Paid"/>
    <s v=""/>
    <d v="2026-04-25T00:00:00"/>
    <d v="2026-04-25T00:00:00"/>
    <n v="1050"/>
    <n v="0.27"/>
    <n v="283.5"/>
    <n v="39.77000000000001"/>
    <x v="1"/>
    <x v="2"/>
    <x v="2"/>
  </r>
  <r>
    <s v="CLM102026"/>
    <s v="PT10875"/>
    <s v="P01"/>
    <x v="1"/>
    <x v="8"/>
    <n v="1"/>
    <d v="2026-07-30T00:00:00"/>
    <d v="2026-08-02T00:00:00"/>
    <n v="257.29000000000002"/>
    <n v="123.33"/>
    <n v="111"/>
    <n v="12.33"/>
    <s v="Paid"/>
    <s v=""/>
    <d v="2026-09-12T00:00:00"/>
    <d v="2026-09-12T00:00:00"/>
    <n v="260"/>
    <n v="0.45"/>
    <n v="117"/>
    <n v="-6.3299999999999983"/>
    <x v="0"/>
    <x v="5"/>
    <x v="1"/>
  </r>
  <r>
    <s v="CLM102027"/>
    <s v="PT13106"/>
    <s v="P02"/>
    <x v="1"/>
    <x v="5"/>
    <n v="1"/>
    <d v="2026-05-28T00:00:00"/>
    <d v="2026-05-30T00:00:00"/>
    <n v="4824.0600000000004"/>
    <n v="2108.91"/>
    <n v="2108.91"/>
    <n v="0"/>
    <s v="Paid"/>
    <s v=""/>
    <d v="2026-06-27T00:00:00"/>
    <d v="2026-06-27T00:00:00"/>
    <n v="4800"/>
    <n v="0.43"/>
    <n v="2064"/>
    <n v="-44.909999999999854"/>
    <x v="0"/>
    <x v="6"/>
    <x v="7"/>
  </r>
  <r>
    <s v="CLM102028"/>
    <s v="PT11590"/>
    <s v="P04"/>
    <x v="3"/>
    <x v="7"/>
    <n v="1"/>
    <d v="2026-06-30T00:00:00"/>
    <d v="2026-07-14T00:00:00"/>
    <n v="208.71"/>
    <n v="83.26"/>
    <n v="74.930000000000007"/>
    <n v="8.33"/>
    <s v="Paid"/>
    <s v=""/>
    <d v="2026-07-28T00:00:00"/>
    <d v="2026-07-28T00:00:00"/>
    <n v="210"/>
    <n v="0.36"/>
    <n v="75.599999999999994"/>
    <n v="-7.6600000000000108"/>
    <x v="0"/>
    <x v="1"/>
    <x v="11"/>
  </r>
  <r>
    <s v="CLM102029"/>
    <s v="PT11532"/>
    <s v="P01"/>
    <x v="2"/>
    <x v="0"/>
    <n v="1"/>
    <d v="2026-03-15T00:00:00"/>
    <d v="2026-03-18T00:00:00"/>
    <n v="146.86000000000001"/>
    <n v="63.95"/>
    <n v="63.95"/>
    <n v="0"/>
    <s v="Paid"/>
    <s v=""/>
    <d v="2026-04-18T00:00:00"/>
    <d v="2026-04-18T00:00:00"/>
    <n v="145"/>
    <n v="0.45"/>
    <n v="65.25"/>
    <n v="1.2999999999999972"/>
    <x v="0"/>
    <x v="5"/>
    <x v="2"/>
  </r>
  <r>
    <s v="CLM102030"/>
    <s v="PT10760"/>
    <s v="P05"/>
    <x v="3"/>
    <x v="3"/>
    <n v="30"/>
    <d v="2026-02-02T00:00:00"/>
    <d v="2026-02-09T00:00:00"/>
    <n v="44407.14"/>
    <m/>
    <m/>
    <m/>
    <s v="Denied"/>
    <s v="CO-197"/>
    <d v="2026-04-04T00:00:00"/>
    <m/>
    <n v="1450"/>
    <n v="0.38"/>
    <n v="16530"/>
    <s v=""/>
    <x v="2"/>
    <x v="0"/>
    <x v="0"/>
  </r>
  <r>
    <s v="CLM102031"/>
    <s v="PT11658"/>
    <s v="P06"/>
    <x v="1"/>
    <x v="5"/>
    <n v="1"/>
    <d v="2026-09-19T00:00:00"/>
    <d v="2026-09-24T00:00:00"/>
    <n v="4859.46"/>
    <m/>
    <m/>
    <m/>
    <s v="Pending"/>
    <s v=""/>
    <m/>
    <m/>
    <n v="4800"/>
    <n v="0.27"/>
    <n v="1296"/>
    <s v=""/>
    <x v="2"/>
    <x v="2"/>
    <x v="8"/>
  </r>
  <r>
    <s v="CLM102032"/>
    <s v="PT11540"/>
    <s v="P01"/>
    <x v="1"/>
    <x v="8"/>
    <n v="1"/>
    <d v="2026-07-15T00:00:00"/>
    <d v="2026-07-17T00:00:00"/>
    <n v="266.58"/>
    <n v="131.72999999999999"/>
    <n v="105.38"/>
    <n v="26.35"/>
    <s v="Paid"/>
    <s v=""/>
    <d v="2026-08-30T00:00:00"/>
    <d v="2026-08-30T00:00:00"/>
    <n v="260"/>
    <n v="0.45"/>
    <n v="117"/>
    <n v="-14.72999999999999"/>
    <x v="0"/>
    <x v="5"/>
    <x v="1"/>
  </r>
  <r>
    <s v="CLM102033"/>
    <s v="PT12669"/>
    <s v="P02"/>
    <x v="0"/>
    <x v="7"/>
    <n v="1"/>
    <d v="2026-05-13T00:00:00"/>
    <d v="2026-05-15T00:00:00"/>
    <n v="209.66"/>
    <n v="80.13"/>
    <n v="72.12"/>
    <n v="8.01"/>
    <s v="Paid"/>
    <s v=""/>
    <d v="2026-06-07T00:00:00"/>
    <d v="2026-06-07T00:00:00"/>
    <n v="210"/>
    <n v="0.43"/>
    <n v="90.3"/>
    <n v="10.170000000000002"/>
    <x v="1"/>
    <x v="6"/>
    <x v="7"/>
  </r>
  <r>
    <s v="CLM102034"/>
    <s v="PT12114"/>
    <s v="P02"/>
    <x v="1"/>
    <x v="7"/>
    <n v="1"/>
    <d v="2026-01-02T00:00:00"/>
    <d v="2026-01-03T00:00:00"/>
    <n v="203.97"/>
    <n v="73.64"/>
    <n v="73.64"/>
    <n v="0"/>
    <s v="Paid"/>
    <s v=""/>
    <d v="2026-01-29T00:00:00"/>
    <d v="2026-01-29T00:00:00"/>
    <n v="210"/>
    <n v="0.43"/>
    <n v="90.3"/>
    <n v="16.659999999999997"/>
    <x v="1"/>
    <x v="6"/>
    <x v="5"/>
  </r>
  <r>
    <s v="CLM102035"/>
    <s v="PT13275"/>
    <s v="P01"/>
    <x v="1"/>
    <x v="7"/>
    <n v="1"/>
    <d v="2026-03-02T00:00:00"/>
    <d v="2026-03-03T00:00:00"/>
    <n v="209.93"/>
    <n v="84.16"/>
    <n v="84.16"/>
    <n v="0"/>
    <s v="Paid"/>
    <s v=""/>
    <d v="2026-04-02T00:00:00"/>
    <d v="2026-04-02T00:00:00"/>
    <n v="210"/>
    <n v="0.45"/>
    <n v="94.5"/>
    <n v="10.340000000000003"/>
    <x v="1"/>
    <x v="5"/>
    <x v="2"/>
  </r>
  <r>
    <s v="CLM102036"/>
    <s v="PT11787"/>
    <s v="P06"/>
    <x v="3"/>
    <x v="6"/>
    <n v="1"/>
    <d v="2025-11-13T00:00:00"/>
    <d v="2025-11-15T00:00:00"/>
    <n v="415.67"/>
    <n v="126.08"/>
    <n v="113.47"/>
    <n v="12.61"/>
    <s v="Paid"/>
    <s v=""/>
    <d v="2026-01-19T00:00:00"/>
    <d v="2026-01-19T00:00:00"/>
    <n v="420"/>
    <n v="0.27"/>
    <n v="113.4"/>
    <n v="-12.679999999999993"/>
    <x v="0"/>
    <x v="2"/>
    <x v="3"/>
  </r>
  <r>
    <s v="CLM102037"/>
    <s v="PT10874"/>
    <s v="P01"/>
    <x v="0"/>
    <x v="0"/>
    <n v="1"/>
    <d v="2026-01-22T00:00:00"/>
    <d v="2026-01-23T00:00:00"/>
    <n v="141.72999999999999"/>
    <n v="69.510000000000005"/>
    <n v="69.510000000000005"/>
    <n v="0"/>
    <s v="Paid"/>
    <s v=""/>
    <d v="2026-02-26T00:00:00"/>
    <d v="2026-02-26T00:00:00"/>
    <n v="145"/>
    <n v="0.45"/>
    <n v="65.25"/>
    <n v="-4.2600000000000051"/>
    <x v="0"/>
    <x v="5"/>
    <x v="5"/>
  </r>
  <r>
    <s v="CLM102038"/>
    <s v="PT11631"/>
    <s v="P05"/>
    <x v="3"/>
    <x v="3"/>
    <n v="10"/>
    <d v="2026-05-10T00:00:00"/>
    <d v="2026-05-13T00:00:00"/>
    <n v="14859.84"/>
    <n v="5185.83"/>
    <n v="5185.83"/>
    <n v="0"/>
    <s v="Paid"/>
    <s v=""/>
    <d v="2026-07-18T00:00:00"/>
    <d v="2026-07-18T00:00:00"/>
    <n v="1450"/>
    <n v="0.38"/>
    <n v="5510"/>
    <n v="324.17000000000007"/>
    <x v="1"/>
    <x v="0"/>
    <x v="7"/>
  </r>
  <r>
    <s v="CLM102039"/>
    <s v="PT13266"/>
    <s v="P05"/>
    <x v="0"/>
    <x v="8"/>
    <n v="1"/>
    <d v="2025-10-15T00:00:00"/>
    <d v="2025-10-18T00:00:00"/>
    <n v="266.64"/>
    <m/>
    <m/>
    <m/>
    <s v="Denied"/>
    <s v="CO-27"/>
    <d v="2025-12-02T00:00:00"/>
    <m/>
    <n v="260"/>
    <n v="0.38"/>
    <n v="98.8"/>
    <s v=""/>
    <x v="2"/>
    <x v="0"/>
    <x v="9"/>
  </r>
  <r>
    <s v="CLM102040"/>
    <s v="PT11938"/>
    <s v="P04"/>
    <x v="3"/>
    <x v="3"/>
    <n v="5"/>
    <d v="2025-11-13T00:00:00"/>
    <d v="2025-11-20T00:00:00"/>
    <n v="7311.04"/>
    <n v="2266.48"/>
    <n v="1813.18"/>
    <n v="453.3"/>
    <s v="Paid"/>
    <s v=""/>
    <d v="2025-12-11T00:00:00"/>
    <d v="2025-12-11T00:00:00"/>
    <n v="1450"/>
    <n v="0.36"/>
    <n v="2610"/>
    <n v="343.52"/>
    <x v="1"/>
    <x v="1"/>
    <x v="3"/>
  </r>
  <r>
    <s v="CLM102041"/>
    <s v="PT13401"/>
    <s v="P03"/>
    <x v="3"/>
    <x v="6"/>
    <n v="1"/>
    <d v="2026-05-08T00:00:00"/>
    <d v="2026-05-09T00:00:00"/>
    <n v="418.83"/>
    <n v="167.26"/>
    <n v="133.81"/>
    <n v="33.450000000000003"/>
    <s v="Paid"/>
    <s v=""/>
    <d v="2026-06-16T00:00:00"/>
    <d v="2026-06-16T00:00:00"/>
    <n v="420"/>
    <n v="0.47"/>
    <n v="197.4"/>
    <n v="30.140000000000015"/>
    <x v="1"/>
    <x v="4"/>
    <x v="7"/>
  </r>
  <r>
    <s v="CLM102043"/>
    <s v="PT12437"/>
    <s v="P04"/>
    <x v="3"/>
    <x v="6"/>
    <n v="1"/>
    <d v="2026-04-25T00:00:00"/>
    <d v="2026-05-02T00:00:00"/>
    <n v="429.65"/>
    <n v="165.69"/>
    <n v="149.12"/>
    <n v="16.57"/>
    <s v="Paid"/>
    <s v=""/>
    <d v="2026-05-18T00:00:00"/>
    <d v="2026-05-18T00:00:00"/>
    <n v="420"/>
    <n v="0.36"/>
    <n v="151.19999999999999"/>
    <n v="-14.490000000000009"/>
    <x v="0"/>
    <x v="1"/>
    <x v="10"/>
  </r>
  <r>
    <s v="CLM102044"/>
    <s v="PT13449"/>
    <s v="P01"/>
    <x v="0"/>
    <x v="7"/>
    <n v="1"/>
    <d v="2026-01-20T00:00:00"/>
    <d v="2026-01-25T00:00:00"/>
    <n v="216.06"/>
    <n v="96.76"/>
    <n v="87.08"/>
    <n v="9.68"/>
    <s v="Paid"/>
    <s v=""/>
    <d v="2026-03-02T00:00:00"/>
    <d v="2026-03-02T00:00:00"/>
    <n v="210"/>
    <n v="0.45"/>
    <n v="94.5"/>
    <n v="-2.2600000000000051"/>
    <x v="0"/>
    <x v="5"/>
    <x v="5"/>
  </r>
  <r>
    <s v="CLM102046"/>
    <s v="PT10539"/>
    <s v="P01"/>
    <x v="1"/>
    <x v="11"/>
    <n v="1"/>
    <d v="2026-02-22T00:00:00"/>
    <d v="2026-03-01T00:00:00"/>
    <n v="1156.71"/>
    <m/>
    <m/>
    <m/>
    <s v="Denied"/>
    <s v="CO-11"/>
    <d v="2026-03-23T00:00:00"/>
    <m/>
    <n v="1150"/>
    <n v="0.45"/>
    <n v="517.5"/>
    <s v=""/>
    <x v="2"/>
    <x v="5"/>
    <x v="0"/>
  </r>
  <r>
    <s v="CLM102047"/>
    <s v="PT12705"/>
    <s v="P07"/>
    <x v="2"/>
    <x v="9"/>
    <n v="1"/>
    <d v="2025-11-21T00:00:00"/>
    <d v="2025-11-27T00:00:00"/>
    <n v="56.61"/>
    <n v="15.96"/>
    <n v="15.96"/>
    <n v="0"/>
    <s v="Paid"/>
    <s v=""/>
    <d v="2026-01-31T00:00:00"/>
    <d v="2026-01-31T00:00:00"/>
    <n v="58"/>
    <n v="0.28000000000000003"/>
    <n v="16.239999999999998"/>
    <n v="0.27999999999999758"/>
    <x v="0"/>
    <x v="3"/>
    <x v="3"/>
  </r>
  <r>
    <s v="CLM102048"/>
    <s v="PT10669"/>
    <s v="P02"/>
    <x v="2"/>
    <x v="2"/>
    <n v="3"/>
    <d v="2026-02-25T00:00:00"/>
    <d v="2026-07-14T00:00:00"/>
    <n v="190.83"/>
    <m/>
    <m/>
    <m/>
    <s v="Denied"/>
    <s v="CO-29"/>
    <d v="2026-08-01T00:00:00"/>
    <m/>
    <n v="62"/>
    <n v="0.43"/>
    <n v="79.98"/>
    <s v=""/>
    <x v="2"/>
    <x v="6"/>
    <x v="0"/>
  </r>
  <r>
    <s v="CLM102049"/>
    <s v="PT11396"/>
    <s v="P06"/>
    <x v="1"/>
    <x v="7"/>
    <n v="1"/>
    <d v="2026-06-29T00:00:00"/>
    <d v="2026-07-01T00:00:00"/>
    <n v="212.56"/>
    <n v="51.55"/>
    <n v="51.55"/>
    <n v="0"/>
    <s v="Paid"/>
    <s v=""/>
    <d v="2026-08-17T00:00:00"/>
    <d v="2026-08-17T00:00:00"/>
    <n v="210"/>
    <n v="0.27"/>
    <n v="56.7"/>
    <n v="5.1500000000000057"/>
    <x v="1"/>
    <x v="2"/>
    <x v="11"/>
  </r>
  <r>
    <s v="CLM102050"/>
    <s v="PT11844"/>
    <s v="P05"/>
    <x v="0"/>
    <x v="4"/>
    <n v="1"/>
    <d v="2026-09-22T00:00:00"/>
    <d v="2026-09-30T00:00:00"/>
    <n v="37.979999999999997"/>
    <m/>
    <m/>
    <m/>
    <s v="Pending"/>
    <s v=""/>
    <m/>
    <m/>
    <n v="38"/>
    <n v="0.38"/>
    <n v="14.44"/>
    <s v=""/>
    <x v="2"/>
    <x v="0"/>
    <x v="8"/>
  </r>
  <r>
    <s v="CLM102051"/>
    <s v="PT10315"/>
    <s v="P01"/>
    <x v="0"/>
    <x v="4"/>
    <n v="1"/>
    <d v="2026-09-02T00:00:00"/>
    <d v="2026-09-10T00:00:00"/>
    <n v="38.11"/>
    <m/>
    <m/>
    <m/>
    <s v="Pending"/>
    <s v=""/>
    <m/>
    <m/>
    <n v="38"/>
    <n v="0.45"/>
    <n v="17.100000000000001"/>
    <s v=""/>
    <x v="2"/>
    <x v="5"/>
    <x v="8"/>
  </r>
  <r>
    <s v="CLM102052"/>
    <s v="PT10100"/>
    <s v="P05"/>
    <x v="2"/>
    <x v="2"/>
    <n v="3"/>
    <d v="2026-02-08T00:00:00"/>
    <d v="2026-02-11T00:00:00"/>
    <n v="187.59"/>
    <n v="73.97"/>
    <n v="59.18"/>
    <n v="14.79"/>
    <s v="Paid"/>
    <s v=""/>
    <d v="2026-05-14T00:00:00"/>
    <d v="2026-05-14T00:00:00"/>
    <n v="62"/>
    <n v="0.38"/>
    <n v="70.680000000000007"/>
    <n v="-3.289999999999992"/>
    <x v="0"/>
    <x v="0"/>
    <x v="0"/>
  </r>
  <r>
    <s v="CLM102053"/>
    <s v="PT12778"/>
    <s v="P03"/>
    <x v="3"/>
    <x v="6"/>
    <n v="1"/>
    <d v="2026-09-17T00:00:00"/>
    <d v="2026-09-19T00:00:00"/>
    <n v="418.58"/>
    <m/>
    <m/>
    <m/>
    <s v="Pending"/>
    <s v=""/>
    <m/>
    <m/>
    <n v="420"/>
    <n v="0.47"/>
    <n v="197.4"/>
    <s v=""/>
    <x v="2"/>
    <x v="4"/>
    <x v="8"/>
  </r>
  <r>
    <s v="CLM102054"/>
    <s v="PT11573"/>
    <s v="P06"/>
    <x v="0"/>
    <x v="0"/>
    <n v="1"/>
    <d v="2026-05-16T00:00:00"/>
    <d v="2026-05-19T00:00:00"/>
    <n v="141.99"/>
    <m/>
    <m/>
    <m/>
    <s v="Denied"/>
    <s v="CO-18"/>
    <d v="2026-07-07T00:00:00"/>
    <m/>
    <n v="145"/>
    <n v="0.27"/>
    <n v="39.15"/>
    <s v=""/>
    <x v="2"/>
    <x v="2"/>
    <x v="7"/>
  </r>
  <r>
    <s v="CLM102055"/>
    <s v="PT12141"/>
    <s v="P05"/>
    <x v="0"/>
    <x v="8"/>
    <n v="1"/>
    <d v="2026-09-16T00:00:00"/>
    <d v="2026-09-29T00:00:00"/>
    <n v="260.10000000000002"/>
    <m/>
    <m/>
    <m/>
    <s v="Pending"/>
    <s v=""/>
    <m/>
    <m/>
    <n v="260"/>
    <n v="0.38"/>
    <n v="98.8"/>
    <s v=""/>
    <x v="2"/>
    <x v="0"/>
    <x v="8"/>
  </r>
  <r>
    <s v="CLM102056"/>
    <s v="PT11382"/>
    <s v="P02"/>
    <x v="2"/>
    <x v="9"/>
    <n v="2"/>
    <d v="2026-04-02T00:00:00"/>
    <d v="2026-04-21T00:00:00"/>
    <n v="114.97"/>
    <n v="45.7"/>
    <n v="36.56"/>
    <n v="9.14"/>
    <s v="Paid"/>
    <s v=""/>
    <d v="2026-06-01T00:00:00"/>
    <d v="2026-06-01T00:00:00"/>
    <n v="58"/>
    <n v="0.43"/>
    <n v="49.88"/>
    <n v="4.18"/>
    <x v="1"/>
    <x v="6"/>
    <x v="10"/>
  </r>
  <r>
    <s v="CLM102057"/>
    <s v="PT10436"/>
    <s v="P06"/>
    <x v="0"/>
    <x v="4"/>
    <n v="1"/>
    <d v="2025-12-07T00:00:00"/>
    <d v="2025-12-08T00:00:00"/>
    <n v="37.520000000000003"/>
    <m/>
    <m/>
    <m/>
    <s v="Denied"/>
    <s v="CO-27"/>
    <d v="2026-01-17T00:00:00"/>
    <m/>
    <n v="38"/>
    <n v="0.27"/>
    <n v="10.26"/>
    <s v=""/>
    <x v="2"/>
    <x v="2"/>
    <x v="6"/>
  </r>
  <r>
    <s v="CLM102058"/>
    <s v="PT10069"/>
    <s v="P04"/>
    <x v="3"/>
    <x v="7"/>
    <n v="1"/>
    <d v="2026-03-01T00:00:00"/>
    <d v="2026-03-08T00:00:00"/>
    <n v="203.76"/>
    <n v="66.540000000000006"/>
    <n v="53.23"/>
    <n v="13.31"/>
    <s v="Paid"/>
    <s v=""/>
    <d v="2026-03-20T00:00:00"/>
    <d v="2026-03-20T00:00:00"/>
    <n v="210"/>
    <n v="0.36"/>
    <n v="75.599999999999994"/>
    <n v="9.0599999999999881"/>
    <x v="1"/>
    <x v="1"/>
    <x v="2"/>
  </r>
  <r>
    <s v="CLM102059"/>
    <s v="PT10794"/>
    <s v="P06"/>
    <x v="0"/>
    <x v="7"/>
    <n v="1"/>
    <d v="2026-05-29T00:00:00"/>
    <d v="2026-06-04T00:00:00"/>
    <n v="214.63"/>
    <n v="66.209999999999994"/>
    <n v="52.97"/>
    <n v="13.24"/>
    <s v="Paid"/>
    <s v=""/>
    <d v="2026-07-22T00:00:00"/>
    <d v="2026-07-22T00:00:00"/>
    <n v="210"/>
    <n v="0.27"/>
    <n v="56.7"/>
    <n v="-9.5099999999999909"/>
    <x v="0"/>
    <x v="2"/>
    <x v="7"/>
  </r>
  <r>
    <s v="CLM102060"/>
    <s v="PT12214"/>
    <s v="P02"/>
    <x v="1"/>
    <x v="1"/>
    <n v="1"/>
    <d v="2026-02-15T00:00:00"/>
    <d v="2026-02-16T00:00:00"/>
    <n v="235.02"/>
    <n v="86.74"/>
    <n v="86.74"/>
    <n v="0"/>
    <s v="Paid"/>
    <s v=""/>
    <d v="2026-04-03T00:00:00"/>
    <d v="2026-04-03T00:00:00"/>
    <n v="240"/>
    <n v="0.43"/>
    <n v="103.2"/>
    <n v="16.460000000000008"/>
    <x v="1"/>
    <x v="6"/>
    <x v="0"/>
  </r>
  <r>
    <s v="CLM102061"/>
    <s v="PT12391"/>
    <s v="P01"/>
    <x v="0"/>
    <x v="7"/>
    <n v="1"/>
    <d v="2026-08-08T00:00:00"/>
    <d v="2026-08-10T00:00:00"/>
    <n v="213.49"/>
    <m/>
    <m/>
    <m/>
    <s v="Denied"/>
    <s v="CO-16"/>
    <d v="2026-09-10T00:00:00"/>
    <m/>
    <n v="210"/>
    <n v="0.45"/>
    <n v="94.5"/>
    <s v=""/>
    <x v="2"/>
    <x v="5"/>
    <x v="4"/>
  </r>
  <r>
    <s v="CLM102062"/>
    <s v="PT11594"/>
    <s v="P04"/>
    <x v="0"/>
    <x v="4"/>
    <n v="1"/>
    <d v="2026-07-22T00:00:00"/>
    <d v="2026-07-23T00:00:00"/>
    <n v="38.86"/>
    <n v="16.12"/>
    <n v="14.51"/>
    <n v="1.61"/>
    <s v="Paid"/>
    <s v=""/>
    <d v="2026-08-07T00:00:00"/>
    <d v="2026-08-07T00:00:00"/>
    <n v="38"/>
    <n v="0.36"/>
    <n v="13.68"/>
    <n v="-2.4400000000000013"/>
    <x v="0"/>
    <x v="1"/>
    <x v="1"/>
  </r>
  <r>
    <s v="CLM102063"/>
    <s v="PT11225"/>
    <s v="P02"/>
    <x v="0"/>
    <x v="0"/>
    <n v="1"/>
    <d v="2025-10-22T00:00:00"/>
    <d v="2025-10-24T00:00:00"/>
    <n v="144.69"/>
    <n v="66.7"/>
    <n v="53.36"/>
    <n v="13.34"/>
    <s v="Paid"/>
    <s v=""/>
    <d v="2025-11-23T00:00:00"/>
    <d v="2025-11-23T00:00:00"/>
    <n v="145"/>
    <n v="0.43"/>
    <n v="62.35"/>
    <n v="-4.3500000000000014"/>
    <x v="0"/>
    <x v="6"/>
    <x v="9"/>
  </r>
  <r>
    <s v="CLM102064"/>
    <s v="PT12694"/>
    <s v="P04"/>
    <x v="2"/>
    <x v="2"/>
    <n v="4"/>
    <d v="2026-06-13T00:00:00"/>
    <d v="2026-06-15T00:00:00"/>
    <n v="250.07"/>
    <m/>
    <m/>
    <m/>
    <s v="Denied"/>
    <s v="CO-27"/>
    <d v="2026-07-03T00:00:00"/>
    <m/>
    <n v="62"/>
    <n v="0.36"/>
    <n v="89.28"/>
    <s v=""/>
    <x v="2"/>
    <x v="1"/>
    <x v="11"/>
  </r>
  <r>
    <s v="CLM102065"/>
    <s v="PT11449"/>
    <s v="P04"/>
    <x v="1"/>
    <x v="4"/>
    <n v="1"/>
    <d v="2026-02-16T00:00:00"/>
    <d v="2026-02-25T00:00:00"/>
    <n v="37.200000000000003"/>
    <n v="14.65"/>
    <n v="14.65"/>
    <n v="0"/>
    <s v="Paid"/>
    <s v=""/>
    <d v="2026-03-13T00:00:00"/>
    <d v="2026-03-13T00:00:00"/>
    <n v="38"/>
    <n v="0.36"/>
    <n v="13.68"/>
    <n v="-0.97000000000000064"/>
    <x v="0"/>
    <x v="1"/>
    <x v="0"/>
  </r>
  <r>
    <s v="CLM102066"/>
    <s v="PT10394"/>
    <s v="P08"/>
    <x v="2"/>
    <x v="0"/>
    <n v="1"/>
    <d v="2025-12-11T00:00:00"/>
    <d v="2025-12-13T00:00:00"/>
    <n v="143.54"/>
    <m/>
    <m/>
    <m/>
    <s v="Pending"/>
    <s v=""/>
    <m/>
    <m/>
    <n v="145"/>
    <n v="1"/>
    <n v="145"/>
    <s v=""/>
    <x v="2"/>
    <x v="7"/>
    <x v="6"/>
  </r>
  <r>
    <s v="CLM102067"/>
    <s v="PT12688"/>
    <s v="P04"/>
    <x v="0"/>
    <x v="4"/>
    <n v="1"/>
    <d v="2026-05-30T00:00:00"/>
    <d v="2026-06-02T00:00:00"/>
    <n v="37.51"/>
    <n v="12.94"/>
    <n v="12.94"/>
    <n v="0"/>
    <s v="Paid"/>
    <s v=""/>
    <d v="2026-06-24T00:00:00"/>
    <d v="2026-06-24T00:00:00"/>
    <n v="38"/>
    <n v="0.36"/>
    <n v="13.68"/>
    <n v="0.74000000000000021"/>
    <x v="1"/>
    <x v="1"/>
    <x v="7"/>
  </r>
  <r>
    <s v="CLM102068"/>
    <s v="PT13436"/>
    <s v="P07"/>
    <x v="1"/>
    <x v="1"/>
    <n v="1"/>
    <d v="2026-02-14T00:00:00"/>
    <d v="2026-02-19T00:00:00"/>
    <n v="247.11"/>
    <n v="62.54"/>
    <n v="62.54"/>
    <n v="0"/>
    <s v="Paid"/>
    <s v=""/>
    <d v="2026-03-21T00:00:00"/>
    <d v="2026-03-21T00:00:00"/>
    <n v="240"/>
    <n v="0.28000000000000003"/>
    <n v="67.2"/>
    <n v="4.6600000000000037"/>
    <x v="1"/>
    <x v="3"/>
    <x v="0"/>
  </r>
  <r>
    <s v="CLM102069"/>
    <s v="PT11758"/>
    <s v="P05"/>
    <x v="0"/>
    <x v="4"/>
    <n v="1"/>
    <d v="2026-02-19T00:00:00"/>
    <d v="2026-02-22T00:00:00"/>
    <n v="37.1"/>
    <n v="15.37"/>
    <n v="15.37"/>
    <n v="0"/>
    <s v="Paid"/>
    <s v=""/>
    <d v="2026-04-14T00:00:00"/>
    <d v="2026-04-14T00:00:00"/>
    <n v="38"/>
    <n v="0.38"/>
    <n v="14.44"/>
    <n v="-0.92999999999999972"/>
    <x v="0"/>
    <x v="0"/>
    <x v="0"/>
  </r>
  <r>
    <s v="CLM102070"/>
    <s v="PT10404"/>
    <s v="P02"/>
    <x v="1"/>
    <x v="4"/>
    <n v="1"/>
    <d v="2026-07-08T00:00:00"/>
    <d v="2026-07-12T00:00:00"/>
    <n v="37.72"/>
    <n v="15.92"/>
    <n v="15.92"/>
    <n v="0"/>
    <s v="Paid"/>
    <s v=""/>
    <d v="2026-08-17T00:00:00"/>
    <d v="2026-08-17T00:00:00"/>
    <n v="38"/>
    <n v="0.43"/>
    <n v="16.34"/>
    <n v="0.41999999999999993"/>
    <x v="0"/>
    <x v="6"/>
    <x v="1"/>
  </r>
  <r>
    <s v="CLM102071"/>
    <s v="PT11521"/>
    <s v="P01"/>
    <x v="2"/>
    <x v="9"/>
    <n v="2"/>
    <d v="2025-10-02T00:00:00"/>
    <d v="2025-10-10T00:00:00"/>
    <n v="115.32"/>
    <n v="58.59"/>
    <n v="58.59"/>
    <n v="0"/>
    <s v="Paid"/>
    <s v=""/>
    <d v="2025-11-01T00:00:00"/>
    <d v="2025-11-01T00:00:00"/>
    <n v="58"/>
    <n v="0.45"/>
    <n v="52.2"/>
    <n v="-6.3900000000000006"/>
    <x v="0"/>
    <x v="5"/>
    <x v="9"/>
  </r>
  <r>
    <s v="CLM102072"/>
    <s v="PT12306"/>
    <s v="P04"/>
    <x v="1"/>
    <x v="5"/>
    <n v="1"/>
    <d v="2025-11-16T00:00:00"/>
    <d v="2025-11-19T00:00:00"/>
    <n v="4791"/>
    <n v="1535.17"/>
    <n v="1381.65"/>
    <n v="153.52000000000001"/>
    <s v="Paid"/>
    <s v=""/>
    <d v="2025-12-03T00:00:00"/>
    <d v="2025-12-03T00:00:00"/>
    <n v="4800"/>
    <n v="0.36"/>
    <n v="1728"/>
    <n v="192.82999999999993"/>
    <x v="1"/>
    <x v="1"/>
    <x v="3"/>
  </r>
  <r>
    <s v="CLM102073"/>
    <s v="PT10901"/>
    <s v="P04"/>
    <x v="1"/>
    <x v="1"/>
    <n v="1"/>
    <d v="2025-10-12T00:00:00"/>
    <d v="2025-10-23T00:00:00"/>
    <n v="246.24"/>
    <n v="87.55"/>
    <n v="87.55"/>
    <n v="0"/>
    <s v="Paid"/>
    <s v=""/>
    <d v="2025-11-13T00:00:00"/>
    <d v="2025-11-13T00:00:00"/>
    <n v="240"/>
    <n v="0.36"/>
    <n v="86.4"/>
    <n v="-1.1499999999999915"/>
    <x v="0"/>
    <x v="1"/>
    <x v="9"/>
  </r>
  <r>
    <s v="CLM102074"/>
    <s v="PT13124"/>
    <s v="P03"/>
    <x v="3"/>
    <x v="3"/>
    <n v="5"/>
    <d v="2026-06-15T00:00:00"/>
    <d v="2026-06-24T00:00:00"/>
    <n v="7459.1"/>
    <m/>
    <m/>
    <m/>
    <s v="Denied"/>
    <s v="CO-16"/>
    <d v="2026-09-01T00:00:00"/>
    <m/>
    <n v="1450"/>
    <n v="0.47"/>
    <n v="3407.5"/>
    <s v=""/>
    <x v="2"/>
    <x v="4"/>
    <x v="11"/>
  </r>
  <r>
    <s v="CLM102075"/>
    <s v="PT11829"/>
    <s v="P07"/>
    <x v="1"/>
    <x v="11"/>
    <n v="1"/>
    <d v="2026-07-05T00:00:00"/>
    <d v="2026-07-08T00:00:00"/>
    <n v="1158.81"/>
    <n v="328.56"/>
    <n v="262.85000000000002"/>
    <n v="65.709999999999994"/>
    <s v="Paid"/>
    <s v=""/>
    <d v="2026-09-14T00:00:00"/>
    <d v="2026-09-14T00:00:00"/>
    <n v="1150"/>
    <n v="0.28000000000000003"/>
    <n v="322"/>
    <n v="-6.5600000000000023"/>
    <x v="0"/>
    <x v="3"/>
    <x v="1"/>
  </r>
  <r>
    <s v="CLM102076"/>
    <s v="PT13452"/>
    <s v="P01"/>
    <x v="0"/>
    <x v="8"/>
    <n v="1"/>
    <d v="2026-05-16T00:00:00"/>
    <d v="2026-05-18T00:00:00"/>
    <n v="258.76"/>
    <n v="117.34"/>
    <n v="117.34"/>
    <n v="0"/>
    <s v="Paid"/>
    <s v=""/>
    <d v="2026-07-02T00:00:00"/>
    <d v="2026-07-02T00:00:00"/>
    <n v="260"/>
    <n v="0.45"/>
    <n v="117"/>
    <n v="-0.34000000000000341"/>
    <x v="0"/>
    <x v="5"/>
    <x v="7"/>
  </r>
  <r>
    <s v="CLM102077"/>
    <s v="PT11513"/>
    <s v="P03"/>
    <x v="0"/>
    <x v="7"/>
    <n v="1"/>
    <d v="2025-11-03T00:00:00"/>
    <d v="2025-11-04T00:00:00"/>
    <n v="208.14"/>
    <n v="84.82"/>
    <n v="76.34"/>
    <n v="8.48"/>
    <s v="Paid"/>
    <s v=""/>
    <d v="2025-12-17T00:00:00"/>
    <d v="2025-12-17T00:00:00"/>
    <n v="210"/>
    <n v="0.47"/>
    <n v="98.7"/>
    <n v="13.88000000000001"/>
    <x v="1"/>
    <x v="4"/>
    <x v="3"/>
  </r>
  <r>
    <s v="CLM102078"/>
    <s v="PT12806"/>
    <s v="P01"/>
    <x v="0"/>
    <x v="4"/>
    <n v="1"/>
    <d v="2026-07-09T00:00:00"/>
    <d v="2026-07-11T00:00:00"/>
    <n v="37.340000000000003"/>
    <n v="16.34"/>
    <n v="16.34"/>
    <n v="0"/>
    <s v="Paid"/>
    <s v=""/>
    <d v="2026-07-22T00:00:00"/>
    <d v="2026-07-22T00:00:00"/>
    <n v="38"/>
    <n v="0.45"/>
    <n v="17.100000000000001"/>
    <n v="0.76000000000000156"/>
    <x v="0"/>
    <x v="5"/>
    <x v="1"/>
  </r>
  <r>
    <s v="CLM102079"/>
    <s v="PT12588"/>
    <s v="P01"/>
    <x v="0"/>
    <x v="0"/>
    <n v="1"/>
    <d v="2026-07-31T00:00:00"/>
    <d v="2026-08-01T00:00:00"/>
    <n v="144.12"/>
    <n v="67.510000000000005"/>
    <n v="67.510000000000005"/>
    <n v="0"/>
    <s v="Paid"/>
    <s v=""/>
    <d v="2026-08-26T00:00:00"/>
    <d v="2026-08-26T00:00:00"/>
    <n v="145"/>
    <n v="0.45"/>
    <n v="65.25"/>
    <n v="-2.2600000000000051"/>
    <x v="0"/>
    <x v="5"/>
    <x v="1"/>
  </r>
  <r>
    <s v="CLM102080"/>
    <s v="PT12092"/>
    <s v="P01"/>
    <x v="2"/>
    <x v="0"/>
    <n v="1"/>
    <d v="2026-07-07T00:00:00"/>
    <d v="2026-07-18T00:00:00"/>
    <n v="141.52000000000001"/>
    <n v="66.53"/>
    <n v="66.53"/>
    <n v="0"/>
    <s v="Paid"/>
    <s v=""/>
    <d v="2026-08-23T00:00:00"/>
    <d v="2026-08-23T00:00:00"/>
    <n v="145"/>
    <n v="0.45"/>
    <n v="65.25"/>
    <n v="-1.2800000000000011"/>
    <x v="0"/>
    <x v="5"/>
    <x v="1"/>
  </r>
  <r>
    <s v="CLM102081"/>
    <s v="PT10485"/>
    <s v="P04"/>
    <x v="3"/>
    <x v="3"/>
    <n v="5"/>
    <d v="2026-06-08T00:00:00"/>
    <d v="2026-06-10T00:00:00"/>
    <n v="7430.7"/>
    <n v="3062.65"/>
    <n v="3062.65"/>
    <n v="0"/>
    <s v="Paid"/>
    <s v=""/>
    <d v="2026-06-20T00:00:00"/>
    <d v="2026-06-20T00:00:00"/>
    <n v="1450"/>
    <n v="0.36"/>
    <n v="2610"/>
    <n v="-452.65000000000009"/>
    <x v="0"/>
    <x v="1"/>
    <x v="11"/>
  </r>
  <r>
    <s v="CLM102082"/>
    <s v="PT12708"/>
    <s v="P01"/>
    <x v="1"/>
    <x v="1"/>
    <n v="1"/>
    <d v="2026-06-04T00:00:00"/>
    <d v="2026-06-08T00:00:00"/>
    <n v="244.02"/>
    <n v="111.63"/>
    <n v="89.3"/>
    <n v="22.33"/>
    <s v="Paid"/>
    <s v=""/>
    <d v="2026-07-10T00:00:00"/>
    <d v="2026-07-10T00:00:00"/>
    <n v="240"/>
    <n v="0.45"/>
    <n v="108"/>
    <n v="-3.6299999999999955"/>
    <x v="0"/>
    <x v="5"/>
    <x v="11"/>
  </r>
  <r>
    <s v="CLM102083"/>
    <s v="PT12124"/>
    <s v="P07"/>
    <x v="1"/>
    <x v="10"/>
    <n v="1"/>
    <d v="2026-02-02T00:00:00"/>
    <d v="2026-02-03T00:00:00"/>
    <n v="1063.47"/>
    <n v="293.04000000000002"/>
    <n v="234.43"/>
    <n v="58.61"/>
    <s v="Paid"/>
    <s v=""/>
    <d v="2026-03-27T00:00:00"/>
    <d v="2026-03-27T00:00:00"/>
    <n v="1050"/>
    <n v="0.28000000000000003"/>
    <n v="294"/>
    <n v="0.95999999999997954"/>
    <x v="0"/>
    <x v="3"/>
    <x v="0"/>
  </r>
  <r>
    <s v="CLM102084"/>
    <s v="PT10410"/>
    <s v="P01"/>
    <x v="3"/>
    <x v="3"/>
    <n v="20"/>
    <d v="2026-01-06T00:00:00"/>
    <d v="2026-01-09T00:00:00"/>
    <n v="28746.51"/>
    <n v="12703.55"/>
    <n v="12703.55"/>
    <n v="0"/>
    <s v="Paid"/>
    <s v=""/>
    <d v="2026-02-05T00:00:00"/>
    <d v="2026-02-05T00:00:00"/>
    <n v="1450"/>
    <n v="0.45"/>
    <n v="13050"/>
    <n v="346.45000000000073"/>
    <x v="0"/>
    <x v="5"/>
    <x v="5"/>
  </r>
  <r>
    <s v="CLM102085"/>
    <s v="PT12636"/>
    <s v="P04"/>
    <x v="1"/>
    <x v="11"/>
    <n v="1"/>
    <d v="2026-09-14T00:00:00"/>
    <d v="2026-09-16T00:00:00"/>
    <n v="1173.75"/>
    <n v="361.12"/>
    <n v="361.12"/>
    <n v="0"/>
    <s v="Paid"/>
    <s v=""/>
    <d v="2026-09-24T00:00:00"/>
    <d v="2026-09-24T00:00:00"/>
    <n v="1150"/>
    <n v="0.36"/>
    <n v="414"/>
    <n v="52.879999999999995"/>
    <x v="1"/>
    <x v="1"/>
    <x v="8"/>
  </r>
  <r>
    <s v="CLM102086"/>
    <s v="PT10428"/>
    <s v="P04"/>
    <x v="1"/>
    <x v="10"/>
    <n v="1"/>
    <d v="2026-09-11T00:00:00"/>
    <d v="2026-09-13T00:00:00"/>
    <n v="1073.76"/>
    <n v="425.3"/>
    <n v="425.3"/>
    <n v="0"/>
    <s v="Paid"/>
    <s v=""/>
    <d v="2026-09-30T00:00:00"/>
    <d v="2026-09-30T00:00:00"/>
    <n v="1050"/>
    <n v="0.36"/>
    <n v="378"/>
    <n v="-47.300000000000011"/>
    <x v="0"/>
    <x v="1"/>
    <x v="8"/>
  </r>
  <r>
    <s v="CLM102087"/>
    <s v="PT13485"/>
    <s v="P01"/>
    <x v="2"/>
    <x v="9"/>
    <n v="1"/>
    <d v="2026-06-05T00:00:00"/>
    <d v="2026-06-10T00:00:00"/>
    <n v="58.53"/>
    <n v="30.25"/>
    <n v="27.22"/>
    <n v="3.03"/>
    <s v="Paid"/>
    <s v=""/>
    <d v="2026-07-15T00:00:00"/>
    <d v="2026-07-15T00:00:00"/>
    <n v="58"/>
    <n v="0.45"/>
    <n v="26.1"/>
    <n v="-4.1499999999999986"/>
    <x v="0"/>
    <x v="5"/>
    <x v="11"/>
  </r>
  <r>
    <s v="CLM102088"/>
    <s v="PT12387"/>
    <s v="P04"/>
    <x v="1"/>
    <x v="10"/>
    <n v="1"/>
    <d v="2026-05-16T00:00:00"/>
    <d v="2026-05-20T00:00:00"/>
    <n v="1025.67"/>
    <n v="419.14"/>
    <n v="419.14"/>
    <n v="0"/>
    <s v="Paid"/>
    <s v=""/>
    <d v="2026-06-04T00:00:00"/>
    <d v="2026-06-04T00:00:00"/>
    <n v="1050"/>
    <n v="0.36"/>
    <n v="378"/>
    <n v="-41.139999999999986"/>
    <x v="0"/>
    <x v="1"/>
    <x v="7"/>
  </r>
  <r>
    <s v="CLM102089"/>
    <s v="PT11462"/>
    <s v="P04"/>
    <x v="0"/>
    <x v="4"/>
    <n v="1"/>
    <d v="2026-07-03T00:00:00"/>
    <d v="2026-07-12T00:00:00"/>
    <n v="36.979999999999997"/>
    <n v="15.27"/>
    <n v="13.74"/>
    <n v="1.53"/>
    <s v="Paid"/>
    <s v=""/>
    <d v="2026-07-29T00:00:00"/>
    <d v="2026-07-29T00:00:00"/>
    <n v="38"/>
    <n v="0.36"/>
    <n v="13.68"/>
    <n v="-1.5899999999999999"/>
    <x v="0"/>
    <x v="1"/>
    <x v="1"/>
  </r>
  <r>
    <s v="CLM102090"/>
    <s v="PT11221"/>
    <s v="P02"/>
    <x v="0"/>
    <x v="8"/>
    <n v="1"/>
    <d v="2026-05-31T00:00:00"/>
    <d v="2026-06-02T00:00:00"/>
    <n v="261.16000000000003"/>
    <n v="128.65"/>
    <n v="102.92"/>
    <n v="25.73"/>
    <s v="Paid"/>
    <s v=""/>
    <d v="2026-07-08T00:00:00"/>
    <d v="2026-07-08T00:00:00"/>
    <n v="260"/>
    <n v="0.43"/>
    <n v="111.8"/>
    <n v="-16.850000000000009"/>
    <x v="0"/>
    <x v="6"/>
    <x v="7"/>
  </r>
  <r>
    <s v="CLM102091"/>
    <s v="PT12385"/>
    <s v="P03"/>
    <x v="2"/>
    <x v="2"/>
    <n v="3"/>
    <d v="2025-12-08T00:00:00"/>
    <d v="2025-12-09T00:00:00"/>
    <n v="183.98"/>
    <n v="96.9"/>
    <n v="87.21"/>
    <n v="9.69"/>
    <s v="Paid"/>
    <s v=""/>
    <d v="2026-01-10T00:00:00"/>
    <d v="2026-01-10T00:00:00"/>
    <n v="62"/>
    <n v="0.47"/>
    <n v="87.42"/>
    <n v="-9.480000000000004"/>
    <x v="0"/>
    <x v="4"/>
    <x v="6"/>
  </r>
  <r>
    <s v="CLM102092"/>
    <s v="PT12910"/>
    <s v="P03"/>
    <x v="2"/>
    <x v="9"/>
    <n v="3"/>
    <d v="2025-12-22T00:00:00"/>
    <d v="2025-12-27T00:00:00"/>
    <n v="178.28"/>
    <n v="84.47"/>
    <n v="84.47"/>
    <n v="0"/>
    <s v="Paid"/>
    <s v=""/>
    <d v="2026-03-04T00:00:00"/>
    <d v="2026-03-04T00:00:00"/>
    <n v="58"/>
    <n v="0.47"/>
    <n v="81.78"/>
    <n v="-2.6899999999999977"/>
    <x v="0"/>
    <x v="4"/>
    <x v="6"/>
  </r>
  <r>
    <s v="CLM102093"/>
    <s v="PT10928"/>
    <s v="P06"/>
    <x v="1"/>
    <x v="1"/>
    <n v="1"/>
    <d v="2026-03-19T00:00:00"/>
    <d v="2026-03-30T00:00:00"/>
    <n v="240.85"/>
    <n v="67.91"/>
    <n v="67.91"/>
    <n v="0"/>
    <s v="Paid"/>
    <s v=""/>
    <d v="2026-05-04T00:00:00"/>
    <d v="2026-05-04T00:00:00"/>
    <n v="240"/>
    <n v="0.27"/>
    <n v="64.8"/>
    <n v="-3.1099999999999994"/>
    <x v="0"/>
    <x v="2"/>
    <x v="2"/>
  </r>
  <r>
    <s v="CLM102094"/>
    <s v="PT11911"/>
    <s v="P02"/>
    <x v="1"/>
    <x v="8"/>
    <n v="1"/>
    <d v="2026-04-09T00:00:00"/>
    <d v="2026-04-11T00:00:00"/>
    <n v="253.28"/>
    <n v="109.54"/>
    <n v="109.54"/>
    <n v="0"/>
    <s v="Paid"/>
    <s v=""/>
    <d v="2026-04-28T00:00:00"/>
    <d v="2026-04-28T00:00:00"/>
    <n v="260"/>
    <n v="0.43"/>
    <n v="111.8"/>
    <n v="2.2599999999999909"/>
    <x v="0"/>
    <x v="6"/>
    <x v="10"/>
  </r>
  <r>
    <s v="CLM102095"/>
    <s v="PT12231"/>
    <s v="P02"/>
    <x v="2"/>
    <x v="9"/>
    <n v="2"/>
    <d v="2026-04-15T00:00:00"/>
    <d v="2026-04-17T00:00:00"/>
    <n v="117.45"/>
    <n v="52.27"/>
    <n v="47.04"/>
    <n v="5.23"/>
    <s v="Paid"/>
    <s v=""/>
    <d v="2026-05-10T00:00:00"/>
    <d v="2026-05-10T00:00:00"/>
    <n v="58"/>
    <n v="0.43"/>
    <n v="49.88"/>
    <n v="-2.3900000000000006"/>
    <x v="0"/>
    <x v="6"/>
    <x v="10"/>
  </r>
  <r>
    <s v="CLM102096"/>
    <s v="PT10661"/>
    <s v="P07"/>
    <x v="1"/>
    <x v="8"/>
    <n v="1"/>
    <d v="2026-06-07T00:00:00"/>
    <d v="2026-06-18T00:00:00"/>
    <n v="256.38"/>
    <n v="62.96"/>
    <n v="62.96"/>
    <n v="0"/>
    <s v="Paid"/>
    <s v=""/>
    <d v="2026-08-19T00:00:00"/>
    <d v="2026-08-19T00:00:00"/>
    <n v="260"/>
    <n v="0.28000000000000003"/>
    <n v="72.8"/>
    <n v="9.8399999999999963"/>
    <x v="1"/>
    <x v="3"/>
    <x v="11"/>
  </r>
  <r>
    <s v="CLM102097"/>
    <s v="PT13226"/>
    <s v="P03"/>
    <x v="2"/>
    <x v="2"/>
    <n v="2"/>
    <d v="2025-11-18T00:00:00"/>
    <d v="2025-11-19T00:00:00"/>
    <n v="124.48"/>
    <n v="67.94"/>
    <n v="67.94"/>
    <n v="0"/>
    <s v="Paid"/>
    <s v=""/>
    <d v="2026-01-03T00:00:00"/>
    <d v="2026-01-03T00:00:00"/>
    <n v="62"/>
    <n v="0.47"/>
    <n v="58.28"/>
    <n v="-9.6599999999999966"/>
    <x v="0"/>
    <x v="4"/>
    <x v="3"/>
  </r>
  <r>
    <s v="CLM102098"/>
    <s v="PT11178"/>
    <s v="P05"/>
    <x v="3"/>
    <x v="6"/>
    <n v="1"/>
    <d v="2026-04-16T00:00:00"/>
    <d v="2026-04-17T00:00:00"/>
    <n v="425.02"/>
    <n v="178.62"/>
    <n v="142.9"/>
    <n v="35.72"/>
    <s v="Paid"/>
    <s v=""/>
    <d v="2026-06-13T00:00:00"/>
    <d v="2026-06-13T00:00:00"/>
    <n v="420"/>
    <n v="0.38"/>
    <n v="159.6"/>
    <n v="-19.02000000000001"/>
    <x v="0"/>
    <x v="0"/>
    <x v="10"/>
  </r>
  <r>
    <s v="CLM102099"/>
    <s v="PT13156"/>
    <s v="P04"/>
    <x v="1"/>
    <x v="7"/>
    <n v="1"/>
    <d v="2025-12-04T00:00:00"/>
    <d v="2025-12-06T00:00:00"/>
    <n v="210.45"/>
    <n v="69.67"/>
    <n v="69.67"/>
    <n v="0"/>
    <s v="Paid"/>
    <s v=""/>
    <d v="2025-12-29T00:00:00"/>
    <d v="2025-12-29T00:00:00"/>
    <n v="210"/>
    <n v="0.36"/>
    <n v="75.599999999999994"/>
    <n v="5.9299999999999926"/>
    <x v="1"/>
    <x v="1"/>
    <x v="6"/>
  </r>
  <r>
    <s v="CLM102100"/>
    <s v="PT10772"/>
    <s v="P03"/>
    <x v="2"/>
    <x v="2"/>
    <n v="1"/>
    <d v="2026-08-21T00:00:00"/>
    <d v="2026-08-27T00:00:00"/>
    <n v="63.75"/>
    <m/>
    <m/>
    <m/>
    <s v="Pending"/>
    <s v=""/>
    <m/>
    <m/>
    <n v="62"/>
    <n v="0.47"/>
    <n v="29.14"/>
    <s v=""/>
    <x v="2"/>
    <x v="4"/>
    <x v="4"/>
  </r>
  <r>
    <s v="CLM102101"/>
    <s v="PT10571"/>
    <s v="P03"/>
    <x v="0"/>
    <x v="4"/>
    <n v="1"/>
    <d v="2026-08-04T00:00:00"/>
    <d v="2026-08-23T00:00:00"/>
    <n v="38.56"/>
    <n v="20.78"/>
    <n v="20.78"/>
    <n v="0"/>
    <s v="Paid"/>
    <s v=""/>
    <d v="2026-09-30T00:00:00"/>
    <d v="2026-09-30T00:00:00"/>
    <n v="38"/>
    <n v="0.47"/>
    <n v="17.86"/>
    <n v="-2.9200000000000017"/>
    <x v="0"/>
    <x v="4"/>
    <x v="4"/>
  </r>
  <r>
    <s v="CLM102102"/>
    <s v="PT11100"/>
    <s v="P02"/>
    <x v="2"/>
    <x v="0"/>
    <n v="1"/>
    <d v="2026-02-01T00:00:00"/>
    <d v="2026-02-08T00:00:00"/>
    <n v="143.07"/>
    <m/>
    <m/>
    <m/>
    <s v="Denied"/>
    <s v="CO-18"/>
    <d v="2026-02-28T00:00:00"/>
    <m/>
    <n v="145"/>
    <n v="0.43"/>
    <n v="62.35"/>
    <s v=""/>
    <x v="2"/>
    <x v="6"/>
    <x v="0"/>
  </r>
  <r>
    <s v="CLM102103"/>
    <s v="PT11466"/>
    <s v="P07"/>
    <x v="0"/>
    <x v="0"/>
    <n v="1"/>
    <d v="2026-01-15T00:00:00"/>
    <d v="2026-01-30T00:00:00"/>
    <n v="146.96"/>
    <n v="45.99"/>
    <n v="36.79"/>
    <n v="9.1999999999999993"/>
    <s v="Paid"/>
    <s v=""/>
    <d v="2026-02-14T00:00:00"/>
    <d v="2026-02-14T00:00:00"/>
    <n v="145"/>
    <n v="0.28000000000000003"/>
    <n v="40.6"/>
    <n v="-5.3900000000000006"/>
    <x v="0"/>
    <x v="3"/>
    <x v="5"/>
  </r>
  <r>
    <s v="CLM102104"/>
    <s v="PT12526"/>
    <s v="P01"/>
    <x v="0"/>
    <x v="0"/>
    <n v="1"/>
    <d v="2026-05-20T00:00:00"/>
    <d v="2026-05-22T00:00:00"/>
    <n v="145.99"/>
    <n v="61.12"/>
    <n v="61.12"/>
    <n v="0"/>
    <s v="Paid"/>
    <s v=""/>
    <d v="2026-06-13T00:00:00"/>
    <d v="2026-06-13T00:00:00"/>
    <n v="145"/>
    <n v="0.45"/>
    <n v="65.25"/>
    <n v="4.1300000000000026"/>
    <x v="1"/>
    <x v="5"/>
    <x v="7"/>
  </r>
  <r>
    <s v="CLM102105"/>
    <s v="PT10573"/>
    <s v="P05"/>
    <x v="1"/>
    <x v="7"/>
    <n v="1"/>
    <d v="2026-03-29T00:00:00"/>
    <d v="2026-03-31T00:00:00"/>
    <n v="204.49"/>
    <n v="74.819999999999993"/>
    <n v="67.34"/>
    <n v="7.48"/>
    <s v="Paid"/>
    <s v=""/>
    <d v="2026-05-29T00:00:00"/>
    <d v="2026-05-29T00:00:00"/>
    <n v="210"/>
    <n v="0.38"/>
    <n v="79.8"/>
    <n v="4.980000000000004"/>
    <x v="1"/>
    <x v="0"/>
    <x v="2"/>
  </r>
  <r>
    <s v="CLM102106"/>
    <s v="PT12508"/>
    <s v="P06"/>
    <x v="2"/>
    <x v="9"/>
    <n v="3"/>
    <d v="2025-11-26T00:00:00"/>
    <d v="2025-11-29T00:00:00"/>
    <n v="172.79"/>
    <n v="47.63"/>
    <n v="38.1"/>
    <n v="9.5299999999999994"/>
    <s v="Paid"/>
    <s v=""/>
    <d v="2026-01-10T00:00:00"/>
    <d v="2026-01-10T00:00:00"/>
    <n v="58"/>
    <n v="0.27"/>
    <n v="46.98"/>
    <n v="-0.65000000000000568"/>
    <x v="0"/>
    <x v="2"/>
    <x v="3"/>
  </r>
  <r>
    <s v="CLM102107"/>
    <s v="PT13325"/>
    <s v="P04"/>
    <x v="0"/>
    <x v="8"/>
    <n v="1"/>
    <d v="2025-12-20T00:00:00"/>
    <d v="2025-12-23T00:00:00"/>
    <n v="262.17"/>
    <n v="104.68"/>
    <n v="94.21"/>
    <n v="10.47"/>
    <s v="Paid"/>
    <s v=""/>
    <d v="2026-01-05T00:00:00"/>
    <d v="2026-01-05T00:00:00"/>
    <n v="260"/>
    <n v="0.36"/>
    <n v="93.6"/>
    <n v="-11.080000000000013"/>
    <x v="0"/>
    <x v="1"/>
    <x v="6"/>
  </r>
  <r>
    <s v="CLM102108"/>
    <s v="PT11406"/>
    <s v="P01"/>
    <x v="1"/>
    <x v="1"/>
    <n v="1"/>
    <d v="2026-01-19T00:00:00"/>
    <d v="2026-02-02T00:00:00"/>
    <n v="246.15"/>
    <n v="112.41"/>
    <n v="101.17"/>
    <n v="11.24"/>
    <s v="Paid"/>
    <s v=""/>
    <d v="2026-03-07T00:00:00"/>
    <d v="2026-03-07T00:00:00"/>
    <n v="240"/>
    <n v="0.45"/>
    <n v="108"/>
    <n v="-4.4099999999999966"/>
    <x v="0"/>
    <x v="5"/>
    <x v="5"/>
  </r>
  <r>
    <s v="CLM102109"/>
    <s v="PT11970"/>
    <s v="P08"/>
    <x v="1"/>
    <x v="4"/>
    <n v="1"/>
    <d v="2026-02-16T00:00:00"/>
    <d v="2026-02-27T00:00:00"/>
    <n v="38.64"/>
    <m/>
    <m/>
    <m/>
    <s v="Pending"/>
    <s v=""/>
    <m/>
    <m/>
    <n v="38"/>
    <n v="1"/>
    <n v="38"/>
    <s v=""/>
    <x v="2"/>
    <x v="7"/>
    <x v="0"/>
  </r>
  <r>
    <s v="CLM102110"/>
    <s v="PT11548"/>
    <s v="P07"/>
    <x v="1"/>
    <x v="1"/>
    <n v="1"/>
    <d v="2026-01-26T00:00:00"/>
    <d v="2026-01-28T00:00:00"/>
    <n v="241.05"/>
    <n v="76.81"/>
    <n v="69.13"/>
    <n v="7.68"/>
    <s v="Paid"/>
    <s v=""/>
    <d v="2026-05-07T00:00:00"/>
    <d v="2026-05-07T00:00:00"/>
    <n v="240"/>
    <n v="0.28000000000000003"/>
    <n v="67.2"/>
    <n v="-9.61"/>
    <x v="0"/>
    <x v="3"/>
    <x v="5"/>
  </r>
  <r>
    <s v="CLM102111"/>
    <s v="PT10468"/>
    <s v="P01"/>
    <x v="3"/>
    <x v="7"/>
    <n v="1"/>
    <d v="2026-09-17T00:00:00"/>
    <d v="2026-09-21T00:00:00"/>
    <n v="209.78"/>
    <m/>
    <m/>
    <m/>
    <s v="Pending"/>
    <s v=""/>
    <m/>
    <m/>
    <n v="210"/>
    <n v="0.45"/>
    <n v="94.5"/>
    <s v=""/>
    <x v="2"/>
    <x v="5"/>
    <x v="8"/>
  </r>
  <r>
    <s v="CLM102112"/>
    <s v="PT12388"/>
    <s v="P04"/>
    <x v="1"/>
    <x v="5"/>
    <n v="1"/>
    <d v="2026-06-27T00:00:00"/>
    <d v="2026-07-01T00:00:00"/>
    <n v="4804.91"/>
    <n v="1494.88"/>
    <n v="1494.88"/>
    <n v="0"/>
    <s v="Paid"/>
    <s v=""/>
    <d v="2026-07-19T00:00:00"/>
    <d v="2026-07-19T00:00:00"/>
    <n v="4800"/>
    <n v="0.36"/>
    <n v="1728"/>
    <n v="233.11999999999989"/>
    <x v="1"/>
    <x v="1"/>
    <x v="11"/>
  </r>
  <r>
    <s v="CLM102113"/>
    <s v="PT13294"/>
    <s v="P03"/>
    <x v="1"/>
    <x v="7"/>
    <n v="1"/>
    <d v="2026-08-30T00:00:00"/>
    <d v="2026-08-31T00:00:00"/>
    <n v="209.19"/>
    <m/>
    <m/>
    <m/>
    <s v="Pending"/>
    <s v=""/>
    <m/>
    <m/>
    <n v="210"/>
    <n v="0.47"/>
    <n v="98.7"/>
    <s v=""/>
    <x v="2"/>
    <x v="4"/>
    <x v="4"/>
  </r>
  <r>
    <s v="CLM102115"/>
    <s v="PT11990"/>
    <s v="P04"/>
    <x v="1"/>
    <x v="7"/>
    <n v="1"/>
    <d v="2026-03-16T00:00:00"/>
    <d v="2026-03-17T00:00:00"/>
    <n v="204.86"/>
    <n v="73.319999999999993"/>
    <n v="73.319999999999993"/>
    <n v="0"/>
    <s v="Paid"/>
    <s v=""/>
    <d v="2026-03-28T00:00:00"/>
    <d v="2026-03-28T00:00:00"/>
    <n v="210"/>
    <n v="0.36"/>
    <n v="75.599999999999994"/>
    <n v="2.2800000000000011"/>
    <x v="0"/>
    <x v="1"/>
    <x v="2"/>
  </r>
  <r>
    <s v="CLM102116"/>
    <s v="PT11354"/>
    <s v="P04"/>
    <x v="3"/>
    <x v="3"/>
    <n v="5"/>
    <d v="2025-11-19T00:00:00"/>
    <d v="2025-11-22T00:00:00"/>
    <n v="7300.09"/>
    <n v="2565.2800000000002"/>
    <n v="2565.2800000000002"/>
    <n v="0"/>
    <s v="Paid"/>
    <s v=""/>
    <d v="2025-12-13T00:00:00"/>
    <d v="2025-12-13T00:00:00"/>
    <n v="1450"/>
    <n v="0.36"/>
    <n v="2610"/>
    <n v="44.7199999999998"/>
    <x v="0"/>
    <x v="1"/>
    <x v="3"/>
  </r>
  <r>
    <s v="CLM102117"/>
    <s v="PT11078"/>
    <s v="P02"/>
    <x v="3"/>
    <x v="3"/>
    <n v="5"/>
    <d v="2026-07-08T00:00:00"/>
    <d v="2026-07-11T00:00:00"/>
    <n v="7094.61"/>
    <n v="2747.91"/>
    <n v="2473.12"/>
    <n v="274.79000000000002"/>
    <s v="Paid"/>
    <s v=""/>
    <d v="2026-08-25T00:00:00"/>
    <d v="2026-08-25T00:00:00"/>
    <n v="1450"/>
    <n v="0.43"/>
    <n v="3117.5"/>
    <n v="369.59000000000015"/>
    <x v="1"/>
    <x v="6"/>
    <x v="1"/>
  </r>
  <r>
    <s v="CLM102118"/>
    <s v="PT11373"/>
    <s v="P01"/>
    <x v="1"/>
    <x v="4"/>
    <n v="1"/>
    <d v="2026-04-25T00:00:00"/>
    <d v="2026-04-26T00:00:00"/>
    <n v="36.94"/>
    <m/>
    <m/>
    <m/>
    <s v="Denied"/>
    <s v="CO-50"/>
    <d v="2026-05-17T00:00:00"/>
    <m/>
    <n v="38"/>
    <n v="0.45"/>
    <n v="17.100000000000001"/>
    <s v=""/>
    <x v="2"/>
    <x v="5"/>
    <x v="10"/>
  </r>
  <r>
    <s v="CLM102119"/>
    <s v="PT11653"/>
    <s v="P07"/>
    <x v="3"/>
    <x v="6"/>
    <n v="1"/>
    <d v="2025-10-10T00:00:00"/>
    <d v="2025-10-20T00:00:00"/>
    <n v="424.42"/>
    <m/>
    <m/>
    <m/>
    <s v="Denied"/>
    <s v="CO-197"/>
    <d v="2025-12-17T00:00:00"/>
    <m/>
    <n v="420"/>
    <n v="0.28000000000000003"/>
    <n v="117.6"/>
    <s v=""/>
    <x v="2"/>
    <x v="3"/>
    <x v="9"/>
  </r>
  <r>
    <s v="CLM102120"/>
    <s v="PT13476"/>
    <s v="P04"/>
    <x v="1"/>
    <x v="4"/>
    <n v="1"/>
    <d v="2025-12-12T00:00:00"/>
    <d v="2025-12-29T00:00:00"/>
    <n v="36.9"/>
    <n v="14.91"/>
    <n v="14.91"/>
    <n v="0"/>
    <s v="Paid"/>
    <s v=""/>
    <d v="2026-01-19T00:00:00"/>
    <d v="2026-01-19T00:00:00"/>
    <n v="38"/>
    <n v="0.36"/>
    <n v="13.68"/>
    <n v="-1.2300000000000004"/>
    <x v="0"/>
    <x v="1"/>
    <x v="6"/>
  </r>
  <r>
    <s v="CLM102121"/>
    <s v="PT11525"/>
    <s v="P01"/>
    <x v="3"/>
    <x v="3"/>
    <n v="20"/>
    <d v="2025-12-09T00:00:00"/>
    <d v="2025-12-28T00:00:00"/>
    <n v="28195"/>
    <n v="14571.86"/>
    <n v="14571.86"/>
    <n v="0"/>
    <s v="Paid"/>
    <s v=""/>
    <d v="2026-02-02T00:00:00"/>
    <d v="2026-02-02T00:00:00"/>
    <n v="1450"/>
    <n v="0.45"/>
    <n v="13050"/>
    <n v="-1521.8600000000006"/>
    <x v="0"/>
    <x v="5"/>
    <x v="6"/>
  </r>
  <r>
    <s v="CLM102122"/>
    <s v="PT10850"/>
    <s v="P01"/>
    <x v="0"/>
    <x v="0"/>
    <n v="1"/>
    <d v="2026-09-05T00:00:00"/>
    <d v="2026-09-11T00:00:00"/>
    <n v="147.08000000000001"/>
    <m/>
    <m/>
    <m/>
    <s v="Pending"/>
    <s v=""/>
    <m/>
    <m/>
    <n v="145"/>
    <n v="0.45"/>
    <n v="65.25"/>
    <s v=""/>
    <x v="2"/>
    <x v="5"/>
    <x v="8"/>
  </r>
  <r>
    <s v="CLM102123"/>
    <s v="PT10648"/>
    <s v="P01"/>
    <x v="1"/>
    <x v="11"/>
    <n v="1"/>
    <d v="2026-07-22T00:00:00"/>
    <d v="2026-07-24T00:00:00"/>
    <n v="1122.47"/>
    <m/>
    <m/>
    <m/>
    <s v="Denied"/>
    <s v="CO-197"/>
    <d v="2026-09-04T00:00:00"/>
    <m/>
    <n v="1150"/>
    <n v="0.45"/>
    <n v="517.5"/>
    <s v=""/>
    <x v="2"/>
    <x v="5"/>
    <x v="1"/>
  </r>
  <r>
    <s v="CLM102124"/>
    <s v="PT11753"/>
    <s v="P05"/>
    <x v="2"/>
    <x v="9"/>
    <n v="1"/>
    <d v="2026-03-20T00:00:00"/>
    <d v="2026-03-21T00:00:00"/>
    <n v="57.01"/>
    <n v="20.440000000000001"/>
    <n v="16.350000000000001"/>
    <n v="4.09"/>
    <s v="Paid"/>
    <s v=""/>
    <d v="2026-05-07T00:00:00"/>
    <d v="2026-05-07T00:00:00"/>
    <n v="58"/>
    <n v="0.38"/>
    <n v="22.04"/>
    <n v="1.5999999999999979"/>
    <x v="1"/>
    <x v="0"/>
    <x v="2"/>
  </r>
  <r>
    <s v="CLM102125"/>
    <s v="PT13073"/>
    <s v="P02"/>
    <x v="3"/>
    <x v="3"/>
    <n v="30"/>
    <d v="2026-06-20T00:00:00"/>
    <d v="2026-06-22T00:00:00"/>
    <n v="43315.73"/>
    <n v="19840.669999999998"/>
    <n v="15872.54"/>
    <n v="3968.13"/>
    <s v="Paid"/>
    <s v=""/>
    <d v="2026-07-16T00:00:00"/>
    <d v="2026-07-16T00:00:00"/>
    <n v="1450"/>
    <n v="0.43"/>
    <n v="18705"/>
    <n v="-1135.6699999999983"/>
    <x v="0"/>
    <x v="6"/>
    <x v="11"/>
  </r>
  <r>
    <s v="CLM102126"/>
    <s v="PT13401"/>
    <s v="P04"/>
    <x v="0"/>
    <x v="4"/>
    <n v="1"/>
    <d v="2026-02-02T00:00:00"/>
    <d v="2026-02-06T00:00:00"/>
    <n v="37.49"/>
    <n v="12.91"/>
    <n v="10.33"/>
    <n v="2.58"/>
    <s v="Paid"/>
    <s v=""/>
    <d v="2026-02-21T00:00:00"/>
    <d v="2026-02-21T00:00:00"/>
    <n v="38"/>
    <n v="0.36"/>
    <n v="13.68"/>
    <n v="0.76999999999999957"/>
    <x v="1"/>
    <x v="1"/>
    <x v="0"/>
  </r>
  <r>
    <s v="CLM102127"/>
    <s v="PT11095"/>
    <s v="P06"/>
    <x v="1"/>
    <x v="10"/>
    <n v="1"/>
    <d v="2025-11-17T00:00:00"/>
    <d v="2025-11-18T00:00:00"/>
    <n v="1039.58"/>
    <n v="320.83999999999997"/>
    <n v="320.83999999999997"/>
    <n v="0"/>
    <s v="Paid"/>
    <s v=""/>
    <d v="2025-12-20T00:00:00"/>
    <d v="2025-12-20T00:00:00"/>
    <n v="1050"/>
    <n v="0.27"/>
    <n v="283.5"/>
    <n v="-37.339999999999975"/>
    <x v="0"/>
    <x v="2"/>
    <x v="3"/>
  </r>
  <r>
    <s v="CLM102128"/>
    <s v="PT11706"/>
    <s v="P08"/>
    <x v="0"/>
    <x v="4"/>
    <n v="1"/>
    <d v="2026-04-08T00:00:00"/>
    <d v="2026-04-17T00:00:00"/>
    <n v="38.659999999999997"/>
    <n v="38.659999999999997"/>
    <n v="38.659999999999997"/>
    <n v="0"/>
    <s v="Paid"/>
    <s v=""/>
    <d v="2026-07-15T00:00:00"/>
    <d v="2026-07-15T00:00:00"/>
    <n v="38"/>
    <n v="1"/>
    <n v="38"/>
    <n v="-0.65999999999999659"/>
    <x v="0"/>
    <x v="7"/>
    <x v="10"/>
  </r>
  <r>
    <s v="CLM102129"/>
    <s v="PT13132"/>
    <s v="P02"/>
    <x v="0"/>
    <x v="0"/>
    <n v="1"/>
    <d v="2026-04-08T00:00:00"/>
    <d v="2026-04-11T00:00:00"/>
    <n v="142.56"/>
    <n v="58.5"/>
    <n v="52.65"/>
    <n v="5.85"/>
    <s v="Paid"/>
    <s v=""/>
    <d v="2026-05-10T00:00:00"/>
    <d v="2026-05-10T00:00:00"/>
    <n v="145"/>
    <n v="0.43"/>
    <n v="62.35"/>
    <n v="3.8500000000000014"/>
    <x v="1"/>
    <x v="6"/>
    <x v="10"/>
  </r>
  <r>
    <s v="CLM102130"/>
    <s v="PT13120"/>
    <s v="P05"/>
    <x v="0"/>
    <x v="8"/>
    <n v="1"/>
    <d v="2026-03-23T00:00:00"/>
    <d v="2026-03-27T00:00:00"/>
    <n v="255.45"/>
    <n v="110.66"/>
    <n v="110.66"/>
    <n v="0"/>
    <s v="Paid"/>
    <s v=""/>
    <d v="2026-06-03T00:00:00"/>
    <d v="2026-06-03T00:00:00"/>
    <n v="260"/>
    <n v="0.38"/>
    <n v="98.8"/>
    <n v="-11.86"/>
    <x v="0"/>
    <x v="0"/>
    <x v="2"/>
  </r>
  <r>
    <s v="CLM102131"/>
    <s v="PT10422"/>
    <s v="P05"/>
    <x v="0"/>
    <x v="8"/>
    <n v="1"/>
    <d v="2025-12-18T00:00:00"/>
    <d v="2025-12-27T00:00:00"/>
    <n v="256.72000000000003"/>
    <n v="113.16"/>
    <n v="101.84"/>
    <n v="11.32"/>
    <s v="Paid"/>
    <s v=""/>
    <d v="2026-01-27T00:00:00"/>
    <d v="2026-01-27T00:00:00"/>
    <n v="260"/>
    <n v="0.38"/>
    <n v="98.8"/>
    <n v="-14.36"/>
    <x v="0"/>
    <x v="0"/>
    <x v="6"/>
  </r>
  <r>
    <s v="CLM102132"/>
    <s v="PT11327"/>
    <s v="P01"/>
    <x v="1"/>
    <x v="8"/>
    <n v="1"/>
    <d v="2026-05-23T00:00:00"/>
    <d v="2026-05-28T00:00:00"/>
    <n v="265.67"/>
    <n v="108.26"/>
    <n v="108.26"/>
    <n v="0"/>
    <s v="Paid"/>
    <s v=""/>
    <d v="2026-06-25T00:00:00"/>
    <d v="2026-06-25T00:00:00"/>
    <n v="260"/>
    <n v="0.45"/>
    <n v="117"/>
    <n v="8.7399999999999949"/>
    <x v="1"/>
    <x v="5"/>
    <x v="7"/>
  </r>
  <r>
    <s v="CLM102133"/>
    <s v="PT11212"/>
    <s v="P02"/>
    <x v="1"/>
    <x v="4"/>
    <n v="1"/>
    <d v="2026-07-08T00:00:00"/>
    <d v="2026-07-14T00:00:00"/>
    <n v="37.61"/>
    <n v="16.47"/>
    <n v="16.47"/>
    <n v="0"/>
    <s v="Paid"/>
    <s v=""/>
    <d v="2026-08-11T00:00:00"/>
    <d v="2026-08-11T00:00:00"/>
    <n v="38"/>
    <n v="0.43"/>
    <n v="16.34"/>
    <n v="-0.12999999999999901"/>
    <x v="0"/>
    <x v="6"/>
    <x v="1"/>
  </r>
  <r>
    <s v="CLM102134"/>
    <s v="PT10415"/>
    <s v="P04"/>
    <x v="0"/>
    <x v="7"/>
    <n v="1"/>
    <d v="2026-07-07T00:00:00"/>
    <d v="2026-07-08T00:00:00"/>
    <n v="213.62"/>
    <n v="85.53"/>
    <n v="85.53"/>
    <n v="0"/>
    <s v="Paid"/>
    <s v=""/>
    <d v="2026-07-27T00:00:00"/>
    <d v="2026-07-27T00:00:00"/>
    <n v="210"/>
    <n v="0.36"/>
    <n v="75.599999999999994"/>
    <n v="-9.9300000000000068"/>
    <x v="0"/>
    <x v="1"/>
    <x v="1"/>
  </r>
  <r>
    <s v="CLM102135"/>
    <s v="PT13174"/>
    <s v="P05"/>
    <x v="0"/>
    <x v="7"/>
    <n v="1"/>
    <d v="2025-11-15T00:00:00"/>
    <d v="2025-11-16T00:00:00"/>
    <n v="204.07"/>
    <n v="77.42"/>
    <n v="77.42"/>
    <n v="0"/>
    <s v="Paid"/>
    <s v=""/>
    <d v="2025-12-25T00:00:00"/>
    <d v="2025-12-25T00:00:00"/>
    <n v="210"/>
    <n v="0.38"/>
    <n v="79.8"/>
    <n v="2.3799999999999955"/>
    <x v="0"/>
    <x v="0"/>
    <x v="3"/>
  </r>
  <r>
    <s v="CLM102136"/>
    <s v="PT11583"/>
    <s v="P07"/>
    <x v="2"/>
    <x v="2"/>
    <n v="3"/>
    <d v="2026-02-18T00:00:00"/>
    <d v="2026-02-25T00:00:00"/>
    <n v="187.27"/>
    <n v="44.43"/>
    <n v="44.43"/>
    <n v="0"/>
    <s v="Paid"/>
    <s v=""/>
    <d v="2026-05-11T00:00:00"/>
    <d v="2026-05-11T00:00:00"/>
    <n v="62"/>
    <n v="0.28000000000000003"/>
    <n v="52.08"/>
    <n v="7.6499999999999986"/>
    <x v="1"/>
    <x v="3"/>
    <x v="0"/>
  </r>
  <r>
    <s v="CLM102137"/>
    <s v="PT11625"/>
    <s v="P01"/>
    <x v="3"/>
    <x v="7"/>
    <n v="1"/>
    <d v="2025-12-07T00:00:00"/>
    <d v="2025-12-23T00:00:00"/>
    <n v="216.04"/>
    <n v="88.04"/>
    <n v="70.430000000000007"/>
    <n v="17.61"/>
    <s v="Paid"/>
    <s v=""/>
    <d v="2026-01-21T00:00:00"/>
    <d v="2026-01-21T00:00:00"/>
    <n v="210"/>
    <n v="0.45"/>
    <n v="94.5"/>
    <n v="6.4599999999999937"/>
    <x v="1"/>
    <x v="5"/>
    <x v="6"/>
  </r>
  <r>
    <s v="CLM102138"/>
    <s v="PT11410"/>
    <s v="P02"/>
    <x v="1"/>
    <x v="4"/>
    <n v="1"/>
    <d v="2025-12-13T00:00:00"/>
    <d v="2026-01-02T00:00:00"/>
    <n v="38.57"/>
    <n v="15.92"/>
    <n v="14.33"/>
    <n v="1.59"/>
    <s v="Paid"/>
    <s v=""/>
    <d v="2026-01-17T00:00:00"/>
    <d v="2026-01-17T00:00:00"/>
    <n v="38"/>
    <n v="0.43"/>
    <n v="16.34"/>
    <n v="0.41999999999999993"/>
    <x v="0"/>
    <x v="6"/>
    <x v="6"/>
  </r>
  <r>
    <s v="CLM102139"/>
    <s v="PT11619"/>
    <s v="P07"/>
    <x v="3"/>
    <x v="3"/>
    <n v="5"/>
    <d v="2026-01-06T00:00:00"/>
    <d v="2026-01-12T00:00:00"/>
    <n v="7232.6"/>
    <n v="2210.33"/>
    <n v="2210.33"/>
    <n v="0"/>
    <s v="Paid"/>
    <s v=""/>
    <d v="2026-03-03T00:00:00"/>
    <d v="2026-03-03T00:00:00"/>
    <n v="1450"/>
    <n v="0.28000000000000003"/>
    <n v="2030"/>
    <n v="-180.32999999999993"/>
    <x v="0"/>
    <x v="3"/>
    <x v="5"/>
  </r>
  <r>
    <s v="CLM102140"/>
    <s v="PT11196"/>
    <s v="P03"/>
    <x v="2"/>
    <x v="9"/>
    <n v="1"/>
    <d v="2026-09-06T00:00:00"/>
    <d v="2026-09-07T00:00:00"/>
    <n v="59.72"/>
    <m/>
    <m/>
    <m/>
    <s v="Pending"/>
    <s v=""/>
    <m/>
    <m/>
    <n v="58"/>
    <n v="0.47"/>
    <n v="27.26"/>
    <s v=""/>
    <x v="2"/>
    <x v="4"/>
    <x v="8"/>
  </r>
  <r>
    <s v="CLM102141"/>
    <s v="PT10134"/>
    <s v="P04"/>
    <x v="0"/>
    <x v="0"/>
    <n v="1"/>
    <d v="2026-05-20T00:00:00"/>
    <d v="2026-05-21T00:00:00"/>
    <n v="149.26"/>
    <n v="54.58"/>
    <n v="54.58"/>
    <n v="0"/>
    <s v="Paid"/>
    <s v=""/>
    <d v="2026-06-08T00:00:00"/>
    <d v="2026-06-08T00:00:00"/>
    <n v="145"/>
    <n v="0.36"/>
    <n v="52.2"/>
    <n v="-2.3799999999999955"/>
    <x v="0"/>
    <x v="1"/>
    <x v="7"/>
  </r>
  <r>
    <s v="CLM102142"/>
    <s v="PT12464"/>
    <s v="P01"/>
    <x v="1"/>
    <x v="10"/>
    <n v="1"/>
    <d v="2026-03-29T00:00:00"/>
    <d v="2026-04-02T00:00:00"/>
    <n v="1067.97"/>
    <m/>
    <m/>
    <m/>
    <s v="Denied"/>
    <s v="CO-16"/>
    <d v="2026-05-05T00:00:00"/>
    <m/>
    <n v="1050"/>
    <n v="0.45"/>
    <n v="472.5"/>
    <s v=""/>
    <x v="2"/>
    <x v="5"/>
    <x v="2"/>
  </r>
  <r>
    <s v="CLM102143"/>
    <s v="PT12307"/>
    <s v="P03"/>
    <x v="2"/>
    <x v="2"/>
    <n v="2"/>
    <d v="2026-09-06T00:00:00"/>
    <d v="2026-09-11T00:00:00"/>
    <n v="126.48"/>
    <m/>
    <m/>
    <m/>
    <s v="Pending"/>
    <s v=""/>
    <m/>
    <m/>
    <n v="62"/>
    <n v="0.47"/>
    <n v="58.28"/>
    <s v=""/>
    <x v="2"/>
    <x v="4"/>
    <x v="8"/>
  </r>
  <r>
    <s v="CLM102144"/>
    <s v="PT11028"/>
    <s v="P01"/>
    <x v="0"/>
    <x v="8"/>
    <n v="1"/>
    <d v="2025-11-01T00:00:00"/>
    <d v="2025-11-10T00:00:00"/>
    <n v="267.10000000000002"/>
    <n v="109.59"/>
    <n v="109.59"/>
    <n v="0"/>
    <s v="Paid"/>
    <s v=""/>
    <d v="2025-12-09T00:00:00"/>
    <d v="2025-12-09T00:00:00"/>
    <n v="260"/>
    <n v="0.45"/>
    <n v="117"/>
    <n v="7.4099999999999966"/>
    <x v="1"/>
    <x v="5"/>
    <x v="3"/>
  </r>
  <r>
    <s v="CLM102145"/>
    <s v="PT10158"/>
    <s v="P01"/>
    <x v="2"/>
    <x v="2"/>
    <n v="1"/>
    <d v="2025-10-06T00:00:00"/>
    <d v="2025-10-11T00:00:00"/>
    <n v="62.29"/>
    <m/>
    <m/>
    <m/>
    <s v="Denied"/>
    <s v="CO-16"/>
    <d v="2025-10-28T00:00:00"/>
    <m/>
    <n v="62"/>
    <n v="0.45"/>
    <n v="27.9"/>
    <s v=""/>
    <x v="2"/>
    <x v="5"/>
    <x v="9"/>
  </r>
  <r>
    <s v="CLM102146"/>
    <s v="PT13152"/>
    <s v="P07"/>
    <x v="2"/>
    <x v="9"/>
    <n v="4"/>
    <d v="2025-10-17T00:00:00"/>
    <d v="2025-10-26T00:00:00"/>
    <n v="238.47"/>
    <m/>
    <m/>
    <m/>
    <s v="Denied"/>
    <s v="CO-16"/>
    <d v="2025-11-21T00:00:00"/>
    <m/>
    <n v="58"/>
    <n v="0.28000000000000003"/>
    <n v="64.959999999999994"/>
    <s v=""/>
    <x v="2"/>
    <x v="3"/>
    <x v="9"/>
  </r>
  <r>
    <s v="CLM102147"/>
    <s v="PT10841"/>
    <s v="P01"/>
    <x v="1"/>
    <x v="8"/>
    <n v="1"/>
    <d v="2026-01-10T00:00:00"/>
    <d v="2026-01-11T00:00:00"/>
    <n v="253.37"/>
    <n v="131.19999999999999"/>
    <n v="131.19999999999999"/>
    <n v="0"/>
    <s v="Paid"/>
    <s v=""/>
    <d v="2026-02-21T00:00:00"/>
    <d v="2026-02-21T00:00:00"/>
    <n v="260"/>
    <n v="0.45"/>
    <n v="117"/>
    <n v="-14.199999999999989"/>
    <x v="0"/>
    <x v="5"/>
    <x v="5"/>
  </r>
  <r>
    <s v="CLM102148"/>
    <s v="PT13205"/>
    <s v="P01"/>
    <x v="2"/>
    <x v="9"/>
    <n v="2"/>
    <d v="2026-03-15T00:00:00"/>
    <d v="2026-07-19T00:00:00"/>
    <n v="113.21"/>
    <m/>
    <m/>
    <m/>
    <s v="Denied"/>
    <s v="CO-29"/>
    <d v="2026-08-25T00:00:00"/>
    <m/>
    <n v="58"/>
    <n v="0.45"/>
    <n v="52.2"/>
    <s v=""/>
    <x v="2"/>
    <x v="5"/>
    <x v="2"/>
  </r>
  <r>
    <s v="CLM102149"/>
    <s v="PT11185"/>
    <s v="P05"/>
    <x v="3"/>
    <x v="7"/>
    <n v="1"/>
    <d v="2025-10-09T00:00:00"/>
    <d v="2025-10-11T00:00:00"/>
    <n v="216.25"/>
    <n v="92.17"/>
    <n v="92.17"/>
    <n v="0"/>
    <s v="Paid"/>
    <s v=""/>
    <d v="2025-12-21T00:00:00"/>
    <d v="2025-12-21T00:00:00"/>
    <n v="210"/>
    <n v="0.38"/>
    <n v="79.8"/>
    <n v="-12.370000000000005"/>
    <x v="0"/>
    <x v="0"/>
    <x v="9"/>
  </r>
  <r>
    <s v="CLM102150"/>
    <s v="PT13164"/>
    <s v="P06"/>
    <x v="1"/>
    <x v="7"/>
    <n v="1"/>
    <d v="2026-05-24T00:00:00"/>
    <d v="2026-05-26T00:00:00"/>
    <n v="214.42"/>
    <m/>
    <m/>
    <m/>
    <s v="Denied"/>
    <s v="CO-27"/>
    <d v="2026-07-28T00:00:00"/>
    <m/>
    <n v="210"/>
    <n v="0.27"/>
    <n v="56.7"/>
    <s v=""/>
    <x v="2"/>
    <x v="2"/>
    <x v="7"/>
  </r>
  <r>
    <s v="CLM102151"/>
    <s v="PT10153"/>
    <s v="P03"/>
    <x v="1"/>
    <x v="10"/>
    <n v="1"/>
    <d v="2026-06-19T00:00:00"/>
    <d v="2026-06-21T00:00:00"/>
    <n v="1041.72"/>
    <n v="444.36"/>
    <n v="444.36"/>
    <n v="0"/>
    <s v="Paid"/>
    <s v=""/>
    <d v="2026-08-20T00:00:00"/>
    <d v="2026-08-20T00:00:00"/>
    <n v="1050"/>
    <n v="0.47"/>
    <n v="493.5"/>
    <n v="49.139999999999986"/>
    <x v="1"/>
    <x v="4"/>
    <x v="11"/>
  </r>
  <r>
    <s v="CLM102152"/>
    <s v="PT10487"/>
    <s v="P02"/>
    <x v="2"/>
    <x v="9"/>
    <n v="4"/>
    <d v="2025-11-26T00:00:00"/>
    <d v="2025-11-27T00:00:00"/>
    <n v="238.76"/>
    <n v="94.12"/>
    <n v="94.12"/>
    <n v="0"/>
    <s v="Paid"/>
    <s v=""/>
    <d v="2026-01-03T00:00:00"/>
    <d v="2026-01-03T00:00:00"/>
    <n v="58"/>
    <n v="0.43"/>
    <n v="99.76"/>
    <n v="5.6400000000000006"/>
    <x v="1"/>
    <x v="6"/>
    <x v="3"/>
  </r>
  <r>
    <s v="CLM102153"/>
    <s v="PT11591"/>
    <s v="P01"/>
    <x v="0"/>
    <x v="0"/>
    <n v="1"/>
    <d v="2026-01-30T00:00:00"/>
    <d v="2026-02-01T00:00:00"/>
    <n v="141.37"/>
    <n v="61.85"/>
    <n v="61.85"/>
    <n v="0"/>
    <s v="Paid"/>
    <s v=""/>
    <d v="2026-02-17T00:00:00"/>
    <d v="2026-02-17T00:00:00"/>
    <n v="145"/>
    <n v="0.45"/>
    <n v="65.25"/>
    <n v="3.3999999999999986"/>
    <x v="1"/>
    <x v="5"/>
    <x v="5"/>
  </r>
  <r>
    <s v="CLM102154"/>
    <s v="PT10307"/>
    <s v="P02"/>
    <x v="1"/>
    <x v="1"/>
    <n v="1"/>
    <d v="2026-03-26T00:00:00"/>
    <d v="2026-04-21T00:00:00"/>
    <n v="237.65"/>
    <n v="106.53"/>
    <n v="95.88"/>
    <n v="10.65"/>
    <s v="Paid"/>
    <s v=""/>
    <d v="2026-05-01T00:00:00"/>
    <d v="2026-05-01T00:00:00"/>
    <n v="240"/>
    <n v="0.43"/>
    <n v="103.2"/>
    <n v="-3.3299999999999983"/>
    <x v="0"/>
    <x v="6"/>
    <x v="2"/>
  </r>
  <r>
    <s v="CLM102155"/>
    <s v="PT11744"/>
    <s v="P02"/>
    <x v="1"/>
    <x v="4"/>
    <n v="1"/>
    <d v="2026-06-07T00:00:00"/>
    <d v="2026-06-08T00:00:00"/>
    <n v="38.5"/>
    <n v="16.89"/>
    <n v="15.2"/>
    <n v="1.69"/>
    <s v="Paid"/>
    <s v=""/>
    <d v="2026-06-29T00:00:00"/>
    <d v="2026-06-29T00:00:00"/>
    <n v="38"/>
    <n v="0.43"/>
    <n v="16.34"/>
    <n v="-0.55000000000000071"/>
    <x v="0"/>
    <x v="6"/>
    <x v="11"/>
  </r>
  <r>
    <s v="CLM102156"/>
    <s v="PT11772"/>
    <s v="P03"/>
    <x v="0"/>
    <x v="8"/>
    <n v="1"/>
    <d v="2026-08-03T00:00:00"/>
    <d v="2026-08-04T00:00:00"/>
    <n v="255.65"/>
    <n v="124.21"/>
    <n v="111.79"/>
    <n v="12.42"/>
    <s v="Paid"/>
    <s v=""/>
    <d v="2026-09-07T00:00:00"/>
    <d v="2026-09-07T00:00:00"/>
    <n v="260"/>
    <n v="0.47"/>
    <n v="122.2"/>
    <n v="-2.0099999999999909"/>
    <x v="0"/>
    <x v="4"/>
    <x v="4"/>
  </r>
  <r>
    <s v="CLM102157"/>
    <s v="PT10639"/>
    <s v="P01"/>
    <x v="0"/>
    <x v="4"/>
    <n v="1"/>
    <d v="2026-04-05T00:00:00"/>
    <d v="2026-04-07T00:00:00"/>
    <n v="38.630000000000003"/>
    <n v="20.04"/>
    <n v="16.03"/>
    <n v="4.01"/>
    <s v="Paid"/>
    <s v=""/>
    <d v="2026-04-22T00:00:00"/>
    <d v="2026-04-22T00:00:00"/>
    <n v="38"/>
    <n v="0.45"/>
    <n v="17.100000000000001"/>
    <n v="-2.9399999999999977"/>
    <x v="0"/>
    <x v="5"/>
    <x v="10"/>
  </r>
  <r>
    <s v="CLM102158"/>
    <s v="PT12717"/>
    <s v="P05"/>
    <x v="0"/>
    <x v="7"/>
    <n v="1"/>
    <d v="2026-04-04T00:00:00"/>
    <d v="2026-04-05T00:00:00"/>
    <n v="208.8"/>
    <n v="67.64"/>
    <n v="67.64"/>
    <n v="0"/>
    <s v="Paid"/>
    <s v=""/>
    <d v="2026-06-04T00:00:00"/>
    <d v="2026-06-04T00:00:00"/>
    <n v="210"/>
    <n v="0.38"/>
    <n v="79.8"/>
    <n v="12.159999999999997"/>
    <x v="1"/>
    <x v="0"/>
    <x v="10"/>
  </r>
  <r>
    <s v="CLM102159"/>
    <s v="PT10737"/>
    <s v="P07"/>
    <x v="1"/>
    <x v="11"/>
    <n v="1"/>
    <d v="2026-08-31T00:00:00"/>
    <d v="2026-09-01T00:00:00"/>
    <n v="1179.05"/>
    <m/>
    <m/>
    <m/>
    <s v="Pending"/>
    <s v=""/>
    <m/>
    <m/>
    <n v="1150"/>
    <n v="0.28000000000000003"/>
    <n v="322"/>
    <s v=""/>
    <x v="2"/>
    <x v="3"/>
    <x v="4"/>
  </r>
  <r>
    <s v="CLM102160"/>
    <s v="PT11686"/>
    <s v="P05"/>
    <x v="1"/>
    <x v="5"/>
    <n v="1"/>
    <d v="2026-05-16T00:00:00"/>
    <d v="2026-05-17T00:00:00"/>
    <n v="4880.07"/>
    <m/>
    <m/>
    <m/>
    <s v="Denied"/>
    <s v="CO-27"/>
    <d v="2026-06-06T00:00:00"/>
    <m/>
    <n v="4800"/>
    <n v="0.38"/>
    <n v="1824"/>
    <s v=""/>
    <x v="2"/>
    <x v="0"/>
    <x v="7"/>
  </r>
  <r>
    <s v="CLM102161"/>
    <s v="PT10939"/>
    <s v="P03"/>
    <x v="2"/>
    <x v="2"/>
    <n v="1"/>
    <d v="2026-07-02T00:00:00"/>
    <d v="2026-07-05T00:00:00"/>
    <n v="60.17"/>
    <n v="25.08"/>
    <n v="25.08"/>
    <n v="0"/>
    <s v="Paid"/>
    <s v=""/>
    <d v="2026-09-01T00:00:00"/>
    <d v="2026-09-01T00:00:00"/>
    <n v="62"/>
    <n v="0.47"/>
    <n v="29.14"/>
    <n v="4.0600000000000023"/>
    <x v="1"/>
    <x v="4"/>
    <x v="1"/>
  </r>
  <r>
    <s v="CLM102162"/>
    <s v="PT12154"/>
    <s v="P01"/>
    <x v="1"/>
    <x v="7"/>
    <n v="1"/>
    <d v="2026-07-12T00:00:00"/>
    <d v="2026-07-13T00:00:00"/>
    <n v="205.65"/>
    <n v="87.55"/>
    <n v="87.55"/>
    <n v="0"/>
    <s v="Paid"/>
    <s v=""/>
    <d v="2026-08-01T00:00:00"/>
    <d v="2026-08-01T00:00:00"/>
    <n v="210"/>
    <n v="0.45"/>
    <n v="94.5"/>
    <n v="6.9500000000000028"/>
    <x v="1"/>
    <x v="5"/>
    <x v="1"/>
  </r>
  <r>
    <s v="CLM102163"/>
    <s v="PT11527"/>
    <s v="P04"/>
    <x v="1"/>
    <x v="1"/>
    <n v="1"/>
    <d v="2026-03-02T00:00:00"/>
    <d v="2026-03-04T00:00:00"/>
    <n v="233.26"/>
    <m/>
    <m/>
    <m/>
    <s v="Denied"/>
    <s v="CO-11"/>
    <d v="2026-03-19T00:00:00"/>
    <m/>
    <n v="240"/>
    <n v="0.36"/>
    <n v="86.4"/>
    <s v=""/>
    <x v="2"/>
    <x v="1"/>
    <x v="2"/>
  </r>
  <r>
    <s v="CLM102164"/>
    <s v="PT13193"/>
    <s v="P07"/>
    <x v="1"/>
    <x v="8"/>
    <n v="1"/>
    <d v="2026-03-27T00:00:00"/>
    <d v="2026-04-03T00:00:00"/>
    <n v="262.61"/>
    <n v="69.040000000000006"/>
    <n v="62.14"/>
    <n v="6.9"/>
    <s v="Paid"/>
    <s v=""/>
    <d v="2026-05-28T00:00:00"/>
    <d v="2026-05-28T00:00:00"/>
    <n v="260"/>
    <n v="0.28000000000000003"/>
    <n v="72.8"/>
    <n v="3.7599999999999909"/>
    <x v="1"/>
    <x v="3"/>
    <x v="2"/>
  </r>
  <r>
    <s v="CLM102166"/>
    <s v="PT10522"/>
    <s v="P05"/>
    <x v="1"/>
    <x v="4"/>
    <n v="1"/>
    <d v="2026-09-06T00:00:00"/>
    <d v="2026-09-09T00:00:00"/>
    <n v="37.68"/>
    <m/>
    <m/>
    <m/>
    <s v="Pending"/>
    <s v=""/>
    <m/>
    <m/>
    <n v="38"/>
    <n v="0.38"/>
    <n v="14.44"/>
    <s v=""/>
    <x v="2"/>
    <x v="0"/>
    <x v="8"/>
  </r>
  <r>
    <s v="CLM102167"/>
    <s v="PT12511"/>
    <s v="P06"/>
    <x v="2"/>
    <x v="2"/>
    <n v="1"/>
    <d v="2025-10-13T00:00:00"/>
    <d v="2025-10-15T00:00:00"/>
    <n v="60.52"/>
    <n v="15.03"/>
    <n v="15.03"/>
    <n v="0"/>
    <s v="Paid"/>
    <s v=""/>
    <d v="2025-11-25T00:00:00"/>
    <d v="2025-11-25T00:00:00"/>
    <n v="62"/>
    <n v="0.27"/>
    <n v="16.739999999999998"/>
    <n v="1.7099999999999991"/>
    <x v="1"/>
    <x v="2"/>
    <x v="9"/>
  </r>
  <r>
    <s v="CLM102168"/>
    <s v="PT13001"/>
    <s v="P01"/>
    <x v="1"/>
    <x v="5"/>
    <n v="1"/>
    <d v="2026-06-19T00:00:00"/>
    <d v="2026-06-20T00:00:00"/>
    <n v="4875.1499999999996"/>
    <n v="2049.06"/>
    <n v="1844.15"/>
    <n v="204.91"/>
    <s v="Paid"/>
    <s v=""/>
    <d v="2026-07-03T00:00:00"/>
    <d v="2026-07-03T00:00:00"/>
    <n v="4800"/>
    <n v="0.45"/>
    <n v="2160"/>
    <n v="110.94000000000005"/>
    <x v="1"/>
    <x v="5"/>
    <x v="11"/>
  </r>
  <r>
    <s v="CLM102169"/>
    <s v="PT12038"/>
    <s v="P04"/>
    <x v="2"/>
    <x v="2"/>
    <n v="1"/>
    <d v="2025-12-29T00:00:00"/>
    <d v="2026-01-03T00:00:00"/>
    <n v="62.53"/>
    <n v="21.71"/>
    <n v="19.54"/>
    <n v="2.17"/>
    <s v="Paid"/>
    <s v=""/>
    <d v="2026-01-17T00:00:00"/>
    <d v="2026-01-17T00:00:00"/>
    <n v="62"/>
    <n v="0.36"/>
    <n v="22.32"/>
    <n v="0.60999999999999943"/>
    <x v="0"/>
    <x v="1"/>
    <x v="6"/>
  </r>
  <r>
    <s v="CLM102170"/>
    <s v="PT11026"/>
    <s v="P04"/>
    <x v="2"/>
    <x v="0"/>
    <n v="1"/>
    <d v="2025-10-13T00:00:00"/>
    <d v="2025-10-15T00:00:00"/>
    <n v="146.51"/>
    <n v="55.49"/>
    <n v="44.39"/>
    <n v="11.1"/>
    <s v="Paid"/>
    <s v=""/>
    <d v="2025-11-10T00:00:00"/>
    <d v="2025-11-10T00:00:00"/>
    <n v="145"/>
    <n v="0.36"/>
    <n v="52.2"/>
    <n v="-3.2899999999999991"/>
    <x v="0"/>
    <x v="1"/>
    <x v="9"/>
  </r>
  <r>
    <s v="CLM102171"/>
    <s v="PT13212"/>
    <s v="P06"/>
    <x v="2"/>
    <x v="2"/>
    <n v="3"/>
    <d v="2026-04-25T00:00:00"/>
    <d v="2026-04-27T00:00:00"/>
    <n v="186.84"/>
    <n v="48.01"/>
    <n v="38.409999999999997"/>
    <n v="9.6"/>
    <s v="Paid"/>
    <s v=""/>
    <d v="2026-06-18T00:00:00"/>
    <d v="2026-06-18T00:00:00"/>
    <n v="62"/>
    <n v="0.27"/>
    <n v="50.22"/>
    <n v="2.2100000000000009"/>
    <x v="0"/>
    <x v="2"/>
    <x v="10"/>
  </r>
  <r>
    <s v="CLM102172"/>
    <s v="PT12320"/>
    <s v="P05"/>
    <x v="0"/>
    <x v="8"/>
    <n v="1"/>
    <d v="2025-10-11T00:00:00"/>
    <d v="2025-10-13T00:00:00"/>
    <n v="260.7"/>
    <n v="107.06"/>
    <n v="85.65"/>
    <n v="21.41"/>
    <s v="Paid"/>
    <s v=""/>
    <d v="2025-12-14T00:00:00"/>
    <d v="2025-12-14T00:00:00"/>
    <n v="260"/>
    <n v="0.38"/>
    <n v="98.8"/>
    <n v="-8.2600000000000051"/>
    <x v="0"/>
    <x v="0"/>
    <x v="9"/>
  </r>
  <r>
    <s v="CLM102173"/>
    <s v="PT11591"/>
    <s v="P02"/>
    <x v="0"/>
    <x v="8"/>
    <n v="1"/>
    <d v="2025-12-18T00:00:00"/>
    <d v="2025-12-25T00:00:00"/>
    <n v="260.31"/>
    <n v="107.03"/>
    <n v="107.03"/>
    <n v="0"/>
    <s v="Paid"/>
    <s v=""/>
    <d v="2026-01-14T00:00:00"/>
    <d v="2026-01-14T00:00:00"/>
    <n v="260"/>
    <n v="0.43"/>
    <n v="111.8"/>
    <n v="4.769999999999996"/>
    <x v="0"/>
    <x v="6"/>
    <x v="6"/>
  </r>
  <r>
    <s v="CLM102174"/>
    <s v="PT10912"/>
    <s v="P02"/>
    <x v="1"/>
    <x v="10"/>
    <n v="1"/>
    <d v="2026-05-20T00:00:00"/>
    <d v="2026-05-22T00:00:00"/>
    <n v="1066.1400000000001"/>
    <n v="396.64"/>
    <n v="396.64"/>
    <n v="0"/>
    <s v="Paid"/>
    <s v=""/>
    <d v="2026-06-18T00:00:00"/>
    <d v="2026-06-18T00:00:00"/>
    <n v="1050"/>
    <n v="0.43"/>
    <n v="451.5"/>
    <n v="54.860000000000014"/>
    <x v="1"/>
    <x v="6"/>
    <x v="7"/>
  </r>
  <r>
    <s v="CLM102175"/>
    <s v="PT11961"/>
    <s v="P02"/>
    <x v="0"/>
    <x v="0"/>
    <n v="1"/>
    <d v="2026-07-10T00:00:00"/>
    <d v="2026-07-12T00:00:00"/>
    <n v="141.16"/>
    <n v="60.57"/>
    <n v="60.57"/>
    <n v="0"/>
    <s v="Paid"/>
    <s v=""/>
    <d v="2026-08-22T00:00:00"/>
    <d v="2026-08-22T00:00:00"/>
    <n v="145"/>
    <n v="0.43"/>
    <n v="62.35"/>
    <n v="1.7800000000000011"/>
    <x v="0"/>
    <x v="6"/>
    <x v="1"/>
  </r>
  <r>
    <s v="CLM102176"/>
    <s v="PT11323"/>
    <s v="P04"/>
    <x v="3"/>
    <x v="7"/>
    <n v="1"/>
    <d v="2026-08-24T00:00:00"/>
    <d v="2026-08-27T00:00:00"/>
    <n v="211.42"/>
    <n v="75.16"/>
    <n v="75.16"/>
    <n v="0"/>
    <s v="Paid"/>
    <s v=""/>
    <d v="2026-09-19T00:00:00"/>
    <d v="2026-09-19T00:00:00"/>
    <n v="210"/>
    <n v="0.36"/>
    <n v="75.599999999999994"/>
    <n v="0.43999999999999773"/>
    <x v="0"/>
    <x v="1"/>
    <x v="4"/>
  </r>
  <r>
    <s v="CLM102177"/>
    <s v="PT11121"/>
    <s v="P04"/>
    <x v="2"/>
    <x v="2"/>
    <n v="1"/>
    <d v="2026-09-11T00:00:00"/>
    <d v="2026-09-12T00:00:00"/>
    <n v="61.03"/>
    <n v="22.05"/>
    <n v="22.05"/>
    <n v="0"/>
    <s v="Paid"/>
    <s v=""/>
    <d v="2026-09-20T00:00:00"/>
    <d v="2026-09-20T00:00:00"/>
    <n v="62"/>
    <n v="0.36"/>
    <n v="22.32"/>
    <n v="0.26999999999999957"/>
    <x v="0"/>
    <x v="1"/>
    <x v="8"/>
  </r>
  <r>
    <s v="CLM102178"/>
    <s v="PT11878"/>
    <s v="P01"/>
    <x v="1"/>
    <x v="4"/>
    <n v="1"/>
    <d v="2025-11-26T00:00:00"/>
    <d v="2025-11-28T00:00:00"/>
    <n v="38.5"/>
    <n v="16.78"/>
    <n v="15.1"/>
    <n v="1.68"/>
    <s v="Paid"/>
    <s v=""/>
    <d v="2026-01-03T00:00:00"/>
    <d v="2026-01-03T00:00:00"/>
    <n v="38"/>
    <n v="0.45"/>
    <n v="17.100000000000001"/>
    <n v="0.32000000000000028"/>
    <x v="0"/>
    <x v="5"/>
    <x v="3"/>
  </r>
  <r>
    <s v="CLM102179"/>
    <s v="PT10673"/>
    <s v="P07"/>
    <x v="1"/>
    <x v="1"/>
    <n v="1"/>
    <d v="2026-04-15T00:00:00"/>
    <d v="2026-04-18T00:00:00"/>
    <n v="235.31"/>
    <n v="55.74"/>
    <n v="50.17"/>
    <n v="5.57"/>
    <s v="Paid"/>
    <s v=""/>
    <d v="2026-07-02T00:00:00"/>
    <d v="2026-07-02T00:00:00"/>
    <n v="240"/>
    <n v="0.28000000000000003"/>
    <n v="67.2"/>
    <n v="11.46"/>
    <x v="1"/>
    <x v="3"/>
    <x v="10"/>
  </r>
  <r>
    <s v="CLM102180"/>
    <s v="PT13474"/>
    <s v="P02"/>
    <x v="0"/>
    <x v="0"/>
    <n v="1"/>
    <d v="2026-01-18T00:00:00"/>
    <d v="2026-01-19T00:00:00"/>
    <n v="142.58000000000001"/>
    <n v="64.28"/>
    <n v="64.28"/>
    <n v="0"/>
    <s v="Paid"/>
    <s v=""/>
    <d v="2026-02-18T00:00:00"/>
    <d v="2026-02-18T00:00:00"/>
    <n v="145"/>
    <n v="0.43"/>
    <n v="62.35"/>
    <n v="-1.9299999999999997"/>
    <x v="0"/>
    <x v="6"/>
    <x v="5"/>
  </r>
  <r>
    <s v="CLM102181"/>
    <s v="PT12478"/>
    <s v="P04"/>
    <x v="1"/>
    <x v="4"/>
    <n v="1"/>
    <d v="2025-12-11T00:00:00"/>
    <d v="2025-12-13T00:00:00"/>
    <n v="38.06"/>
    <n v="15.46"/>
    <n v="15.46"/>
    <n v="0"/>
    <s v="Paid"/>
    <s v=""/>
    <d v="2026-01-03T00:00:00"/>
    <d v="2026-01-03T00:00:00"/>
    <n v="38"/>
    <n v="0.36"/>
    <n v="13.68"/>
    <n v="-1.7800000000000011"/>
    <x v="0"/>
    <x v="1"/>
    <x v="6"/>
  </r>
  <r>
    <s v="CLM102182"/>
    <s v="PT10108"/>
    <s v="P07"/>
    <x v="0"/>
    <x v="7"/>
    <n v="1"/>
    <d v="2026-09-19T00:00:00"/>
    <d v="2026-09-20T00:00:00"/>
    <n v="211.48"/>
    <m/>
    <m/>
    <m/>
    <s v="Pending"/>
    <s v=""/>
    <m/>
    <m/>
    <n v="210"/>
    <n v="0.28000000000000003"/>
    <n v="58.8"/>
    <s v=""/>
    <x v="2"/>
    <x v="3"/>
    <x v="8"/>
  </r>
  <r>
    <s v="CLM102183"/>
    <s v="PT12474"/>
    <s v="P03"/>
    <x v="1"/>
    <x v="10"/>
    <n v="1"/>
    <d v="2025-12-30T00:00:00"/>
    <d v="2026-01-01T00:00:00"/>
    <n v="1075.53"/>
    <m/>
    <m/>
    <m/>
    <s v="Denied"/>
    <s v="CO-197"/>
    <d v="2026-01-31T00:00:00"/>
    <m/>
    <n v="1050"/>
    <n v="0.47"/>
    <n v="493.5"/>
    <s v=""/>
    <x v="2"/>
    <x v="4"/>
    <x v="6"/>
  </r>
  <r>
    <s v="CLM102184"/>
    <s v="PT10031"/>
    <s v="P08"/>
    <x v="0"/>
    <x v="0"/>
    <n v="1"/>
    <d v="2025-12-02T00:00:00"/>
    <d v="2025-12-06T00:00:00"/>
    <n v="147.94999999999999"/>
    <n v="147.94999999999999"/>
    <n v="147.94999999999999"/>
    <n v="0"/>
    <s v="Paid"/>
    <s v=""/>
    <d v="2026-02-06T00:00:00"/>
    <d v="2026-02-06T00:00:00"/>
    <n v="145"/>
    <n v="1"/>
    <n v="145"/>
    <n v="-2.9499999999999886"/>
    <x v="0"/>
    <x v="7"/>
    <x v="6"/>
  </r>
  <r>
    <s v="CLM102185"/>
    <s v="PT11530"/>
    <s v="P03"/>
    <x v="1"/>
    <x v="8"/>
    <n v="1"/>
    <d v="2026-09-09T00:00:00"/>
    <d v="2026-09-10T00:00:00"/>
    <n v="261.33"/>
    <m/>
    <m/>
    <m/>
    <s v="Pending"/>
    <s v=""/>
    <m/>
    <m/>
    <n v="260"/>
    <n v="0.47"/>
    <n v="122.2"/>
    <s v=""/>
    <x v="2"/>
    <x v="4"/>
    <x v="8"/>
  </r>
  <r>
    <s v="CLM102186"/>
    <s v="PT11543"/>
    <s v="P04"/>
    <x v="0"/>
    <x v="4"/>
    <n v="1"/>
    <d v="2025-11-13T00:00:00"/>
    <d v="2025-11-14T00:00:00"/>
    <n v="38.24"/>
    <n v="12.41"/>
    <n v="12.41"/>
    <n v="0"/>
    <s v="Paid"/>
    <s v=""/>
    <d v="2025-11-27T00:00:00"/>
    <d v="2025-11-27T00:00:00"/>
    <n v="38"/>
    <n v="0.36"/>
    <n v="13.68"/>
    <n v="1.2699999999999996"/>
    <x v="1"/>
    <x v="1"/>
    <x v="3"/>
  </r>
  <r>
    <s v="CLM102187"/>
    <s v="PT12456"/>
    <s v="P02"/>
    <x v="1"/>
    <x v="5"/>
    <n v="1"/>
    <d v="2026-09-12T00:00:00"/>
    <d v="2026-09-15T00:00:00"/>
    <n v="4736.8599999999997"/>
    <m/>
    <m/>
    <m/>
    <s v="Pending"/>
    <s v=""/>
    <m/>
    <m/>
    <n v="4800"/>
    <n v="0.43"/>
    <n v="2064"/>
    <s v=""/>
    <x v="2"/>
    <x v="6"/>
    <x v="8"/>
  </r>
  <r>
    <s v="CLM102188"/>
    <s v="PT13042"/>
    <s v="P03"/>
    <x v="1"/>
    <x v="4"/>
    <n v="1"/>
    <d v="2026-08-15T00:00:00"/>
    <d v="2026-08-16T00:00:00"/>
    <n v="38.71"/>
    <m/>
    <m/>
    <m/>
    <s v="Pending"/>
    <s v=""/>
    <m/>
    <m/>
    <n v="38"/>
    <n v="0.47"/>
    <n v="17.86"/>
    <s v=""/>
    <x v="2"/>
    <x v="4"/>
    <x v="4"/>
  </r>
  <r>
    <s v="CLM102189"/>
    <s v="PT11186"/>
    <s v="P04"/>
    <x v="1"/>
    <x v="10"/>
    <n v="1"/>
    <d v="2026-05-28T00:00:00"/>
    <d v="2026-06-04T00:00:00"/>
    <n v="1047.82"/>
    <n v="351.97"/>
    <n v="281.58"/>
    <n v="70.39"/>
    <s v="Paid"/>
    <s v=""/>
    <d v="2026-06-18T00:00:00"/>
    <d v="2026-06-18T00:00:00"/>
    <n v="1050"/>
    <n v="0.36"/>
    <n v="378"/>
    <n v="26.029999999999973"/>
    <x v="1"/>
    <x v="1"/>
    <x v="7"/>
  </r>
  <r>
    <s v="CLM102190"/>
    <s v="PT10328"/>
    <s v="P06"/>
    <x v="0"/>
    <x v="8"/>
    <n v="1"/>
    <d v="2026-05-16T00:00:00"/>
    <d v="2026-05-22T00:00:00"/>
    <n v="252.4"/>
    <n v="77.58"/>
    <n v="77.58"/>
    <n v="0"/>
    <s v="Paid"/>
    <s v=""/>
    <d v="2026-06-20T00:00:00"/>
    <d v="2026-06-20T00:00:00"/>
    <n v="260"/>
    <n v="0.27"/>
    <n v="70.2"/>
    <n v="-7.3799999999999955"/>
    <x v="0"/>
    <x v="2"/>
    <x v="7"/>
  </r>
  <r>
    <s v="CLM102191"/>
    <s v="PT10274"/>
    <s v="P03"/>
    <x v="3"/>
    <x v="6"/>
    <n v="1"/>
    <d v="2026-05-04T00:00:00"/>
    <d v="2026-05-06T00:00:00"/>
    <n v="425.33"/>
    <n v="210.9"/>
    <n v="168.72"/>
    <n v="42.18"/>
    <s v="Paid"/>
    <s v=""/>
    <d v="2026-07-06T00:00:00"/>
    <d v="2026-07-06T00:00:00"/>
    <n v="420"/>
    <n v="0.47"/>
    <n v="197.4"/>
    <n v="-13.5"/>
    <x v="0"/>
    <x v="4"/>
    <x v="7"/>
  </r>
  <r>
    <s v="CLM102192"/>
    <s v="PT10638"/>
    <s v="P04"/>
    <x v="1"/>
    <x v="5"/>
    <n v="1"/>
    <d v="2026-07-11T00:00:00"/>
    <d v="2026-07-16T00:00:00"/>
    <n v="4680.92"/>
    <n v="1710"/>
    <n v="1710"/>
    <n v="0"/>
    <s v="Paid"/>
    <s v=""/>
    <d v="2026-08-01T00:00:00"/>
    <d v="2026-08-01T00:00:00"/>
    <n v="4800"/>
    <n v="0.36"/>
    <n v="1728"/>
    <n v="18"/>
    <x v="0"/>
    <x v="1"/>
    <x v="1"/>
  </r>
  <r>
    <s v="CLM102193"/>
    <s v="PT12591"/>
    <s v="P05"/>
    <x v="1"/>
    <x v="8"/>
    <n v="1"/>
    <d v="2026-04-19T00:00:00"/>
    <d v="2026-04-23T00:00:00"/>
    <n v="259.66000000000003"/>
    <n v="84.61"/>
    <n v="67.69"/>
    <n v="16.920000000000002"/>
    <s v="Paid"/>
    <s v=""/>
    <d v="2026-06-17T00:00:00"/>
    <d v="2026-06-17T00:00:00"/>
    <n v="260"/>
    <n v="0.38"/>
    <n v="98.8"/>
    <n v="14.189999999999998"/>
    <x v="1"/>
    <x v="0"/>
    <x v="10"/>
  </r>
  <r>
    <s v="CLM102194"/>
    <s v="PT12650"/>
    <s v="P02"/>
    <x v="0"/>
    <x v="8"/>
    <n v="1"/>
    <d v="2025-12-17T00:00:00"/>
    <d v="2025-12-20T00:00:00"/>
    <n v="255.3"/>
    <n v="112.05"/>
    <n v="100.84"/>
    <n v="11.21"/>
    <s v="Paid"/>
    <s v=""/>
    <d v="2026-01-25T00:00:00"/>
    <d v="2026-01-25T00:00:00"/>
    <n v="260"/>
    <n v="0.43"/>
    <n v="111.8"/>
    <n v="-0.25"/>
    <x v="0"/>
    <x v="6"/>
    <x v="6"/>
  </r>
  <r>
    <s v="CLM102195"/>
    <s v="PT10164"/>
    <s v="P01"/>
    <x v="0"/>
    <x v="4"/>
    <n v="1"/>
    <d v="2026-06-12T00:00:00"/>
    <d v="2026-06-14T00:00:00"/>
    <n v="37.049999999999997"/>
    <n v="15.7"/>
    <n v="15.7"/>
    <n v="0"/>
    <s v="Paid"/>
    <s v=""/>
    <d v="2026-07-13T00:00:00"/>
    <d v="2026-07-13T00:00:00"/>
    <n v="38"/>
    <n v="0.45"/>
    <n v="17.100000000000001"/>
    <n v="1.4000000000000021"/>
    <x v="1"/>
    <x v="5"/>
    <x v="11"/>
  </r>
  <r>
    <s v="CLM102196"/>
    <s v="PT10848"/>
    <s v="P02"/>
    <x v="1"/>
    <x v="4"/>
    <n v="1"/>
    <d v="2026-03-22T00:00:00"/>
    <d v="2026-03-24T00:00:00"/>
    <n v="38.619999999999997"/>
    <n v="16.84"/>
    <n v="16.84"/>
    <n v="0"/>
    <s v="Paid"/>
    <s v=""/>
    <d v="2026-04-18T00:00:00"/>
    <d v="2026-04-18T00:00:00"/>
    <n v="38"/>
    <n v="0.43"/>
    <n v="16.34"/>
    <n v="-0.5"/>
    <x v="0"/>
    <x v="6"/>
    <x v="2"/>
  </r>
  <r>
    <s v="CLM102197"/>
    <s v="PT13092"/>
    <s v="P02"/>
    <x v="1"/>
    <x v="10"/>
    <n v="1"/>
    <d v="2026-09-03T00:00:00"/>
    <d v="2026-09-11T00:00:00"/>
    <n v="1057.96"/>
    <n v="411.29"/>
    <n v="329.03"/>
    <n v="82.26"/>
    <s v="Paid"/>
    <s v=""/>
    <d v="2026-09-24T00:00:00"/>
    <d v="2026-09-24T00:00:00"/>
    <n v="1050"/>
    <n v="0.43"/>
    <n v="451.5"/>
    <n v="40.20999999999998"/>
    <x v="1"/>
    <x v="6"/>
    <x v="8"/>
  </r>
  <r>
    <s v="CLM102198"/>
    <s v="PT12145"/>
    <s v="P02"/>
    <x v="2"/>
    <x v="0"/>
    <n v="1"/>
    <d v="2026-06-09T00:00:00"/>
    <d v="2026-06-10T00:00:00"/>
    <n v="146.38"/>
    <n v="63.94"/>
    <n v="63.94"/>
    <n v="0"/>
    <s v="Paid"/>
    <s v=""/>
    <d v="2026-07-18T00:00:00"/>
    <d v="2026-07-18T00:00:00"/>
    <n v="145"/>
    <n v="0.43"/>
    <n v="62.35"/>
    <n v="-1.5899999999999963"/>
    <x v="0"/>
    <x v="6"/>
    <x v="11"/>
  </r>
  <r>
    <s v="CLM102199"/>
    <s v="PT11609"/>
    <s v="P01"/>
    <x v="1"/>
    <x v="8"/>
    <n v="1"/>
    <d v="2026-02-18T00:00:00"/>
    <d v="2026-02-19T00:00:00"/>
    <n v="262.61"/>
    <n v="112.77"/>
    <n v="90.22"/>
    <n v="22.55"/>
    <s v="Paid"/>
    <s v=""/>
    <d v="2026-03-13T00:00:00"/>
    <d v="2026-03-13T00:00:00"/>
    <n v="260"/>
    <n v="0.45"/>
    <n v="117"/>
    <n v="4.230000000000004"/>
    <x v="0"/>
    <x v="5"/>
    <x v="0"/>
  </r>
  <r>
    <s v="CLM102200"/>
    <s v="PT10903"/>
    <s v="P03"/>
    <x v="1"/>
    <x v="10"/>
    <n v="1"/>
    <d v="2026-01-21T00:00:00"/>
    <d v="2026-01-23T00:00:00"/>
    <n v="1073.4000000000001"/>
    <n v="505.26"/>
    <n v="454.73"/>
    <n v="50.53"/>
    <s v="Paid"/>
    <s v=""/>
    <d v="2026-03-20T00:00:00"/>
    <d v="2026-03-20T00:00:00"/>
    <n v="1050"/>
    <n v="0.47"/>
    <n v="493.5"/>
    <n v="-11.759999999999991"/>
    <x v="0"/>
    <x v="4"/>
    <x v="5"/>
  </r>
  <r>
    <s v="CLM102201"/>
    <s v="PT12094"/>
    <s v="P03"/>
    <x v="2"/>
    <x v="2"/>
    <n v="4"/>
    <d v="2026-04-06T00:00:00"/>
    <d v="2026-04-17T00:00:00"/>
    <n v="246.4"/>
    <n v="113.19"/>
    <n v="90.55"/>
    <n v="22.64"/>
    <s v="Paid"/>
    <s v=""/>
    <d v="2026-05-31T00:00:00"/>
    <d v="2026-05-31T00:00:00"/>
    <n v="62"/>
    <n v="0.47"/>
    <n v="116.56"/>
    <n v="3.3700000000000045"/>
    <x v="0"/>
    <x v="4"/>
    <x v="10"/>
  </r>
  <r>
    <s v="CLM102202"/>
    <s v="PT11289"/>
    <s v="P01"/>
    <x v="1"/>
    <x v="10"/>
    <n v="1"/>
    <d v="2026-02-20T00:00:00"/>
    <d v="2026-02-24T00:00:00"/>
    <n v="1069.79"/>
    <n v="530.9"/>
    <n v="530.9"/>
    <n v="0"/>
    <s v="Paid"/>
    <s v=""/>
    <d v="2026-04-01T00:00:00"/>
    <d v="2026-04-01T00:00:00"/>
    <n v="1050"/>
    <n v="0.45"/>
    <n v="472.5"/>
    <n v="-58.399999999999977"/>
    <x v="0"/>
    <x v="5"/>
    <x v="0"/>
  </r>
  <r>
    <s v="CLM102203"/>
    <s v="PT13352"/>
    <s v="P04"/>
    <x v="1"/>
    <x v="10"/>
    <n v="1"/>
    <d v="2026-07-18T00:00:00"/>
    <d v="2026-07-20T00:00:00"/>
    <n v="1044.8800000000001"/>
    <n v="418.14"/>
    <n v="418.14"/>
    <n v="0"/>
    <s v="Paid"/>
    <s v=""/>
    <d v="2026-08-07T00:00:00"/>
    <d v="2026-08-07T00:00:00"/>
    <n v="1050"/>
    <n v="0.36"/>
    <n v="378"/>
    <n v="-40.139999999999986"/>
    <x v="0"/>
    <x v="1"/>
    <x v="1"/>
  </r>
  <r>
    <s v="CLM102204"/>
    <s v="PT12393"/>
    <s v="P05"/>
    <x v="3"/>
    <x v="6"/>
    <n v="1"/>
    <d v="2026-05-18T00:00:00"/>
    <d v="2026-05-23T00:00:00"/>
    <n v="429.47"/>
    <m/>
    <m/>
    <m/>
    <s v="Denied"/>
    <s v="CO-27"/>
    <d v="2026-07-07T00:00:00"/>
    <m/>
    <n v="420"/>
    <n v="0.38"/>
    <n v="159.6"/>
    <s v=""/>
    <x v="2"/>
    <x v="0"/>
    <x v="7"/>
  </r>
  <r>
    <s v="CLM102205"/>
    <s v="PT10017"/>
    <s v="P07"/>
    <x v="1"/>
    <x v="11"/>
    <n v="1"/>
    <d v="2025-11-07T00:00:00"/>
    <d v="2025-11-08T00:00:00"/>
    <n v="1124.54"/>
    <n v="341.33"/>
    <n v="307.2"/>
    <n v="34.130000000000003"/>
    <s v="Paid"/>
    <s v=""/>
    <d v="2025-12-14T00:00:00"/>
    <d v="2025-12-14T00:00:00"/>
    <n v="1150"/>
    <n v="0.28000000000000003"/>
    <n v="322"/>
    <n v="-19.329999999999984"/>
    <x v="0"/>
    <x v="3"/>
    <x v="3"/>
  </r>
  <r>
    <s v="CLM102206"/>
    <s v="PT11412"/>
    <s v="P01"/>
    <x v="1"/>
    <x v="5"/>
    <n v="1"/>
    <d v="2026-06-10T00:00:00"/>
    <d v="2026-06-27T00:00:00"/>
    <n v="4788.8999999999996"/>
    <n v="2392.75"/>
    <n v="2153.4699999999998"/>
    <n v="239.28"/>
    <s v="Paid"/>
    <s v=""/>
    <d v="2026-07-18T00:00:00"/>
    <d v="2026-07-18T00:00:00"/>
    <n v="4800"/>
    <n v="0.45"/>
    <n v="2160"/>
    <n v="-232.75"/>
    <x v="0"/>
    <x v="5"/>
    <x v="11"/>
  </r>
  <r>
    <s v="CLM102207"/>
    <s v="PT10942"/>
    <s v="P04"/>
    <x v="2"/>
    <x v="0"/>
    <n v="1"/>
    <d v="2025-12-10T00:00:00"/>
    <d v="2025-12-18T00:00:00"/>
    <n v="143.9"/>
    <n v="51.14"/>
    <n v="51.14"/>
    <n v="0"/>
    <s v="Paid"/>
    <s v=""/>
    <d v="2025-12-28T00:00:00"/>
    <d v="2025-12-28T00:00:00"/>
    <n v="145"/>
    <n v="0.36"/>
    <n v="52.2"/>
    <n v="1.0600000000000023"/>
    <x v="0"/>
    <x v="1"/>
    <x v="6"/>
  </r>
  <r>
    <s v="CLM102208"/>
    <s v="PT12642"/>
    <s v="P01"/>
    <x v="3"/>
    <x v="7"/>
    <n v="1"/>
    <d v="2026-02-27T00:00:00"/>
    <d v="2026-03-04T00:00:00"/>
    <n v="209.41"/>
    <n v="108.45"/>
    <n v="86.76"/>
    <n v="21.69"/>
    <s v="Paid"/>
    <s v=""/>
    <d v="2026-04-04T00:00:00"/>
    <d v="2026-04-04T00:00:00"/>
    <n v="210"/>
    <n v="0.45"/>
    <n v="94.5"/>
    <n v="-13.950000000000003"/>
    <x v="0"/>
    <x v="5"/>
    <x v="0"/>
  </r>
  <r>
    <s v="CLM102209"/>
    <s v="PT10048"/>
    <s v="P05"/>
    <x v="3"/>
    <x v="3"/>
    <n v="20"/>
    <d v="2026-07-18T00:00:00"/>
    <d v="2026-07-24T00:00:00"/>
    <n v="28680.98"/>
    <n v="10629.86"/>
    <n v="8503.89"/>
    <n v="2125.9699999999998"/>
    <s v="Paid"/>
    <s v=""/>
    <d v="2026-09-23T00:00:00"/>
    <d v="2026-09-23T00:00:00"/>
    <n v="1450"/>
    <n v="0.38"/>
    <n v="11020"/>
    <n v="390.13999999999942"/>
    <x v="0"/>
    <x v="0"/>
    <x v="1"/>
  </r>
  <r>
    <s v="CLM102210"/>
    <s v="PT10566"/>
    <s v="P04"/>
    <x v="0"/>
    <x v="4"/>
    <n v="1"/>
    <d v="2026-09-09T00:00:00"/>
    <d v="2026-09-17T00:00:00"/>
    <n v="37.18"/>
    <m/>
    <m/>
    <m/>
    <s v="Pending"/>
    <s v=""/>
    <m/>
    <m/>
    <n v="38"/>
    <n v="0.36"/>
    <n v="13.68"/>
    <s v=""/>
    <x v="2"/>
    <x v="1"/>
    <x v="8"/>
  </r>
  <r>
    <s v="CLM102211"/>
    <s v="PT10838"/>
    <s v="P01"/>
    <x v="2"/>
    <x v="2"/>
    <n v="4"/>
    <d v="2025-10-26T00:00:00"/>
    <d v="2025-10-28T00:00:00"/>
    <n v="250.62"/>
    <n v="123.91"/>
    <n v="123.91"/>
    <n v="0"/>
    <s v="Paid"/>
    <s v=""/>
    <d v="2025-11-28T00:00:00"/>
    <d v="2025-11-28T00:00:00"/>
    <n v="62"/>
    <n v="0.45"/>
    <n v="111.6"/>
    <n v="-12.310000000000002"/>
    <x v="0"/>
    <x v="5"/>
    <x v="9"/>
  </r>
  <r>
    <s v="CLM102212"/>
    <s v="PT12613"/>
    <s v="P03"/>
    <x v="2"/>
    <x v="2"/>
    <n v="4"/>
    <d v="2026-05-20T00:00:00"/>
    <d v="2026-05-21T00:00:00"/>
    <n v="249.13"/>
    <m/>
    <m/>
    <m/>
    <s v="Denied"/>
    <s v="CO-50"/>
    <d v="2026-06-17T00:00:00"/>
    <m/>
    <n v="62"/>
    <n v="0.47"/>
    <n v="116.56"/>
    <s v=""/>
    <x v="2"/>
    <x v="4"/>
    <x v="7"/>
  </r>
  <r>
    <s v="CLM102213"/>
    <s v="PT11146"/>
    <s v="P07"/>
    <x v="3"/>
    <x v="7"/>
    <n v="1"/>
    <d v="2026-05-11T00:00:00"/>
    <d v="2026-05-15T00:00:00"/>
    <n v="214.75"/>
    <m/>
    <m/>
    <m/>
    <s v="Denied"/>
    <s v="CO-50"/>
    <d v="2026-07-31T00:00:00"/>
    <m/>
    <n v="210"/>
    <n v="0.28000000000000003"/>
    <n v="58.8"/>
    <s v=""/>
    <x v="2"/>
    <x v="3"/>
    <x v="7"/>
  </r>
  <r>
    <s v="CLM102214"/>
    <s v="PT10003"/>
    <s v="P07"/>
    <x v="2"/>
    <x v="2"/>
    <n v="1"/>
    <d v="2025-12-14T00:00:00"/>
    <d v="2026-04-24T00:00:00"/>
    <n v="62.45"/>
    <m/>
    <m/>
    <m/>
    <s v="Denied"/>
    <s v="CO-29"/>
    <d v="2026-07-15T00:00:00"/>
    <m/>
    <n v="62"/>
    <n v="0.28000000000000003"/>
    <n v="17.36"/>
    <s v=""/>
    <x v="2"/>
    <x v="3"/>
    <x v="6"/>
  </r>
  <r>
    <s v="CLM102215"/>
    <s v="PT12215"/>
    <s v="P02"/>
    <x v="1"/>
    <x v="11"/>
    <n v="1"/>
    <d v="2025-11-26T00:00:00"/>
    <d v="2025-12-03T00:00:00"/>
    <n v="1148.29"/>
    <n v="520.04999999999995"/>
    <n v="520.04999999999995"/>
    <n v="0"/>
    <s v="Paid"/>
    <s v=""/>
    <d v="2025-12-12T00:00:00"/>
    <d v="2025-12-12T00:00:00"/>
    <n v="1150"/>
    <n v="0.43"/>
    <n v="494.5"/>
    <n v="-25.549999999999955"/>
    <x v="0"/>
    <x v="6"/>
    <x v="3"/>
  </r>
  <r>
    <s v="CLM102217"/>
    <s v="PT10782"/>
    <s v="P02"/>
    <x v="0"/>
    <x v="0"/>
    <n v="1"/>
    <d v="2026-02-17T00:00:00"/>
    <d v="2026-02-19T00:00:00"/>
    <n v="142.76"/>
    <n v="61.2"/>
    <n v="55.08"/>
    <n v="6.12"/>
    <s v="Paid"/>
    <s v=""/>
    <d v="2026-03-28T00:00:00"/>
    <d v="2026-03-28T00:00:00"/>
    <n v="145"/>
    <n v="0.43"/>
    <n v="62.35"/>
    <n v="1.1499999999999986"/>
    <x v="0"/>
    <x v="6"/>
    <x v="0"/>
  </r>
  <r>
    <s v="CLM102218"/>
    <s v="PT10807"/>
    <s v="P02"/>
    <x v="0"/>
    <x v="0"/>
    <n v="1"/>
    <d v="2026-08-27T00:00:00"/>
    <d v="2026-08-29T00:00:00"/>
    <n v="142.54"/>
    <m/>
    <m/>
    <m/>
    <s v="Pending"/>
    <s v=""/>
    <m/>
    <m/>
    <n v="145"/>
    <n v="0.43"/>
    <n v="62.35"/>
    <s v=""/>
    <x v="2"/>
    <x v="6"/>
    <x v="4"/>
  </r>
  <r>
    <s v="CLM102219"/>
    <s v="PT10147"/>
    <s v="P01"/>
    <x v="1"/>
    <x v="4"/>
    <n v="1"/>
    <d v="2026-04-25T00:00:00"/>
    <d v="2026-04-27T00:00:00"/>
    <n v="38.04"/>
    <n v="15.04"/>
    <n v="13.54"/>
    <n v="1.5"/>
    <s v="Paid"/>
    <s v=""/>
    <d v="2026-05-29T00:00:00"/>
    <d v="2026-05-29T00:00:00"/>
    <n v="38"/>
    <n v="0.45"/>
    <n v="17.100000000000001"/>
    <n v="2.0600000000000023"/>
    <x v="1"/>
    <x v="5"/>
    <x v="10"/>
  </r>
  <r>
    <s v="CLM102220"/>
    <s v="PT11981"/>
    <s v="P01"/>
    <x v="1"/>
    <x v="1"/>
    <n v="1"/>
    <d v="2026-05-25T00:00:00"/>
    <d v="2026-05-30T00:00:00"/>
    <n v="244.18"/>
    <n v="113.52"/>
    <n v="113.52"/>
    <n v="0"/>
    <s v="Paid"/>
    <s v=""/>
    <d v="2026-06-19T00:00:00"/>
    <d v="2026-06-19T00:00:00"/>
    <n v="240"/>
    <n v="0.45"/>
    <n v="108"/>
    <n v="-5.519999999999996"/>
    <x v="0"/>
    <x v="5"/>
    <x v="7"/>
  </r>
  <r>
    <s v="CLM102221"/>
    <s v="PT13385"/>
    <s v="P01"/>
    <x v="3"/>
    <x v="6"/>
    <n v="1"/>
    <d v="2026-04-06T00:00:00"/>
    <d v="2026-04-08T00:00:00"/>
    <n v="420.4"/>
    <n v="190.2"/>
    <n v="152.16"/>
    <n v="38.04"/>
    <s v="Paid"/>
    <s v=""/>
    <d v="2026-05-02T00:00:00"/>
    <d v="2026-05-02T00:00:00"/>
    <n v="420"/>
    <n v="0.45"/>
    <n v="189"/>
    <n v="-1.1999999999999886"/>
    <x v="0"/>
    <x v="5"/>
    <x v="10"/>
  </r>
  <r>
    <s v="CLM102223"/>
    <s v="PT12208"/>
    <s v="P05"/>
    <x v="0"/>
    <x v="0"/>
    <n v="1"/>
    <d v="2025-10-15T00:00:00"/>
    <d v="2025-10-31T00:00:00"/>
    <n v="143.55000000000001"/>
    <m/>
    <m/>
    <m/>
    <s v="Denied"/>
    <s v="CO-16"/>
    <d v="2025-12-25T00:00:00"/>
    <m/>
    <n v="145"/>
    <n v="0.38"/>
    <n v="55.1"/>
    <s v=""/>
    <x v="2"/>
    <x v="0"/>
    <x v="9"/>
  </r>
  <r>
    <s v="CLM102224"/>
    <s v="PT12701"/>
    <s v="P02"/>
    <x v="0"/>
    <x v="7"/>
    <n v="1"/>
    <d v="2026-01-31T00:00:00"/>
    <d v="2026-02-04T00:00:00"/>
    <n v="216.14"/>
    <n v="99.91"/>
    <n v="79.930000000000007"/>
    <n v="19.98"/>
    <s v="Paid"/>
    <s v=""/>
    <d v="2026-03-10T00:00:00"/>
    <d v="2026-03-10T00:00:00"/>
    <n v="210"/>
    <n v="0.43"/>
    <n v="90.3"/>
    <n v="-9.61"/>
    <x v="0"/>
    <x v="6"/>
    <x v="5"/>
  </r>
  <r>
    <s v="CLM102225"/>
    <s v="PT11742"/>
    <s v="P07"/>
    <x v="1"/>
    <x v="10"/>
    <n v="1"/>
    <d v="2026-09-24T00:00:00"/>
    <d v="2026-09-28T00:00:00"/>
    <n v="1048.8599999999999"/>
    <m/>
    <m/>
    <m/>
    <s v="Pending"/>
    <s v=""/>
    <m/>
    <m/>
    <n v="1050"/>
    <n v="0.28000000000000003"/>
    <n v="294"/>
    <s v=""/>
    <x v="2"/>
    <x v="3"/>
    <x v="8"/>
  </r>
  <r>
    <s v="CLM102226"/>
    <s v="PT10732"/>
    <s v="P04"/>
    <x v="0"/>
    <x v="4"/>
    <n v="1"/>
    <d v="2026-01-15T00:00:00"/>
    <d v="2026-01-24T00:00:00"/>
    <n v="36.869999999999997"/>
    <n v="11.83"/>
    <n v="9.4600000000000009"/>
    <n v="2.37"/>
    <s v="Paid"/>
    <s v=""/>
    <d v="2026-02-07T00:00:00"/>
    <d v="2026-02-07T00:00:00"/>
    <n v="38"/>
    <n v="0.36"/>
    <n v="13.68"/>
    <n v="1.8499999999999996"/>
    <x v="1"/>
    <x v="1"/>
    <x v="5"/>
  </r>
  <r>
    <s v="CLM102227"/>
    <s v="PT10674"/>
    <s v="P03"/>
    <x v="0"/>
    <x v="4"/>
    <n v="1"/>
    <d v="2026-07-14T00:00:00"/>
    <d v="2026-07-16T00:00:00"/>
    <n v="38.71"/>
    <n v="19.079999999999998"/>
    <n v="19.079999999999998"/>
    <n v="0"/>
    <s v="Paid"/>
    <s v=""/>
    <d v="2026-08-29T00:00:00"/>
    <d v="2026-08-29T00:00:00"/>
    <n v="38"/>
    <n v="0.47"/>
    <n v="17.86"/>
    <n v="-1.2199999999999989"/>
    <x v="0"/>
    <x v="4"/>
    <x v="1"/>
  </r>
  <r>
    <s v="CLM102228"/>
    <s v="PT12311"/>
    <s v="P03"/>
    <x v="1"/>
    <x v="5"/>
    <n v="1"/>
    <d v="2026-03-03T00:00:00"/>
    <d v="2026-03-17T00:00:00"/>
    <n v="4778.82"/>
    <m/>
    <m/>
    <m/>
    <s v="Denied"/>
    <s v="CO-50"/>
    <d v="2026-05-02T00:00:00"/>
    <m/>
    <n v="4800"/>
    <n v="0.47"/>
    <n v="2256"/>
    <s v=""/>
    <x v="2"/>
    <x v="4"/>
    <x v="2"/>
  </r>
  <r>
    <s v="CLM102229"/>
    <s v="PT10683"/>
    <s v="P06"/>
    <x v="1"/>
    <x v="4"/>
    <n v="1"/>
    <d v="2026-08-24T00:00:00"/>
    <d v="2026-09-01T00:00:00"/>
    <n v="37.9"/>
    <m/>
    <m/>
    <m/>
    <s v="Pending"/>
    <s v=""/>
    <m/>
    <m/>
    <n v="38"/>
    <n v="0.27"/>
    <n v="10.26"/>
    <s v=""/>
    <x v="2"/>
    <x v="2"/>
    <x v="4"/>
  </r>
  <r>
    <s v="CLM102230"/>
    <s v="PT13195"/>
    <s v="P03"/>
    <x v="2"/>
    <x v="9"/>
    <n v="1"/>
    <d v="2025-11-29T00:00:00"/>
    <d v="2025-12-02T00:00:00"/>
    <n v="59.32"/>
    <m/>
    <m/>
    <m/>
    <s v="Denied"/>
    <s v="CO-11"/>
    <d v="2026-01-23T00:00:00"/>
    <m/>
    <n v="58"/>
    <n v="0.47"/>
    <n v="27.26"/>
    <s v=""/>
    <x v="2"/>
    <x v="4"/>
    <x v="3"/>
  </r>
  <r>
    <s v="CLM102231"/>
    <s v="PT12002"/>
    <s v="P01"/>
    <x v="1"/>
    <x v="8"/>
    <n v="1"/>
    <d v="2025-10-25T00:00:00"/>
    <d v="2025-10-31T00:00:00"/>
    <n v="265.11"/>
    <n v="107.92"/>
    <n v="97.13"/>
    <n v="10.79"/>
    <s v="Paid"/>
    <s v=""/>
    <d v="2025-11-25T00:00:00"/>
    <d v="2025-11-25T00:00:00"/>
    <n v="260"/>
    <n v="0.45"/>
    <n v="117"/>
    <n v="9.0799999999999983"/>
    <x v="1"/>
    <x v="5"/>
    <x v="9"/>
  </r>
  <r>
    <s v="CLM102232"/>
    <s v="PT12535"/>
    <s v="P08"/>
    <x v="1"/>
    <x v="4"/>
    <n v="1"/>
    <d v="2026-03-28T00:00:00"/>
    <d v="2026-03-31T00:00:00"/>
    <n v="38.54"/>
    <m/>
    <m/>
    <m/>
    <s v="Pending"/>
    <s v=""/>
    <m/>
    <m/>
    <n v="38"/>
    <n v="1"/>
    <n v="38"/>
    <s v=""/>
    <x v="2"/>
    <x v="7"/>
    <x v="2"/>
  </r>
  <r>
    <s v="CLM102233"/>
    <s v="PT11433"/>
    <s v="P07"/>
    <x v="2"/>
    <x v="0"/>
    <n v="1"/>
    <d v="2025-12-01T00:00:00"/>
    <d v="2025-12-05T00:00:00"/>
    <n v="146.55000000000001"/>
    <n v="43.56"/>
    <n v="34.85"/>
    <n v="8.7100000000000009"/>
    <s v="Paid"/>
    <s v=""/>
    <d v="2025-12-20T00:00:00"/>
    <d v="2025-12-20T00:00:00"/>
    <n v="145"/>
    <n v="0.28000000000000003"/>
    <n v="40.6"/>
    <n v="-2.9600000000000009"/>
    <x v="0"/>
    <x v="3"/>
    <x v="6"/>
  </r>
  <r>
    <s v="CLM102234"/>
    <s v="PT10065"/>
    <s v="P05"/>
    <x v="3"/>
    <x v="6"/>
    <n v="1"/>
    <d v="2026-04-27T00:00:00"/>
    <d v="2026-05-01T00:00:00"/>
    <n v="414.86"/>
    <n v="152.63999999999999"/>
    <n v="137.38"/>
    <n v="15.26"/>
    <s v="Paid"/>
    <s v=""/>
    <d v="2026-06-28T00:00:00"/>
    <d v="2026-06-28T00:00:00"/>
    <n v="420"/>
    <n v="0.38"/>
    <n v="159.6"/>
    <n v="6.960000000000008"/>
    <x v="0"/>
    <x v="0"/>
    <x v="10"/>
  </r>
  <r>
    <s v="CLM102235"/>
    <s v="PT12794"/>
    <s v="P02"/>
    <x v="1"/>
    <x v="4"/>
    <n v="1"/>
    <d v="2025-12-22T00:00:00"/>
    <d v="2025-12-30T00:00:00"/>
    <n v="38.99"/>
    <n v="19.190000000000001"/>
    <n v="15.35"/>
    <n v="3.84"/>
    <s v="Paid"/>
    <s v=""/>
    <d v="2026-01-25T00:00:00"/>
    <d v="2026-01-25T00:00:00"/>
    <n v="38"/>
    <n v="0.43"/>
    <n v="16.34"/>
    <n v="-2.8500000000000014"/>
    <x v="0"/>
    <x v="6"/>
    <x v="6"/>
  </r>
  <r>
    <s v="CLM102236"/>
    <s v="PT11878"/>
    <s v="P06"/>
    <x v="3"/>
    <x v="3"/>
    <n v="10"/>
    <d v="2026-08-16T00:00:00"/>
    <d v="2026-08-17T00:00:00"/>
    <n v="14897.75"/>
    <n v="4121.82"/>
    <n v="4121.82"/>
    <n v="0"/>
    <s v="Paid"/>
    <s v=""/>
    <d v="2026-09-26T00:00:00"/>
    <d v="2026-09-26T00:00:00"/>
    <n v="1450"/>
    <n v="0.27"/>
    <n v="3915"/>
    <n v="-206.81999999999971"/>
    <x v="0"/>
    <x v="2"/>
    <x v="4"/>
  </r>
  <r>
    <s v="CLM102237"/>
    <s v="PT10468"/>
    <s v="P02"/>
    <x v="1"/>
    <x v="4"/>
    <n v="1"/>
    <d v="2026-09-09T00:00:00"/>
    <d v="2026-09-10T00:00:00"/>
    <n v="37.409999999999997"/>
    <m/>
    <m/>
    <m/>
    <s v="Pending"/>
    <s v=""/>
    <m/>
    <m/>
    <n v="38"/>
    <n v="0.43"/>
    <n v="16.34"/>
    <s v=""/>
    <x v="2"/>
    <x v="6"/>
    <x v="8"/>
  </r>
  <r>
    <s v="CLM102238"/>
    <s v="PT10133"/>
    <s v="P01"/>
    <x v="1"/>
    <x v="11"/>
    <n v="1"/>
    <d v="2026-09-25T00:00:00"/>
    <d v="2026-09-26T00:00:00"/>
    <n v="1122.1400000000001"/>
    <m/>
    <m/>
    <m/>
    <s v="Pending"/>
    <s v=""/>
    <m/>
    <m/>
    <n v="1150"/>
    <n v="0.45"/>
    <n v="517.5"/>
    <s v=""/>
    <x v="2"/>
    <x v="5"/>
    <x v="8"/>
  </r>
  <r>
    <s v="CLM102239"/>
    <s v="PT10903"/>
    <s v="P04"/>
    <x v="1"/>
    <x v="11"/>
    <n v="1"/>
    <d v="2026-01-15T00:00:00"/>
    <d v="2026-01-23T00:00:00"/>
    <n v="1161.69"/>
    <n v="430.94"/>
    <n v="430.94"/>
    <n v="0"/>
    <s v="Paid"/>
    <s v=""/>
    <d v="2026-02-10T00:00:00"/>
    <d v="2026-02-10T00:00:00"/>
    <n v="1150"/>
    <n v="0.36"/>
    <n v="414"/>
    <n v="-16.939999999999998"/>
    <x v="0"/>
    <x v="1"/>
    <x v="5"/>
  </r>
  <r>
    <s v="CLM102240"/>
    <s v="PT13351"/>
    <s v="P03"/>
    <x v="1"/>
    <x v="1"/>
    <n v="1"/>
    <d v="2026-01-14T00:00:00"/>
    <d v="2026-01-23T00:00:00"/>
    <n v="237.96"/>
    <n v="98.72"/>
    <n v="98.72"/>
    <n v="0"/>
    <s v="Paid"/>
    <s v=""/>
    <d v="2026-02-23T00:00:00"/>
    <d v="2026-02-23T00:00:00"/>
    <n v="240"/>
    <n v="0.47"/>
    <n v="112.8"/>
    <n v="14.079999999999998"/>
    <x v="1"/>
    <x v="4"/>
    <x v="5"/>
  </r>
  <r>
    <s v="CLM102242"/>
    <s v="PT12837"/>
    <s v="P05"/>
    <x v="0"/>
    <x v="8"/>
    <n v="1"/>
    <d v="2026-01-31T00:00:00"/>
    <d v="2026-02-01T00:00:00"/>
    <n v="264.87"/>
    <m/>
    <m/>
    <m/>
    <s v="Denied"/>
    <s v="CO-50"/>
    <d v="2026-03-17T00:00:00"/>
    <m/>
    <n v="260"/>
    <n v="0.38"/>
    <n v="98.8"/>
    <s v=""/>
    <x v="2"/>
    <x v="0"/>
    <x v="5"/>
  </r>
  <r>
    <s v="CLM102243"/>
    <s v="PT10140"/>
    <s v="P04"/>
    <x v="1"/>
    <x v="10"/>
    <n v="1"/>
    <d v="2026-02-13T00:00:00"/>
    <d v="2026-02-17T00:00:00"/>
    <n v="1072.57"/>
    <m/>
    <m/>
    <m/>
    <s v="Denied"/>
    <s v="CO-16"/>
    <d v="2026-03-06T00:00:00"/>
    <m/>
    <n v="1050"/>
    <n v="0.36"/>
    <n v="378"/>
    <s v=""/>
    <x v="2"/>
    <x v="1"/>
    <x v="0"/>
  </r>
  <r>
    <s v="CLM102244"/>
    <s v="PT11309"/>
    <s v="P01"/>
    <x v="3"/>
    <x v="7"/>
    <n v="1"/>
    <d v="2026-07-07T00:00:00"/>
    <d v="2026-07-08T00:00:00"/>
    <n v="208.63"/>
    <n v="101.08"/>
    <n v="101.08"/>
    <n v="0"/>
    <s v="Paid"/>
    <s v=""/>
    <d v="2026-08-07T00:00:00"/>
    <d v="2026-08-07T00:00:00"/>
    <n v="210"/>
    <n v="0.45"/>
    <n v="94.5"/>
    <n v="-6.5799999999999983"/>
    <x v="0"/>
    <x v="5"/>
    <x v="1"/>
  </r>
  <r>
    <s v="CLM102245"/>
    <s v="PT12641"/>
    <s v="P04"/>
    <x v="1"/>
    <x v="8"/>
    <n v="1"/>
    <d v="2026-03-23T00:00:00"/>
    <d v="2026-03-30T00:00:00"/>
    <n v="256.56"/>
    <n v="81.290000000000006"/>
    <n v="81.290000000000006"/>
    <n v="0"/>
    <s v="Paid"/>
    <s v=""/>
    <d v="2026-04-20T00:00:00"/>
    <d v="2026-04-20T00:00:00"/>
    <n v="260"/>
    <n v="0.36"/>
    <n v="93.6"/>
    <n v="12.309999999999988"/>
    <x v="1"/>
    <x v="1"/>
    <x v="2"/>
  </r>
  <r>
    <s v="CLM102246"/>
    <s v="PT13325"/>
    <s v="P01"/>
    <x v="3"/>
    <x v="3"/>
    <n v="30"/>
    <d v="2026-03-13T00:00:00"/>
    <d v="2026-03-23T00:00:00"/>
    <n v="44400.49"/>
    <n v="21302.799999999999"/>
    <n v="21302.799999999999"/>
    <n v="0"/>
    <s v="Paid"/>
    <s v=""/>
    <d v="2026-04-18T00:00:00"/>
    <d v="2026-04-18T00:00:00"/>
    <n v="1450"/>
    <n v="0.45"/>
    <n v="19575"/>
    <n v="-1727.7999999999993"/>
    <x v="0"/>
    <x v="5"/>
    <x v="2"/>
  </r>
  <r>
    <s v="CLM102247"/>
    <s v="PT13315"/>
    <s v="P01"/>
    <x v="1"/>
    <x v="8"/>
    <n v="1"/>
    <d v="2025-10-20T00:00:00"/>
    <d v="2025-10-23T00:00:00"/>
    <n v="261.39"/>
    <n v="107.92"/>
    <n v="107.92"/>
    <n v="0"/>
    <s v="Paid"/>
    <s v=""/>
    <d v="2025-11-10T00:00:00"/>
    <d v="2025-11-10T00:00:00"/>
    <n v="260"/>
    <n v="0.45"/>
    <n v="117"/>
    <n v="9.0799999999999983"/>
    <x v="1"/>
    <x v="5"/>
    <x v="9"/>
  </r>
  <r>
    <s v="CLM102248"/>
    <s v="PT11372"/>
    <s v="P08"/>
    <x v="2"/>
    <x v="0"/>
    <n v="1"/>
    <d v="2025-12-28T00:00:00"/>
    <d v="2026-01-14T00:00:00"/>
    <n v="145.22999999999999"/>
    <m/>
    <m/>
    <m/>
    <s v="Pending"/>
    <s v=""/>
    <m/>
    <m/>
    <n v="145"/>
    <n v="1"/>
    <n v="145"/>
    <s v=""/>
    <x v="2"/>
    <x v="7"/>
    <x v="6"/>
  </r>
  <r>
    <s v="CLM102249"/>
    <s v="PT10993"/>
    <s v="P04"/>
    <x v="0"/>
    <x v="7"/>
    <n v="1"/>
    <d v="2025-10-26T00:00:00"/>
    <d v="2025-10-28T00:00:00"/>
    <n v="211.53"/>
    <n v="81.040000000000006"/>
    <n v="81.040000000000006"/>
    <n v="0"/>
    <s v="Paid"/>
    <s v=""/>
    <d v="2025-11-11T00:00:00"/>
    <d v="2025-11-11T00:00:00"/>
    <n v="210"/>
    <n v="0.36"/>
    <n v="75.599999999999994"/>
    <n v="-5.4400000000000119"/>
    <x v="0"/>
    <x v="1"/>
    <x v="9"/>
  </r>
  <r>
    <s v="CLM102250"/>
    <s v="PT11757"/>
    <s v="P01"/>
    <x v="3"/>
    <x v="6"/>
    <n v="1"/>
    <d v="2026-08-26T00:00:00"/>
    <d v="2026-09-02T00:00:00"/>
    <n v="408.02"/>
    <m/>
    <m/>
    <m/>
    <s v="Denied"/>
    <s v="CO-27"/>
    <d v="2026-09-23T00:00:00"/>
    <m/>
    <n v="420"/>
    <n v="0.45"/>
    <n v="189"/>
    <s v=""/>
    <x v="2"/>
    <x v="5"/>
    <x v="4"/>
  </r>
  <r>
    <s v="CLM102251"/>
    <s v="PT13392"/>
    <s v="P06"/>
    <x v="0"/>
    <x v="8"/>
    <n v="1"/>
    <d v="2026-09-23T00:00:00"/>
    <d v="2026-09-29T00:00:00"/>
    <n v="267.51"/>
    <m/>
    <m/>
    <m/>
    <s v="Pending"/>
    <s v=""/>
    <m/>
    <m/>
    <n v="260"/>
    <n v="0.27"/>
    <n v="70.2"/>
    <s v=""/>
    <x v="2"/>
    <x v="2"/>
    <x v="8"/>
  </r>
  <r>
    <s v="CLM102252"/>
    <s v="PT12036"/>
    <s v="P01"/>
    <x v="2"/>
    <x v="2"/>
    <n v="4"/>
    <d v="2026-03-28T00:00:00"/>
    <d v="2026-03-29T00:00:00"/>
    <n v="248.72"/>
    <n v="124.53"/>
    <n v="99.62"/>
    <n v="24.91"/>
    <s v="Paid"/>
    <s v=""/>
    <d v="2026-04-22T00:00:00"/>
    <d v="2026-04-22T00:00:00"/>
    <n v="62"/>
    <n v="0.45"/>
    <n v="111.6"/>
    <n v="-12.930000000000007"/>
    <x v="0"/>
    <x v="5"/>
    <x v="2"/>
  </r>
  <r>
    <s v="CLM102253"/>
    <s v="PT11943"/>
    <s v="P03"/>
    <x v="2"/>
    <x v="0"/>
    <n v="1"/>
    <d v="2026-06-15T00:00:00"/>
    <d v="2026-06-16T00:00:00"/>
    <n v="143.16999999999999"/>
    <n v="72.849999999999994"/>
    <n v="72.849999999999994"/>
    <n v="0"/>
    <s v="Paid"/>
    <s v=""/>
    <d v="2026-08-09T00:00:00"/>
    <d v="2026-08-09T00:00:00"/>
    <n v="145"/>
    <n v="0.47"/>
    <n v="68.150000000000006"/>
    <n v="-4.6999999999999886"/>
    <x v="0"/>
    <x v="4"/>
    <x v="11"/>
  </r>
  <r>
    <s v="CLM102254"/>
    <s v="PT10402"/>
    <s v="P07"/>
    <x v="2"/>
    <x v="0"/>
    <n v="1"/>
    <d v="2026-08-28T00:00:00"/>
    <d v="2026-09-03T00:00:00"/>
    <n v="140.9"/>
    <m/>
    <m/>
    <m/>
    <s v="Pending"/>
    <s v=""/>
    <m/>
    <m/>
    <n v="145"/>
    <n v="0.28000000000000003"/>
    <n v="40.6"/>
    <s v=""/>
    <x v="2"/>
    <x v="3"/>
    <x v="4"/>
  </r>
  <r>
    <s v="CLM102255"/>
    <s v="PT10100"/>
    <s v="P02"/>
    <x v="0"/>
    <x v="4"/>
    <n v="1"/>
    <d v="2025-12-04T00:00:00"/>
    <d v="2025-12-08T00:00:00"/>
    <n v="38.36"/>
    <n v="15.94"/>
    <n v="14.35"/>
    <n v="1.59"/>
    <s v="Paid"/>
    <s v=""/>
    <d v="2026-01-10T00:00:00"/>
    <d v="2026-01-10T00:00:00"/>
    <n v="38"/>
    <n v="0.43"/>
    <n v="16.34"/>
    <n v="0.40000000000000036"/>
    <x v="0"/>
    <x v="6"/>
    <x v="6"/>
  </r>
  <r>
    <s v="CLM102256"/>
    <s v="PT11741"/>
    <s v="P02"/>
    <x v="1"/>
    <x v="4"/>
    <n v="1"/>
    <d v="2026-08-24T00:00:00"/>
    <d v="2026-09-04T00:00:00"/>
    <n v="37.229999999999997"/>
    <m/>
    <m/>
    <m/>
    <s v="Pending"/>
    <s v=""/>
    <m/>
    <m/>
    <n v="38"/>
    <n v="0.43"/>
    <n v="16.34"/>
    <s v=""/>
    <x v="2"/>
    <x v="6"/>
    <x v="4"/>
  </r>
  <r>
    <s v="CLM102257"/>
    <s v="PT13346"/>
    <s v="P03"/>
    <x v="0"/>
    <x v="4"/>
    <n v="1"/>
    <d v="2026-09-19T00:00:00"/>
    <d v="2026-09-23T00:00:00"/>
    <n v="38.03"/>
    <m/>
    <m/>
    <m/>
    <s v="Pending"/>
    <s v=""/>
    <m/>
    <m/>
    <n v="38"/>
    <n v="0.47"/>
    <n v="17.86"/>
    <s v=""/>
    <x v="2"/>
    <x v="4"/>
    <x v="8"/>
  </r>
  <r>
    <s v="CLM102258"/>
    <s v="PT11193"/>
    <s v="P04"/>
    <x v="1"/>
    <x v="7"/>
    <n v="1"/>
    <d v="2026-08-25T00:00:00"/>
    <d v="2026-09-03T00:00:00"/>
    <n v="211.29"/>
    <n v="78.650000000000006"/>
    <n v="62.92"/>
    <n v="15.73"/>
    <s v="Paid"/>
    <s v=""/>
    <d v="2026-09-28T00:00:00"/>
    <d v="2026-09-28T00:00:00"/>
    <n v="210"/>
    <n v="0.36"/>
    <n v="75.599999999999994"/>
    <n v="-3.0500000000000114"/>
    <x v="0"/>
    <x v="1"/>
    <x v="4"/>
  </r>
  <r>
    <s v="CLM102259"/>
    <s v="PT11557"/>
    <s v="P06"/>
    <x v="0"/>
    <x v="7"/>
    <n v="1"/>
    <d v="2026-07-17T00:00:00"/>
    <d v="2026-07-18T00:00:00"/>
    <n v="210.45"/>
    <n v="56.41"/>
    <n v="45.13"/>
    <n v="11.28"/>
    <s v="Paid"/>
    <s v=""/>
    <d v="2026-08-14T00:00:00"/>
    <d v="2026-08-14T00:00:00"/>
    <n v="210"/>
    <n v="0.27"/>
    <n v="56.7"/>
    <n v="0.29000000000000625"/>
    <x v="0"/>
    <x v="2"/>
    <x v="1"/>
  </r>
  <r>
    <s v="CLM102260"/>
    <s v="PT12910"/>
    <s v="P06"/>
    <x v="1"/>
    <x v="1"/>
    <n v="1"/>
    <d v="2026-07-13T00:00:00"/>
    <d v="2026-07-19T00:00:00"/>
    <n v="238.12"/>
    <m/>
    <m/>
    <m/>
    <s v="Denied"/>
    <s v="CO-16"/>
    <d v="2026-08-30T00:00:00"/>
    <m/>
    <n v="240"/>
    <n v="0.27"/>
    <n v="64.8"/>
    <s v=""/>
    <x v="2"/>
    <x v="2"/>
    <x v="1"/>
  </r>
  <r>
    <s v="CLM102261"/>
    <s v="PT11443"/>
    <s v="P03"/>
    <x v="1"/>
    <x v="5"/>
    <n v="1"/>
    <d v="2026-04-17T00:00:00"/>
    <d v="2026-04-21T00:00:00"/>
    <n v="4750.9399999999996"/>
    <m/>
    <m/>
    <m/>
    <s v="Denied"/>
    <s v="CO-197"/>
    <d v="2026-05-08T00:00:00"/>
    <m/>
    <n v="4800"/>
    <n v="0.47"/>
    <n v="2256"/>
    <s v=""/>
    <x v="2"/>
    <x v="4"/>
    <x v="10"/>
  </r>
  <r>
    <s v="CLM102262"/>
    <s v="PT10229"/>
    <s v="P04"/>
    <x v="0"/>
    <x v="0"/>
    <n v="1"/>
    <d v="2026-05-14T00:00:00"/>
    <d v="2026-05-15T00:00:00"/>
    <n v="141.35"/>
    <n v="51.29"/>
    <n v="51.29"/>
    <n v="0"/>
    <s v="Paid"/>
    <s v=""/>
    <d v="2026-05-25T00:00:00"/>
    <d v="2026-05-25T00:00:00"/>
    <n v="145"/>
    <n v="0.36"/>
    <n v="52.2"/>
    <n v="0.91000000000000369"/>
    <x v="0"/>
    <x v="1"/>
    <x v="7"/>
  </r>
  <r>
    <s v="CLM102263"/>
    <s v="PT11431"/>
    <s v="P05"/>
    <x v="2"/>
    <x v="9"/>
    <n v="4"/>
    <d v="2025-10-03T00:00:00"/>
    <d v="2025-10-05T00:00:00"/>
    <n v="233.44"/>
    <n v="89.93"/>
    <n v="71.94"/>
    <n v="17.989999999999998"/>
    <s v="Paid"/>
    <s v=""/>
    <d v="2025-10-28T00:00:00"/>
    <d v="2025-10-28T00:00:00"/>
    <n v="58"/>
    <n v="0.38"/>
    <n v="88.16"/>
    <n v="-1.7700000000000102"/>
    <x v="0"/>
    <x v="0"/>
    <x v="9"/>
  </r>
  <r>
    <s v="CLM102264"/>
    <s v="PT11392"/>
    <s v="P04"/>
    <x v="0"/>
    <x v="0"/>
    <n v="1"/>
    <d v="2026-08-25T00:00:00"/>
    <d v="2026-08-26T00:00:00"/>
    <n v="140.79"/>
    <n v="44.75"/>
    <n v="44.75"/>
    <n v="0"/>
    <s v="Paid"/>
    <s v=""/>
    <d v="2026-09-16T00:00:00"/>
    <d v="2026-09-16T00:00:00"/>
    <n v="145"/>
    <n v="0.36"/>
    <n v="52.2"/>
    <n v="7.4500000000000028"/>
    <x v="1"/>
    <x v="1"/>
    <x v="4"/>
  </r>
  <r>
    <s v="CLM102265"/>
    <s v="PT10611"/>
    <s v="P04"/>
    <x v="0"/>
    <x v="0"/>
    <n v="1"/>
    <d v="2026-04-19T00:00:00"/>
    <d v="2026-04-20T00:00:00"/>
    <n v="147.91999999999999"/>
    <n v="54.44"/>
    <n v="49"/>
    <n v="5.44"/>
    <s v="Paid"/>
    <s v=""/>
    <d v="2026-05-13T00:00:00"/>
    <d v="2026-05-13T00:00:00"/>
    <n v="145"/>
    <n v="0.36"/>
    <n v="52.2"/>
    <n v="-2.2399999999999949"/>
    <x v="0"/>
    <x v="1"/>
    <x v="10"/>
  </r>
  <r>
    <s v="CLM102266"/>
    <s v="PT13204"/>
    <s v="P01"/>
    <x v="2"/>
    <x v="2"/>
    <n v="2"/>
    <d v="2026-01-05T00:00:00"/>
    <d v="2026-01-12T00:00:00"/>
    <n v="124.78"/>
    <m/>
    <m/>
    <m/>
    <s v="Denied"/>
    <s v="CO-16"/>
    <d v="2026-02-07T00:00:00"/>
    <m/>
    <n v="62"/>
    <n v="0.45"/>
    <n v="55.8"/>
    <s v=""/>
    <x v="2"/>
    <x v="5"/>
    <x v="5"/>
  </r>
  <r>
    <s v="CLM102267"/>
    <s v="PT11488"/>
    <s v="P07"/>
    <x v="0"/>
    <x v="0"/>
    <n v="1"/>
    <d v="2026-02-11T00:00:00"/>
    <d v="2026-02-21T00:00:00"/>
    <n v="147.47999999999999"/>
    <n v="40.17"/>
    <n v="32.14"/>
    <n v="8.0299999999999994"/>
    <s v="Paid"/>
    <s v=""/>
    <d v="2026-04-21T00:00:00"/>
    <d v="2026-04-21T00:00:00"/>
    <n v="145"/>
    <n v="0.28000000000000003"/>
    <n v="40.6"/>
    <n v="0.42999999999999972"/>
    <x v="0"/>
    <x v="3"/>
    <x v="0"/>
  </r>
  <r>
    <s v="CLM102268"/>
    <s v="PT13304"/>
    <s v="P05"/>
    <x v="1"/>
    <x v="5"/>
    <n v="1"/>
    <d v="2026-02-25T00:00:00"/>
    <d v="2026-03-02T00:00:00"/>
    <n v="4942.3100000000004"/>
    <m/>
    <m/>
    <m/>
    <s v="Denied"/>
    <s v="CO-11"/>
    <d v="2026-05-21T00:00:00"/>
    <m/>
    <n v="4800"/>
    <n v="0.38"/>
    <n v="1824"/>
    <s v=""/>
    <x v="2"/>
    <x v="0"/>
    <x v="0"/>
  </r>
  <r>
    <s v="CLM102269"/>
    <s v="PT12019"/>
    <s v="P07"/>
    <x v="1"/>
    <x v="10"/>
    <n v="1"/>
    <d v="2026-08-02T00:00:00"/>
    <d v="2026-08-05T00:00:00"/>
    <n v="1041.6500000000001"/>
    <m/>
    <m/>
    <m/>
    <s v="Pending"/>
    <s v=""/>
    <m/>
    <m/>
    <n v="1050"/>
    <n v="0.28000000000000003"/>
    <n v="294"/>
    <s v=""/>
    <x v="2"/>
    <x v="3"/>
    <x v="4"/>
  </r>
  <r>
    <s v="CLM102270"/>
    <s v="PT12684"/>
    <s v="P04"/>
    <x v="3"/>
    <x v="6"/>
    <n v="1"/>
    <d v="2026-02-07T00:00:00"/>
    <d v="2026-02-08T00:00:00"/>
    <n v="431.08"/>
    <n v="134.21"/>
    <n v="107.37"/>
    <n v="26.84"/>
    <s v="Paid"/>
    <s v=""/>
    <d v="2026-02-27T00:00:00"/>
    <d v="2026-02-27T00:00:00"/>
    <n v="420"/>
    <n v="0.36"/>
    <n v="151.19999999999999"/>
    <n v="16.989999999999981"/>
    <x v="1"/>
    <x v="1"/>
    <x v="0"/>
  </r>
  <r>
    <s v="CLM102271"/>
    <s v="PT12708"/>
    <s v="P02"/>
    <x v="0"/>
    <x v="4"/>
    <n v="1"/>
    <d v="2026-06-21T00:00:00"/>
    <d v="2026-06-27T00:00:00"/>
    <n v="37.31"/>
    <n v="14.45"/>
    <n v="14.45"/>
    <n v="0"/>
    <s v="Paid"/>
    <s v=""/>
    <d v="2026-07-24T00:00:00"/>
    <d v="2026-07-24T00:00:00"/>
    <n v="38"/>
    <n v="0.43"/>
    <n v="16.34"/>
    <n v="1.8900000000000006"/>
    <x v="1"/>
    <x v="6"/>
    <x v="11"/>
  </r>
  <r>
    <s v="CLM102272"/>
    <s v="PT12120"/>
    <s v="P04"/>
    <x v="2"/>
    <x v="9"/>
    <n v="4"/>
    <d v="2026-05-08T00:00:00"/>
    <d v="2026-05-11T00:00:00"/>
    <n v="227.27"/>
    <n v="79.06"/>
    <n v="71.150000000000006"/>
    <n v="7.91"/>
    <s v="Paid"/>
    <s v=""/>
    <d v="2026-06-06T00:00:00"/>
    <d v="2026-06-06T00:00:00"/>
    <n v="58"/>
    <n v="0.36"/>
    <n v="83.52"/>
    <n v="4.4599999999999937"/>
    <x v="1"/>
    <x v="1"/>
    <x v="7"/>
  </r>
  <r>
    <s v="CLM102273"/>
    <s v="PT10651"/>
    <s v="P01"/>
    <x v="1"/>
    <x v="7"/>
    <n v="1"/>
    <d v="2026-09-05T00:00:00"/>
    <d v="2026-09-08T00:00:00"/>
    <n v="213.92"/>
    <n v="81.430000000000007"/>
    <n v="81.430000000000007"/>
    <n v="0"/>
    <s v="Paid"/>
    <s v=""/>
    <d v="2026-09-24T00:00:00"/>
    <d v="2026-09-24T00:00:00"/>
    <n v="210"/>
    <n v="0.45"/>
    <n v="94.5"/>
    <n v="13.069999999999993"/>
    <x v="1"/>
    <x v="5"/>
    <x v="8"/>
  </r>
  <r>
    <s v="CLM102274"/>
    <s v="PT12445"/>
    <s v="P02"/>
    <x v="3"/>
    <x v="7"/>
    <n v="1"/>
    <d v="2026-08-09T00:00:00"/>
    <d v="2026-08-14T00:00:00"/>
    <n v="210.77"/>
    <n v="84.52"/>
    <n v="67.62"/>
    <n v="16.899999999999999"/>
    <s v="Paid"/>
    <s v=""/>
    <d v="2026-09-14T00:00:00"/>
    <d v="2026-09-14T00:00:00"/>
    <n v="210"/>
    <n v="0.43"/>
    <n v="90.3"/>
    <n v="5.7800000000000011"/>
    <x v="1"/>
    <x v="6"/>
    <x v="4"/>
  </r>
  <r>
    <s v="CLM102275"/>
    <s v="PT12179"/>
    <s v="P01"/>
    <x v="3"/>
    <x v="7"/>
    <n v="1"/>
    <d v="2025-10-13T00:00:00"/>
    <d v="2025-10-20T00:00:00"/>
    <n v="213.32"/>
    <n v="82.84"/>
    <n v="82.84"/>
    <n v="0"/>
    <s v="Paid"/>
    <s v=""/>
    <d v="2025-11-19T00:00:00"/>
    <d v="2025-11-19T00:00:00"/>
    <n v="210"/>
    <n v="0.45"/>
    <n v="94.5"/>
    <n v="11.659999999999997"/>
    <x v="1"/>
    <x v="5"/>
    <x v="9"/>
  </r>
  <r>
    <s v="CLM102276"/>
    <s v="PT10803"/>
    <s v="P01"/>
    <x v="1"/>
    <x v="10"/>
    <n v="1"/>
    <d v="2025-10-05T00:00:00"/>
    <d v="2025-10-06T00:00:00"/>
    <n v="1021.72"/>
    <m/>
    <m/>
    <m/>
    <s v="Denied"/>
    <s v="CO-27"/>
    <d v="2025-11-02T00:00:00"/>
    <m/>
    <n v="1050"/>
    <n v="0.45"/>
    <n v="472.5"/>
    <s v=""/>
    <x v="2"/>
    <x v="5"/>
    <x v="9"/>
  </r>
  <r>
    <s v="CLM102277"/>
    <s v="PT10989"/>
    <s v="P01"/>
    <x v="3"/>
    <x v="6"/>
    <n v="1"/>
    <d v="2026-06-08T00:00:00"/>
    <d v="2026-06-16T00:00:00"/>
    <n v="430.26"/>
    <n v="179.74"/>
    <n v="179.74"/>
    <n v="0"/>
    <s v="Paid"/>
    <s v=""/>
    <d v="2026-07-15T00:00:00"/>
    <d v="2026-07-15T00:00:00"/>
    <n v="420"/>
    <n v="0.45"/>
    <n v="189"/>
    <n v="9.2599999999999909"/>
    <x v="0"/>
    <x v="5"/>
    <x v="11"/>
  </r>
  <r>
    <s v="CLM102278"/>
    <s v="PT12855"/>
    <s v="P01"/>
    <x v="0"/>
    <x v="0"/>
    <n v="1"/>
    <d v="2025-12-10T00:00:00"/>
    <d v="2025-12-30T00:00:00"/>
    <n v="143.57"/>
    <m/>
    <m/>
    <m/>
    <s v="Denied"/>
    <s v="CO-16"/>
    <d v="2026-01-19T00:00:00"/>
    <m/>
    <n v="145"/>
    <n v="0.45"/>
    <n v="65.25"/>
    <s v=""/>
    <x v="2"/>
    <x v="5"/>
    <x v="6"/>
  </r>
  <r>
    <s v="CLM102279"/>
    <s v="PT13161"/>
    <s v="P01"/>
    <x v="1"/>
    <x v="11"/>
    <n v="1"/>
    <d v="2026-01-03T00:00:00"/>
    <d v="2026-01-04T00:00:00"/>
    <n v="1181.7"/>
    <m/>
    <m/>
    <m/>
    <s v="Denied"/>
    <s v="CO-197"/>
    <d v="2026-02-10T00:00:00"/>
    <m/>
    <n v="1150"/>
    <n v="0.45"/>
    <n v="517.5"/>
    <s v=""/>
    <x v="2"/>
    <x v="5"/>
    <x v="5"/>
  </r>
  <r>
    <s v="CLM102280"/>
    <s v="PT10978"/>
    <s v="P06"/>
    <x v="3"/>
    <x v="3"/>
    <n v="20"/>
    <d v="2026-06-09T00:00:00"/>
    <d v="2026-06-16T00:00:00"/>
    <n v="28457.279999999999"/>
    <n v="6728.66"/>
    <n v="6728.66"/>
    <n v="0"/>
    <s v="Paid"/>
    <s v=""/>
    <d v="2026-07-17T00:00:00"/>
    <d v="2026-07-17T00:00:00"/>
    <n v="1450"/>
    <n v="0.27"/>
    <n v="7830"/>
    <n v="1101.3400000000001"/>
    <x v="1"/>
    <x v="2"/>
    <x v="11"/>
  </r>
  <r>
    <s v="CLM102281"/>
    <s v="PT10750"/>
    <s v="P01"/>
    <x v="3"/>
    <x v="7"/>
    <n v="1"/>
    <d v="2025-12-25T00:00:00"/>
    <d v="2025-12-26T00:00:00"/>
    <n v="208.75"/>
    <n v="87.05"/>
    <n v="69.64"/>
    <n v="17.41"/>
    <s v="Paid"/>
    <s v=""/>
    <d v="2026-01-07T00:00:00"/>
    <d v="2026-01-07T00:00:00"/>
    <n v="210"/>
    <n v="0.45"/>
    <n v="94.5"/>
    <n v="7.4500000000000028"/>
    <x v="1"/>
    <x v="5"/>
    <x v="6"/>
  </r>
  <r>
    <s v="CLM102282"/>
    <s v="PT11401"/>
    <s v="P01"/>
    <x v="2"/>
    <x v="9"/>
    <n v="3"/>
    <d v="2025-10-27T00:00:00"/>
    <d v="2025-10-29T00:00:00"/>
    <n v="172.57"/>
    <n v="74.03"/>
    <n v="66.63"/>
    <n v="7.4"/>
    <s v="Paid"/>
    <s v=""/>
    <d v="2025-11-20T00:00:00"/>
    <d v="2025-11-20T00:00:00"/>
    <n v="58"/>
    <n v="0.45"/>
    <n v="78.3"/>
    <n v="4.269999999999996"/>
    <x v="1"/>
    <x v="5"/>
    <x v="9"/>
  </r>
  <r>
    <s v="CLM102283"/>
    <s v="PT11409"/>
    <s v="P04"/>
    <x v="2"/>
    <x v="9"/>
    <n v="1"/>
    <d v="2026-05-09T00:00:00"/>
    <d v="2026-05-16T00:00:00"/>
    <n v="59.04"/>
    <n v="20.09"/>
    <n v="18.079999999999998"/>
    <n v="2.0099999999999998"/>
    <s v="Paid"/>
    <s v=""/>
    <d v="2026-06-10T00:00:00"/>
    <d v="2026-06-10T00:00:00"/>
    <n v="58"/>
    <n v="0.36"/>
    <n v="20.88"/>
    <n v="0.78999999999999915"/>
    <x v="0"/>
    <x v="1"/>
    <x v="7"/>
  </r>
  <r>
    <s v="CLM102284"/>
    <s v="PT11702"/>
    <s v="P05"/>
    <x v="2"/>
    <x v="9"/>
    <n v="4"/>
    <d v="2026-01-21T00:00:00"/>
    <d v="2026-01-22T00:00:00"/>
    <n v="231.36"/>
    <m/>
    <m/>
    <m/>
    <s v="Denied"/>
    <s v="CO-16"/>
    <d v="2026-03-25T00:00:00"/>
    <m/>
    <n v="58"/>
    <n v="0.38"/>
    <n v="88.16"/>
    <s v=""/>
    <x v="2"/>
    <x v="0"/>
    <x v="5"/>
  </r>
  <r>
    <s v="CLM102285"/>
    <s v="PT10117"/>
    <s v="P05"/>
    <x v="2"/>
    <x v="2"/>
    <n v="1"/>
    <d v="2026-06-01T00:00:00"/>
    <d v="2026-06-07T00:00:00"/>
    <n v="63.72"/>
    <n v="26.35"/>
    <n v="21.08"/>
    <n v="5.27"/>
    <s v="Paid"/>
    <s v=""/>
    <d v="2026-07-28T00:00:00"/>
    <d v="2026-07-28T00:00:00"/>
    <n v="62"/>
    <n v="0.38"/>
    <n v="23.56"/>
    <n v="-2.7900000000000027"/>
    <x v="0"/>
    <x v="0"/>
    <x v="11"/>
  </r>
  <r>
    <s v="CLM102286"/>
    <s v="PT11736"/>
    <s v="P03"/>
    <x v="0"/>
    <x v="0"/>
    <n v="1"/>
    <d v="2026-09-01T00:00:00"/>
    <d v="2026-09-02T00:00:00"/>
    <n v="144.5"/>
    <m/>
    <m/>
    <m/>
    <s v="Pending"/>
    <s v=""/>
    <m/>
    <m/>
    <n v="145"/>
    <n v="0.47"/>
    <n v="68.150000000000006"/>
    <s v=""/>
    <x v="2"/>
    <x v="4"/>
    <x v="8"/>
  </r>
  <r>
    <s v="CLM102287"/>
    <s v="PT10242"/>
    <s v="P04"/>
    <x v="0"/>
    <x v="0"/>
    <n v="1"/>
    <d v="2026-05-09T00:00:00"/>
    <d v="2026-05-16T00:00:00"/>
    <n v="142.74"/>
    <n v="53.28"/>
    <n v="42.62"/>
    <n v="10.66"/>
    <s v="Paid"/>
    <s v=""/>
    <d v="2026-06-01T00:00:00"/>
    <d v="2026-06-01T00:00:00"/>
    <n v="145"/>
    <n v="0.36"/>
    <n v="52.2"/>
    <n v="-1.0799999999999983"/>
    <x v="0"/>
    <x v="1"/>
    <x v="7"/>
  </r>
  <r>
    <s v="CLM102288"/>
    <s v="PT12773"/>
    <s v="P05"/>
    <x v="1"/>
    <x v="8"/>
    <n v="1"/>
    <d v="2026-08-12T00:00:00"/>
    <d v="2026-08-16T00:00:00"/>
    <n v="265.02"/>
    <m/>
    <m/>
    <m/>
    <s v="Pending"/>
    <s v=""/>
    <m/>
    <m/>
    <n v="260"/>
    <n v="0.38"/>
    <n v="98.8"/>
    <s v=""/>
    <x v="2"/>
    <x v="0"/>
    <x v="4"/>
  </r>
  <r>
    <s v="CLM102289"/>
    <s v="PT12175"/>
    <s v="P03"/>
    <x v="3"/>
    <x v="6"/>
    <n v="1"/>
    <d v="2026-09-12T00:00:00"/>
    <d v="2026-09-24T00:00:00"/>
    <n v="427.66"/>
    <m/>
    <m/>
    <m/>
    <s v="Pending"/>
    <s v=""/>
    <m/>
    <m/>
    <n v="420"/>
    <n v="0.47"/>
    <n v="197.4"/>
    <s v=""/>
    <x v="2"/>
    <x v="4"/>
    <x v="8"/>
  </r>
  <r>
    <s v="CLM102290"/>
    <s v="PT11512"/>
    <s v="P08"/>
    <x v="2"/>
    <x v="0"/>
    <n v="1"/>
    <d v="2026-03-07T00:00:00"/>
    <d v="2026-06-28T00:00:00"/>
    <n v="145.02000000000001"/>
    <m/>
    <m/>
    <m/>
    <s v="Pending"/>
    <s v=""/>
    <m/>
    <m/>
    <n v="145"/>
    <n v="1"/>
    <n v="145"/>
    <s v=""/>
    <x v="2"/>
    <x v="7"/>
    <x v="2"/>
  </r>
  <r>
    <s v="CLM102291"/>
    <s v="PT11930"/>
    <s v="P02"/>
    <x v="0"/>
    <x v="7"/>
    <n v="1"/>
    <d v="2026-04-06T00:00:00"/>
    <d v="2026-04-11T00:00:00"/>
    <n v="204.28"/>
    <n v="95.08"/>
    <n v="95.08"/>
    <n v="0"/>
    <s v="Paid"/>
    <s v=""/>
    <d v="2026-05-13T00:00:00"/>
    <d v="2026-05-13T00:00:00"/>
    <n v="210"/>
    <n v="0.43"/>
    <n v="90.3"/>
    <n v="-4.7800000000000011"/>
    <x v="0"/>
    <x v="6"/>
    <x v="10"/>
  </r>
  <r>
    <s v="CLM102292"/>
    <s v="PT13065"/>
    <s v="P03"/>
    <x v="0"/>
    <x v="8"/>
    <n v="1"/>
    <d v="2026-05-27T00:00:00"/>
    <d v="2026-05-31T00:00:00"/>
    <n v="255.08"/>
    <m/>
    <m/>
    <m/>
    <s v="Denied"/>
    <s v="CO-27"/>
    <d v="2026-07-25T00:00:00"/>
    <m/>
    <n v="260"/>
    <n v="0.47"/>
    <n v="122.2"/>
    <s v=""/>
    <x v="2"/>
    <x v="4"/>
    <x v="7"/>
  </r>
  <r>
    <s v="CLM102293"/>
    <s v="PT12721"/>
    <s v="P04"/>
    <x v="0"/>
    <x v="7"/>
    <n v="1"/>
    <d v="2026-02-05T00:00:00"/>
    <d v="2026-02-09T00:00:00"/>
    <n v="209.19"/>
    <n v="82.23"/>
    <n v="82.23"/>
    <n v="0"/>
    <s v="Paid"/>
    <s v=""/>
    <d v="2026-03-05T00:00:00"/>
    <d v="2026-03-05T00:00:00"/>
    <n v="210"/>
    <n v="0.36"/>
    <n v="75.599999999999994"/>
    <n v="-6.6300000000000097"/>
    <x v="0"/>
    <x v="1"/>
    <x v="0"/>
  </r>
  <r>
    <s v="CLM102294"/>
    <s v="PT11915"/>
    <s v="P03"/>
    <x v="2"/>
    <x v="9"/>
    <n v="4"/>
    <d v="2026-09-13T00:00:00"/>
    <d v="2026-09-14T00:00:00"/>
    <n v="226.53"/>
    <m/>
    <m/>
    <m/>
    <s v="Pending"/>
    <s v=""/>
    <m/>
    <m/>
    <n v="58"/>
    <n v="0.47"/>
    <n v="109.04"/>
    <s v=""/>
    <x v="2"/>
    <x v="4"/>
    <x v="8"/>
  </r>
  <r>
    <s v="CLM102295"/>
    <s v="PT10341"/>
    <s v="P07"/>
    <x v="0"/>
    <x v="4"/>
    <n v="1"/>
    <d v="2026-03-23T00:00:00"/>
    <d v="2026-04-02T00:00:00"/>
    <n v="38.700000000000003"/>
    <m/>
    <m/>
    <m/>
    <s v="Denied"/>
    <s v="CO-16"/>
    <d v="2026-05-08T00:00:00"/>
    <m/>
    <n v="38"/>
    <n v="0.28000000000000003"/>
    <n v="10.64"/>
    <s v=""/>
    <x v="2"/>
    <x v="3"/>
    <x v="2"/>
  </r>
  <r>
    <s v="CLM102296"/>
    <s v="PT13222"/>
    <s v="P01"/>
    <x v="3"/>
    <x v="6"/>
    <n v="1"/>
    <d v="2026-08-13T00:00:00"/>
    <d v="2026-08-14T00:00:00"/>
    <n v="411.32"/>
    <n v="179.17"/>
    <n v="179.17"/>
    <n v="0"/>
    <s v="Paid"/>
    <s v=""/>
    <d v="2026-09-16T00:00:00"/>
    <d v="2026-09-16T00:00:00"/>
    <n v="420"/>
    <n v="0.45"/>
    <n v="189"/>
    <n v="9.8300000000000125"/>
    <x v="1"/>
    <x v="5"/>
    <x v="4"/>
  </r>
  <r>
    <s v="CLM102297"/>
    <s v="PT12635"/>
    <s v="P05"/>
    <x v="1"/>
    <x v="7"/>
    <n v="1"/>
    <d v="2026-05-11T00:00:00"/>
    <d v="2026-05-12T00:00:00"/>
    <n v="213.5"/>
    <m/>
    <m/>
    <m/>
    <s v="Denied"/>
    <s v="CO-16"/>
    <d v="2026-07-02T00:00:00"/>
    <m/>
    <n v="210"/>
    <n v="0.38"/>
    <n v="79.8"/>
    <s v=""/>
    <x v="2"/>
    <x v="0"/>
    <x v="7"/>
  </r>
  <r>
    <s v="CLM102298"/>
    <s v="PT12132"/>
    <s v="P02"/>
    <x v="1"/>
    <x v="11"/>
    <n v="1"/>
    <d v="2025-10-06T00:00:00"/>
    <d v="2025-10-07T00:00:00"/>
    <n v="1171.31"/>
    <m/>
    <m/>
    <m/>
    <s v="Denied"/>
    <s v="CO-16"/>
    <d v="2025-11-08T00:00:00"/>
    <m/>
    <n v="1150"/>
    <n v="0.43"/>
    <n v="494.5"/>
    <s v=""/>
    <x v="2"/>
    <x v="6"/>
    <x v="9"/>
  </r>
  <r>
    <s v="CLM102299"/>
    <s v="PT11114"/>
    <s v="P04"/>
    <x v="3"/>
    <x v="6"/>
    <n v="1"/>
    <d v="2025-10-29T00:00:00"/>
    <d v="2025-10-31T00:00:00"/>
    <n v="411.69"/>
    <n v="160.25"/>
    <n v="160.25"/>
    <n v="0"/>
    <s v="Paid"/>
    <s v=""/>
    <d v="2025-11-25T00:00:00"/>
    <d v="2025-11-25T00:00:00"/>
    <n v="420"/>
    <n v="0.36"/>
    <n v="151.19999999999999"/>
    <n v="-9.0500000000000114"/>
    <x v="0"/>
    <x v="1"/>
    <x v="9"/>
  </r>
  <r>
    <s v="CLM102300"/>
    <s v="PT12197"/>
    <s v="P05"/>
    <x v="1"/>
    <x v="5"/>
    <n v="1"/>
    <d v="2026-01-14T00:00:00"/>
    <d v="2026-01-19T00:00:00"/>
    <n v="4734.67"/>
    <n v="1725.36"/>
    <n v="1725.36"/>
    <n v="0"/>
    <s v="Paid"/>
    <s v=""/>
    <d v="2026-03-18T00:00:00"/>
    <d v="2026-03-18T00:00:00"/>
    <n v="4800"/>
    <n v="0.38"/>
    <n v="1824"/>
    <n v="98.6400000000001"/>
    <x v="1"/>
    <x v="0"/>
    <x v="5"/>
  </r>
  <r>
    <s v="CLM102301"/>
    <s v="PT10410"/>
    <s v="P02"/>
    <x v="3"/>
    <x v="3"/>
    <n v="5"/>
    <d v="2026-05-06T00:00:00"/>
    <d v="2026-05-15T00:00:00"/>
    <n v="7051.92"/>
    <n v="3169.48"/>
    <n v="2852.53"/>
    <n v="316.95"/>
    <s v="Paid"/>
    <s v=""/>
    <d v="2026-06-12T00:00:00"/>
    <d v="2026-06-12T00:00:00"/>
    <n v="1450"/>
    <n v="0.43"/>
    <n v="3117.5"/>
    <n v="-51.980000000000018"/>
    <x v="0"/>
    <x v="6"/>
    <x v="7"/>
  </r>
  <r>
    <s v="CLM102302"/>
    <s v="PT10692"/>
    <s v="P02"/>
    <x v="1"/>
    <x v="11"/>
    <n v="1"/>
    <d v="2025-11-21T00:00:00"/>
    <d v="2025-11-22T00:00:00"/>
    <n v="1153.1400000000001"/>
    <m/>
    <m/>
    <m/>
    <s v="Denied"/>
    <s v="CO-197"/>
    <d v="2025-12-25T00:00:00"/>
    <m/>
    <n v="1150"/>
    <n v="0.43"/>
    <n v="494.5"/>
    <s v=""/>
    <x v="2"/>
    <x v="6"/>
    <x v="3"/>
  </r>
  <r>
    <s v="CLM102303"/>
    <s v="PT12201"/>
    <s v="P01"/>
    <x v="1"/>
    <x v="4"/>
    <n v="1"/>
    <d v="2026-09-10T00:00:00"/>
    <d v="2026-09-11T00:00:00"/>
    <n v="37.74"/>
    <m/>
    <m/>
    <m/>
    <s v="Pending"/>
    <s v=""/>
    <m/>
    <m/>
    <n v="38"/>
    <n v="0.45"/>
    <n v="17.100000000000001"/>
    <s v=""/>
    <x v="2"/>
    <x v="5"/>
    <x v="8"/>
  </r>
  <r>
    <s v="CLM102304"/>
    <s v="PT13068"/>
    <s v="P04"/>
    <x v="0"/>
    <x v="0"/>
    <n v="1"/>
    <d v="2026-09-25T00:00:00"/>
    <d v="2026-09-27T00:00:00"/>
    <n v="144.82"/>
    <m/>
    <m/>
    <m/>
    <s v="Pending"/>
    <s v=""/>
    <m/>
    <m/>
    <n v="145"/>
    <n v="0.36"/>
    <n v="52.2"/>
    <s v=""/>
    <x v="2"/>
    <x v="1"/>
    <x v="8"/>
  </r>
  <r>
    <s v="CLM102305"/>
    <s v="PT11941"/>
    <s v="P04"/>
    <x v="0"/>
    <x v="8"/>
    <n v="1"/>
    <d v="2026-05-08T00:00:00"/>
    <d v="2026-05-09T00:00:00"/>
    <n v="259.72000000000003"/>
    <m/>
    <m/>
    <m/>
    <s v="Denied"/>
    <s v="CO-16"/>
    <d v="2026-05-25T00:00:00"/>
    <m/>
    <n v="260"/>
    <n v="0.36"/>
    <n v="93.6"/>
    <s v=""/>
    <x v="2"/>
    <x v="1"/>
    <x v="7"/>
  </r>
  <r>
    <s v="CLM102306"/>
    <s v="PT10426"/>
    <s v="P02"/>
    <x v="0"/>
    <x v="4"/>
    <n v="1"/>
    <d v="2026-07-15T00:00:00"/>
    <d v="2026-07-22T00:00:00"/>
    <n v="37.69"/>
    <n v="16.97"/>
    <n v="15.27"/>
    <n v="1.7"/>
    <s v="Paid"/>
    <s v=""/>
    <d v="2026-08-06T00:00:00"/>
    <d v="2026-08-06T00:00:00"/>
    <n v="38"/>
    <n v="0.43"/>
    <n v="16.34"/>
    <n v="-0.62999999999999901"/>
    <x v="0"/>
    <x v="6"/>
    <x v="1"/>
  </r>
  <r>
    <s v="CLM102307"/>
    <s v="PT11481"/>
    <s v="P01"/>
    <x v="1"/>
    <x v="10"/>
    <n v="1"/>
    <d v="2026-04-09T00:00:00"/>
    <d v="2026-04-10T00:00:00"/>
    <n v="1023.6"/>
    <n v="496.94"/>
    <n v="447.25"/>
    <n v="49.69"/>
    <s v="Paid"/>
    <s v=""/>
    <d v="2026-04-27T00:00:00"/>
    <d v="2026-04-27T00:00:00"/>
    <n v="1050"/>
    <n v="0.45"/>
    <n v="472.5"/>
    <n v="-24.439999999999998"/>
    <x v="0"/>
    <x v="5"/>
    <x v="10"/>
  </r>
  <r>
    <s v="CLM102308"/>
    <s v="PT11857"/>
    <s v="P03"/>
    <x v="1"/>
    <x v="11"/>
    <n v="1"/>
    <d v="2026-05-30T00:00:00"/>
    <d v="2026-06-02T00:00:00"/>
    <n v="1125.28"/>
    <n v="585.08000000000004"/>
    <n v="585.08000000000004"/>
    <n v="0"/>
    <s v="Paid"/>
    <s v=""/>
    <d v="2026-06-30T00:00:00"/>
    <d v="2026-06-30T00:00:00"/>
    <n v="1150"/>
    <n v="0.47"/>
    <n v="540.5"/>
    <n v="-44.580000000000041"/>
    <x v="0"/>
    <x v="4"/>
    <x v="7"/>
  </r>
  <r>
    <s v="CLM102309"/>
    <s v="PT10985"/>
    <s v="P01"/>
    <x v="0"/>
    <x v="0"/>
    <n v="1"/>
    <d v="2026-05-17T00:00:00"/>
    <d v="2026-05-24T00:00:00"/>
    <n v="147.04"/>
    <n v="69.790000000000006"/>
    <n v="55.83"/>
    <n v="13.96"/>
    <s v="Paid"/>
    <s v=""/>
    <d v="2026-06-07T00:00:00"/>
    <d v="2026-06-07T00:00:00"/>
    <n v="145"/>
    <n v="0.45"/>
    <n v="65.25"/>
    <n v="-4.5400000000000063"/>
    <x v="0"/>
    <x v="5"/>
    <x v="7"/>
  </r>
  <r>
    <s v="CLM102310"/>
    <s v="PT11524"/>
    <s v="P01"/>
    <x v="0"/>
    <x v="4"/>
    <n v="1"/>
    <d v="2026-04-24T00:00:00"/>
    <d v="2026-04-26T00:00:00"/>
    <n v="38.6"/>
    <n v="17.61"/>
    <n v="17.61"/>
    <n v="0"/>
    <s v="Paid"/>
    <s v=""/>
    <d v="2026-05-23T00:00:00"/>
    <d v="2026-05-23T00:00:00"/>
    <n v="38"/>
    <n v="0.45"/>
    <n v="17.100000000000001"/>
    <n v="-0.50999999999999801"/>
    <x v="0"/>
    <x v="5"/>
    <x v="10"/>
  </r>
  <r>
    <s v="CLM102311"/>
    <s v="PT10890"/>
    <s v="P03"/>
    <x v="0"/>
    <x v="7"/>
    <n v="1"/>
    <d v="2026-01-09T00:00:00"/>
    <d v="2026-01-17T00:00:00"/>
    <n v="210.56"/>
    <n v="92.88"/>
    <n v="92.88"/>
    <n v="0"/>
    <s v="Paid"/>
    <s v=""/>
    <d v="2026-03-11T00:00:00"/>
    <d v="2026-03-11T00:00:00"/>
    <n v="210"/>
    <n v="0.47"/>
    <n v="98.7"/>
    <n v="5.8200000000000074"/>
    <x v="1"/>
    <x v="4"/>
    <x v="5"/>
  </r>
  <r>
    <s v="CLM102312"/>
    <s v="PT10720"/>
    <s v="P05"/>
    <x v="3"/>
    <x v="7"/>
    <n v="1"/>
    <d v="2026-02-25T00:00:00"/>
    <d v="2026-03-11T00:00:00"/>
    <n v="212.11"/>
    <n v="88.39"/>
    <n v="70.709999999999994"/>
    <n v="17.68"/>
    <s v="Paid"/>
    <s v=""/>
    <d v="2026-05-01T00:00:00"/>
    <d v="2026-05-01T00:00:00"/>
    <n v="210"/>
    <n v="0.38"/>
    <n v="79.8"/>
    <n v="-8.5900000000000034"/>
    <x v="0"/>
    <x v="0"/>
    <x v="0"/>
  </r>
  <r>
    <s v="CLM102313"/>
    <s v="PT12748"/>
    <s v="P05"/>
    <x v="0"/>
    <x v="7"/>
    <n v="1"/>
    <d v="2025-10-01T00:00:00"/>
    <d v="2025-10-06T00:00:00"/>
    <n v="207.44"/>
    <m/>
    <m/>
    <m/>
    <s v="Denied"/>
    <s v="CO-27"/>
    <d v="2025-11-23T00:00:00"/>
    <m/>
    <n v="210"/>
    <n v="0.38"/>
    <n v="79.8"/>
    <s v=""/>
    <x v="2"/>
    <x v="0"/>
    <x v="9"/>
  </r>
  <r>
    <s v="CLM102314"/>
    <s v="PT11025"/>
    <s v="P08"/>
    <x v="1"/>
    <x v="10"/>
    <n v="1"/>
    <d v="2026-05-04T00:00:00"/>
    <d v="2026-05-15T00:00:00"/>
    <n v="1031.55"/>
    <m/>
    <m/>
    <m/>
    <s v="Pending"/>
    <s v=""/>
    <m/>
    <m/>
    <n v="1050"/>
    <n v="1"/>
    <n v="1050"/>
    <s v=""/>
    <x v="2"/>
    <x v="7"/>
    <x v="7"/>
  </r>
  <r>
    <s v="CLM102315"/>
    <s v="PT10012"/>
    <s v="P04"/>
    <x v="0"/>
    <x v="4"/>
    <n v="1"/>
    <d v="2026-07-17T00:00:00"/>
    <d v="2026-07-20T00:00:00"/>
    <n v="37.74"/>
    <n v="11.57"/>
    <n v="11.57"/>
    <n v="0"/>
    <s v="Paid"/>
    <s v=""/>
    <d v="2026-08-02T00:00:00"/>
    <d v="2026-08-02T00:00:00"/>
    <n v="38"/>
    <n v="0.36"/>
    <n v="13.68"/>
    <n v="2.1099999999999994"/>
    <x v="1"/>
    <x v="1"/>
    <x v="1"/>
  </r>
  <r>
    <s v="CLM102316"/>
    <s v="PT13452"/>
    <s v="P01"/>
    <x v="1"/>
    <x v="1"/>
    <n v="1"/>
    <d v="2026-09-15T00:00:00"/>
    <d v="2026-09-20T00:00:00"/>
    <n v="241.49"/>
    <m/>
    <m/>
    <m/>
    <s v="Pending"/>
    <s v=""/>
    <m/>
    <m/>
    <n v="240"/>
    <n v="0.45"/>
    <n v="108"/>
    <s v=""/>
    <x v="2"/>
    <x v="5"/>
    <x v="8"/>
  </r>
  <r>
    <s v="CLM102317"/>
    <s v="PT11976"/>
    <s v="P04"/>
    <x v="1"/>
    <x v="11"/>
    <n v="1"/>
    <d v="2026-01-01T00:00:00"/>
    <d v="2026-01-02T00:00:00"/>
    <n v="1167.03"/>
    <n v="483.89"/>
    <n v="483.89"/>
    <n v="0"/>
    <s v="Paid"/>
    <s v=""/>
    <d v="2026-01-13T00:00:00"/>
    <d v="2026-01-13T00:00:00"/>
    <n v="1150"/>
    <n v="0.36"/>
    <n v="414"/>
    <n v="-69.889999999999986"/>
    <x v="0"/>
    <x v="1"/>
    <x v="5"/>
  </r>
  <r>
    <s v="CLM102318"/>
    <s v="PT12225"/>
    <s v="P02"/>
    <x v="2"/>
    <x v="9"/>
    <n v="1"/>
    <d v="2026-01-23T00:00:00"/>
    <d v="2026-06-10T00:00:00"/>
    <n v="56.48"/>
    <m/>
    <m/>
    <m/>
    <s v="Denied"/>
    <s v="CO-29"/>
    <d v="2026-07-04T00:00:00"/>
    <m/>
    <n v="58"/>
    <n v="0.43"/>
    <n v="24.94"/>
    <s v=""/>
    <x v="2"/>
    <x v="6"/>
    <x v="5"/>
  </r>
  <r>
    <s v="CLM102319"/>
    <s v="PT11640"/>
    <s v="P03"/>
    <x v="0"/>
    <x v="7"/>
    <n v="1"/>
    <d v="2026-02-21T00:00:00"/>
    <d v="2026-02-24T00:00:00"/>
    <n v="209.75"/>
    <m/>
    <m/>
    <m/>
    <s v="Denied"/>
    <s v="CO-4"/>
    <d v="2026-03-05T00:00:00"/>
    <m/>
    <n v="210"/>
    <n v="0.47"/>
    <n v="98.7"/>
    <s v=""/>
    <x v="2"/>
    <x v="4"/>
    <x v="0"/>
  </r>
  <r>
    <s v="CLM102320"/>
    <s v="PT11166"/>
    <s v="P02"/>
    <x v="2"/>
    <x v="9"/>
    <n v="3"/>
    <d v="2026-05-18T00:00:00"/>
    <d v="2026-05-25T00:00:00"/>
    <n v="175.18"/>
    <n v="82.64"/>
    <n v="66.11"/>
    <n v="16.53"/>
    <s v="Paid"/>
    <s v=""/>
    <d v="2026-06-11T00:00:00"/>
    <d v="2026-06-11T00:00:00"/>
    <n v="58"/>
    <n v="0.43"/>
    <n v="74.819999999999993"/>
    <n v="-7.8200000000000074"/>
    <x v="0"/>
    <x v="6"/>
    <x v="7"/>
  </r>
  <r>
    <s v="CLM102321"/>
    <s v="PT13238"/>
    <s v="P04"/>
    <x v="0"/>
    <x v="4"/>
    <n v="1"/>
    <d v="2025-10-30T00:00:00"/>
    <d v="2025-11-10T00:00:00"/>
    <n v="37.58"/>
    <n v="13.49"/>
    <n v="10.79"/>
    <n v="2.7"/>
    <s v="Paid"/>
    <s v=""/>
    <d v="2025-12-03T00:00:00"/>
    <d v="2025-12-03T00:00:00"/>
    <n v="38"/>
    <n v="0.36"/>
    <n v="13.68"/>
    <n v="0.1899999999999995"/>
    <x v="0"/>
    <x v="1"/>
    <x v="9"/>
  </r>
  <r>
    <s v="CLM102322"/>
    <s v="PT11772"/>
    <s v="P02"/>
    <x v="1"/>
    <x v="10"/>
    <n v="1"/>
    <d v="2025-11-18T00:00:00"/>
    <d v="2025-11-22T00:00:00"/>
    <n v="1053.33"/>
    <m/>
    <m/>
    <m/>
    <s v="Denied"/>
    <s v="CO-27"/>
    <d v="2025-12-31T00:00:00"/>
    <m/>
    <n v="1050"/>
    <n v="0.43"/>
    <n v="451.5"/>
    <s v=""/>
    <x v="2"/>
    <x v="6"/>
    <x v="3"/>
  </r>
  <r>
    <s v="CLM102323"/>
    <s v="PT13350"/>
    <s v="P02"/>
    <x v="2"/>
    <x v="0"/>
    <n v="1"/>
    <d v="2026-02-02T00:00:00"/>
    <d v="2026-02-05T00:00:00"/>
    <n v="141.47"/>
    <n v="59.74"/>
    <n v="47.79"/>
    <n v="11.95"/>
    <s v="Paid"/>
    <s v=""/>
    <d v="2026-03-26T00:00:00"/>
    <d v="2026-03-26T00:00:00"/>
    <n v="145"/>
    <n v="0.43"/>
    <n v="62.35"/>
    <n v="2.6099999999999994"/>
    <x v="0"/>
    <x v="6"/>
    <x v="0"/>
  </r>
  <r>
    <s v="CLM102324"/>
    <s v="PT10363"/>
    <s v="P05"/>
    <x v="1"/>
    <x v="5"/>
    <n v="1"/>
    <d v="2025-11-22T00:00:00"/>
    <d v="2025-11-24T00:00:00"/>
    <n v="4776.54"/>
    <n v="1820.21"/>
    <n v="1820.21"/>
    <n v="0"/>
    <s v="Paid"/>
    <s v=""/>
    <d v="2026-01-06T00:00:00"/>
    <d v="2026-01-06T00:00:00"/>
    <n v="4800"/>
    <n v="0.38"/>
    <n v="1824"/>
    <n v="3.7899999999999636"/>
    <x v="0"/>
    <x v="0"/>
    <x v="3"/>
  </r>
  <r>
    <s v="CLM102325"/>
    <s v="PT10466"/>
    <s v="P04"/>
    <x v="0"/>
    <x v="7"/>
    <n v="1"/>
    <d v="2026-09-19T00:00:00"/>
    <d v="2026-09-24T00:00:00"/>
    <n v="212.65"/>
    <n v="65.92"/>
    <n v="65.92"/>
    <n v="0"/>
    <s v="Paid"/>
    <s v=""/>
    <d v="2026-09-29T00:00:00"/>
    <d v="2026-09-29T00:00:00"/>
    <n v="210"/>
    <n v="0.36"/>
    <n v="75.599999999999994"/>
    <n v="9.6799999999999926"/>
    <x v="1"/>
    <x v="1"/>
    <x v="8"/>
  </r>
  <r>
    <s v="CLM102326"/>
    <s v="PT10470"/>
    <s v="P06"/>
    <x v="3"/>
    <x v="7"/>
    <n v="1"/>
    <d v="2026-06-13T00:00:00"/>
    <d v="2026-07-02T00:00:00"/>
    <n v="204.67"/>
    <n v="60.34"/>
    <n v="60.34"/>
    <n v="0"/>
    <s v="Paid"/>
    <s v=""/>
    <d v="2026-08-05T00:00:00"/>
    <d v="2026-08-05T00:00:00"/>
    <n v="210"/>
    <n v="0.27"/>
    <n v="56.7"/>
    <n v="-3.6400000000000006"/>
    <x v="0"/>
    <x v="2"/>
    <x v="11"/>
  </r>
  <r>
    <s v="CLM102327"/>
    <s v="PT11271"/>
    <s v="P03"/>
    <x v="0"/>
    <x v="7"/>
    <n v="1"/>
    <d v="2025-12-01T00:00:00"/>
    <d v="2025-12-03T00:00:00"/>
    <n v="213.81"/>
    <n v="112.37"/>
    <n v="112.37"/>
    <n v="0"/>
    <s v="Paid"/>
    <s v=""/>
    <d v="2026-01-08T00:00:00"/>
    <d v="2026-01-08T00:00:00"/>
    <n v="210"/>
    <n v="0.47"/>
    <n v="98.7"/>
    <n v="-13.670000000000002"/>
    <x v="0"/>
    <x v="4"/>
    <x v="6"/>
  </r>
  <r>
    <s v="CLM102328"/>
    <s v="PT12062"/>
    <s v="P02"/>
    <x v="3"/>
    <x v="3"/>
    <n v="10"/>
    <d v="2026-09-10T00:00:00"/>
    <d v="2026-09-16T00:00:00"/>
    <n v="14588.2"/>
    <m/>
    <m/>
    <m/>
    <s v="Pending"/>
    <s v=""/>
    <m/>
    <m/>
    <n v="1450"/>
    <n v="0.43"/>
    <n v="6235"/>
    <s v=""/>
    <x v="2"/>
    <x v="6"/>
    <x v="8"/>
  </r>
  <r>
    <s v="CLM102329"/>
    <s v="PT12472"/>
    <s v="P03"/>
    <x v="1"/>
    <x v="4"/>
    <n v="1"/>
    <d v="2026-01-29T00:00:00"/>
    <d v="2026-02-08T00:00:00"/>
    <n v="38.409999999999997"/>
    <n v="20.02"/>
    <n v="20.02"/>
    <n v="0"/>
    <s v="Paid"/>
    <s v=""/>
    <d v="2026-04-09T00:00:00"/>
    <d v="2026-04-09T00:00:00"/>
    <n v="38"/>
    <n v="0.47"/>
    <n v="17.86"/>
    <n v="-2.16"/>
    <x v="0"/>
    <x v="4"/>
    <x v="5"/>
  </r>
  <r>
    <s v="CLM102330"/>
    <s v="PT11321"/>
    <s v="P07"/>
    <x v="0"/>
    <x v="7"/>
    <n v="1"/>
    <d v="2026-03-25T00:00:00"/>
    <d v="2026-04-01T00:00:00"/>
    <n v="205.03"/>
    <m/>
    <m/>
    <m/>
    <s v="Denied"/>
    <s v="CO-4"/>
    <d v="2026-06-30T00:00:00"/>
    <m/>
    <n v="210"/>
    <n v="0.28000000000000003"/>
    <n v="58.8"/>
    <s v=""/>
    <x v="2"/>
    <x v="3"/>
    <x v="2"/>
  </r>
  <r>
    <s v="CLM102331"/>
    <s v="PT11662"/>
    <s v="P05"/>
    <x v="2"/>
    <x v="0"/>
    <n v="1"/>
    <d v="2026-02-08T00:00:00"/>
    <d v="2026-02-17T00:00:00"/>
    <n v="147.88999999999999"/>
    <n v="49.64"/>
    <n v="49.64"/>
    <n v="0"/>
    <s v="Paid"/>
    <s v=""/>
    <d v="2026-04-07T00:00:00"/>
    <d v="2026-04-07T00:00:00"/>
    <n v="145"/>
    <n v="0.38"/>
    <n v="55.1"/>
    <n v="5.4600000000000009"/>
    <x v="1"/>
    <x v="0"/>
    <x v="0"/>
  </r>
  <r>
    <s v="CLM102332"/>
    <s v="PT11303"/>
    <s v="P05"/>
    <x v="2"/>
    <x v="2"/>
    <n v="1"/>
    <d v="2026-04-21T00:00:00"/>
    <d v="2026-04-23T00:00:00"/>
    <n v="62.27"/>
    <n v="25.47"/>
    <n v="22.92"/>
    <n v="2.5499999999999998"/>
    <s v="Paid"/>
    <s v=""/>
    <d v="2026-06-04T00:00:00"/>
    <d v="2026-06-04T00:00:00"/>
    <n v="62"/>
    <n v="0.38"/>
    <n v="23.56"/>
    <n v="-1.9100000000000001"/>
    <x v="0"/>
    <x v="0"/>
    <x v="10"/>
  </r>
  <r>
    <s v="CLM102333"/>
    <s v="PT13175"/>
    <s v="P02"/>
    <x v="1"/>
    <x v="11"/>
    <n v="1"/>
    <d v="2025-10-27T00:00:00"/>
    <d v="2025-10-28T00:00:00"/>
    <n v="1157.1099999999999"/>
    <n v="490.09"/>
    <n v="441.08"/>
    <n v="49.01"/>
    <s v="Paid"/>
    <s v=""/>
    <d v="2025-11-17T00:00:00"/>
    <d v="2025-11-17T00:00:00"/>
    <n v="1150"/>
    <n v="0.43"/>
    <n v="494.5"/>
    <n v="4.410000000000025"/>
    <x v="0"/>
    <x v="6"/>
    <x v="9"/>
  </r>
  <r>
    <s v="CLM102334"/>
    <s v="PT12987"/>
    <s v="P04"/>
    <x v="2"/>
    <x v="2"/>
    <n v="4"/>
    <d v="2026-05-08T00:00:00"/>
    <d v="2026-05-10T00:00:00"/>
    <n v="250.4"/>
    <n v="79.92"/>
    <n v="71.930000000000007"/>
    <n v="7.99"/>
    <s v="Paid"/>
    <s v=""/>
    <d v="2026-06-01T00:00:00"/>
    <d v="2026-06-01T00:00:00"/>
    <n v="62"/>
    <n v="0.36"/>
    <n v="89.28"/>
    <n v="9.36"/>
    <x v="1"/>
    <x v="1"/>
    <x v="7"/>
  </r>
  <r>
    <s v="CLM102335"/>
    <s v="PT11714"/>
    <s v="P04"/>
    <x v="1"/>
    <x v="4"/>
    <n v="1"/>
    <d v="2025-12-30T00:00:00"/>
    <d v="2026-01-02T00:00:00"/>
    <n v="38.46"/>
    <n v="15.53"/>
    <n v="15.53"/>
    <n v="0"/>
    <s v="Paid"/>
    <s v=""/>
    <d v="2026-01-13T00:00:00"/>
    <d v="2026-01-13T00:00:00"/>
    <n v="38"/>
    <n v="0.36"/>
    <n v="13.68"/>
    <n v="-1.8499999999999996"/>
    <x v="0"/>
    <x v="1"/>
    <x v="6"/>
  </r>
  <r>
    <s v="CLM102336"/>
    <s v="PT11958"/>
    <s v="P01"/>
    <x v="0"/>
    <x v="0"/>
    <n v="1"/>
    <d v="2026-01-14T00:00:00"/>
    <d v="2026-01-18T00:00:00"/>
    <n v="142.53"/>
    <n v="62.72"/>
    <n v="62.72"/>
    <n v="0"/>
    <s v="Paid"/>
    <s v=""/>
    <d v="2026-03-04T00:00:00"/>
    <d v="2026-03-04T00:00:00"/>
    <n v="145"/>
    <n v="0.45"/>
    <n v="65.25"/>
    <n v="2.5300000000000011"/>
    <x v="0"/>
    <x v="5"/>
    <x v="5"/>
  </r>
  <r>
    <s v="CLM102337"/>
    <s v="PT11107"/>
    <s v="P03"/>
    <x v="3"/>
    <x v="3"/>
    <n v="20"/>
    <d v="2026-01-24T00:00:00"/>
    <d v="2026-01-29T00:00:00"/>
    <n v="29825.84"/>
    <m/>
    <m/>
    <m/>
    <s v="Denied"/>
    <s v="CO-197"/>
    <d v="2026-03-27T00:00:00"/>
    <m/>
    <n v="1450"/>
    <n v="0.47"/>
    <n v="13630"/>
    <s v=""/>
    <x v="2"/>
    <x v="4"/>
    <x v="5"/>
  </r>
  <r>
    <s v="CLM102338"/>
    <s v="PT10409"/>
    <s v="P07"/>
    <x v="1"/>
    <x v="4"/>
    <n v="1"/>
    <d v="2026-01-03T00:00:00"/>
    <d v="2026-01-06T00:00:00"/>
    <n v="38.53"/>
    <m/>
    <m/>
    <m/>
    <s v="Denied"/>
    <s v="CO-16"/>
    <d v="2026-04-08T00:00:00"/>
    <m/>
    <n v="38"/>
    <n v="0.28000000000000003"/>
    <n v="10.64"/>
    <s v=""/>
    <x v="2"/>
    <x v="3"/>
    <x v="5"/>
  </r>
  <r>
    <s v="CLM102339"/>
    <s v="PT10029"/>
    <s v="P01"/>
    <x v="1"/>
    <x v="11"/>
    <n v="1"/>
    <d v="2026-07-11T00:00:00"/>
    <d v="2026-07-13T00:00:00"/>
    <n v="1175.71"/>
    <n v="556.75"/>
    <n v="501.07"/>
    <n v="55.68"/>
    <s v="Paid"/>
    <s v=""/>
    <d v="2026-08-13T00:00:00"/>
    <d v="2026-08-13T00:00:00"/>
    <n v="1150"/>
    <n v="0.45"/>
    <n v="517.5"/>
    <n v="-39.25"/>
    <x v="0"/>
    <x v="5"/>
    <x v="1"/>
  </r>
  <r>
    <s v="CLM102340"/>
    <s v="PT10266"/>
    <s v="P03"/>
    <x v="3"/>
    <x v="6"/>
    <n v="1"/>
    <d v="2026-03-29T00:00:00"/>
    <d v="2026-04-10T00:00:00"/>
    <n v="425.08"/>
    <m/>
    <m/>
    <m/>
    <s v="Denied"/>
    <s v="CO-16"/>
    <d v="2026-06-03T00:00:00"/>
    <m/>
    <n v="420"/>
    <n v="0.47"/>
    <n v="197.4"/>
    <s v=""/>
    <x v="2"/>
    <x v="4"/>
    <x v="2"/>
  </r>
  <r>
    <s v="CLM102341"/>
    <s v="PT11914"/>
    <s v="P01"/>
    <x v="0"/>
    <x v="8"/>
    <n v="1"/>
    <d v="2026-07-22T00:00:00"/>
    <d v="2026-07-24T00:00:00"/>
    <n v="256.64999999999998"/>
    <n v="119.84"/>
    <n v="119.84"/>
    <n v="0"/>
    <s v="Paid"/>
    <s v=""/>
    <d v="2026-08-18T00:00:00"/>
    <d v="2026-08-18T00:00:00"/>
    <n v="260"/>
    <n v="0.45"/>
    <n v="117"/>
    <n v="-2.8400000000000034"/>
    <x v="0"/>
    <x v="5"/>
    <x v="1"/>
  </r>
  <r>
    <s v="CLM102342"/>
    <s v="PT13377"/>
    <s v="P06"/>
    <x v="1"/>
    <x v="11"/>
    <n v="1"/>
    <d v="2025-12-08T00:00:00"/>
    <d v="2025-12-10T00:00:00"/>
    <n v="1136.21"/>
    <m/>
    <m/>
    <m/>
    <s v="Denied"/>
    <s v="CO-16"/>
    <d v="2026-01-15T00:00:00"/>
    <m/>
    <n v="1150"/>
    <n v="0.27"/>
    <n v="310.5"/>
    <s v=""/>
    <x v="2"/>
    <x v="2"/>
    <x v="6"/>
  </r>
  <r>
    <s v="CLM102343"/>
    <s v="PT12388"/>
    <s v="P01"/>
    <x v="0"/>
    <x v="8"/>
    <n v="1"/>
    <d v="2026-07-23T00:00:00"/>
    <d v="2026-07-24T00:00:00"/>
    <n v="261.45999999999998"/>
    <n v="105.74"/>
    <n v="84.59"/>
    <n v="21.15"/>
    <s v="Paid"/>
    <s v=""/>
    <d v="2026-08-07T00:00:00"/>
    <d v="2026-08-07T00:00:00"/>
    <n v="260"/>
    <n v="0.45"/>
    <n v="117"/>
    <n v="11.260000000000005"/>
    <x v="1"/>
    <x v="5"/>
    <x v="1"/>
  </r>
  <r>
    <s v="CLM102344"/>
    <s v="PT10380"/>
    <s v="P04"/>
    <x v="3"/>
    <x v="6"/>
    <n v="1"/>
    <d v="2025-12-25T00:00:00"/>
    <d v="2025-12-27T00:00:00"/>
    <n v="421.76"/>
    <n v="132.62"/>
    <n v="119.36"/>
    <n v="13.26"/>
    <s v="Paid"/>
    <s v=""/>
    <d v="2026-01-15T00:00:00"/>
    <d v="2026-01-15T00:00:00"/>
    <n v="420"/>
    <n v="0.36"/>
    <n v="151.19999999999999"/>
    <n v="18.579999999999984"/>
    <x v="1"/>
    <x v="1"/>
    <x v="6"/>
  </r>
  <r>
    <s v="CLM102345"/>
    <s v="PT11204"/>
    <s v="P06"/>
    <x v="2"/>
    <x v="0"/>
    <n v="1"/>
    <d v="2026-01-07T00:00:00"/>
    <d v="2026-01-08T00:00:00"/>
    <n v="145.94999999999999"/>
    <n v="43.01"/>
    <n v="43.01"/>
    <n v="0"/>
    <s v="Paid"/>
    <s v=""/>
    <d v="2026-03-01T00:00:00"/>
    <d v="2026-03-01T00:00:00"/>
    <n v="145"/>
    <n v="0.27"/>
    <n v="39.15"/>
    <n v="-3.8599999999999994"/>
    <x v="0"/>
    <x v="2"/>
    <x v="5"/>
  </r>
  <r>
    <s v="CLM102346"/>
    <s v="PT12206"/>
    <s v="P05"/>
    <x v="1"/>
    <x v="10"/>
    <n v="1"/>
    <d v="2026-06-20T00:00:00"/>
    <d v="2026-06-22T00:00:00"/>
    <n v="1065.4100000000001"/>
    <m/>
    <m/>
    <m/>
    <s v="Denied"/>
    <s v="CO-11"/>
    <d v="2026-08-29T00:00:00"/>
    <m/>
    <n v="1050"/>
    <n v="0.38"/>
    <n v="399"/>
    <s v=""/>
    <x v="2"/>
    <x v="0"/>
    <x v="11"/>
  </r>
  <r>
    <s v="CLM102347"/>
    <s v="PT13325"/>
    <s v="P01"/>
    <x v="2"/>
    <x v="9"/>
    <n v="1"/>
    <d v="2026-04-08T00:00:00"/>
    <d v="2026-04-14T00:00:00"/>
    <n v="59.53"/>
    <n v="24.74"/>
    <n v="22.27"/>
    <n v="2.4700000000000002"/>
    <s v="Paid"/>
    <s v=""/>
    <d v="2026-05-20T00:00:00"/>
    <d v="2026-05-20T00:00:00"/>
    <n v="58"/>
    <n v="0.45"/>
    <n v="26.1"/>
    <n v="1.360000000000003"/>
    <x v="1"/>
    <x v="5"/>
    <x v="10"/>
  </r>
  <r>
    <s v="CLM102348"/>
    <s v="PT10085"/>
    <s v="P02"/>
    <x v="1"/>
    <x v="11"/>
    <n v="1"/>
    <d v="2026-07-15T00:00:00"/>
    <d v="2026-07-27T00:00:00"/>
    <n v="1127.69"/>
    <n v="490.26"/>
    <n v="441.23"/>
    <n v="49.03"/>
    <s v="Paid"/>
    <s v=""/>
    <d v="2026-08-30T00:00:00"/>
    <d v="2026-08-30T00:00:00"/>
    <n v="1150"/>
    <n v="0.43"/>
    <n v="494.5"/>
    <n v="4.2400000000000091"/>
    <x v="0"/>
    <x v="6"/>
    <x v="1"/>
  </r>
  <r>
    <s v="CLM102349"/>
    <s v="PT12493"/>
    <s v="P02"/>
    <x v="0"/>
    <x v="7"/>
    <n v="1"/>
    <d v="2025-10-12T00:00:00"/>
    <d v="2025-10-14T00:00:00"/>
    <n v="210.98"/>
    <n v="100.09"/>
    <n v="90.08"/>
    <n v="10.01"/>
    <s v="Paid"/>
    <s v=""/>
    <d v="2025-10-30T00:00:00"/>
    <d v="2025-10-30T00:00:00"/>
    <n v="210"/>
    <n v="0.43"/>
    <n v="90.3"/>
    <n v="-9.7900000000000063"/>
    <x v="0"/>
    <x v="6"/>
    <x v="9"/>
  </r>
  <r>
    <s v="CLM102350"/>
    <s v="PT11160"/>
    <s v="P06"/>
    <x v="1"/>
    <x v="10"/>
    <n v="1"/>
    <d v="2025-10-05T00:00:00"/>
    <d v="2025-10-08T00:00:00"/>
    <n v="1034.17"/>
    <n v="311.68"/>
    <n v="249.34"/>
    <n v="62.34"/>
    <s v="Paid"/>
    <s v=""/>
    <d v="2025-10-27T00:00:00"/>
    <d v="2025-10-27T00:00:00"/>
    <n v="1050"/>
    <n v="0.27"/>
    <n v="283.5"/>
    <n v="-28.180000000000007"/>
    <x v="0"/>
    <x v="2"/>
    <x v="9"/>
  </r>
  <r>
    <s v="CLM102351"/>
    <s v="PT11122"/>
    <s v="P04"/>
    <x v="1"/>
    <x v="11"/>
    <n v="1"/>
    <d v="2026-05-29T00:00:00"/>
    <d v="2026-05-30T00:00:00"/>
    <n v="1143.44"/>
    <n v="450.39"/>
    <n v="405.35"/>
    <n v="45.04"/>
    <s v="Paid"/>
    <s v=""/>
    <d v="2026-06-16T00:00:00"/>
    <d v="2026-06-16T00:00:00"/>
    <n v="1150"/>
    <n v="0.36"/>
    <n v="414"/>
    <n v="-36.389999999999986"/>
    <x v="0"/>
    <x v="1"/>
    <x v="7"/>
  </r>
  <r>
    <s v="CLM102352"/>
    <s v="PT12731"/>
    <s v="P07"/>
    <x v="1"/>
    <x v="1"/>
    <n v="1"/>
    <d v="2026-01-17T00:00:00"/>
    <d v="2026-02-04T00:00:00"/>
    <n v="246.26"/>
    <n v="71.069999999999993"/>
    <n v="56.86"/>
    <n v="14.21"/>
    <s v="Paid"/>
    <s v=""/>
    <d v="2026-04-05T00:00:00"/>
    <d v="2026-04-05T00:00:00"/>
    <n v="240"/>
    <n v="0.28000000000000003"/>
    <n v="67.2"/>
    <n v="-3.8699999999999903"/>
    <x v="0"/>
    <x v="3"/>
    <x v="5"/>
  </r>
  <r>
    <s v="CLM102353"/>
    <s v="PT12631"/>
    <s v="P03"/>
    <x v="0"/>
    <x v="4"/>
    <n v="1"/>
    <d v="2026-07-29T00:00:00"/>
    <d v="2026-08-02T00:00:00"/>
    <n v="38.090000000000003"/>
    <m/>
    <m/>
    <m/>
    <s v="Pending"/>
    <s v=""/>
    <m/>
    <m/>
    <n v="38"/>
    <n v="0.47"/>
    <n v="17.86"/>
    <s v=""/>
    <x v="2"/>
    <x v="4"/>
    <x v="1"/>
  </r>
  <r>
    <s v="CLM102354"/>
    <s v="PT10107"/>
    <s v="P07"/>
    <x v="1"/>
    <x v="5"/>
    <n v="1"/>
    <d v="2026-05-10T00:00:00"/>
    <d v="2026-05-11T00:00:00"/>
    <n v="4824.26"/>
    <m/>
    <m/>
    <m/>
    <s v="Denied"/>
    <s v="CO-50"/>
    <d v="2026-07-28T00:00:00"/>
    <m/>
    <n v="4800"/>
    <n v="0.28000000000000003"/>
    <n v="1344"/>
    <s v=""/>
    <x v="2"/>
    <x v="3"/>
    <x v="7"/>
  </r>
  <r>
    <s v="CLM102355"/>
    <s v="PT10313"/>
    <s v="P02"/>
    <x v="1"/>
    <x v="1"/>
    <n v="1"/>
    <d v="2026-05-18T00:00:00"/>
    <d v="2026-05-20T00:00:00"/>
    <n v="234.28"/>
    <n v="97.63"/>
    <n v="87.87"/>
    <n v="9.76"/>
    <s v="Paid"/>
    <s v=""/>
    <d v="2026-06-20T00:00:00"/>
    <d v="2026-06-20T00:00:00"/>
    <n v="240"/>
    <n v="0.43"/>
    <n v="103.2"/>
    <n v="5.5700000000000074"/>
    <x v="1"/>
    <x v="6"/>
    <x v="7"/>
  </r>
  <r>
    <s v="CLM102356"/>
    <s v="PT12962"/>
    <s v="P07"/>
    <x v="0"/>
    <x v="4"/>
    <n v="1"/>
    <d v="2026-09-17T00:00:00"/>
    <d v="2026-09-20T00:00:00"/>
    <n v="37.08"/>
    <m/>
    <m/>
    <m/>
    <s v="Pending"/>
    <s v=""/>
    <m/>
    <m/>
    <n v="38"/>
    <n v="0.28000000000000003"/>
    <n v="10.64"/>
    <s v=""/>
    <x v="2"/>
    <x v="3"/>
    <x v="8"/>
  </r>
  <r>
    <s v="CLM102357"/>
    <s v="PT11327"/>
    <s v="P02"/>
    <x v="3"/>
    <x v="3"/>
    <n v="20"/>
    <d v="2026-01-15T00:00:00"/>
    <d v="2026-01-20T00:00:00"/>
    <n v="29192.61"/>
    <n v="12546.32"/>
    <n v="11291.69"/>
    <n v="1254.6300000000001"/>
    <s v="Paid"/>
    <s v=""/>
    <d v="2026-03-19T00:00:00"/>
    <d v="2026-03-19T00:00:00"/>
    <n v="1450"/>
    <n v="0.43"/>
    <n v="12470"/>
    <n v="-76.319999999999709"/>
    <x v="0"/>
    <x v="6"/>
    <x v="5"/>
  </r>
  <r>
    <s v="CLM102358"/>
    <s v="PT10186"/>
    <s v="P04"/>
    <x v="3"/>
    <x v="3"/>
    <n v="30"/>
    <d v="2026-04-28T00:00:00"/>
    <d v="2026-05-02T00:00:00"/>
    <n v="44431.44"/>
    <n v="15918.05"/>
    <n v="14326.24"/>
    <n v="1591.81"/>
    <s v="Paid"/>
    <s v=""/>
    <d v="2026-05-21T00:00:00"/>
    <d v="2026-05-21T00:00:00"/>
    <n v="1450"/>
    <n v="0.36"/>
    <n v="15660"/>
    <n v="-258.04999999999927"/>
    <x v="0"/>
    <x v="1"/>
    <x v="10"/>
  </r>
  <r>
    <s v="CLM102359"/>
    <s v="PT13283"/>
    <s v="P05"/>
    <x v="1"/>
    <x v="4"/>
    <n v="1"/>
    <d v="2026-02-13T00:00:00"/>
    <d v="2026-02-20T00:00:00"/>
    <n v="38.909999999999997"/>
    <n v="14.75"/>
    <n v="13.27"/>
    <n v="1.48"/>
    <s v="Paid"/>
    <s v=""/>
    <d v="2026-04-06T00:00:00"/>
    <d v="2026-04-06T00:00:00"/>
    <n v="38"/>
    <n v="0.38"/>
    <n v="14.44"/>
    <n v="-0.3100000000000005"/>
    <x v="0"/>
    <x v="0"/>
    <x v="0"/>
  </r>
  <r>
    <s v="CLM102360"/>
    <s v="PT11325"/>
    <s v="P08"/>
    <x v="0"/>
    <x v="8"/>
    <n v="1"/>
    <d v="2025-12-06T00:00:00"/>
    <d v="2025-12-22T00:00:00"/>
    <n v="257.35000000000002"/>
    <m/>
    <m/>
    <m/>
    <s v="Pending"/>
    <s v=""/>
    <m/>
    <m/>
    <n v="260"/>
    <n v="1"/>
    <n v="260"/>
    <s v=""/>
    <x v="2"/>
    <x v="7"/>
    <x v="6"/>
  </r>
  <r>
    <s v="CLM102361"/>
    <s v="PT11001"/>
    <s v="P03"/>
    <x v="2"/>
    <x v="9"/>
    <n v="2"/>
    <d v="2025-12-28T00:00:00"/>
    <d v="2025-12-30T00:00:00"/>
    <n v="118.61"/>
    <m/>
    <m/>
    <m/>
    <s v="Denied"/>
    <s v="CO-27"/>
    <d v="2026-02-01T00:00:00"/>
    <m/>
    <n v="58"/>
    <n v="0.47"/>
    <n v="54.52"/>
    <s v=""/>
    <x v="2"/>
    <x v="4"/>
    <x v="6"/>
  </r>
  <r>
    <s v="CLM102362"/>
    <s v="PT10325"/>
    <s v="P05"/>
    <x v="0"/>
    <x v="0"/>
    <n v="1"/>
    <d v="2026-01-09T00:00:00"/>
    <d v="2026-01-11T00:00:00"/>
    <n v="143.46"/>
    <m/>
    <m/>
    <m/>
    <s v="Denied"/>
    <s v="CO-18"/>
    <d v="2026-03-02T00:00:00"/>
    <m/>
    <n v="145"/>
    <n v="0.38"/>
    <n v="55.1"/>
    <s v=""/>
    <x v="2"/>
    <x v="0"/>
    <x v="5"/>
  </r>
  <r>
    <s v="CLM102363"/>
    <s v="PT10603"/>
    <s v="P04"/>
    <x v="1"/>
    <x v="1"/>
    <n v="1"/>
    <d v="2026-08-04T00:00:00"/>
    <d v="2026-08-18T00:00:00"/>
    <n v="237.6"/>
    <n v="77.78"/>
    <n v="70"/>
    <n v="7.78"/>
    <s v="Paid"/>
    <s v=""/>
    <d v="2026-09-05T00:00:00"/>
    <d v="2026-09-05T00:00:00"/>
    <n v="240"/>
    <n v="0.36"/>
    <n v="86.4"/>
    <n v="8.6200000000000045"/>
    <x v="1"/>
    <x v="1"/>
    <x v="4"/>
  </r>
  <r>
    <s v="CLM102364"/>
    <s v="PT10211"/>
    <s v="P03"/>
    <x v="2"/>
    <x v="0"/>
    <n v="1"/>
    <d v="2026-03-29T00:00:00"/>
    <d v="2026-07-15T00:00:00"/>
    <n v="145.21"/>
    <m/>
    <m/>
    <m/>
    <s v="Denied"/>
    <s v="CO-29"/>
    <d v="2026-08-09T00:00:00"/>
    <m/>
    <n v="145"/>
    <n v="0.47"/>
    <n v="68.150000000000006"/>
    <s v=""/>
    <x v="2"/>
    <x v="4"/>
    <x v="2"/>
  </r>
  <r>
    <s v="CLM102365"/>
    <s v="PT10952"/>
    <s v="P03"/>
    <x v="2"/>
    <x v="0"/>
    <n v="1"/>
    <d v="2026-02-07T00:00:00"/>
    <d v="2026-02-09T00:00:00"/>
    <n v="143.30000000000001"/>
    <n v="67.89"/>
    <n v="67.89"/>
    <n v="0"/>
    <s v="Paid"/>
    <s v=""/>
    <d v="2026-03-07T00:00:00"/>
    <d v="2026-03-07T00:00:00"/>
    <n v="145"/>
    <n v="0.47"/>
    <n v="68.150000000000006"/>
    <n v="0.26000000000000512"/>
    <x v="0"/>
    <x v="4"/>
    <x v="0"/>
  </r>
  <r>
    <s v="CLM102366"/>
    <s v="PT11837"/>
    <s v="P05"/>
    <x v="1"/>
    <x v="8"/>
    <n v="1"/>
    <d v="2025-12-17T00:00:00"/>
    <d v="2025-12-19T00:00:00"/>
    <n v="255.26"/>
    <n v="85.15"/>
    <n v="85.15"/>
    <n v="0"/>
    <s v="Paid"/>
    <s v=""/>
    <d v="2026-01-25T00:00:00"/>
    <d v="2026-01-25T00:00:00"/>
    <n v="260"/>
    <n v="0.38"/>
    <n v="98.8"/>
    <n v="13.649999999999991"/>
    <x v="1"/>
    <x v="0"/>
    <x v="6"/>
  </r>
  <r>
    <s v="CLM102367"/>
    <s v="PT12204"/>
    <s v="P07"/>
    <x v="2"/>
    <x v="2"/>
    <n v="1"/>
    <d v="2026-03-04T00:00:00"/>
    <d v="2026-03-07T00:00:00"/>
    <n v="63.36"/>
    <m/>
    <m/>
    <m/>
    <s v="Denied"/>
    <s v="CO-27"/>
    <d v="2026-05-07T00:00:00"/>
    <m/>
    <n v="62"/>
    <n v="0.28000000000000003"/>
    <n v="17.36"/>
    <s v=""/>
    <x v="2"/>
    <x v="3"/>
    <x v="2"/>
  </r>
  <r>
    <s v="CLM102368"/>
    <s v="PT12662"/>
    <s v="P03"/>
    <x v="2"/>
    <x v="0"/>
    <n v="1"/>
    <d v="2026-06-11T00:00:00"/>
    <d v="2026-06-14T00:00:00"/>
    <n v="142.96"/>
    <n v="62.77"/>
    <n v="56.49"/>
    <n v="6.28"/>
    <s v="Paid"/>
    <s v=""/>
    <d v="2026-08-11T00:00:00"/>
    <d v="2026-08-11T00:00:00"/>
    <n v="145"/>
    <n v="0.47"/>
    <n v="68.150000000000006"/>
    <n v="5.3800000000000026"/>
    <x v="1"/>
    <x v="4"/>
    <x v="11"/>
  </r>
  <r>
    <s v="CLM102370"/>
    <s v="PT10092"/>
    <s v="P05"/>
    <x v="2"/>
    <x v="9"/>
    <n v="1"/>
    <d v="2026-02-07T00:00:00"/>
    <d v="2026-02-14T00:00:00"/>
    <n v="59.61"/>
    <n v="23.21"/>
    <n v="23.21"/>
    <n v="0"/>
    <s v="Paid"/>
    <s v=""/>
    <d v="2026-04-04T00:00:00"/>
    <d v="2026-04-04T00:00:00"/>
    <n v="58"/>
    <n v="0.38"/>
    <n v="22.04"/>
    <n v="-1.1700000000000017"/>
    <x v="0"/>
    <x v="0"/>
    <x v="0"/>
  </r>
  <r>
    <s v="CLM102371"/>
    <s v="PT10850"/>
    <s v="P03"/>
    <x v="2"/>
    <x v="9"/>
    <n v="1"/>
    <d v="2026-03-31T00:00:00"/>
    <d v="2026-04-03T00:00:00"/>
    <n v="57.33"/>
    <m/>
    <m/>
    <m/>
    <s v="Denied"/>
    <s v="CO-16"/>
    <d v="2026-05-28T00:00:00"/>
    <m/>
    <n v="58"/>
    <n v="0.47"/>
    <n v="27.26"/>
    <s v=""/>
    <x v="2"/>
    <x v="4"/>
    <x v="2"/>
  </r>
  <r>
    <s v="CLM102372"/>
    <s v="PT12973"/>
    <s v="P04"/>
    <x v="1"/>
    <x v="1"/>
    <n v="1"/>
    <d v="2025-10-17T00:00:00"/>
    <d v="2025-10-18T00:00:00"/>
    <n v="242.06"/>
    <n v="93.61"/>
    <n v="84.25"/>
    <n v="9.36"/>
    <s v="Paid"/>
    <s v=""/>
    <d v="2025-11-06T00:00:00"/>
    <d v="2025-11-06T00:00:00"/>
    <n v="240"/>
    <n v="0.36"/>
    <n v="86.4"/>
    <n v="-7.2099999999999937"/>
    <x v="0"/>
    <x v="1"/>
    <x v="9"/>
  </r>
  <r>
    <s v="CLM102373"/>
    <s v="PT11496"/>
    <s v="P05"/>
    <x v="0"/>
    <x v="7"/>
    <n v="1"/>
    <d v="2026-02-12T00:00:00"/>
    <d v="2026-02-15T00:00:00"/>
    <n v="208.03"/>
    <n v="75.45"/>
    <n v="60.36"/>
    <n v="15.09"/>
    <s v="Paid"/>
    <s v=""/>
    <d v="2026-03-24T00:00:00"/>
    <d v="2026-03-24T00:00:00"/>
    <n v="210"/>
    <n v="0.38"/>
    <n v="79.8"/>
    <n v="4.3499999999999943"/>
    <x v="1"/>
    <x v="0"/>
    <x v="0"/>
  </r>
  <r>
    <s v="CLM102374"/>
    <s v="PT10055"/>
    <s v="P07"/>
    <x v="1"/>
    <x v="7"/>
    <n v="1"/>
    <d v="2026-09-12T00:00:00"/>
    <d v="2026-09-15T00:00:00"/>
    <n v="205.34"/>
    <m/>
    <m/>
    <m/>
    <s v="Pending"/>
    <s v=""/>
    <m/>
    <m/>
    <n v="210"/>
    <n v="0.28000000000000003"/>
    <n v="58.8"/>
    <s v=""/>
    <x v="2"/>
    <x v="3"/>
    <x v="8"/>
  </r>
  <r>
    <s v="CLM102375"/>
    <s v="PT13377"/>
    <s v="P02"/>
    <x v="2"/>
    <x v="2"/>
    <n v="3"/>
    <d v="2025-10-15T00:00:00"/>
    <d v="2025-10-16T00:00:00"/>
    <n v="188.64"/>
    <n v="82.77"/>
    <n v="74.489999999999995"/>
    <n v="8.2799999999999994"/>
    <s v="Paid"/>
    <s v=""/>
    <d v="2025-11-09T00:00:00"/>
    <d v="2025-11-09T00:00:00"/>
    <n v="62"/>
    <n v="0.43"/>
    <n v="79.98"/>
    <n v="-2.789999999999992"/>
    <x v="0"/>
    <x v="6"/>
    <x v="9"/>
  </r>
  <r>
    <s v="CLM102376"/>
    <s v="PT12057"/>
    <s v="P04"/>
    <x v="0"/>
    <x v="0"/>
    <n v="1"/>
    <d v="2026-08-03T00:00:00"/>
    <d v="2026-08-07T00:00:00"/>
    <n v="145.02000000000001"/>
    <n v="49.19"/>
    <n v="44.27"/>
    <n v="4.92"/>
    <s v="Paid"/>
    <s v=""/>
    <d v="2026-08-30T00:00:00"/>
    <d v="2026-08-30T00:00:00"/>
    <n v="145"/>
    <n v="0.36"/>
    <n v="52.2"/>
    <n v="3.0100000000000051"/>
    <x v="1"/>
    <x v="1"/>
    <x v="4"/>
  </r>
  <r>
    <s v="CLM102377"/>
    <s v="PT10380"/>
    <s v="P06"/>
    <x v="1"/>
    <x v="10"/>
    <n v="1"/>
    <d v="2026-02-19T00:00:00"/>
    <d v="2026-02-20T00:00:00"/>
    <n v="1043.81"/>
    <n v="279.23"/>
    <n v="223.38"/>
    <n v="55.85"/>
    <s v="Paid"/>
    <s v=""/>
    <d v="2026-04-08T00:00:00"/>
    <d v="2026-04-08T00:00:00"/>
    <n v="1050"/>
    <n v="0.27"/>
    <n v="283.5"/>
    <n v="4.2699999999999818"/>
    <x v="0"/>
    <x v="2"/>
    <x v="0"/>
  </r>
  <r>
    <s v="CLM102378"/>
    <s v="PT13415"/>
    <s v="P03"/>
    <x v="0"/>
    <x v="4"/>
    <n v="1"/>
    <d v="2026-09-08T00:00:00"/>
    <d v="2026-09-14T00:00:00"/>
    <n v="36.86"/>
    <m/>
    <m/>
    <m/>
    <s v="Pending"/>
    <s v=""/>
    <m/>
    <m/>
    <n v="38"/>
    <n v="0.47"/>
    <n v="17.86"/>
    <s v=""/>
    <x v="2"/>
    <x v="4"/>
    <x v="8"/>
  </r>
  <r>
    <s v="CLM102379"/>
    <s v="PT10068"/>
    <s v="P05"/>
    <x v="0"/>
    <x v="7"/>
    <n v="1"/>
    <d v="2025-10-09T00:00:00"/>
    <d v="2025-10-14T00:00:00"/>
    <n v="213.03"/>
    <n v="77.510000000000005"/>
    <n v="69.760000000000005"/>
    <n v="7.75"/>
    <s v="Paid"/>
    <s v=""/>
    <d v="2025-11-07T00:00:00"/>
    <d v="2025-11-07T00:00:00"/>
    <n v="210"/>
    <n v="0.38"/>
    <n v="79.8"/>
    <n v="2.289999999999992"/>
    <x v="0"/>
    <x v="0"/>
    <x v="9"/>
  </r>
  <r>
    <s v="CLM102380"/>
    <s v="PT10071"/>
    <s v="P02"/>
    <x v="0"/>
    <x v="0"/>
    <n v="1"/>
    <d v="2025-12-24T00:00:00"/>
    <d v="2025-12-29T00:00:00"/>
    <n v="146.75"/>
    <m/>
    <m/>
    <m/>
    <s v="Denied"/>
    <s v="CO-16"/>
    <d v="2026-01-09T00:00:00"/>
    <m/>
    <n v="145"/>
    <n v="0.43"/>
    <n v="62.35"/>
    <s v=""/>
    <x v="2"/>
    <x v="6"/>
    <x v="6"/>
  </r>
  <r>
    <s v="CLM102381"/>
    <s v="PT10997"/>
    <s v="P02"/>
    <x v="2"/>
    <x v="2"/>
    <n v="1"/>
    <d v="2026-03-31T00:00:00"/>
    <d v="2026-04-01T00:00:00"/>
    <n v="60.94"/>
    <m/>
    <m/>
    <m/>
    <s v="Denied"/>
    <s v="CO-27"/>
    <d v="2026-05-03T00:00:00"/>
    <m/>
    <n v="62"/>
    <n v="0.43"/>
    <n v="26.66"/>
    <s v=""/>
    <x v="2"/>
    <x v="6"/>
    <x v="2"/>
  </r>
  <r>
    <s v="CLM102382"/>
    <s v="PT13056"/>
    <s v="P01"/>
    <x v="3"/>
    <x v="6"/>
    <n v="1"/>
    <d v="2026-05-22T00:00:00"/>
    <d v="2026-05-24T00:00:00"/>
    <n v="414.94"/>
    <n v="168.6"/>
    <n v="168.6"/>
    <n v="0"/>
    <s v="Paid"/>
    <s v=""/>
    <d v="2026-06-15T00:00:00"/>
    <d v="2026-06-15T00:00:00"/>
    <n v="420"/>
    <n v="0.45"/>
    <n v="189"/>
    <n v="20.400000000000006"/>
    <x v="1"/>
    <x v="5"/>
    <x v="7"/>
  </r>
  <r>
    <s v="CLM102383"/>
    <s v="PT13091"/>
    <s v="P07"/>
    <x v="2"/>
    <x v="2"/>
    <n v="3"/>
    <d v="2026-01-24T00:00:00"/>
    <d v="2026-01-26T00:00:00"/>
    <n v="185.79"/>
    <m/>
    <m/>
    <m/>
    <s v="Denied"/>
    <s v="CO-18"/>
    <d v="2026-03-18T00:00:00"/>
    <m/>
    <n v="62"/>
    <n v="0.28000000000000003"/>
    <n v="52.08"/>
    <s v=""/>
    <x v="2"/>
    <x v="3"/>
    <x v="5"/>
  </r>
  <r>
    <s v="CLM102384"/>
    <s v="PT12105"/>
    <s v="P03"/>
    <x v="0"/>
    <x v="4"/>
    <n v="1"/>
    <d v="2025-11-18T00:00:00"/>
    <d v="2025-12-02T00:00:00"/>
    <n v="37.32"/>
    <n v="15.31"/>
    <n v="13.78"/>
    <n v="1.53"/>
    <s v="Paid"/>
    <s v=""/>
    <d v="2026-01-15T00:00:00"/>
    <d v="2026-01-15T00:00:00"/>
    <n v="38"/>
    <n v="0.47"/>
    <n v="17.86"/>
    <n v="2.5499999999999989"/>
    <x v="1"/>
    <x v="4"/>
    <x v="3"/>
  </r>
  <r>
    <s v="CLM102385"/>
    <s v="PT12159"/>
    <s v="P07"/>
    <x v="0"/>
    <x v="8"/>
    <n v="1"/>
    <d v="2026-05-03T00:00:00"/>
    <d v="2026-05-07T00:00:00"/>
    <n v="264.25"/>
    <m/>
    <m/>
    <m/>
    <s v="Denied"/>
    <s v="CO-16"/>
    <d v="2026-07-04T00:00:00"/>
    <m/>
    <n v="260"/>
    <n v="0.28000000000000003"/>
    <n v="72.8"/>
    <s v=""/>
    <x v="2"/>
    <x v="3"/>
    <x v="7"/>
  </r>
  <r>
    <s v="CLM102386"/>
    <s v="PT12891"/>
    <s v="P05"/>
    <x v="0"/>
    <x v="7"/>
    <n v="1"/>
    <d v="2026-06-08T00:00:00"/>
    <d v="2026-06-10T00:00:00"/>
    <n v="210.63"/>
    <n v="88.25"/>
    <n v="79.42"/>
    <n v="8.83"/>
    <s v="Paid"/>
    <s v=""/>
    <d v="2026-08-20T00:00:00"/>
    <d v="2026-08-20T00:00:00"/>
    <n v="210"/>
    <n v="0.38"/>
    <n v="79.8"/>
    <n v="-8.4500000000000028"/>
    <x v="0"/>
    <x v="0"/>
    <x v="11"/>
  </r>
  <r>
    <s v="CLM102387"/>
    <s v="PT11413"/>
    <s v="P07"/>
    <x v="2"/>
    <x v="2"/>
    <n v="2"/>
    <d v="2026-07-11T00:00:00"/>
    <d v="2026-07-18T00:00:00"/>
    <n v="122.74"/>
    <n v="30.1"/>
    <n v="24.08"/>
    <n v="6.02"/>
    <s v="Paid"/>
    <s v=""/>
    <d v="2026-09-25T00:00:00"/>
    <d v="2026-09-25T00:00:00"/>
    <n v="62"/>
    <n v="0.28000000000000003"/>
    <n v="34.72"/>
    <n v="4.6199999999999974"/>
    <x v="1"/>
    <x v="3"/>
    <x v="1"/>
  </r>
  <r>
    <s v="CLM102388"/>
    <s v="PT12999"/>
    <s v="P01"/>
    <x v="3"/>
    <x v="3"/>
    <n v="5"/>
    <d v="2026-01-14T00:00:00"/>
    <d v="2026-01-16T00:00:00"/>
    <n v="7288.1"/>
    <n v="3353.05"/>
    <n v="3353.05"/>
    <n v="0"/>
    <s v="Paid"/>
    <s v=""/>
    <d v="2026-01-31T00:00:00"/>
    <d v="2026-01-31T00:00:00"/>
    <n v="1450"/>
    <n v="0.45"/>
    <n v="3262.5"/>
    <n v="-90.550000000000182"/>
    <x v="0"/>
    <x v="5"/>
    <x v="5"/>
  </r>
  <r>
    <s v="CLM102389"/>
    <s v="PT12485"/>
    <s v="P08"/>
    <x v="1"/>
    <x v="7"/>
    <n v="1"/>
    <d v="2025-11-03T00:00:00"/>
    <d v="2025-11-12T00:00:00"/>
    <n v="214.02"/>
    <m/>
    <m/>
    <m/>
    <s v="Pending"/>
    <s v=""/>
    <m/>
    <m/>
    <n v="210"/>
    <n v="1"/>
    <n v="210"/>
    <s v=""/>
    <x v="2"/>
    <x v="7"/>
    <x v="3"/>
  </r>
  <r>
    <s v="CLM102390"/>
    <s v="PT10710"/>
    <s v="P02"/>
    <x v="2"/>
    <x v="2"/>
    <n v="1"/>
    <d v="2025-12-20T00:00:00"/>
    <d v="2025-12-29T00:00:00"/>
    <n v="62.7"/>
    <n v="24.65"/>
    <n v="24.65"/>
    <n v="0"/>
    <s v="Paid"/>
    <s v=""/>
    <d v="2026-01-30T00:00:00"/>
    <d v="2026-01-30T00:00:00"/>
    <n v="62"/>
    <n v="0.43"/>
    <n v="26.66"/>
    <n v="2.0100000000000016"/>
    <x v="1"/>
    <x v="6"/>
    <x v="6"/>
  </r>
  <r>
    <s v="CLM102391"/>
    <s v="PT11021"/>
    <s v="P01"/>
    <x v="1"/>
    <x v="11"/>
    <n v="1"/>
    <d v="2026-01-07T00:00:00"/>
    <d v="2026-01-26T00:00:00"/>
    <n v="1135.8699999999999"/>
    <n v="495.49"/>
    <n v="495.49"/>
    <n v="0"/>
    <s v="Paid"/>
    <s v=""/>
    <d v="2026-02-20T00:00:00"/>
    <d v="2026-02-20T00:00:00"/>
    <n v="1150"/>
    <n v="0.45"/>
    <n v="517.5"/>
    <n v="22.009999999999991"/>
    <x v="0"/>
    <x v="5"/>
    <x v="5"/>
  </r>
  <r>
    <s v="CLM102392"/>
    <s v="PT11842"/>
    <s v="P02"/>
    <x v="1"/>
    <x v="4"/>
    <n v="1"/>
    <d v="2026-01-09T00:00:00"/>
    <d v="2026-01-22T00:00:00"/>
    <n v="38.799999999999997"/>
    <n v="14.21"/>
    <n v="14.21"/>
    <n v="0"/>
    <s v="Paid"/>
    <s v=""/>
    <d v="2026-03-02T00:00:00"/>
    <d v="2026-03-02T00:00:00"/>
    <n v="38"/>
    <n v="0.43"/>
    <n v="16.34"/>
    <n v="2.129999999999999"/>
    <x v="1"/>
    <x v="6"/>
    <x v="5"/>
  </r>
  <r>
    <s v="CLM102393"/>
    <s v="PT12718"/>
    <s v="P05"/>
    <x v="0"/>
    <x v="0"/>
    <n v="1"/>
    <d v="2025-11-21T00:00:00"/>
    <d v="2025-11-25T00:00:00"/>
    <n v="148.43"/>
    <n v="55.14"/>
    <n v="49.63"/>
    <n v="5.51"/>
    <s v="Paid"/>
    <s v=""/>
    <d v="2026-01-20T00:00:00"/>
    <d v="2026-01-20T00:00:00"/>
    <n v="145"/>
    <n v="0.38"/>
    <n v="55.1"/>
    <n v="-3.9999999999999147E-2"/>
    <x v="0"/>
    <x v="0"/>
    <x v="3"/>
  </r>
  <r>
    <s v="CLM102395"/>
    <s v="PT11397"/>
    <s v="P01"/>
    <x v="1"/>
    <x v="11"/>
    <n v="1"/>
    <d v="2026-07-13T00:00:00"/>
    <d v="2026-07-14T00:00:00"/>
    <n v="1166.7"/>
    <n v="466.44"/>
    <n v="419.8"/>
    <n v="46.64"/>
    <s v="Paid"/>
    <s v=""/>
    <d v="2026-08-26T00:00:00"/>
    <d v="2026-08-26T00:00:00"/>
    <n v="1150"/>
    <n v="0.45"/>
    <n v="517.5"/>
    <n v="51.06"/>
    <x v="1"/>
    <x v="5"/>
    <x v="1"/>
  </r>
  <r>
    <s v="CLM102396"/>
    <s v="PT12845"/>
    <s v="P02"/>
    <x v="1"/>
    <x v="10"/>
    <n v="1"/>
    <d v="2025-11-12T00:00:00"/>
    <d v="2025-11-22T00:00:00"/>
    <n v="1077.4000000000001"/>
    <n v="392.22"/>
    <n v="392.22"/>
    <n v="0"/>
    <s v="Paid"/>
    <s v=""/>
    <d v="2025-12-16T00:00:00"/>
    <d v="2025-12-16T00:00:00"/>
    <n v="1050"/>
    <n v="0.43"/>
    <n v="451.5"/>
    <n v="59.279999999999973"/>
    <x v="1"/>
    <x v="6"/>
    <x v="3"/>
  </r>
  <r>
    <s v="CLM102397"/>
    <s v="PT10655"/>
    <s v="P02"/>
    <x v="3"/>
    <x v="7"/>
    <n v="1"/>
    <d v="2026-08-12T00:00:00"/>
    <d v="2026-08-13T00:00:00"/>
    <n v="204.88"/>
    <n v="96.86"/>
    <n v="96.86"/>
    <n v="0"/>
    <s v="Paid"/>
    <s v=""/>
    <d v="2026-09-10T00:00:00"/>
    <d v="2026-09-10T00:00:00"/>
    <n v="210"/>
    <n v="0.43"/>
    <n v="90.3"/>
    <n v="-6.5600000000000023"/>
    <x v="0"/>
    <x v="6"/>
    <x v="4"/>
  </r>
  <r>
    <s v="CLM102398"/>
    <s v="PT12592"/>
    <s v="P06"/>
    <x v="3"/>
    <x v="3"/>
    <n v="30"/>
    <d v="2025-12-03T00:00:00"/>
    <d v="2025-12-06T00:00:00"/>
    <n v="43592.78"/>
    <n v="10400.34"/>
    <n v="10400.34"/>
    <n v="0"/>
    <s v="Paid"/>
    <s v=""/>
    <d v="2025-12-31T00:00:00"/>
    <d v="2025-12-31T00:00:00"/>
    <n v="1450"/>
    <n v="0.27"/>
    <n v="11745"/>
    <n v="1344.6599999999999"/>
    <x v="1"/>
    <x v="2"/>
    <x v="6"/>
  </r>
  <r>
    <s v="CLM102399"/>
    <s v="PT12033"/>
    <s v="P07"/>
    <x v="2"/>
    <x v="9"/>
    <n v="1"/>
    <d v="2026-04-24T00:00:00"/>
    <d v="2026-04-26T00:00:00"/>
    <n v="58.52"/>
    <n v="18.64"/>
    <n v="16.78"/>
    <n v="1.86"/>
    <s v="Paid"/>
    <s v=""/>
    <d v="2026-07-07T00:00:00"/>
    <d v="2026-07-07T00:00:00"/>
    <n v="58"/>
    <n v="0.28000000000000003"/>
    <n v="16.239999999999998"/>
    <n v="-2.4000000000000021"/>
    <x v="0"/>
    <x v="3"/>
    <x v="10"/>
  </r>
  <r>
    <s v="CLM102400"/>
    <s v="PT12016"/>
    <s v="P05"/>
    <x v="0"/>
    <x v="0"/>
    <n v="1"/>
    <d v="2025-10-06T00:00:00"/>
    <d v="2025-10-08T00:00:00"/>
    <n v="143.65"/>
    <n v="57.24"/>
    <n v="51.52"/>
    <n v="5.72"/>
    <s v="Paid"/>
    <s v=""/>
    <d v="2025-11-30T00:00:00"/>
    <d v="2025-11-30T00:00:00"/>
    <n v="145"/>
    <n v="0.38"/>
    <n v="55.1"/>
    <n v="-2.1400000000000006"/>
    <x v="0"/>
    <x v="0"/>
    <x v="9"/>
  </r>
  <r>
    <s v="CLM102401"/>
    <s v="PT12289"/>
    <s v="P04"/>
    <x v="1"/>
    <x v="7"/>
    <n v="1"/>
    <d v="2026-05-22T00:00:00"/>
    <d v="2026-05-23T00:00:00"/>
    <n v="204.32"/>
    <n v="63.18"/>
    <n v="56.86"/>
    <n v="6.32"/>
    <s v="Paid"/>
    <s v=""/>
    <d v="2026-06-06T00:00:00"/>
    <d v="2026-06-06T00:00:00"/>
    <n v="210"/>
    <n v="0.36"/>
    <n v="75.599999999999994"/>
    <n v="12.419999999999995"/>
    <x v="1"/>
    <x v="1"/>
    <x v="7"/>
  </r>
  <r>
    <s v="CLM102402"/>
    <s v="PT10361"/>
    <s v="P05"/>
    <x v="1"/>
    <x v="10"/>
    <n v="1"/>
    <d v="2026-02-08T00:00:00"/>
    <d v="2026-02-12T00:00:00"/>
    <n v="1069.22"/>
    <n v="363.78"/>
    <n v="327.39999999999998"/>
    <n v="36.380000000000003"/>
    <s v="Paid"/>
    <s v=""/>
    <d v="2026-03-22T00:00:00"/>
    <d v="2026-03-22T00:00:00"/>
    <n v="1050"/>
    <n v="0.38"/>
    <n v="399"/>
    <n v="35.220000000000027"/>
    <x v="1"/>
    <x v="0"/>
    <x v="0"/>
  </r>
  <r>
    <s v="CLM102403"/>
    <s v="PT10065"/>
    <s v="P07"/>
    <x v="1"/>
    <x v="7"/>
    <n v="1"/>
    <d v="2025-10-23T00:00:00"/>
    <d v="2025-11-14T00:00:00"/>
    <n v="207.87"/>
    <n v="63.46"/>
    <n v="50.77"/>
    <n v="12.69"/>
    <s v="Paid"/>
    <s v=""/>
    <d v="2026-02-24T00:00:00"/>
    <d v="2026-02-24T00:00:00"/>
    <n v="210"/>
    <n v="0.28000000000000003"/>
    <n v="58.8"/>
    <n v="-4.6600000000000037"/>
    <x v="0"/>
    <x v="3"/>
    <x v="9"/>
  </r>
  <r>
    <s v="CLM102404"/>
    <s v="PT11954"/>
    <s v="P02"/>
    <x v="2"/>
    <x v="2"/>
    <n v="1"/>
    <d v="2025-10-15T00:00:00"/>
    <d v="2025-10-23T00:00:00"/>
    <n v="63.08"/>
    <n v="25.78"/>
    <n v="23.2"/>
    <n v="2.58"/>
    <s v="Paid"/>
    <s v=""/>
    <d v="2025-11-27T00:00:00"/>
    <d v="2025-11-27T00:00:00"/>
    <n v="62"/>
    <n v="0.43"/>
    <n v="26.66"/>
    <n v="0.87999999999999901"/>
    <x v="0"/>
    <x v="6"/>
    <x v="9"/>
  </r>
  <r>
    <s v="CLM102405"/>
    <s v="PT11784"/>
    <s v="P02"/>
    <x v="1"/>
    <x v="5"/>
    <n v="1"/>
    <d v="2026-08-07T00:00:00"/>
    <d v="2026-08-08T00:00:00"/>
    <n v="4934.22"/>
    <n v="1950.03"/>
    <n v="1755.03"/>
    <n v="195"/>
    <s v="Paid"/>
    <s v=""/>
    <d v="2026-09-18T00:00:00"/>
    <d v="2026-09-18T00:00:00"/>
    <n v="4800"/>
    <n v="0.43"/>
    <n v="2064"/>
    <n v="113.97000000000003"/>
    <x v="1"/>
    <x v="6"/>
    <x v="4"/>
  </r>
  <r>
    <s v="CLM102406"/>
    <s v="PT10903"/>
    <s v="P01"/>
    <x v="0"/>
    <x v="8"/>
    <n v="1"/>
    <d v="2025-11-18T00:00:00"/>
    <d v="2025-11-20T00:00:00"/>
    <n v="266.25"/>
    <n v="117.26"/>
    <n v="117.26"/>
    <n v="0"/>
    <s v="Paid"/>
    <s v=""/>
    <d v="2025-12-22T00:00:00"/>
    <d v="2025-12-22T00:00:00"/>
    <n v="260"/>
    <n v="0.45"/>
    <n v="117"/>
    <n v="-0.26000000000000512"/>
    <x v="0"/>
    <x v="5"/>
    <x v="3"/>
  </r>
  <r>
    <s v="CLM102407"/>
    <s v="PT10303"/>
    <s v="P04"/>
    <x v="0"/>
    <x v="4"/>
    <n v="1"/>
    <d v="2026-06-19T00:00:00"/>
    <d v="2026-06-28T00:00:00"/>
    <n v="37.869999999999997"/>
    <n v="14.47"/>
    <n v="14.47"/>
    <n v="0"/>
    <s v="Paid"/>
    <s v=""/>
    <d v="2026-07-22T00:00:00"/>
    <d v="2026-07-22T00:00:00"/>
    <n v="38"/>
    <n v="0.36"/>
    <n v="13.68"/>
    <n v="-0.79000000000000092"/>
    <x v="0"/>
    <x v="1"/>
    <x v="11"/>
  </r>
  <r>
    <s v="CLM102408"/>
    <s v="PT10361"/>
    <s v="P08"/>
    <x v="1"/>
    <x v="4"/>
    <n v="1"/>
    <d v="2026-05-02T00:00:00"/>
    <d v="2026-05-11T00:00:00"/>
    <n v="38.340000000000003"/>
    <n v="38.340000000000003"/>
    <n v="38.340000000000003"/>
    <n v="0"/>
    <s v="Paid"/>
    <s v=""/>
    <d v="2026-07-08T00:00:00"/>
    <d v="2026-07-08T00:00:00"/>
    <n v="38"/>
    <n v="1"/>
    <n v="38"/>
    <n v="-0.34000000000000341"/>
    <x v="0"/>
    <x v="7"/>
    <x v="7"/>
  </r>
  <r>
    <s v="CLM102409"/>
    <s v="PT10877"/>
    <s v="P07"/>
    <x v="2"/>
    <x v="0"/>
    <n v="1"/>
    <d v="2026-07-12T00:00:00"/>
    <d v="2026-07-23T00:00:00"/>
    <n v="143.97999999999999"/>
    <n v="42.24"/>
    <n v="42.24"/>
    <n v="0"/>
    <s v="Paid"/>
    <s v=""/>
    <d v="2026-08-17T00:00:00"/>
    <d v="2026-08-17T00:00:00"/>
    <n v="145"/>
    <n v="0.28000000000000003"/>
    <n v="40.6"/>
    <n v="-1.6400000000000006"/>
    <x v="0"/>
    <x v="3"/>
    <x v="1"/>
  </r>
  <r>
    <s v="CLM102410"/>
    <s v="PT12294"/>
    <s v="P02"/>
    <x v="0"/>
    <x v="7"/>
    <n v="1"/>
    <d v="2026-02-09T00:00:00"/>
    <d v="2026-02-12T00:00:00"/>
    <n v="214.5"/>
    <n v="99.27"/>
    <n v="99.27"/>
    <n v="0"/>
    <s v="Paid"/>
    <s v=""/>
    <d v="2026-03-22T00:00:00"/>
    <d v="2026-03-22T00:00:00"/>
    <n v="210"/>
    <n v="0.43"/>
    <n v="90.3"/>
    <n v="-8.9699999999999989"/>
    <x v="0"/>
    <x v="6"/>
    <x v="0"/>
  </r>
  <r>
    <s v="CLM102411"/>
    <s v="PT10955"/>
    <s v="P04"/>
    <x v="1"/>
    <x v="4"/>
    <n v="1"/>
    <d v="2026-03-07T00:00:00"/>
    <d v="2026-03-12T00:00:00"/>
    <n v="37.03"/>
    <n v="13.16"/>
    <n v="11.84"/>
    <n v="1.32"/>
    <s v="Paid"/>
    <s v=""/>
    <d v="2026-03-28T00:00:00"/>
    <d v="2026-03-28T00:00:00"/>
    <n v="38"/>
    <n v="0.36"/>
    <n v="13.68"/>
    <n v="0.51999999999999957"/>
    <x v="0"/>
    <x v="1"/>
    <x v="2"/>
  </r>
  <r>
    <s v="CLM102412"/>
    <s v="PT13359"/>
    <s v="P04"/>
    <x v="1"/>
    <x v="7"/>
    <n v="1"/>
    <d v="2026-07-29T00:00:00"/>
    <d v="2026-07-30T00:00:00"/>
    <n v="208.22"/>
    <n v="74.36"/>
    <n v="74.36"/>
    <n v="0"/>
    <s v="Paid"/>
    <s v=""/>
    <d v="2026-08-16T00:00:00"/>
    <d v="2026-08-16T00:00:00"/>
    <n v="210"/>
    <n v="0.36"/>
    <n v="75.599999999999994"/>
    <n v="1.2399999999999949"/>
    <x v="0"/>
    <x v="1"/>
    <x v="1"/>
  </r>
  <r>
    <s v="CLM102413"/>
    <s v="PT13418"/>
    <s v="P01"/>
    <x v="0"/>
    <x v="7"/>
    <n v="1"/>
    <d v="2026-04-20T00:00:00"/>
    <d v="2026-04-27T00:00:00"/>
    <n v="209.92"/>
    <n v="94.77"/>
    <n v="75.819999999999993"/>
    <n v="18.95"/>
    <s v="Paid"/>
    <s v=""/>
    <d v="2026-05-09T00:00:00"/>
    <d v="2026-05-09T00:00:00"/>
    <n v="210"/>
    <n v="0.45"/>
    <n v="94.5"/>
    <n v="-0.26999999999999602"/>
    <x v="0"/>
    <x v="5"/>
    <x v="10"/>
  </r>
  <r>
    <s v="CLM102414"/>
    <s v="PT10650"/>
    <s v="P05"/>
    <x v="3"/>
    <x v="6"/>
    <n v="1"/>
    <d v="2025-12-16T00:00:00"/>
    <d v="2025-12-17T00:00:00"/>
    <n v="422.34"/>
    <n v="183.62"/>
    <n v="183.62"/>
    <n v="0"/>
    <s v="Paid"/>
    <s v=""/>
    <d v="2026-02-03T00:00:00"/>
    <d v="2026-02-03T00:00:00"/>
    <n v="420"/>
    <n v="0.38"/>
    <n v="159.6"/>
    <n v="-24.02000000000001"/>
    <x v="0"/>
    <x v="0"/>
    <x v="6"/>
  </r>
  <r>
    <s v="CLM102415"/>
    <s v="PT11404"/>
    <s v="P05"/>
    <x v="0"/>
    <x v="7"/>
    <n v="1"/>
    <d v="2025-10-01T00:00:00"/>
    <d v="2025-10-02T00:00:00"/>
    <n v="213.28"/>
    <m/>
    <m/>
    <m/>
    <s v="Denied"/>
    <s v="CO-16"/>
    <d v="2025-11-05T00:00:00"/>
    <m/>
    <n v="210"/>
    <n v="0.38"/>
    <n v="79.8"/>
    <s v=""/>
    <x v="2"/>
    <x v="0"/>
    <x v="9"/>
  </r>
  <r>
    <s v="CLM102416"/>
    <s v="PT12353"/>
    <s v="P04"/>
    <x v="0"/>
    <x v="0"/>
    <n v="1"/>
    <d v="2026-04-23T00:00:00"/>
    <d v="2026-04-30T00:00:00"/>
    <n v="143.07"/>
    <n v="59.09"/>
    <n v="53.18"/>
    <n v="5.91"/>
    <s v="Paid"/>
    <s v=""/>
    <d v="2026-05-20T00:00:00"/>
    <d v="2026-05-20T00:00:00"/>
    <n v="145"/>
    <n v="0.36"/>
    <n v="52.2"/>
    <n v="-6.8900000000000006"/>
    <x v="0"/>
    <x v="1"/>
    <x v="10"/>
  </r>
  <r>
    <s v="CLM102417"/>
    <s v="PT12456"/>
    <s v="P03"/>
    <x v="1"/>
    <x v="1"/>
    <n v="1"/>
    <d v="2025-12-15T00:00:00"/>
    <d v="2025-12-17T00:00:00"/>
    <n v="233.94"/>
    <n v="125.59"/>
    <n v="113.03"/>
    <n v="12.56"/>
    <s v="Paid"/>
    <s v=""/>
    <d v="2026-01-25T00:00:00"/>
    <d v="2026-01-25T00:00:00"/>
    <n v="240"/>
    <n v="0.47"/>
    <n v="112.8"/>
    <n v="-12.790000000000006"/>
    <x v="0"/>
    <x v="4"/>
    <x v="6"/>
  </r>
  <r>
    <s v="CLM102418"/>
    <s v="PT12605"/>
    <s v="P02"/>
    <x v="0"/>
    <x v="4"/>
    <n v="1"/>
    <d v="2026-09-28T00:00:00"/>
    <d v="2026-09-30T00:00:00"/>
    <n v="37.9"/>
    <m/>
    <m/>
    <m/>
    <s v="Pending"/>
    <s v=""/>
    <m/>
    <m/>
    <n v="38"/>
    <n v="0.43"/>
    <n v="16.34"/>
    <s v=""/>
    <x v="2"/>
    <x v="6"/>
    <x v="8"/>
  </r>
  <r>
    <s v="CLM102419"/>
    <s v="PT11053"/>
    <s v="P02"/>
    <x v="1"/>
    <x v="1"/>
    <n v="1"/>
    <d v="2025-12-20T00:00:00"/>
    <d v="2025-12-22T00:00:00"/>
    <n v="238.97"/>
    <m/>
    <m/>
    <m/>
    <s v="Denied"/>
    <s v="CO-11"/>
    <d v="2026-01-14T00:00:00"/>
    <m/>
    <n v="240"/>
    <n v="0.43"/>
    <n v="103.2"/>
    <s v=""/>
    <x v="2"/>
    <x v="6"/>
    <x v="6"/>
  </r>
  <r>
    <s v="CLM102420"/>
    <s v="PT10973"/>
    <s v="P06"/>
    <x v="1"/>
    <x v="11"/>
    <n v="1"/>
    <d v="2026-05-12T00:00:00"/>
    <d v="2026-05-13T00:00:00"/>
    <n v="1136.94"/>
    <n v="309.77999999999997"/>
    <n v="247.82"/>
    <n v="61.96"/>
    <s v="Paid"/>
    <s v=""/>
    <d v="2026-06-12T00:00:00"/>
    <d v="2026-06-12T00:00:00"/>
    <n v="1150"/>
    <n v="0.27"/>
    <n v="310.5"/>
    <n v="0.72000000000002728"/>
    <x v="0"/>
    <x v="2"/>
    <x v="7"/>
  </r>
  <r>
    <s v="CLM102421"/>
    <s v="PT13107"/>
    <s v="P07"/>
    <x v="2"/>
    <x v="2"/>
    <n v="3"/>
    <d v="2025-10-26T00:00:00"/>
    <d v="2025-10-28T00:00:00"/>
    <n v="191.08"/>
    <m/>
    <m/>
    <m/>
    <s v="Denied"/>
    <s v="CO-18"/>
    <d v="2025-12-29T00:00:00"/>
    <m/>
    <n v="62"/>
    <n v="0.28000000000000003"/>
    <n v="52.08"/>
    <s v=""/>
    <x v="2"/>
    <x v="3"/>
    <x v="9"/>
  </r>
  <r>
    <s v="CLM102422"/>
    <s v="PT11250"/>
    <s v="P01"/>
    <x v="0"/>
    <x v="7"/>
    <n v="1"/>
    <d v="2026-02-21T00:00:00"/>
    <d v="2026-02-24T00:00:00"/>
    <n v="205.52"/>
    <n v="100.88"/>
    <n v="100.88"/>
    <n v="0"/>
    <s v="Paid"/>
    <s v=""/>
    <d v="2026-03-26T00:00:00"/>
    <d v="2026-03-26T00:00:00"/>
    <n v="210"/>
    <n v="0.45"/>
    <n v="94.5"/>
    <n v="-6.3799999999999955"/>
    <x v="0"/>
    <x v="5"/>
    <x v="0"/>
  </r>
  <r>
    <s v="CLM102423"/>
    <s v="PT13295"/>
    <s v="P01"/>
    <x v="3"/>
    <x v="7"/>
    <n v="1"/>
    <d v="2026-04-14T00:00:00"/>
    <d v="2026-04-15T00:00:00"/>
    <n v="208.87"/>
    <n v="101.78"/>
    <n v="101.78"/>
    <n v="0"/>
    <s v="Paid"/>
    <s v=""/>
    <d v="2026-05-01T00:00:00"/>
    <d v="2026-05-01T00:00:00"/>
    <n v="210"/>
    <n v="0.45"/>
    <n v="94.5"/>
    <n v="-7.2800000000000011"/>
    <x v="0"/>
    <x v="5"/>
    <x v="10"/>
  </r>
  <r>
    <s v="CLM102424"/>
    <s v="PT10897"/>
    <s v="P02"/>
    <x v="0"/>
    <x v="0"/>
    <n v="1"/>
    <d v="2026-01-13T00:00:00"/>
    <d v="2026-01-15T00:00:00"/>
    <n v="142.36000000000001"/>
    <m/>
    <m/>
    <m/>
    <s v="Denied"/>
    <s v="CO-18"/>
    <d v="2026-02-21T00:00:00"/>
    <m/>
    <n v="145"/>
    <n v="0.43"/>
    <n v="62.35"/>
    <s v=""/>
    <x v="2"/>
    <x v="6"/>
    <x v="5"/>
  </r>
  <r>
    <s v="CLM102425"/>
    <s v="PT10631"/>
    <s v="P08"/>
    <x v="0"/>
    <x v="4"/>
    <n v="1"/>
    <d v="2026-06-06T00:00:00"/>
    <d v="2026-06-08T00:00:00"/>
    <n v="37.1"/>
    <m/>
    <m/>
    <m/>
    <s v="Pending"/>
    <s v=""/>
    <m/>
    <m/>
    <n v="38"/>
    <n v="1"/>
    <n v="38"/>
    <s v=""/>
    <x v="2"/>
    <x v="7"/>
    <x v="11"/>
  </r>
  <r>
    <s v="CLM102426"/>
    <s v="PT10557"/>
    <s v="P04"/>
    <x v="2"/>
    <x v="2"/>
    <n v="2"/>
    <d v="2026-05-12T00:00:00"/>
    <d v="2026-05-23T00:00:00"/>
    <n v="126.65"/>
    <n v="48.44"/>
    <n v="38.75"/>
    <n v="9.69"/>
    <s v="Paid"/>
    <s v=""/>
    <d v="2026-06-10T00:00:00"/>
    <d v="2026-06-10T00:00:00"/>
    <n v="62"/>
    <n v="0.36"/>
    <n v="44.64"/>
    <n v="-3.7999999999999972"/>
    <x v="0"/>
    <x v="1"/>
    <x v="7"/>
  </r>
  <r>
    <s v="CLM102427"/>
    <s v="PT13362"/>
    <s v="P05"/>
    <x v="1"/>
    <x v="11"/>
    <n v="1"/>
    <d v="2026-04-21T00:00:00"/>
    <d v="2026-04-29T00:00:00"/>
    <n v="1179.3399999999999"/>
    <m/>
    <m/>
    <m/>
    <s v="Denied"/>
    <s v="CO-50"/>
    <d v="2026-06-11T00:00:00"/>
    <m/>
    <n v="1150"/>
    <n v="0.38"/>
    <n v="437"/>
    <s v=""/>
    <x v="2"/>
    <x v="0"/>
    <x v="10"/>
  </r>
  <r>
    <s v="CLM102428"/>
    <s v="PT11314"/>
    <s v="P06"/>
    <x v="0"/>
    <x v="7"/>
    <n v="1"/>
    <d v="2026-04-05T00:00:00"/>
    <d v="2026-04-06T00:00:00"/>
    <n v="213"/>
    <m/>
    <m/>
    <m/>
    <s v="Denied"/>
    <s v="CO-18"/>
    <d v="2026-04-28T00:00:00"/>
    <m/>
    <n v="210"/>
    <n v="0.27"/>
    <n v="56.7"/>
    <s v=""/>
    <x v="2"/>
    <x v="2"/>
    <x v="10"/>
  </r>
  <r>
    <s v="CLM102429"/>
    <s v="PT11582"/>
    <s v="P06"/>
    <x v="2"/>
    <x v="0"/>
    <n v="1"/>
    <d v="2026-01-20T00:00:00"/>
    <d v="2026-01-28T00:00:00"/>
    <n v="145.5"/>
    <n v="43.87"/>
    <n v="43.87"/>
    <n v="0"/>
    <s v="Paid"/>
    <s v=""/>
    <d v="2026-03-04T00:00:00"/>
    <d v="2026-03-04T00:00:00"/>
    <n v="145"/>
    <n v="0.27"/>
    <n v="39.15"/>
    <n v="-4.7199999999999989"/>
    <x v="0"/>
    <x v="2"/>
    <x v="5"/>
  </r>
  <r>
    <s v="CLM102430"/>
    <s v="PT10010"/>
    <s v="P01"/>
    <x v="1"/>
    <x v="11"/>
    <n v="1"/>
    <d v="2026-08-07T00:00:00"/>
    <d v="2026-08-10T00:00:00"/>
    <n v="1141.08"/>
    <n v="479.71"/>
    <n v="383.77"/>
    <n v="95.94"/>
    <s v="Paid"/>
    <s v=""/>
    <d v="2026-09-05T00:00:00"/>
    <d v="2026-09-05T00:00:00"/>
    <n v="1150"/>
    <n v="0.45"/>
    <n v="517.5"/>
    <n v="37.79000000000002"/>
    <x v="1"/>
    <x v="5"/>
    <x v="4"/>
  </r>
  <r>
    <s v="CLM102431"/>
    <s v="PT11979"/>
    <s v="P06"/>
    <x v="0"/>
    <x v="0"/>
    <n v="1"/>
    <d v="2026-03-25T00:00:00"/>
    <d v="2026-04-01T00:00:00"/>
    <n v="141.37"/>
    <n v="39"/>
    <n v="31.2"/>
    <n v="7.8"/>
    <s v="Paid"/>
    <s v=""/>
    <d v="2026-05-22T00:00:00"/>
    <d v="2026-05-22T00:00:00"/>
    <n v="145"/>
    <n v="0.27"/>
    <n v="39.15"/>
    <n v="0.14999999999999858"/>
    <x v="0"/>
    <x v="2"/>
    <x v="2"/>
  </r>
  <r>
    <s v="CLM102432"/>
    <s v="PT10676"/>
    <s v="P01"/>
    <x v="0"/>
    <x v="0"/>
    <n v="1"/>
    <d v="2026-09-12T00:00:00"/>
    <d v="2026-09-14T00:00:00"/>
    <n v="146.63999999999999"/>
    <m/>
    <m/>
    <m/>
    <s v="Pending"/>
    <s v=""/>
    <m/>
    <m/>
    <n v="145"/>
    <n v="0.45"/>
    <n v="65.25"/>
    <s v=""/>
    <x v="2"/>
    <x v="5"/>
    <x v="8"/>
  </r>
  <r>
    <s v="CLM102433"/>
    <s v="PT11114"/>
    <s v="P01"/>
    <x v="1"/>
    <x v="4"/>
    <n v="1"/>
    <d v="2026-02-19T00:00:00"/>
    <d v="2026-02-20T00:00:00"/>
    <n v="38.270000000000003"/>
    <n v="18.61"/>
    <n v="14.89"/>
    <n v="3.72"/>
    <s v="Paid"/>
    <s v=""/>
    <d v="2026-03-07T00:00:00"/>
    <d v="2026-03-07T00:00:00"/>
    <n v="38"/>
    <n v="0.45"/>
    <n v="17.100000000000001"/>
    <n v="-1.509999999999998"/>
    <x v="0"/>
    <x v="5"/>
    <x v="0"/>
  </r>
  <r>
    <s v="CLM102434"/>
    <s v="PT11078"/>
    <s v="P02"/>
    <x v="0"/>
    <x v="4"/>
    <n v="1"/>
    <d v="2026-03-13T00:00:00"/>
    <d v="2026-03-14T00:00:00"/>
    <n v="38.19"/>
    <m/>
    <m/>
    <m/>
    <s v="Denied"/>
    <s v="CO-27"/>
    <d v="2026-04-13T00:00:00"/>
    <m/>
    <n v="38"/>
    <n v="0.43"/>
    <n v="16.34"/>
    <s v=""/>
    <x v="2"/>
    <x v="6"/>
    <x v="2"/>
  </r>
  <r>
    <s v="CLM102435"/>
    <s v="PT10576"/>
    <s v="P06"/>
    <x v="3"/>
    <x v="7"/>
    <n v="1"/>
    <d v="2026-01-22T00:00:00"/>
    <d v="2026-01-25T00:00:00"/>
    <n v="216.1"/>
    <n v="58.21"/>
    <n v="58.21"/>
    <n v="0"/>
    <s v="Paid"/>
    <s v=""/>
    <d v="2026-02-27T00:00:00"/>
    <d v="2026-02-27T00:00:00"/>
    <n v="210"/>
    <n v="0.27"/>
    <n v="56.7"/>
    <n v="-1.509999999999998"/>
    <x v="0"/>
    <x v="2"/>
    <x v="5"/>
  </r>
  <r>
    <s v="CLM102436"/>
    <s v="PT11222"/>
    <s v="P02"/>
    <x v="3"/>
    <x v="7"/>
    <n v="1"/>
    <d v="2026-08-10T00:00:00"/>
    <d v="2026-08-11T00:00:00"/>
    <n v="214.52"/>
    <n v="104.53"/>
    <n v="104.53"/>
    <n v="0"/>
    <s v="Paid"/>
    <s v=""/>
    <d v="2026-09-20T00:00:00"/>
    <d v="2026-09-20T00:00:00"/>
    <n v="210"/>
    <n v="0.43"/>
    <n v="90.3"/>
    <n v="-14.230000000000004"/>
    <x v="0"/>
    <x v="6"/>
    <x v="4"/>
  </r>
  <r>
    <s v="CLM102437"/>
    <s v="PT13139"/>
    <s v="P01"/>
    <x v="2"/>
    <x v="9"/>
    <n v="2"/>
    <d v="2026-07-31T00:00:00"/>
    <d v="2026-08-21T00:00:00"/>
    <n v="115.77"/>
    <m/>
    <m/>
    <m/>
    <s v="Denied"/>
    <s v="CO-50"/>
    <d v="2026-09-01T00:00:00"/>
    <m/>
    <n v="58"/>
    <n v="0.45"/>
    <n v="52.2"/>
    <s v=""/>
    <x v="2"/>
    <x v="5"/>
    <x v="1"/>
  </r>
  <r>
    <s v="CLM102438"/>
    <s v="PT11643"/>
    <s v="P02"/>
    <x v="3"/>
    <x v="7"/>
    <n v="1"/>
    <d v="2026-07-02T00:00:00"/>
    <d v="2026-07-03T00:00:00"/>
    <n v="209.8"/>
    <n v="88.8"/>
    <n v="79.92"/>
    <n v="8.8800000000000008"/>
    <s v="Paid"/>
    <s v=""/>
    <d v="2026-08-08T00:00:00"/>
    <d v="2026-08-08T00:00:00"/>
    <n v="210"/>
    <n v="0.43"/>
    <n v="90.3"/>
    <n v="1.5"/>
    <x v="0"/>
    <x v="6"/>
    <x v="1"/>
  </r>
  <r>
    <s v="CLM102439"/>
    <s v="PT10876"/>
    <s v="P02"/>
    <x v="1"/>
    <x v="7"/>
    <n v="1"/>
    <d v="2026-08-28T00:00:00"/>
    <d v="2026-09-02T00:00:00"/>
    <n v="215.88"/>
    <n v="89.23"/>
    <n v="71.38"/>
    <n v="17.850000000000001"/>
    <s v="Paid"/>
    <s v=""/>
    <d v="2026-09-27T00:00:00"/>
    <d v="2026-09-27T00:00:00"/>
    <n v="210"/>
    <n v="0.43"/>
    <n v="90.3"/>
    <n v="1.0699999999999932"/>
    <x v="0"/>
    <x v="6"/>
    <x v="4"/>
  </r>
  <r>
    <s v="CLM102440"/>
    <s v="PT11990"/>
    <s v="P01"/>
    <x v="0"/>
    <x v="8"/>
    <n v="1"/>
    <d v="2025-12-14T00:00:00"/>
    <d v="2025-12-28T00:00:00"/>
    <n v="260.57"/>
    <n v="99.66"/>
    <n v="89.69"/>
    <n v="9.9700000000000006"/>
    <s v="Paid"/>
    <s v=""/>
    <d v="2026-02-04T00:00:00"/>
    <d v="2026-02-04T00:00:00"/>
    <n v="260"/>
    <n v="0.45"/>
    <n v="117"/>
    <n v="17.340000000000003"/>
    <x v="1"/>
    <x v="5"/>
    <x v="6"/>
  </r>
  <r>
    <s v="CLM102441"/>
    <s v="PT12572"/>
    <s v="P06"/>
    <x v="3"/>
    <x v="6"/>
    <n v="1"/>
    <d v="2026-04-04T00:00:00"/>
    <d v="2026-04-05T00:00:00"/>
    <n v="430.78"/>
    <n v="99.82"/>
    <n v="89.84"/>
    <n v="9.98"/>
    <s v="Paid"/>
    <s v=""/>
    <d v="2026-05-21T00:00:00"/>
    <d v="2026-05-21T00:00:00"/>
    <n v="420"/>
    <n v="0.27"/>
    <n v="113.4"/>
    <n v="13.580000000000013"/>
    <x v="1"/>
    <x v="2"/>
    <x v="10"/>
  </r>
  <r>
    <s v="CLM102442"/>
    <s v="PT11231"/>
    <s v="P02"/>
    <x v="3"/>
    <x v="3"/>
    <n v="10"/>
    <d v="2026-01-31T00:00:00"/>
    <d v="2026-02-05T00:00:00"/>
    <n v="14710.25"/>
    <n v="5901.16"/>
    <n v="5901.16"/>
    <n v="0"/>
    <s v="Paid"/>
    <s v=""/>
    <d v="2026-02-16T00:00:00"/>
    <d v="2026-02-16T00:00:00"/>
    <n v="1450"/>
    <n v="0.43"/>
    <n v="6235"/>
    <n v="333.84000000000015"/>
    <x v="1"/>
    <x v="6"/>
    <x v="5"/>
  </r>
  <r>
    <s v="CLM102443"/>
    <s v="PT12950"/>
    <s v="P02"/>
    <x v="1"/>
    <x v="8"/>
    <n v="1"/>
    <d v="2026-07-31T00:00:00"/>
    <d v="2026-08-03T00:00:00"/>
    <n v="267.75"/>
    <n v="105.72"/>
    <n v="84.58"/>
    <n v="21.14"/>
    <s v="Paid"/>
    <s v=""/>
    <d v="2026-09-18T00:00:00"/>
    <d v="2026-09-18T00:00:00"/>
    <n v="260"/>
    <n v="0.43"/>
    <n v="111.8"/>
    <n v="6.0799999999999983"/>
    <x v="1"/>
    <x v="6"/>
    <x v="1"/>
  </r>
  <r>
    <s v="CLM102444"/>
    <s v="PT12045"/>
    <s v="P02"/>
    <x v="2"/>
    <x v="0"/>
    <n v="1"/>
    <d v="2026-02-26T00:00:00"/>
    <d v="2026-02-28T00:00:00"/>
    <n v="141.72999999999999"/>
    <n v="51.95"/>
    <n v="51.95"/>
    <n v="0"/>
    <s v="Paid"/>
    <s v=""/>
    <d v="2026-03-30T00:00:00"/>
    <d v="2026-03-30T00:00:00"/>
    <n v="145"/>
    <n v="0.43"/>
    <n v="62.35"/>
    <n v="10.399999999999999"/>
    <x v="1"/>
    <x v="6"/>
    <x v="0"/>
  </r>
  <r>
    <s v="CLM102445"/>
    <s v="PT12699"/>
    <s v="P05"/>
    <x v="2"/>
    <x v="9"/>
    <n v="1"/>
    <d v="2026-04-25T00:00:00"/>
    <d v="2026-04-26T00:00:00"/>
    <n v="56.69"/>
    <n v="18.440000000000001"/>
    <n v="18.440000000000001"/>
    <n v="0"/>
    <s v="Paid"/>
    <s v=""/>
    <d v="2026-05-27T00:00:00"/>
    <d v="2026-05-27T00:00:00"/>
    <n v="58"/>
    <n v="0.38"/>
    <n v="22.04"/>
    <n v="3.5999999999999979"/>
    <x v="1"/>
    <x v="0"/>
    <x v="10"/>
  </r>
  <r>
    <s v="CLM102446"/>
    <s v="PT10729"/>
    <s v="P03"/>
    <x v="2"/>
    <x v="2"/>
    <n v="2"/>
    <d v="2025-10-19T00:00:00"/>
    <d v="2025-10-26T00:00:00"/>
    <n v="123.7"/>
    <m/>
    <m/>
    <m/>
    <s v="Denied"/>
    <s v="CO-4"/>
    <d v="2025-12-14T00:00:00"/>
    <m/>
    <n v="62"/>
    <n v="0.47"/>
    <n v="58.28"/>
    <s v=""/>
    <x v="2"/>
    <x v="4"/>
    <x v="9"/>
  </r>
  <r>
    <s v="CLM102448"/>
    <s v="PT11507"/>
    <s v="P04"/>
    <x v="0"/>
    <x v="7"/>
    <n v="1"/>
    <d v="2026-07-27T00:00:00"/>
    <d v="2026-07-30T00:00:00"/>
    <n v="209.05"/>
    <n v="86.92"/>
    <n v="86.92"/>
    <n v="0"/>
    <s v="Paid"/>
    <s v=""/>
    <d v="2026-08-18T00:00:00"/>
    <d v="2026-08-18T00:00:00"/>
    <n v="210"/>
    <n v="0.36"/>
    <n v="75.599999999999994"/>
    <n v="-11.320000000000007"/>
    <x v="0"/>
    <x v="1"/>
    <x v="1"/>
  </r>
  <r>
    <s v="CLM102449"/>
    <s v="PT10875"/>
    <s v="P05"/>
    <x v="2"/>
    <x v="9"/>
    <n v="2"/>
    <d v="2026-08-01T00:00:00"/>
    <d v="2026-08-02T00:00:00"/>
    <n v="112.84"/>
    <n v="39.33"/>
    <n v="39.33"/>
    <n v="0"/>
    <s v="Paid"/>
    <s v=""/>
    <d v="2026-09-05T00:00:00"/>
    <d v="2026-09-05T00:00:00"/>
    <n v="58"/>
    <n v="0.38"/>
    <n v="44.08"/>
    <n v="4.75"/>
    <x v="1"/>
    <x v="0"/>
    <x v="4"/>
  </r>
  <r>
    <s v="CLM102450"/>
    <s v="PT11268"/>
    <s v="P06"/>
    <x v="1"/>
    <x v="11"/>
    <n v="1"/>
    <d v="2026-01-08T00:00:00"/>
    <d v="2026-01-09T00:00:00"/>
    <n v="1157.73"/>
    <m/>
    <m/>
    <m/>
    <s v="Denied"/>
    <s v="CO-16"/>
    <d v="2026-02-12T00:00:00"/>
    <m/>
    <n v="1150"/>
    <n v="0.27"/>
    <n v="310.5"/>
    <s v=""/>
    <x v="2"/>
    <x v="2"/>
    <x v="5"/>
  </r>
  <r>
    <s v="CLM102451"/>
    <s v="PT12844"/>
    <s v="P06"/>
    <x v="1"/>
    <x v="10"/>
    <n v="1"/>
    <d v="2026-01-24T00:00:00"/>
    <d v="2026-01-29T00:00:00"/>
    <n v="1038.26"/>
    <n v="272.83"/>
    <n v="272.83"/>
    <n v="0"/>
    <s v="Paid"/>
    <s v=""/>
    <d v="2026-03-22T00:00:00"/>
    <d v="2026-03-22T00:00:00"/>
    <n v="1050"/>
    <n v="0.27"/>
    <n v="283.5"/>
    <n v="10.670000000000016"/>
    <x v="0"/>
    <x v="2"/>
    <x v="5"/>
  </r>
  <r>
    <s v="CLM102452"/>
    <s v="PT11789"/>
    <s v="P01"/>
    <x v="1"/>
    <x v="8"/>
    <n v="1"/>
    <d v="2026-09-07T00:00:00"/>
    <d v="2026-09-08T00:00:00"/>
    <n v="252.37"/>
    <m/>
    <m/>
    <m/>
    <s v="Pending"/>
    <s v=""/>
    <m/>
    <m/>
    <n v="260"/>
    <n v="0.45"/>
    <n v="117"/>
    <s v=""/>
    <x v="2"/>
    <x v="5"/>
    <x v="8"/>
  </r>
  <r>
    <s v="CLM102453"/>
    <s v="PT10971"/>
    <s v="P06"/>
    <x v="2"/>
    <x v="0"/>
    <n v="1"/>
    <d v="2026-04-18T00:00:00"/>
    <d v="2026-04-21T00:00:00"/>
    <n v="147.82"/>
    <n v="45.48"/>
    <n v="36.380000000000003"/>
    <n v="9.1"/>
    <s v="Paid"/>
    <s v=""/>
    <d v="2026-05-11T00:00:00"/>
    <d v="2026-05-11T00:00:00"/>
    <n v="145"/>
    <n v="0.27"/>
    <n v="39.15"/>
    <n v="-6.3299999999999983"/>
    <x v="0"/>
    <x v="2"/>
    <x v="10"/>
  </r>
  <r>
    <s v="CLM102454"/>
    <s v="PT13318"/>
    <s v="P06"/>
    <x v="2"/>
    <x v="9"/>
    <n v="4"/>
    <d v="2026-02-13T00:00:00"/>
    <d v="2026-02-14T00:00:00"/>
    <n v="235.88"/>
    <n v="64.150000000000006"/>
    <n v="64.150000000000006"/>
    <n v="0"/>
    <s v="Paid"/>
    <s v=""/>
    <d v="2026-03-11T00:00:00"/>
    <d v="2026-03-11T00:00:00"/>
    <n v="58"/>
    <n v="0.27"/>
    <n v="62.64"/>
    <n v="-1.5100000000000051"/>
    <x v="0"/>
    <x v="2"/>
    <x v="0"/>
  </r>
  <r>
    <s v="CLM102455"/>
    <s v="PT13297"/>
    <s v="P08"/>
    <x v="1"/>
    <x v="7"/>
    <n v="1"/>
    <d v="2025-12-25T00:00:00"/>
    <d v="2025-12-29T00:00:00"/>
    <n v="204.65"/>
    <n v="204.65"/>
    <n v="204.65"/>
    <n v="0"/>
    <s v="Paid"/>
    <s v=""/>
    <d v="2026-03-26T00:00:00"/>
    <d v="2026-03-26T00:00:00"/>
    <n v="210"/>
    <n v="1"/>
    <n v="210"/>
    <n v="5.3499999999999943"/>
    <x v="0"/>
    <x v="7"/>
    <x v="6"/>
  </r>
  <r>
    <s v="CLM102456"/>
    <s v="PT11849"/>
    <s v="P04"/>
    <x v="0"/>
    <x v="0"/>
    <n v="1"/>
    <d v="2026-08-25T00:00:00"/>
    <d v="2026-09-01T00:00:00"/>
    <n v="145.41"/>
    <n v="49.63"/>
    <n v="44.67"/>
    <n v="4.96"/>
    <s v="Paid"/>
    <s v=""/>
    <d v="2026-09-15T00:00:00"/>
    <d v="2026-09-15T00:00:00"/>
    <n v="145"/>
    <n v="0.36"/>
    <n v="52.2"/>
    <n v="2.5700000000000003"/>
    <x v="0"/>
    <x v="1"/>
    <x v="4"/>
  </r>
  <r>
    <s v="CLM102457"/>
    <s v="PT10312"/>
    <s v="P04"/>
    <x v="2"/>
    <x v="0"/>
    <n v="1"/>
    <d v="2026-04-12T00:00:00"/>
    <d v="2026-04-17T00:00:00"/>
    <n v="148.61000000000001"/>
    <n v="50.45"/>
    <n v="45.4"/>
    <n v="5.05"/>
    <s v="Paid"/>
    <s v=""/>
    <d v="2026-05-01T00:00:00"/>
    <d v="2026-05-01T00:00:00"/>
    <n v="145"/>
    <n v="0.36"/>
    <n v="52.2"/>
    <n v="1.75"/>
    <x v="0"/>
    <x v="1"/>
    <x v="10"/>
  </r>
  <r>
    <s v="CLM102458"/>
    <s v="PT10768"/>
    <s v="P06"/>
    <x v="1"/>
    <x v="8"/>
    <n v="1"/>
    <d v="2026-09-18T00:00:00"/>
    <d v="2026-09-26T00:00:00"/>
    <n v="260.5"/>
    <m/>
    <m/>
    <m/>
    <s v="Pending"/>
    <s v=""/>
    <m/>
    <m/>
    <n v="260"/>
    <n v="0.27"/>
    <n v="70.2"/>
    <s v=""/>
    <x v="2"/>
    <x v="2"/>
    <x v="8"/>
  </r>
  <r>
    <s v="CLM102459"/>
    <s v="PT11820"/>
    <s v="P05"/>
    <x v="0"/>
    <x v="0"/>
    <n v="1"/>
    <d v="2025-12-13T00:00:00"/>
    <d v="2025-12-17T00:00:00"/>
    <n v="141.15"/>
    <n v="54.66"/>
    <n v="54.66"/>
    <n v="0"/>
    <s v="Paid"/>
    <s v=""/>
    <d v="2026-03-13T00:00:00"/>
    <d v="2026-03-13T00:00:00"/>
    <n v="145"/>
    <n v="0.38"/>
    <n v="55.1"/>
    <n v="0.44000000000000483"/>
    <x v="0"/>
    <x v="0"/>
    <x v="6"/>
  </r>
  <r>
    <s v="CLM102460"/>
    <s v="PT10114"/>
    <s v="P03"/>
    <x v="2"/>
    <x v="0"/>
    <n v="1"/>
    <d v="2026-03-04T00:00:00"/>
    <d v="2026-03-08T00:00:00"/>
    <n v="147.44"/>
    <n v="79.180000000000007"/>
    <n v="79.180000000000007"/>
    <n v="0"/>
    <s v="Paid"/>
    <s v=""/>
    <d v="2026-04-20T00:00:00"/>
    <d v="2026-04-20T00:00:00"/>
    <n v="145"/>
    <n v="0.47"/>
    <n v="68.150000000000006"/>
    <n v="-11.030000000000001"/>
    <x v="0"/>
    <x v="4"/>
    <x v="2"/>
  </r>
  <r>
    <s v="CLM102461"/>
    <s v="PT12218"/>
    <s v="P04"/>
    <x v="2"/>
    <x v="9"/>
    <n v="1"/>
    <d v="2026-02-02T00:00:00"/>
    <d v="2026-05-14T00:00:00"/>
    <n v="57.11"/>
    <m/>
    <m/>
    <m/>
    <s v="Denied"/>
    <s v="CO-29"/>
    <d v="2026-06-09T00:00:00"/>
    <m/>
    <n v="58"/>
    <n v="0.36"/>
    <n v="20.88"/>
    <s v=""/>
    <x v="2"/>
    <x v="1"/>
    <x v="0"/>
  </r>
  <r>
    <s v="CLM102462"/>
    <s v="PT11727"/>
    <s v="P01"/>
    <x v="1"/>
    <x v="10"/>
    <n v="1"/>
    <d v="2025-10-01T00:00:00"/>
    <d v="2025-10-10T00:00:00"/>
    <n v="1050.51"/>
    <n v="442"/>
    <n v="442"/>
    <n v="0"/>
    <s v="Paid"/>
    <s v=""/>
    <d v="2025-11-09T00:00:00"/>
    <d v="2025-11-09T00:00:00"/>
    <n v="1050"/>
    <n v="0.45"/>
    <n v="472.5"/>
    <n v="30.5"/>
    <x v="1"/>
    <x v="5"/>
    <x v="9"/>
  </r>
  <r>
    <s v="CLM102463"/>
    <s v="PT11724"/>
    <s v="P03"/>
    <x v="3"/>
    <x v="6"/>
    <n v="1"/>
    <d v="2026-07-06T00:00:00"/>
    <d v="2026-07-09T00:00:00"/>
    <n v="413.38"/>
    <m/>
    <m/>
    <m/>
    <s v="Denied"/>
    <s v="CO-16"/>
    <d v="2026-08-20T00:00:00"/>
    <m/>
    <n v="420"/>
    <n v="0.47"/>
    <n v="197.4"/>
    <s v=""/>
    <x v="2"/>
    <x v="4"/>
    <x v="1"/>
  </r>
  <r>
    <s v="CLM102464"/>
    <s v="PT10421"/>
    <s v="P04"/>
    <x v="3"/>
    <x v="3"/>
    <n v="5"/>
    <d v="2026-01-03T00:00:00"/>
    <d v="2026-01-04T00:00:00"/>
    <n v="7249.56"/>
    <n v="2890.42"/>
    <n v="2601.38"/>
    <n v="289.04000000000002"/>
    <s v="Paid"/>
    <s v=""/>
    <d v="2026-01-20T00:00:00"/>
    <d v="2026-01-20T00:00:00"/>
    <n v="1450"/>
    <n v="0.36"/>
    <n v="2610"/>
    <n v="-280.42000000000007"/>
    <x v="0"/>
    <x v="1"/>
    <x v="5"/>
  </r>
  <r>
    <s v="CLM102465"/>
    <s v="PT11051"/>
    <s v="P01"/>
    <x v="0"/>
    <x v="7"/>
    <n v="1"/>
    <d v="2026-09-09T00:00:00"/>
    <d v="2026-09-17T00:00:00"/>
    <n v="205.74"/>
    <m/>
    <m/>
    <m/>
    <s v="Pending"/>
    <s v=""/>
    <m/>
    <m/>
    <n v="210"/>
    <n v="0.45"/>
    <n v="94.5"/>
    <s v=""/>
    <x v="2"/>
    <x v="5"/>
    <x v="8"/>
  </r>
  <r>
    <s v="CLM102466"/>
    <s v="PT11584"/>
    <s v="P02"/>
    <x v="0"/>
    <x v="4"/>
    <n v="1"/>
    <d v="2026-07-29T00:00:00"/>
    <d v="2026-08-01T00:00:00"/>
    <n v="38.26"/>
    <n v="18.420000000000002"/>
    <n v="18.420000000000002"/>
    <n v="0"/>
    <s v="Paid"/>
    <s v=""/>
    <d v="2026-09-02T00:00:00"/>
    <d v="2026-09-02T00:00:00"/>
    <n v="38"/>
    <n v="0.43"/>
    <n v="16.34"/>
    <n v="-2.0800000000000018"/>
    <x v="0"/>
    <x v="6"/>
    <x v="1"/>
  </r>
  <r>
    <s v="CLM102467"/>
    <s v="PT10939"/>
    <s v="P06"/>
    <x v="3"/>
    <x v="6"/>
    <n v="1"/>
    <d v="2026-07-19T00:00:00"/>
    <d v="2026-07-23T00:00:00"/>
    <n v="408.24"/>
    <n v="109.76"/>
    <n v="109.76"/>
    <n v="0"/>
    <s v="Paid"/>
    <s v=""/>
    <d v="2026-08-15T00:00:00"/>
    <d v="2026-08-15T00:00:00"/>
    <n v="420"/>
    <n v="0.27"/>
    <n v="113.4"/>
    <n v="3.6400000000000006"/>
    <x v="0"/>
    <x v="2"/>
    <x v="1"/>
  </r>
  <r>
    <s v="CLM102468"/>
    <s v="PT10769"/>
    <s v="P06"/>
    <x v="1"/>
    <x v="11"/>
    <n v="1"/>
    <d v="2025-11-28T00:00:00"/>
    <d v="2025-12-02T00:00:00"/>
    <n v="1164.1600000000001"/>
    <n v="277.49"/>
    <n v="277.49"/>
    <n v="0"/>
    <s v="Paid"/>
    <s v=""/>
    <d v="2026-02-01T00:00:00"/>
    <d v="2026-02-01T00:00:00"/>
    <n v="1150"/>
    <n v="0.27"/>
    <n v="310.5"/>
    <n v="33.009999999999991"/>
    <x v="1"/>
    <x v="2"/>
    <x v="3"/>
  </r>
  <r>
    <s v="CLM102469"/>
    <s v="PT10274"/>
    <s v="P04"/>
    <x v="0"/>
    <x v="7"/>
    <n v="1"/>
    <d v="2026-05-26T00:00:00"/>
    <d v="2026-05-29T00:00:00"/>
    <n v="215.73"/>
    <n v="88.79"/>
    <n v="88.79"/>
    <n v="0"/>
    <s v="Paid"/>
    <s v=""/>
    <d v="2026-06-20T00:00:00"/>
    <d v="2026-06-20T00:00:00"/>
    <n v="210"/>
    <n v="0.36"/>
    <n v="75.599999999999994"/>
    <n v="-13.190000000000012"/>
    <x v="0"/>
    <x v="1"/>
    <x v="7"/>
  </r>
  <r>
    <s v="CLM102470"/>
    <s v="PT12254"/>
    <s v="P05"/>
    <x v="0"/>
    <x v="4"/>
    <n v="1"/>
    <d v="2026-03-24T00:00:00"/>
    <d v="2026-03-27T00:00:00"/>
    <n v="39.03"/>
    <m/>
    <m/>
    <m/>
    <s v="Denied"/>
    <s v="CO-16"/>
    <d v="2026-05-15T00:00:00"/>
    <m/>
    <n v="38"/>
    <n v="0.38"/>
    <n v="14.44"/>
    <s v=""/>
    <x v="2"/>
    <x v="0"/>
    <x v="2"/>
  </r>
  <r>
    <s v="CLM102471"/>
    <s v="PT12233"/>
    <s v="P03"/>
    <x v="0"/>
    <x v="8"/>
    <n v="1"/>
    <d v="2025-12-12T00:00:00"/>
    <d v="2025-12-23T00:00:00"/>
    <n v="265.69"/>
    <n v="136.19"/>
    <n v="122.57"/>
    <n v="13.62"/>
    <s v="Paid"/>
    <s v=""/>
    <d v="2026-01-14T00:00:00"/>
    <d v="2026-01-14T00:00:00"/>
    <n v="260"/>
    <n v="0.47"/>
    <n v="122.2"/>
    <n v="-13.989999999999995"/>
    <x v="0"/>
    <x v="4"/>
    <x v="6"/>
  </r>
  <r>
    <s v="CLM102472"/>
    <s v="PT10345"/>
    <s v="P06"/>
    <x v="1"/>
    <x v="1"/>
    <n v="1"/>
    <d v="2026-01-07T00:00:00"/>
    <d v="2026-01-11T00:00:00"/>
    <n v="242.63"/>
    <m/>
    <m/>
    <m/>
    <s v="Denied"/>
    <s v="CO-27"/>
    <d v="2026-02-28T00:00:00"/>
    <m/>
    <n v="240"/>
    <n v="0.27"/>
    <n v="64.8"/>
    <s v=""/>
    <x v="2"/>
    <x v="2"/>
    <x v="5"/>
  </r>
  <r>
    <s v="CLM102473"/>
    <s v="PT10362"/>
    <s v="P05"/>
    <x v="1"/>
    <x v="4"/>
    <n v="1"/>
    <d v="2025-12-02T00:00:00"/>
    <d v="2025-12-03T00:00:00"/>
    <n v="36.92"/>
    <m/>
    <m/>
    <m/>
    <s v="Denied"/>
    <s v="CO-16"/>
    <d v="2026-01-14T00:00:00"/>
    <m/>
    <n v="38"/>
    <n v="0.38"/>
    <n v="14.44"/>
    <s v=""/>
    <x v="2"/>
    <x v="0"/>
    <x v="6"/>
  </r>
  <r>
    <s v="CLM102474"/>
    <s v="PT11990"/>
    <s v="P04"/>
    <x v="0"/>
    <x v="4"/>
    <n v="1"/>
    <d v="2025-10-07T00:00:00"/>
    <d v="2025-10-09T00:00:00"/>
    <n v="38.979999999999997"/>
    <n v="14.48"/>
    <n v="14.48"/>
    <n v="0"/>
    <s v="Paid"/>
    <s v=""/>
    <d v="2025-11-06T00:00:00"/>
    <d v="2025-11-06T00:00:00"/>
    <n v="38"/>
    <n v="0.36"/>
    <n v="13.68"/>
    <n v="-0.80000000000000071"/>
    <x v="0"/>
    <x v="1"/>
    <x v="9"/>
  </r>
  <r>
    <s v="CLM102475"/>
    <s v="PT10019"/>
    <s v="P01"/>
    <x v="3"/>
    <x v="3"/>
    <n v="30"/>
    <d v="2026-04-29T00:00:00"/>
    <d v="2026-05-08T00:00:00"/>
    <n v="44563.72"/>
    <n v="17742.59"/>
    <n v="14194.07"/>
    <n v="3548.52"/>
    <s v="Paid"/>
    <s v=""/>
    <d v="2026-06-16T00:00:00"/>
    <d v="2026-06-16T00:00:00"/>
    <n v="1450"/>
    <n v="0.45"/>
    <n v="19575"/>
    <n v="1832.4099999999999"/>
    <x v="1"/>
    <x v="5"/>
    <x v="10"/>
  </r>
  <r>
    <s v="CLM102476"/>
    <s v="PT13096"/>
    <s v="P02"/>
    <x v="1"/>
    <x v="10"/>
    <n v="1"/>
    <d v="2026-01-27T00:00:00"/>
    <d v="2026-01-31T00:00:00"/>
    <n v="1066.43"/>
    <n v="414.6"/>
    <n v="414.6"/>
    <n v="0"/>
    <s v="Paid"/>
    <s v=""/>
    <d v="2026-02-20T00:00:00"/>
    <d v="2026-02-20T00:00:00"/>
    <n v="1050"/>
    <n v="0.43"/>
    <n v="451.5"/>
    <n v="36.899999999999977"/>
    <x v="1"/>
    <x v="6"/>
    <x v="5"/>
  </r>
  <r>
    <s v="CLM102477"/>
    <s v="PT11329"/>
    <s v="P03"/>
    <x v="0"/>
    <x v="4"/>
    <n v="1"/>
    <d v="2026-09-07T00:00:00"/>
    <d v="2026-09-08T00:00:00"/>
    <n v="37.85"/>
    <m/>
    <m/>
    <m/>
    <s v="Pending"/>
    <s v=""/>
    <m/>
    <m/>
    <n v="38"/>
    <n v="0.47"/>
    <n v="17.86"/>
    <s v=""/>
    <x v="2"/>
    <x v="4"/>
    <x v="8"/>
  </r>
  <r>
    <s v="CLM102478"/>
    <s v="PT10182"/>
    <s v="P06"/>
    <x v="2"/>
    <x v="0"/>
    <n v="1"/>
    <d v="2026-07-28T00:00:00"/>
    <d v="2026-07-31T00:00:00"/>
    <n v="147.6"/>
    <n v="44.1"/>
    <n v="44.1"/>
    <n v="0"/>
    <s v="Paid"/>
    <s v=""/>
    <d v="2026-08-31T00:00:00"/>
    <d v="2026-08-31T00:00:00"/>
    <n v="145"/>
    <n v="0.27"/>
    <n v="39.15"/>
    <n v="-4.9500000000000028"/>
    <x v="0"/>
    <x v="2"/>
    <x v="1"/>
  </r>
  <r>
    <s v="CLM102479"/>
    <s v="PT11081"/>
    <s v="P02"/>
    <x v="1"/>
    <x v="7"/>
    <n v="1"/>
    <d v="2026-05-04T00:00:00"/>
    <d v="2026-05-10T00:00:00"/>
    <n v="213.13"/>
    <n v="102.8"/>
    <n v="82.24"/>
    <n v="20.56"/>
    <s v="Paid"/>
    <s v=""/>
    <d v="2026-06-02T00:00:00"/>
    <d v="2026-06-02T00:00:00"/>
    <n v="210"/>
    <n v="0.43"/>
    <n v="90.3"/>
    <n v="-12.5"/>
    <x v="0"/>
    <x v="6"/>
    <x v="7"/>
  </r>
  <r>
    <s v="CLM102480"/>
    <s v="PT13455"/>
    <s v="P01"/>
    <x v="2"/>
    <x v="9"/>
    <n v="1"/>
    <d v="2025-10-01T00:00:00"/>
    <d v="2025-10-11T00:00:00"/>
    <n v="58.15"/>
    <n v="27.8"/>
    <n v="27.8"/>
    <n v="0"/>
    <s v="Paid"/>
    <s v=""/>
    <d v="2025-11-21T00:00:00"/>
    <d v="2025-11-21T00:00:00"/>
    <n v="58"/>
    <n v="0.45"/>
    <n v="26.1"/>
    <n v="-1.6999999999999993"/>
    <x v="0"/>
    <x v="5"/>
    <x v="9"/>
  </r>
  <r>
    <s v="CLM102481"/>
    <s v="PT11863"/>
    <s v="P08"/>
    <x v="1"/>
    <x v="8"/>
    <n v="1"/>
    <d v="2026-04-17T00:00:00"/>
    <d v="2026-04-19T00:00:00"/>
    <n v="252.5"/>
    <m/>
    <m/>
    <m/>
    <s v="Pending"/>
    <s v=""/>
    <m/>
    <m/>
    <n v="260"/>
    <n v="1"/>
    <n v="260"/>
    <s v=""/>
    <x v="2"/>
    <x v="7"/>
    <x v="10"/>
  </r>
  <r>
    <s v="CLM102482"/>
    <s v="PT11256"/>
    <s v="P06"/>
    <x v="0"/>
    <x v="8"/>
    <n v="1"/>
    <d v="2026-03-03T00:00:00"/>
    <d v="2026-03-06T00:00:00"/>
    <n v="264.72000000000003"/>
    <m/>
    <m/>
    <m/>
    <s v="Denied"/>
    <s v="CO-16"/>
    <d v="2026-04-28T00:00:00"/>
    <m/>
    <n v="260"/>
    <n v="0.27"/>
    <n v="70.2"/>
    <s v=""/>
    <x v="2"/>
    <x v="2"/>
    <x v="2"/>
  </r>
  <r>
    <s v="CLM102483"/>
    <s v="PT11212"/>
    <s v="P03"/>
    <x v="0"/>
    <x v="8"/>
    <n v="1"/>
    <d v="2026-05-25T00:00:00"/>
    <d v="2026-05-29T00:00:00"/>
    <n v="254.54"/>
    <n v="107.79"/>
    <n v="107.79"/>
    <n v="0"/>
    <s v="Paid"/>
    <s v=""/>
    <d v="2026-07-12T00:00:00"/>
    <d v="2026-07-12T00:00:00"/>
    <n v="260"/>
    <n v="0.47"/>
    <n v="122.2"/>
    <n v="14.409999999999997"/>
    <x v="1"/>
    <x v="4"/>
    <x v="7"/>
  </r>
  <r>
    <s v="CLM102484"/>
    <s v="PT13037"/>
    <s v="P07"/>
    <x v="0"/>
    <x v="8"/>
    <n v="1"/>
    <d v="2026-09-14T00:00:00"/>
    <d v="2026-09-15T00:00:00"/>
    <n v="252.59"/>
    <m/>
    <m/>
    <m/>
    <s v="Pending"/>
    <s v=""/>
    <m/>
    <m/>
    <n v="260"/>
    <n v="0.28000000000000003"/>
    <n v="72.8"/>
    <s v=""/>
    <x v="2"/>
    <x v="3"/>
    <x v="8"/>
  </r>
  <r>
    <s v="CLM102485"/>
    <s v="PT10277"/>
    <s v="P02"/>
    <x v="0"/>
    <x v="4"/>
    <n v="1"/>
    <d v="2026-07-30T00:00:00"/>
    <d v="2026-07-31T00:00:00"/>
    <n v="38.520000000000003"/>
    <n v="17.239999999999998"/>
    <n v="13.79"/>
    <n v="3.45"/>
    <s v="Paid"/>
    <s v=""/>
    <d v="2026-09-13T00:00:00"/>
    <d v="2026-09-13T00:00:00"/>
    <n v="38"/>
    <n v="0.43"/>
    <n v="16.34"/>
    <n v="-0.89999999999999858"/>
    <x v="0"/>
    <x v="6"/>
    <x v="1"/>
  </r>
  <r>
    <s v="CLM102486"/>
    <s v="PT11918"/>
    <s v="P07"/>
    <x v="1"/>
    <x v="7"/>
    <n v="1"/>
    <d v="2026-07-08T00:00:00"/>
    <d v="2026-07-12T00:00:00"/>
    <n v="209.7"/>
    <n v="65.48"/>
    <n v="58.93"/>
    <n v="6.55"/>
    <s v="Paid"/>
    <s v=""/>
    <d v="2026-09-26T00:00:00"/>
    <d v="2026-09-26T00:00:00"/>
    <n v="210"/>
    <n v="0.28000000000000003"/>
    <n v="58.8"/>
    <n v="-6.6800000000000068"/>
    <x v="0"/>
    <x v="3"/>
    <x v="1"/>
  </r>
  <r>
    <s v="CLM102487"/>
    <s v="PT13053"/>
    <s v="P01"/>
    <x v="1"/>
    <x v="4"/>
    <n v="1"/>
    <d v="2026-07-17T00:00:00"/>
    <d v="2026-07-20T00:00:00"/>
    <n v="38.9"/>
    <n v="17.489999999999998"/>
    <n v="17.489999999999998"/>
    <n v="0"/>
    <s v="Paid"/>
    <s v=""/>
    <d v="2026-08-11T00:00:00"/>
    <d v="2026-08-11T00:00:00"/>
    <n v="38"/>
    <n v="0.45"/>
    <n v="17.100000000000001"/>
    <n v="-0.38999999999999702"/>
    <x v="0"/>
    <x v="5"/>
    <x v="1"/>
  </r>
  <r>
    <s v="CLM102488"/>
    <s v="PT11666"/>
    <s v="P01"/>
    <x v="2"/>
    <x v="9"/>
    <n v="1"/>
    <d v="2025-11-13T00:00:00"/>
    <d v="2025-11-19T00:00:00"/>
    <n v="59.55"/>
    <n v="27.25"/>
    <n v="27.25"/>
    <n v="0"/>
    <s v="Paid"/>
    <s v=""/>
    <d v="2025-12-12T00:00:00"/>
    <d v="2025-12-12T00:00:00"/>
    <n v="58"/>
    <n v="0.45"/>
    <n v="26.1"/>
    <n v="-1.1499999999999986"/>
    <x v="0"/>
    <x v="5"/>
    <x v="3"/>
  </r>
  <r>
    <s v="CLM102489"/>
    <s v="PT10883"/>
    <s v="P02"/>
    <x v="0"/>
    <x v="7"/>
    <n v="1"/>
    <d v="2025-12-23T00:00:00"/>
    <d v="2025-12-28T00:00:00"/>
    <n v="206.62"/>
    <n v="76.02"/>
    <n v="76.02"/>
    <n v="0"/>
    <s v="Paid"/>
    <s v=""/>
    <d v="2026-01-31T00:00:00"/>
    <d v="2026-01-31T00:00:00"/>
    <n v="210"/>
    <n v="0.43"/>
    <n v="90.3"/>
    <n v="14.280000000000001"/>
    <x v="1"/>
    <x v="6"/>
    <x v="6"/>
  </r>
  <r>
    <s v="CLM102490"/>
    <s v="PT12898"/>
    <s v="P02"/>
    <x v="0"/>
    <x v="7"/>
    <n v="1"/>
    <d v="2026-04-13T00:00:00"/>
    <d v="2026-04-16T00:00:00"/>
    <n v="203.98"/>
    <n v="74.38"/>
    <n v="66.94"/>
    <n v="7.44"/>
    <s v="Paid"/>
    <s v=""/>
    <d v="2026-05-31T00:00:00"/>
    <d v="2026-05-31T00:00:00"/>
    <n v="210"/>
    <n v="0.43"/>
    <n v="90.3"/>
    <n v="15.920000000000002"/>
    <x v="1"/>
    <x v="6"/>
    <x v="10"/>
  </r>
  <r>
    <s v="CLM102491"/>
    <s v="PT13188"/>
    <s v="P02"/>
    <x v="1"/>
    <x v="8"/>
    <n v="1"/>
    <d v="2026-03-26T00:00:00"/>
    <d v="2026-03-27T00:00:00"/>
    <n v="262.41000000000003"/>
    <n v="125.44"/>
    <n v="112.9"/>
    <n v="12.54"/>
    <s v="Paid"/>
    <s v=""/>
    <d v="2026-04-08T00:00:00"/>
    <d v="2026-04-08T00:00:00"/>
    <n v="260"/>
    <n v="0.43"/>
    <n v="111.8"/>
    <n v="-13.64"/>
    <x v="0"/>
    <x v="6"/>
    <x v="2"/>
  </r>
  <r>
    <s v="CLM102492"/>
    <s v="PT12175"/>
    <s v="P01"/>
    <x v="1"/>
    <x v="11"/>
    <n v="1"/>
    <d v="2026-06-16T00:00:00"/>
    <d v="2026-06-19T00:00:00"/>
    <n v="1139.21"/>
    <n v="438.16"/>
    <n v="394.34"/>
    <n v="43.82"/>
    <s v="Paid"/>
    <s v=""/>
    <d v="2026-07-02T00:00:00"/>
    <d v="2026-07-02T00:00:00"/>
    <n v="1150"/>
    <n v="0.45"/>
    <n v="517.5"/>
    <n v="79.339999999999975"/>
    <x v="1"/>
    <x v="5"/>
    <x v="11"/>
  </r>
  <r>
    <s v="CLM102493"/>
    <s v="PT13274"/>
    <s v="P02"/>
    <x v="2"/>
    <x v="0"/>
    <n v="1"/>
    <d v="2026-06-30T00:00:00"/>
    <d v="2026-07-12T00:00:00"/>
    <n v="144.82"/>
    <m/>
    <m/>
    <m/>
    <s v="Denied"/>
    <s v="CO-4"/>
    <d v="2026-08-28T00:00:00"/>
    <m/>
    <n v="145"/>
    <n v="0.43"/>
    <n v="62.35"/>
    <s v=""/>
    <x v="2"/>
    <x v="6"/>
    <x v="11"/>
  </r>
  <r>
    <s v="CLM102494"/>
    <s v="PT10540"/>
    <s v="P08"/>
    <x v="1"/>
    <x v="11"/>
    <n v="1"/>
    <d v="2025-12-13T00:00:00"/>
    <d v="2025-12-14T00:00:00"/>
    <n v="1152.03"/>
    <m/>
    <m/>
    <m/>
    <s v="Pending"/>
    <s v=""/>
    <m/>
    <m/>
    <n v="1150"/>
    <n v="1"/>
    <n v="1150"/>
    <s v=""/>
    <x v="2"/>
    <x v="7"/>
    <x v="6"/>
  </r>
  <r>
    <s v="CLM102495"/>
    <s v="PT10172"/>
    <s v="P03"/>
    <x v="0"/>
    <x v="0"/>
    <n v="1"/>
    <d v="2026-05-06T00:00:00"/>
    <d v="2026-05-11T00:00:00"/>
    <n v="145.44"/>
    <n v="66.52"/>
    <n v="66.52"/>
    <n v="0"/>
    <s v="Paid"/>
    <s v=""/>
    <d v="2026-07-02T00:00:00"/>
    <d v="2026-07-02T00:00:00"/>
    <n v="145"/>
    <n v="0.47"/>
    <n v="68.150000000000006"/>
    <n v="1.6300000000000097"/>
    <x v="0"/>
    <x v="4"/>
    <x v="7"/>
  </r>
  <r>
    <s v="CLM102496"/>
    <s v="PT12294"/>
    <s v="P07"/>
    <x v="1"/>
    <x v="1"/>
    <n v="1"/>
    <d v="2025-12-26T00:00:00"/>
    <d v="2026-01-04T00:00:00"/>
    <n v="234.56"/>
    <n v="55.96"/>
    <n v="50.36"/>
    <n v="5.6"/>
    <s v="Paid"/>
    <s v=""/>
    <d v="2026-03-26T00:00:00"/>
    <d v="2026-03-26T00:00:00"/>
    <n v="240"/>
    <n v="0.28000000000000003"/>
    <n v="67.2"/>
    <n v="11.240000000000002"/>
    <x v="1"/>
    <x v="3"/>
    <x v="6"/>
  </r>
  <r>
    <s v="CLM102497"/>
    <s v="PT10653"/>
    <s v="P07"/>
    <x v="0"/>
    <x v="4"/>
    <n v="1"/>
    <d v="2026-07-31T00:00:00"/>
    <d v="2026-08-05T00:00:00"/>
    <n v="38.630000000000003"/>
    <n v="10.68"/>
    <n v="8.5399999999999991"/>
    <n v="2.14"/>
    <s v="Paid"/>
    <s v=""/>
    <d v="2026-09-19T00:00:00"/>
    <d v="2026-09-19T00:00:00"/>
    <n v="38"/>
    <n v="0.28000000000000003"/>
    <n v="10.64"/>
    <n v="-3.9999999999999147E-2"/>
    <x v="0"/>
    <x v="3"/>
    <x v="1"/>
  </r>
  <r>
    <s v="CLM102499"/>
    <s v="PT12219"/>
    <s v="P01"/>
    <x v="0"/>
    <x v="4"/>
    <n v="1"/>
    <d v="2025-11-27T00:00:00"/>
    <d v="2025-12-02T00:00:00"/>
    <n v="37.94"/>
    <n v="16.010000000000002"/>
    <n v="16.010000000000002"/>
    <n v="0"/>
    <s v="Paid"/>
    <s v=""/>
    <d v="2025-12-24T00:00:00"/>
    <d v="2025-12-24T00:00:00"/>
    <n v="38"/>
    <n v="0.45"/>
    <n v="17.100000000000001"/>
    <n v="1.0899999999999999"/>
    <x v="1"/>
    <x v="5"/>
    <x v="3"/>
  </r>
  <r>
    <s v="CLM102500"/>
    <s v="PT10324"/>
    <s v="P03"/>
    <x v="0"/>
    <x v="0"/>
    <n v="1"/>
    <d v="2025-10-10T00:00:00"/>
    <d v="2025-10-15T00:00:00"/>
    <n v="143.47"/>
    <m/>
    <m/>
    <m/>
    <s v="Denied"/>
    <s v="CO-27"/>
    <d v="2025-12-03T00:00:00"/>
    <m/>
    <n v="145"/>
    <n v="0.47"/>
    <n v="68.150000000000006"/>
    <s v=""/>
    <x v="2"/>
    <x v="4"/>
    <x v="9"/>
  </r>
  <r>
    <s v="CLM102501"/>
    <s v="PT12537"/>
    <s v="P05"/>
    <x v="3"/>
    <x v="7"/>
    <n v="1"/>
    <d v="2025-11-12T00:00:00"/>
    <d v="2025-11-15T00:00:00"/>
    <n v="212.81"/>
    <n v="92.72"/>
    <n v="74.180000000000007"/>
    <n v="18.54"/>
    <s v="Paid"/>
    <s v=""/>
    <d v="2026-01-17T00:00:00"/>
    <d v="2026-01-17T00:00:00"/>
    <n v="210"/>
    <n v="0.38"/>
    <n v="79.8"/>
    <n v="-12.920000000000002"/>
    <x v="0"/>
    <x v="0"/>
    <x v="3"/>
  </r>
  <r>
    <s v="CLM102502"/>
    <s v="PT12663"/>
    <s v="P05"/>
    <x v="1"/>
    <x v="5"/>
    <n v="1"/>
    <d v="2025-10-29T00:00:00"/>
    <d v="2025-10-31T00:00:00"/>
    <n v="4906.1099999999997"/>
    <n v="2095.1999999999998"/>
    <n v="1885.68"/>
    <n v="209.52"/>
    <s v="Paid"/>
    <s v=""/>
    <d v="2025-12-27T00:00:00"/>
    <d v="2025-12-27T00:00:00"/>
    <n v="4800"/>
    <n v="0.38"/>
    <n v="1824"/>
    <n v="-271.19999999999982"/>
    <x v="0"/>
    <x v="0"/>
    <x v="9"/>
  </r>
  <r>
    <s v="CLM102503"/>
    <s v="PT11399"/>
    <s v="P02"/>
    <x v="3"/>
    <x v="3"/>
    <n v="30"/>
    <d v="2026-04-26T00:00:00"/>
    <d v="2026-04-27T00:00:00"/>
    <n v="42854.97"/>
    <m/>
    <m/>
    <m/>
    <s v="Denied"/>
    <s v="CO-11"/>
    <d v="2026-05-08T00:00:00"/>
    <m/>
    <n v="1450"/>
    <n v="0.43"/>
    <n v="18705"/>
    <s v=""/>
    <x v="2"/>
    <x v="6"/>
    <x v="10"/>
  </r>
  <r>
    <s v="CLM102504"/>
    <s v="PT10200"/>
    <s v="P01"/>
    <x v="0"/>
    <x v="4"/>
    <n v="1"/>
    <d v="2026-01-30T00:00:00"/>
    <d v="2026-01-31T00:00:00"/>
    <n v="38.43"/>
    <n v="18.07"/>
    <n v="14.46"/>
    <n v="3.61"/>
    <s v="Paid"/>
    <s v=""/>
    <d v="2026-03-02T00:00:00"/>
    <d v="2026-03-02T00:00:00"/>
    <n v="38"/>
    <n v="0.45"/>
    <n v="17.100000000000001"/>
    <n v="-0.96999999999999886"/>
    <x v="0"/>
    <x v="5"/>
    <x v="5"/>
  </r>
  <r>
    <s v="CLM102505"/>
    <s v="PT12543"/>
    <s v="P02"/>
    <x v="3"/>
    <x v="6"/>
    <n v="1"/>
    <d v="2026-08-01T00:00:00"/>
    <d v="2026-08-02T00:00:00"/>
    <n v="411.27"/>
    <n v="163.12"/>
    <n v="163.12"/>
    <n v="0"/>
    <s v="Paid"/>
    <s v=""/>
    <d v="2026-08-29T00:00:00"/>
    <d v="2026-08-29T00:00:00"/>
    <n v="420"/>
    <n v="0.43"/>
    <n v="180.6"/>
    <n v="17.47999999999999"/>
    <x v="1"/>
    <x v="6"/>
    <x v="4"/>
  </r>
  <r>
    <s v="CLM102506"/>
    <s v="PT12741"/>
    <s v="P01"/>
    <x v="0"/>
    <x v="0"/>
    <n v="1"/>
    <d v="2025-10-23T00:00:00"/>
    <d v="2025-10-27T00:00:00"/>
    <n v="146.93"/>
    <n v="76.02"/>
    <n v="60.82"/>
    <n v="15.2"/>
    <s v="Paid"/>
    <s v=""/>
    <d v="2025-11-17T00:00:00"/>
    <d v="2025-11-17T00:00:00"/>
    <n v="145"/>
    <n v="0.45"/>
    <n v="65.25"/>
    <n v="-10.769999999999996"/>
    <x v="0"/>
    <x v="5"/>
    <x v="9"/>
  </r>
  <r>
    <s v="CLM102507"/>
    <s v="PT10929"/>
    <s v="P01"/>
    <x v="1"/>
    <x v="1"/>
    <n v="1"/>
    <d v="2025-11-07T00:00:00"/>
    <d v="2025-11-08T00:00:00"/>
    <n v="241.03"/>
    <n v="96.81"/>
    <n v="96.81"/>
    <n v="0"/>
    <s v="Paid"/>
    <s v=""/>
    <d v="2025-12-04T00:00:00"/>
    <d v="2025-12-04T00:00:00"/>
    <n v="240"/>
    <n v="0.45"/>
    <n v="108"/>
    <n v="11.189999999999998"/>
    <x v="1"/>
    <x v="5"/>
    <x v="3"/>
  </r>
  <r>
    <s v="CLM102508"/>
    <s v="PT12070"/>
    <s v="P03"/>
    <x v="3"/>
    <x v="7"/>
    <n v="1"/>
    <d v="2025-10-02T00:00:00"/>
    <d v="2025-10-06T00:00:00"/>
    <n v="214.17"/>
    <n v="109.19"/>
    <n v="98.27"/>
    <n v="10.92"/>
    <s v="Paid"/>
    <s v=""/>
    <d v="2025-11-07T00:00:00"/>
    <d v="2025-11-07T00:00:00"/>
    <n v="210"/>
    <n v="0.47"/>
    <n v="98.7"/>
    <n v="-10.489999999999995"/>
    <x v="0"/>
    <x v="4"/>
    <x v="9"/>
  </r>
  <r>
    <s v="CLM102509"/>
    <s v="PT12645"/>
    <s v="P02"/>
    <x v="1"/>
    <x v="8"/>
    <n v="1"/>
    <d v="2026-08-20T00:00:00"/>
    <d v="2026-08-30T00:00:00"/>
    <n v="266.37"/>
    <m/>
    <m/>
    <m/>
    <s v="Pending"/>
    <s v=""/>
    <m/>
    <m/>
    <n v="260"/>
    <n v="0.43"/>
    <n v="111.8"/>
    <s v=""/>
    <x v="2"/>
    <x v="6"/>
    <x v="4"/>
  </r>
  <r>
    <s v="CLM102510"/>
    <s v="PT13242"/>
    <s v="P04"/>
    <x v="0"/>
    <x v="8"/>
    <n v="1"/>
    <d v="2025-10-10T00:00:00"/>
    <d v="2025-10-13T00:00:00"/>
    <n v="266.3"/>
    <n v="94.66"/>
    <n v="94.66"/>
    <n v="0"/>
    <s v="Paid"/>
    <s v=""/>
    <d v="2025-10-22T00:00:00"/>
    <d v="2025-10-22T00:00:00"/>
    <n v="260"/>
    <n v="0.36"/>
    <n v="93.6"/>
    <n v="-1.0600000000000023"/>
    <x v="0"/>
    <x v="1"/>
    <x v="9"/>
  </r>
  <r>
    <s v="CLM102511"/>
    <s v="PT11230"/>
    <s v="P02"/>
    <x v="2"/>
    <x v="2"/>
    <n v="1"/>
    <d v="2026-05-28T00:00:00"/>
    <d v="2026-05-29T00:00:00"/>
    <n v="62.31"/>
    <n v="26.78"/>
    <n v="26.78"/>
    <n v="0"/>
    <s v="Paid"/>
    <s v=""/>
    <d v="2026-06-15T00:00:00"/>
    <d v="2026-06-15T00:00:00"/>
    <n v="62"/>
    <n v="0.43"/>
    <n v="26.66"/>
    <n v="-0.12000000000000099"/>
    <x v="0"/>
    <x v="6"/>
    <x v="7"/>
  </r>
  <r>
    <s v="CLM102512"/>
    <s v="PT13078"/>
    <s v="P05"/>
    <x v="3"/>
    <x v="6"/>
    <n v="1"/>
    <d v="2026-01-29T00:00:00"/>
    <d v="2026-02-03T00:00:00"/>
    <n v="426.55"/>
    <n v="161.18"/>
    <n v="161.18"/>
    <n v="0"/>
    <s v="Paid"/>
    <s v=""/>
    <d v="2026-03-20T00:00:00"/>
    <d v="2026-03-20T00:00:00"/>
    <n v="420"/>
    <n v="0.38"/>
    <n v="159.6"/>
    <n v="-1.5800000000000125"/>
    <x v="0"/>
    <x v="0"/>
    <x v="5"/>
  </r>
  <r>
    <s v="CLM102513"/>
    <s v="PT11482"/>
    <s v="P04"/>
    <x v="1"/>
    <x v="7"/>
    <n v="1"/>
    <d v="2026-01-10T00:00:00"/>
    <d v="2026-01-12T00:00:00"/>
    <n v="211.63"/>
    <n v="85.59"/>
    <n v="68.47"/>
    <n v="17.12"/>
    <s v="Paid"/>
    <s v=""/>
    <d v="2026-01-26T00:00:00"/>
    <d v="2026-01-26T00:00:00"/>
    <n v="210"/>
    <n v="0.36"/>
    <n v="75.599999999999994"/>
    <n v="-9.9900000000000091"/>
    <x v="0"/>
    <x v="1"/>
    <x v="5"/>
  </r>
  <r>
    <s v="CLM102515"/>
    <s v="PT12624"/>
    <s v="P06"/>
    <x v="0"/>
    <x v="0"/>
    <n v="1"/>
    <d v="2026-08-11T00:00:00"/>
    <d v="2026-08-12T00:00:00"/>
    <n v="148.62"/>
    <n v="37.26"/>
    <n v="37.26"/>
    <n v="0"/>
    <s v="Paid"/>
    <s v=""/>
    <d v="2026-09-20T00:00:00"/>
    <d v="2026-09-20T00:00:00"/>
    <n v="145"/>
    <n v="0.27"/>
    <n v="39.15"/>
    <n v="1.8900000000000006"/>
    <x v="0"/>
    <x v="2"/>
    <x v="4"/>
  </r>
  <r>
    <s v="CLM102516"/>
    <s v="PT11978"/>
    <s v="P03"/>
    <x v="1"/>
    <x v="11"/>
    <n v="1"/>
    <d v="2026-05-03T00:00:00"/>
    <d v="2026-05-07T00:00:00"/>
    <n v="1181.81"/>
    <n v="570.15"/>
    <n v="513.13"/>
    <n v="57.02"/>
    <s v="Paid"/>
    <s v=""/>
    <d v="2026-06-25T00:00:00"/>
    <d v="2026-06-25T00:00:00"/>
    <n v="1150"/>
    <n v="0.47"/>
    <n v="540.5"/>
    <n v="-29.649999999999977"/>
    <x v="0"/>
    <x v="4"/>
    <x v="7"/>
  </r>
  <r>
    <s v="CLM102517"/>
    <s v="PT11499"/>
    <s v="P01"/>
    <x v="1"/>
    <x v="10"/>
    <n v="1"/>
    <d v="2025-12-25T00:00:00"/>
    <d v="2025-12-30T00:00:00"/>
    <n v="1044.05"/>
    <n v="518.54"/>
    <n v="518.54"/>
    <n v="0"/>
    <s v="Paid"/>
    <s v=""/>
    <d v="2026-01-27T00:00:00"/>
    <d v="2026-01-27T00:00:00"/>
    <n v="1050"/>
    <n v="0.45"/>
    <n v="472.5"/>
    <n v="-46.039999999999964"/>
    <x v="0"/>
    <x v="5"/>
    <x v="6"/>
  </r>
  <r>
    <s v="CLM102518"/>
    <s v="PT10240"/>
    <s v="P07"/>
    <x v="1"/>
    <x v="7"/>
    <n v="1"/>
    <d v="2026-01-22T00:00:00"/>
    <d v="2026-01-26T00:00:00"/>
    <n v="208.9"/>
    <m/>
    <m/>
    <m/>
    <s v="Denied"/>
    <s v="CO-11"/>
    <d v="2026-03-24T00:00:00"/>
    <m/>
    <n v="210"/>
    <n v="0.28000000000000003"/>
    <n v="58.8"/>
    <s v=""/>
    <x v="2"/>
    <x v="3"/>
    <x v="5"/>
  </r>
  <r>
    <s v="CLM102519"/>
    <s v="PT12012"/>
    <s v="P03"/>
    <x v="3"/>
    <x v="3"/>
    <n v="5"/>
    <d v="2025-11-25T00:00:00"/>
    <d v="2025-11-26T00:00:00"/>
    <n v="7359.68"/>
    <m/>
    <m/>
    <m/>
    <s v="Denied"/>
    <s v="CO-197"/>
    <d v="2026-02-04T00:00:00"/>
    <m/>
    <n v="1450"/>
    <n v="0.47"/>
    <n v="3407.5"/>
    <s v=""/>
    <x v="2"/>
    <x v="4"/>
    <x v="3"/>
  </r>
  <r>
    <s v="CLM102520"/>
    <s v="PT11351"/>
    <s v="P08"/>
    <x v="1"/>
    <x v="1"/>
    <n v="1"/>
    <d v="2025-10-07T00:00:00"/>
    <d v="2025-10-12T00:00:00"/>
    <n v="245.45"/>
    <m/>
    <m/>
    <m/>
    <s v="Pending"/>
    <s v=""/>
    <m/>
    <m/>
    <n v="240"/>
    <n v="1"/>
    <n v="240"/>
    <s v=""/>
    <x v="2"/>
    <x v="7"/>
    <x v="9"/>
  </r>
  <r>
    <s v="CLM102521"/>
    <s v="PT12525"/>
    <s v="P03"/>
    <x v="0"/>
    <x v="8"/>
    <n v="1"/>
    <d v="2026-03-06T00:00:00"/>
    <d v="2026-03-10T00:00:00"/>
    <n v="254.75"/>
    <n v="132.88"/>
    <n v="119.59"/>
    <n v="13.29"/>
    <s v="Paid"/>
    <s v=""/>
    <d v="2026-05-07T00:00:00"/>
    <d v="2026-05-07T00:00:00"/>
    <n v="260"/>
    <n v="0.47"/>
    <n v="122.2"/>
    <n v="-10.679999999999993"/>
    <x v="0"/>
    <x v="4"/>
    <x v="2"/>
  </r>
  <r>
    <s v="CLM102522"/>
    <s v="PT11766"/>
    <s v="P07"/>
    <x v="0"/>
    <x v="4"/>
    <n v="1"/>
    <d v="2026-06-04T00:00:00"/>
    <d v="2026-06-11T00:00:00"/>
    <n v="38.659999999999997"/>
    <m/>
    <m/>
    <m/>
    <s v="Denied"/>
    <s v="CO-27"/>
    <d v="2026-08-22T00:00:00"/>
    <m/>
    <n v="38"/>
    <n v="0.28000000000000003"/>
    <n v="10.64"/>
    <s v=""/>
    <x v="2"/>
    <x v="3"/>
    <x v="11"/>
  </r>
  <r>
    <s v="CLM102523"/>
    <s v="PT12353"/>
    <s v="P03"/>
    <x v="1"/>
    <x v="11"/>
    <n v="1"/>
    <d v="2026-01-29T00:00:00"/>
    <d v="2026-01-30T00:00:00"/>
    <n v="1143.29"/>
    <n v="480.25"/>
    <n v="480.25"/>
    <n v="0"/>
    <s v="Paid"/>
    <s v=""/>
    <d v="2026-03-17T00:00:00"/>
    <d v="2026-03-17T00:00:00"/>
    <n v="1150"/>
    <n v="0.47"/>
    <n v="540.5"/>
    <n v="60.25"/>
    <x v="1"/>
    <x v="4"/>
    <x v="5"/>
  </r>
  <r>
    <s v="CLM102524"/>
    <s v="PT11021"/>
    <s v="P01"/>
    <x v="1"/>
    <x v="4"/>
    <n v="1"/>
    <d v="2026-03-03T00:00:00"/>
    <d v="2026-03-06T00:00:00"/>
    <n v="38.78"/>
    <n v="18.239999999999998"/>
    <n v="14.59"/>
    <n v="3.65"/>
    <s v="Paid"/>
    <s v=""/>
    <d v="2026-03-31T00:00:00"/>
    <d v="2026-03-31T00:00:00"/>
    <n v="38"/>
    <n v="0.45"/>
    <n v="17.100000000000001"/>
    <n v="-1.139999999999997"/>
    <x v="0"/>
    <x v="5"/>
    <x v="2"/>
  </r>
  <r>
    <s v="CLM102525"/>
    <s v="PT12536"/>
    <s v="P02"/>
    <x v="2"/>
    <x v="0"/>
    <n v="1"/>
    <d v="2026-02-11T00:00:00"/>
    <d v="2026-02-12T00:00:00"/>
    <n v="146.38"/>
    <n v="57.68"/>
    <n v="46.14"/>
    <n v="11.54"/>
    <s v="Paid"/>
    <s v=""/>
    <d v="2026-03-25T00:00:00"/>
    <d v="2026-03-25T00:00:00"/>
    <n v="145"/>
    <n v="0.43"/>
    <n v="62.35"/>
    <n v="4.6700000000000017"/>
    <x v="1"/>
    <x v="6"/>
    <x v="0"/>
  </r>
  <r>
    <s v="CLM102526"/>
    <s v="PT11252"/>
    <s v="P05"/>
    <x v="0"/>
    <x v="7"/>
    <n v="1"/>
    <d v="2025-11-01T00:00:00"/>
    <d v="2025-11-04T00:00:00"/>
    <n v="212.96"/>
    <n v="90.66"/>
    <n v="90.66"/>
    <n v="0"/>
    <s v="Paid"/>
    <s v=""/>
    <d v="2026-01-05T00:00:00"/>
    <d v="2026-01-05T00:00:00"/>
    <n v="210"/>
    <n v="0.38"/>
    <n v="79.8"/>
    <n v="-10.86"/>
    <x v="0"/>
    <x v="0"/>
    <x v="3"/>
  </r>
  <r>
    <s v="CLM102527"/>
    <s v="PT13240"/>
    <s v="P04"/>
    <x v="2"/>
    <x v="0"/>
    <n v="1"/>
    <d v="2026-07-28T00:00:00"/>
    <d v="2026-07-30T00:00:00"/>
    <n v="140.82"/>
    <n v="52.11"/>
    <n v="52.11"/>
    <n v="0"/>
    <s v="Paid"/>
    <s v=""/>
    <d v="2026-08-15T00:00:00"/>
    <d v="2026-08-15T00:00:00"/>
    <n v="145"/>
    <n v="0.36"/>
    <n v="52.2"/>
    <n v="9.0000000000003411E-2"/>
    <x v="0"/>
    <x v="1"/>
    <x v="1"/>
  </r>
  <r>
    <s v="CLM102528"/>
    <s v="PT11971"/>
    <s v="P01"/>
    <x v="2"/>
    <x v="9"/>
    <n v="3"/>
    <d v="2026-05-29T00:00:00"/>
    <d v="2026-05-31T00:00:00"/>
    <n v="176.02"/>
    <n v="87.24"/>
    <n v="87.24"/>
    <n v="0"/>
    <s v="Paid"/>
    <s v=""/>
    <d v="2026-07-02T00:00:00"/>
    <d v="2026-07-02T00:00:00"/>
    <n v="58"/>
    <n v="0.45"/>
    <n v="78.3"/>
    <n v="-8.9399999999999977"/>
    <x v="0"/>
    <x v="5"/>
    <x v="7"/>
  </r>
  <r>
    <s v="CLM102529"/>
    <s v="PT10624"/>
    <s v="P02"/>
    <x v="1"/>
    <x v="11"/>
    <n v="1"/>
    <d v="2026-09-13T00:00:00"/>
    <d v="2026-09-14T00:00:00"/>
    <n v="1129.8699999999999"/>
    <m/>
    <m/>
    <m/>
    <s v="Pending"/>
    <s v=""/>
    <m/>
    <m/>
    <n v="1150"/>
    <n v="0.43"/>
    <n v="494.5"/>
    <s v=""/>
    <x v="2"/>
    <x v="6"/>
    <x v="8"/>
  </r>
  <r>
    <s v="CLM102530"/>
    <s v="PT11327"/>
    <s v="P07"/>
    <x v="1"/>
    <x v="10"/>
    <n v="1"/>
    <d v="2025-10-12T00:00:00"/>
    <d v="2025-10-16T00:00:00"/>
    <n v="1058.4100000000001"/>
    <m/>
    <m/>
    <m/>
    <s v="Denied"/>
    <s v="CO-11"/>
    <d v="2025-12-16T00:00:00"/>
    <m/>
    <n v="1050"/>
    <n v="0.28000000000000003"/>
    <n v="294"/>
    <s v=""/>
    <x v="2"/>
    <x v="3"/>
    <x v="9"/>
  </r>
  <r>
    <s v="CLM102531"/>
    <s v="PT11328"/>
    <s v="P02"/>
    <x v="0"/>
    <x v="7"/>
    <n v="1"/>
    <d v="2025-12-07T00:00:00"/>
    <d v="2025-12-14T00:00:00"/>
    <n v="207.82"/>
    <n v="77.5"/>
    <n v="69.75"/>
    <n v="7.75"/>
    <s v="Paid"/>
    <s v=""/>
    <d v="2026-01-23T00:00:00"/>
    <d v="2026-01-23T00:00:00"/>
    <n v="210"/>
    <n v="0.43"/>
    <n v="90.3"/>
    <n v="12.799999999999997"/>
    <x v="1"/>
    <x v="6"/>
    <x v="6"/>
  </r>
  <r>
    <s v="CLM102532"/>
    <s v="PT11396"/>
    <s v="P01"/>
    <x v="0"/>
    <x v="4"/>
    <n v="1"/>
    <d v="2026-07-28T00:00:00"/>
    <d v="2026-07-30T00:00:00"/>
    <n v="39.04"/>
    <n v="15.12"/>
    <n v="13.61"/>
    <n v="1.51"/>
    <s v="Paid"/>
    <s v=""/>
    <d v="2026-09-06T00:00:00"/>
    <d v="2026-09-06T00:00:00"/>
    <n v="38"/>
    <n v="0.45"/>
    <n v="17.100000000000001"/>
    <n v="1.9800000000000022"/>
    <x v="1"/>
    <x v="5"/>
    <x v="1"/>
  </r>
  <r>
    <s v="CLM102533"/>
    <s v="PT10952"/>
    <s v="P01"/>
    <x v="0"/>
    <x v="0"/>
    <n v="1"/>
    <d v="2026-08-14T00:00:00"/>
    <d v="2026-08-21T00:00:00"/>
    <n v="142.01"/>
    <m/>
    <m/>
    <m/>
    <s v="Pending"/>
    <s v=""/>
    <m/>
    <m/>
    <n v="145"/>
    <n v="0.45"/>
    <n v="65.25"/>
    <s v=""/>
    <x v="2"/>
    <x v="5"/>
    <x v="4"/>
  </r>
  <r>
    <s v="CLM102534"/>
    <s v="PT12930"/>
    <s v="P07"/>
    <x v="0"/>
    <x v="0"/>
    <n v="1"/>
    <d v="2026-06-22T00:00:00"/>
    <d v="2026-06-23T00:00:00"/>
    <n v="141.31"/>
    <m/>
    <m/>
    <m/>
    <s v="Denied"/>
    <s v="CO-50"/>
    <d v="2026-08-20T00:00:00"/>
    <m/>
    <n v="145"/>
    <n v="0.28000000000000003"/>
    <n v="40.6"/>
    <s v=""/>
    <x v="2"/>
    <x v="3"/>
    <x v="11"/>
  </r>
  <r>
    <s v="CLM102535"/>
    <s v="PT11364"/>
    <s v="P04"/>
    <x v="3"/>
    <x v="6"/>
    <n v="1"/>
    <d v="2026-02-08T00:00:00"/>
    <d v="2026-02-23T00:00:00"/>
    <n v="430.88"/>
    <n v="173.19"/>
    <n v="173.19"/>
    <n v="0"/>
    <s v="Paid"/>
    <s v=""/>
    <d v="2026-03-13T00:00:00"/>
    <d v="2026-03-13T00:00:00"/>
    <n v="420"/>
    <n v="0.36"/>
    <n v="151.19999999999999"/>
    <n v="-21.990000000000009"/>
    <x v="0"/>
    <x v="1"/>
    <x v="0"/>
  </r>
  <r>
    <s v="CLM102536"/>
    <s v="PT11677"/>
    <s v="P02"/>
    <x v="3"/>
    <x v="6"/>
    <n v="1"/>
    <d v="2025-12-02T00:00:00"/>
    <d v="2025-12-04T00:00:00"/>
    <n v="429.93"/>
    <n v="165.14"/>
    <n v="148.63"/>
    <n v="16.510000000000002"/>
    <s v="Paid"/>
    <s v=""/>
    <d v="2025-12-22T00:00:00"/>
    <d v="2025-12-22T00:00:00"/>
    <n v="420"/>
    <n v="0.43"/>
    <n v="180.6"/>
    <n v="15.460000000000008"/>
    <x v="1"/>
    <x v="6"/>
    <x v="6"/>
  </r>
  <r>
    <s v="CLM102537"/>
    <s v="PT12933"/>
    <s v="P06"/>
    <x v="1"/>
    <x v="5"/>
    <n v="1"/>
    <d v="2025-12-01T00:00:00"/>
    <d v="2025-12-02T00:00:00"/>
    <n v="4870.55"/>
    <n v="1385.15"/>
    <n v="1246.6300000000001"/>
    <n v="138.52000000000001"/>
    <s v="Paid"/>
    <s v=""/>
    <d v="2026-01-09T00:00:00"/>
    <d v="2026-01-09T00:00:00"/>
    <n v="4800"/>
    <n v="0.27"/>
    <n v="1296"/>
    <n v="-89.150000000000091"/>
    <x v="0"/>
    <x v="2"/>
    <x v="6"/>
  </r>
  <r>
    <s v="CLM102538"/>
    <s v="PT12051"/>
    <s v="P01"/>
    <x v="0"/>
    <x v="8"/>
    <n v="1"/>
    <d v="2025-10-01T00:00:00"/>
    <d v="2025-10-13T00:00:00"/>
    <n v="259.35000000000002"/>
    <n v="109.05"/>
    <n v="87.24"/>
    <n v="21.81"/>
    <s v="Paid"/>
    <s v=""/>
    <d v="2025-11-20T00:00:00"/>
    <d v="2025-11-20T00:00:00"/>
    <n v="260"/>
    <n v="0.45"/>
    <n v="117"/>
    <n v="7.9500000000000028"/>
    <x v="1"/>
    <x v="5"/>
    <x v="9"/>
  </r>
  <r>
    <s v="CLM102539"/>
    <s v="PT10098"/>
    <s v="P04"/>
    <x v="2"/>
    <x v="0"/>
    <n v="1"/>
    <d v="2026-08-01T00:00:00"/>
    <d v="2026-08-10T00:00:00"/>
    <n v="144.52000000000001"/>
    <n v="55.15"/>
    <n v="44.12"/>
    <n v="11.03"/>
    <s v="Paid"/>
    <s v=""/>
    <d v="2026-08-30T00:00:00"/>
    <d v="2026-08-30T00:00:00"/>
    <n v="145"/>
    <n v="0.36"/>
    <n v="52.2"/>
    <n v="-2.9499999999999957"/>
    <x v="0"/>
    <x v="1"/>
    <x v="4"/>
  </r>
  <r>
    <s v="CLM102540"/>
    <s v="PT12457"/>
    <s v="P01"/>
    <x v="2"/>
    <x v="0"/>
    <n v="1"/>
    <d v="2026-07-31T00:00:00"/>
    <d v="2026-08-01T00:00:00"/>
    <n v="140.97999999999999"/>
    <n v="61.81"/>
    <n v="61.81"/>
    <n v="0"/>
    <s v="Paid"/>
    <s v=""/>
    <d v="2026-08-31T00:00:00"/>
    <d v="2026-08-31T00:00:00"/>
    <n v="145"/>
    <n v="0.45"/>
    <n v="65.25"/>
    <n v="3.4399999999999977"/>
    <x v="1"/>
    <x v="5"/>
    <x v="1"/>
  </r>
  <r>
    <s v="CLM102541"/>
    <s v="PT11600"/>
    <s v="P03"/>
    <x v="1"/>
    <x v="5"/>
    <n v="1"/>
    <d v="2026-06-14T00:00:00"/>
    <d v="2026-06-18T00:00:00"/>
    <n v="4816.49"/>
    <m/>
    <m/>
    <m/>
    <s v="Denied"/>
    <s v="CO-197"/>
    <d v="2026-08-04T00:00:00"/>
    <m/>
    <n v="4800"/>
    <n v="0.47"/>
    <n v="2256"/>
    <s v=""/>
    <x v="2"/>
    <x v="4"/>
    <x v="11"/>
  </r>
  <r>
    <s v="CLM102542"/>
    <s v="PT11722"/>
    <s v="P04"/>
    <x v="0"/>
    <x v="7"/>
    <n v="1"/>
    <d v="2025-11-28T00:00:00"/>
    <d v="2025-12-01T00:00:00"/>
    <n v="208.84"/>
    <n v="80.650000000000006"/>
    <n v="72.58"/>
    <n v="8.07"/>
    <s v="Paid"/>
    <s v=""/>
    <d v="2025-12-27T00:00:00"/>
    <d v="2025-12-27T00:00:00"/>
    <n v="210"/>
    <n v="0.36"/>
    <n v="75.599999999999994"/>
    <n v="-5.0500000000000114"/>
    <x v="0"/>
    <x v="1"/>
    <x v="3"/>
  </r>
  <r>
    <s v="CLM102543"/>
    <s v="PT12196"/>
    <s v="P08"/>
    <x v="2"/>
    <x v="2"/>
    <n v="1"/>
    <d v="2026-08-18T00:00:00"/>
    <d v="2026-08-20T00:00:00"/>
    <n v="62.6"/>
    <m/>
    <m/>
    <m/>
    <s v="Pending"/>
    <s v=""/>
    <m/>
    <m/>
    <n v="62"/>
    <n v="1"/>
    <n v="62"/>
    <s v=""/>
    <x v="2"/>
    <x v="7"/>
    <x v="4"/>
  </r>
  <r>
    <s v="CLM102544"/>
    <s v="PT10459"/>
    <s v="P03"/>
    <x v="3"/>
    <x v="6"/>
    <n v="1"/>
    <d v="2026-06-26T00:00:00"/>
    <d v="2026-06-29T00:00:00"/>
    <n v="408.26"/>
    <m/>
    <m/>
    <m/>
    <s v="Denied"/>
    <s v="CO-50"/>
    <d v="2026-08-06T00:00:00"/>
    <m/>
    <n v="420"/>
    <n v="0.47"/>
    <n v="197.4"/>
    <s v=""/>
    <x v="2"/>
    <x v="4"/>
    <x v="11"/>
  </r>
  <r>
    <s v="CLM102545"/>
    <s v="PT12185"/>
    <s v="P03"/>
    <x v="2"/>
    <x v="9"/>
    <n v="1"/>
    <d v="2026-08-20T00:00:00"/>
    <d v="2026-08-22T00:00:00"/>
    <n v="57.85"/>
    <n v="24.98"/>
    <n v="24.98"/>
    <n v="0"/>
    <s v="Paid"/>
    <s v=""/>
    <d v="2026-08-28T00:00:00"/>
    <d v="2026-08-28T00:00:00"/>
    <n v="58"/>
    <n v="0.47"/>
    <n v="27.26"/>
    <n v="2.2800000000000011"/>
    <x v="1"/>
    <x v="4"/>
    <x v="4"/>
  </r>
  <r>
    <s v="CLM102546"/>
    <s v="PT11419"/>
    <s v="P02"/>
    <x v="1"/>
    <x v="5"/>
    <n v="1"/>
    <d v="2026-05-16T00:00:00"/>
    <d v="2026-05-19T00:00:00"/>
    <n v="4930.26"/>
    <n v="2192.15"/>
    <n v="1972.93"/>
    <n v="219.22"/>
    <s v="Paid"/>
    <s v=""/>
    <d v="2026-06-15T00:00:00"/>
    <d v="2026-06-15T00:00:00"/>
    <n v="4800"/>
    <n v="0.43"/>
    <n v="2064"/>
    <n v="-128.15000000000009"/>
    <x v="0"/>
    <x v="6"/>
    <x v="7"/>
  </r>
  <r>
    <s v="CLM102547"/>
    <s v="PT11552"/>
    <s v="P04"/>
    <x v="2"/>
    <x v="0"/>
    <n v="1"/>
    <d v="2026-04-29T00:00:00"/>
    <d v="2026-04-30T00:00:00"/>
    <n v="144.66"/>
    <n v="44.55"/>
    <n v="35.64"/>
    <n v="8.91"/>
    <s v="Paid"/>
    <s v=""/>
    <d v="2026-05-16T00:00:00"/>
    <d v="2026-05-16T00:00:00"/>
    <n v="145"/>
    <n v="0.36"/>
    <n v="52.2"/>
    <n v="7.6500000000000057"/>
    <x v="1"/>
    <x v="1"/>
    <x v="10"/>
  </r>
  <r>
    <s v="CLM102548"/>
    <s v="PT11438"/>
    <s v="P03"/>
    <x v="0"/>
    <x v="4"/>
    <n v="1"/>
    <d v="2025-11-05T00:00:00"/>
    <d v="2025-11-07T00:00:00"/>
    <n v="38.840000000000003"/>
    <n v="16.07"/>
    <n v="16.07"/>
    <n v="0"/>
    <s v="Paid"/>
    <s v=""/>
    <d v="2025-12-10T00:00:00"/>
    <d v="2025-12-10T00:00:00"/>
    <n v="38"/>
    <n v="0.47"/>
    <n v="17.86"/>
    <n v="1.7899999999999991"/>
    <x v="1"/>
    <x v="4"/>
    <x v="3"/>
  </r>
  <r>
    <s v="CLM102549"/>
    <s v="PT10858"/>
    <s v="P06"/>
    <x v="3"/>
    <x v="6"/>
    <n v="1"/>
    <d v="2026-01-15T00:00:00"/>
    <d v="2026-01-17T00:00:00"/>
    <n v="432.52"/>
    <n v="116.92"/>
    <n v="93.54"/>
    <n v="23.38"/>
    <s v="Paid"/>
    <s v=""/>
    <d v="2026-03-03T00:00:00"/>
    <d v="2026-03-03T00:00:00"/>
    <n v="420"/>
    <n v="0.27"/>
    <n v="113.4"/>
    <n v="-3.519999999999996"/>
    <x v="0"/>
    <x v="2"/>
    <x v="5"/>
  </r>
  <r>
    <s v="CLM102550"/>
    <s v="PT12881"/>
    <s v="P01"/>
    <x v="0"/>
    <x v="7"/>
    <n v="1"/>
    <d v="2025-10-17T00:00:00"/>
    <d v="2025-10-21T00:00:00"/>
    <n v="205.4"/>
    <n v="90.37"/>
    <n v="72.3"/>
    <n v="18.07"/>
    <s v="Paid"/>
    <s v=""/>
    <d v="2025-11-18T00:00:00"/>
    <d v="2025-11-18T00:00:00"/>
    <n v="210"/>
    <n v="0.45"/>
    <n v="94.5"/>
    <n v="4.1299999999999955"/>
    <x v="0"/>
    <x v="5"/>
    <x v="9"/>
  </r>
  <r>
    <s v="CLM102551"/>
    <s v="PT13439"/>
    <s v="P01"/>
    <x v="0"/>
    <x v="7"/>
    <n v="1"/>
    <d v="2026-01-11T00:00:00"/>
    <d v="2026-01-14T00:00:00"/>
    <n v="204.95"/>
    <n v="80.989999999999995"/>
    <n v="80.989999999999995"/>
    <n v="0"/>
    <s v="Paid"/>
    <s v=""/>
    <d v="2026-02-05T00:00:00"/>
    <d v="2026-02-05T00:00:00"/>
    <n v="210"/>
    <n v="0.45"/>
    <n v="94.5"/>
    <n v="13.510000000000005"/>
    <x v="1"/>
    <x v="5"/>
    <x v="5"/>
  </r>
  <r>
    <s v="CLM102552"/>
    <s v="PT11188"/>
    <s v="P02"/>
    <x v="0"/>
    <x v="8"/>
    <n v="1"/>
    <d v="2026-06-04T00:00:00"/>
    <d v="2026-06-05T00:00:00"/>
    <n v="262.7"/>
    <m/>
    <m/>
    <m/>
    <s v="Denied"/>
    <s v="CO-16"/>
    <d v="2026-07-29T00:00:00"/>
    <m/>
    <n v="260"/>
    <n v="0.43"/>
    <n v="111.8"/>
    <s v=""/>
    <x v="2"/>
    <x v="6"/>
    <x v="11"/>
  </r>
  <r>
    <s v="CLM102553"/>
    <s v="PT11644"/>
    <s v="P03"/>
    <x v="1"/>
    <x v="8"/>
    <n v="1"/>
    <d v="2025-10-19T00:00:00"/>
    <d v="2025-10-23T00:00:00"/>
    <n v="262.58999999999997"/>
    <n v="112.83"/>
    <n v="90.26"/>
    <n v="22.57"/>
    <s v="Paid"/>
    <s v=""/>
    <d v="2025-11-27T00:00:00"/>
    <d v="2025-11-27T00:00:00"/>
    <n v="260"/>
    <n v="0.47"/>
    <n v="122.2"/>
    <n v="9.3700000000000045"/>
    <x v="1"/>
    <x v="4"/>
    <x v="9"/>
  </r>
  <r>
    <s v="CLM102554"/>
    <s v="PT12155"/>
    <s v="P03"/>
    <x v="0"/>
    <x v="7"/>
    <n v="1"/>
    <d v="2026-06-02T00:00:00"/>
    <d v="2026-06-04T00:00:00"/>
    <n v="205.4"/>
    <n v="82.35"/>
    <n v="82.35"/>
    <n v="0"/>
    <s v="Paid"/>
    <s v=""/>
    <d v="2026-07-25T00:00:00"/>
    <d v="2026-07-25T00:00:00"/>
    <n v="210"/>
    <n v="0.47"/>
    <n v="98.7"/>
    <n v="16.350000000000009"/>
    <x v="1"/>
    <x v="4"/>
    <x v="11"/>
  </r>
  <r>
    <s v="CLM102555"/>
    <s v="PT10072"/>
    <s v="P01"/>
    <x v="1"/>
    <x v="4"/>
    <n v="1"/>
    <d v="2025-10-16T00:00:00"/>
    <d v="2025-10-18T00:00:00"/>
    <n v="38.18"/>
    <n v="17.8"/>
    <n v="17.8"/>
    <n v="0"/>
    <s v="Paid"/>
    <s v=""/>
    <d v="2025-11-01T00:00:00"/>
    <d v="2025-11-01T00:00:00"/>
    <n v="38"/>
    <n v="0.45"/>
    <n v="17.100000000000001"/>
    <n v="-0.69999999999999929"/>
    <x v="0"/>
    <x v="5"/>
    <x v="9"/>
  </r>
  <r>
    <s v="CLM102556"/>
    <s v="PT12839"/>
    <s v="P01"/>
    <x v="0"/>
    <x v="8"/>
    <n v="1"/>
    <d v="2026-07-18T00:00:00"/>
    <d v="2026-07-23T00:00:00"/>
    <n v="261.04000000000002"/>
    <n v="109.12"/>
    <n v="87.3"/>
    <n v="21.82"/>
    <s v="Paid"/>
    <s v=""/>
    <d v="2026-08-20T00:00:00"/>
    <d v="2026-08-20T00:00:00"/>
    <n v="260"/>
    <n v="0.45"/>
    <n v="117"/>
    <n v="7.8799999999999955"/>
    <x v="1"/>
    <x v="5"/>
    <x v="1"/>
  </r>
  <r>
    <s v="CLM102557"/>
    <s v="PT10228"/>
    <s v="P03"/>
    <x v="1"/>
    <x v="8"/>
    <n v="1"/>
    <d v="2026-04-12T00:00:00"/>
    <d v="2026-04-14T00:00:00"/>
    <n v="254.65"/>
    <n v="113.86"/>
    <n v="91.09"/>
    <n v="22.77"/>
    <s v="Paid"/>
    <s v=""/>
    <d v="2026-05-21T00:00:00"/>
    <d v="2026-05-21T00:00:00"/>
    <n v="260"/>
    <n v="0.47"/>
    <n v="122.2"/>
    <n v="8.3400000000000034"/>
    <x v="1"/>
    <x v="4"/>
    <x v="10"/>
  </r>
  <r>
    <s v="CLM102558"/>
    <s v="PT10418"/>
    <s v="P02"/>
    <x v="1"/>
    <x v="7"/>
    <n v="1"/>
    <d v="2025-12-06T00:00:00"/>
    <d v="2025-12-19T00:00:00"/>
    <n v="206.53"/>
    <m/>
    <m/>
    <m/>
    <s v="Denied"/>
    <s v="CO-27"/>
    <d v="2026-02-04T00:00:00"/>
    <m/>
    <n v="210"/>
    <n v="0.43"/>
    <n v="90.3"/>
    <s v=""/>
    <x v="2"/>
    <x v="6"/>
    <x v="6"/>
  </r>
  <r>
    <s v="CLM102559"/>
    <s v="PT11379"/>
    <s v="P01"/>
    <x v="3"/>
    <x v="6"/>
    <n v="1"/>
    <d v="2026-06-22T00:00:00"/>
    <d v="2026-06-23T00:00:00"/>
    <n v="428.84"/>
    <n v="215.95"/>
    <n v="215.95"/>
    <n v="0"/>
    <s v="Paid"/>
    <s v=""/>
    <d v="2026-07-02T00:00:00"/>
    <d v="2026-07-02T00:00:00"/>
    <n v="420"/>
    <n v="0.45"/>
    <n v="189"/>
    <n v="-26.949999999999989"/>
    <x v="0"/>
    <x v="5"/>
    <x v="11"/>
  </r>
  <r>
    <s v="CLM102560"/>
    <s v="PT11990"/>
    <s v="P03"/>
    <x v="1"/>
    <x v="10"/>
    <n v="1"/>
    <d v="2026-09-29T00:00:00"/>
    <d v="2026-09-30T00:00:00"/>
    <n v="1052.6600000000001"/>
    <m/>
    <m/>
    <m/>
    <s v="Pending"/>
    <s v=""/>
    <m/>
    <m/>
    <n v="1050"/>
    <n v="0.47"/>
    <n v="493.5"/>
    <s v=""/>
    <x v="2"/>
    <x v="4"/>
    <x v="8"/>
  </r>
  <r>
    <s v="CLM102561"/>
    <s v="PT13396"/>
    <s v="P04"/>
    <x v="0"/>
    <x v="0"/>
    <n v="1"/>
    <d v="2026-04-14T00:00:00"/>
    <d v="2026-04-17T00:00:00"/>
    <n v="147.61000000000001"/>
    <n v="52.7"/>
    <n v="47.43"/>
    <n v="5.27"/>
    <s v="Paid"/>
    <s v=""/>
    <d v="2026-05-01T00:00:00"/>
    <d v="2026-05-01T00:00:00"/>
    <n v="145"/>
    <n v="0.36"/>
    <n v="52.2"/>
    <n v="-0.5"/>
    <x v="0"/>
    <x v="1"/>
    <x v="10"/>
  </r>
  <r>
    <s v="CLM102562"/>
    <s v="PT10783"/>
    <s v="P02"/>
    <x v="0"/>
    <x v="8"/>
    <n v="1"/>
    <d v="2025-12-19T00:00:00"/>
    <d v="2025-12-20T00:00:00"/>
    <n v="252.43"/>
    <n v="114.43"/>
    <n v="91.54"/>
    <n v="22.89"/>
    <s v="Paid"/>
    <s v=""/>
    <d v="2026-01-28T00:00:00"/>
    <d v="2026-01-28T00:00:00"/>
    <n v="260"/>
    <n v="0.43"/>
    <n v="111.8"/>
    <n v="-2.6300000000000097"/>
    <x v="0"/>
    <x v="6"/>
    <x v="6"/>
  </r>
  <r>
    <s v="CLM102563"/>
    <s v="PT10450"/>
    <s v="P07"/>
    <x v="3"/>
    <x v="3"/>
    <n v="30"/>
    <d v="2026-01-29T00:00:00"/>
    <d v="2026-01-31T00:00:00"/>
    <n v="42395.47"/>
    <m/>
    <m/>
    <m/>
    <s v="Denied"/>
    <s v="CO-197"/>
    <d v="2026-04-20T00:00:00"/>
    <m/>
    <n v="1450"/>
    <n v="0.28000000000000003"/>
    <n v="12180"/>
    <s v=""/>
    <x v="2"/>
    <x v="3"/>
    <x v="5"/>
  </r>
  <r>
    <s v="CLM102564"/>
    <s v="PT10026"/>
    <s v="P02"/>
    <x v="1"/>
    <x v="7"/>
    <n v="1"/>
    <d v="2026-04-13T00:00:00"/>
    <d v="2026-04-20T00:00:00"/>
    <n v="211.65"/>
    <n v="98.59"/>
    <n v="78.87"/>
    <n v="19.72"/>
    <s v="Paid"/>
    <s v=""/>
    <d v="2026-05-16T00:00:00"/>
    <d v="2026-05-16T00:00:00"/>
    <n v="210"/>
    <n v="0.43"/>
    <n v="90.3"/>
    <n v="-8.2900000000000063"/>
    <x v="0"/>
    <x v="6"/>
    <x v="10"/>
  </r>
  <r>
    <s v="CLM102565"/>
    <s v="PT13004"/>
    <s v="P02"/>
    <x v="0"/>
    <x v="0"/>
    <n v="1"/>
    <d v="2025-11-17T00:00:00"/>
    <d v="2025-11-21T00:00:00"/>
    <n v="148.25"/>
    <n v="69.900000000000006"/>
    <n v="69.900000000000006"/>
    <n v="0"/>
    <s v="Paid"/>
    <s v=""/>
    <d v="2025-12-18T00:00:00"/>
    <d v="2025-12-18T00:00:00"/>
    <n v="145"/>
    <n v="0.43"/>
    <n v="62.35"/>
    <n v="-7.5500000000000043"/>
    <x v="0"/>
    <x v="6"/>
    <x v="3"/>
  </r>
  <r>
    <s v="CLM102566"/>
    <s v="PT13182"/>
    <s v="P08"/>
    <x v="1"/>
    <x v="10"/>
    <n v="1"/>
    <d v="2026-09-12T00:00:00"/>
    <d v="2026-09-21T00:00:00"/>
    <n v="1056.25"/>
    <m/>
    <m/>
    <m/>
    <s v="Pending"/>
    <s v=""/>
    <m/>
    <m/>
    <n v="1050"/>
    <n v="1"/>
    <n v="1050"/>
    <s v=""/>
    <x v="2"/>
    <x v="7"/>
    <x v="8"/>
  </r>
  <r>
    <s v="CLM102567"/>
    <s v="PT10424"/>
    <s v="P08"/>
    <x v="1"/>
    <x v="8"/>
    <n v="1"/>
    <d v="2026-01-21T00:00:00"/>
    <d v="2026-01-23T00:00:00"/>
    <n v="256.27999999999997"/>
    <m/>
    <m/>
    <m/>
    <s v="Pending"/>
    <s v=""/>
    <m/>
    <m/>
    <n v="260"/>
    <n v="1"/>
    <n v="260"/>
    <s v=""/>
    <x v="2"/>
    <x v="7"/>
    <x v="5"/>
  </r>
  <r>
    <s v="CLM102568"/>
    <s v="PT10641"/>
    <s v="P08"/>
    <x v="1"/>
    <x v="5"/>
    <n v="1"/>
    <d v="2026-07-15T00:00:00"/>
    <d v="2026-07-17T00:00:00"/>
    <n v="4838.4399999999996"/>
    <n v="4838.4399999999996"/>
    <n v="4838.4399999999996"/>
    <n v="0"/>
    <s v="Paid"/>
    <s v=""/>
    <d v="2026-09-24T00:00:00"/>
    <d v="2026-09-24T00:00:00"/>
    <n v="4800"/>
    <n v="1"/>
    <n v="4800"/>
    <n v="-38.4399999999996"/>
    <x v="0"/>
    <x v="7"/>
    <x v="1"/>
  </r>
  <r>
    <s v="CLM102569"/>
    <s v="PT10005"/>
    <s v="P03"/>
    <x v="1"/>
    <x v="8"/>
    <n v="1"/>
    <d v="2026-07-28T00:00:00"/>
    <d v="2026-07-30T00:00:00"/>
    <n v="262.63"/>
    <n v="124.18"/>
    <n v="99.34"/>
    <n v="24.84"/>
    <s v="Paid"/>
    <s v=""/>
    <d v="2026-09-17T00:00:00"/>
    <d v="2026-09-17T00:00:00"/>
    <n v="260"/>
    <n v="0.47"/>
    <n v="122.2"/>
    <n v="-1.980000000000004"/>
    <x v="0"/>
    <x v="4"/>
    <x v="1"/>
  </r>
  <r>
    <s v="CLM102570"/>
    <s v="PT11075"/>
    <s v="P06"/>
    <x v="0"/>
    <x v="8"/>
    <n v="1"/>
    <d v="2026-04-16T00:00:00"/>
    <d v="2026-04-18T00:00:00"/>
    <n v="259.27"/>
    <n v="69.099999999999994"/>
    <n v="69.099999999999994"/>
    <n v="0"/>
    <s v="Paid"/>
    <s v=""/>
    <d v="2026-05-28T00:00:00"/>
    <d v="2026-05-28T00:00:00"/>
    <n v="260"/>
    <n v="0.27"/>
    <n v="70.2"/>
    <n v="1.1000000000000085"/>
    <x v="0"/>
    <x v="2"/>
    <x v="10"/>
  </r>
  <r>
    <s v="CLM102571"/>
    <s v="PT12456"/>
    <s v="P05"/>
    <x v="2"/>
    <x v="9"/>
    <n v="1"/>
    <d v="2026-04-18T00:00:00"/>
    <d v="2026-04-19T00:00:00"/>
    <n v="57.36"/>
    <n v="23.04"/>
    <n v="18.43"/>
    <n v="4.6100000000000003"/>
    <s v="Paid"/>
    <s v=""/>
    <d v="2026-06-13T00:00:00"/>
    <d v="2026-06-13T00:00:00"/>
    <n v="58"/>
    <n v="0.38"/>
    <n v="22.04"/>
    <n v="-1"/>
    <x v="0"/>
    <x v="0"/>
    <x v="10"/>
  </r>
  <r>
    <s v="CLM102572"/>
    <s v="PT10015"/>
    <s v="P03"/>
    <x v="1"/>
    <x v="8"/>
    <n v="1"/>
    <d v="2026-02-15T00:00:00"/>
    <d v="2026-02-16T00:00:00"/>
    <n v="252.63"/>
    <n v="117.5"/>
    <n v="94"/>
    <n v="23.5"/>
    <s v="Paid"/>
    <s v=""/>
    <d v="2026-04-01T00:00:00"/>
    <d v="2026-04-01T00:00:00"/>
    <n v="260"/>
    <n v="0.47"/>
    <n v="122.2"/>
    <n v="4.7000000000000028"/>
    <x v="0"/>
    <x v="4"/>
    <x v="0"/>
  </r>
  <r>
    <s v="CLM102573"/>
    <s v="PT10761"/>
    <s v="P02"/>
    <x v="0"/>
    <x v="7"/>
    <n v="1"/>
    <d v="2025-11-24T00:00:00"/>
    <d v="2025-11-26T00:00:00"/>
    <n v="212.62"/>
    <n v="94.14"/>
    <n v="94.14"/>
    <n v="0"/>
    <s v="Paid"/>
    <s v=""/>
    <d v="2026-01-10T00:00:00"/>
    <d v="2026-01-10T00:00:00"/>
    <n v="210"/>
    <n v="0.43"/>
    <n v="90.3"/>
    <n v="-3.8400000000000034"/>
    <x v="0"/>
    <x v="6"/>
    <x v="3"/>
  </r>
  <r>
    <s v="CLM102574"/>
    <s v="PT12645"/>
    <s v="P08"/>
    <x v="2"/>
    <x v="9"/>
    <n v="1"/>
    <d v="2025-11-06T00:00:00"/>
    <d v="2025-11-07T00:00:00"/>
    <n v="59.16"/>
    <m/>
    <m/>
    <m/>
    <s v="Pending"/>
    <s v=""/>
    <m/>
    <m/>
    <n v="58"/>
    <n v="1"/>
    <n v="58"/>
    <s v=""/>
    <x v="2"/>
    <x v="7"/>
    <x v="3"/>
  </r>
  <r>
    <s v="CLM102575"/>
    <s v="PT11663"/>
    <s v="P03"/>
    <x v="0"/>
    <x v="8"/>
    <n v="1"/>
    <d v="2026-04-22T00:00:00"/>
    <d v="2026-04-27T00:00:00"/>
    <n v="255.97"/>
    <m/>
    <m/>
    <m/>
    <s v="Denied"/>
    <s v="CO-16"/>
    <d v="2026-06-13T00:00:00"/>
    <m/>
    <n v="260"/>
    <n v="0.47"/>
    <n v="122.2"/>
    <s v=""/>
    <x v="2"/>
    <x v="4"/>
    <x v="10"/>
  </r>
  <r>
    <s v="CLM102576"/>
    <s v="PT11900"/>
    <s v="P01"/>
    <x v="1"/>
    <x v="5"/>
    <n v="1"/>
    <d v="2026-03-14T00:00:00"/>
    <d v="2026-03-15T00:00:00"/>
    <n v="4721.05"/>
    <n v="1808.09"/>
    <n v="1446.47"/>
    <n v="361.62"/>
    <s v="Paid"/>
    <s v=""/>
    <d v="2026-04-10T00:00:00"/>
    <d v="2026-04-10T00:00:00"/>
    <n v="4800"/>
    <n v="0.45"/>
    <n v="2160"/>
    <n v="351.91000000000008"/>
    <x v="1"/>
    <x v="5"/>
    <x v="2"/>
  </r>
  <r>
    <s v="CLM102577"/>
    <s v="PT10284"/>
    <s v="P05"/>
    <x v="0"/>
    <x v="4"/>
    <n v="1"/>
    <d v="2026-08-22T00:00:00"/>
    <d v="2026-08-25T00:00:00"/>
    <n v="38.19"/>
    <m/>
    <m/>
    <m/>
    <s v="Pending"/>
    <s v=""/>
    <m/>
    <m/>
    <n v="38"/>
    <n v="0.38"/>
    <n v="14.44"/>
    <s v=""/>
    <x v="2"/>
    <x v="0"/>
    <x v="4"/>
  </r>
  <r>
    <s v="CLM102578"/>
    <s v="PT13134"/>
    <s v="P02"/>
    <x v="0"/>
    <x v="7"/>
    <n v="1"/>
    <d v="2025-11-24T00:00:00"/>
    <d v="2025-11-25T00:00:00"/>
    <n v="204.02"/>
    <n v="95.3"/>
    <n v="76.239999999999995"/>
    <n v="19.059999999999999"/>
    <s v="Paid"/>
    <s v=""/>
    <d v="2025-12-30T00:00:00"/>
    <d v="2025-12-30T00:00:00"/>
    <n v="210"/>
    <n v="0.43"/>
    <n v="90.3"/>
    <n v="-5"/>
    <x v="0"/>
    <x v="6"/>
    <x v="3"/>
  </r>
  <r>
    <s v="CLM102579"/>
    <s v="PT12161"/>
    <s v="P03"/>
    <x v="2"/>
    <x v="0"/>
    <n v="1"/>
    <d v="2026-07-21T00:00:00"/>
    <d v="2026-07-25T00:00:00"/>
    <n v="148.54"/>
    <n v="79.67"/>
    <n v="63.74"/>
    <n v="15.93"/>
    <s v="Paid"/>
    <s v=""/>
    <d v="2026-09-08T00:00:00"/>
    <d v="2026-09-08T00:00:00"/>
    <n v="145"/>
    <n v="0.47"/>
    <n v="68.150000000000006"/>
    <n v="-11.519999999999996"/>
    <x v="0"/>
    <x v="4"/>
    <x v="1"/>
  </r>
  <r>
    <s v="CLM102580"/>
    <s v="PT11173"/>
    <s v="P03"/>
    <x v="1"/>
    <x v="8"/>
    <n v="1"/>
    <d v="2026-07-21T00:00:00"/>
    <d v="2026-07-24T00:00:00"/>
    <n v="263.17"/>
    <m/>
    <m/>
    <m/>
    <s v="Denied"/>
    <s v="CO-16"/>
    <d v="2026-09-09T00:00:00"/>
    <m/>
    <n v="260"/>
    <n v="0.47"/>
    <n v="122.2"/>
    <s v=""/>
    <x v="2"/>
    <x v="4"/>
    <x v="1"/>
  </r>
  <r>
    <s v="CLM102581"/>
    <s v="PT12872"/>
    <s v="P03"/>
    <x v="1"/>
    <x v="1"/>
    <n v="1"/>
    <d v="2026-02-21T00:00:00"/>
    <d v="2026-02-23T00:00:00"/>
    <n v="236.08"/>
    <n v="104.71"/>
    <n v="83.77"/>
    <n v="20.94"/>
    <s v="Paid"/>
    <s v=""/>
    <d v="2026-04-14T00:00:00"/>
    <d v="2026-04-14T00:00:00"/>
    <n v="240"/>
    <n v="0.47"/>
    <n v="112.8"/>
    <n v="8.0900000000000034"/>
    <x v="1"/>
    <x v="4"/>
    <x v="0"/>
  </r>
  <r>
    <s v="CLM102582"/>
    <s v="PT11274"/>
    <s v="P07"/>
    <x v="2"/>
    <x v="9"/>
    <n v="3"/>
    <d v="2026-01-26T00:00:00"/>
    <d v="2026-01-29T00:00:00"/>
    <n v="179.07"/>
    <n v="53.49"/>
    <n v="53.49"/>
    <n v="0"/>
    <s v="Paid"/>
    <s v=""/>
    <d v="2026-03-05T00:00:00"/>
    <d v="2026-03-05T00:00:00"/>
    <n v="58"/>
    <n v="0.28000000000000003"/>
    <n v="48.72"/>
    <n v="-4.7700000000000031"/>
    <x v="0"/>
    <x v="3"/>
    <x v="5"/>
  </r>
  <r>
    <s v="CLM102583"/>
    <s v="PT12652"/>
    <s v="P02"/>
    <x v="0"/>
    <x v="7"/>
    <n v="1"/>
    <d v="2026-04-25T00:00:00"/>
    <d v="2026-04-26T00:00:00"/>
    <n v="216.05"/>
    <n v="81.2"/>
    <n v="64.959999999999994"/>
    <n v="16.239999999999998"/>
    <s v="Paid"/>
    <s v=""/>
    <d v="2026-06-13T00:00:00"/>
    <d v="2026-06-13T00:00:00"/>
    <n v="210"/>
    <n v="0.43"/>
    <n v="90.3"/>
    <n v="9.0999999999999943"/>
    <x v="1"/>
    <x v="6"/>
    <x v="10"/>
  </r>
  <r>
    <s v="CLM102584"/>
    <s v="PT10803"/>
    <s v="P01"/>
    <x v="2"/>
    <x v="2"/>
    <n v="1"/>
    <d v="2026-05-21T00:00:00"/>
    <d v="2026-05-30T00:00:00"/>
    <n v="63.72"/>
    <n v="25.59"/>
    <n v="25.59"/>
    <n v="0"/>
    <s v="Paid"/>
    <s v=""/>
    <d v="2026-06-13T00:00:00"/>
    <d v="2026-06-13T00:00:00"/>
    <n v="62"/>
    <n v="0.45"/>
    <n v="27.9"/>
    <n v="2.3099999999999987"/>
    <x v="1"/>
    <x v="5"/>
    <x v="7"/>
  </r>
  <r>
    <s v="CLM102585"/>
    <s v="PT11962"/>
    <s v="P06"/>
    <x v="3"/>
    <x v="7"/>
    <n v="1"/>
    <d v="2026-06-27T00:00:00"/>
    <d v="2026-06-29T00:00:00"/>
    <n v="208.44"/>
    <n v="62.15"/>
    <n v="62.15"/>
    <n v="0"/>
    <s v="Paid"/>
    <s v=""/>
    <d v="2026-08-07T00:00:00"/>
    <d v="2026-08-07T00:00:00"/>
    <n v="210"/>
    <n v="0.27"/>
    <n v="56.7"/>
    <n v="-5.4499999999999957"/>
    <x v="0"/>
    <x v="2"/>
    <x v="11"/>
  </r>
  <r>
    <s v="CLM102586"/>
    <s v="PT13133"/>
    <s v="P04"/>
    <x v="3"/>
    <x v="6"/>
    <n v="1"/>
    <d v="2026-09-05T00:00:00"/>
    <d v="2026-09-10T00:00:00"/>
    <n v="409.73"/>
    <n v="168.56"/>
    <n v="168.56"/>
    <n v="0"/>
    <s v="Paid"/>
    <s v=""/>
    <d v="2026-09-27T00:00:00"/>
    <d v="2026-09-27T00:00:00"/>
    <n v="420"/>
    <n v="0.36"/>
    <n v="151.19999999999999"/>
    <n v="-17.360000000000014"/>
    <x v="0"/>
    <x v="1"/>
    <x v="8"/>
  </r>
  <r>
    <s v="CLM102587"/>
    <s v="PT13378"/>
    <s v="P03"/>
    <x v="0"/>
    <x v="4"/>
    <n v="1"/>
    <d v="2025-10-18T00:00:00"/>
    <d v="2025-10-20T00:00:00"/>
    <n v="37.840000000000003"/>
    <n v="15.66"/>
    <n v="15.66"/>
    <n v="0"/>
    <s v="Paid"/>
    <s v=""/>
    <d v="2025-12-12T00:00:00"/>
    <d v="2025-12-12T00:00:00"/>
    <n v="38"/>
    <n v="0.47"/>
    <n v="17.86"/>
    <n v="2.1999999999999993"/>
    <x v="1"/>
    <x v="4"/>
    <x v="9"/>
  </r>
  <r>
    <s v="CLM102588"/>
    <s v="PT13072"/>
    <s v="P01"/>
    <x v="1"/>
    <x v="1"/>
    <n v="1"/>
    <d v="2025-12-02T00:00:00"/>
    <d v="2025-12-04T00:00:00"/>
    <n v="238.4"/>
    <n v="117.68"/>
    <n v="105.91"/>
    <n v="11.77"/>
    <s v="Paid"/>
    <s v=""/>
    <d v="2025-12-26T00:00:00"/>
    <d v="2025-12-26T00:00:00"/>
    <n v="240"/>
    <n v="0.45"/>
    <n v="108"/>
    <n v="-9.6800000000000068"/>
    <x v="0"/>
    <x v="5"/>
    <x v="6"/>
  </r>
  <r>
    <s v="CLM102589"/>
    <s v="PT12573"/>
    <s v="P02"/>
    <x v="1"/>
    <x v="11"/>
    <n v="1"/>
    <d v="2026-07-31T00:00:00"/>
    <d v="2026-08-04T00:00:00"/>
    <n v="1152.42"/>
    <m/>
    <m/>
    <m/>
    <s v="Denied"/>
    <s v="CO-27"/>
    <d v="2026-09-02T00:00:00"/>
    <m/>
    <n v="1150"/>
    <n v="0.43"/>
    <n v="494.5"/>
    <s v=""/>
    <x v="2"/>
    <x v="6"/>
    <x v="1"/>
  </r>
  <r>
    <s v="CLM102590"/>
    <s v="PT11628"/>
    <s v="P06"/>
    <x v="0"/>
    <x v="0"/>
    <n v="1"/>
    <d v="2026-01-27T00:00:00"/>
    <d v="2026-01-29T00:00:00"/>
    <n v="145.86000000000001"/>
    <n v="39.08"/>
    <n v="31.26"/>
    <n v="7.82"/>
    <s v="Paid"/>
    <s v=""/>
    <d v="2026-03-12T00:00:00"/>
    <d v="2026-03-12T00:00:00"/>
    <n v="145"/>
    <n v="0.27"/>
    <n v="39.15"/>
    <n v="7.0000000000000284E-2"/>
    <x v="0"/>
    <x v="2"/>
    <x v="5"/>
  </r>
  <r>
    <s v="CLM102591"/>
    <s v="PT10711"/>
    <s v="P08"/>
    <x v="2"/>
    <x v="0"/>
    <n v="1"/>
    <d v="2026-04-04T00:00:00"/>
    <d v="2026-04-08T00:00:00"/>
    <n v="143.44999999999999"/>
    <m/>
    <m/>
    <m/>
    <s v="Pending"/>
    <s v=""/>
    <m/>
    <m/>
    <n v="145"/>
    <n v="1"/>
    <n v="145"/>
    <s v=""/>
    <x v="2"/>
    <x v="7"/>
    <x v="10"/>
  </r>
  <r>
    <s v="CLM102592"/>
    <s v="PT11338"/>
    <s v="P01"/>
    <x v="0"/>
    <x v="0"/>
    <n v="1"/>
    <d v="2026-09-07T00:00:00"/>
    <d v="2026-09-20T00:00:00"/>
    <n v="141.35"/>
    <m/>
    <m/>
    <m/>
    <s v="Pending"/>
    <s v=""/>
    <m/>
    <m/>
    <n v="145"/>
    <n v="0.45"/>
    <n v="65.25"/>
    <s v=""/>
    <x v="2"/>
    <x v="5"/>
    <x v="8"/>
  </r>
  <r>
    <s v="CLM102593"/>
    <s v="PT10570"/>
    <s v="P01"/>
    <x v="0"/>
    <x v="4"/>
    <n v="1"/>
    <d v="2026-07-27T00:00:00"/>
    <d v="2026-07-31T00:00:00"/>
    <n v="37.909999999999997"/>
    <n v="19.54"/>
    <n v="19.54"/>
    <n v="0"/>
    <s v="Paid"/>
    <s v=""/>
    <d v="2026-08-24T00:00:00"/>
    <d v="2026-08-24T00:00:00"/>
    <n v="38"/>
    <n v="0.45"/>
    <n v="17.100000000000001"/>
    <n v="-2.4399999999999977"/>
    <x v="0"/>
    <x v="5"/>
    <x v="1"/>
  </r>
  <r>
    <s v="CLM102594"/>
    <s v="PT12557"/>
    <s v="P01"/>
    <x v="2"/>
    <x v="2"/>
    <n v="4"/>
    <d v="2026-09-10T00:00:00"/>
    <d v="2026-09-11T00:00:00"/>
    <n v="248.83"/>
    <m/>
    <m/>
    <m/>
    <s v="Pending"/>
    <s v=""/>
    <m/>
    <m/>
    <n v="62"/>
    <n v="0.45"/>
    <n v="111.6"/>
    <s v=""/>
    <x v="2"/>
    <x v="5"/>
    <x v="8"/>
  </r>
  <r>
    <s v="CLM102596"/>
    <s v="PT12572"/>
    <s v="P05"/>
    <x v="0"/>
    <x v="7"/>
    <n v="1"/>
    <d v="2026-01-20T00:00:00"/>
    <d v="2026-01-22T00:00:00"/>
    <n v="204.63"/>
    <n v="69.14"/>
    <n v="55.31"/>
    <n v="13.83"/>
    <s v="Paid"/>
    <s v=""/>
    <d v="2026-03-09T00:00:00"/>
    <d v="2026-03-09T00:00:00"/>
    <n v="210"/>
    <n v="0.38"/>
    <n v="79.8"/>
    <n v="10.659999999999997"/>
    <x v="1"/>
    <x v="0"/>
    <x v="5"/>
  </r>
  <r>
    <s v="CLM102597"/>
    <s v="PT10557"/>
    <s v="P06"/>
    <x v="1"/>
    <x v="10"/>
    <n v="1"/>
    <d v="2026-04-04T00:00:00"/>
    <d v="2026-04-10T00:00:00"/>
    <n v="1079.57"/>
    <m/>
    <m/>
    <m/>
    <s v="Denied"/>
    <s v="CO-197"/>
    <d v="2026-05-22T00:00:00"/>
    <m/>
    <n v="1050"/>
    <n v="0.27"/>
    <n v="283.5"/>
    <s v=""/>
    <x v="2"/>
    <x v="2"/>
    <x v="10"/>
  </r>
  <r>
    <s v="CLM102598"/>
    <s v="PT12613"/>
    <s v="P05"/>
    <x v="1"/>
    <x v="7"/>
    <n v="1"/>
    <d v="2026-06-27T00:00:00"/>
    <d v="2026-06-30T00:00:00"/>
    <n v="212.86"/>
    <n v="80.930000000000007"/>
    <n v="80.930000000000007"/>
    <n v="0"/>
    <s v="Paid"/>
    <s v=""/>
    <d v="2026-08-02T00:00:00"/>
    <d v="2026-08-02T00:00:00"/>
    <n v="210"/>
    <n v="0.38"/>
    <n v="79.8"/>
    <n v="-1.1300000000000097"/>
    <x v="0"/>
    <x v="0"/>
    <x v="11"/>
  </r>
  <r>
    <s v="CLM102599"/>
    <s v="PT12562"/>
    <s v="P06"/>
    <x v="0"/>
    <x v="7"/>
    <n v="1"/>
    <d v="2025-12-19T00:00:00"/>
    <d v="2025-12-21T00:00:00"/>
    <n v="206.09"/>
    <m/>
    <m/>
    <m/>
    <s v="Denied"/>
    <s v="CO-4"/>
    <d v="2026-01-23T00:00:00"/>
    <m/>
    <n v="210"/>
    <n v="0.27"/>
    <n v="56.7"/>
    <s v=""/>
    <x v="2"/>
    <x v="2"/>
    <x v="6"/>
  </r>
  <r>
    <s v="CLM102600"/>
    <s v="PT12341"/>
    <s v="P03"/>
    <x v="1"/>
    <x v="5"/>
    <n v="1"/>
    <d v="2026-02-18T00:00:00"/>
    <d v="2026-02-20T00:00:00"/>
    <n v="4660.3100000000004"/>
    <m/>
    <m/>
    <m/>
    <s v="Denied"/>
    <s v="CO-50"/>
    <d v="2026-04-10T00:00:00"/>
    <m/>
    <n v="4800"/>
    <n v="0.47"/>
    <n v="2256"/>
    <s v=""/>
    <x v="2"/>
    <x v="4"/>
    <x v="0"/>
  </r>
  <r>
    <s v="CLM102601"/>
    <s v="PT11888"/>
    <s v="P01"/>
    <x v="3"/>
    <x v="6"/>
    <n v="1"/>
    <d v="2026-07-01T00:00:00"/>
    <d v="2026-07-10T00:00:00"/>
    <n v="411.16"/>
    <n v="202.58"/>
    <n v="202.58"/>
    <n v="0"/>
    <s v="Paid"/>
    <s v=""/>
    <d v="2026-08-11T00:00:00"/>
    <d v="2026-08-11T00:00:00"/>
    <n v="420"/>
    <n v="0.45"/>
    <n v="189"/>
    <n v="-13.580000000000013"/>
    <x v="0"/>
    <x v="5"/>
    <x v="1"/>
  </r>
  <r>
    <s v="CLM102602"/>
    <s v="PT11057"/>
    <s v="P06"/>
    <x v="0"/>
    <x v="8"/>
    <n v="1"/>
    <d v="2025-12-24T00:00:00"/>
    <d v="2025-12-26T00:00:00"/>
    <n v="266.81"/>
    <n v="70.12"/>
    <n v="63.11"/>
    <n v="7.01"/>
    <s v="Paid"/>
    <s v=""/>
    <d v="2026-01-31T00:00:00"/>
    <d v="2026-01-31T00:00:00"/>
    <n v="260"/>
    <n v="0.27"/>
    <n v="70.2"/>
    <n v="7.9999999999998295E-2"/>
    <x v="0"/>
    <x v="2"/>
    <x v="6"/>
  </r>
  <r>
    <s v="CLM102603"/>
    <s v="PT10304"/>
    <s v="P02"/>
    <x v="1"/>
    <x v="1"/>
    <n v="1"/>
    <d v="2026-02-05T00:00:00"/>
    <d v="2026-02-11T00:00:00"/>
    <n v="244.34"/>
    <n v="111.07"/>
    <n v="111.07"/>
    <n v="0"/>
    <s v="Paid"/>
    <s v=""/>
    <d v="2026-03-03T00:00:00"/>
    <d v="2026-03-03T00:00:00"/>
    <n v="240"/>
    <n v="0.43"/>
    <n v="103.2"/>
    <n v="-7.8699999999999903"/>
    <x v="0"/>
    <x v="6"/>
    <x v="0"/>
  </r>
  <r>
    <s v="CLM102604"/>
    <s v="PT11961"/>
    <s v="P01"/>
    <x v="1"/>
    <x v="7"/>
    <n v="1"/>
    <d v="2026-05-07T00:00:00"/>
    <d v="2026-05-11T00:00:00"/>
    <n v="206.94"/>
    <n v="87.92"/>
    <n v="70.34"/>
    <n v="17.579999999999998"/>
    <s v="Paid"/>
    <s v=""/>
    <d v="2026-06-05T00:00:00"/>
    <d v="2026-06-05T00:00:00"/>
    <n v="210"/>
    <n v="0.45"/>
    <n v="94.5"/>
    <n v="6.5799999999999983"/>
    <x v="1"/>
    <x v="5"/>
    <x v="7"/>
  </r>
  <r>
    <s v="CLM102605"/>
    <s v="PT13194"/>
    <s v="P02"/>
    <x v="1"/>
    <x v="11"/>
    <n v="1"/>
    <d v="2026-03-28T00:00:00"/>
    <d v="2026-04-02T00:00:00"/>
    <n v="1156.47"/>
    <n v="536.05999999999995"/>
    <n v="536.05999999999995"/>
    <n v="0"/>
    <s v="Paid"/>
    <s v=""/>
    <d v="2026-05-16T00:00:00"/>
    <d v="2026-05-16T00:00:00"/>
    <n v="1150"/>
    <n v="0.43"/>
    <n v="494.5"/>
    <n v="-41.559999999999945"/>
    <x v="0"/>
    <x v="6"/>
    <x v="2"/>
  </r>
  <r>
    <s v="CLM102606"/>
    <s v="PT11091"/>
    <s v="P07"/>
    <x v="0"/>
    <x v="4"/>
    <n v="1"/>
    <d v="2025-10-27T00:00:00"/>
    <d v="2025-10-29T00:00:00"/>
    <n v="37.25"/>
    <m/>
    <m/>
    <m/>
    <s v="Denied"/>
    <s v="CO-16"/>
    <d v="2025-12-13T00:00:00"/>
    <m/>
    <n v="38"/>
    <n v="0.28000000000000003"/>
    <n v="10.64"/>
    <s v=""/>
    <x v="2"/>
    <x v="3"/>
    <x v="9"/>
  </r>
  <r>
    <s v="CLM102607"/>
    <s v="PT10027"/>
    <s v="P01"/>
    <x v="2"/>
    <x v="9"/>
    <n v="1"/>
    <d v="2026-04-30T00:00:00"/>
    <d v="2026-05-14T00:00:00"/>
    <n v="59.34"/>
    <m/>
    <m/>
    <m/>
    <s v="Denied"/>
    <s v="CO-16"/>
    <d v="2026-06-07T00:00:00"/>
    <m/>
    <n v="58"/>
    <n v="0.45"/>
    <n v="26.1"/>
    <s v=""/>
    <x v="2"/>
    <x v="5"/>
    <x v="10"/>
  </r>
  <r>
    <s v="CLM102608"/>
    <s v="PT10276"/>
    <s v="P05"/>
    <x v="2"/>
    <x v="9"/>
    <n v="3"/>
    <d v="2026-05-22T00:00:00"/>
    <d v="2026-05-30T00:00:00"/>
    <n v="170.82"/>
    <n v="61.6"/>
    <n v="55.44"/>
    <n v="6.16"/>
    <s v="Paid"/>
    <s v=""/>
    <d v="2026-08-08T00:00:00"/>
    <d v="2026-08-08T00:00:00"/>
    <n v="58"/>
    <n v="0.38"/>
    <n v="66.12"/>
    <n v="4.5200000000000031"/>
    <x v="1"/>
    <x v="0"/>
    <x v="7"/>
  </r>
  <r>
    <s v="CLM102609"/>
    <s v="PT10894"/>
    <s v="P02"/>
    <x v="0"/>
    <x v="7"/>
    <n v="1"/>
    <d v="2026-05-20T00:00:00"/>
    <d v="2026-05-21T00:00:00"/>
    <n v="207.09"/>
    <m/>
    <m/>
    <m/>
    <s v="Denied"/>
    <s v="CO-4"/>
    <d v="2026-07-02T00:00:00"/>
    <m/>
    <n v="210"/>
    <n v="0.43"/>
    <n v="90.3"/>
    <s v=""/>
    <x v="2"/>
    <x v="6"/>
    <x v="7"/>
  </r>
  <r>
    <s v="CLM102610"/>
    <s v="PT12991"/>
    <s v="P02"/>
    <x v="0"/>
    <x v="8"/>
    <n v="1"/>
    <d v="2026-08-31T00:00:00"/>
    <d v="2026-09-03T00:00:00"/>
    <n v="259.42"/>
    <m/>
    <m/>
    <m/>
    <s v="Pending"/>
    <s v=""/>
    <m/>
    <m/>
    <n v="260"/>
    <n v="0.43"/>
    <n v="111.8"/>
    <s v=""/>
    <x v="2"/>
    <x v="6"/>
    <x v="4"/>
  </r>
  <r>
    <s v="CLM102611"/>
    <s v="PT12611"/>
    <s v="P01"/>
    <x v="2"/>
    <x v="2"/>
    <n v="3"/>
    <d v="2025-10-08T00:00:00"/>
    <d v="2025-10-11T00:00:00"/>
    <n v="180.9"/>
    <n v="81.61"/>
    <n v="73.45"/>
    <n v="8.16"/>
    <s v="Paid"/>
    <s v=""/>
    <d v="2025-11-21T00:00:00"/>
    <d v="2025-11-21T00:00:00"/>
    <n v="62"/>
    <n v="0.45"/>
    <n v="83.7"/>
    <n v="2.0900000000000034"/>
    <x v="0"/>
    <x v="5"/>
    <x v="9"/>
  </r>
  <r>
    <s v="CLM102612"/>
    <s v="PT10340"/>
    <s v="P01"/>
    <x v="0"/>
    <x v="4"/>
    <n v="1"/>
    <d v="2025-12-27T00:00:00"/>
    <d v="2025-12-28T00:00:00"/>
    <n v="38.68"/>
    <n v="18.579999999999998"/>
    <n v="18.579999999999998"/>
    <n v="0"/>
    <s v="Paid"/>
    <s v=""/>
    <d v="2026-02-11T00:00:00"/>
    <d v="2026-02-11T00:00:00"/>
    <n v="38"/>
    <n v="0.45"/>
    <n v="17.100000000000001"/>
    <n v="-1.4799999999999969"/>
    <x v="0"/>
    <x v="5"/>
    <x v="6"/>
  </r>
  <r>
    <s v="CLM102613"/>
    <s v="PT10262"/>
    <s v="P01"/>
    <x v="1"/>
    <x v="10"/>
    <n v="1"/>
    <d v="2026-05-07T00:00:00"/>
    <d v="2026-05-13T00:00:00"/>
    <n v="1080.3399999999999"/>
    <n v="463.3"/>
    <n v="463.3"/>
    <n v="0"/>
    <s v="Paid"/>
    <s v=""/>
    <d v="2026-06-13T00:00:00"/>
    <d v="2026-06-13T00:00:00"/>
    <n v="1050"/>
    <n v="0.45"/>
    <n v="472.5"/>
    <n v="9.1999999999999886"/>
    <x v="0"/>
    <x v="5"/>
    <x v="7"/>
  </r>
  <r>
    <s v="CLM102614"/>
    <s v="PT12007"/>
    <s v="P04"/>
    <x v="0"/>
    <x v="0"/>
    <n v="1"/>
    <d v="2025-12-10T00:00:00"/>
    <d v="2025-12-12T00:00:00"/>
    <n v="145.38999999999999"/>
    <n v="51.31"/>
    <n v="51.31"/>
    <n v="0"/>
    <s v="Paid"/>
    <s v=""/>
    <d v="2026-01-04T00:00:00"/>
    <d v="2026-01-04T00:00:00"/>
    <n v="145"/>
    <n v="0.36"/>
    <n v="52.2"/>
    <n v="0.89000000000000057"/>
    <x v="0"/>
    <x v="1"/>
    <x v="6"/>
  </r>
  <r>
    <s v="CLM102615"/>
    <s v="PT10079"/>
    <s v="P05"/>
    <x v="0"/>
    <x v="4"/>
    <n v="1"/>
    <d v="2026-01-16T00:00:00"/>
    <d v="2026-01-18T00:00:00"/>
    <n v="38.29"/>
    <m/>
    <m/>
    <m/>
    <s v="Denied"/>
    <s v="CO-11"/>
    <d v="2026-02-27T00:00:00"/>
    <m/>
    <n v="38"/>
    <n v="0.38"/>
    <n v="14.44"/>
    <s v=""/>
    <x v="2"/>
    <x v="0"/>
    <x v="5"/>
  </r>
  <r>
    <s v="CLM102617"/>
    <s v="PT10628"/>
    <s v="P01"/>
    <x v="1"/>
    <x v="4"/>
    <n v="1"/>
    <d v="2026-01-16T00:00:00"/>
    <d v="2026-02-08T00:00:00"/>
    <n v="37.81"/>
    <n v="15.64"/>
    <n v="15.64"/>
    <n v="0"/>
    <s v="Paid"/>
    <s v=""/>
    <d v="2026-03-19T00:00:00"/>
    <d v="2026-03-19T00:00:00"/>
    <n v="38"/>
    <n v="0.45"/>
    <n v="17.100000000000001"/>
    <n v="1.4600000000000009"/>
    <x v="1"/>
    <x v="5"/>
    <x v="5"/>
  </r>
  <r>
    <s v="CLM102619"/>
    <s v="PT12482"/>
    <s v="P02"/>
    <x v="3"/>
    <x v="7"/>
    <n v="1"/>
    <d v="2026-05-22T00:00:00"/>
    <d v="2026-05-23T00:00:00"/>
    <n v="207.87"/>
    <m/>
    <m/>
    <m/>
    <s v="Denied"/>
    <s v="CO-27"/>
    <d v="2026-07-01T00:00:00"/>
    <m/>
    <n v="210"/>
    <n v="0.43"/>
    <n v="90.3"/>
    <s v=""/>
    <x v="2"/>
    <x v="6"/>
    <x v="7"/>
  </r>
  <r>
    <s v="CLM102620"/>
    <s v="PT11035"/>
    <s v="P04"/>
    <x v="2"/>
    <x v="9"/>
    <n v="2"/>
    <d v="2026-07-13T00:00:00"/>
    <d v="2026-07-15T00:00:00"/>
    <n v="117.58"/>
    <n v="39.090000000000003"/>
    <n v="35.18"/>
    <n v="3.91"/>
    <s v="Paid"/>
    <s v=""/>
    <d v="2026-07-27T00:00:00"/>
    <d v="2026-07-27T00:00:00"/>
    <n v="58"/>
    <n v="0.36"/>
    <n v="41.76"/>
    <n v="2.6699999999999946"/>
    <x v="1"/>
    <x v="1"/>
    <x v="1"/>
  </r>
  <r>
    <s v="CLM102621"/>
    <s v="PT10112"/>
    <s v="P02"/>
    <x v="1"/>
    <x v="8"/>
    <n v="1"/>
    <d v="2026-05-12T00:00:00"/>
    <d v="2026-05-16T00:00:00"/>
    <n v="258.3"/>
    <m/>
    <m/>
    <m/>
    <s v="Denied"/>
    <s v="CO-11"/>
    <d v="2026-06-19T00:00:00"/>
    <m/>
    <n v="260"/>
    <n v="0.43"/>
    <n v="111.8"/>
    <s v=""/>
    <x v="2"/>
    <x v="6"/>
    <x v="7"/>
  </r>
  <r>
    <s v="CLM102622"/>
    <s v="PT13301"/>
    <s v="P01"/>
    <x v="2"/>
    <x v="0"/>
    <n v="1"/>
    <d v="2025-10-02T00:00:00"/>
    <d v="2025-10-04T00:00:00"/>
    <n v="145.75"/>
    <m/>
    <m/>
    <m/>
    <s v="Denied"/>
    <s v="CO-11"/>
    <d v="2025-10-24T00:00:00"/>
    <m/>
    <n v="145"/>
    <n v="0.45"/>
    <n v="65.25"/>
    <s v=""/>
    <x v="2"/>
    <x v="5"/>
    <x v="9"/>
  </r>
  <r>
    <s v="CLM102623"/>
    <s v="PT11328"/>
    <s v="P02"/>
    <x v="3"/>
    <x v="3"/>
    <n v="20"/>
    <d v="2025-12-23T00:00:00"/>
    <d v="2025-12-28T00:00:00"/>
    <n v="28778.11"/>
    <n v="10898.56"/>
    <n v="10898.56"/>
    <n v="0"/>
    <s v="Paid"/>
    <s v=""/>
    <d v="2026-02-01T00:00:00"/>
    <d v="2026-02-01T00:00:00"/>
    <n v="1450"/>
    <n v="0.43"/>
    <n v="12470"/>
    <n v="1571.4400000000005"/>
    <x v="1"/>
    <x v="6"/>
    <x v="6"/>
  </r>
  <r>
    <s v="CLM102624"/>
    <s v="PT11110"/>
    <s v="P08"/>
    <x v="0"/>
    <x v="7"/>
    <n v="1"/>
    <d v="2026-08-28T00:00:00"/>
    <d v="2026-08-30T00:00:00"/>
    <n v="209.31"/>
    <m/>
    <m/>
    <m/>
    <s v="Pending"/>
    <s v=""/>
    <m/>
    <m/>
    <n v="210"/>
    <n v="1"/>
    <n v="210"/>
    <s v=""/>
    <x v="2"/>
    <x v="7"/>
    <x v="4"/>
  </r>
  <r>
    <s v="CLM102625"/>
    <s v="PT13160"/>
    <s v="P06"/>
    <x v="3"/>
    <x v="7"/>
    <n v="1"/>
    <d v="2026-03-06T00:00:00"/>
    <d v="2026-03-09T00:00:00"/>
    <n v="209.96"/>
    <n v="61.03"/>
    <n v="61.03"/>
    <n v="0"/>
    <s v="Paid"/>
    <s v=""/>
    <d v="2026-04-10T00:00:00"/>
    <d v="2026-04-10T00:00:00"/>
    <n v="210"/>
    <n v="0.27"/>
    <n v="56.7"/>
    <n v="-4.3299999999999983"/>
    <x v="0"/>
    <x v="2"/>
    <x v="2"/>
  </r>
  <r>
    <s v="CLM102626"/>
    <s v="PT11824"/>
    <s v="P07"/>
    <x v="1"/>
    <x v="8"/>
    <n v="1"/>
    <d v="2025-12-21T00:00:00"/>
    <d v="2025-12-23T00:00:00"/>
    <n v="264.95"/>
    <n v="81.62"/>
    <n v="65.3"/>
    <n v="16.32"/>
    <s v="Paid"/>
    <s v=""/>
    <d v="2026-01-30T00:00:00"/>
    <d v="2026-01-30T00:00:00"/>
    <n v="260"/>
    <n v="0.28000000000000003"/>
    <n v="72.8"/>
    <n v="-8.8200000000000074"/>
    <x v="0"/>
    <x v="3"/>
    <x v="6"/>
  </r>
  <r>
    <s v="CLM102627"/>
    <s v="PT11469"/>
    <s v="P04"/>
    <x v="3"/>
    <x v="7"/>
    <n v="1"/>
    <d v="2026-04-24T00:00:00"/>
    <d v="2026-04-25T00:00:00"/>
    <n v="204.21"/>
    <n v="74.239999999999995"/>
    <n v="66.819999999999993"/>
    <n v="7.42"/>
    <s v="Paid"/>
    <s v=""/>
    <d v="2026-05-16T00:00:00"/>
    <d v="2026-05-16T00:00:00"/>
    <n v="210"/>
    <n v="0.36"/>
    <n v="75.599999999999994"/>
    <n v="1.3599999999999994"/>
    <x v="0"/>
    <x v="1"/>
    <x v="10"/>
  </r>
  <r>
    <s v="CLM102628"/>
    <s v="PT13386"/>
    <s v="P07"/>
    <x v="2"/>
    <x v="0"/>
    <n v="1"/>
    <d v="2026-06-17T00:00:00"/>
    <d v="2026-06-23T00:00:00"/>
    <n v="140.71"/>
    <n v="38.42"/>
    <n v="34.58"/>
    <n v="3.84"/>
    <s v="Paid"/>
    <s v=""/>
    <d v="2026-08-24T00:00:00"/>
    <d v="2026-08-24T00:00:00"/>
    <n v="145"/>
    <n v="0.28000000000000003"/>
    <n v="40.6"/>
    <n v="2.1799999999999997"/>
    <x v="1"/>
    <x v="3"/>
    <x v="11"/>
  </r>
  <r>
    <s v="CLM102629"/>
    <s v="PT13016"/>
    <s v="P04"/>
    <x v="2"/>
    <x v="2"/>
    <n v="1"/>
    <d v="2026-01-21T00:00:00"/>
    <d v="2026-01-23T00:00:00"/>
    <n v="63.7"/>
    <n v="24.58"/>
    <n v="22.12"/>
    <n v="2.46"/>
    <s v="Paid"/>
    <s v=""/>
    <d v="2026-02-07T00:00:00"/>
    <d v="2026-02-07T00:00:00"/>
    <n v="62"/>
    <n v="0.36"/>
    <n v="22.32"/>
    <n v="-2.259999999999998"/>
    <x v="0"/>
    <x v="1"/>
    <x v="5"/>
  </r>
  <r>
    <s v="CLM102630"/>
    <s v="PT13216"/>
    <s v="P02"/>
    <x v="3"/>
    <x v="7"/>
    <n v="1"/>
    <d v="2026-03-14T00:00:00"/>
    <d v="2026-03-18T00:00:00"/>
    <n v="209.31"/>
    <n v="78.02"/>
    <n v="78.02"/>
    <n v="0"/>
    <s v="Paid"/>
    <s v=""/>
    <d v="2026-04-15T00:00:00"/>
    <d v="2026-04-15T00:00:00"/>
    <n v="210"/>
    <n v="0.43"/>
    <n v="90.3"/>
    <n v="12.280000000000001"/>
    <x v="1"/>
    <x v="6"/>
    <x v="2"/>
  </r>
  <r>
    <s v="CLM102631"/>
    <s v="PT10359"/>
    <s v="P01"/>
    <x v="0"/>
    <x v="7"/>
    <n v="1"/>
    <d v="2026-03-06T00:00:00"/>
    <d v="2026-03-09T00:00:00"/>
    <n v="213.26"/>
    <n v="94.24"/>
    <n v="94.24"/>
    <n v="0"/>
    <s v="Paid"/>
    <s v=""/>
    <d v="2026-04-05T00:00:00"/>
    <d v="2026-04-05T00:00:00"/>
    <n v="210"/>
    <n v="0.45"/>
    <n v="94.5"/>
    <n v="0.26000000000000512"/>
    <x v="0"/>
    <x v="5"/>
    <x v="2"/>
  </r>
  <r>
    <s v="CLM102632"/>
    <s v="PT10687"/>
    <s v="P04"/>
    <x v="2"/>
    <x v="2"/>
    <n v="3"/>
    <d v="2026-04-01T00:00:00"/>
    <d v="2026-07-11T00:00:00"/>
    <n v="186.79"/>
    <m/>
    <m/>
    <m/>
    <s v="Denied"/>
    <s v="CO-29"/>
    <d v="2026-08-07T00:00:00"/>
    <m/>
    <n v="62"/>
    <n v="0.36"/>
    <n v="66.959999999999994"/>
    <s v=""/>
    <x v="2"/>
    <x v="1"/>
    <x v="10"/>
  </r>
  <r>
    <s v="CLM102633"/>
    <s v="PT12788"/>
    <s v="P01"/>
    <x v="1"/>
    <x v="5"/>
    <n v="1"/>
    <d v="2026-04-13T00:00:00"/>
    <d v="2026-04-17T00:00:00"/>
    <n v="4860.28"/>
    <n v="1852.19"/>
    <n v="1481.75"/>
    <n v="370.44"/>
    <s v="Paid"/>
    <s v=""/>
    <d v="2026-05-08T00:00:00"/>
    <d v="2026-05-08T00:00:00"/>
    <n v="4800"/>
    <n v="0.45"/>
    <n v="2160"/>
    <n v="307.80999999999995"/>
    <x v="1"/>
    <x v="5"/>
    <x v="10"/>
  </r>
  <r>
    <s v="CLM102634"/>
    <s v="PT10433"/>
    <s v="P05"/>
    <x v="3"/>
    <x v="3"/>
    <n v="10"/>
    <d v="2026-08-22T00:00:00"/>
    <d v="2026-09-09T00:00:00"/>
    <n v="14071.12"/>
    <m/>
    <m/>
    <m/>
    <s v="Pending"/>
    <s v=""/>
    <m/>
    <m/>
    <n v="1450"/>
    <n v="0.38"/>
    <n v="5510"/>
    <s v=""/>
    <x v="2"/>
    <x v="0"/>
    <x v="4"/>
  </r>
  <r>
    <s v="CLM102635"/>
    <s v="PT12850"/>
    <s v="P02"/>
    <x v="3"/>
    <x v="7"/>
    <n v="1"/>
    <d v="2026-07-20T00:00:00"/>
    <d v="2026-07-25T00:00:00"/>
    <n v="211.31"/>
    <n v="100.46"/>
    <n v="90.41"/>
    <n v="10.050000000000001"/>
    <s v="Paid"/>
    <s v=""/>
    <d v="2026-08-17T00:00:00"/>
    <d v="2026-08-17T00:00:00"/>
    <n v="210"/>
    <n v="0.43"/>
    <n v="90.3"/>
    <n v="-10.159999999999997"/>
    <x v="0"/>
    <x v="6"/>
    <x v="1"/>
  </r>
  <r>
    <s v="CLM102636"/>
    <s v="PT13394"/>
    <s v="P07"/>
    <x v="0"/>
    <x v="0"/>
    <n v="1"/>
    <d v="2026-01-21T00:00:00"/>
    <d v="2026-01-26T00:00:00"/>
    <n v="142.49"/>
    <n v="44.48"/>
    <n v="40.03"/>
    <n v="4.45"/>
    <s v="Paid"/>
    <s v=""/>
    <d v="2026-03-16T00:00:00"/>
    <d v="2026-03-16T00:00:00"/>
    <n v="145"/>
    <n v="0.28000000000000003"/>
    <n v="40.6"/>
    <n v="-3.8799999999999955"/>
    <x v="0"/>
    <x v="3"/>
    <x v="5"/>
  </r>
  <r>
    <s v="CLM102637"/>
    <s v="PT12356"/>
    <s v="P05"/>
    <x v="1"/>
    <x v="11"/>
    <n v="1"/>
    <d v="2026-07-15T00:00:00"/>
    <d v="2026-07-18T00:00:00"/>
    <n v="1174.8900000000001"/>
    <n v="394.16"/>
    <n v="394.16"/>
    <n v="0"/>
    <s v="Paid"/>
    <s v=""/>
    <d v="2026-09-09T00:00:00"/>
    <d v="2026-09-09T00:00:00"/>
    <n v="1150"/>
    <n v="0.38"/>
    <n v="437"/>
    <n v="42.839999999999975"/>
    <x v="1"/>
    <x v="0"/>
    <x v="1"/>
  </r>
  <r>
    <s v="CLM102638"/>
    <s v="PT13202"/>
    <s v="P01"/>
    <x v="0"/>
    <x v="7"/>
    <n v="1"/>
    <d v="2026-07-19T00:00:00"/>
    <d v="2026-07-20T00:00:00"/>
    <n v="203.81"/>
    <n v="94.21"/>
    <n v="84.79"/>
    <n v="9.42"/>
    <s v="Paid"/>
    <s v=""/>
    <d v="2026-08-10T00:00:00"/>
    <d v="2026-08-10T00:00:00"/>
    <n v="210"/>
    <n v="0.45"/>
    <n v="94.5"/>
    <n v="0.29000000000000625"/>
    <x v="0"/>
    <x v="5"/>
    <x v="1"/>
  </r>
  <r>
    <s v="CLM102639"/>
    <s v="PT13392"/>
    <s v="P05"/>
    <x v="1"/>
    <x v="10"/>
    <n v="1"/>
    <d v="2026-08-25T00:00:00"/>
    <d v="2026-09-03T00:00:00"/>
    <n v="1060.05"/>
    <m/>
    <m/>
    <m/>
    <s v="Pending"/>
    <s v=""/>
    <m/>
    <m/>
    <n v="1050"/>
    <n v="0.38"/>
    <n v="399"/>
    <s v=""/>
    <x v="2"/>
    <x v="0"/>
    <x v="4"/>
  </r>
  <r>
    <s v="CLM102640"/>
    <s v="PT13401"/>
    <s v="P01"/>
    <x v="1"/>
    <x v="10"/>
    <n v="1"/>
    <d v="2026-08-24T00:00:00"/>
    <d v="2026-08-26T00:00:00"/>
    <n v="1067.08"/>
    <n v="449.97"/>
    <n v="359.98"/>
    <n v="89.99"/>
    <s v="Paid"/>
    <s v=""/>
    <d v="2026-09-26T00:00:00"/>
    <d v="2026-09-26T00:00:00"/>
    <n v="1050"/>
    <n v="0.45"/>
    <n v="472.5"/>
    <n v="22.529999999999973"/>
    <x v="0"/>
    <x v="5"/>
    <x v="4"/>
  </r>
  <r>
    <s v="CLM102641"/>
    <s v="PT12566"/>
    <s v="P05"/>
    <x v="0"/>
    <x v="0"/>
    <n v="1"/>
    <d v="2025-10-16T00:00:00"/>
    <d v="2025-10-22T00:00:00"/>
    <n v="148.80000000000001"/>
    <n v="58.33"/>
    <n v="52.5"/>
    <n v="5.83"/>
    <s v="Paid"/>
    <s v=""/>
    <d v="2025-12-22T00:00:00"/>
    <d v="2025-12-22T00:00:00"/>
    <n v="145"/>
    <n v="0.38"/>
    <n v="55.1"/>
    <n v="-3.2299999999999969"/>
    <x v="0"/>
    <x v="0"/>
    <x v="9"/>
  </r>
  <r>
    <s v="CLM102642"/>
    <s v="PT11845"/>
    <s v="P03"/>
    <x v="0"/>
    <x v="0"/>
    <n v="1"/>
    <d v="2026-08-07T00:00:00"/>
    <d v="2026-08-11T00:00:00"/>
    <n v="146.78"/>
    <n v="69.489999999999995"/>
    <n v="62.54"/>
    <n v="6.95"/>
    <s v="Paid"/>
    <s v=""/>
    <d v="2026-09-20T00:00:00"/>
    <d v="2026-09-20T00:00:00"/>
    <n v="145"/>
    <n v="0.47"/>
    <n v="68.150000000000006"/>
    <n v="-1.3399999999999892"/>
    <x v="0"/>
    <x v="4"/>
    <x v="4"/>
  </r>
  <r>
    <s v="CLM102643"/>
    <s v="PT11255"/>
    <s v="P07"/>
    <x v="0"/>
    <x v="7"/>
    <n v="1"/>
    <d v="2026-06-12T00:00:00"/>
    <d v="2026-06-17T00:00:00"/>
    <n v="207.86"/>
    <n v="50.27"/>
    <n v="50.27"/>
    <n v="0"/>
    <s v="Paid"/>
    <s v=""/>
    <d v="2026-08-01T00:00:00"/>
    <d v="2026-08-01T00:00:00"/>
    <n v="210"/>
    <n v="0.28000000000000003"/>
    <n v="58.8"/>
    <n v="8.529999999999994"/>
    <x v="1"/>
    <x v="3"/>
    <x v="11"/>
  </r>
  <r>
    <s v="CLM102645"/>
    <s v="PT11295"/>
    <s v="P06"/>
    <x v="3"/>
    <x v="3"/>
    <n v="30"/>
    <d v="2026-05-27T00:00:00"/>
    <d v="2026-05-28T00:00:00"/>
    <n v="44693.56"/>
    <n v="12580.92"/>
    <n v="12580.92"/>
    <n v="0"/>
    <s v="Paid"/>
    <s v=""/>
    <d v="2026-07-08T00:00:00"/>
    <d v="2026-07-08T00:00:00"/>
    <n v="1450"/>
    <n v="0.27"/>
    <n v="11745"/>
    <n v="-835.92000000000007"/>
    <x v="0"/>
    <x v="2"/>
    <x v="7"/>
  </r>
  <r>
    <s v="CLM102646"/>
    <s v="PT11157"/>
    <s v="P04"/>
    <x v="3"/>
    <x v="7"/>
    <n v="1"/>
    <d v="2026-06-09T00:00:00"/>
    <d v="2026-06-10T00:00:00"/>
    <n v="210.1"/>
    <n v="67.37"/>
    <n v="60.63"/>
    <n v="6.74"/>
    <s v="Paid"/>
    <s v=""/>
    <d v="2026-06-30T00:00:00"/>
    <d v="2026-06-30T00:00:00"/>
    <n v="210"/>
    <n v="0.36"/>
    <n v="75.599999999999994"/>
    <n v="8.2299999999999898"/>
    <x v="1"/>
    <x v="1"/>
    <x v="11"/>
  </r>
  <r>
    <s v="CLM102647"/>
    <s v="PT12982"/>
    <s v="P02"/>
    <x v="1"/>
    <x v="7"/>
    <n v="1"/>
    <d v="2026-07-28T00:00:00"/>
    <d v="2026-07-29T00:00:00"/>
    <n v="211.31"/>
    <n v="95.45"/>
    <n v="95.45"/>
    <n v="0"/>
    <s v="Paid"/>
    <s v=""/>
    <d v="2026-09-13T00:00:00"/>
    <d v="2026-09-13T00:00:00"/>
    <n v="210"/>
    <n v="0.43"/>
    <n v="90.3"/>
    <n v="-5.1500000000000057"/>
    <x v="0"/>
    <x v="6"/>
    <x v="1"/>
  </r>
  <r>
    <s v="CLM102648"/>
    <s v="PT13313"/>
    <s v="P05"/>
    <x v="1"/>
    <x v="8"/>
    <n v="1"/>
    <d v="2025-12-10T00:00:00"/>
    <d v="2025-12-15T00:00:00"/>
    <n v="266.7"/>
    <n v="92.35"/>
    <n v="83.12"/>
    <n v="9.23"/>
    <s v="Paid"/>
    <s v=""/>
    <d v="2026-01-22T00:00:00"/>
    <d v="2026-01-22T00:00:00"/>
    <n v="260"/>
    <n v="0.38"/>
    <n v="98.8"/>
    <n v="6.4500000000000028"/>
    <x v="1"/>
    <x v="0"/>
    <x v="6"/>
  </r>
  <r>
    <s v="CLM102649"/>
    <s v="PT11995"/>
    <s v="P03"/>
    <x v="1"/>
    <x v="1"/>
    <n v="1"/>
    <d v="2026-02-12T00:00:00"/>
    <d v="2026-02-13T00:00:00"/>
    <n v="241.36"/>
    <m/>
    <m/>
    <m/>
    <s v="Denied"/>
    <s v="CO-16"/>
    <d v="2026-04-02T00:00:00"/>
    <m/>
    <n v="240"/>
    <n v="0.47"/>
    <n v="112.8"/>
    <s v=""/>
    <x v="2"/>
    <x v="4"/>
    <x v="0"/>
  </r>
  <r>
    <s v="CLM102650"/>
    <s v="PT10301"/>
    <s v="P02"/>
    <x v="1"/>
    <x v="11"/>
    <n v="1"/>
    <d v="2026-03-26T00:00:00"/>
    <d v="2026-04-13T00:00:00"/>
    <n v="1163.45"/>
    <m/>
    <m/>
    <m/>
    <s v="Denied"/>
    <s v="CO-27"/>
    <d v="2026-05-05T00:00:00"/>
    <m/>
    <n v="1150"/>
    <n v="0.43"/>
    <n v="494.5"/>
    <s v=""/>
    <x v="2"/>
    <x v="6"/>
    <x v="2"/>
  </r>
  <r>
    <s v="CLM102651"/>
    <s v="PT12714"/>
    <s v="P02"/>
    <x v="3"/>
    <x v="7"/>
    <n v="1"/>
    <d v="2026-05-29T00:00:00"/>
    <d v="2026-05-30T00:00:00"/>
    <n v="213.77"/>
    <n v="92.84"/>
    <n v="92.84"/>
    <n v="0"/>
    <s v="Paid"/>
    <s v=""/>
    <d v="2026-07-06T00:00:00"/>
    <d v="2026-07-06T00:00:00"/>
    <n v="210"/>
    <n v="0.43"/>
    <n v="90.3"/>
    <n v="-2.5400000000000063"/>
    <x v="0"/>
    <x v="6"/>
    <x v="7"/>
  </r>
  <r>
    <s v="CLM102652"/>
    <s v="PT12216"/>
    <s v="P03"/>
    <x v="0"/>
    <x v="7"/>
    <n v="1"/>
    <d v="2025-10-08T00:00:00"/>
    <d v="2025-10-10T00:00:00"/>
    <n v="214.32"/>
    <n v="98.28"/>
    <n v="98.28"/>
    <n v="0"/>
    <s v="Paid"/>
    <s v=""/>
    <d v="2025-11-30T00:00:00"/>
    <d v="2025-11-30T00:00:00"/>
    <n v="210"/>
    <n v="0.47"/>
    <n v="98.7"/>
    <n v="0.42000000000000171"/>
    <x v="0"/>
    <x v="4"/>
    <x v="9"/>
  </r>
  <r>
    <s v="CLM102653"/>
    <s v="PT12749"/>
    <s v="P05"/>
    <x v="3"/>
    <x v="7"/>
    <n v="1"/>
    <d v="2025-10-14T00:00:00"/>
    <d v="2025-10-16T00:00:00"/>
    <n v="208.29"/>
    <n v="84.5"/>
    <n v="84.5"/>
    <n v="0"/>
    <s v="Paid"/>
    <s v=""/>
    <d v="2025-12-01T00:00:00"/>
    <d v="2025-12-01T00:00:00"/>
    <n v="210"/>
    <n v="0.38"/>
    <n v="79.8"/>
    <n v="-4.7000000000000028"/>
    <x v="0"/>
    <x v="0"/>
    <x v="9"/>
  </r>
  <r>
    <s v="CLM102654"/>
    <s v="PT10027"/>
    <s v="P02"/>
    <x v="1"/>
    <x v="11"/>
    <n v="1"/>
    <d v="2026-03-15T00:00:00"/>
    <d v="2026-03-17T00:00:00"/>
    <n v="1171.48"/>
    <n v="442.55"/>
    <n v="354.04"/>
    <n v="88.51"/>
    <s v="Paid"/>
    <s v=""/>
    <d v="2026-04-05T00:00:00"/>
    <d v="2026-04-05T00:00:00"/>
    <n v="1150"/>
    <n v="0.43"/>
    <n v="494.5"/>
    <n v="51.949999999999989"/>
    <x v="1"/>
    <x v="6"/>
    <x v="2"/>
  </r>
  <r>
    <s v="CLM102655"/>
    <s v="PT10560"/>
    <s v="P05"/>
    <x v="0"/>
    <x v="4"/>
    <n v="1"/>
    <d v="2026-08-07T00:00:00"/>
    <d v="2026-08-09T00:00:00"/>
    <n v="38.69"/>
    <m/>
    <m/>
    <m/>
    <s v="Pending"/>
    <s v=""/>
    <m/>
    <m/>
    <n v="38"/>
    <n v="0.38"/>
    <n v="14.44"/>
    <s v=""/>
    <x v="2"/>
    <x v="0"/>
    <x v="4"/>
  </r>
  <r>
    <s v="CLM102656"/>
    <s v="PT11639"/>
    <s v="P04"/>
    <x v="0"/>
    <x v="7"/>
    <n v="1"/>
    <d v="2026-08-04T00:00:00"/>
    <d v="2026-08-09T00:00:00"/>
    <n v="204.48"/>
    <n v="62.83"/>
    <n v="62.83"/>
    <n v="0"/>
    <s v="Paid"/>
    <s v=""/>
    <d v="2026-08-30T00:00:00"/>
    <d v="2026-08-30T00:00:00"/>
    <n v="210"/>
    <n v="0.36"/>
    <n v="75.599999999999994"/>
    <n v="12.769999999999996"/>
    <x v="1"/>
    <x v="1"/>
    <x v="4"/>
  </r>
  <r>
    <s v="CLM102657"/>
    <s v="PT12311"/>
    <s v="P07"/>
    <x v="0"/>
    <x v="7"/>
    <n v="1"/>
    <d v="2026-05-06T00:00:00"/>
    <d v="2026-05-10T00:00:00"/>
    <n v="214.91"/>
    <m/>
    <m/>
    <m/>
    <s v="Denied"/>
    <s v="CO-11"/>
    <d v="2026-08-06T00:00:00"/>
    <m/>
    <n v="210"/>
    <n v="0.28000000000000003"/>
    <n v="58.8"/>
    <s v=""/>
    <x v="2"/>
    <x v="3"/>
    <x v="7"/>
  </r>
  <r>
    <s v="CLM102658"/>
    <s v="PT11035"/>
    <s v="P04"/>
    <x v="0"/>
    <x v="4"/>
    <n v="1"/>
    <d v="2026-05-25T00:00:00"/>
    <d v="2026-05-31T00:00:00"/>
    <n v="36.909999999999997"/>
    <n v="14.02"/>
    <n v="14.02"/>
    <n v="0"/>
    <s v="Paid"/>
    <s v=""/>
    <d v="2026-06-18T00:00:00"/>
    <d v="2026-06-18T00:00:00"/>
    <n v="38"/>
    <n v="0.36"/>
    <n v="13.68"/>
    <n v="-0.33999999999999986"/>
    <x v="0"/>
    <x v="1"/>
    <x v="7"/>
  </r>
  <r>
    <s v="CLM102659"/>
    <s v="PT12658"/>
    <s v="P03"/>
    <x v="1"/>
    <x v="8"/>
    <n v="1"/>
    <d v="2026-08-03T00:00:00"/>
    <d v="2026-08-04T00:00:00"/>
    <n v="259.62"/>
    <m/>
    <m/>
    <m/>
    <s v="Denied"/>
    <s v="CO-16"/>
    <d v="2026-09-22T00:00:00"/>
    <m/>
    <n v="260"/>
    <n v="0.47"/>
    <n v="122.2"/>
    <s v=""/>
    <x v="2"/>
    <x v="4"/>
    <x v="4"/>
  </r>
  <r>
    <s v="CLM102660"/>
    <s v="PT10600"/>
    <s v="P06"/>
    <x v="1"/>
    <x v="4"/>
    <n v="1"/>
    <d v="2026-07-29T00:00:00"/>
    <d v="2026-08-06T00:00:00"/>
    <n v="38.54"/>
    <m/>
    <m/>
    <m/>
    <s v="Denied"/>
    <s v="CO-4"/>
    <d v="2026-09-02T00:00:00"/>
    <m/>
    <n v="38"/>
    <n v="0.27"/>
    <n v="10.26"/>
    <s v=""/>
    <x v="2"/>
    <x v="2"/>
    <x v="1"/>
  </r>
  <r>
    <s v="CLM102661"/>
    <s v="PT12672"/>
    <s v="P01"/>
    <x v="1"/>
    <x v="8"/>
    <n v="1"/>
    <d v="2026-05-02T00:00:00"/>
    <d v="2026-05-03T00:00:00"/>
    <n v="252.86"/>
    <n v="127.4"/>
    <n v="127.4"/>
    <n v="0"/>
    <s v="Paid"/>
    <s v=""/>
    <d v="2026-06-08T00:00:00"/>
    <d v="2026-06-08T00:00:00"/>
    <n v="260"/>
    <n v="0.45"/>
    <n v="117"/>
    <n v="-10.400000000000006"/>
    <x v="0"/>
    <x v="5"/>
    <x v="7"/>
  </r>
  <r>
    <s v="CLM102662"/>
    <s v="PT12242"/>
    <s v="P01"/>
    <x v="0"/>
    <x v="8"/>
    <n v="1"/>
    <d v="2025-10-28T00:00:00"/>
    <d v="2025-11-01T00:00:00"/>
    <n v="257.12"/>
    <n v="124.18"/>
    <n v="124.18"/>
    <n v="0"/>
    <s v="Paid"/>
    <s v=""/>
    <d v="2025-11-20T00:00:00"/>
    <d v="2025-11-20T00:00:00"/>
    <n v="260"/>
    <n v="0.45"/>
    <n v="117"/>
    <n v="-7.1800000000000068"/>
    <x v="0"/>
    <x v="5"/>
    <x v="9"/>
  </r>
  <r>
    <s v="CLM102663"/>
    <s v="PT11726"/>
    <s v="P02"/>
    <x v="2"/>
    <x v="2"/>
    <n v="1"/>
    <d v="2025-12-17T00:00:00"/>
    <d v="2025-12-20T00:00:00"/>
    <n v="62.72"/>
    <n v="30.65"/>
    <n v="30.65"/>
    <n v="0"/>
    <s v="Paid"/>
    <s v=""/>
    <d v="2026-01-18T00:00:00"/>
    <d v="2026-01-18T00:00:00"/>
    <n v="62"/>
    <n v="0.43"/>
    <n v="26.66"/>
    <n v="-3.9899999999999984"/>
    <x v="0"/>
    <x v="6"/>
    <x v="6"/>
  </r>
  <r>
    <s v="CLM102664"/>
    <s v="PT13459"/>
    <s v="P01"/>
    <x v="2"/>
    <x v="0"/>
    <n v="1"/>
    <d v="2026-02-27T00:00:00"/>
    <d v="2026-03-04T00:00:00"/>
    <n v="142.9"/>
    <n v="57.05"/>
    <n v="57.05"/>
    <n v="0"/>
    <s v="Paid"/>
    <s v=""/>
    <d v="2026-04-08T00:00:00"/>
    <d v="2026-04-08T00:00:00"/>
    <n v="145"/>
    <n v="0.45"/>
    <n v="65.25"/>
    <n v="8.2000000000000028"/>
    <x v="1"/>
    <x v="5"/>
    <x v="0"/>
  </r>
  <r>
    <s v="CLM102665"/>
    <s v="PT10724"/>
    <s v="P04"/>
    <x v="0"/>
    <x v="0"/>
    <n v="1"/>
    <d v="2026-02-13T00:00:00"/>
    <d v="2026-02-18T00:00:00"/>
    <n v="144.47999999999999"/>
    <n v="57.14"/>
    <n v="51.43"/>
    <n v="5.71"/>
    <s v="Paid"/>
    <s v=""/>
    <d v="2026-03-03T00:00:00"/>
    <d v="2026-03-03T00:00:00"/>
    <n v="145"/>
    <n v="0.36"/>
    <n v="52.2"/>
    <n v="-4.9399999999999977"/>
    <x v="0"/>
    <x v="1"/>
    <x v="0"/>
  </r>
  <r>
    <s v="CLM102666"/>
    <s v="PT11706"/>
    <s v="P03"/>
    <x v="0"/>
    <x v="7"/>
    <n v="1"/>
    <d v="2026-05-27T00:00:00"/>
    <d v="2026-05-30T00:00:00"/>
    <n v="212.46"/>
    <n v="101.52"/>
    <n v="91.37"/>
    <n v="10.15"/>
    <s v="Paid"/>
    <s v=""/>
    <d v="2026-07-15T00:00:00"/>
    <d v="2026-07-15T00:00:00"/>
    <n v="210"/>
    <n v="0.47"/>
    <n v="98.7"/>
    <n v="-2.8199999999999932"/>
    <x v="0"/>
    <x v="4"/>
    <x v="7"/>
  </r>
  <r>
    <s v="CLM102667"/>
    <s v="PT10627"/>
    <s v="P03"/>
    <x v="1"/>
    <x v="10"/>
    <n v="1"/>
    <d v="2025-10-28T00:00:00"/>
    <d v="2025-10-29T00:00:00"/>
    <n v="1081.1199999999999"/>
    <n v="513.04999999999995"/>
    <n v="410.44"/>
    <n v="102.61"/>
    <s v="Paid"/>
    <s v=""/>
    <d v="2025-12-13T00:00:00"/>
    <d v="2025-12-13T00:00:00"/>
    <n v="1050"/>
    <n v="0.47"/>
    <n v="493.5"/>
    <n v="-19.549999999999955"/>
    <x v="0"/>
    <x v="4"/>
    <x v="9"/>
  </r>
  <r>
    <s v="CLM102668"/>
    <s v="PT11053"/>
    <s v="P02"/>
    <x v="0"/>
    <x v="7"/>
    <n v="1"/>
    <d v="2025-11-01T00:00:00"/>
    <d v="2025-11-02T00:00:00"/>
    <n v="213.72"/>
    <n v="81.319999999999993"/>
    <n v="65.06"/>
    <n v="16.260000000000002"/>
    <s v="Paid"/>
    <s v=""/>
    <d v="2025-11-21T00:00:00"/>
    <d v="2025-11-21T00:00:00"/>
    <n v="210"/>
    <n v="0.43"/>
    <n v="90.3"/>
    <n v="8.980000000000004"/>
    <x v="1"/>
    <x v="6"/>
    <x v="3"/>
  </r>
  <r>
    <s v="CLM102669"/>
    <s v="PT11585"/>
    <s v="P01"/>
    <x v="1"/>
    <x v="8"/>
    <n v="1"/>
    <d v="2026-01-09T00:00:00"/>
    <d v="2026-01-10T00:00:00"/>
    <n v="265.7"/>
    <n v="116.75"/>
    <n v="105.07"/>
    <n v="11.68"/>
    <s v="Paid"/>
    <s v=""/>
    <d v="2026-02-14T00:00:00"/>
    <d v="2026-02-14T00:00:00"/>
    <n v="260"/>
    <n v="0.45"/>
    <n v="117"/>
    <n v="0.25"/>
    <x v="0"/>
    <x v="5"/>
    <x v="5"/>
  </r>
  <r>
    <s v="CLM102670"/>
    <s v="PT12604"/>
    <s v="P04"/>
    <x v="3"/>
    <x v="6"/>
    <n v="1"/>
    <d v="2025-10-06T00:00:00"/>
    <d v="2025-10-07T00:00:00"/>
    <n v="427.43"/>
    <n v="160.63999999999999"/>
    <n v="144.58000000000001"/>
    <n v="16.059999999999999"/>
    <s v="Paid"/>
    <s v=""/>
    <d v="2025-10-12T00:00:00"/>
    <d v="2025-10-12T00:00:00"/>
    <n v="420"/>
    <n v="0.36"/>
    <n v="151.19999999999999"/>
    <n v="-9.4399999999999977"/>
    <x v="0"/>
    <x v="1"/>
    <x v="9"/>
  </r>
  <r>
    <s v="CLM102671"/>
    <s v="PT12280"/>
    <s v="P04"/>
    <x v="1"/>
    <x v="10"/>
    <n v="1"/>
    <d v="2026-01-06T00:00:00"/>
    <d v="2026-01-15T00:00:00"/>
    <n v="1075.05"/>
    <n v="446.82"/>
    <n v="446.82"/>
    <n v="0"/>
    <s v="Paid"/>
    <s v=""/>
    <d v="2026-02-16T00:00:00"/>
    <d v="2026-02-16T00:00:00"/>
    <n v="1050"/>
    <n v="0.36"/>
    <n v="378"/>
    <n v="-68.819999999999993"/>
    <x v="0"/>
    <x v="1"/>
    <x v="5"/>
  </r>
  <r>
    <s v="CLM102672"/>
    <s v="PT12278"/>
    <s v="P01"/>
    <x v="3"/>
    <x v="3"/>
    <n v="20"/>
    <d v="2026-09-10T00:00:00"/>
    <d v="2026-09-13T00:00:00"/>
    <n v="28274.78"/>
    <m/>
    <m/>
    <m/>
    <s v="Pending"/>
    <s v=""/>
    <m/>
    <m/>
    <n v="1450"/>
    <n v="0.45"/>
    <n v="13050"/>
    <s v=""/>
    <x v="2"/>
    <x v="5"/>
    <x v="8"/>
  </r>
  <r>
    <s v="CLM102673"/>
    <s v="PT11639"/>
    <s v="P01"/>
    <x v="1"/>
    <x v="10"/>
    <n v="1"/>
    <d v="2026-09-25T00:00:00"/>
    <d v="2026-09-26T00:00:00"/>
    <n v="1025.97"/>
    <m/>
    <m/>
    <m/>
    <s v="Pending"/>
    <s v=""/>
    <m/>
    <m/>
    <n v="1050"/>
    <n v="0.45"/>
    <n v="472.5"/>
    <s v=""/>
    <x v="2"/>
    <x v="5"/>
    <x v="8"/>
  </r>
  <r>
    <s v="CLM102674"/>
    <s v="PT10921"/>
    <s v="P02"/>
    <x v="0"/>
    <x v="0"/>
    <n v="1"/>
    <d v="2025-10-21T00:00:00"/>
    <d v="2025-10-26T00:00:00"/>
    <n v="144.82"/>
    <n v="53.34"/>
    <n v="53.34"/>
    <n v="0"/>
    <s v="Paid"/>
    <s v=""/>
    <d v="2025-11-28T00:00:00"/>
    <d v="2025-11-28T00:00:00"/>
    <n v="145"/>
    <n v="0.43"/>
    <n v="62.35"/>
    <n v="9.009999999999998"/>
    <x v="1"/>
    <x v="6"/>
    <x v="9"/>
  </r>
  <r>
    <s v="CLM102675"/>
    <s v="PT12743"/>
    <s v="P05"/>
    <x v="0"/>
    <x v="8"/>
    <n v="1"/>
    <d v="2026-08-02T00:00:00"/>
    <d v="2026-08-07T00:00:00"/>
    <n v="258.12"/>
    <n v="92.39"/>
    <n v="92.39"/>
    <n v="0"/>
    <s v="Paid"/>
    <s v=""/>
    <d v="2026-09-23T00:00:00"/>
    <d v="2026-09-23T00:00:00"/>
    <n v="260"/>
    <n v="0.38"/>
    <n v="98.8"/>
    <n v="6.4099999999999966"/>
    <x v="1"/>
    <x v="0"/>
    <x v="4"/>
  </r>
  <r>
    <s v="CLM102676"/>
    <s v="PT12975"/>
    <s v="P01"/>
    <x v="1"/>
    <x v="8"/>
    <n v="1"/>
    <d v="2026-07-20T00:00:00"/>
    <d v="2026-07-21T00:00:00"/>
    <n v="266.63"/>
    <n v="131.75"/>
    <n v="131.75"/>
    <n v="0"/>
    <s v="Paid"/>
    <s v=""/>
    <d v="2026-08-04T00:00:00"/>
    <d v="2026-08-04T00:00:00"/>
    <n v="260"/>
    <n v="0.45"/>
    <n v="117"/>
    <n v="-14.75"/>
    <x v="0"/>
    <x v="5"/>
    <x v="1"/>
  </r>
  <r>
    <s v="CLM102677"/>
    <s v="PT12880"/>
    <s v="P01"/>
    <x v="1"/>
    <x v="11"/>
    <n v="1"/>
    <d v="2026-03-28T00:00:00"/>
    <d v="2026-04-01T00:00:00"/>
    <n v="1161.3900000000001"/>
    <m/>
    <m/>
    <m/>
    <s v="Denied"/>
    <s v="CO-16"/>
    <d v="2026-04-29T00:00:00"/>
    <m/>
    <n v="1150"/>
    <n v="0.45"/>
    <n v="517.5"/>
    <s v=""/>
    <x v="2"/>
    <x v="5"/>
    <x v="2"/>
  </r>
  <r>
    <s v="CLM102678"/>
    <s v="PT12655"/>
    <s v="P01"/>
    <x v="1"/>
    <x v="8"/>
    <n v="1"/>
    <d v="2026-09-11T00:00:00"/>
    <d v="2026-09-21T00:00:00"/>
    <n v="254.89"/>
    <m/>
    <m/>
    <m/>
    <s v="Pending"/>
    <s v=""/>
    <m/>
    <m/>
    <n v="260"/>
    <n v="0.45"/>
    <n v="117"/>
    <s v=""/>
    <x v="2"/>
    <x v="5"/>
    <x v="8"/>
  </r>
  <r>
    <s v="CLM102679"/>
    <s v="PT11042"/>
    <s v="P04"/>
    <x v="0"/>
    <x v="8"/>
    <n v="1"/>
    <d v="2026-08-03T00:00:00"/>
    <d v="2026-08-07T00:00:00"/>
    <n v="258.79000000000002"/>
    <n v="91.75"/>
    <n v="82.57"/>
    <n v="9.18"/>
    <s v="Paid"/>
    <s v=""/>
    <d v="2026-08-19T00:00:00"/>
    <d v="2026-08-19T00:00:00"/>
    <n v="260"/>
    <n v="0.36"/>
    <n v="93.6"/>
    <n v="1.8499999999999943"/>
    <x v="0"/>
    <x v="1"/>
    <x v="4"/>
  </r>
  <r>
    <s v="CLM102680"/>
    <s v="PT11430"/>
    <s v="P02"/>
    <x v="2"/>
    <x v="2"/>
    <n v="4"/>
    <d v="2026-04-15T00:00:00"/>
    <d v="2026-04-19T00:00:00"/>
    <n v="250.65"/>
    <n v="96.01"/>
    <n v="96.01"/>
    <n v="0"/>
    <s v="Paid"/>
    <s v=""/>
    <d v="2026-05-19T00:00:00"/>
    <d v="2026-05-19T00:00:00"/>
    <n v="62"/>
    <n v="0.43"/>
    <n v="106.64"/>
    <n v="10.629999999999995"/>
    <x v="1"/>
    <x v="6"/>
    <x v="10"/>
  </r>
  <r>
    <s v="CLM102681"/>
    <s v="PT12509"/>
    <s v="P03"/>
    <x v="3"/>
    <x v="3"/>
    <n v="20"/>
    <d v="2025-10-21T00:00:00"/>
    <d v="2025-10-31T00:00:00"/>
    <n v="28291.67"/>
    <m/>
    <m/>
    <m/>
    <s v="Denied"/>
    <s v="CO-50"/>
    <d v="2025-12-28T00:00:00"/>
    <m/>
    <n v="1450"/>
    <n v="0.47"/>
    <n v="13630"/>
    <s v=""/>
    <x v="2"/>
    <x v="4"/>
    <x v="9"/>
  </r>
  <r>
    <s v="CLM102682"/>
    <s v="PT13430"/>
    <s v="P06"/>
    <x v="2"/>
    <x v="9"/>
    <n v="4"/>
    <d v="2026-04-21T00:00:00"/>
    <d v="2026-04-28T00:00:00"/>
    <n v="233.02"/>
    <n v="55.38"/>
    <n v="55.38"/>
    <n v="0"/>
    <s v="Paid"/>
    <s v=""/>
    <d v="2026-06-01T00:00:00"/>
    <d v="2026-06-01T00:00:00"/>
    <n v="58"/>
    <n v="0.27"/>
    <n v="62.64"/>
    <n v="7.259999999999998"/>
    <x v="1"/>
    <x v="2"/>
    <x v="10"/>
  </r>
  <r>
    <s v="CLM102683"/>
    <s v="PT12133"/>
    <s v="P03"/>
    <x v="0"/>
    <x v="8"/>
    <n v="1"/>
    <d v="2025-11-15T00:00:00"/>
    <d v="2025-11-18T00:00:00"/>
    <n v="264.81"/>
    <n v="107.47"/>
    <n v="96.72"/>
    <n v="10.75"/>
    <s v="Paid"/>
    <s v=""/>
    <d v="2025-12-21T00:00:00"/>
    <d v="2025-12-21T00:00:00"/>
    <n v="260"/>
    <n v="0.47"/>
    <n v="122.2"/>
    <n v="14.730000000000004"/>
    <x v="1"/>
    <x v="4"/>
    <x v="3"/>
  </r>
  <r>
    <s v="CLM102684"/>
    <s v="PT12061"/>
    <s v="P02"/>
    <x v="1"/>
    <x v="4"/>
    <n v="1"/>
    <d v="2026-06-18T00:00:00"/>
    <d v="2026-06-20T00:00:00"/>
    <n v="37.04"/>
    <n v="15.91"/>
    <n v="14.32"/>
    <n v="1.59"/>
    <s v="Paid"/>
    <s v=""/>
    <d v="2026-07-26T00:00:00"/>
    <d v="2026-07-26T00:00:00"/>
    <n v="38"/>
    <n v="0.43"/>
    <n v="16.34"/>
    <n v="0.42999999999999972"/>
    <x v="0"/>
    <x v="6"/>
    <x v="11"/>
  </r>
  <r>
    <s v="CLM102685"/>
    <s v="PT12365"/>
    <s v="P05"/>
    <x v="0"/>
    <x v="8"/>
    <n v="1"/>
    <d v="2026-09-11T00:00:00"/>
    <d v="2026-09-13T00:00:00"/>
    <n v="257.75"/>
    <m/>
    <m/>
    <m/>
    <s v="Pending"/>
    <s v=""/>
    <m/>
    <m/>
    <n v="260"/>
    <n v="0.38"/>
    <n v="98.8"/>
    <s v=""/>
    <x v="2"/>
    <x v="0"/>
    <x v="8"/>
  </r>
  <r>
    <s v="CLM102686"/>
    <s v="PT12832"/>
    <s v="P01"/>
    <x v="0"/>
    <x v="7"/>
    <n v="1"/>
    <d v="2026-04-10T00:00:00"/>
    <d v="2026-04-12T00:00:00"/>
    <n v="213.34"/>
    <n v="103.07"/>
    <n v="103.07"/>
    <n v="0"/>
    <s v="Paid"/>
    <s v=""/>
    <d v="2026-05-23T00:00:00"/>
    <d v="2026-05-23T00:00:00"/>
    <n v="210"/>
    <n v="0.45"/>
    <n v="94.5"/>
    <n v="-8.5699999999999932"/>
    <x v="0"/>
    <x v="5"/>
    <x v="10"/>
  </r>
  <r>
    <s v="CLM102688"/>
    <s v="PT10994"/>
    <s v="P04"/>
    <x v="3"/>
    <x v="7"/>
    <n v="1"/>
    <d v="2026-09-08T00:00:00"/>
    <d v="2026-09-10T00:00:00"/>
    <n v="216.24"/>
    <m/>
    <m/>
    <m/>
    <s v="Pending"/>
    <s v=""/>
    <m/>
    <m/>
    <n v="210"/>
    <n v="0.36"/>
    <n v="75.599999999999994"/>
    <s v=""/>
    <x v="2"/>
    <x v="1"/>
    <x v="8"/>
  </r>
  <r>
    <s v="CLM102689"/>
    <s v="PT13487"/>
    <s v="P01"/>
    <x v="0"/>
    <x v="4"/>
    <n v="1"/>
    <d v="2026-09-06T00:00:00"/>
    <d v="2026-09-13T00:00:00"/>
    <n v="37.340000000000003"/>
    <m/>
    <m/>
    <m/>
    <s v="Pending"/>
    <s v=""/>
    <m/>
    <m/>
    <n v="38"/>
    <n v="0.45"/>
    <n v="17.100000000000001"/>
    <s v=""/>
    <x v="2"/>
    <x v="5"/>
    <x v="8"/>
  </r>
  <r>
    <s v="CLM102690"/>
    <s v="PT12714"/>
    <s v="P07"/>
    <x v="0"/>
    <x v="0"/>
    <n v="1"/>
    <d v="2025-12-15T00:00:00"/>
    <d v="2025-12-18T00:00:00"/>
    <n v="146.36000000000001"/>
    <m/>
    <m/>
    <m/>
    <s v="Denied"/>
    <s v="CO-4"/>
    <d v="2026-01-25T00:00:00"/>
    <m/>
    <n v="145"/>
    <n v="0.28000000000000003"/>
    <n v="40.6"/>
    <s v=""/>
    <x v="2"/>
    <x v="3"/>
    <x v="6"/>
  </r>
  <r>
    <s v="CLM102691"/>
    <s v="PT12941"/>
    <s v="P02"/>
    <x v="1"/>
    <x v="5"/>
    <n v="1"/>
    <d v="2026-07-07T00:00:00"/>
    <d v="2026-07-14T00:00:00"/>
    <n v="4893.96"/>
    <n v="2342.35"/>
    <n v="2342.35"/>
    <n v="0"/>
    <s v="Paid"/>
    <s v=""/>
    <d v="2026-07-29T00:00:00"/>
    <d v="2026-07-29T00:00:00"/>
    <n v="4800"/>
    <n v="0.43"/>
    <n v="2064"/>
    <n v="-278.34999999999991"/>
    <x v="0"/>
    <x v="6"/>
    <x v="1"/>
  </r>
  <r>
    <s v="CLM102692"/>
    <s v="PT11249"/>
    <s v="P06"/>
    <x v="0"/>
    <x v="0"/>
    <n v="1"/>
    <d v="2026-02-22T00:00:00"/>
    <d v="2026-02-27T00:00:00"/>
    <n v="144.74"/>
    <n v="39.56"/>
    <n v="31.65"/>
    <n v="7.91"/>
    <s v="Paid"/>
    <s v=""/>
    <d v="2026-04-10T00:00:00"/>
    <d v="2026-04-10T00:00:00"/>
    <n v="145"/>
    <n v="0.27"/>
    <n v="39.15"/>
    <n v="-0.41000000000000369"/>
    <x v="0"/>
    <x v="2"/>
    <x v="0"/>
  </r>
  <r>
    <s v="CLM102693"/>
    <s v="PT10330"/>
    <s v="P01"/>
    <x v="0"/>
    <x v="8"/>
    <n v="1"/>
    <d v="2026-02-04T00:00:00"/>
    <d v="2026-02-17T00:00:00"/>
    <n v="266.79000000000002"/>
    <n v="121.84"/>
    <n v="121.84"/>
    <n v="0"/>
    <s v="Paid"/>
    <s v=""/>
    <d v="2026-03-16T00:00:00"/>
    <d v="2026-03-16T00:00:00"/>
    <n v="260"/>
    <n v="0.45"/>
    <n v="117"/>
    <n v="-4.8400000000000034"/>
    <x v="0"/>
    <x v="5"/>
    <x v="0"/>
  </r>
  <r>
    <s v="CLM102694"/>
    <s v="PT11735"/>
    <s v="P03"/>
    <x v="1"/>
    <x v="8"/>
    <n v="1"/>
    <d v="2026-06-13T00:00:00"/>
    <d v="2026-06-14T00:00:00"/>
    <n v="257.44"/>
    <n v="133.02000000000001"/>
    <n v="133.02000000000001"/>
    <n v="0"/>
    <s v="Paid"/>
    <s v=""/>
    <d v="2026-08-13T00:00:00"/>
    <d v="2026-08-13T00:00:00"/>
    <n v="260"/>
    <n v="0.47"/>
    <n v="122.2"/>
    <n v="-10.820000000000007"/>
    <x v="0"/>
    <x v="4"/>
    <x v="11"/>
  </r>
  <r>
    <s v="CLM102695"/>
    <s v="PT11141"/>
    <s v="P04"/>
    <x v="0"/>
    <x v="4"/>
    <n v="1"/>
    <d v="2026-06-15T00:00:00"/>
    <d v="2026-06-19T00:00:00"/>
    <n v="38.04"/>
    <n v="13.87"/>
    <n v="12.48"/>
    <n v="1.39"/>
    <s v="Paid"/>
    <s v=""/>
    <d v="2026-07-01T00:00:00"/>
    <d v="2026-07-01T00:00:00"/>
    <n v="38"/>
    <n v="0.36"/>
    <n v="13.68"/>
    <n v="-0.1899999999999995"/>
    <x v="0"/>
    <x v="1"/>
    <x v="11"/>
  </r>
  <r>
    <s v="CLM102696"/>
    <s v="PT10557"/>
    <s v="P07"/>
    <x v="1"/>
    <x v="11"/>
    <n v="1"/>
    <d v="2026-02-28T00:00:00"/>
    <d v="2026-03-02T00:00:00"/>
    <n v="1182.19"/>
    <m/>
    <m/>
    <m/>
    <s v="Denied"/>
    <s v="CO-27"/>
    <d v="2026-05-07T00:00:00"/>
    <m/>
    <n v="1150"/>
    <n v="0.28000000000000003"/>
    <n v="322"/>
    <s v=""/>
    <x v="2"/>
    <x v="3"/>
    <x v="0"/>
  </r>
  <r>
    <s v="CLM102697"/>
    <s v="PT11028"/>
    <s v="P03"/>
    <x v="0"/>
    <x v="7"/>
    <n v="1"/>
    <d v="2025-10-02T00:00:00"/>
    <d v="2025-10-16T00:00:00"/>
    <n v="212.41"/>
    <n v="106.46"/>
    <n v="106.46"/>
    <n v="0"/>
    <s v="Paid"/>
    <s v=""/>
    <d v="2025-11-09T00:00:00"/>
    <d v="2025-11-09T00:00:00"/>
    <n v="210"/>
    <n v="0.47"/>
    <n v="98.7"/>
    <n v="-7.7599999999999909"/>
    <x v="0"/>
    <x v="4"/>
    <x v="9"/>
  </r>
  <r>
    <s v="CLM102698"/>
    <s v="PT11960"/>
    <s v="P03"/>
    <x v="0"/>
    <x v="7"/>
    <n v="1"/>
    <d v="2025-10-14T00:00:00"/>
    <d v="2025-10-22T00:00:00"/>
    <n v="205.1"/>
    <n v="97.75"/>
    <n v="87.97"/>
    <n v="9.7799999999999994"/>
    <s v="Paid"/>
    <s v=""/>
    <d v="2026-01-10T00:00:00"/>
    <d v="2026-01-10T00:00:00"/>
    <n v="210"/>
    <n v="0.47"/>
    <n v="98.7"/>
    <n v="0.95000000000000284"/>
    <x v="0"/>
    <x v="4"/>
    <x v="9"/>
  </r>
  <r>
    <s v="CLM102699"/>
    <s v="PT10557"/>
    <s v="P05"/>
    <x v="0"/>
    <x v="4"/>
    <n v="1"/>
    <d v="2026-09-08T00:00:00"/>
    <d v="2026-09-09T00:00:00"/>
    <n v="37.659999999999997"/>
    <m/>
    <m/>
    <m/>
    <s v="Pending"/>
    <s v=""/>
    <m/>
    <m/>
    <n v="38"/>
    <n v="0.38"/>
    <n v="14.44"/>
    <s v=""/>
    <x v="2"/>
    <x v="0"/>
    <x v="8"/>
  </r>
  <r>
    <s v="CLM102700"/>
    <s v="PT12123"/>
    <s v="P07"/>
    <x v="3"/>
    <x v="7"/>
    <n v="1"/>
    <d v="2025-11-01T00:00:00"/>
    <d v="2025-11-08T00:00:00"/>
    <n v="215.87"/>
    <m/>
    <m/>
    <m/>
    <s v="Denied"/>
    <s v="CO-27"/>
    <d v="2026-01-25T00:00:00"/>
    <m/>
    <n v="210"/>
    <n v="0.28000000000000003"/>
    <n v="58.8"/>
    <s v=""/>
    <x v="2"/>
    <x v="3"/>
    <x v="3"/>
  </r>
  <r>
    <s v="CLM102701"/>
    <s v="PT10276"/>
    <s v="P04"/>
    <x v="3"/>
    <x v="6"/>
    <n v="1"/>
    <d v="2026-03-03T00:00:00"/>
    <d v="2026-03-04T00:00:00"/>
    <n v="413.48"/>
    <n v="170.17"/>
    <n v="136.13999999999999"/>
    <n v="34.03"/>
    <s v="Paid"/>
    <s v=""/>
    <d v="2026-03-27T00:00:00"/>
    <d v="2026-03-27T00:00:00"/>
    <n v="420"/>
    <n v="0.36"/>
    <n v="151.19999999999999"/>
    <n v="-18.97"/>
    <x v="0"/>
    <x v="1"/>
    <x v="2"/>
  </r>
  <r>
    <s v="CLM102702"/>
    <s v="PT10532"/>
    <s v="P02"/>
    <x v="0"/>
    <x v="7"/>
    <n v="1"/>
    <d v="2026-05-22T00:00:00"/>
    <d v="2026-05-24T00:00:00"/>
    <n v="214.69"/>
    <n v="79.290000000000006"/>
    <n v="79.290000000000006"/>
    <n v="0"/>
    <s v="Paid"/>
    <s v=""/>
    <d v="2026-07-12T00:00:00"/>
    <d v="2026-07-12T00:00:00"/>
    <n v="210"/>
    <n v="0.43"/>
    <n v="90.3"/>
    <n v="11.009999999999991"/>
    <x v="1"/>
    <x v="6"/>
    <x v="7"/>
  </r>
  <r>
    <s v="CLM102703"/>
    <s v="PT11704"/>
    <s v="P04"/>
    <x v="0"/>
    <x v="7"/>
    <n v="1"/>
    <d v="2025-10-08T00:00:00"/>
    <d v="2025-10-16T00:00:00"/>
    <n v="209.89"/>
    <n v="75.28"/>
    <n v="60.22"/>
    <n v="15.06"/>
    <s v="Paid"/>
    <s v=""/>
    <d v="2025-11-03T00:00:00"/>
    <d v="2025-11-03T00:00:00"/>
    <n v="210"/>
    <n v="0.36"/>
    <n v="75.599999999999994"/>
    <n v="0.31999999999999318"/>
    <x v="0"/>
    <x v="1"/>
    <x v="9"/>
  </r>
  <r>
    <s v="CLM102704"/>
    <s v="PT11773"/>
    <s v="P07"/>
    <x v="1"/>
    <x v="4"/>
    <n v="1"/>
    <d v="2026-03-27T00:00:00"/>
    <d v="2026-03-30T00:00:00"/>
    <n v="38.28"/>
    <n v="10.27"/>
    <n v="9.24"/>
    <n v="1.03"/>
    <s v="Paid"/>
    <s v=""/>
    <d v="2026-05-24T00:00:00"/>
    <d v="2026-05-24T00:00:00"/>
    <n v="38"/>
    <n v="0.28000000000000003"/>
    <n v="10.64"/>
    <n v="0.37000000000000099"/>
    <x v="0"/>
    <x v="3"/>
    <x v="2"/>
  </r>
  <r>
    <s v="CLM102705"/>
    <s v="PT12714"/>
    <s v="P02"/>
    <x v="1"/>
    <x v="5"/>
    <n v="1"/>
    <d v="2026-06-25T00:00:00"/>
    <d v="2026-06-26T00:00:00"/>
    <n v="4923.87"/>
    <n v="2223.27"/>
    <n v="2223.27"/>
    <n v="0"/>
    <s v="Paid"/>
    <s v=""/>
    <d v="2026-07-30T00:00:00"/>
    <d v="2026-07-30T00:00:00"/>
    <n v="4800"/>
    <n v="0.43"/>
    <n v="2064"/>
    <n v="-159.26999999999998"/>
    <x v="0"/>
    <x v="6"/>
    <x v="11"/>
  </r>
  <r>
    <s v="CLM102706"/>
    <s v="PT10719"/>
    <s v="P03"/>
    <x v="0"/>
    <x v="4"/>
    <n v="1"/>
    <d v="2025-10-22T00:00:00"/>
    <d v="2025-10-24T00:00:00"/>
    <n v="38.94"/>
    <n v="17.100000000000001"/>
    <n v="15.39"/>
    <n v="1.71"/>
    <s v="Paid"/>
    <s v=""/>
    <d v="2025-12-14T00:00:00"/>
    <d v="2025-12-14T00:00:00"/>
    <n v="38"/>
    <n v="0.47"/>
    <n v="17.86"/>
    <n v="0.75999999999999801"/>
    <x v="0"/>
    <x v="4"/>
    <x v="9"/>
  </r>
  <r>
    <s v="CLM102707"/>
    <s v="PT13439"/>
    <s v="P08"/>
    <x v="0"/>
    <x v="7"/>
    <n v="1"/>
    <d v="2026-06-30T00:00:00"/>
    <d v="2026-07-03T00:00:00"/>
    <n v="216.18"/>
    <n v="216.18"/>
    <n v="216.18"/>
    <n v="0"/>
    <s v="Paid"/>
    <s v=""/>
    <d v="2026-09-25T00:00:00"/>
    <d v="2026-09-25T00:00:00"/>
    <n v="210"/>
    <n v="1"/>
    <n v="210"/>
    <n v="-6.1800000000000068"/>
    <x v="0"/>
    <x v="7"/>
    <x v="11"/>
  </r>
  <r>
    <s v="CLM102708"/>
    <s v="PT10068"/>
    <s v="P04"/>
    <x v="3"/>
    <x v="7"/>
    <n v="1"/>
    <d v="2026-05-24T00:00:00"/>
    <d v="2026-05-30T00:00:00"/>
    <n v="204.85"/>
    <n v="67.08"/>
    <n v="67.08"/>
    <n v="0"/>
    <s v="Paid"/>
    <s v=""/>
    <d v="2026-06-20T00:00:00"/>
    <d v="2026-06-20T00:00:00"/>
    <n v="210"/>
    <n v="0.36"/>
    <n v="75.599999999999994"/>
    <n v="8.519999999999996"/>
    <x v="1"/>
    <x v="1"/>
    <x v="7"/>
  </r>
  <r>
    <s v="CLM102709"/>
    <s v="PT11750"/>
    <s v="P07"/>
    <x v="1"/>
    <x v="10"/>
    <n v="1"/>
    <d v="2026-06-25T00:00:00"/>
    <d v="2026-06-27T00:00:00"/>
    <n v="1046"/>
    <n v="330.83"/>
    <n v="330.83"/>
    <n v="0"/>
    <s v="Paid"/>
    <s v=""/>
    <d v="2026-08-26T00:00:00"/>
    <d v="2026-08-26T00:00:00"/>
    <n v="1050"/>
    <n v="0.28000000000000003"/>
    <n v="294"/>
    <n v="-36.829999999999984"/>
    <x v="0"/>
    <x v="3"/>
    <x v="11"/>
  </r>
  <r>
    <s v="CLM102710"/>
    <s v="PT10612"/>
    <s v="P04"/>
    <x v="2"/>
    <x v="0"/>
    <n v="1"/>
    <d v="2026-03-23T00:00:00"/>
    <d v="2026-03-24T00:00:00"/>
    <n v="142.27000000000001"/>
    <n v="43.71"/>
    <n v="43.71"/>
    <n v="0"/>
    <s v="Paid"/>
    <s v=""/>
    <d v="2026-04-04T00:00:00"/>
    <d v="2026-04-04T00:00:00"/>
    <n v="145"/>
    <n v="0.36"/>
    <n v="52.2"/>
    <n v="8.490000000000002"/>
    <x v="1"/>
    <x v="1"/>
    <x v="2"/>
  </r>
  <r>
    <s v="CLM102711"/>
    <s v="PT10908"/>
    <s v="P03"/>
    <x v="1"/>
    <x v="10"/>
    <n v="1"/>
    <d v="2026-01-24T00:00:00"/>
    <d v="2026-01-27T00:00:00"/>
    <n v="1070.8599999999999"/>
    <m/>
    <m/>
    <m/>
    <s v="Denied"/>
    <s v="CO-16"/>
    <d v="2026-03-08T00:00:00"/>
    <m/>
    <n v="1050"/>
    <n v="0.47"/>
    <n v="493.5"/>
    <s v=""/>
    <x v="2"/>
    <x v="4"/>
    <x v="5"/>
  </r>
  <r>
    <s v="CLM102712"/>
    <s v="PT12046"/>
    <s v="P07"/>
    <x v="0"/>
    <x v="8"/>
    <n v="1"/>
    <d v="2025-12-28T00:00:00"/>
    <d v="2026-01-02T00:00:00"/>
    <n v="255.21"/>
    <n v="78.989999999999995"/>
    <n v="63.19"/>
    <n v="15.8"/>
    <s v="Paid"/>
    <s v=""/>
    <d v="2026-02-20T00:00:00"/>
    <d v="2026-02-20T00:00:00"/>
    <n v="260"/>
    <n v="0.28000000000000003"/>
    <n v="72.8"/>
    <n v="-6.1899999999999977"/>
    <x v="0"/>
    <x v="3"/>
    <x v="6"/>
  </r>
  <r>
    <s v="CLM102713"/>
    <s v="PT13053"/>
    <s v="P01"/>
    <x v="3"/>
    <x v="3"/>
    <n v="10"/>
    <d v="2026-03-19T00:00:00"/>
    <d v="2026-03-21T00:00:00"/>
    <n v="14360.5"/>
    <n v="5895.92"/>
    <n v="5895.92"/>
    <n v="0"/>
    <s v="Paid"/>
    <s v=""/>
    <d v="2026-05-01T00:00:00"/>
    <d v="2026-05-01T00:00:00"/>
    <n v="1450"/>
    <n v="0.45"/>
    <n v="6525"/>
    <n v="629.07999999999993"/>
    <x v="1"/>
    <x v="5"/>
    <x v="2"/>
  </r>
  <r>
    <s v="CLM102714"/>
    <s v="PT13230"/>
    <s v="P01"/>
    <x v="0"/>
    <x v="7"/>
    <n v="1"/>
    <d v="2026-03-26T00:00:00"/>
    <d v="2026-04-02T00:00:00"/>
    <n v="213.98"/>
    <n v="81.99"/>
    <n v="81.99"/>
    <n v="0"/>
    <s v="Paid"/>
    <s v=""/>
    <d v="2026-04-24T00:00:00"/>
    <d v="2026-04-24T00:00:00"/>
    <n v="210"/>
    <n v="0.45"/>
    <n v="94.5"/>
    <n v="12.510000000000005"/>
    <x v="1"/>
    <x v="5"/>
    <x v="2"/>
  </r>
  <r>
    <s v="CLM102715"/>
    <s v="PT12370"/>
    <s v="P05"/>
    <x v="1"/>
    <x v="5"/>
    <n v="1"/>
    <d v="2025-12-18T00:00:00"/>
    <d v="2025-12-20T00:00:00"/>
    <n v="4751.3500000000004"/>
    <n v="1829.38"/>
    <n v="1829.38"/>
    <n v="0"/>
    <s v="Paid"/>
    <s v=""/>
    <d v="2026-02-06T00:00:00"/>
    <d v="2026-02-06T00:00:00"/>
    <n v="4800"/>
    <n v="0.38"/>
    <n v="1824"/>
    <n v="-5.3800000000001091"/>
    <x v="0"/>
    <x v="0"/>
    <x v="6"/>
  </r>
  <r>
    <s v="CLM102716"/>
    <s v="PT11473"/>
    <s v="P04"/>
    <x v="3"/>
    <x v="6"/>
    <n v="1"/>
    <d v="2026-02-28T00:00:00"/>
    <d v="2026-03-03T00:00:00"/>
    <n v="410.03"/>
    <n v="149.33000000000001"/>
    <n v="149.33000000000001"/>
    <n v="0"/>
    <s v="Paid"/>
    <s v=""/>
    <d v="2026-03-12T00:00:00"/>
    <d v="2026-03-12T00:00:00"/>
    <n v="420"/>
    <n v="0.36"/>
    <n v="151.19999999999999"/>
    <n v="1.8699999999999761"/>
    <x v="0"/>
    <x v="1"/>
    <x v="0"/>
  </r>
  <r>
    <s v="CLM102717"/>
    <s v="PT12493"/>
    <s v="P04"/>
    <x v="3"/>
    <x v="6"/>
    <n v="1"/>
    <d v="2026-02-24T00:00:00"/>
    <d v="2026-03-01T00:00:00"/>
    <n v="417.47"/>
    <n v="145.19"/>
    <n v="116.15"/>
    <n v="29.04"/>
    <s v="Paid"/>
    <s v=""/>
    <d v="2026-03-21T00:00:00"/>
    <d v="2026-03-21T00:00:00"/>
    <n v="420"/>
    <n v="0.36"/>
    <n v="151.19999999999999"/>
    <n v="6.0099999999999909"/>
    <x v="0"/>
    <x v="1"/>
    <x v="0"/>
  </r>
  <r>
    <s v="CLM102718"/>
    <s v="PT12554"/>
    <s v="P03"/>
    <x v="1"/>
    <x v="11"/>
    <n v="1"/>
    <d v="2026-02-13T00:00:00"/>
    <d v="2026-02-16T00:00:00"/>
    <n v="1166.98"/>
    <n v="501.17"/>
    <n v="501.17"/>
    <n v="0"/>
    <s v="Paid"/>
    <s v=""/>
    <d v="2026-03-06T00:00:00"/>
    <d v="2026-03-06T00:00:00"/>
    <n v="1150"/>
    <n v="0.47"/>
    <n v="540.5"/>
    <n v="39.329999999999984"/>
    <x v="1"/>
    <x v="4"/>
    <x v="0"/>
  </r>
  <r>
    <s v="CLM102719"/>
    <s v="PT10979"/>
    <s v="P01"/>
    <x v="2"/>
    <x v="0"/>
    <n v="1"/>
    <d v="2026-07-06T00:00:00"/>
    <d v="2026-07-08T00:00:00"/>
    <n v="145.88999999999999"/>
    <n v="56.03"/>
    <n v="56.03"/>
    <n v="0"/>
    <s v="Paid"/>
    <s v=""/>
    <d v="2026-07-31T00:00:00"/>
    <d v="2026-07-31T00:00:00"/>
    <n v="145"/>
    <n v="0.45"/>
    <n v="65.25"/>
    <n v="9.2199999999999989"/>
    <x v="1"/>
    <x v="5"/>
    <x v="1"/>
  </r>
  <r>
    <s v="CLM102720"/>
    <s v="PT10130"/>
    <s v="P07"/>
    <x v="3"/>
    <x v="6"/>
    <n v="1"/>
    <d v="2026-07-26T00:00:00"/>
    <d v="2026-07-31T00:00:00"/>
    <n v="428.58"/>
    <n v="106.91"/>
    <n v="96.22"/>
    <n v="10.69"/>
    <s v="Paid"/>
    <s v=""/>
    <d v="2026-09-13T00:00:00"/>
    <d v="2026-09-13T00:00:00"/>
    <n v="420"/>
    <n v="0.28000000000000003"/>
    <n v="117.6"/>
    <n v="10.689999999999998"/>
    <x v="1"/>
    <x v="3"/>
    <x v="1"/>
  </r>
  <r>
    <s v="CLM102721"/>
    <s v="PT12841"/>
    <s v="P04"/>
    <x v="0"/>
    <x v="0"/>
    <n v="1"/>
    <d v="2026-08-01T00:00:00"/>
    <d v="2026-08-02T00:00:00"/>
    <n v="143.46"/>
    <n v="55.15"/>
    <n v="55.15"/>
    <n v="0"/>
    <s v="Paid"/>
    <s v=""/>
    <d v="2026-08-22T00:00:00"/>
    <d v="2026-08-22T00:00:00"/>
    <n v="145"/>
    <n v="0.36"/>
    <n v="52.2"/>
    <n v="-2.9499999999999957"/>
    <x v="0"/>
    <x v="1"/>
    <x v="4"/>
  </r>
  <r>
    <s v="CLM102722"/>
    <s v="PT12251"/>
    <s v="P07"/>
    <x v="1"/>
    <x v="4"/>
    <n v="1"/>
    <d v="2026-06-13T00:00:00"/>
    <d v="2026-06-19T00:00:00"/>
    <n v="37.07"/>
    <m/>
    <m/>
    <m/>
    <s v="Pending"/>
    <s v=""/>
    <m/>
    <m/>
    <n v="38"/>
    <n v="0.28000000000000003"/>
    <n v="10.64"/>
    <s v=""/>
    <x v="2"/>
    <x v="3"/>
    <x v="11"/>
  </r>
  <r>
    <s v="CLM102723"/>
    <s v="PT10846"/>
    <s v="P07"/>
    <x v="0"/>
    <x v="8"/>
    <n v="1"/>
    <d v="2026-07-08T00:00:00"/>
    <d v="2026-07-09T00:00:00"/>
    <n v="264.29000000000002"/>
    <m/>
    <m/>
    <m/>
    <s v="Pending"/>
    <s v=""/>
    <m/>
    <m/>
    <n v="260"/>
    <n v="0.28000000000000003"/>
    <n v="72.8"/>
    <s v=""/>
    <x v="2"/>
    <x v="3"/>
    <x v="1"/>
  </r>
  <r>
    <s v="CLM102724"/>
    <s v="PT10290"/>
    <s v="P02"/>
    <x v="0"/>
    <x v="7"/>
    <n v="1"/>
    <d v="2026-05-23T00:00:00"/>
    <d v="2026-05-28T00:00:00"/>
    <n v="203.97"/>
    <n v="78.13"/>
    <n v="62.5"/>
    <n v="15.63"/>
    <s v="Paid"/>
    <s v=""/>
    <d v="2026-07-10T00:00:00"/>
    <d v="2026-07-10T00:00:00"/>
    <n v="210"/>
    <n v="0.43"/>
    <n v="90.3"/>
    <n v="12.170000000000002"/>
    <x v="1"/>
    <x v="6"/>
    <x v="7"/>
  </r>
  <r>
    <s v="CLM102725"/>
    <s v="PT12505"/>
    <s v="P02"/>
    <x v="2"/>
    <x v="9"/>
    <n v="4"/>
    <d v="2026-05-09T00:00:00"/>
    <d v="2026-05-12T00:00:00"/>
    <n v="233.68"/>
    <n v="93.55"/>
    <n v="84.19"/>
    <n v="9.36"/>
    <s v="Paid"/>
    <s v=""/>
    <d v="2026-06-21T00:00:00"/>
    <d v="2026-06-21T00:00:00"/>
    <n v="58"/>
    <n v="0.43"/>
    <n v="99.76"/>
    <n v="6.210000000000008"/>
    <x v="1"/>
    <x v="6"/>
    <x v="7"/>
  </r>
  <r>
    <s v="CLM102726"/>
    <s v="PT11814"/>
    <s v="P01"/>
    <x v="0"/>
    <x v="8"/>
    <n v="1"/>
    <d v="2026-03-25T00:00:00"/>
    <d v="2026-03-30T00:00:00"/>
    <n v="257.26"/>
    <n v="111.69"/>
    <n v="111.69"/>
    <n v="0"/>
    <s v="Paid"/>
    <s v=""/>
    <d v="2026-04-25T00:00:00"/>
    <d v="2026-04-25T00:00:00"/>
    <n v="260"/>
    <n v="0.45"/>
    <n v="117"/>
    <n v="5.3100000000000023"/>
    <x v="0"/>
    <x v="5"/>
    <x v="2"/>
  </r>
  <r>
    <s v="CLM102727"/>
    <s v="PT10587"/>
    <s v="P02"/>
    <x v="1"/>
    <x v="1"/>
    <n v="1"/>
    <d v="2026-02-24T00:00:00"/>
    <d v="2026-02-28T00:00:00"/>
    <n v="245.73"/>
    <n v="119.5"/>
    <n v="107.55"/>
    <n v="11.95"/>
    <s v="Paid"/>
    <s v=""/>
    <d v="2026-03-30T00:00:00"/>
    <d v="2026-03-30T00:00:00"/>
    <n v="240"/>
    <n v="0.43"/>
    <n v="103.2"/>
    <n v="-16.299999999999997"/>
    <x v="0"/>
    <x v="6"/>
    <x v="0"/>
  </r>
  <r>
    <s v="CLM102728"/>
    <s v="PT10274"/>
    <s v="P07"/>
    <x v="2"/>
    <x v="2"/>
    <n v="3"/>
    <d v="2026-09-08T00:00:00"/>
    <d v="2026-09-11T00:00:00"/>
    <n v="187.62"/>
    <m/>
    <m/>
    <m/>
    <s v="Pending"/>
    <s v=""/>
    <m/>
    <m/>
    <n v="62"/>
    <n v="0.28000000000000003"/>
    <n v="52.08"/>
    <s v=""/>
    <x v="2"/>
    <x v="3"/>
    <x v="8"/>
  </r>
  <r>
    <s v="CLM102729"/>
    <s v="PT11939"/>
    <s v="P01"/>
    <x v="0"/>
    <x v="7"/>
    <n v="1"/>
    <d v="2026-04-10T00:00:00"/>
    <d v="2026-04-15T00:00:00"/>
    <n v="209.89"/>
    <n v="81.52"/>
    <n v="81.52"/>
    <n v="0"/>
    <s v="Paid"/>
    <s v=""/>
    <d v="2026-05-17T00:00:00"/>
    <d v="2026-05-17T00:00:00"/>
    <n v="210"/>
    <n v="0.45"/>
    <n v="94.5"/>
    <n v="12.980000000000004"/>
    <x v="1"/>
    <x v="5"/>
    <x v="10"/>
  </r>
  <r>
    <s v="CLM102730"/>
    <s v="PT12985"/>
    <s v="P03"/>
    <x v="0"/>
    <x v="8"/>
    <n v="1"/>
    <d v="2025-10-14T00:00:00"/>
    <d v="2025-10-20T00:00:00"/>
    <n v="260.2"/>
    <m/>
    <m/>
    <m/>
    <s v="Denied"/>
    <s v="CO-50"/>
    <d v="2025-12-26T00:00:00"/>
    <m/>
    <n v="260"/>
    <n v="0.47"/>
    <n v="122.2"/>
    <s v=""/>
    <x v="2"/>
    <x v="4"/>
    <x v="9"/>
  </r>
  <r>
    <s v="CLM102731"/>
    <s v="PT11186"/>
    <s v="P05"/>
    <x v="1"/>
    <x v="7"/>
    <n v="1"/>
    <d v="2026-02-23T00:00:00"/>
    <d v="2026-02-25T00:00:00"/>
    <n v="214.76"/>
    <n v="73.790000000000006"/>
    <n v="73.790000000000006"/>
    <n v="0"/>
    <s v="Paid"/>
    <s v=""/>
    <d v="2026-04-26T00:00:00"/>
    <d v="2026-04-26T00:00:00"/>
    <n v="210"/>
    <n v="0.38"/>
    <n v="79.8"/>
    <n v="6.0099999999999909"/>
    <x v="1"/>
    <x v="0"/>
    <x v="0"/>
  </r>
  <r>
    <s v="CLM102732"/>
    <s v="PT11448"/>
    <s v="P04"/>
    <x v="3"/>
    <x v="3"/>
    <n v="10"/>
    <d v="2025-11-16T00:00:00"/>
    <d v="2025-11-17T00:00:00"/>
    <n v="14758.58"/>
    <n v="4550.72"/>
    <n v="4550.72"/>
    <n v="0"/>
    <s v="Paid"/>
    <s v=""/>
    <d v="2025-12-13T00:00:00"/>
    <d v="2025-12-13T00:00:00"/>
    <n v="1450"/>
    <n v="0.36"/>
    <n v="5220"/>
    <n v="669.27999999999975"/>
    <x v="1"/>
    <x v="1"/>
    <x v="3"/>
  </r>
  <r>
    <s v="CLM102733"/>
    <s v="PT10630"/>
    <s v="P04"/>
    <x v="0"/>
    <x v="8"/>
    <n v="1"/>
    <d v="2025-11-01T00:00:00"/>
    <d v="2025-11-03T00:00:00"/>
    <n v="263.24"/>
    <n v="97.94"/>
    <n v="97.94"/>
    <n v="0"/>
    <s v="Paid"/>
    <s v=""/>
    <d v="2025-11-20T00:00:00"/>
    <d v="2025-11-20T00:00:00"/>
    <n v="260"/>
    <n v="0.36"/>
    <n v="93.6"/>
    <n v="-4.3400000000000034"/>
    <x v="0"/>
    <x v="1"/>
    <x v="3"/>
  </r>
  <r>
    <s v="CLM102734"/>
    <s v="PT13035"/>
    <s v="P01"/>
    <x v="1"/>
    <x v="10"/>
    <n v="1"/>
    <d v="2026-07-11T00:00:00"/>
    <d v="2026-07-12T00:00:00"/>
    <n v="1075.2"/>
    <n v="425.71"/>
    <n v="383.14"/>
    <n v="42.57"/>
    <s v="Paid"/>
    <s v=""/>
    <d v="2026-08-13T00:00:00"/>
    <d v="2026-08-13T00:00:00"/>
    <n v="1050"/>
    <n v="0.45"/>
    <n v="472.5"/>
    <n v="46.79000000000002"/>
    <x v="1"/>
    <x v="5"/>
    <x v="1"/>
  </r>
  <r>
    <s v="CLM102735"/>
    <s v="PT12239"/>
    <s v="P02"/>
    <x v="2"/>
    <x v="2"/>
    <n v="4"/>
    <d v="2026-06-15T00:00:00"/>
    <d v="2026-06-16T00:00:00"/>
    <n v="246.02"/>
    <n v="109.21"/>
    <n v="87.37"/>
    <n v="21.84"/>
    <s v="Paid"/>
    <s v=""/>
    <d v="2026-07-10T00:00:00"/>
    <d v="2026-07-10T00:00:00"/>
    <n v="62"/>
    <n v="0.43"/>
    <n v="106.64"/>
    <n v="-2.5699999999999932"/>
    <x v="0"/>
    <x v="6"/>
    <x v="11"/>
  </r>
  <r>
    <s v="CLM102736"/>
    <s v="PT10353"/>
    <s v="P03"/>
    <x v="0"/>
    <x v="7"/>
    <n v="1"/>
    <d v="2026-02-26T00:00:00"/>
    <d v="2026-02-27T00:00:00"/>
    <n v="214.02"/>
    <m/>
    <m/>
    <m/>
    <s v="Denied"/>
    <s v="CO-16"/>
    <d v="2026-03-17T00:00:00"/>
    <m/>
    <n v="210"/>
    <n v="0.47"/>
    <n v="98.7"/>
    <s v=""/>
    <x v="2"/>
    <x v="4"/>
    <x v="0"/>
  </r>
  <r>
    <s v="CLM102737"/>
    <s v="PT12277"/>
    <s v="P01"/>
    <x v="3"/>
    <x v="7"/>
    <n v="1"/>
    <d v="2026-01-23T00:00:00"/>
    <d v="2026-01-25T00:00:00"/>
    <n v="204.2"/>
    <n v="93.62"/>
    <n v="93.62"/>
    <n v="0"/>
    <s v="Paid"/>
    <s v=""/>
    <d v="2026-02-27T00:00:00"/>
    <d v="2026-02-27T00:00:00"/>
    <n v="210"/>
    <n v="0.45"/>
    <n v="94.5"/>
    <n v="0.87999999999999545"/>
    <x v="0"/>
    <x v="5"/>
    <x v="5"/>
  </r>
  <r>
    <s v="CLM102738"/>
    <s v="PT12344"/>
    <s v="P04"/>
    <x v="0"/>
    <x v="0"/>
    <n v="1"/>
    <d v="2026-09-12T00:00:00"/>
    <d v="2026-09-19T00:00:00"/>
    <n v="144.24"/>
    <m/>
    <m/>
    <m/>
    <s v="Pending"/>
    <s v=""/>
    <m/>
    <m/>
    <n v="145"/>
    <n v="0.36"/>
    <n v="52.2"/>
    <s v=""/>
    <x v="2"/>
    <x v="1"/>
    <x v="8"/>
  </r>
  <r>
    <s v="CLM102739"/>
    <s v="PT10385"/>
    <s v="P07"/>
    <x v="1"/>
    <x v="1"/>
    <n v="1"/>
    <d v="2025-10-19T00:00:00"/>
    <d v="2025-10-20T00:00:00"/>
    <n v="240.19"/>
    <m/>
    <m/>
    <m/>
    <s v="Denied"/>
    <s v="CO-27"/>
    <d v="2025-12-15T00:00:00"/>
    <m/>
    <n v="240"/>
    <n v="0.28000000000000003"/>
    <n v="67.2"/>
    <s v=""/>
    <x v="2"/>
    <x v="3"/>
    <x v="9"/>
  </r>
  <r>
    <s v="CLM102740"/>
    <s v="PT10348"/>
    <s v="P02"/>
    <x v="2"/>
    <x v="0"/>
    <n v="1"/>
    <d v="2025-10-28T00:00:00"/>
    <d v="2025-11-12T00:00:00"/>
    <n v="149.28"/>
    <n v="55.26"/>
    <n v="44.21"/>
    <n v="11.05"/>
    <s v="Paid"/>
    <s v=""/>
    <d v="2025-11-29T00:00:00"/>
    <d v="2025-11-29T00:00:00"/>
    <n v="145"/>
    <n v="0.43"/>
    <n v="62.35"/>
    <n v="7.0900000000000034"/>
    <x v="1"/>
    <x v="6"/>
    <x v="9"/>
  </r>
  <r>
    <s v="CLM102741"/>
    <s v="PT13330"/>
    <s v="P01"/>
    <x v="1"/>
    <x v="4"/>
    <n v="1"/>
    <d v="2026-07-08T00:00:00"/>
    <d v="2026-07-09T00:00:00"/>
    <n v="38.92"/>
    <n v="17.55"/>
    <n v="15.79"/>
    <n v="1.76"/>
    <s v="Paid"/>
    <s v=""/>
    <d v="2026-08-06T00:00:00"/>
    <d v="2026-08-06T00:00:00"/>
    <n v="38"/>
    <n v="0.45"/>
    <n v="17.100000000000001"/>
    <n v="-0.44999999999999929"/>
    <x v="0"/>
    <x v="5"/>
    <x v="1"/>
  </r>
  <r>
    <s v="CLM102742"/>
    <s v="PT11760"/>
    <s v="P02"/>
    <x v="2"/>
    <x v="2"/>
    <n v="1"/>
    <d v="2026-01-14T00:00:00"/>
    <d v="2026-01-23T00:00:00"/>
    <n v="60.23"/>
    <n v="23.85"/>
    <n v="21.46"/>
    <n v="2.39"/>
    <s v="Paid"/>
    <s v=""/>
    <d v="2026-02-16T00:00:00"/>
    <d v="2026-02-16T00:00:00"/>
    <n v="62"/>
    <n v="0.43"/>
    <n v="26.66"/>
    <n v="2.8099999999999987"/>
    <x v="1"/>
    <x v="6"/>
    <x v="5"/>
  </r>
  <r>
    <s v="CLM102743"/>
    <s v="PT12897"/>
    <s v="P01"/>
    <x v="1"/>
    <x v="10"/>
    <n v="1"/>
    <d v="2026-06-23T00:00:00"/>
    <d v="2026-06-25T00:00:00"/>
    <n v="1048.4100000000001"/>
    <m/>
    <m/>
    <m/>
    <s v="Denied"/>
    <s v="CO-16"/>
    <d v="2026-07-23T00:00:00"/>
    <m/>
    <n v="1050"/>
    <n v="0.45"/>
    <n v="472.5"/>
    <s v=""/>
    <x v="2"/>
    <x v="5"/>
    <x v="11"/>
  </r>
  <r>
    <s v="CLM102744"/>
    <s v="PT12631"/>
    <s v="P01"/>
    <x v="0"/>
    <x v="7"/>
    <n v="1"/>
    <d v="2026-04-12T00:00:00"/>
    <d v="2026-04-13T00:00:00"/>
    <n v="213.22"/>
    <n v="105.96"/>
    <n v="84.77"/>
    <n v="21.19"/>
    <s v="Paid"/>
    <s v=""/>
    <d v="2026-05-06T00:00:00"/>
    <d v="2026-05-06T00:00:00"/>
    <n v="210"/>
    <n v="0.45"/>
    <n v="94.5"/>
    <n v="-11.459999999999994"/>
    <x v="0"/>
    <x v="5"/>
    <x v="10"/>
  </r>
  <r>
    <s v="CLM102745"/>
    <s v="PT10126"/>
    <s v="P01"/>
    <x v="0"/>
    <x v="0"/>
    <n v="1"/>
    <d v="2026-09-09T00:00:00"/>
    <d v="2026-09-15T00:00:00"/>
    <n v="147.13"/>
    <m/>
    <m/>
    <m/>
    <s v="Pending"/>
    <s v=""/>
    <m/>
    <m/>
    <n v="145"/>
    <n v="0.45"/>
    <n v="65.25"/>
    <s v=""/>
    <x v="2"/>
    <x v="5"/>
    <x v="8"/>
  </r>
  <r>
    <s v="CLM102746"/>
    <s v="PT12446"/>
    <s v="P04"/>
    <x v="2"/>
    <x v="0"/>
    <n v="1"/>
    <d v="2026-01-14T00:00:00"/>
    <d v="2026-01-17T00:00:00"/>
    <n v="141.18"/>
    <m/>
    <m/>
    <m/>
    <s v="Denied"/>
    <s v="CO-4"/>
    <d v="2026-01-22T00:00:00"/>
    <m/>
    <n v="145"/>
    <n v="0.36"/>
    <n v="52.2"/>
    <s v=""/>
    <x v="2"/>
    <x v="1"/>
    <x v="5"/>
  </r>
  <r>
    <s v="CLM102747"/>
    <s v="PT13200"/>
    <s v="P05"/>
    <x v="2"/>
    <x v="9"/>
    <n v="4"/>
    <d v="2026-02-03T00:00:00"/>
    <d v="2026-02-09T00:00:00"/>
    <n v="226.95"/>
    <n v="74.099999999999994"/>
    <n v="74.099999999999994"/>
    <n v="0"/>
    <s v="Paid"/>
    <s v=""/>
    <d v="2026-04-20T00:00:00"/>
    <d v="2026-04-20T00:00:00"/>
    <n v="58"/>
    <n v="0.38"/>
    <n v="88.16"/>
    <n v="14.060000000000002"/>
    <x v="1"/>
    <x v="0"/>
    <x v="0"/>
  </r>
  <r>
    <s v="CLM102748"/>
    <s v="PT11221"/>
    <s v="P07"/>
    <x v="1"/>
    <x v="10"/>
    <n v="1"/>
    <d v="2025-11-03T00:00:00"/>
    <d v="2025-11-04T00:00:00"/>
    <n v="1035.78"/>
    <n v="266.47000000000003"/>
    <n v="266.47000000000003"/>
    <n v="0"/>
    <s v="Paid"/>
    <s v=""/>
    <d v="2026-01-21T00:00:00"/>
    <d v="2026-01-21T00:00:00"/>
    <n v="1050"/>
    <n v="0.28000000000000003"/>
    <n v="294"/>
    <n v="27.529999999999973"/>
    <x v="1"/>
    <x v="3"/>
    <x v="3"/>
  </r>
  <r>
    <s v="CLM102749"/>
    <s v="PT12552"/>
    <s v="P06"/>
    <x v="1"/>
    <x v="8"/>
    <n v="1"/>
    <d v="2026-04-26T00:00:00"/>
    <d v="2026-04-30T00:00:00"/>
    <n v="257.47000000000003"/>
    <n v="64.87"/>
    <n v="64.87"/>
    <n v="0"/>
    <s v="Paid"/>
    <s v=""/>
    <d v="2026-06-02T00:00:00"/>
    <d v="2026-06-02T00:00:00"/>
    <n v="260"/>
    <n v="0.27"/>
    <n v="70.2"/>
    <n v="5.3299999999999983"/>
    <x v="1"/>
    <x v="2"/>
    <x v="10"/>
  </r>
  <r>
    <s v="CLM102750"/>
    <s v="PT12218"/>
    <s v="P02"/>
    <x v="2"/>
    <x v="2"/>
    <n v="3"/>
    <d v="2026-03-21T00:00:00"/>
    <d v="2026-03-29T00:00:00"/>
    <n v="188.59"/>
    <n v="89.42"/>
    <n v="80.48"/>
    <n v="8.94"/>
    <s v="Paid"/>
    <s v=""/>
    <d v="2026-04-16T00:00:00"/>
    <d v="2026-04-16T00:00:00"/>
    <n v="62"/>
    <n v="0.43"/>
    <n v="79.98"/>
    <n v="-9.4399999999999977"/>
    <x v="0"/>
    <x v="6"/>
    <x v="2"/>
  </r>
  <r>
    <s v="CLM102751"/>
    <s v="PT10098"/>
    <s v="P05"/>
    <x v="2"/>
    <x v="2"/>
    <n v="1"/>
    <d v="2026-07-09T00:00:00"/>
    <d v="2026-07-11T00:00:00"/>
    <n v="62.9"/>
    <m/>
    <m/>
    <m/>
    <s v="Denied"/>
    <s v="CO-4"/>
    <d v="2026-08-17T00:00:00"/>
    <m/>
    <n v="62"/>
    <n v="0.38"/>
    <n v="23.56"/>
    <s v=""/>
    <x v="2"/>
    <x v="0"/>
    <x v="1"/>
  </r>
  <r>
    <s v="CLM102752"/>
    <s v="PT12304"/>
    <s v="P07"/>
    <x v="2"/>
    <x v="0"/>
    <n v="1"/>
    <d v="2026-01-29T00:00:00"/>
    <d v="2026-02-02T00:00:00"/>
    <n v="144.38"/>
    <n v="40.14"/>
    <n v="32.11"/>
    <n v="8.0299999999999994"/>
    <s v="Paid"/>
    <s v=""/>
    <d v="2026-03-26T00:00:00"/>
    <d v="2026-03-26T00:00:00"/>
    <n v="145"/>
    <n v="0.28000000000000003"/>
    <n v="40.6"/>
    <n v="0.46000000000000085"/>
    <x v="0"/>
    <x v="3"/>
    <x v="5"/>
  </r>
  <r>
    <s v="CLM102753"/>
    <s v="PT12118"/>
    <s v="P01"/>
    <x v="2"/>
    <x v="2"/>
    <n v="3"/>
    <d v="2026-02-01T00:00:00"/>
    <d v="2026-02-03T00:00:00"/>
    <n v="180.61"/>
    <n v="77.84"/>
    <n v="70.06"/>
    <n v="7.78"/>
    <s v="Paid"/>
    <s v=""/>
    <d v="2026-02-27T00:00:00"/>
    <d v="2026-02-27T00:00:00"/>
    <n v="62"/>
    <n v="0.45"/>
    <n v="83.7"/>
    <n v="5.8599999999999994"/>
    <x v="1"/>
    <x v="5"/>
    <x v="0"/>
  </r>
  <r>
    <s v="CLM102754"/>
    <s v="PT10933"/>
    <s v="P07"/>
    <x v="0"/>
    <x v="4"/>
    <n v="1"/>
    <d v="2026-02-14T00:00:00"/>
    <d v="2026-02-16T00:00:00"/>
    <n v="37.08"/>
    <n v="9.16"/>
    <n v="7.33"/>
    <n v="1.83"/>
    <s v="Paid"/>
    <s v=""/>
    <d v="2026-05-05T00:00:00"/>
    <d v="2026-05-05T00:00:00"/>
    <n v="38"/>
    <n v="0.28000000000000003"/>
    <n v="10.64"/>
    <n v="1.4800000000000004"/>
    <x v="1"/>
    <x v="3"/>
    <x v="0"/>
  </r>
  <r>
    <s v="CLM102755"/>
    <s v="PT13069"/>
    <s v="P02"/>
    <x v="1"/>
    <x v="11"/>
    <n v="1"/>
    <d v="2025-12-26T00:00:00"/>
    <d v="2025-12-29T00:00:00"/>
    <n v="1155.18"/>
    <m/>
    <m/>
    <m/>
    <s v="Denied"/>
    <s v="CO-197"/>
    <d v="2026-02-03T00:00:00"/>
    <m/>
    <n v="1150"/>
    <n v="0.43"/>
    <n v="494.5"/>
    <s v=""/>
    <x v="2"/>
    <x v="6"/>
    <x v="6"/>
  </r>
  <r>
    <s v="CLM102756"/>
    <s v="PT10297"/>
    <s v="P02"/>
    <x v="1"/>
    <x v="8"/>
    <n v="1"/>
    <d v="2025-12-31T00:00:00"/>
    <d v="2026-01-05T00:00:00"/>
    <n v="260.69"/>
    <n v="118.48"/>
    <n v="118.48"/>
    <n v="0"/>
    <s v="Paid"/>
    <s v=""/>
    <d v="2026-02-06T00:00:00"/>
    <d v="2026-02-06T00:00:00"/>
    <n v="260"/>
    <n v="0.43"/>
    <n v="111.8"/>
    <n v="-6.6800000000000068"/>
    <x v="0"/>
    <x v="6"/>
    <x v="6"/>
  </r>
  <r>
    <s v="CLM102757"/>
    <s v="PT13065"/>
    <s v="P01"/>
    <x v="0"/>
    <x v="4"/>
    <n v="1"/>
    <d v="2026-03-07T00:00:00"/>
    <d v="2026-03-08T00:00:00"/>
    <n v="37.74"/>
    <n v="16.32"/>
    <n v="13.06"/>
    <n v="3.26"/>
    <s v="Paid"/>
    <s v=""/>
    <d v="2026-04-14T00:00:00"/>
    <d v="2026-04-14T00:00:00"/>
    <n v="38"/>
    <n v="0.45"/>
    <n v="17.100000000000001"/>
    <n v="0.78000000000000114"/>
    <x v="0"/>
    <x v="5"/>
    <x v="2"/>
  </r>
  <r>
    <s v="CLM102759"/>
    <s v="PT12047"/>
    <s v="P01"/>
    <x v="0"/>
    <x v="8"/>
    <n v="1"/>
    <d v="2026-04-22T00:00:00"/>
    <d v="2026-04-24T00:00:00"/>
    <n v="260.01"/>
    <n v="108.1"/>
    <n v="108.1"/>
    <n v="0"/>
    <s v="Paid"/>
    <s v=""/>
    <d v="2026-05-28T00:00:00"/>
    <d v="2026-05-28T00:00:00"/>
    <n v="260"/>
    <n v="0.45"/>
    <n v="117"/>
    <n v="8.9000000000000057"/>
    <x v="1"/>
    <x v="5"/>
    <x v="10"/>
  </r>
  <r>
    <s v="CLM102760"/>
    <s v="PT12763"/>
    <s v="P06"/>
    <x v="0"/>
    <x v="8"/>
    <n v="1"/>
    <d v="2026-01-10T00:00:00"/>
    <d v="2026-01-17T00:00:00"/>
    <n v="256.73"/>
    <n v="73.33"/>
    <n v="66"/>
    <n v="7.33"/>
    <s v="Paid"/>
    <s v=""/>
    <d v="2026-02-23T00:00:00"/>
    <d v="2026-02-23T00:00:00"/>
    <n v="260"/>
    <n v="0.27"/>
    <n v="70.2"/>
    <n v="-3.1299999999999955"/>
    <x v="0"/>
    <x v="2"/>
    <x v="5"/>
  </r>
  <r>
    <s v="CLM102761"/>
    <s v="PT10563"/>
    <s v="P01"/>
    <x v="0"/>
    <x v="4"/>
    <n v="1"/>
    <d v="2026-01-27T00:00:00"/>
    <d v="2026-02-04T00:00:00"/>
    <n v="39.119999999999997"/>
    <m/>
    <m/>
    <m/>
    <s v="Denied"/>
    <s v="CO-50"/>
    <d v="2026-03-11T00:00:00"/>
    <m/>
    <n v="38"/>
    <n v="0.45"/>
    <n v="17.100000000000001"/>
    <s v=""/>
    <x v="2"/>
    <x v="5"/>
    <x v="5"/>
  </r>
  <r>
    <s v="CLM102762"/>
    <s v="PT10850"/>
    <s v="P07"/>
    <x v="0"/>
    <x v="4"/>
    <n v="1"/>
    <d v="2026-09-17T00:00:00"/>
    <d v="2026-09-18T00:00:00"/>
    <n v="37.15"/>
    <m/>
    <m/>
    <m/>
    <s v="Pending"/>
    <s v=""/>
    <m/>
    <m/>
    <n v="38"/>
    <n v="0.28000000000000003"/>
    <n v="10.64"/>
    <s v=""/>
    <x v="2"/>
    <x v="3"/>
    <x v="8"/>
  </r>
  <r>
    <s v="CLM102763"/>
    <s v="PT10087"/>
    <s v="P04"/>
    <x v="0"/>
    <x v="7"/>
    <n v="1"/>
    <d v="2026-09-02T00:00:00"/>
    <d v="2026-09-03T00:00:00"/>
    <n v="213.6"/>
    <n v="84.98"/>
    <n v="67.98"/>
    <n v="17"/>
    <s v="Paid"/>
    <s v=""/>
    <d v="2026-09-24T00:00:00"/>
    <d v="2026-09-24T00:00:00"/>
    <n v="210"/>
    <n v="0.36"/>
    <n v="75.599999999999994"/>
    <n v="-9.3800000000000097"/>
    <x v="0"/>
    <x v="1"/>
    <x v="8"/>
  </r>
  <r>
    <s v="CLM102764"/>
    <s v="PT11686"/>
    <s v="P01"/>
    <x v="2"/>
    <x v="0"/>
    <n v="1"/>
    <d v="2025-10-16T00:00:00"/>
    <d v="2026-03-03T00:00:00"/>
    <n v="147.44"/>
    <m/>
    <m/>
    <m/>
    <s v="Denied"/>
    <s v="CO-29"/>
    <d v="2026-03-27T00:00:00"/>
    <m/>
    <n v="145"/>
    <n v="0.45"/>
    <n v="65.25"/>
    <s v=""/>
    <x v="2"/>
    <x v="5"/>
    <x v="9"/>
  </r>
  <r>
    <s v="CLM102765"/>
    <s v="PT13329"/>
    <s v="P06"/>
    <x v="2"/>
    <x v="9"/>
    <n v="1"/>
    <d v="2025-10-10T00:00:00"/>
    <d v="2025-10-14T00:00:00"/>
    <n v="57.22"/>
    <n v="17.239999999999998"/>
    <n v="13.79"/>
    <n v="3.45"/>
    <s v="Paid"/>
    <s v=""/>
    <d v="2025-11-21T00:00:00"/>
    <d v="2025-11-21T00:00:00"/>
    <n v="58"/>
    <n v="0.27"/>
    <n v="15.66"/>
    <n v="-1.5799999999999983"/>
    <x v="0"/>
    <x v="2"/>
    <x v="9"/>
  </r>
  <r>
    <s v="CLM102766"/>
    <s v="PT13323"/>
    <s v="P05"/>
    <x v="0"/>
    <x v="0"/>
    <n v="1"/>
    <d v="2025-12-28T00:00:00"/>
    <d v="2026-01-08T00:00:00"/>
    <n v="147.69999999999999"/>
    <n v="59.32"/>
    <n v="53.39"/>
    <n v="5.93"/>
    <s v="Paid"/>
    <s v=""/>
    <d v="2026-02-16T00:00:00"/>
    <d v="2026-02-16T00:00:00"/>
    <n v="145"/>
    <n v="0.38"/>
    <n v="55.1"/>
    <n v="-4.2199999999999989"/>
    <x v="0"/>
    <x v="0"/>
    <x v="6"/>
  </r>
  <r>
    <s v="CLM102767"/>
    <s v="PT13038"/>
    <s v="P02"/>
    <x v="1"/>
    <x v="11"/>
    <n v="1"/>
    <d v="2026-08-10T00:00:00"/>
    <d v="2026-08-13T00:00:00"/>
    <n v="1167.17"/>
    <n v="442.8"/>
    <n v="442.8"/>
    <n v="0"/>
    <s v="Paid"/>
    <s v=""/>
    <d v="2026-09-26T00:00:00"/>
    <d v="2026-09-26T00:00:00"/>
    <n v="1150"/>
    <n v="0.43"/>
    <n v="494.5"/>
    <n v="51.699999999999989"/>
    <x v="1"/>
    <x v="6"/>
    <x v="4"/>
  </r>
  <r>
    <s v="CLM102769"/>
    <s v="PT12655"/>
    <s v="P01"/>
    <x v="1"/>
    <x v="11"/>
    <n v="1"/>
    <d v="2025-10-04T00:00:00"/>
    <d v="2025-10-05T00:00:00"/>
    <n v="1182.24"/>
    <n v="572.14"/>
    <n v="572.14"/>
    <n v="0"/>
    <s v="Paid"/>
    <s v=""/>
    <d v="2025-11-21T00:00:00"/>
    <d v="2025-11-21T00:00:00"/>
    <n v="1150"/>
    <n v="0.45"/>
    <n v="517.5"/>
    <n v="-54.639999999999986"/>
    <x v="0"/>
    <x v="5"/>
    <x v="9"/>
  </r>
  <r>
    <s v="CLM102770"/>
    <s v="PT13342"/>
    <s v="P02"/>
    <x v="2"/>
    <x v="2"/>
    <n v="3"/>
    <d v="2026-05-25T00:00:00"/>
    <d v="2026-05-27T00:00:00"/>
    <n v="187.81"/>
    <n v="73.650000000000006"/>
    <n v="73.650000000000006"/>
    <n v="0"/>
    <s v="Paid"/>
    <s v=""/>
    <d v="2026-06-27T00:00:00"/>
    <d v="2026-06-27T00:00:00"/>
    <n v="62"/>
    <n v="0.43"/>
    <n v="79.98"/>
    <n v="6.3299999999999983"/>
    <x v="1"/>
    <x v="6"/>
    <x v="7"/>
  </r>
  <r>
    <s v="CLM102771"/>
    <s v="PT10217"/>
    <s v="P04"/>
    <x v="0"/>
    <x v="7"/>
    <n v="1"/>
    <d v="2025-12-23T00:00:00"/>
    <d v="2026-01-02T00:00:00"/>
    <n v="209.02"/>
    <n v="74.930000000000007"/>
    <n v="74.930000000000007"/>
    <n v="0"/>
    <s v="Paid"/>
    <s v=""/>
    <d v="2026-01-31T00:00:00"/>
    <d v="2026-01-31T00:00:00"/>
    <n v="210"/>
    <n v="0.36"/>
    <n v="75.599999999999994"/>
    <n v="0.66999999999998749"/>
    <x v="0"/>
    <x v="1"/>
    <x v="6"/>
  </r>
  <r>
    <s v="CLM102772"/>
    <s v="PT11659"/>
    <s v="P03"/>
    <x v="1"/>
    <x v="8"/>
    <n v="1"/>
    <d v="2025-11-22T00:00:00"/>
    <d v="2025-11-27T00:00:00"/>
    <n v="254.16"/>
    <n v="125.92"/>
    <n v="100.74"/>
    <n v="25.18"/>
    <s v="Paid"/>
    <s v=""/>
    <d v="2026-01-29T00:00:00"/>
    <d v="2026-01-29T00:00:00"/>
    <n v="260"/>
    <n v="0.47"/>
    <n v="122.2"/>
    <n v="-3.7199999999999989"/>
    <x v="0"/>
    <x v="4"/>
    <x v="3"/>
  </r>
  <r>
    <s v="CLM102773"/>
    <s v="PT10711"/>
    <s v="P05"/>
    <x v="2"/>
    <x v="0"/>
    <n v="1"/>
    <d v="2025-10-21T00:00:00"/>
    <d v="2025-10-30T00:00:00"/>
    <n v="148.1"/>
    <n v="53.15"/>
    <n v="47.83"/>
    <n v="5.32"/>
    <s v="Paid"/>
    <s v=""/>
    <d v="2025-12-16T00:00:00"/>
    <d v="2025-12-16T00:00:00"/>
    <n v="145"/>
    <n v="0.38"/>
    <n v="55.1"/>
    <n v="1.9500000000000028"/>
    <x v="0"/>
    <x v="0"/>
    <x v="9"/>
  </r>
  <r>
    <s v="CLM102774"/>
    <s v="PT12621"/>
    <s v="P02"/>
    <x v="0"/>
    <x v="7"/>
    <n v="1"/>
    <d v="2026-03-29T00:00:00"/>
    <d v="2026-04-05T00:00:00"/>
    <n v="213.45"/>
    <n v="102.38"/>
    <n v="102.38"/>
    <n v="0"/>
    <s v="Paid"/>
    <s v=""/>
    <d v="2026-05-21T00:00:00"/>
    <d v="2026-05-21T00:00:00"/>
    <n v="210"/>
    <n v="0.43"/>
    <n v="90.3"/>
    <n v="-12.079999999999998"/>
    <x v="0"/>
    <x v="6"/>
    <x v="2"/>
  </r>
  <r>
    <s v="CLM102775"/>
    <s v="PT10567"/>
    <s v="P05"/>
    <x v="1"/>
    <x v="7"/>
    <n v="1"/>
    <d v="2026-05-30T00:00:00"/>
    <d v="2026-06-07T00:00:00"/>
    <n v="212.68"/>
    <n v="83.22"/>
    <n v="83.22"/>
    <n v="0"/>
    <s v="Paid"/>
    <s v=""/>
    <d v="2026-07-07T00:00:00"/>
    <d v="2026-07-07T00:00:00"/>
    <n v="210"/>
    <n v="0.38"/>
    <n v="79.8"/>
    <n v="-3.4200000000000017"/>
    <x v="0"/>
    <x v="0"/>
    <x v="7"/>
  </r>
  <r>
    <s v="CLM102776"/>
    <s v="PT10532"/>
    <s v="P02"/>
    <x v="0"/>
    <x v="8"/>
    <n v="1"/>
    <d v="2026-08-23T00:00:00"/>
    <d v="2026-08-28T00:00:00"/>
    <n v="259.32"/>
    <m/>
    <m/>
    <m/>
    <s v="Denied"/>
    <s v="CO-16"/>
    <d v="2026-09-24T00:00:00"/>
    <m/>
    <n v="260"/>
    <n v="0.43"/>
    <n v="111.8"/>
    <s v=""/>
    <x v="2"/>
    <x v="6"/>
    <x v="4"/>
  </r>
  <r>
    <s v="CLM102777"/>
    <s v="PT10475"/>
    <s v="P06"/>
    <x v="3"/>
    <x v="3"/>
    <n v="5"/>
    <d v="2026-05-28T00:00:00"/>
    <d v="2026-05-31T00:00:00"/>
    <n v="7326.18"/>
    <n v="1715.28"/>
    <n v="1715.28"/>
    <n v="0"/>
    <s v="Paid"/>
    <s v=""/>
    <d v="2026-07-09T00:00:00"/>
    <d v="2026-07-09T00:00:00"/>
    <n v="1450"/>
    <n v="0.27"/>
    <n v="1957.5"/>
    <n v="242.22000000000003"/>
    <x v="1"/>
    <x v="2"/>
    <x v="7"/>
  </r>
  <r>
    <s v="CLM102778"/>
    <s v="PT10987"/>
    <s v="P01"/>
    <x v="2"/>
    <x v="2"/>
    <n v="1"/>
    <d v="2026-04-24T00:00:00"/>
    <d v="2026-08-03T00:00:00"/>
    <n v="61.09"/>
    <m/>
    <m/>
    <m/>
    <s v="Denied"/>
    <s v="CO-29"/>
    <d v="2026-08-30T00:00:00"/>
    <m/>
    <n v="62"/>
    <n v="0.45"/>
    <n v="27.9"/>
    <s v=""/>
    <x v="2"/>
    <x v="5"/>
    <x v="10"/>
  </r>
  <r>
    <s v="CLM102779"/>
    <s v="PT12909"/>
    <s v="P03"/>
    <x v="1"/>
    <x v="1"/>
    <n v="1"/>
    <d v="2026-03-05T00:00:00"/>
    <d v="2026-03-11T00:00:00"/>
    <n v="235.28"/>
    <n v="110.81"/>
    <n v="99.73"/>
    <n v="11.08"/>
    <s v="Paid"/>
    <s v=""/>
    <d v="2026-05-18T00:00:00"/>
    <d v="2026-05-18T00:00:00"/>
    <n v="240"/>
    <n v="0.47"/>
    <n v="112.8"/>
    <n v="1.9899999999999949"/>
    <x v="0"/>
    <x v="4"/>
    <x v="2"/>
  </r>
  <r>
    <s v="CLM102780"/>
    <s v="PT12981"/>
    <s v="P08"/>
    <x v="1"/>
    <x v="10"/>
    <n v="1"/>
    <d v="2026-09-08T00:00:00"/>
    <d v="2026-09-10T00:00:00"/>
    <n v="1048.92"/>
    <m/>
    <m/>
    <m/>
    <s v="Pending"/>
    <s v=""/>
    <m/>
    <m/>
    <n v="1050"/>
    <n v="1"/>
    <n v="1050"/>
    <s v=""/>
    <x v="2"/>
    <x v="7"/>
    <x v="8"/>
  </r>
  <r>
    <s v="CLM102781"/>
    <s v="PT13075"/>
    <s v="P01"/>
    <x v="0"/>
    <x v="0"/>
    <n v="1"/>
    <d v="2026-07-14T00:00:00"/>
    <d v="2026-07-15T00:00:00"/>
    <n v="145.53"/>
    <n v="60.24"/>
    <n v="60.24"/>
    <n v="0"/>
    <s v="Paid"/>
    <s v=""/>
    <d v="2026-08-10T00:00:00"/>
    <d v="2026-08-10T00:00:00"/>
    <n v="145"/>
    <n v="0.45"/>
    <n v="65.25"/>
    <n v="5.009999999999998"/>
    <x v="1"/>
    <x v="5"/>
    <x v="1"/>
  </r>
  <r>
    <s v="CLM102782"/>
    <s v="PT12517"/>
    <s v="P06"/>
    <x v="3"/>
    <x v="7"/>
    <n v="1"/>
    <d v="2026-07-09T00:00:00"/>
    <d v="2026-07-15T00:00:00"/>
    <n v="215.91"/>
    <n v="59.6"/>
    <n v="59.6"/>
    <n v="0"/>
    <s v="Paid"/>
    <s v=""/>
    <d v="2026-08-28T00:00:00"/>
    <d v="2026-08-28T00:00:00"/>
    <n v="210"/>
    <n v="0.27"/>
    <n v="56.7"/>
    <n v="-2.8999999999999986"/>
    <x v="0"/>
    <x v="2"/>
    <x v="1"/>
  </r>
  <r>
    <s v="CLM102783"/>
    <s v="PT11881"/>
    <s v="P02"/>
    <x v="0"/>
    <x v="4"/>
    <n v="1"/>
    <d v="2025-10-10T00:00:00"/>
    <d v="2025-10-13T00:00:00"/>
    <n v="37.200000000000003"/>
    <n v="17.600000000000001"/>
    <n v="15.84"/>
    <n v="1.76"/>
    <s v="Paid"/>
    <s v=""/>
    <d v="2025-11-07T00:00:00"/>
    <d v="2025-11-07T00:00:00"/>
    <n v="38"/>
    <n v="0.43"/>
    <n v="16.34"/>
    <n v="-1.2600000000000016"/>
    <x v="0"/>
    <x v="6"/>
    <x v="9"/>
  </r>
  <r>
    <s v="CLM102784"/>
    <s v="PT10056"/>
    <s v="P02"/>
    <x v="1"/>
    <x v="11"/>
    <n v="1"/>
    <d v="2026-09-08T00:00:00"/>
    <d v="2026-09-23T00:00:00"/>
    <n v="1152.04"/>
    <m/>
    <m/>
    <m/>
    <s v="Pending"/>
    <s v=""/>
    <m/>
    <m/>
    <n v="1150"/>
    <n v="0.43"/>
    <n v="494.5"/>
    <s v=""/>
    <x v="2"/>
    <x v="6"/>
    <x v="8"/>
  </r>
  <r>
    <s v="CLM102785"/>
    <s v="PT13079"/>
    <s v="P03"/>
    <x v="1"/>
    <x v="4"/>
    <n v="1"/>
    <d v="2026-07-31T00:00:00"/>
    <d v="2026-08-01T00:00:00"/>
    <n v="38.78"/>
    <m/>
    <m/>
    <m/>
    <s v="Pending"/>
    <s v=""/>
    <m/>
    <m/>
    <n v="38"/>
    <n v="0.47"/>
    <n v="17.86"/>
    <s v=""/>
    <x v="2"/>
    <x v="4"/>
    <x v="1"/>
  </r>
  <r>
    <s v="CLM102786"/>
    <s v="PT13254"/>
    <s v="P05"/>
    <x v="3"/>
    <x v="7"/>
    <n v="1"/>
    <d v="2026-05-11T00:00:00"/>
    <d v="2026-05-23T00:00:00"/>
    <n v="213.17"/>
    <m/>
    <m/>
    <m/>
    <s v="Denied"/>
    <s v="CO-16"/>
    <d v="2026-07-22T00:00:00"/>
    <m/>
    <n v="210"/>
    <n v="0.38"/>
    <n v="79.8"/>
    <s v=""/>
    <x v="2"/>
    <x v="0"/>
    <x v="7"/>
  </r>
  <r>
    <s v="CLM102787"/>
    <s v="PT12802"/>
    <s v="P01"/>
    <x v="1"/>
    <x v="1"/>
    <n v="1"/>
    <d v="2026-06-16T00:00:00"/>
    <d v="2026-06-17T00:00:00"/>
    <n v="236.71"/>
    <n v="104.37"/>
    <n v="83.5"/>
    <n v="20.87"/>
    <s v="Paid"/>
    <s v=""/>
    <d v="2026-07-13T00:00:00"/>
    <d v="2026-07-13T00:00:00"/>
    <n v="240"/>
    <n v="0.45"/>
    <n v="108"/>
    <n v="3.6299999999999955"/>
    <x v="0"/>
    <x v="5"/>
    <x v="11"/>
  </r>
  <r>
    <s v="CLM102788"/>
    <s v="PT11808"/>
    <s v="P02"/>
    <x v="1"/>
    <x v="10"/>
    <n v="1"/>
    <d v="2026-06-01T00:00:00"/>
    <d v="2026-06-06T00:00:00"/>
    <n v="1068.8"/>
    <n v="434.21"/>
    <n v="390.79"/>
    <n v="43.42"/>
    <s v="Paid"/>
    <s v=""/>
    <d v="2026-06-26T00:00:00"/>
    <d v="2026-06-26T00:00:00"/>
    <n v="1050"/>
    <n v="0.43"/>
    <n v="451.5"/>
    <n v="17.29000000000002"/>
    <x v="0"/>
    <x v="6"/>
    <x v="11"/>
  </r>
  <r>
    <s v="CLM102789"/>
    <s v="PT12041"/>
    <s v="P02"/>
    <x v="1"/>
    <x v="10"/>
    <n v="1"/>
    <d v="2026-09-12T00:00:00"/>
    <d v="2026-09-18T00:00:00"/>
    <n v="1035.9000000000001"/>
    <m/>
    <m/>
    <m/>
    <s v="Pending"/>
    <s v=""/>
    <m/>
    <m/>
    <n v="1050"/>
    <n v="0.43"/>
    <n v="451.5"/>
    <s v=""/>
    <x v="2"/>
    <x v="6"/>
    <x v="8"/>
  </r>
  <r>
    <s v="CLM102790"/>
    <s v="PT11791"/>
    <s v="P01"/>
    <x v="0"/>
    <x v="8"/>
    <n v="1"/>
    <d v="2025-10-21T00:00:00"/>
    <d v="2025-10-23T00:00:00"/>
    <n v="255.22"/>
    <n v="102.31"/>
    <n v="102.31"/>
    <n v="0"/>
    <s v="Paid"/>
    <s v=""/>
    <d v="2025-11-23T00:00:00"/>
    <d v="2025-11-23T00:00:00"/>
    <n v="260"/>
    <n v="0.45"/>
    <n v="117"/>
    <n v="14.689999999999998"/>
    <x v="1"/>
    <x v="5"/>
    <x v="9"/>
  </r>
  <r>
    <s v="CLM102791"/>
    <s v="PT10912"/>
    <s v="P04"/>
    <x v="2"/>
    <x v="9"/>
    <n v="1"/>
    <d v="2026-01-24T00:00:00"/>
    <d v="2026-02-01T00:00:00"/>
    <n v="57.01"/>
    <n v="18.96"/>
    <n v="15.17"/>
    <n v="3.79"/>
    <s v="Paid"/>
    <s v=""/>
    <d v="2026-02-24T00:00:00"/>
    <d v="2026-02-24T00:00:00"/>
    <n v="58"/>
    <n v="0.36"/>
    <n v="20.88"/>
    <n v="1.9199999999999982"/>
    <x v="1"/>
    <x v="1"/>
    <x v="5"/>
  </r>
  <r>
    <s v="CLM102792"/>
    <s v="PT13000"/>
    <s v="P07"/>
    <x v="1"/>
    <x v="1"/>
    <n v="1"/>
    <d v="2025-10-17T00:00:00"/>
    <d v="2025-10-20T00:00:00"/>
    <n v="247.19"/>
    <n v="63.77"/>
    <n v="63.77"/>
    <n v="0"/>
    <s v="Paid"/>
    <s v=""/>
    <d v="2026-01-25T00:00:00"/>
    <d v="2026-01-25T00:00:00"/>
    <n v="240"/>
    <n v="0.28000000000000003"/>
    <n v="67.2"/>
    <n v="3.4299999999999997"/>
    <x v="1"/>
    <x v="3"/>
    <x v="9"/>
  </r>
  <r>
    <s v="CLM102793"/>
    <s v="PT12900"/>
    <s v="P01"/>
    <x v="0"/>
    <x v="8"/>
    <n v="1"/>
    <d v="2026-06-21T00:00:00"/>
    <d v="2026-06-26T00:00:00"/>
    <n v="257.55"/>
    <n v="112.28"/>
    <n v="101.05"/>
    <n v="11.23"/>
    <s v="Paid"/>
    <s v=""/>
    <d v="2026-07-19T00:00:00"/>
    <d v="2026-07-19T00:00:00"/>
    <n v="260"/>
    <n v="0.45"/>
    <n v="117"/>
    <n v="4.7199999999999989"/>
    <x v="0"/>
    <x v="5"/>
    <x v="11"/>
  </r>
  <r>
    <s v="CLM102794"/>
    <s v="PT11636"/>
    <s v="P05"/>
    <x v="0"/>
    <x v="4"/>
    <n v="1"/>
    <d v="2026-07-22T00:00:00"/>
    <d v="2026-07-23T00:00:00"/>
    <n v="38.21"/>
    <n v="13.97"/>
    <n v="13.97"/>
    <n v="0"/>
    <s v="Paid"/>
    <s v=""/>
    <d v="2026-09-14T00:00:00"/>
    <d v="2026-09-14T00:00:00"/>
    <n v="38"/>
    <n v="0.38"/>
    <n v="14.44"/>
    <n v="0.46999999999999886"/>
    <x v="0"/>
    <x v="0"/>
    <x v="1"/>
  </r>
  <r>
    <s v="CLM102795"/>
    <s v="PT12855"/>
    <s v="P04"/>
    <x v="3"/>
    <x v="6"/>
    <n v="1"/>
    <d v="2026-01-15T00:00:00"/>
    <d v="2026-01-18T00:00:00"/>
    <n v="412.29"/>
    <n v="171.19"/>
    <n v="154.07"/>
    <n v="17.12"/>
    <s v="Paid"/>
    <s v=""/>
    <d v="2026-02-09T00:00:00"/>
    <d v="2026-02-09T00:00:00"/>
    <n v="420"/>
    <n v="0.36"/>
    <n v="151.19999999999999"/>
    <n v="-19.990000000000009"/>
    <x v="0"/>
    <x v="1"/>
    <x v="5"/>
  </r>
  <r>
    <s v="CLM102796"/>
    <s v="PT10144"/>
    <s v="P03"/>
    <x v="0"/>
    <x v="7"/>
    <n v="1"/>
    <d v="2026-01-21T00:00:00"/>
    <d v="2026-01-22T00:00:00"/>
    <n v="209.97"/>
    <n v="101.67"/>
    <n v="101.67"/>
    <n v="0"/>
    <s v="Paid"/>
    <s v=""/>
    <d v="2026-03-20T00:00:00"/>
    <d v="2026-03-20T00:00:00"/>
    <n v="210"/>
    <n v="0.47"/>
    <n v="98.7"/>
    <n v="-2.9699999999999989"/>
    <x v="0"/>
    <x v="4"/>
    <x v="5"/>
  </r>
  <r>
    <s v="CLM102797"/>
    <s v="PT10139"/>
    <s v="P05"/>
    <x v="1"/>
    <x v="7"/>
    <n v="1"/>
    <d v="2026-09-23T00:00:00"/>
    <d v="2026-09-24T00:00:00"/>
    <n v="212.7"/>
    <m/>
    <m/>
    <m/>
    <s v="Pending"/>
    <s v=""/>
    <m/>
    <m/>
    <n v="210"/>
    <n v="0.38"/>
    <n v="79.8"/>
    <s v=""/>
    <x v="2"/>
    <x v="0"/>
    <x v="8"/>
  </r>
  <r>
    <s v="CLM102798"/>
    <s v="PT13320"/>
    <s v="P01"/>
    <x v="1"/>
    <x v="10"/>
    <n v="1"/>
    <d v="2026-01-10T00:00:00"/>
    <d v="2026-01-19T00:00:00"/>
    <n v="1030.54"/>
    <m/>
    <m/>
    <m/>
    <s v="Denied"/>
    <s v="CO-197"/>
    <d v="2026-02-20T00:00:00"/>
    <m/>
    <n v="1050"/>
    <n v="0.45"/>
    <n v="472.5"/>
    <s v=""/>
    <x v="2"/>
    <x v="5"/>
    <x v="5"/>
  </r>
  <r>
    <s v="CLM102799"/>
    <s v="PT13083"/>
    <s v="P01"/>
    <x v="0"/>
    <x v="0"/>
    <n v="1"/>
    <d v="2026-08-27T00:00:00"/>
    <d v="2026-08-31T00:00:00"/>
    <n v="144.88999999999999"/>
    <n v="60.52"/>
    <n v="54.47"/>
    <n v="6.05"/>
    <s v="Paid"/>
    <s v=""/>
    <d v="2026-09-28T00:00:00"/>
    <d v="2026-09-28T00:00:00"/>
    <n v="145"/>
    <n v="0.45"/>
    <n v="65.25"/>
    <n v="4.7299999999999969"/>
    <x v="1"/>
    <x v="5"/>
    <x v="4"/>
  </r>
  <r>
    <s v="CLM102800"/>
    <s v="PT13457"/>
    <s v="P01"/>
    <x v="2"/>
    <x v="0"/>
    <n v="1"/>
    <d v="2026-05-04T00:00:00"/>
    <d v="2026-09-17T00:00:00"/>
    <n v="145.62"/>
    <m/>
    <m/>
    <m/>
    <s v="Pending"/>
    <s v=""/>
    <m/>
    <m/>
    <n v="145"/>
    <n v="0.45"/>
    <n v="65.25"/>
    <s v=""/>
    <x v="2"/>
    <x v="5"/>
    <x v="7"/>
  </r>
  <r>
    <s v="CLM102801"/>
    <s v="PT10644"/>
    <s v="P02"/>
    <x v="3"/>
    <x v="6"/>
    <n v="1"/>
    <d v="2026-09-19T00:00:00"/>
    <d v="2026-09-21T00:00:00"/>
    <n v="411.03"/>
    <m/>
    <m/>
    <m/>
    <s v="Pending"/>
    <s v=""/>
    <m/>
    <m/>
    <n v="420"/>
    <n v="0.43"/>
    <n v="180.6"/>
    <s v=""/>
    <x v="2"/>
    <x v="6"/>
    <x v="8"/>
  </r>
  <r>
    <s v="CLM102802"/>
    <s v="PT12139"/>
    <s v="P02"/>
    <x v="0"/>
    <x v="0"/>
    <n v="1"/>
    <d v="2025-12-14T00:00:00"/>
    <d v="2025-12-17T00:00:00"/>
    <n v="146.12"/>
    <n v="72"/>
    <n v="57.6"/>
    <n v="14.4"/>
    <s v="Paid"/>
    <s v=""/>
    <d v="2026-01-31T00:00:00"/>
    <d v="2026-01-31T00:00:00"/>
    <n v="145"/>
    <n v="0.43"/>
    <n v="62.35"/>
    <n v="-9.6499999999999986"/>
    <x v="0"/>
    <x v="6"/>
    <x v="6"/>
  </r>
  <r>
    <s v="CLM102803"/>
    <s v="PT12772"/>
    <s v="P02"/>
    <x v="0"/>
    <x v="7"/>
    <n v="1"/>
    <d v="2025-12-07T00:00:00"/>
    <d v="2025-12-11T00:00:00"/>
    <n v="210.33"/>
    <n v="91.93"/>
    <n v="73.540000000000006"/>
    <n v="18.39"/>
    <s v="Paid"/>
    <s v=""/>
    <d v="2026-01-13T00:00:00"/>
    <d v="2026-01-13T00:00:00"/>
    <n v="210"/>
    <n v="0.43"/>
    <n v="90.3"/>
    <n v="-1.6300000000000097"/>
    <x v="0"/>
    <x v="6"/>
    <x v="6"/>
  </r>
  <r>
    <s v="CLM102804"/>
    <s v="PT11414"/>
    <s v="P05"/>
    <x v="3"/>
    <x v="3"/>
    <n v="20"/>
    <d v="2025-11-11T00:00:00"/>
    <d v="2025-11-12T00:00:00"/>
    <n v="28169.77"/>
    <n v="10353"/>
    <n v="8282.4"/>
    <n v="2070.6"/>
    <s v="Paid"/>
    <s v=""/>
    <d v="2026-01-19T00:00:00"/>
    <d v="2026-01-19T00:00:00"/>
    <n v="1450"/>
    <n v="0.38"/>
    <n v="11020"/>
    <n v="667"/>
    <x v="1"/>
    <x v="0"/>
    <x v="3"/>
  </r>
  <r>
    <s v="CLM102805"/>
    <s v="PT11651"/>
    <s v="P05"/>
    <x v="3"/>
    <x v="3"/>
    <n v="10"/>
    <d v="2025-10-16T00:00:00"/>
    <d v="2025-10-19T00:00:00"/>
    <n v="14353.51"/>
    <n v="6193.1"/>
    <n v="6193.1"/>
    <n v="0"/>
    <s v="Paid"/>
    <s v=""/>
    <d v="2025-11-30T00:00:00"/>
    <d v="2025-11-30T00:00:00"/>
    <n v="1450"/>
    <n v="0.38"/>
    <n v="5510"/>
    <n v="-683.10000000000036"/>
    <x v="0"/>
    <x v="0"/>
    <x v="9"/>
  </r>
  <r>
    <s v="CLM102806"/>
    <s v="PT11010"/>
    <s v="P01"/>
    <x v="3"/>
    <x v="3"/>
    <n v="30"/>
    <d v="2026-06-11T00:00:00"/>
    <d v="2026-06-20T00:00:00"/>
    <n v="43424.39"/>
    <n v="20009.13"/>
    <n v="16007.3"/>
    <n v="4001.83"/>
    <s v="Paid"/>
    <s v=""/>
    <d v="2026-07-11T00:00:00"/>
    <d v="2026-07-11T00:00:00"/>
    <n v="1450"/>
    <n v="0.45"/>
    <n v="19575"/>
    <n v="-434.13000000000102"/>
    <x v="0"/>
    <x v="5"/>
    <x v="11"/>
  </r>
  <r>
    <s v="CLM102807"/>
    <s v="PT10691"/>
    <s v="P02"/>
    <x v="1"/>
    <x v="1"/>
    <n v="1"/>
    <d v="2026-08-12T00:00:00"/>
    <d v="2026-08-18T00:00:00"/>
    <n v="234.08"/>
    <n v="94.93"/>
    <n v="75.94"/>
    <n v="18.989999999999998"/>
    <s v="Paid"/>
    <s v=""/>
    <d v="2026-09-11T00:00:00"/>
    <d v="2026-09-11T00:00:00"/>
    <n v="240"/>
    <n v="0.43"/>
    <n v="103.2"/>
    <n v="8.269999999999996"/>
    <x v="1"/>
    <x v="6"/>
    <x v="4"/>
  </r>
  <r>
    <s v="CLM102808"/>
    <s v="PT10933"/>
    <s v="P02"/>
    <x v="1"/>
    <x v="11"/>
    <n v="1"/>
    <d v="2026-04-24T00:00:00"/>
    <d v="2026-04-29T00:00:00"/>
    <n v="1132.2"/>
    <n v="494.97"/>
    <n v="395.98"/>
    <n v="98.99"/>
    <s v="Paid"/>
    <s v=""/>
    <d v="2026-06-17T00:00:00"/>
    <d v="2026-06-17T00:00:00"/>
    <n v="1150"/>
    <n v="0.43"/>
    <n v="494.5"/>
    <n v="-0.47000000000002728"/>
    <x v="0"/>
    <x v="6"/>
    <x v="10"/>
  </r>
  <r>
    <s v="CLM102809"/>
    <s v="PT13189"/>
    <s v="P04"/>
    <x v="0"/>
    <x v="8"/>
    <n v="1"/>
    <d v="2026-08-02T00:00:00"/>
    <d v="2026-08-03T00:00:00"/>
    <n v="256.70999999999998"/>
    <n v="87.25"/>
    <n v="69.8"/>
    <n v="17.45"/>
    <s v="Paid"/>
    <s v=""/>
    <d v="2026-08-20T00:00:00"/>
    <d v="2026-08-20T00:00:00"/>
    <n v="260"/>
    <n v="0.36"/>
    <n v="93.6"/>
    <n v="6.3499999999999943"/>
    <x v="1"/>
    <x v="1"/>
    <x v="4"/>
  </r>
  <r>
    <s v="CLM102810"/>
    <s v="PT10064"/>
    <s v="P01"/>
    <x v="3"/>
    <x v="6"/>
    <n v="1"/>
    <d v="2026-05-29T00:00:00"/>
    <d v="2026-06-01T00:00:00"/>
    <n v="408.87"/>
    <m/>
    <m/>
    <m/>
    <s v="Denied"/>
    <s v="CO-197"/>
    <d v="2026-06-20T00:00:00"/>
    <m/>
    <n v="420"/>
    <n v="0.45"/>
    <n v="189"/>
    <s v=""/>
    <x v="2"/>
    <x v="5"/>
    <x v="7"/>
  </r>
  <r>
    <s v="CLM102811"/>
    <s v="PT10839"/>
    <s v="P07"/>
    <x v="3"/>
    <x v="6"/>
    <n v="1"/>
    <d v="2026-04-13T00:00:00"/>
    <d v="2026-04-15T00:00:00"/>
    <n v="424.32"/>
    <n v="106.15"/>
    <n v="84.92"/>
    <n v="21.23"/>
    <s v="Paid"/>
    <s v=""/>
    <d v="2026-06-12T00:00:00"/>
    <d v="2026-06-12T00:00:00"/>
    <n v="420"/>
    <n v="0.28000000000000003"/>
    <n v="117.6"/>
    <n v="11.449999999999989"/>
    <x v="1"/>
    <x v="3"/>
    <x v="10"/>
  </r>
  <r>
    <s v="CLM102812"/>
    <s v="PT11745"/>
    <s v="P01"/>
    <x v="3"/>
    <x v="3"/>
    <n v="20"/>
    <d v="2026-01-13T00:00:00"/>
    <d v="2026-01-16T00:00:00"/>
    <n v="29727.54"/>
    <n v="13786.88"/>
    <n v="13786.88"/>
    <n v="0"/>
    <s v="Paid"/>
    <s v=""/>
    <d v="2026-01-31T00:00:00"/>
    <d v="2026-01-31T00:00:00"/>
    <n v="1450"/>
    <n v="0.45"/>
    <n v="13050"/>
    <n v="-736.8799999999992"/>
    <x v="0"/>
    <x v="5"/>
    <x v="5"/>
  </r>
  <r>
    <s v="CLM102813"/>
    <s v="PT10851"/>
    <s v="P06"/>
    <x v="3"/>
    <x v="3"/>
    <n v="5"/>
    <d v="2026-07-25T00:00:00"/>
    <d v="2026-07-26T00:00:00"/>
    <n v="7047.02"/>
    <n v="1861.73"/>
    <n v="1489.38"/>
    <n v="372.35"/>
    <s v="Paid"/>
    <s v=""/>
    <d v="2026-08-31T00:00:00"/>
    <d v="2026-08-31T00:00:00"/>
    <n v="1450"/>
    <n v="0.27"/>
    <n v="1957.5"/>
    <n v="95.769999999999982"/>
    <x v="0"/>
    <x v="2"/>
    <x v="1"/>
  </r>
  <r>
    <s v="CLM102814"/>
    <s v="PT12721"/>
    <s v="P01"/>
    <x v="2"/>
    <x v="0"/>
    <n v="1"/>
    <d v="2026-03-08T00:00:00"/>
    <d v="2026-03-14T00:00:00"/>
    <n v="143.30000000000001"/>
    <n v="65.91"/>
    <n v="65.91"/>
    <n v="0"/>
    <s v="Paid"/>
    <s v=""/>
    <d v="2026-03-28T00:00:00"/>
    <d v="2026-03-28T00:00:00"/>
    <n v="145"/>
    <n v="0.45"/>
    <n v="65.25"/>
    <n v="-0.65999999999999659"/>
    <x v="0"/>
    <x v="5"/>
    <x v="2"/>
  </r>
  <r>
    <s v="CLM102815"/>
    <s v="PT12455"/>
    <s v="P04"/>
    <x v="0"/>
    <x v="8"/>
    <n v="1"/>
    <d v="2026-08-19T00:00:00"/>
    <d v="2026-08-20T00:00:00"/>
    <n v="266.86"/>
    <n v="104.89"/>
    <n v="104.89"/>
    <n v="0"/>
    <s v="Paid"/>
    <s v=""/>
    <d v="2026-09-08T00:00:00"/>
    <d v="2026-09-08T00:00:00"/>
    <n v="260"/>
    <n v="0.36"/>
    <n v="93.6"/>
    <n v="-11.290000000000006"/>
    <x v="0"/>
    <x v="1"/>
    <x v="4"/>
  </r>
  <r>
    <s v="CLM102816"/>
    <s v="PT10059"/>
    <s v="P07"/>
    <x v="1"/>
    <x v="8"/>
    <n v="1"/>
    <d v="2026-02-27T00:00:00"/>
    <d v="2026-03-05T00:00:00"/>
    <n v="266.48"/>
    <n v="71.239999999999995"/>
    <n v="71.239999999999995"/>
    <n v="0"/>
    <s v="Paid"/>
    <s v=""/>
    <d v="2026-04-10T00:00:00"/>
    <d v="2026-04-10T00:00:00"/>
    <n v="260"/>
    <n v="0.28000000000000003"/>
    <n v="72.8"/>
    <n v="1.5600000000000023"/>
    <x v="0"/>
    <x v="3"/>
    <x v="0"/>
  </r>
  <r>
    <s v="CLM102817"/>
    <s v="PT12820"/>
    <s v="P03"/>
    <x v="1"/>
    <x v="5"/>
    <n v="1"/>
    <d v="2026-02-04T00:00:00"/>
    <d v="2026-02-07T00:00:00"/>
    <n v="4862.1400000000003"/>
    <n v="2537.08"/>
    <n v="2537.08"/>
    <n v="0"/>
    <s v="Paid"/>
    <s v=""/>
    <d v="2026-03-23T00:00:00"/>
    <d v="2026-03-23T00:00:00"/>
    <n v="4800"/>
    <n v="0.47"/>
    <n v="2256"/>
    <n v="-281.07999999999993"/>
    <x v="0"/>
    <x v="4"/>
    <x v="0"/>
  </r>
  <r>
    <s v="CLM102818"/>
    <s v="PT12700"/>
    <s v="P04"/>
    <x v="2"/>
    <x v="2"/>
    <n v="1"/>
    <d v="2026-07-09T00:00:00"/>
    <d v="2026-07-16T00:00:00"/>
    <n v="62.91"/>
    <n v="22.66"/>
    <n v="22.66"/>
    <n v="0"/>
    <s v="Paid"/>
    <s v=""/>
    <d v="2026-08-09T00:00:00"/>
    <d v="2026-08-09T00:00:00"/>
    <n v="62"/>
    <n v="0.36"/>
    <n v="22.32"/>
    <n v="-0.33999999999999986"/>
    <x v="0"/>
    <x v="1"/>
    <x v="1"/>
  </r>
  <r>
    <s v="CLM102819"/>
    <s v="PT11822"/>
    <s v="P02"/>
    <x v="1"/>
    <x v="10"/>
    <n v="1"/>
    <d v="2025-11-14T00:00:00"/>
    <d v="2025-11-17T00:00:00"/>
    <n v="1053.3499999999999"/>
    <n v="422.7"/>
    <n v="422.7"/>
    <n v="0"/>
    <s v="Paid"/>
    <s v=""/>
    <d v="2025-12-15T00:00:00"/>
    <d v="2025-12-15T00:00:00"/>
    <n v="1050"/>
    <n v="0.43"/>
    <n v="451.5"/>
    <n v="28.800000000000011"/>
    <x v="1"/>
    <x v="6"/>
    <x v="3"/>
  </r>
  <r>
    <s v="CLM102820"/>
    <s v="PT11618"/>
    <s v="P02"/>
    <x v="1"/>
    <x v="5"/>
    <n v="1"/>
    <d v="2025-10-23T00:00:00"/>
    <d v="2025-10-26T00:00:00"/>
    <n v="4830.59"/>
    <n v="1881.54"/>
    <n v="1881.54"/>
    <n v="0"/>
    <s v="Paid"/>
    <s v=""/>
    <d v="2025-11-28T00:00:00"/>
    <d v="2025-11-28T00:00:00"/>
    <n v="4800"/>
    <n v="0.43"/>
    <n v="2064"/>
    <n v="182.46000000000004"/>
    <x v="1"/>
    <x v="6"/>
    <x v="9"/>
  </r>
  <r>
    <s v="CLM102821"/>
    <s v="PT11086"/>
    <s v="P01"/>
    <x v="1"/>
    <x v="11"/>
    <n v="1"/>
    <d v="2026-01-31T00:00:00"/>
    <d v="2026-02-08T00:00:00"/>
    <n v="1118.6099999999999"/>
    <n v="554.85"/>
    <n v="554.85"/>
    <n v="0"/>
    <s v="Paid"/>
    <s v=""/>
    <d v="2026-03-01T00:00:00"/>
    <d v="2026-03-01T00:00:00"/>
    <n v="1150"/>
    <n v="0.45"/>
    <n v="517.5"/>
    <n v="-37.350000000000023"/>
    <x v="0"/>
    <x v="5"/>
    <x v="5"/>
  </r>
  <r>
    <s v="CLM102822"/>
    <s v="PT12809"/>
    <s v="P05"/>
    <x v="2"/>
    <x v="9"/>
    <n v="1"/>
    <d v="2026-01-27T00:00:00"/>
    <d v="2026-01-30T00:00:00"/>
    <n v="57.13"/>
    <n v="19.72"/>
    <n v="19.72"/>
    <n v="0"/>
    <s v="Paid"/>
    <s v=""/>
    <d v="2026-04-01T00:00:00"/>
    <d v="2026-04-01T00:00:00"/>
    <n v="58"/>
    <n v="0.38"/>
    <n v="22.04"/>
    <n v="2.3200000000000003"/>
    <x v="1"/>
    <x v="0"/>
    <x v="5"/>
  </r>
  <r>
    <s v="CLM102823"/>
    <s v="PT11563"/>
    <s v="P06"/>
    <x v="0"/>
    <x v="0"/>
    <n v="1"/>
    <d v="2026-06-16T00:00:00"/>
    <d v="2026-06-17T00:00:00"/>
    <n v="144.58000000000001"/>
    <n v="35.51"/>
    <n v="31.96"/>
    <n v="3.55"/>
    <s v="Paid"/>
    <s v=""/>
    <d v="2026-08-04T00:00:00"/>
    <d v="2026-08-04T00:00:00"/>
    <n v="145"/>
    <n v="0.27"/>
    <n v="39.15"/>
    <n v="3.6400000000000006"/>
    <x v="1"/>
    <x v="2"/>
    <x v="11"/>
  </r>
  <r>
    <s v="CLM102824"/>
    <s v="PT12691"/>
    <s v="P04"/>
    <x v="0"/>
    <x v="8"/>
    <n v="1"/>
    <d v="2025-10-31T00:00:00"/>
    <d v="2025-11-03T00:00:00"/>
    <n v="255.51"/>
    <n v="90.83"/>
    <n v="90.83"/>
    <n v="0"/>
    <s v="Paid"/>
    <s v=""/>
    <d v="2025-11-16T00:00:00"/>
    <d v="2025-11-16T00:00:00"/>
    <n v="260"/>
    <n v="0.36"/>
    <n v="93.6"/>
    <n v="2.769999999999996"/>
    <x v="0"/>
    <x v="1"/>
    <x v="9"/>
  </r>
  <r>
    <s v="CLM102825"/>
    <s v="PT11438"/>
    <s v="P03"/>
    <x v="3"/>
    <x v="3"/>
    <n v="10"/>
    <d v="2026-01-04T00:00:00"/>
    <d v="2026-01-06T00:00:00"/>
    <n v="14165.74"/>
    <n v="6147.19"/>
    <n v="5532.47"/>
    <n v="614.72"/>
    <s v="Paid"/>
    <s v=""/>
    <d v="2026-02-01T00:00:00"/>
    <d v="2026-02-01T00:00:00"/>
    <n v="1450"/>
    <n v="0.47"/>
    <n v="6815"/>
    <n v="667.8100000000004"/>
    <x v="1"/>
    <x v="4"/>
    <x v="5"/>
  </r>
  <r>
    <s v="CLM102827"/>
    <s v="PT13461"/>
    <s v="P01"/>
    <x v="0"/>
    <x v="0"/>
    <n v="1"/>
    <d v="2026-03-04T00:00:00"/>
    <d v="2026-03-07T00:00:00"/>
    <n v="141.72"/>
    <n v="58.15"/>
    <n v="58.15"/>
    <n v="0"/>
    <s v="Paid"/>
    <s v=""/>
    <d v="2026-03-29T00:00:00"/>
    <d v="2026-03-29T00:00:00"/>
    <n v="145"/>
    <n v="0.45"/>
    <n v="65.25"/>
    <n v="7.1000000000000014"/>
    <x v="1"/>
    <x v="5"/>
    <x v="2"/>
  </r>
  <r>
    <s v="CLM102828"/>
    <s v="PT10790"/>
    <s v="P01"/>
    <x v="0"/>
    <x v="4"/>
    <n v="1"/>
    <d v="2026-01-23T00:00:00"/>
    <d v="2026-01-25T00:00:00"/>
    <n v="38.04"/>
    <m/>
    <m/>
    <m/>
    <s v="Denied"/>
    <s v="CO-18"/>
    <d v="2026-02-13T00:00:00"/>
    <m/>
    <n v="38"/>
    <n v="0.45"/>
    <n v="17.100000000000001"/>
    <s v=""/>
    <x v="2"/>
    <x v="5"/>
    <x v="5"/>
  </r>
  <r>
    <s v="CLM102829"/>
    <s v="PT12289"/>
    <s v="P01"/>
    <x v="1"/>
    <x v="8"/>
    <n v="1"/>
    <d v="2026-02-28T00:00:00"/>
    <d v="2026-03-08T00:00:00"/>
    <n v="264.85000000000002"/>
    <m/>
    <m/>
    <m/>
    <s v="Denied"/>
    <s v="CO-4"/>
    <d v="2026-04-18T00:00:00"/>
    <m/>
    <n v="260"/>
    <n v="0.45"/>
    <n v="117"/>
    <s v=""/>
    <x v="2"/>
    <x v="5"/>
    <x v="0"/>
  </r>
  <r>
    <s v="CLM102830"/>
    <s v="PT13413"/>
    <s v="P07"/>
    <x v="0"/>
    <x v="7"/>
    <n v="1"/>
    <d v="2026-08-17T00:00:00"/>
    <d v="2026-08-19T00:00:00"/>
    <n v="213.58"/>
    <n v="56.55"/>
    <n v="56.55"/>
    <n v="0"/>
    <s v="Paid"/>
    <s v=""/>
    <d v="2026-09-24T00:00:00"/>
    <d v="2026-09-24T00:00:00"/>
    <n v="210"/>
    <n v="0.28000000000000003"/>
    <n v="58.8"/>
    <n v="2.25"/>
    <x v="0"/>
    <x v="3"/>
    <x v="4"/>
  </r>
  <r>
    <s v="CLM102831"/>
    <s v="PT12499"/>
    <s v="P04"/>
    <x v="2"/>
    <x v="9"/>
    <n v="3"/>
    <d v="2025-11-11T00:00:00"/>
    <d v="2026-02-14T00:00:00"/>
    <n v="173.3"/>
    <m/>
    <m/>
    <m/>
    <s v="Denied"/>
    <s v="CO-29"/>
    <d v="2026-02-28T00:00:00"/>
    <m/>
    <n v="58"/>
    <n v="0.36"/>
    <n v="62.64"/>
    <s v=""/>
    <x v="2"/>
    <x v="1"/>
    <x v="3"/>
  </r>
  <r>
    <s v="CLM102833"/>
    <s v="PT13122"/>
    <s v="P01"/>
    <x v="0"/>
    <x v="8"/>
    <n v="1"/>
    <d v="2026-09-25T00:00:00"/>
    <d v="2026-09-28T00:00:00"/>
    <n v="253.78"/>
    <m/>
    <m/>
    <m/>
    <s v="Pending"/>
    <s v=""/>
    <m/>
    <m/>
    <n v="260"/>
    <n v="0.45"/>
    <n v="117"/>
    <s v=""/>
    <x v="2"/>
    <x v="5"/>
    <x v="8"/>
  </r>
  <r>
    <s v="CLM102834"/>
    <s v="PT12726"/>
    <s v="P02"/>
    <x v="1"/>
    <x v="1"/>
    <n v="1"/>
    <d v="2025-12-09T00:00:00"/>
    <d v="2025-12-18T00:00:00"/>
    <n v="233.41"/>
    <n v="109.36"/>
    <n v="109.36"/>
    <n v="0"/>
    <s v="Paid"/>
    <s v=""/>
    <d v="2026-01-24T00:00:00"/>
    <d v="2026-01-24T00:00:00"/>
    <n v="240"/>
    <n v="0.43"/>
    <n v="103.2"/>
    <n v="-6.1599999999999966"/>
    <x v="0"/>
    <x v="6"/>
    <x v="6"/>
  </r>
  <r>
    <s v="CLM102835"/>
    <s v="PT11838"/>
    <s v="P01"/>
    <x v="1"/>
    <x v="5"/>
    <n v="1"/>
    <d v="2026-09-12T00:00:00"/>
    <d v="2026-09-23T00:00:00"/>
    <n v="4677.04"/>
    <m/>
    <m/>
    <m/>
    <s v="Pending"/>
    <s v=""/>
    <m/>
    <m/>
    <n v="4800"/>
    <n v="0.45"/>
    <n v="2160"/>
    <s v=""/>
    <x v="2"/>
    <x v="5"/>
    <x v="8"/>
  </r>
  <r>
    <s v="CLM102836"/>
    <s v="PT13231"/>
    <s v="P02"/>
    <x v="1"/>
    <x v="8"/>
    <n v="1"/>
    <d v="2025-11-24T00:00:00"/>
    <d v="2025-12-05T00:00:00"/>
    <n v="253.27"/>
    <n v="97.54"/>
    <n v="78.03"/>
    <n v="19.510000000000002"/>
    <s v="Paid"/>
    <s v=""/>
    <d v="2026-01-10T00:00:00"/>
    <d v="2026-01-10T00:00:00"/>
    <n v="260"/>
    <n v="0.43"/>
    <n v="111.8"/>
    <n v="14.259999999999991"/>
    <x v="1"/>
    <x v="6"/>
    <x v="3"/>
  </r>
  <r>
    <s v="CLM102837"/>
    <s v="PT10382"/>
    <s v="P05"/>
    <x v="2"/>
    <x v="2"/>
    <n v="1"/>
    <d v="2026-08-29T00:00:00"/>
    <d v="2026-09-19T00:00:00"/>
    <n v="63.55"/>
    <m/>
    <m/>
    <m/>
    <s v="Pending"/>
    <s v=""/>
    <m/>
    <m/>
    <n v="62"/>
    <n v="0.38"/>
    <n v="23.56"/>
    <s v=""/>
    <x v="2"/>
    <x v="0"/>
    <x v="4"/>
  </r>
  <r>
    <s v="CLM102838"/>
    <s v="PT12736"/>
    <s v="P04"/>
    <x v="1"/>
    <x v="8"/>
    <n v="1"/>
    <d v="2025-10-25T00:00:00"/>
    <d v="2025-10-26T00:00:00"/>
    <n v="265.17"/>
    <n v="84.22"/>
    <n v="84.22"/>
    <n v="0"/>
    <s v="Paid"/>
    <s v=""/>
    <d v="2025-11-15T00:00:00"/>
    <d v="2025-11-15T00:00:00"/>
    <n v="260"/>
    <n v="0.36"/>
    <n v="93.6"/>
    <n v="9.3799999999999955"/>
    <x v="1"/>
    <x v="1"/>
    <x v="9"/>
  </r>
  <r>
    <s v="CLM102839"/>
    <s v="PT10555"/>
    <s v="P07"/>
    <x v="3"/>
    <x v="3"/>
    <n v="10"/>
    <d v="2026-08-11T00:00:00"/>
    <d v="2026-08-12T00:00:00"/>
    <n v="14235.23"/>
    <m/>
    <m/>
    <m/>
    <s v="Denied"/>
    <s v="CO-11"/>
    <d v="2026-09-12T00:00:00"/>
    <m/>
    <n v="1450"/>
    <n v="0.28000000000000003"/>
    <n v="4060"/>
    <s v=""/>
    <x v="2"/>
    <x v="3"/>
    <x v="4"/>
  </r>
  <r>
    <s v="CLM102840"/>
    <s v="PT13464"/>
    <s v="P06"/>
    <x v="1"/>
    <x v="11"/>
    <n v="1"/>
    <d v="2026-03-24T00:00:00"/>
    <d v="2026-03-28T00:00:00"/>
    <n v="1156.9000000000001"/>
    <n v="331.91"/>
    <n v="331.91"/>
    <n v="0"/>
    <s v="Paid"/>
    <s v=""/>
    <d v="2026-05-07T00:00:00"/>
    <d v="2026-05-07T00:00:00"/>
    <n v="1150"/>
    <n v="0.27"/>
    <n v="310.5"/>
    <n v="-21.410000000000025"/>
    <x v="0"/>
    <x v="2"/>
    <x v="2"/>
  </r>
  <r>
    <s v="CLM102841"/>
    <s v="PT10668"/>
    <s v="P05"/>
    <x v="1"/>
    <x v="1"/>
    <n v="1"/>
    <d v="2026-08-21T00:00:00"/>
    <d v="2026-08-27T00:00:00"/>
    <n v="234.35"/>
    <m/>
    <m/>
    <m/>
    <s v="Pending"/>
    <s v=""/>
    <m/>
    <m/>
    <n v="240"/>
    <n v="0.38"/>
    <n v="91.2"/>
    <s v=""/>
    <x v="2"/>
    <x v="0"/>
    <x v="4"/>
  </r>
  <r>
    <s v="CLM102842"/>
    <s v="PT12822"/>
    <s v="P05"/>
    <x v="1"/>
    <x v="7"/>
    <n v="1"/>
    <d v="2026-01-20T00:00:00"/>
    <d v="2026-01-21T00:00:00"/>
    <n v="213.69"/>
    <m/>
    <m/>
    <m/>
    <s v="Denied"/>
    <s v="CO-11"/>
    <d v="2026-03-17T00:00:00"/>
    <m/>
    <n v="210"/>
    <n v="0.38"/>
    <n v="79.8"/>
    <s v=""/>
    <x v="2"/>
    <x v="0"/>
    <x v="5"/>
  </r>
  <r>
    <s v="CLM102843"/>
    <s v="PT13294"/>
    <s v="P02"/>
    <x v="3"/>
    <x v="6"/>
    <n v="1"/>
    <d v="2026-04-27T00:00:00"/>
    <d v="2026-05-06T00:00:00"/>
    <n v="428.56"/>
    <n v="194.14"/>
    <n v="194.14"/>
    <n v="0"/>
    <s v="Paid"/>
    <s v=""/>
    <d v="2026-06-02T00:00:00"/>
    <d v="2026-06-02T00:00:00"/>
    <n v="420"/>
    <n v="0.43"/>
    <n v="180.6"/>
    <n v="-13.539999999999992"/>
    <x v="0"/>
    <x v="6"/>
    <x v="10"/>
  </r>
  <r>
    <s v="CLM102844"/>
    <s v="PT12419"/>
    <s v="P02"/>
    <x v="3"/>
    <x v="3"/>
    <n v="20"/>
    <d v="2026-07-16T00:00:00"/>
    <d v="2026-07-20T00:00:00"/>
    <n v="28588.69"/>
    <n v="13439.26"/>
    <n v="13439.26"/>
    <n v="0"/>
    <s v="Paid"/>
    <s v=""/>
    <d v="2026-08-21T00:00:00"/>
    <d v="2026-08-21T00:00:00"/>
    <n v="1450"/>
    <n v="0.43"/>
    <n v="12470"/>
    <n v="-969.26000000000022"/>
    <x v="0"/>
    <x v="6"/>
    <x v="1"/>
  </r>
  <r>
    <s v="CLM102845"/>
    <s v="PT12802"/>
    <s v="P02"/>
    <x v="3"/>
    <x v="7"/>
    <n v="1"/>
    <d v="2026-06-14T00:00:00"/>
    <d v="2026-06-22T00:00:00"/>
    <n v="204.14"/>
    <n v="86.1"/>
    <n v="86.1"/>
    <n v="0"/>
    <s v="Paid"/>
    <s v=""/>
    <d v="2026-07-18T00:00:00"/>
    <d v="2026-07-18T00:00:00"/>
    <n v="210"/>
    <n v="0.43"/>
    <n v="90.3"/>
    <n v="4.2000000000000028"/>
    <x v="0"/>
    <x v="6"/>
    <x v="11"/>
  </r>
  <r>
    <s v="CLM102846"/>
    <s v="PT12724"/>
    <s v="P04"/>
    <x v="0"/>
    <x v="8"/>
    <n v="1"/>
    <d v="2025-10-21T00:00:00"/>
    <d v="2025-10-22T00:00:00"/>
    <n v="259.8"/>
    <n v="81.25"/>
    <n v="81.25"/>
    <n v="0"/>
    <s v="Paid"/>
    <s v=""/>
    <d v="2025-11-13T00:00:00"/>
    <d v="2025-11-13T00:00:00"/>
    <n v="260"/>
    <n v="0.36"/>
    <n v="93.6"/>
    <n v="12.349999999999994"/>
    <x v="1"/>
    <x v="1"/>
    <x v="9"/>
  </r>
  <r>
    <s v="CLM102847"/>
    <s v="PT11860"/>
    <s v="P02"/>
    <x v="0"/>
    <x v="0"/>
    <n v="1"/>
    <d v="2026-04-02T00:00:00"/>
    <d v="2026-04-10T00:00:00"/>
    <n v="144.6"/>
    <n v="69.66"/>
    <n v="62.69"/>
    <n v="6.97"/>
    <s v="Paid"/>
    <s v=""/>
    <d v="2026-05-20T00:00:00"/>
    <d v="2026-05-20T00:00:00"/>
    <n v="145"/>
    <n v="0.43"/>
    <n v="62.35"/>
    <n v="-7.3099999999999952"/>
    <x v="0"/>
    <x v="6"/>
    <x v="10"/>
  </r>
  <r>
    <s v="CLM102848"/>
    <s v="PT12029"/>
    <s v="P04"/>
    <x v="0"/>
    <x v="4"/>
    <n v="1"/>
    <d v="2026-08-04T00:00:00"/>
    <d v="2026-08-05T00:00:00"/>
    <n v="38.700000000000003"/>
    <n v="15.83"/>
    <n v="14.25"/>
    <n v="1.58"/>
    <s v="Paid"/>
    <s v=""/>
    <d v="2026-09-01T00:00:00"/>
    <d v="2026-09-01T00:00:00"/>
    <n v="38"/>
    <n v="0.36"/>
    <n v="13.68"/>
    <n v="-2.1500000000000004"/>
    <x v="0"/>
    <x v="1"/>
    <x v="4"/>
  </r>
  <r>
    <s v="CLM102849"/>
    <s v="PT10530"/>
    <s v="P02"/>
    <x v="1"/>
    <x v="4"/>
    <n v="1"/>
    <d v="2026-05-29T00:00:00"/>
    <d v="2026-06-03T00:00:00"/>
    <n v="39.119999999999997"/>
    <n v="16.82"/>
    <n v="13.46"/>
    <n v="3.36"/>
    <s v="Paid"/>
    <s v=""/>
    <d v="2026-07-03T00:00:00"/>
    <d v="2026-07-03T00:00:00"/>
    <n v="38"/>
    <n v="0.43"/>
    <n v="16.34"/>
    <n v="-0.48000000000000043"/>
    <x v="0"/>
    <x v="6"/>
    <x v="7"/>
  </r>
  <r>
    <s v="CLM102850"/>
    <s v="PT11634"/>
    <s v="P08"/>
    <x v="0"/>
    <x v="4"/>
    <n v="1"/>
    <d v="2025-11-13T00:00:00"/>
    <d v="2025-11-15T00:00:00"/>
    <n v="37.14"/>
    <n v="37.14"/>
    <n v="37.14"/>
    <n v="0"/>
    <s v="Paid"/>
    <s v=""/>
    <d v="2026-01-27T00:00:00"/>
    <d v="2026-01-27T00:00:00"/>
    <n v="38"/>
    <n v="1"/>
    <n v="38"/>
    <n v="0.85999999999999943"/>
    <x v="0"/>
    <x v="7"/>
    <x v="3"/>
  </r>
  <r>
    <s v="CLM102851"/>
    <s v="PT11978"/>
    <s v="P02"/>
    <x v="0"/>
    <x v="7"/>
    <n v="1"/>
    <d v="2026-06-25T00:00:00"/>
    <d v="2026-07-02T00:00:00"/>
    <n v="205.31"/>
    <n v="89.09"/>
    <n v="71.27"/>
    <n v="17.82"/>
    <s v="Paid"/>
    <s v=""/>
    <d v="2026-09-01T00:00:00"/>
    <d v="2026-09-01T00:00:00"/>
    <n v="210"/>
    <n v="0.43"/>
    <n v="90.3"/>
    <n v="1.2099999999999937"/>
    <x v="0"/>
    <x v="6"/>
    <x v="11"/>
  </r>
  <r>
    <s v="CLM102852"/>
    <s v="PT10257"/>
    <s v="P02"/>
    <x v="3"/>
    <x v="3"/>
    <n v="10"/>
    <d v="2026-04-12T00:00:00"/>
    <d v="2026-04-18T00:00:00"/>
    <n v="14795.09"/>
    <n v="5922.21"/>
    <n v="5922.21"/>
    <n v="0"/>
    <s v="Paid"/>
    <s v=""/>
    <d v="2026-05-03T00:00:00"/>
    <d v="2026-05-03T00:00:00"/>
    <n v="1450"/>
    <n v="0.43"/>
    <n v="6235"/>
    <n v="312.78999999999996"/>
    <x v="1"/>
    <x v="6"/>
    <x v="10"/>
  </r>
  <r>
    <s v="CLM102853"/>
    <s v="PT10138"/>
    <s v="P07"/>
    <x v="2"/>
    <x v="9"/>
    <n v="1"/>
    <d v="2026-01-14T00:00:00"/>
    <d v="2026-01-15T00:00:00"/>
    <n v="58.75"/>
    <m/>
    <m/>
    <m/>
    <s v="Denied"/>
    <s v="CO-16"/>
    <d v="2026-03-25T00:00:00"/>
    <m/>
    <n v="58"/>
    <n v="0.28000000000000003"/>
    <n v="16.239999999999998"/>
    <s v=""/>
    <x v="2"/>
    <x v="3"/>
    <x v="5"/>
  </r>
  <r>
    <s v="CLM102854"/>
    <s v="PT10033"/>
    <s v="P07"/>
    <x v="1"/>
    <x v="10"/>
    <n v="1"/>
    <d v="2026-05-20T00:00:00"/>
    <d v="2026-05-22T00:00:00"/>
    <n v="1029.82"/>
    <n v="272.97000000000003"/>
    <n v="272.97000000000003"/>
    <n v="0"/>
    <s v="Paid"/>
    <s v=""/>
    <d v="2026-07-05T00:00:00"/>
    <d v="2026-07-05T00:00:00"/>
    <n v="1050"/>
    <n v="0.28000000000000003"/>
    <n v="294"/>
    <n v="21.029999999999973"/>
    <x v="1"/>
    <x v="3"/>
    <x v="7"/>
  </r>
  <r>
    <s v="CLM102855"/>
    <s v="PT11180"/>
    <s v="P02"/>
    <x v="0"/>
    <x v="7"/>
    <n v="1"/>
    <d v="2025-11-14T00:00:00"/>
    <d v="2025-11-15T00:00:00"/>
    <n v="206.07"/>
    <n v="99.57"/>
    <n v="99.57"/>
    <n v="0"/>
    <s v="Paid"/>
    <s v=""/>
    <d v="2025-12-30T00:00:00"/>
    <d v="2025-12-30T00:00:00"/>
    <n v="210"/>
    <n v="0.43"/>
    <n v="90.3"/>
    <n v="-9.269999999999996"/>
    <x v="0"/>
    <x v="6"/>
    <x v="3"/>
  </r>
  <r>
    <s v="CLM102857"/>
    <s v="PT12624"/>
    <s v="P02"/>
    <x v="1"/>
    <x v="1"/>
    <n v="1"/>
    <d v="2026-02-10T00:00:00"/>
    <d v="2026-02-12T00:00:00"/>
    <n v="245.6"/>
    <m/>
    <m/>
    <m/>
    <s v="Denied"/>
    <s v="CO-11"/>
    <d v="2026-03-17T00:00:00"/>
    <m/>
    <n v="240"/>
    <n v="0.43"/>
    <n v="103.2"/>
    <s v=""/>
    <x v="2"/>
    <x v="6"/>
    <x v="0"/>
  </r>
  <r>
    <s v="CLM102858"/>
    <s v="PT13418"/>
    <s v="P06"/>
    <x v="1"/>
    <x v="8"/>
    <n v="1"/>
    <d v="2026-07-03T00:00:00"/>
    <d v="2026-07-06T00:00:00"/>
    <n v="266.64999999999998"/>
    <n v="76.36"/>
    <n v="61.09"/>
    <n v="15.27"/>
    <s v="Paid"/>
    <s v=""/>
    <d v="2026-08-17T00:00:00"/>
    <d v="2026-08-17T00:00:00"/>
    <n v="260"/>
    <n v="0.27"/>
    <n v="70.2"/>
    <n v="-6.1599999999999966"/>
    <x v="0"/>
    <x v="2"/>
    <x v="1"/>
  </r>
  <r>
    <s v="CLM102859"/>
    <s v="PT10934"/>
    <s v="P05"/>
    <x v="0"/>
    <x v="7"/>
    <n v="1"/>
    <d v="2026-03-05T00:00:00"/>
    <d v="2026-03-06T00:00:00"/>
    <n v="204.27"/>
    <n v="76.36"/>
    <n v="76.36"/>
    <n v="0"/>
    <s v="Paid"/>
    <s v=""/>
    <d v="2026-04-17T00:00:00"/>
    <d v="2026-04-17T00:00:00"/>
    <n v="210"/>
    <n v="0.38"/>
    <n v="79.8"/>
    <n v="3.4399999999999977"/>
    <x v="0"/>
    <x v="0"/>
    <x v="2"/>
  </r>
  <r>
    <s v="CLM102860"/>
    <s v="PT10616"/>
    <s v="P04"/>
    <x v="1"/>
    <x v="10"/>
    <n v="1"/>
    <d v="2026-07-17T00:00:00"/>
    <d v="2026-07-27T00:00:00"/>
    <n v="1073.03"/>
    <n v="386.56"/>
    <n v="309.25"/>
    <n v="77.31"/>
    <s v="Paid"/>
    <s v=""/>
    <d v="2026-08-06T00:00:00"/>
    <d v="2026-08-06T00:00:00"/>
    <n v="1050"/>
    <n v="0.36"/>
    <n v="378"/>
    <n v="-8.5600000000000023"/>
    <x v="0"/>
    <x v="1"/>
    <x v="1"/>
  </r>
  <r>
    <s v="CLM102861"/>
    <s v="PT11481"/>
    <s v="P08"/>
    <x v="2"/>
    <x v="2"/>
    <n v="2"/>
    <d v="2026-03-26T00:00:00"/>
    <d v="2026-03-30T00:00:00"/>
    <n v="124.14"/>
    <n v="124.14"/>
    <n v="124.14"/>
    <n v="0"/>
    <s v="Paid"/>
    <s v=""/>
    <d v="2026-04-27T00:00:00"/>
    <d v="2026-04-27T00:00:00"/>
    <n v="62"/>
    <n v="1"/>
    <n v="124"/>
    <n v="-0.14000000000000057"/>
    <x v="0"/>
    <x v="7"/>
    <x v="2"/>
  </r>
  <r>
    <s v="CLM102862"/>
    <s v="PT10800"/>
    <s v="P08"/>
    <x v="0"/>
    <x v="4"/>
    <n v="1"/>
    <d v="2026-03-27T00:00:00"/>
    <d v="2026-03-30T00:00:00"/>
    <n v="38.840000000000003"/>
    <m/>
    <m/>
    <m/>
    <s v="Pending"/>
    <s v=""/>
    <m/>
    <m/>
    <n v="38"/>
    <n v="1"/>
    <n v="38"/>
    <s v=""/>
    <x v="2"/>
    <x v="7"/>
    <x v="2"/>
  </r>
  <r>
    <s v="CLM102863"/>
    <s v="PT11339"/>
    <s v="P06"/>
    <x v="3"/>
    <x v="6"/>
    <n v="1"/>
    <d v="2025-12-16T00:00:00"/>
    <d v="2025-12-18T00:00:00"/>
    <n v="415.33"/>
    <n v="117"/>
    <n v="117"/>
    <n v="0"/>
    <s v="Paid"/>
    <s v=""/>
    <d v="2026-02-09T00:00:00"/>
    <d v="2026-02-09T00:00:00"/>
    <n v="420"/>
    <n v="0.27"/>
    <n v="113.4"/>
    <n v="-3.5999999999999943"/>
    <x v="0"/>
    <x v="2"/>
    <x v="6"/>
  </r>
  <r>
    <s v="CLM102864"/>
    <s v="PT10943"/>
    <s v="P08"/>
    <x v="1"/>
    <x v="10"/>
    <n v="1"/>
    <d v="2026-09-13T00:00:00"/>
    <d v="2026-09-14T00:00:00"/>
    <n v="1053.5999999999999"/>
    <m/>
    <m/>
    <m/>
    <s v="Pending"/>
    <s v=""/>
    <m/>
    <m/>
    <n v="1050"/>
    <n v="1"/>
    <n v="1050"/>
    <s v=""/>
    <x v="2"/>
    <x v="7"/>
    <x v="8"/>
  </r>
  <r>
    <s v="CLM102865"/>
    <s v="PT11551"/>
    <s v="P03"/>
    <x v="0"/>
    <x v="7"/>
    <n v="1"/>
    <d v="2026-05-30T00:00:00"/>
    <d v="2026-06-17T00:00:00"/>
    <n v="205.7"/>
    <n v="96.37"/>
    <n v="77.099999999999994"/>
    <n v="19.27"/>
    <s v="Paid"/>
    <s v=""/>
    <d v="2026-08-13T00:00:00"/>
    <d v="2026-08-13T00:00:00"/>
    <n v="210"/>
    <n v="0.47"/>
    <n v="98.7"/>
    <n v="2.3299999999999983"/>
    <x v="0"/>
    <x v="4"/>
    <x v="7"/>
  </r>
  <r>
    <s v="CLM102866"/>
    <s v="PT10227"/>
    <s v="P01"/>
    <x v="3"/>
    <x v="7"/>
    <n v="1"/>
    <d v="2026-07-07T00:00:00"/>
    <d v="2026-07-09T00:00:00"/>
    <n v="215.92"/>
    <n v="107.07"/>
    <n v="107.07"/>
    <n v="0"/>
    <s v="Paid"/>
    <s v=""/>
    <d v="2026-07-24T00:00:00"/>
    <d v="2026-07-24T00:00:00"/>
    <n v="210"/>
    <n v="0.45"/>
    <n v="94.5"/>
    <n v="-12.569999999999993"/>
    <x v="0"/>
    <x v="5"/>
    <x v="1"/>
  </r>
  <r>
    <s v="CLM102867"/>
    <s v="PT12474"/>
    <s v="P01"/>
    <x v="0"/>
    <x v="8"/>
    <n v="1"/>
    <d v="2026-09-16T00:00:00"/>
    <d v="2026-09-17T00:00:00"/>
    <n v="265.33999999999997"/>
    <m/>
    <m/>
    <m/>
    <s v="Pending"/>
    <s v=""/>
    <m/>
    <m/>
    <n v="260"/>
    <n v="0.45"/>
    <n v="117"/>
    <s v=""/>
    <x v="2"/>
    <x v="5"/>
    <x v="8"/>
  </r>
  <r>
    <s v="CLM102868"/>
    <s v="PT10336"/>
    <s v="P05"/>
    <x v="1"/>
    <x v="11"/>
    <n v="1"/>
    <d v="2026-09-29T00:00:00"/>
    <d v="2026-09-30T00:00:00"/>
    <n v="1124.9000000000001"/>
    <m/>
    <m/>
    <m/>
    <s v="Pending"/>
    <s v=""/>
    <m/>
    <m/>
    <n v="1150"/>
    <n v="0.38"/>
    <n v="437"/>
    <s v=""/>
    <x v="2"/>
    <x v="0"/>
    <x v="8"/>
  </r>
  <r>
    <s v="CLM102869"/>
    <s v="PT11456"/>
    <s v="P01"/>
    <x v="1"/>
    <x v="11"/>
    <n v="1"/>
    <d v="2026-08-22T00:00:00"/>
    <d v="2026-08-23T00:00:00"/>
    <n v="1172.01"/>
    <n v="490.87"/>
    <n v="441.78"/>
    <n v="49.09"/>
    <s v="Paid"/>
    <s v=""/>
    <d v="2026-09-08T00:00:00"/>
    <d v="2026-09-08T00:00:00"/>
    <n v="1150"/>
    <n v="0.45"/>
    <n v="517.5"/>
    <n v="26.629999999999995"/>
    <x v="1"/>
    <x v="5"/>
    <x v="4"/>
  </r>
  <r>
    <s v="CLM102870"/>
    <s v="PT10396"/>
    <s v="P07"/>
    <x v="1"/>
    <x v="5"/>
    <n v="1"/>
    <d v="2026-04-14T00:00:00"/>
    <d v="2026-04-16T00:00:00"/>
    <n v="4924.24"/>
    <n v="1276.08"/>
    <n v="1020.86"/>
    <n v="255.22"/>
    <s v="Paid"/>
    <s v=""/>
    <d v="2026-06-17T00:00:00"/>
    <d v="2026-06-17T00:00:00"/>
    <n v="4800"/>
    <n v="0.28000000000000003"/>
    <n v="1344"/>
    <n v="67.920000000000073"/>
    <x v="1"/>
    <x v="3"/>
    <x v="10"/>
  </r>
  <r>
    <s v="CLM102871"/>
    <s v="PT13448"/>
    <s v="P06"/>
    <x v="2"/>
    <x v="0"/>
    <n v="1"/>
    <d v="2026-01-25T00:00:00"/>
    <d v="2026-01-27T00:00:00"/>
    <n v="142.63"/>
    <n v="37.92"/>
    <n v="30.34"/>
    <n v="7.58"/>
    <s v="Paid"/>
    <s v=""/>
    <d v="2026-03-12T00:00:00"/>
    <d v="2026-03-12T00:00:00"/>
    <n v="145"/>
    <n v="0.27"/>
    <n v="39.15"/>
    <n v="1.2299999999999969"/>
    <x v="0"/>
    <x v="2"/>
    <x v="5"/>
  </r>
  <r>
    <s v="CLM102872"/>
    <s v="PT13333"/>
    <s v="P01"/>
    <x v="0"/>
    <x v="0"/>
    <n v="1"/>
    <d v="2025-10-24T00:00:00"/>
    <d v="2025-10-31T00:00:00"/>
    <n v="147.13999999999999"/>
    <n v="61.98"/>
    <n v="55.78"/>
    <n v="6.2"/>
    <s v="Paid"/>
    <s v=""/>
    <d v="2025-11-20T00:00:00"/>
    <d v="2025-11-20T00:00:00"/>
    <n v="145"/>
    <n v="0.45"/>
    <n v="65.25"/>
    <n v="3.2700000000000031"/>
    <x v="1"/>
    <x v="5"/>
    <x v="9"/>
  </r>
  <r>
    <s v="CLM102873"/>
    <s v="PT12910"/>
    <s v="P04"/>
    <x v="0"/>
    <x v="4"/>
    <n v="1"/>
    <d v="2026-06-29T00:00:00"/>
    <d v="2026-06-30T00:00:00"/>
    <n v="38.049999999999997"/>
    <n v="13.75"/>
    <n v="13.75"/>
    <n v="0"/>
    <s v="Paid"/>
    <s v=""/>
    <d v="2026-07-14T00:00:00"/>
    <d v="2026-07-14T00:00:00"/>
    <n v="38"/>
    <n v="0.36"/>
    <n v="13.68"/>
    <n v="-7.0000000000000284E-2"/>
    <x v="0"/>
    <x v="1"/>
    <x v="11"/>
  </r>
  <r>
    <s v="CLM102874"/>
    <s v="PT12389"/>
    <s v="P01"/>
    <x v="2"/>
    <x v="2"/>
    <n v="3"/>
    <d v="2026-07-21T00:00:00"/>
    <d v="2026-07-25T00:00:00"/>
    <n v="182.13"/>
    <n v="92.62"/>
    <n v="83.36"/>
    <n v="9.26"/>
    <s v="Paid"/>
    <s v=""/>
    <d v="2026-08-12T00:00:00"/>
    <d v="2026-08-12T00:00:00"/>
    <n v="62"/>
    <n v="0.45"/>
    <n v="83.7"/>
    <n v="-8.9200000000000017"/>
    <x v="0"/>
    <x v="5"/>
    <x v="1"/>
  </r>
  <r>
    <s v="CLM102875"/>
    <s v="PT10056"/>
    <s v="P01"/>
    <x v="2"/>
    <x v="2"/>
    <n v="1"/>
    <d v="2025-12-22T00:00:00"/>
    <d v="2025-12-31T00:00:00"/>
    <n v="60.83"/>
    <n v="31.03"/>
    <n v="24.82"/>
    <n v="6.21"/>
    <s v="Paid"/>
    <s v=""/>
    <d v="2026-01-27T00:00:00"/>
    <d v="2026-01-27T00:00:00"/>
    <n v="62"/>
    <n v="0.45"/>
    <n v="27.9"/>
    <n v="-3.1300000000000026"/>
    <x v="0"/>
    <x v="5"/>
    <x v="6"/>
  </r>
  <r>
    <s v="CLM102876"/>
    <s v="PT11883"/>
    <s v="P05"/>
    <x v="1"/>
    <x v="7"/>
    <n v="1"/>
    <d v="2026-03-09T00:00:00"/>
    <d v="2026-03-18T00:00:00"/>
    <n v="212.92"/>
    <n v="82.08"/>
    <n v="73.87"/>
    <n v="8.2100000000000009"/>
    <s v="Paid"/>
    <s v=""/>
    <d v="2026-05-14T00:00:00"/>
    <d v="2026-05-14T00:00:00"/>
    <n v="210"/>
    <n v="0.38"/>
    <n v="79.8"/>
    <n v="-2.2800000000000011"/>
    <x v="0"/>
    <x v="0"/>
    <x v="2"/>
  </r>
  <r>
    <s v="CLM102877"/>
    <s v="PT11647"/>
    <s v="P02"/>
    <x v="0"/>
    <x v="4"/>
    <n v="1"/>
    <d v="2026-05-24T00:00:00"/>
    <d v="2026-05-27T00:00:00"/>
    <n v="36.9"/>
    <n v="18.22"/>
    <n v="16.399999999999999"/>
    <n v="1.82"/>
    <s v="Paid"/>
    <s v=""/>
    <d v="2026-06-16T00:00:00"/>
    <d v="2026-06-16T00:00:00"/>
    <n v="38"/>
    <n v="0.43"/>
    <n v="16.34"/>
    <n v="-1.879999999999999"/>
    <x v="0"/>
    <x v="6"/>
    <x v="7"/>
  </r>
  <r>
    <s v="CLM102878"/>
    <s v="PT10741"/>
    <s v="P08"/>
    <x v="1"/>
    <x v="4"/>
    <n v="1"/>
    <d v="2026-04-12T00:00:00"/>
    <d v="2026-04-13T00:00:00"/>
    <n v="39.049999999999997"/>
    <n v="39.049999999999997"/>
    <n v="39.049999999999997"/>
    <n v="0"/>
    <s v="Paid"/>
    <s v=""/>
    <d v="2026-06-14T00:00:00"/>
    <d v="2026-06-14T00:00:00"/>
    <n v="38"/>
    <n v="1"/>
    <n v="38"/>
    <n v="-1.0499999999999972"/>
    <x v="0"/>
    <x v="7"/>
    <x v="10"/>
  </r>
  <r>
    <s v="CLM102879"/>
    <s v="PT11969"/>
    <s v="P04"/>
    <x v="3"/>
    <x v="7"/>
    <n v="1"/>
    <d v="2025-12-01T00:00:00"/>
    <d v="2025-12-12T00:00:00"/>
    <n v="211.02"/>
    <n v="76.05"/>
    <n v="76.05"/>
    <n v="0"/>
    <s v="Paid"/>
    <s v=""/>
    <d v="2025-12-29T00:00:00"/>
    <d v="2025-12-29T00:00:00"/>
    <n v="210"/>
    <n v="0.36"/>
    <n v="75.599999999999994"/>
    <n v="-0.45000000000000284"/>
    <x v="0"/>
    <x v="1"/>
    <x v="6"/>
  </r>
  <r>
    <s v="CLM102880"/>
    <s v="PT11475"/>
    <s v="P05"/>
    <x v="0"/>
    <x v="8"/>
    <n v="1"/>
    <d v="2025-12-08T00:00:00"/>
    <d v="2025-12-13T00:00:00"/>
    <n v="258.86"/>
    <m/>
    <m/>
    <m/>
    <s v="Denied"/>
    <s v="CO-16"/>
    <d v="2026-02-23T00:00:00"/>
    <m/>
    <n v="260"/>
    <n v="0.38"/>
    <n v="98.8"/>
    <s v=""/>
    <x v="2"/>
    <x v="0"/>
    <x v="6"/>
  </r>
  <r>
    <s v="CLM102881"/>
    <s v="PT10948"/>
    <s v="P04"/>
    <x v="2"/>
    <x v="9"/>
    <n v="1"/>
    <d v="2026-09-05T00:00:00"/>
    <d v="2026-09-08T00:00:00"/>
    <n v="59.39"/>
    <m/>
    <m/>
    <m/>
    <s v="Denied"/>
    <s v="CO-16"/>
    <d v="2026-09-21T00:00:00"/>
    <m/>
    <n v="58"/>
    <n v="0.36"/>
    <n v="20.88"/>
    <s v=""/>
    <x v="2"/>
    <x v="1"/>
    <x v="8"/>
  </r>
  <r>
    <s v="CLM102882"/>
    <s v="PT13269"/>
    <s v="P07"/>
    <x v="1"/>
    <x v="4"/>
    <n v="1"/>
    <d v="2026-01-14T00:00:00"/>
    <d v="2026-01-17T00:00:00"/>
    <n v="39.14"/>
    <n v="11.19"/>
    <n v="10.07"/>
    <n v="1.1200000000000001"/>
    <s v="Paid"/>
    <s v=""/>
    <d v="2026-03-27T00:00:00"/>
    <d v="2026-03-27T00:00:00"/>
    <n v="38"/>
    <n v="0.28000000000000003"/>
    <n v="10.64"/>
    <n v="-0.54999999999999893"/>
    <x v="0"/>
    <x v="3"/>
    <x v="5"/>
  </r>
  <r>
    <s v="CLM102883"/>
    <s v="PT11940"/>
    <s v="P01"/>
    <x v="0"/>
    <x v="0"/>
    <n v="1"/>
    <d v="2026-02-11T00:00:00"/>
    <d v="2026-02-12T00:00:00"/>
    <n v="142.22999999999999"/>
    <n v="58.73"/>
    <n v="58.73"/>
    <n v="0"/>
    <s v="Paid"/>
    <s v=""/>
    <d v="2026-03-11T00:00:00"/>
    <d v="2026-03-11T00:00:00"/>
    <n v="145"/>
    <n v="0.45"/>
    <n v="65.25"/>
    <n v="6.5200000000000031"/>
    <x v="1"/>
    <x v="5"/>
    <x v="0"/>
  </r>
  <r>
    <s v="CLM102885"/>
    <s v="PT10683"/>
    <s v="P01"/>
    <x v="2"/>
    <x v="2"/>
    <n v="4"/>
    <d v="2026-04-29T00:00:00"/>
    <d v="2026-05-01T00:00:00"/>
    <n v="245.59"/>
    <n v="112.32"/>
    <n v="101.09"/>
    <n v="11.23"/>
    <s v="Paid"/>
    <s v=""/>
    <d v="2026-05-23T00:00:00"/>
    <d v="2026-05-23T00:00:00"/>
    <n v="62"/>
    <n v="0.45"/>
    <n v="111.6"/>
    <n v="-0.71999999999999886"/>
    <x v="0"/>
    <x v="5"/>
    <x v="10"/>
  </r>
  <r>
    <s v="CLM102886"/>
    <s v="PT11378"/>
    <s v="P03"/>
    <x v="1"/>
    <x v="7"/>
    <n v="1"/>
    <d v="2026-01-10T00:00:00"/>
    <d v="2026-01-11T00:00:00"/>
    <n v="215.31"/>
    <n v="92.03"/>
    <n v="73.62"/>
    <n v="18.41"/>
    <s v="Paid"/>
    <s v=""/>
    <d v="2026-02-15T00:00:00"/>
    <d v="2026-02-15T00:00:00"/>
    <n v="210"/>
    <n v="0.47"/>
    <n v="98.7"/>
    <n v="6.6700000000000017"/>
    <x v="1"/>
    <x v="4"/>
    <x v="5"/>
  </r>
  <r>
    <s v="CLM102887"/>
    <s v="PT10854"/>
    <s v="P03"/>
    <x v="0"/>
    <x v="7"/>
    <n v="1"/>
    <d v="2026-05-25T00:00:00"/>
    <d v="2026-05-28T00:00:00"/>
    <n v="209.09"/>
    <n v="100.88"/>
    <n v="100.88"/>
    <n v="0"/>
    <s v="Paid"/>
    <s v=""/>
    <d v="2026-06-30T00:00:00"/>
    <d v="2026-06-30T00:00:00"/>
    <n v="210"/>
    <n v="0.47"/>
    <n v="98.7"/>
    <n v="-2.1799999999999926"/>
    <x v="0"/>
    <x v="4"/>
    <x v="7"/>
  </r>
  <r>
    <s v="CLM102888"/>
    <s v="PT10733"/>
    <s v="P01"/>
    <x v="2"/>
    <x v="9"/>
    <n v="3"/>
    <d v="2026-02-09T00:00:00"/>
    <d v="2026-02-11T00:00:00"/>
    <n v="169.54"/>
    <n v="64.98"/>
    <n v="58.48"/>
    <n v="6.5"/>
    <s v="Paid"/>
    <s v=""/>
    <d v="2026-03-19T00:00:00"/>
    <d v="2026-03-19T00:00:00"/>
    <n v="58"/>
    <n v="0.45"/>
    <n v="78.3"/>
    <n v="13.319999999999993"/>
    <x v="1"/>
    <x v="5"/>
    <x v="0"/>
  </r>
  <r>
    <s v="CLM102889"/>
    <s v="PT10135"/>
    <s v="P06"/>
    <x v="0"/>
    <x v="4"/>
    <n v="1"/>
    <d v="2026-01-07T00:00:00"/>
    <d v="2026-01-11T00:00:00"/>
    <n v="37.32"/>
    <n v="10.050000000000001"/>
    <n v="10.050000000000001"/>
    <n v="0"/>
    <s v="Paid"/>
    <s v=""/>
    <d v="2026-02-10T00:00:00"/>
    <d v="2026-02-10T00:00:00"/>
    <n v="38"/>
    <n v="0.27"/>
    <n v="10.26"/>
    <n v="0.20999999999999908"/>
    <x v="0"/>
    <x v="2"/>
    <x v="5"/>
  </r>
  <r>
    <s v="CLM102890"/>
    <s v="PT11690"/>
    <s v="P01"/>
    <x v="1"/>
    <x v="8"/>
    <n v="1"/>
    <d v="2025-11-24T00:00:00"/>
    <d v="2025-11-27T00:00:00"/>
    <n v="257.42"/>
    <m/>
    <m/>
    <m/>
    <s v="Denied"/>
    <s v="CO-16"/>
    <d v="2025-12-29T00:00:00"/>
    <m/>
    <n v="260"/>
    <n v="0.45"/>
    <n v="117"/>
    <s v=""/>
    <x v="2"/>
    <x v="5"/>
    <x v="3"/>
  </r>
  <r>
    <s v="CLM102891"/>
    <s v="PT11574"/>
    <s v="P05"/>
    <x v="0"/>
    <x v="7"/>
    <n v="1"/>
    <d v="2026-02-11T00:00:00"/>
    <d v="2026-02-15T00:00:00"/>
    <n v="216.21"/>
    <m/>
    <m/>
    <m/>
    <s v="Denied"/>
    <s v="CO-18"/>
    <d v="2026-03-17T00:00:00"/>
    <m/>
    <n v="210"/>
    <n v="0.38"/>
    <n v="79.8"/>
    <s v=""/>
    <x v="2"/>
    <x v="0"/>
    <x v="0"/>
  </r>
  <r>
    <s v="CLM102893"/>
    <s v="PT11562"/>
    <s v="P08"/>
    <x v="3"/>
    <x v="7"/>
    <n v="1"/>
    <d v="2026-03-25T00:00:00"/>
    <d v="2026-03-28T00:00:00"/>
    <n v="216.06"/>
    <n v="216.06"/>
    <n v="216.06"/>
    <n v="0"/>
    <s v="Paid"/>
    <s v=""/>
    <d v="2026-07-05T00:00:00"/>
    <d v="2026-07-05T00:00:00"/>
    <n v="210"/>
    <n v="1"/>
    <n v="210"/>
    <n v="-6.0600000000000023"/>
    <x v="0"/>
    <x v="7"/>
    <x v="2"/>
  </r>
  <r>
    <s v="CLM102894"/>
    <s v="PT11876"/>
    <s v="P03"/>
    <x v="0"/>
    <x v="4"/>
    <n v="1"/>
    <d v="2026-01-27T00:00:00"/>
    <d v="2026-01-28T00:00:00"/>
    <n v="37.74"/>
    <m/>
    <m/>
    <m/>
    <s v="Denied"/>
    <s v="CO-4"/>
    <d v="2026-03-21T00:00:00"/>
    <m/>
    <n v="38"/>
    <n v="0.47"/>
    <n v="17.86"/>
    <s v=""/>
    <x v="2"/>
    <x v="4"/>
    <x v="5"/>
  </r>
  <r>
    <s v="CLM102895"/>
    <s v="PT10424"/>
    <s v="P04"/>
    <x v="0"/>
    <x v="4"/>
    <n v="1"/>
    <d v="2026-05-13T00:00:00"/>
    <d v="2026-05-23T00:00:00"/>
    <n v="39.1"/>
    <n v="14.6"/>
    <n v="11.68"/>
    <n v="2.92"/>
    <s v="Paid"/>
    <s v=""/>
    <d v="2026-06-01T00:00:00"/>
    <d v="2026-06-01T00:00:00"/>
    <n v="38"/>
    <n v="0.36"/>
    <n v="13.68"/>
    <n v="-0.91999999999999993"/>
    <x v="0"/>
    <x v="1"/>
    <x v="7"/>
  </r>
  <r>
    <s v="CLM102896"/>
    <s v="PT11374"/>
    <s v="P02"/>
    <x v="3"/>
    <x v="7"/>
    <n v="1"/>
    <d v="2026-09-15T00:00:00"/>
    <d v="2026-09-16T00:00:00"/>
    <n v="209.29"/>
    <m/>
    <m/>
    <m/>
    <s v="Pending"/>
    <s v=""/>
    <m/>
    <m/>
    <n v="210"/>
    <n v="0.43"/>
    <n v="90.3"/>
    <s v=""/>
    <x v="2"/>
    <x v="6"/>
    <x v="8"/>
  </r>
  <r>
    <s v="CLM102897"/>
    <s v="PT10018"/>
    <s v="P01"/>
    <x v="1"/>
    <x v="1"/>
    <n v="1"/>
    <d v="2026-05-27T00:00:00"/>
    <d v="2026-05-28T00:00:00"/>
    <n v="242.53"/>
    <n v="116.95"/>
    <n v="93.56"/>
    <n v="23.39"/>
    <s v="Paid"/>
    <s v=""/>
    <d v="2026-06-25T00:00:00"/>
    <d v="2026-06-25T00:00:00"/>
    <n v="240"/>
    <n v="0.45"/>
    <n v="108"/>
    <n v="-8.9500000000000028"/>
    <x v="0"/>
    <x v="5"/>
    <x v="7"/>
  </r>
  <r>
    <s v="CLM102898"/>
    <s v="PT12758"/>
    <s v="P03"/>
    <x v="2"/>
    <x v="0"/>
    <n v="1"/>
    <d v="2026-03-24T00:00:00"/>
    <d v="2026-03-28T00:00:00"/>
    <n v="144.18"/>
    <n v="69.19"/>
    <n v="62.27"/>
    <n v="6.92"/>
    <s v="Paid"/>
    <s v=""/>
    <d v="2026-05-12T00:00:00"/>
    <d v="2026-05-12T00:00:00"/>
    <n v="145"/>
    <n v="0.47"/>
    <n v="68.150000000000006"/>
    <n v="-1.039999999999992"/>
    <x v="0"/>
    <x v="4"/>
    <x v="2"/>
  </r>
  <r>
    <s v="CLM102899"/>
    <s v="PT13396"/>
    <s v="P07"/>
    <x v="0"/>
    <x v="7"/>
    <n v="1"/>
    <d v="2026-06-14T00:00:00"/>
    <d v="2026-06-28T00:00:00"/>
    <n v="208.47"/>
    <n v="63.91"/>
    <n v="57.52"/>
    <n v="6.39"/>
    <s v="Paid"/>
    <s v=""/>
    <d v="2026-08-23T00:00:00"/>
    <d v="2026-08-23T00:00:00"/>
    <n v="210"/>
    <n v="0.28000000000000003"/>
    <n v="58.8"/>
    <n v="-5.1099999999999994"/>
    <x v="0"/>
    <x v="3"/>
    <x v="11"/>
  </r>
  <r>
    <s v="CLM102900"/>
    <s v="PT11737"/>
    <s v="P07"/>
    <x v="1"/>
    <x v="4"/>
    <n v="1"/>
    <d v="2026-04-29T00:00:00"/>
    <d v="2026-05-08T00:00:00"/>
    <n v="37.479999999999997"/>
    <m/>
    <m/>
    <m/>
    <s v="Denied"/>
    <s v="CO-27"/>
    <d v="2026-06-21T00:00:00"/>
    <m/>
    <n v="38"/>
    <n v="0.28000000000000003"/>
    <n v="10.64"/>
    <s v=""/>
    <x v="2"/>
    <x v="3"/>
    <x v="10"/>
  </r>
  <r>
    <s v="CLM102901"/>
    <s v="PT13355"/>
    <s v="P04"/>
    <x v="3"/>
    <x v="6"/>
    <n v="1"/>
    <d v="2026-02-13T00:00:00"/>
    <d v="2026-02-16T00:00:00"/>
    <n v="425.93"/>
    <n v="147.96"/>
    <n v="133.16"/>
    <n v="14.8"/>
    <s v="Paid"/>
    <s v=""/>
    <d v="2026-03-09T00:00:00"/>
    <d v="2026-03-09T00:00:00"/>
    <n v="420"/>
    <n v="0.36"/>
    <n v="151.19999999999999"/>
    <n v="3.2399999999999807"/>
    <x v="0"/>
    <x v="1"/>
    <x v="0"/>
  </r>
  <r>
    <s v="CLM102902"/>
    <s v="PT11309"/>
    <s v="P08"/>
    <x v="0"/>
    <x v="8"/>
    <n v="1"/>
    <d v="2025-11-10T00:00:00"/>
    <d v="2025-11-18T00:00:00"/>
    <n v="257.64"/>
    <n v="257.64"/>
    <n v="257.64"/>
    <n v="0"/>
    <s v="Paid"/>
    <s v=""/>
    <d v="2026-02-04T00:00:00"/>
    <d v="2026-02-04T00:00:00"/>
    <n v="260"/>
    <n v="1"/>
    <n v="260"/>
    <n v="2.3600000000000136"/>
    <x v="0"/>
    <x v="7"/>
    <x v="3"/>
  </r>
  <r>
    <s v="CLM102903"/>
    <s v="PT12290"/>
    <s v="P04"/>
    <x v="3"/>
    <x v="7"/>
    <n v="1"/>
    <d v="2026-02-07T00:00:00"/>
    <d v="2026-02-09T00:00:00"/>
    <n v="204"/>
    <n v="65.89"/>
    <n v="65.89"/>
    <n v="0"/>
    <s v="Paid"/>
    <s v=""/>
    <d v="2026-03-09T00:00:00"/>
    <d v="2026-03-09T00:00:00"/>
    <n v="210"/>
    <n v="0.36"/>
    <n v="75.599999999999994"/>
    <n v="9.7099999999999937"/>
    <x v="1"/>
    <x v="1"/>
    <x v="0"/>
  </r>
  <r>
    <s v="CLM102904"/>
    <s v="PT13296"/>
    <s v="P06"/>
    <x v="3"/>
    <x v="7"/>
    <n v="1"/>
    <d v="2026-06-26T00:00:00"/>
    <d v="2026-06-28T00:00:00"/>
    <n v="211.4"/>
    <n v="59.28"/>
    <n v="47.42"/>
    <n v="11.86"/>
    <s v="Paid"/>
    <s v=""/>
    <d v="2026-08-05T00:00:00"/>
    <d v="2026-08-05T00:00:00"/>
    <n v="210"/>
    <n v="0.27"/>
    <n v="56.7"/>
    <n v="-2.5799999999999983"/>
    <x v="0"/>
    <x v="2"/>
    <x v="11"/>
  </r>
  <r>
    <s v="CLM102905"/>
    <s v="PT12377"/>
    <s v="P04"/>
    <x v="2"/>
    <x v="9"/>
    <n v="2"/>
    <d v="2025-10-17T00:00:00"/>
    <d v="2025-10-19T00:00:00"/>
    <n v="116.17"/>
    <n v="42.26"/>
    <n v="33.81"/>
    <n v="8.4499999999999993"/>
    <s v="Paid"/>
    <s v=""/>
    <d v="2025-11-07T00:00:00"/>
    <d v="2025-11-07T00:00:00"/>
    <n v="58"/>
    <n v="0.36"/>
    <n v="41.76"/>
    <n v="-0.5"/>
    <x v="0"/>
    <x v="1"/>
    <x v="9"/>
  </r>
  <r>
    <s v="CLM102906"/>
    <s v="PT11944"/>
    <s v="P04"/>
    <x v="1"/>
    <x v="4"/>
    <n v="1"/>
    <d v="2026-02-04T00:00:00"/>
    <d v="2026-02-06T00:00:00"/>
    <n v="37.79"/>
    <n v="13.71"/>
    <n v="13.71"/>
    <n v="0"/>
    <s v="Paid"/>
    <s v=""/>
    <d v="2026-02-22T00:00:00"/>
    <d v="2026-02-22T00:00:00"/>
    <n v="38"/>
    <n v="0.36"/>
    <n v="13.68"/>
    <n v="-3.0000000000001137E-2"/>
    <x v="0"/>
    <x v="1"/>
    <x v="0"/>
  </r>
  <r>
    <s v="CLM102907"/>
    <s v="PT13434"/>
    <s v="P01"/>
    <x v="1"/>
    <x v="7"/>
    <n v="1"/>
    <d v="2026-02-18T00:00:00"/>
    <d v="2026-02-19T00:00:00"/>
    <n v="204.8"/>
    <n v="84.09"/>
    <n v="75.680000000000007"/>
    <n v="8.41"/>
    <s v="Paid"/>
    <s v=""/>
    <d v="2026-03-12T00:00:00"/>
    <d v="2026-03-12T00:00:00"/>
    <n v="210"/>
    <n v="0.45"/>
    <n v="94.5"/>
    <n v="10.409999999999997"/>
    <x v="1"/>
    <x v="5"/>
    <x v="0"/>
  </r>
  <r>
    <s v="CLM102908"/>
    <s v="PT11616"/>
    <s v="P01"/>
    <x v="1"/>
    <x v="8"/>
    <n v="1"/>
    <d v="2025-12-12T00:00:00"/>
    <d v="2025-12-15T00:00:00"/>
    <n v="258.56"/>
    <n v="114.61"/>
    <n v="103.15"/>
    <n v="11.46"/>
    <s v="Paid"/>
    <s v=""/>
    <d v="2026-01-07T00:00:00"/>
    <d v="2026-01-07T00:00:00"/>
    <n v="260"/>
    <n v="0.45"/>
    <n v="117"/>
    <n v="2.3900000000000006"/>
    <x v="0"/>
    <x v="5"/>
    <x v="6"/>
  </r>
  <r>
    <s v="CLM102909"/>
    <s v="PT11989"/>
    <s v="P02"/>
    <x v="0"/>
    <x v="4"/>
    <n v="1"/>
    <d v="2026-04-20T00:00:00"/>
    <d v="2026-04-26T00:00:00"/>
    <n v="38.83"/>
    <n v="18.41"/>
    <n v="18.41"/>
    <n v="0"/>
    <s v="Paid"/>
    <s v=""/>
    <d v="2026-05-24T00:00:00"/>
    <d v="2026-05-24T00:00:00"/>
    <n v="38"/>
    <n v="0.43"/>
    <n v="16.34"/>
    <n v="-2.0700000000000003"/>
    <x v="0"/>
    <x v="6"/>
    <x v="10"/>
  </r>
  <r>
    <s v="CLM102910"/>
    <s v="PT10285"/>
    <s v="P04"/>
    <x v="1"/>
    <x v="5"/>
    <n v="1"/>
    <d v="2026-05-31T00:00:00"/>
    <d v="2026-06-02T00:00:00"/>
    <n v="4732.16"/>
    <m/>
    <m/>
    <m/>
    <s v="Denied"/>
    <s v="CO-197"/>
    <d v="2026-06-11T00:00:00"/>
    <m/>
    <n v="4800"/>
    <n v="0.36"/>
    <n v="1728"/>
    <s v=""/>
    <x v="2"/>
    <x v="1"/>
    <x v="7"/>
  </r>
  <r>
    <s v="CLM102911"/>
    <s v="PT12424"/>
    <s v="P04"/>
    <x v="1"/>
    <x v="5"/>
    <n v="1"/>
    <d v="2026-09-15T00:00:00"/>
    <d v="2026-09-17T00:00:00"/>
    <n v="4907.67"/>
    <n v="2028.81"/>
    <n v="1825.93"/>
    <n v="202.88"/>
    <s v="Paid"/>
    <s v=""/>
    <d v="2026-09-30T00:00:00"/>
    <d v="2026-09-30T00:00:00"/>
    <n v="4800"/>
    <n v="0.36"/>
    <n v="1728"/>
    <n v="-300.80999999999995"/>
    <x v="0"/>
    <x v="1"/>
    <x v="8"/>
  </r>
  <r>
    <s v="CLM102912"/>
    <s v="PT12684"/>
    <s v="P04"/>
    <x v="2"/>
    <x v="9"/>
    <n v="1"/>
    <d v="2026-05-29T00:00:00"/>
    <d v="2026-06-20T00:00:00"/>
    <n v="58.06"/>
    <m/>
    <m/>
    <m/>
    <s v="Denied"/>
    <s v="CO-16"/>
    <d v="2026-07-12T00:00:00"/>
    <m/>
    <n v="58"/>
    <n v="0.36"/>
    <n v="20.88"/>
    <s v=""/>
    <x v="2"/>
    <x v="1"/>
    <x v="7"/>
  </r>
  <r>
    <s v="CLM102913"/>
    <s v="PT13115"/>
    <s v="P01"/>
    <x v="0"/>
    <x v="8"/>
    <n v="1"/>
    <d v="2026-03-26T00:00:00"/>
    <d v="2026-04-01T00:00:00"/>
    <n v="262.63"/>
    <n v="114.87"/>
    <n v="114.87"/>
    <n v="0"/>
    <s v="Paid"/>
    <s v=""/>
    <d v="2026-04-23T00:00:00"/>
    <d v="2026-04-23T00:00:00"/>
    <n v="260"/>
    <n v="0.45"/>
    <n v="117"/>
    <n v="2.1299999999999955"/>
    <x v="0"/>
    <x v="5"/>
    <x v="2"/>
  </r>
  <r>
    <s v="CLM102914"/>
    <s v="PT10490"/>
    <s v="P07"/>
    <x v="0"/>
    <x v="4"/>
    <n v="1"/>
    <d v="2026-05-29T00:00:00"/>
    <d v="2026-06-04T00:00:00"/>
    <n v="37.619999999999997"/>
    <m/>
    <m/>
    <m/>
    <s v="Denied"/>
    <s v="CO-16"/>
    <d v="2026-07-26T00:00:00"/>
    <m/>
    <n v="38"/>
    <n v="0.28000000000000003"/>
    <n v="10.64"/>
    <s v=""/>
    <x v="2"/>
    <x v="3"/>
    <x v="7"/>
  </r>
  <r>
    <s v="CLM102915"/>
    <s v="PT11891"/>
    <s v="P07"/>
    <x v="0"/>
    <x v="7"/>
    <n v="1"/>
    <d v="2026-04-23T00:00:00"/>
    <d v="2026-05-01T00:00:00"/>
    <n v="215.32"/>
    <n v="53.11"/>
    <n v="42.49"/>
    <n v="10.62"/>
    <s v="Paid"/>
    <s v=""/>
    <d v="2026-06-04T00:00:00"/>
    <d v="2026-06-04T00:00:00"/>
    <n v="210"/>
    <n v="0.28000000000000003"/>
    <n v="58.8"/>
    <n v="5.6899999999999977"/>
    <x v="1"/>
    <x v="3"/>
    <x v="10"/>
  </r>
  <r>
    <s v="CLM102916"/>
    <s v="PT11684"/>
    <s v="P04"/>
    <x v="1"/>
    <x v="1"/>
    <n v="1"/>
    <d v="2026-06-24T00:00:00"/>
    <d v="2026-07-07T00:00:00"/>
    <n v="246.7"/>
    <n v="95.34"/>
    <n v="76.27"/>
    <n v="19.07"/>
    <s v="Paid"/>
    <s v=""/>
    <d v="2026-07-28T00:00:00"/>
    <d v="2026-07-28T00:00:00"/>
    <n v="240"/>
    <n v="0.36"/>
    <n v="86.4"/>
    <n v="-8.9399999999999977"/>
    <x v="0"/>
    <x v="1"/>
    <x v="11"/>
  </r>
  <r>
    <s v="CLM102917"/>
    <s v="PT13087"/>
    <s v="P01"/>
    <x v="2"/>
    <x v="9"/>
    <n v="3"/>
    <d v="2026-09-21T00:00:00"/>
    <d v="2026-09-22T00:00:00"/>
    <n v="176.91"/>
    <m/>
    <m/>
    <m/>
    <s v="Pending"/>
    <s v=""/>
    <m/>
    <m/>
    <n v="58"/>
    <n v="0.45"/>
    <n v="78.3"/>
    <s v=""/>
    <x v="2"/>
    <x v="5"/>
    <x v="8"/>
  </r>
  <r>
    <s v="CLM102918"/>
    <s v="PT11807"/>
    <s v="P01"/>
    <x v="0"/>
    <x v="8"/>
    <n v="1"/>
    <d v="2025-10-16T00:00:00"/>
    <d v="2025-10-18T00:00:00"/>
    <n v="264.97000000000003"/>
    <n v="136.51"/>
    <n v="122.86"/>
    <n v="13.65"/>
    <s v="Paid"/>
    <s v=""/>
    <d v="2025-10-31T00:00:00"/>
    <d v="2025-10-31T00:00:00"/>
    <n v="260"/>
    <n v="0.45"/>
    <n v="117"/>
    <n v="-19.509999999999991"/>
    <x v="0"/>
    <x v="5"/>
    <x v="9"/>
  </r>
  <r>
    <s v="CLM102919"/>
    <s v="PT10872"/>
    <s v="P03"/>
    <x v="0"/>
    <x v="8"/>
    <n v="1"/>
    <d v="2026-01-09T00:00:00"/>
    <d v="2026-01-11T00:00:00"/>
    <n v="264.77"/>
    <n v="135.56"/>
    <n v="108.45"/>
    <n v="27.11"/>
    <s v="Paid"/>
    <s v=""/>
    <d v="2026-02-21T00:00:00"/>
    <d v="2026-02-21T00:00:00"/>
    <n v="260"/>
    <n v="0.47"/>
    <n v="122.2"/>
    <n v="-13.36"/>
    <x v="0"/>
    <x v="4"/>
    <x v="5"/>
  </r>
  <r>
    <s v="CLM102920"/>
    <s v="PT12516"/>
    <s v="P04"/>
    <x v="0"/>
    <x v="8"/>
    <n v="1"/>
    <d v="2026-09-19T00:00:00"/>
    <d v="2026-09-28T00:00:00"/>
    <n v="262.77999999999997"/>
    <m/>
    <m/>
    <m/>
    <s v="Pending"/>
    <s v=""/>
    <m/>
    <m/>
    <n v="260"/>
    <n v="0.36"/>
    <n v="93.6"/>
    <s v=""/>
    <x v="2"/>
    <x v="1"/>
    <x v="8"/>
  </r>
  <r>
    <s v="CLM102921"/>
    <s v="PT11006"/>
    <s v="P07"/>
    <x v="1"/>
    <x v="8"/>
    <n v="1"/>
    <d v="2026-07-11T00:00:00"/>
    <d v="2026-07-14T00:00:00"/>
    <n v="265.76"/>
    <n v="80.739999999999995"/>
    <n v="72.67"/>
    <n v="8.07"/>
    <s v="Paid"/>
    <s v=""/>
    <d v="2026-09-15T00:00:00"/>
    <d v="2026-09-15T00:00:00"/>
    <n v="260"/>
    <n v="0.28000000000000003"/>
    <n v="72.8"/>
    <n v="-7.9399999999999977"/>
    <x v="0"/>
    <x v="3"/>
    <x v="1"/>
  </r>
  <r>
    <s v="CLM102922"/>
    <s v="PT12345"/>
    <s v="P03"/>
    <x v="3"/>
    <x v="3"/>
    <n v="20"/>
    <d v="2026-06-23T00:00:00"/>
    <d v="2026-06-26T00:00:00"/>
    <n v="29428.240000000002"/>
    <m/>
    <m/>
    <m/>
    <s v="Denied"/>
    <s v="CO-197"/>
    <d v="2026-08-26T00:00:00"/>
    <m/>
    <n v="1450"/>
    <n v="0.47"/>
    <n v="13630"/>
    <s v=""/>
    <x v="2"/>
    <x v="4"/>
    <x v="11"/>
  </r>
  <r>
    <s v="CLM102923"/>
    <s v="PT13460"/>
    <s v="P01"/>
    <x v="2"/>
    <x v="0"/>
    <n v="1"/>
    <d v="2026-01-11T00:00:00"/>
    <d v="2026-05-26T00:00:00"/>
    <n v="149.31"/>
    <m/>
    <m/>
    <m/>
    <s v="Denied"/>
    <s v="CO-29"/>
    <d v="2026-06-25T00:00:00"/>
    <m/>
    <n v="145"/>
    <n v="0.45"/>
    <n v="65.25"/>
    <s v=""/>
    <x v="2"/>
    <x v="5"/>
    <x v="5"/>
  </r>
  <r>
    <s v="CLM102924"/>
    <s v="PT12486"/>
    <s v="P01"/>
    <x v="3"/>
    <x v="6"/>
    <n v="1"/>
    <d v="2026-08-14T00:00:00"/>
    <d v="2026-08-15T00:00:00"/>
    <n v="423.15"/>
    <n v="170.21"/>
    <n v="170.21"/>
    <n v="0"/>
    <s v="Paid"/>
    <s v=""/>
    <d v="2026-09-18T00:00:00"/>
    <d v="2026-09-18T00:00:00"/>
    <n v="420"/>
    <n v="0.45"/>
    <n v="189"/>
    <n v="18.789999999999992"/>
    <x v="1"/>
    <x v="5"/>
    <x v="4"/>
  </r>
  <r>
    <s v="CLM102925"/>
    <s v="PT13480"/>
    <s v="P04"/>
    <x v="2"/>
    <x v="0"/>
    <n v="1"/>
    <d v="2026-04-14T00:00:00"/>
    <d v="2026-04-15T00:00:00"/>
    <n v="142.35"/>
    <n v="57.79"/>
    <n v="52.01"/>
    <n v="5.78"/>
    <s v="Paid"/>
    <s v=""/>
    <d v="2026-04-26T00:00:00"/>
    <d v="2026-04-26T00:00:00"/>
    <n v="145"/>
    <n v="0.36"/>
    <n v="52.2"/>
    <n v="-5.5899999999999963"/>
    <x v="0"/>
    <x v="1"/>
    <x v="10"/>
  </r>
  <r>
    <s v="CLM102926"/>
    <s v="PT12796"/>
    <s v="P02"/>
    <x v="2"/>
    <x v="9"/>
    <n v="1"/>
    <d v="2025-10-02T00:00:00"/>
    <d v="2025-10-06T00:00:00"/>
    <n v="56.36"/>
    <n v="22.41"/>
    <n v="22.41"/>
    <n v="0"/>
    <s v="Paid"/>
    <s v=""/>
    <d v="2025-11-07T00:00:00"/>
    <d v="2025-11-07T00:00:00"/>
    <n v="58"/>
    <n v="0.43"/>
    <n v="24.94"/>
    <n v="2.5300000000000011"/>
    <x v="1"/>
    <x v="6"/>
    <x v="9"/>
  </r>
  <r>
    <s v="CLM102927"/>
    <s v="PT10017"/>
    <s v="P01"/>
    <x v="0"/>
    <x v="7"/>
    <n v="1"/>
    <d v="2025-12-14T00:00:00"/>
    <d v="2025-12-18T00:00:00"/>
    <n v="214.62"/>
    <n v="84.36"/>
    <n v="75.92"/>
    <n v="8.44"/>
    <s v="Paid"/>
    <s v=""/>
    <d v="2026-01-12T00:00:00"/>
    <d v="2026-01-12T00:00:00"/>
    <n v="210"/>
    <n v="0.45"/>
    <n v="94.5"/>
    <n v="10.14"/>
    <x v="1"/>
    <x v="5"/>
    <x v="6"/>
  </r>
  <r>
    <s v="CLM102928"/>
    <s v="PT10227"/>
    <s v="P01"/>
    <x v="1"/>
    <x v="7"/>
    <n v="1"/>
    <d v="2026-09-06T00:00:00"/>
    <d v="2026-09-07T00:00:00"/>
    <n v="215.64"/>
    <m/>
    <m/>
    <m/>
    <s v="Pending"/>
    <s v=""/>
    <m/>
    <m/>
    <n v="210"/>
    <n v="0.45"/>
    <n v="94.5"/>
    <s v=""/>
    <x v="2"/>
    <x v="5"/>
    <x v="8"/>
  </r>
  <r>
    <s v="CLM102929"/>
    <s v="PT11419"/>
    <s v="P01"/>
    <x v="1"/>
    <x v="5"/>
    <n v="1"/>
    <d v="2026-09-20T00:00:00"/>
    <d v="2026-09-22T00:00:00"/>
    <n v="4665.37"/>
    <m/>
    <m/>
    <m/>
    <s v="Pending"/>
    <s v=""/>
    <m/>
    <m/>
    <n v="4800"/>
    <n v="0.45"/>
    <n v="2160"/>
    <s v=""/>
    <x v="2"/>
    <x v="5"/>
    <x v="8"/>
  </r>
  <r>
    <s v="CLM102930"/>
    <s v="PT11109"/>
    <s v="P05"/>
    <x v="1"/>
    <x v="11"/>
    <n v="1"/>
    <d v="2026-01-20T00:00:00"/>
    <d v="2026-01-22T00:00:00"/>
    <n v="1178.6500000000001"/>
    <n v="448.79"/>
    <n v="448.79"/>
    <n v="0"/>
    <s v="Paid"/>
    <s v=""/>
    <d v="2026-03-05T00:00:00"/>
    <d v="2026-03-05T00:00:00"/>
    <n v="1150"/>
    <n v="0.38"/>
    <n v="437"/>
    <n v="-11.79000000000002"/>
    <x v="0"/>
    <x v="0"/>
    <x v="5"/>
  </r>
  <r>
    <s v="CLM102931"/>
    <s v="PT13132"/>
    <s v="P04"/>
    <x v="2"/>
    <x v="9"/>
    <n v="1"/>
    <d v="2026-03-17T00:00:00"/>
    <d v="2026-03-18T00:00:00"/>
    <n v="58.09"/>
    <n v="20.82"/>
    <n v="20.82"/>
    <n v="0"/>
    <s v="Paid"/>
    <s v=""/>
    <d v="2026-04-06T00:00:00"/>
    <d v="2026-04-06T00:00:00"/>
    <n v="58"/>
    <n v="0.36"/>
    <n v="20.88"/>
    <n v="5.9999999999998721E-2"/>
    <x v="0"/>
    <x v="1"/>
    <x v="2"/>
  </r>
  <r>
    <s v="CLM102932"/>
    <s v="PT12648"/>
    <s v="P03"/>
    <x v="0"/>
    <x v="7"/>
    <n v="1"/>
    <d v="2026-02-18T00:00:00"/>
    <d v="2026-02-22T00:00:00"/>
    <n v="214.43"/>
    <n v="88.66"/>
    <n v="79.790000000000006"/>
    <n v="8.8699999999999992"/>
    <s v="Paid"/>
    <s v=""/>
    <d v="2026-03-23T00:00:00"/>
    <d v="2026-03-23T00:00:00"/>
    <n v="210"/>
    <n v="0.47"/>
    <n v="98.7"/>
    <n v="10.040000000000006"/>
    <x v="1"/>
    <x v="4"/>
    <x v="0"/>
  </r>
  <r>
    <s v="CLM102933"/>
    <s v="PT10219"/>
    <s v="P05"/>
    <x v="0"/>
    <x v="4"/>
    <n v="1"/>
    <d v="2026-06-27T00:00:00"/>
    <d v="2026-06-28T00:00:00"/>
    <n v="38.369999999999997"/>
    <n v="15.1"/>
    <n v="15.1"/>
    <n v="0"/>
    <s v="Paid"/>
    <s v=""/>
    <d v="2026-09-14T00:00:00"/>
    <d v="2026-09-14T00:00:00"/>
    <n v="38"/>
    <n v="0.38"/>
    <n v="14.44"/>
    <n v="-0.66000000000000014"/>
    <x v="0"/>
    <x v="0"/>
    <x v="11"/>
  </r>
  <r>
    <s v="CLM102934"/>
    <s v="PT12099"/>
    <s v="P04"/>
    <x v="2"/>
    <x v="2"/>
    <n v="1"/>
    <d v="2026-08-14T00:00:00"/>
    <d v="2026-08-16T00:00:00"/>
    <n v="63.28"/>
    <n v="24.02"/>
    <n v="21.62"/>
    <n v="2.4"/>
    <s v="Paid"/>
    <s v=""/>
    <d v="2026-08-28T00:00:00"/>
    <d v="2026-08-28T00:00:00"/>
    <n v="62"/>
    <n v="0.36"/>
    <n v="22.32"/>
    <n v="-1.6999999999999993"/>
    <x v="0"/>
    <x v="1"/>
    <x v="4"/>
  </r>
  <r>
    <s v="CLM102935"/>
    <s v="PT11189"/>
    <s v="P07"/>
    <x v="0"/>
    <x v="0"/>
    <n v="1"/>
    <d v="2026-03-16T00:00:00"/>
    <d v="2026-03-19T00:00:00"/>
    <n v="147.06"/>
    <m/>
    <m/>
    <m/>
    <s v="Denied"/>
    <s v="CO-16"/>
    <d v="2026-06-16T00:00:00"/>
    <m/>
    <n v="145"/>
    <n v="0.28000000000000003"/>
    <n v="40.6"/>
    <s v=""/>
    <x v="2"/>
    <x v="3"/>
    <x v="2"/>
  </r>
  <r>
    <s v="CLM102936"/>
    <s v="PT12079"/>
    <s v="P02"/>
    <x v="0"/>
    <x v="8"/>
    <n v="1"/>
    <d v="2026-03-30T00:00:00"/>
    <d v="2026-04-06T00:00:00"/>
    <n v="261.58"/>
    <n v="107.24"/>
    <n v="107.24"/>
    <n v="0"/>
    <s v="Paid"/>
    <s v=""/>
    <d v="2026-05-02T00:00:00"/>
    <d v="2026-05-02T00:00:00"/>
    <n v="260"/>
    <n v="0.43"/>
    <n v="111.8"/>
    <n v="4.5600000000000023"/>
    <x v="0"/>
    <x v="6"/>
    <x v="2"/>
  </r>
  <r>
    <s v="CLM102937"/>
    <s v="PT12019"/>
    <s v="P04"/>
    <x v="3"/>
    <x v="3"/>
    <n v="30"/>
    <d v="2026-05-17T00:00:00"/>
    <d v="2026-05-19T00:00:00"/>
    <n v="44220.27"/>
    <n v="15681.7"/>
    <n v="12545.36"/>
    <n v="3136.34"/>
    <s v="Paid"/>
    <s v=""/>
    <d v="2026-06-11T00:00:00"/>
    <d v="2026-06-11T00:00:00"/>
    <n v="1450"/>
    <n v="0.36"/>
    <n v="15660"/>
    <n v="-21.700000000000728"/>
    <x v="0"/>
    <x v="1"/>
    <x v="7"/>
  </r>
  <r>
    <s v="CLM102938"/>
    <s v="PT13323"/>
    <s v="P07"/>
    <x v="1"/>
    <x v="1"/>
    <n v="1"/>
    <d v="2026-04-08T00:00:00"/>
    <d v="2026-04-13T00:00:00"/>
    <n v="236.89"/>
    <m/>
    <m/>
    <m/>
    <s v="Denied"/>
    <s v="CO-27"/>
    <d v="2026-06-07T00:00:00"/>
    <m/>
    <n v="240"/>
    <n v="0.28000000000000003"/>
    <n v="67.2"/>
    <s v=""/>
    <x v="2"/>
    <x v="3"/>
    <x v="10"/>
  </r>
  <r>
    <s v="CLM102939"/>
    <s v="PT11704"/>
    <s v="P07"/>
    <x v="3"/>
    <x v="6"/>
    <n v="1"/>
    <d v="2026-08-04T00:00:00"/>
    <d v="2026-08-08T00:00:00"/>
    <n v="432.18"/>
    <m/>
    <m/>
    <m/>
    <s v="Pending"/>
    <s v=""/>
    <m/>
    <m/>
    <n v="420"/>
    <n v="0.28000000000000003"/>
    <n v="117.6"/>
    <s v=""/>
    <x v="2"/>
    <x v="3"/>
    <x v="4"/>
  </r>
  <r>
    <s v="CLM102940"/>
    <s v="PT10630"/>
    <s v="P07"/>
    <x v="0"/>
    <x v="8"/>
    <n v="1"/>
    <d v="2025-11-24T00:00:00"/>
    <d v="2025-11-25T00:00:00"/>
    <n v="259.01"/>
    <n v="68.69"/>
    <n v="68.69"/>
    <n v="0"/>
    <s v="Paid"/>
    <s v=""/>
    <d v="2025-12-24T00:00:00"/>
    <d v="2025-12-24T00:00:00"/>
    <n v="260"/>
    <n v="0.28000000000000003"/>
    <n v="72.8"/>
    <n v="4.1099999999999994"/>
    <x v="1"/>
    <x v="3"/>
    <x v="3"/>
  </r>
  <r>
    <s v="CLM102941"/>
    <s v="PT11538"/>
    <s v="P01"/>
    <x v="1"/>
    <x v="1"/>
    <n v="1"/>
    <d v="2025-10-16T00:00:00"/>
    <d v="2025-10-22T00:00:00"/>
    <n v="246.19"/>
    <n v="102.63"/>
    <n v="102.63"/>
    <n v="0"/>
    <s v="Paid"/>
    <s v=""/>
    <d v="2025-11-26T00:00:00"/>
    <d v="2025-11-26T00:00:00"/>
    <n v="240"/>
    <n v="0.45"/>
    <n v="108"/>
    <n v="5.3700000000000045"/>
    <x v="0"/>
    <x v="5"/>
    <x v="9"/>
  </r>
  <r>
    <s v="CLM102942"/>
    <s v="PT10463"/>
    <s v="P01"/>
    <x v="1"/>
    <x v="5"/>
    <n v="1"/>
    <d v="2025-12-18T00:00:00"/>
    <d v="2025-12-23T00:00:00"/>
    <n v="4797.3599999999997"/>
    <n v="1955.54"/>
    <n v="1759.99"/>
    <n v="195.55"/>
    <s v="Paid"/>
    <s v=""/>
    <d v="2026-01-26T00:00:00"/>
    <d v="2026-01-26T00:00:00"/>
    <n v="4800"/>
    <n v="0.45"/>
    <n v="2160"/>
    <n v="204.46000000000004"/>
    <x v="1"/>
    <x v="5"/>
    <x v="6"/>
  </r>
  <r>
    <s v="CLM102943"/>
    <s v="PT11446"/>
    <s v="P02"/>
    <x v="3"/>
    <x v="3"/>
    <n v="5"/>
    <d v="2026-06-12T00:00:00"/>
    <d v="2026-06-14T00:00:00"/>
    <n v="7056.81"/>
    <n v="3069.05"/>
    <n v="2762.14"/>
    <n v="306.91000000000003"/>
    <s v="Paid"/>
    <s v=""/>
    <d v="2026-07-19T00:00:00"/>
    <d v="2026-07-19T00:00:00"/>
    <n v="1450"/>
    <n v="0.43"/>
    <n v="3117.5"/>
    <n v="48.449999999999818"/>
    <x v="0"/>
    <x v="6"/>
    <x v="11"/>
  </r>
  <r>
    <s v="CLM102944"/>
    <s v="PT10833"/>
    <s v="P07"/>
    <x v="0"/>
    <x v="8"/>
    <n v="1"/>
    <d v="2026-04-05T00:00:00"/>
    <d v="2026-04-12T00:00:00"/>
    <n v="266.61"/>
    <n v="72.62"/>
    <n v="72.62"/>
    <n v="0"/>
    <s v="Paid"/>
    <s v=""/>
    <d v="2026-04-27T00:00:00"/>
    <d v="2026-04-27T00:00:00"/>
    <n v="260"/>
    <n v="0.28000000000000003"/>
    <n v="72.8"/>
    <n v="0.17999999999999261"/>
    <x v="0"/>
    <x v="3"/>
    <x v="10"/>
  </r>
  <r>
    <s v="CLM102945"/>
    <s v="PT11235"/>
    <s v="P05"/>
    <x v="0"/>
    <x v="4"/>
    <n v="1"/>
    <d v="2026-05-01T00:00:00"/>
    <d v="2026-05-02T00:00:00"/>
    <n v="37.81"/>
    <n v="14.97"/>
    <n v="14.97"/>
    <n v="0"/>
    <s v="Paid"/>
    <s v=""/>
    <d v="2026-06-08T00:00:00"/>
    <d v="2026-06-08T00:00:00"/>
    <n v="38"/>
    <n v="0.38"/>
    <n v="14.44"/>
    <n v="-0.53000000000000114"/>
    <x v="0"/>
    <x v="0"/>
    <x v="7"/>
  </r>
  <r>
    <s v="CLM102946"/>
    <s v="PT12290"/>
    <s v="P04"/>
    <x v="2"/>
    <x v="0"/>
    <n v="1"/>
    <d v="2025-10-16T00:00:00"/>
    <d v="2026-01-31T00:00:00"/>
    <n v="145.02000000000001"/>
    <m/>
    <m/>
    <m/>
    <s v="Denied"/>
    <s v="CO-29"/>
    <d v="2026-02-24T00:00:00"/>
    <m/>
    <n v="145"/>
    <n v="0.36"/>
    <n v="52.2"/>
    <s v=""/>
    <x v="2"/>
    <x v="1"/>
    <x v="9"/>
  </r>
  <r>
    <s v="CLM102947"/>
    <s v="PT13188"/>
    <s v="P01"/>
    <x v="1"/>
    <x v="7"/>
    <n v="1"/>
    <d v="2026-07-24T00:00:00"/>
    <d v="2026-07-26T00:00:00"/>
    <n v="209.46"/>
    <n v="90.85"/>
    <n v="90.85"/>
    <n v="0"/>
    <s v="Paid"/>
    <s v=""/>
    <d v="2026-08-16T00:00:00"/>
    <d v="2026-08-16T00:00:00"/>
    <n v="210"/>
    <n v="0.45"/>
    <n v="94.5"/>
    <n v="3.6500000000000057"/>
    <x v="0"/>
    <x v="5"/>
    <x v="1"/>
  </r>
  <r>
    <s v="CLM102948"/>
    <s v="PT12646"/>
    <s v="P08"/>
    <x v="2"/>
    <x v="0"/>
    <n v="1"/>
    <d v="2025-11-05T00:00:00"/>
    <d v="2025-11-08T00:00:00"/>
    <n v="146.46"/>
    <m/>
    <m/>
    <m/>
    <s v="Pending"/>
    <s v=""/>
    <m/>
    <m/>
    <n v="145"/>
    <n v="1"/>
    <n v="145"/>
    <s v=""/>
    <x v="2"/>
    <x v="7"/>
    <x v="3"/>
  </r>
  <r>
    <s v="CLM102949"/>
    <s v="PT10662"/>
    <s v="P01"/>
    <x v="3"/>
    <x v="3"/>
    <n v="10"/>
    <d v="2026-04-09T00:00:00"/>
    <d v="2026-04-10T00:00:00"/>
    <n v="14584.58"/>
    <n v="5959.92"/>
    <n v="5959.92"/>
    <n v="0"/>
    <s v="Paid"/>
    <s v=""/>
    <d v="2026-04-21T00:00:00"/>
    <d v="2026-04-21T00:00:00"/>
    <n v="1450"/>
    <n v="0.45"/>
    <n v="6525"/>
    <n v="565.07999999999993"/>
    <x v="1"/>
    <x v="5"/>
    <x v="10"/>
  </r>
  <r>
    <s v="CLM102951"/>
    <s v="PT11833"/>
    <s v="P07"/>
    <x v="1"/>
    <x v="7"/>
    <n v="1"/>
    <d v="2026-05-10T00:00:00"/>
    <d v="2026-05-14T00:00:00"/>
    <n v="206.76"/>
    <m/>
    <m/>
    <m/>
    <s v="Denied"/>
    <s v="CO-16"/>
    <d v="2026-07-16T00:00:00"/>
    <m/>
    <n v="210"/>
    <n v="0.28000000000000003"/>
    <n v="58.8"/>
    <s v=""/>
    <x v="2"/>
    <x v="3"/>
    <x v="7"/>
  </r>
  <r>
    <s v="CLM102952"/>
    <s v="PT13294"/>
    <s v="P03"/>
    <x v="1"/>
    <x v="10"/>
    <n v="1"/>
    <d v="2026-04-30T00:00:00"/>
    <d v="2026-05-03T00:00:00"/>
    <n v="1067.19"/>
    <m/>
    <m/>
    <m/>
    <s v="Denied"/>
    <s v="CO-11"/>
    <d v="2026-07-04T00:00:00"/>
    <m/>
    <n v="1050"/>
    <n v="0.47"/>
    <n v="493.5"/>
    <s v=""/>
    <x v="2"/>
    <x v="4"/>
    <x v="10"/>
  </r>
  <r>
    <s v="CLM102953"/>
    <s v="PT12655"/>
    <s v="P01"/>
    <x v="1"/>
    <x v="11"/>
    <n v="1"/>
    <d v="2026-04-26T00:00:00"/>
    <d v="2026-04-29T00:00:00"/>
    <n v="1145.51"/>
    <m/>
    <m/>
    <m/>
    <s v="Denied"/>
    <s v="CO-11"/>
    <d v="2026-05-30T00:00:00"/>
    <m/>
    <n v="1150"/>
    <n v="0.45"/>
    <n v="517.5"/>
    <s v=""/>
    <x v="2"/>
    <x v="5"/>
    <x v="10"/>
  </r>
  <r>
    <s v="CLM102954"/>
    <s v="PT12797"/>
    <s v="P05"/>
    <x v="3"/>
    <x v="3"/>
    <n v="30"/>
    <d v="2026-08-03T00:00:00"/>
    <d v="2026-08-06T00:00:00"/>
    <n v="43255.87"/>
    <n v="15656.21"/>
    <n v="15656.21"/>
    <n v="0"/>
    <s v="Paid"/>
    <s v=""/>
    <d v="2026-09-17T00:00:00"/>
    <d v="2026-09-17T00:00:00"/>
    <n v="1450"/>
    <n v="0.38"/>
    <n v="16530"/>
    <n v="873.79000000000087"/>
    <x v="1"/>
    <x v="0"/>
    <x v="4"/>
  </r>
  <r>
    <s v="CLM102955"/>
    <s v="PT11572"/>
    <s v="P03"/>
    <x v="3"/>
    <x v="6"/>
    <n v="1"/>
    <d v="2026-03-04T00:00:00"/>
    <d v="2026-03-08T00:00:00"/>
    <n v="414.27"/>
    <n v="197.35"/>
    <n v="177.62"/>
    <n v="19.73"/>
    <s v="Paid"/>
    <s v=""/>
    <d v="2026-04-16T00:00:00"/>
    <d v="2026-04-16T00:00:00"/>
    <n v="420"/>
    <n v="0.47"/>
    <n v="197.4"/>
    <n v="5.0000000000011369E-2"/>
    <x v="0"/>
    <x v="4"/>
    <x v="2"/>
  </r>
  <r>
    <s v="CLM102956"/>
    <s v="PT11273"/>
    <s v="P08"/>
    <x v="2"/>
    <x v="2"/>
    <n v="3"/>
    <d v="2026-07-19T00:00:00"/>
    <d v="2026-07-21T00:00:00"/>
    <n v="188.27"/>
    <m/>
    <m/>
    <m/>
    <s v="Pending"/>
    <s v=""/>
    <m/>
    <m/>
    <n v="62"/>
    <n v="1"/>
    <n v="186"/>
    <s v=""/>
    <x v="2"/>
    <x v="7"/>
    <x v="1"/>
  </r>
  <r>
    <s v="CLM102957"/>
    <s v="PT11098"/>
    <s v="P04"/>
    <x v="3"/>
    <x v="3"/>
    <n v="10"/>
    <d v="2025-10-06T00:00:00"/>
    <d v="2025-10-13T00:00:00"/>
    <n v="14610.15"/>
    <n v="4459.66"/>
    <n v="3567.73"/>
    <n v="891.93"/>
    <s v="Paid"/>
    <s v=""/>
    <d v="2025-10-24T00:00:00"/>
    <d v="2025-10-24T00:00:00"/>
    <n v="1450"/>
    <n v="0.36"/>
    <n v="5220"/>
    <n v="760.34000000000015"/>
    <x v="1"/>
    <x v="1"/>
    <x v="9"/>
  </r>
  <r>
    <s v="CLM102958"/>
    <s v="PT12202"/>
    <s v="P02"/>
    <x v="3"/>
    <x v="7"/>
    <n v="1"/>
    <d v="2026-05-03T00:00:00"/>
    <d v="2026-05-10T00:00:00"/>
    <n v="212.11"/>
    <m/>
    <m/>
    <m/>
    <s v="Denied"/>
    <s v="CO-18"/>
    <d v="2026-06-06T00:00:00"/>
    <m/>
    <n v="210"/>
    <n v="0.43"/>
    <n v="90.3"/>
    <s v=""/>
    <x v="2"/>
    <x v="6"/>
    <x v="7"/>
  </r>
  <r>
    <s v="CLM102959"/>
    <s v="PT10927"/>
    <s v="P05"/>
    <x v="1"/>
    <x v="4"/>
    <n v="1"/>
    <d v="2026-08-19T00:00:00"/>
    <d v="2026-08-24T00:00:00"/>
    <n v="39.08"/>
    <m/>
    <m/>
    <m/>
    <s v="Pending"/>
    <s v=""/>
    <m/>
    <m/>
    <n v="38"/>
    <n v="0.38"/>
    <n v="14.44"/>
    <s v=""/>
    <x v="2"/>
    <x v="0"/>
    <x v="4"/>
  </r>
  <r>
    <s v="CLM102960"/>
    <s v="PT12108"/>
    <s v="P03"/>
    <x v="0"/>
    <x v="7"/>
    <n v="1"/>
    <d v="2026-07-13T00:00:00"/>
    <d v="2026-07-14T00:00:00"/>
    <n v="213.45"/>
    <n v="107.52"/>
    <n v="107.52"/>
    <n v="0"/>
    <s v="Paid"/>
    <s v=""/>
    <d v="2026-09-19T00:00:00"/>
    <d v="2026-09-19T00:00:00"/>
    <n v="210"/>
    <n v="0.47"/>
    <n v="98.7"/>
    <n v="-8.8199999999999932"/>
    <x v="0"/>
    <x v="4"/>
    <x v="1"/>
  </r>
  <r>
    <s v="CLM102961"/>
    <s v="PT12811"/>
    <s v="P05"/>
    <x v="0"/>
    <x v="8"/>
    <n v="1"/>
    <d v="2026-06-24T00:00:00"/>
    <d v="2026-06-27T00:00:00"/>
    <n v="267.23"/>
    <n v="115.83"/>
    <n v="92.66"/>
    <n v="23.17"/>
    <s v="Paid"/>
    <s v=""/>
    <d v="2026-08-21T00:00:00"/>
    <d v="2026-08-21T00:00:00"/>
    <n v="260"/>
    <n v="0.38"/>
    <n v="98.8"/>
    <n v="-17.03"/>
    <x v="0"/>
    <x v="0"/>
    <x v="11"/>
  </r>
  <r>
    <s v="CLM102962"/>
    <s v="PT12057"/>
    <s v="P05"/>
    <x v="2"/>
    <x v="9"/>
    <n v="4"/>
    <d v="2026-05-19T00:00:00"/>
    <d v="2026-05-26T00:00:00"/>
    <n v="230.6"/>
    <n v="97.14"/>
    <n v="77.709999999999994"/>
    <n v="19.43"/>
    <s v="Paid"/>
    <s v=""/>
    <d v="2026-07-03T00:00:00"/>
    <d v="2026-07-03T00:00:00"/>
    <n v="58"/>
    <n v="0.38"/>
    <n v="88.16"/>
    <n v="-8.980000000000004"/>
    <x v="0"/>
    <x v="0"/>
    <x v="7"/>
  </r>
  <r>
    <s v="CLM102963"/>
    <s v="PT12617"/>
    <s v="P01"/>
    <x v="0"/>
    <x v="0"/>
    <n v="1"/>
    <d v="2026-03-30T00:00:00"/>
    <d v="2026-04-07T00:00:00"/>
    <n v="143.58000000000001"/>
    <n v="62.51"/>
    <n v="56.26"/>
    <n v="6.25"/>
    <s v="Paid"/>
    <s v=""/>
    <d v="2026-05-04T00:00:00"/>
    <d v="2026-05-04T00:00:00"/>
    <n v="145"/>
    <n v="0.45"/>
    <n v="65.25"/>
    <n v="2.740000000000002"/>
    <x v="0"/>
    <x v="5"/>
    <x v="2"/>
  </r>
  <r>
    <s v="CLM102964"/>
    <s v="PT11779"/>
    <s v="P02"/>
    <x v="1"/>
    <x v="1"/>
    <n v="1"/>
    <d v="2026-05-01T00:00:00"/>
    <d v="2026-05-02T00:00:00"/>
    <n v="245.98"/>
    <m/>
    <m/>
    <m/>
    <s v="Denied"/>
    <s v="CO-27"/>
    <d v="2026-05-20T00:00:00"/>
    <m/>
    <n v="240"/>
    <n v="0.43"/>
    <n v="103.2"/>
    <s v=""/>
    <x v="2"/>
    <x v="6"/>
    <x v="7"/>
  </r>
  <r>
    <s v="CLM102965"/>
    <s v="PT12341"/>
    <s v="P03"/>
    <x v="1"/>
    <x v="4"/>
    <n v="1"/>
    <d v="2026-05-15T00:00:00"/>
    <d v="2026-05-21T00:00:00"/>
    <n v="37.43"/>
    <n v="15.69"/>
    <n v="15.69"/>
    <n v="0"/>
    <s v="Paid"/>
    <s v=""/>
    <d v="2026-07-05T00:00:00"/>
    <d v="2026-07-05T00:00:00"/>
    <n v="38"/>
    <n v="0.47"/>
    <n v="17.86"/>
    <n v="2.17"/>
    <x v="1"/>
    <x v="4"/>
    <x v="7"/>
  </r>
  <r>
    <s v="CLM102966"/>
    <s v="PT11308"/>
    <s v="P05"/>
    <x v="2"/>
    <x v="9"/>
    <n v="1"/>
    <d v="2026-09-02T00:00:00"/>
    <d v="2026-09-05T00:00:00"/>
    <n v="59.06"/>
    <m/>
    <m/>
    <m/>
    <s v="Pending"/>
    <s v=""/>
    <m/>
    <m/>
    <n v="58"/>
    <n v="0.38"/>
    <n v="22.04"/>
    <s v=""/>
    <x v="2"/>
    <x v="0"/>
    <x v="8"/>
  </r>
  <r>
    <s v="CLM102967"/>
    <s v="PT12909"/>
    <s v="P04"/>
    <x v="1"/>
    <x v="8"/>
    <n v="1"/>
    <d v="2026-01-05T00:00:00"/>
    <d v="2026-01-13T00:00:00"/>
    <n v="266.43"/>
    <n v="95.94"/>
    <n v="76.75"/>
    <n v="19.190000000000001"/>
    <s v="Paid"/>
    <s v=""/>
    <d v="2026-02-10T00:00:00"/>
    <d v="2026-02-10T00:00:00"/>
    <n v="260"/>
    <n v="0.36"/>
    <n v="93.6"/>
    <n v="-2.3400000000000034"/>
    <x v="0"/>
    <x v="1"/>
    <x v="5"/>
  </r>
  <r>
    <s v="CLM102968"/>
    <s v="PT10006"/>
    <s v="P06"/>
    <x v="2"/>
    <x v="2"/>
    <n v="3"/>
    <d v="2026-09-09T00:00:00"/>
    <d v="2026-09-10T00:00:00"/>
    <n v="188.14"/>
    <m/>
    <m/>
    <m/>
    <s v="Pending"/>
    <s v=""/>
    <m/>
    <m/>
    <n v="62"/>
    <n v="0.27"/>
    <n v="50.22"/>
    <s v=""/>
    <x v="2"/>
    <x v="2"/>
    <x v="8"/>
  </r>
  <r>
    <s v="CLM102969"/>
    <s v="PT13188"/>
    <s v="P05"/>
    <x v="0"/>
    <x v="0"/>
    <n v="1"/>
    <d v="2026-06-09T00:00:00"/>
    <d v="2026-06-11T00:00:00"/>
    <n v="141.03"/>
    <m/>
    <m/>
    <m/>
    <s v="Denied"/>
    <s v="CO-16"/>
    <d v="2026-07-04T00:00:00"/>
    <m/>
    <n v="145"/>
    <n v="0.38"/>
    <n v="55.1"/>
    <s v=""/>
    <x v="2"/>
    <x v="0"/>
    <x v="11"/>
  </r>
  <r>
    <s v="CLM102970"/>
    <s v="PT11439"/>
    <s v="P05"/>
    <x v="1"/>
    <x v="5"/>
    <n v="1"/>
    <d v="2026-04-04T00:00:00"/>
    <d v="2026-04-05T00:00:00"/>
    <n v="4834.0200000000004"/>
    <n v="1833.53"/>
    <n v="1833.53"/>
    <n v="0"/>
    <s v="Paid"/>
    <s v=""/>
    <d v="2026-06-03T00:00:00"/>
    <d v="2026-06-03T00:00:00"/>
    <n v="4800"/>
    <n v="0.38"/>
    <n v="1824"/>
    <n v="-9.5299999999999727"/>
    <x v="0"/>
    <x v="0"/>
    <x v="10"/>
  </r>
  <r>
    <s v="CLM102971"/>
    <s v="PT12570"/>
    <s v="P01"/>
    <x v="0"/>
    <x v="4"/>
    <n v="1"/>
    <d v="2025-11-27T00:00:00"/>
    <d v="2025-11-28T00:00:00"/>
    <n v="38.69"/>
    <n v="17.43"/>
    <n v="17.43"/>
    <n v="0"/>
    <s v="Paid"/>
    <s v=""/>
    <d v="2025-12-28T00:00:00"/>
    <d v="2025-12-28T00:00:00"/>
    <n v="38"/>
    <n v="0.45"/>
    <n v="17.100000000000001"/>
    <n v="-0.32999999999999829"/>
    <x v="0"/>
    <x v="5"/>
    <x v="3"/>
  </r>
  <r>
    <s v="CLM102972"/>
    <s v="PT10445"/>
    <s v="P01"/>
    <x v="0"/>
    <x v="8"/>
    <n v="1"/>
    <d v="2025-10-21T00:00:00"/>
    <d v="2025-10-22T00:00:00"/>
    <n v="258.88"/>
    <n v="130.88999999999999"/>
    <n v="130.88999999999999"/>
    <n v="0"/>
    <s v="Paid"/>
    <s v=""/>
    <d v="2025-11-25T00:00:00"/>
    <d v="2025-11-25T00:00:00"/>
    <n v="260"/>
    <n v="0.45"/>
    <n v="117"/>
    <n v="-13.889999999999986"/>
    <x v="0"/>
    <x v="5"/>
    <x v="9"/>
  </r>
  <r>
    <s v="CLM102973"/>
    <s v="PT10338"/>
    <s v="P02"/>
    <x v="0"/>
    <x v="4"/>
    <n v="1"/>
    <d v="2026-01-11T00:00:00"/>
    <d v="2026-01-12T00:00:00"/>
    <n v="38.74"/>
    <n v="15.22"/>
    <n v="15.22"/>
    <n v="0"/>
    <s v="Paid"/>
    <s v=""/>
    <d v="2026-02-14T00:00:00"/>
    <d v="2026-02-14T00:00:00"/>
    <n v="38"/>
    <n v="0.43"/>
    <n v="16.34"/>
    <n v="1.1199999999999992"/>
    <x v="1"/>
    <x v="6"/>
    <x v="5"/>
  </r>
  <r>
    <s v="CLM102974"/>
    <s v="PT10907"/>
    <s v="P02"/>
    <x v="0"/>
    <x v="4"/>
    <n v="1"/>
    <d v="2025-11-14T00:00:00"/>
    <d v="2025-11-17T00:00:00"/>
    <n v="37.270000000000003"/>
    <n v="17.7"/>
    <n v="17.7"/>
    <n v="0"/>
    <s v="Paid"/>
    <s v=""/>
    <d v="2025-12-16T00:00:00"/>
    <d v="2025-12-16T00:00:00"/>
    <n v="38"/>
    <n v="0.43"/>
    <n v="16.34"/>
    <n v="-1.3599999999999994"/>
    <x v="0"/>
    <x v="6"/>
    <x v="3"/>
  </r>
  <r>
    <s v="CLM102975"/>
    <s v="PT11871"/>
    <s v="P07"/>
    <x v="1"/>
    <x v="8"/>
    <n v="1"/>
    <d v="2026-04-01T00:00:00"/>
    <d v="2026-04-02T00:00:00"/>
    <n v="257.5"/>
    <n v="66.27"/>
    <n v="53.02"/>
    <n v="13.25"/>
    <s v="Paid"/>
    <s v=""/>
    <d v="2026-05-25T00:00:00"/>
    <d v="2026-05-25T00:00:00"/>
    <n v="260"/>
    <n v="0.28000000000000003"/>
    <n v="72.8"/>
    <n v="6.5300000000000011"/>
    <x v="1"/>
    <x v="3"/>
    <x v="10"/>
  </r>
  <r>
    <s v="CLM102976"/>
    <s v="PT11459"/>
    <s v="P05"/>
    <x v="2"/>
    <x v="2"/>
    <n v="4"/>
    <d v="2026-04-26T00:00:00"/>
    <d v="2026-05-02T00:00:00"/>
    <n v="253.83"/>
    <n v="85.39"/>
    <n v="85.39"/>
    <n v="0"/>
    <s v="Paid"/>
    <s v=""/>
    <d v="2026-07-05T00:00:00"/>
    <d v="2026-07-05T00:00:00"/>
    <n v="62"/>
    <n v="0.38"/>
    <n v="94.24"/>
    <n v="8.8499999999999943"/>
    <x v="1"/>
    <x v="0"/>
    <x v="10"/>
  </r>
  <r>
    <s v="CLM102978"/>
    <s v="PT13274"/>
    <s v="P08"/>
    <x v="2"/>
    <x v="2"/>
    <n v="4"/>
    <d v="2025-11-12T00:00:00"/>
    <d v="2025-11-20T00:00:00"/>
    <n v="248.34"/>
    <m/>
    <m/>
    <m/>
    <s v="Pending"/>
    <s v=""/>
    <m/>
    <m/>
    <n v="62"/>
    <n v="1"/>
    <n v="248"/>
    <s v=""/>
    <x v="2"/>
    <x v="7"/>
    <x v="3"/>
  </r>
  <r>
    <s v="CLM102979"/>
    <s v="PT11154"/>
    <s v="P06"/>
    <x v="3"/>
    <x v="7"/>
    <n v="1"/>
    <d v="2026-09-22T00:00:00"/>
    <d v="2026-09-23T00:00:00"/>
    <n v="215.28"/>
    <m/>
    <m/>
    <m/>
    <s v="Pending"/>
    <s v=""/>
    <m/>
    <m/>
    <n v="210"/>
    <n v="0.27"/>
    <n v="56.7"/>
    <s v=""/>
    <x v="2"/>
    <x v="2"/>
    <x v="8"/>
  </r>
  <r>
    <s v="CLM102980"/>
    <s v="PT10443"/>
    <s v="P02"/>
    <x v="3"/>
    <x v="7"/>
    <n v="1"/>
    <d v="2025-11-11T00:00:00"/>
    <d v="2025-11-14T00:00:00"/>
    <n v="214.67"/>
    <n v="79.099999999999994"/>
    <n v="79.099999999999994"/>
    <n v="0"/>
    <s v="Paid"/>
    <s v=""/>
    <d v="2025-12-08T00:00:00"/>
    <d v="2025-12-08T00:00:00"/>
    <n v="210"/>
    <n v="0.43"/>
    <n v="90.3"/>
    <n v="11.200000000000003"/>
    <x v="1"/>
    <x v="6"/>
    <x v="3"/>
  </r>
  <r>
    <s v="CLM102981"/>
    <s v="PT13027"/>
    <s v="P01"/>
    <x v="3"/>
    <x v="3"/>
    <n v="10"/>
    <d v="2026-02-16T00:00:00"/>
    <d v="2026-02-18T00:00:00"/>
    <n v="14409.47"/>
    <n v="7057.43"/>
    <n v="6351.69"/>
    <n v="705.74"/>
    <s v="Paid"/>
    <s v=""/>
    <d v="2026-03-20T00:00:00"/>
    <d v="2026-03-20T00:00:00"/>
    <n v="1450"/>
    <n v="0.45"/>
    <n v="6525"/>
    <n v="-532.43000000000029"/>
    <x v="0"/>
    <x v="5"/>
    <x v="0"/>
  </r>
  <r>
    <s v="CLM102982"/>
    <s v="PT13191"/>
    <s v="P01"/>
    <x v="1"/>
    <x v="8"/>
    <n v="1"/>
    <d v="2025-10-18T00:00:00"/>
    <d v="2025-10-26T00:00:00"/>
    <n v="256.95"/>
    <n v="99.97"/>
    <n v="99.97"/>
    <n v="0"/>
    <s v="Paid"/>
    <s v=""/>
    <d v="2025-11-20T00:00:00"/>
    <d v="2025-11-20T00:00:00"/>
    <n v="260"/>
    <n v="0.45"/>
    <n v="117"/>
    <n v="17.03"/>
    <x v="1"/>
    <x v="5"/>
    <x v="9"/>
  </r>
  <r>
    <s v="CLM102983"/>
    <s v="PT10831"/>
    <s v="P04"/>
    <x v="1"/>
    <x v="8"/>
    <n v="1"/>
    <d v="2026-01-06T00:00:00"/>
    <d v="2026-01-12T00:00:00"/>
    <n v="256.64"/>
    <n v="84.46"/>
    <n v="67.569999999999993"/>
    <n v="16.89"/>
    <s v="Paid"/>
    <s v=""/>
    <d v="2026-01-23T00:00:00"/>
    <d v="2026-01-23T00:00:00"/>
    <n v="260"/>
    <n v="0.36"/>
    <n v="93.6"/>
    <n v="9.14"/>
    <x v="1"/>
    <x v="1"/>
    <x v="5"/>
  </r>
  <r>
    <s v="CLM102984"/>
    <s v="PT11154"/>
    <s v="P02"/>
    <x v="3"/>
    <x v="3"/>
    <n v="20"/>
    <d v="2026-09-28T00:00:00"/>
    <d v="2026-09-29T00:00:00"/>
    <n v="29347.83"/>
    <m/>
    <m/>
    <m/>
    <s v="Pending"/>
    <s v=""/>
    <m/>
    <m/>
    <n v="1450"/>
    <n v="0.43"/>
    <n v="12470"/>
    <s v=""/>
    <x v="2"/>
    <x v="6"/>
    <x v="8"/>
  </r>
  <r>
    <s v="CLM102985"/>
    <s v="PT13220"/>
    <s v="P08"/>
    <x v="1"/>
    <x v="5"/>
    <n v="1"/>
    <d v="2026-01-28T00:00:00"/>
    <d v="2026-01-31T00:00:00"/>
    <n v="4785.84"/>
    <m/>
    <m/>
    <m/>
    <s v="Pending"/>
    <s v=""/>
    <m/>
    <m/>
    <n v="4800"/>
    <n v="1"/>
    <n v="4800"/>
    <s v=""/>
    <x v="2"/>
    <x v="7"/>
    <x v="5"/>
  </r>
  <r>
    <s v="CLM102986"/>
    <s v="PT10869"/>
    <s v="P03"/>
    <x v="0"/>
    <x v="8"/>
    <n v="1"/>
    <d v="2025-11-26T00:00:00"/>
    <d v="2025-11-28T00:00:00"/>
    <n v="264.98"/>
    <n v="129.97"/>
    <n v="129.97"/>
    <n v="0"/>
    <s v="Paid"/>
    <s v=""/>
    <d v="2025-12-23T00:00:00"/>
    <d v="2025-12-23T00:00:00"/>
    <n v="260"/>
    <n v="0.47"/>
    <n v="122.2"/>
    <n v="-7.769999999999996"/>
    <x v="0"/>
    <x v="4"/>
    <x v="3"/>
  </r>
  <r>
    <s v="CLM102987"/>
    <s v="PT11550"/>
    <s v="P06"/>
    <x v="2"/>
    <x v="0"/>
    <n v="1"/>
    <d v="2026-05-29T00:00:00"/>
    <d v="2026-06-03T00:00:00"/>
    <n v="141.46"/>
    <n v="38.54"/>
    <n v="30.83"/>
    <n v="7.71"/>
    <s v="Paid"/>
    <s v=""/>
    <d v="2026-07-07T00:00:00"/>
    <d v="2026-07-07T00:00:00"/>
    <n v="145"/>
    <n v="0.27"/>
    <n v="39.15"/>
    <n v="0.60999999999999943"/>
    <x v="0"/>
    <x v="2"/>
    <x v="7"/>
  </r>
  <r>
    <s v="CLM102988"/>
    <s v="PT10234"/>
    <s v="P01"/>
    <x v="0"/>
    <x v="8"/>
    <n v="1"/>
    <d v="2026-08-06T00:00:00"/>
    <d v="2026-08-19T00:00:00"/>
    <n v="253.67"/>
    <n v="120.88"/>
    <n v="120.88"/>
    <n v="0"/>
    <s v="Paid"/>
    <s v=""/>
    <d v="2026-09-14T00:00:00"/>
    <d v="2026-09-14T00:00:00"/>
    <n v="260"/>
    <n v="0.45"/>
    <n v="117"/>
    <n v="-3.8799999999999955"/>
    <x v="0"/>
    <x v="5"/>
    <x v="4"/>
  </r>
  <r>
    <s v="CLM102989"/>
    <s v="PT11999"/>
    <s v="P02"/>
    <x v="3"/>
    <x v="7"/>
    <n v="1"/>
    <d v="2026-07-29T00:00:00"/>
    <d v="2026-07-31T00:00:00"/>
    <n v="204.76"/>
    <n v="79.069999999999993"/>
    <n v="79.069999999999993"/>
    <n v="0"/>
    <s v="Paid"/>
    <s v=""/>
    <d v="2026-08-31T00:00:00"/>
    <d v="2026-08-31T00:00:00"/>
    <n v="210"/>
    <n v="0.43"/>
    <n v="90.3"/>
    <n v="11.230000000000004"/>
    <x v="1"/>
    <x v="6"/>
    <x v="1"/>
  </r>
  <r>
    <s v="CLM102990"/>
    <s v="PT11453"/>
    <s v="P02"/>
    <x v="0"/>
    <x v="4"/>
    <n v="1"/>
    <d v="2026-06-13T00:00:00"/>
    <d v="2026-06-17T00:00:00"/>
    <n v="36.92"/>
    <n v="16.88"/>
    <n v="15.19"/>
    <n v="1.69"/>
    <s v="Paid"/>
    <s v=""/>
    <d v="2026-07-27T00:00:00"/>
    <d v="2026-07-27T00:00:00"/>
    <n v="38"/>
    <n v="0.43"/>
    <n v="16.34"/>
    <n v="-0.53999999999999915"/>
    <x v="0"/>
    <x v="6"/>
    <x v="11"/>
  </r>
  <r>
    <s v="CLM102991"/>
    <s v="PT11510"/>
    <s v="P02"/>
    <x v="2"/>
    <x v="0"/>
    <n v="1"/>
    <d v="2026-01-12T00:00:00"/>
    <d v="2026-05-18T00:00:00"/>
    <n v="148.75"/>
    <m/>
    <m/>
    <m/>
    <s v="Denied"/>
    <s v="CO-29"/>
    <d v="2026-06-21T00:00:00"/>
    <m/>
    <n v="145"/>
    <n v="0.43"/>
    <n v="62.35"/>
    <s v=""/>
    <x v="2"/>
    <x v="6"/>
    <x v="5"/>
  </r>
  <r>
    <s v="CLM102992"/>
    <s v="PT12379"/>
    <s v="P02"/>
    <x v="1"/>
    <x v="11"/>
    <n v="1"/>
    <d v="2025-10-07T00:00:00"/>
    <d v="2025-10-16T00:00:00"/>
    <n v="1147.8599999999999"/>
    <n v="436.85"/>
    <n v="436.85"/>
    <n v="0"/>
    <s v="Paid"/>
    <s v=""/>
    <d v="2025-11-22T00:00:00"/>
    <d v="2025-11-22T00:00:00"/>
    <n v="1150"/>
    <n v="0.43"/>
    <n v="494.5"/>
    <n v="57.649999999999977"/>
    <x v="1"/>
    <x v="6"/>
    <x v="9"/>
  </r>
  <r>
    <s v="CLM102993"/>
    <s v="PT10081"/>
    <s v="P02"/>
    <x v="3"/>
    <x v="3"/>
    <n v="30"/>
    <d v="2025-12-05T00:00:00"/>
    <d v="2025-12-12T00:00:00"/>
    <n v="44250.73"/>
    <m/>
    <m/>
    <m/>
    <s v="Denied"/>
    <s v="CO-50"/>
    <d v="2026-01-10T00:00:00"/>
    <m/>
    <n v="1450"/>
    <n v="0.43"/>
    <n v="18705"/>
    <s v=""/>
    <x v="2"/>
    <x v="6"/>
    <x v="6"/>
  </r>
  <r>
    <s v="CLM102994"/>
    <s v="PT12677"/>
    <s v="P07"/>
    <x v="1"/>
    <x v="1"/>
    <n v="1"/>
    <d v="2026-01-21T00:00:00"/>
    <d v="2026-01-22T00:00:00"/>
    <n v="239.08"/>
    <n v="68.56"/>
    <n v="68.56"/>
    <n v="0"/>
    <s v="Paid"/>
    <s v=""/>
    <d v="2026-03-24T00:00:00"/>
    <d v="2026-03-24T00:00:00"/>
    <n v="240"/>
    <n v="0.28000000000000003"/>
    <n v="67.2"/>
    <n v="-1.3599999999999994"/>
    <x v="0"/>
    <x v="3"/>
    <x v="5"/>
  </r>
  <r>
    <s v="CLM102995"/>
    <s v="PT13286"/>
    <s v="P07"/>
    <x v="0"/>
    <x v="0"/>
    <n v="1"/>
    <d v="2025-12-09T00:00:00"/>
    <d v="2025-12-12T00:00:00"/>
    <n v="145"/>
    <m/>
    <m/>
    <m/>
    <s v="Denied"/>
    <s v="CO-16"/>
    <d v="2026-02-09T00:00:00"/>
    <m/>
    <n v="145"/>
    <n v="0.28000000000000003"/>
    <n v="40.6"/>
    <s v=""/>
    <x v="2"/>
    <x v="3"/>
    <x v="6"/>
  </r>
  <r>
    <s v="CLM102996"/>
    <s v="PT10411"/>
    <s v="P03"/>
    <x v="3"/>
    <x v="6"/>
    <n v="1"/>
    <d v="2026-06-09T00:00:00"/>
    <d v="2026-06-16T00:00:00"/>
    <n v="428.85"/>
    <m/>
    <m/>
    <m/>
    <s v="Denied"/>
    <s v="CO-16"/>
    <d v="2026-07-25T00:00:00"/>
    <m/>
    <n v="420"/>
    <n v="0.47"/>
    <n v="197.4"/>
    <s v=""/>
    <x v="2"/>
    <x v="4"/>
    <x v="11"/>
  </r>
  <r>
    <s v="CLM102997"/>
    <s v="PT12435"/>
    <s v="P04"/>
    <x v="3"/>
    <x v="7"/>
    <n v="1"/>
    <d v="2026-04-24T00:00:00"/>
    <d v="2026-04-25T00:00:00"/>
    <n v="207.55"/>
    <n v="67.8"/>
    <n v="61.02"/>
    <n v="6.78"/>
    <s v="Paid"/>
    <s v=""/>
    <d v="2026-05-06T00:00:00"/>
    <d v="2026-05-06T00:00:00"/>
    <n v="210"/>
    <n v="0.36"/>
    <n v="75.599999999999994"/>
    <n v="7.7999999999999972"/>
    <x v="1"/>
    <x v="1"/>
    <x v="10"/>
  </r>
  <r>
    <s v="CLM102998"/>
    <s v="PT10983"/>
    <s v="P08"/>
    <x v="0"/>
    <x v="0"/>
    <n v="1"/>
    <d v="2025-12-25T00:00:00"/>
    <d v="2025-12-27T00:00:00"/>
    <n v="141.94999999999999"/>
    <m/>
    <m/>
    <m/>
    <s v="Pending"/>
    <s v=""/>
    <m/>
    <m/>
    <n v="145"/>
    <n v="1"/>
    <n v="145"/>
    <s v=""/>
    <x v="2"/>
    <x v="7"/>
    <x v="6"/>
  </r>
  <r>
    <s v="CLM102999"/>
    <s v="PT10199"/>
    <s v="P06"/>
    <x v="2"/>
    <x v="0"/>
    <n v="1"/>
    <d v="2026-09-05T00:00:00"/>
    <d v="2026-09-07T00:00:00"/>
    <n v="144.65"/>
    <n v="35.1"/>
    <n v="35.1"/>
    <n v="0"/>
    <s v="Paid"/>
    <s v=""/>
    <d v="2026-09-20T00:00:00"/>
    <d v="2026-09-20T00:00:00"/>
    <n v="145"/>
    <n v="0.27"/>
    <n v="39.15"/>
    <n v="4.0499999999999972"/>
    <x v="1"/>
    <x v="2"/>
    <x v="8"/>
  </r>
  <r>
    <s v="CLM103000"/>
    <s v="PT12993"/>
    <s v="P03"/>
    <x v="0"/>
    <x v="0"/>
    <n v="1"/>
    <d v="2026-02-14T00:00:00"/>
    <d v="2026-02-20T00:00:00"/>
    <n v="148.30000000000001"/>
    <n v="69.48"/>
    <n v="69.48"/>
    <n v="0"/>
    <s v="Paid"/>
    <s v=""/>
    <d v="2026-04-01T00:00:00"/>
    <d v="2026-04-01T00:00:00"/>
    <n v="145"/>
    <n v="0.47"/>
    <n v="68.150000000000006"/>
    <n v="-1.3299999999999983"/>
    <x v="0"/>
    <x v="4"/>
    <x v="0"/>
  </r>
  <r>
    <s v="CLM103001"/>
    <s v="PT12515"/>
    <s v="P03"/>
    <x v="1"/>
    <x v="4"/>
    <n v="1"/>
    <d v="2026-06-18T00:00:00"/>
    <d v="2026-07-04T00:00:00"/>
    <n v="37.880000000000003"/>
    <n v="18.5"/>
    <n v="16.649999999999999"/>
    <n v="1.85"/>
    <s v="Paid"/>
    <s v=""/>
    <d v="2026-08-23T00:00:00"/>
    <d v="2026-08-23T00:00:00"/>
    <n v="38"/>
    <n v="0.47"/>
    <n v="17.86"/>
    <n v="-0.64000000000000057"/>
    <x v="0"/>
    <x v="4"/>
    <x v="11"/>
  </r>
  <r>
    <s v="CLM103002"/>
    <s v="PT11436"/>
    <s v="P05"/>
    <x v="2"/>
    <x v="0"/>
    <n v="1"/>
    <d v="2026-03-20T00:00:00"/>
    <d v="2026-03-22T00:00:00"/>
    <n v="146.35"/>
    <n v="57.8"/>
    <n v="57.8"/>
    <n v="0"/>
    <s v="Paid"/>
    <s v=""/>
    <d v="2026-04-21T00:00:00"/>
    <d v="2026-04-21T00:00:00"/>
    <n v="145"/>
    <n v="0.38"/>
    <n v="55.1"/>
    <n v="-2.6999999999999957"/>
    <x v="0"/>
    <x v="0"/>
    <x v="2"/>
  </r>
  <r>
    <s v="CLM103003"/>
    <s v="PT10609"/>
    <s v="P06"/>
    <x v="1"/>
    <x v="8"/>
    <n v="1"/>
    <d v="2026-08-10T00:00:00"/>
    <d v="2026-08-15T00:00:00"/>
    <n v="255.32"/>
    <n v="67.34"/>
    <n v="67.34"/>
    <n v="0"/>
    <s v="Paid"/>
    <s v=""/>
    <d v="2026-09-13T00:00:00"/>
    <d v="2026-09-13T00:00:00"/>
    <n v="260"/>
    <n v="0.27"/>
    <n v="70.2"/>
    <n v="2.8599999999999994"/>
    <x v="0"/>
    <x v="2"/>
    <x v="4"/>
  </r>
  <r>
    <s v="CLM103004"/>
    <s v="PT11004"/>
    <s v="P01"/>
    <x v="0"/>
    <x v="4"/>
    <n v="1"/>
    <d v="2025-11-15T00:00:00"/>
    <d v="2025-11-29T00:00:00"/>
    <n v="38.159999999999997"/>
    <n v="15.63"/>
    <n v="15.63"/>
    <n v="0"/>
    <s v="Paid"/>
    <s v=""/>
    <d v="2025-12-27T00:00:00"/>
    <d v="2025-12-27T00:00:00"/>
    <n v="38"/>
    <n v="0.45"/>
    <n v="17.100000000000001"/>
    <n v="1.4700000000000006"/>
    <x v="1"/>
    <x v="5"/>
    <x v="3"/>
  </r>
  <r>
    <s v="CLM103005"/>
    <s v="PT11531"/>
    <s v="P04"/>
    <x v="3"/>
    <x v="6"/>
    <n v="1"/>
    <d v="2025-10-21T00:00:00"/>
    <d v="2025-10-23T00:00:00"/>
    <n v="415.49"/>
    <n v="163.44"/>
    <n v="130.75"/>
    <n v="32.69"/>
    <s v="Paid"/>
    <s v=""/>
    <d v="2025-11-11T00:00:00"/>
    <d v="2025-11-11T00:00:00"/>
    <n v="420"/>
    <n v="0.36"/>
    <n v="151.19999999999999"/>
    <n v="-12.240000000000009"/>
    <x v="0"/>
    <x v="1"/>
    <x v="9"/>
  </r>
  <r>
    <s v="CLM103006"/>
    <s v="PT12065"/>
    <s v="P06"/>
    <x v="1"/>
    <x v="11"/>
    <n v="1"/>
    <d v="2025-12-31T00:00:00"/>
    <d v="2026-01-01T00:00:00"/>
    <n v="1144.72"/>
    <m/>
    <m/>
    <m/>
    <s v="Denied"/>
    <s v="CO-16"/>
    <d v="2026-02-18T00:00:00"/>
    <m/>
    <n v="1150"/>
    <n v="0.27"/>
    <n v="310.5"/>
    <s v=""/>
    <x v="2"/>
    <x v="2"/>
    <x v="6"/>
  </r>
  <r>
    <s v="CLM103007"/>
    <s v="PT10338"/>
    <s v="P02"/>
    <x v="3"/>
    <x v="3"/>
    <n v="5"/>
    <d v="2026-04-07T00:00:00"/>
    <d v="2026-04-11T00:00:00"/>
    <n v="7229.15"/>
    <m/>
    <m/>
    <m/>
    <s v="Denied"/>
    <s v="CO-197"/>
    <d v="2026-05-11T00:00:00"/>
    <m/>
    <n v="1450"/>
    <n v="0.43"/>
    <n v="3117.5"/>
    <s v=""/>
    <x v="2"/>
    <x v="6"/>
    <x v="10"/>
  </r>
  <r>
    <s v="CLM103008"/>
    <s v="PT12837"/>
    <s v="P06"/>
    <x v="2"/>
    <x v="2"/>
    <n v="4"/>
    <d v="2026-07-18T00:00:00"/>
    <d v="2026-07-24T00:00:00"/>
    <n v="244.68"/>
    <n v="71.37"/>
    <n v="57.1"/>
    <n v="14.27"/>
    <s v="Paid"/>
    <s v=""/>
    <d v="2026-08-26T00:00:00"/>
    <d v="2026-08-26T00:00:00"/>
    <n v="62"/>
    <n v="0.27"/>
    <n v="66.959999999999994"/>
    <n v="-4.4100000000000108"/>
    <x v="0"/>
    <x v="2"/>
    <x v="1"/>
  </r>
  <r>
    <s v="CLM103009"/>
    <s v="PT11236"/>
    <s v="P03"/>
    <x v="3"/>
    <x v="7"/>
    <n v="1"/>
    <d v="2026-07-16T00:00:00"/>
    <d v="2026-07-18T00:00:00"/>
    <n v="204.69"/>
    <m/>
    <m/>
    <m/>
    <s v="Denied"/>
    <s v="CO-16"/>
    <d v="2026-08-22T00:00:00"/>
    <m/>
    <n v="210"/>
    <n v="0.47"/>
    <n v="98.7"/>
    <s v=""/>
    <x v="2"/>
    <x v="4"/>
    <x v="1"/>
  </r>
  <r>
    <s v="CLM103010"/>
    <s v="PT11881"/>
    <s v="P03"/>
    <x v="1"/>
    <x v="7"/>
    <n v="1"/>
    <d v="2026-09-22T00:00:00"/>
    <d v="2026-09-27T00:00:00"/>
    <n v="204.66"/>
    <m/>
    <m/>
    <m/>
    <s v="Pending"/>
    <s v=""/>
    <m/>
    <m/>
    <n v="210"/>
    <n v="0.47"/>
    <n v="98.7"/>
    <s v=""/>
    <x v="2"/>
    <x v="4"/>
    <x v="8"/>
  </r>
  <r>
    <s v="CLM103011"/>
    <s v="PT12636"/>
    <s v="P02"/>
    <x v="1"/>
    <x v="1"/>
    <n v="1"/>
    <d v="2025-10-18T00:00:00"/>
    <d v="2025-10-19T00:00:00"/>
    <n v="243.36"/>
    <n v="115.52"/>
    <n v="92.42"/>
    <n v="23.1"/>
    <s v="Paid"/>
    <s v=""/>
    <d v="2025-11-09T00:00:00"/>
    <d v="2025-11-09T00:00:00"/>
    <n v="240"/>
    <n v="0.43"/>
    <n v="103.2"/>
    <n v="-12.319999999999993"/>
    <x v="0"/>
    <x v="6"/>
    <x v="9"/>
  </r>
  <r>
    <s v="CLM103012"/>
    <s v="PT13303"/>
    <s v="P01"/>
    <x v="0"/>
    <x v="4"/>
    <n v="1"/>
    <d v="2026-08-10T00:00:00"/>
    <d v="2026-08-11T00:00:00"/>
    <n v="37.450000000000003"/>
    <m/>
    <m/>
    <m/>
    <s v="Denied"/>
    <s v="CO-4"/>
    <d v="2026-09-13T00:00:00"/>
    <m/>
    <n v="38"/>
    <n v="0.45"/>
    <n v="17.100000000000001"/>
    <s v=""/>
    <x v="2"/>
    <x v="5"/>
    <x v="4"/>
  </r>
  <r>
    <s v="CLM103013"/>
    <s v="PT10247"/>
    <s v="P04"/>
    <x v="1"/>
    <x v="10"/>
    <n v="1"/>
    <d v="2026-02-17T00:00:00"/>
    <d v="2026-02-28T00:00:00"/>
    <n v="1032.8499999999999"/>
    <n v="345.52"/>
    <n v="345.52"/>
    <n v="0"/>
    <s v="Paid"/>
    <s v=""/>
    <d v="2026-03-05T00:00:00"/>
    <d v="2026-03-05T00:00:00"/>
    <n v="1050"/>
    <n v="0.36"/>
    <n v="378"/>
    <n v="32.480000000000018"/>
    <x v="1"/>
    <x v="1"/>
    <x v="0"/>
  </r>
  <r>
    <s v="CLM103014"/>
    <s v="PT10005"/>
    <s v="P01"/>
    <x v="3"/>
    <x v="3"/>
    <n v="30"/>
    <d v="2025-12-14T00:00:00"/>
    <d v="2025-12-18T00:00:00"/>
    <n v="44229.55"/>
    <n v="18002.009999999998"/>
    <n v="18002.009999999998"/>
    <n v="0"/>
    <s v="Paid"/>
    <s v=""/>
    <d v="2026-01-13T00:00:00"/>
    <d v="2026-01-13T00:00:00"/>
    <n v="1450"/>
    <n v="0.45"/>
    <n v="19575"/>
    <n v="1572.9900000000016"/>
    <x v="1"/>
    <x v="5"/>
    <x v="6"/>
  </r>
  <r>
    <s v="CLM103015"/>
    <s v="PT10877"/>
    <s v="P06"/>
    <x v="1"/>
    <x v="1"/>
    <n v="1"/>
    <d v="2026-06-16T00:00:00"/>
    <d v="2026-06-21T00:00:00"/>
    <n v="240.66"/>
    <n v="72.94"/>
    <n v="72.94"/>
    <n v="0"/>
    <s v="Paid"/>
    <s v=""/>
    <d v="2026-08-15T00:00:00"/>
    <d v="2026-08-15T00:00:00"/>
    <n v="240"/>
    <n v="0.27"/>
    <n v="64.8"/>
    <n v="-8.14"/>
    <x v="0"/>
    <x v="2"/>
    <x v="11"/>
  </r>
  <r>
    <s v="CLM103016"/>
    <s v="PT12935"/>
    <s v="P04"/>
    <x v="2"/>
    <x v="0"/>
    <n v="1"/>
    <d v="2026-04-08T00:00:00"/>
    <d v="2026-04-21T00:00:00"/>
    <n v="144.55000000000001"/>
    <n v="52.08"/>
    <n v="46.87"/>
    <n v="5.21"/>
    <s v="Paid"/>
    <s v=""/>
    <d v="2026-05-07T00:00:00"/>
    <d v="2026-05-07T00:00:00"/>
    <n v="145"/>
    <n v="0.36"/>
    <n v="52.2"/>
    <n v="0.12000000000000455"/>
    <x v="0"/>
    <x v="1"/>
    <x v="10"/>
  </r>
  <r>
    <s v="CLM103017"/>
    <s v="PT13447"/>
    <s v="P02"/>
    <x v="0"/>
    <x v="7"/>
    <n v="1"/>
    <d v="2026-04-08T00:00:00"/>
    <d v="2026-04-13T00:00:00"/>
    <n v="208.68"/>
    <n v="98.57"/>
    <n v="88.71"/>
    <n v="9.86"/>
    <s v="Paid"/>
    <s v=""/>
    <d v="2026-05-11T00:00:00"/>
    <d v="2026-05-11T00:00:00"/>
    <n v="210"/>
    <n v="0.43"/>
    <n v="90.3"/>
    <n v="-8.269999999999996"/>
    <x v="0"/>
    <x v="6"/>
    <x v="10"/>
  </r>
  <r>
    <s v="CLM103018"/>
    <s v="PT13401"/>
    <s v="P01"/>
    <x v="2"/>
    <x v="0"/>
    <n v="1"/>
    <d v="2026-01-04T00:00:00"/>
    <d v="2026-01-16T00:00:00"/>
    <n v="143.28"/>
    <n v="74.290000000000006"/>
    <n v="74.290000000000006"/>
    <n v="0"/>
    <s v="Paid"/>
    <s v=""/>
    <d v="2026-02-18T00:00:00"/>
    <d v="2026-02-18T00:00:00"/>
    <n v="145"/>
    <n v="0.45"/>
    <n v="65.25"/>
    <n v="-9.0400000000000063"/>
    <x v="0"/>
    <x v="5"/>
    <x v="5"/>
  </r>
  <r>
    <s v="CLM103019"/>
    <s v="PT10016"/>
    <s v="P02"/>
    <x v="1"/>
    <x v="4"/>
    <n v="1"/>
    <d v="2026-04-18T00:00:00"/>
    <d v="2026-04-23T00:00:00"/>
    <n v="38.28"/>
    <n v="15.09"/>
    <n v="13.58"/>
    <n v="1.51"/>
    <s v="Paid"/>
    <s v=""/>
    <d v="2026-05-25T00:00:00"/>
    <d v="2026-05-25T00:00:00"/>
    <n v="38"/>
    <n v="0.43"/>
    <n v="16.34"/>
    <n v="1.25"/>
    <x v="1"/>
    <x v="6"/>
    <x v="10"/>
  </r>
  <r>
    <s v="CLM103020"/>
    <s v="PT13412"/>
    <s v="P05"/>
    <x v="0"/>
    <x v="0"/>
    <n v="1"/>
    <d v="2026-02-04T00:00:00"/>
    <d v="2026-02-06T00:00:00"/>
    <n v="146.44999999999999"/>
    <n v="63.22"/>
    <n v="56.9"/>
    <n v="6.32"/>
    <s v="Paid"/>
    <s v=""/>
    <d v="2026-04-23T00:00:00"/>
    <d v="2026-04-23T00:00:00"/>
    <n v="145"/>
    <n v="0.38"/>
    <n v="55.1"/>
    <n v="-8.1199999999999974"/>
    <x v="0"/>
    <x v="0"/>
    <x v="0"/>
  </r>
  <r>
    <s v="CLM103021"/>
    <s v="PT10315"/>
    <s v="P05"/>
    <x v="2"/>
    <x v="9"/>
    <n v="1"/>
    <d v="2026-09-04T00:00:00"/>
    <d v="2026-09-11T00:00:00"/>
    <n v="57.71"/>
    <m/>
    <m/>
    <m/>
    <s v="Pending"/>
    <s v=""/>
    <m/>
    <m/>
    <n v="58"/>
    <n v="0.38"/>
    <n v="22.04"/>
    <s v=""/>
    <x v="2"/>
    <x v="0"/>
    <x v="8"/>
  </r>
  <r>
    <s v="CLM103022"/>
    <s v="PT10726"/>
    <s v="P08"/>
    <x v="1"/>
    <x v="1"/>
    <n v="1"/>
    <d v="2026-04-02T00:00:00"/>
    <d v="2026-04-03T00:00:00"/>
    <n v="234.36"/>
    <m/>
    <m/>
    <m/>
    <s v="Pending"/>
    <s v=""/>
    <m/>
    <m/>
    <n v="240"/>
    <n v="1"/>
    <n v="240"/>
    <s v=""/>
    <x v="2"/>
    <x v="7"/>
    <x v="10"/>
  </r>
  <r>
    <s v="CLM103023"/>
    <s v="PT11382"/>
    <s v="P01"/>
    <x v="1"/>
    <x v="7"/>
    <n v="1"/>
    <d v="2026-08-21T00:00:00"/>
    <d v="2026-08-23T00:00:00"/>
    <n v="205.04"/>
    <m/>
    <m/>
    <m/>
    <s v="Pending"/>
    <s v=""/>
    <m/>
    <m/>
    <n v="210"/>
    <n v="0.45"/>
    <n v="94.5"/>
    <s v=""/>
    <x v="2"/>
    <x v="5"/>
    <x v="4"/>
  </r>
  <r>
    <s v="CLM103024"/>
    <s v="PT12121"/>
    <s v="P04"/>
    <x v="0"/>
    <x v="0"/>
    <n v="1"/>
    <d v="2026-03-21T00:00:00"/>
    <d v="2026-03-22T00:00:00"/>
    <n v="143"/>
    <n v="50.43"/>
    <n v="50.43"/>
    <n v="0"/>
    <s v="Paid"/>
    <s v=""/>
    <d v="2026-04-02T00:00:00"/>
    <d v="2026-04-02T00:00:00"/>
    <n v="145"/>
    <n v="0.36"/>
    <n v="52.2"/>
    <n v="1.7700000000000031"/>
    <x v="0"/>
    <x v="1"/>
    <x v="2"/>
  </r>
  <r>
    <s v="CLM103025"/>
    <s v="PT12731"/>
    <s v="P02"/>
    <x v="0"/>
    <x v="0"/>
    <n v="1"/>
    <d v="2026-05-09T00:00:00"/>
    <d v="2026-05-18T00:00:00"/>
    <n v="146.71"/>
    <n v="61.53"/>
    <n v="61.53"/>
    <n v="0"/>
    <s v="Paid"/>
    <s v=""/>
    <d v="2026-07-02T00:00:00"/>
    <d v="2026-07-02T00:00:00"/>
    <n v="145"/>
    <n v="0.43"/>
    <n v="62.35"/>
    <n v="0.82000000000000028"/>
    <x v="0"/>
    <x v="6"/>
    <x v="7"/>
  </r>
  <r>
    <s v="CLM103026"/>
    <s v="PT12634"/>
    <s v="P04"/>
    <x v="0"/>
    <x v="4"/>
    <n v="1"/>
    <d v="2026-07-17T00:00:00"/>
    <d v="2026-07-19T00:00:00"/>
    <n v="37"/>
    <n v="12.51"/>
    <n v="12.51"/>
    <n v="0"/>
    <s v="Paid"/>
    <s v=""/>
    <d v="2026-08-06T00:00:00"/>
    <d v="2026-08-06T00:00:00"/>
    <n v="38"/>
    <n v="0.36"/>
    <n v="13.68"/>
    <n v="1.17"/>
    <x v="1"/>
    <x v="1"/>
    <x v="1"/>
  </r>
  <r>
    <s v="CLM103027"/>
    <s v="PT10028"/>
    <s v="P02"/>
    <x v="3"/>
    <x v="7"/>
    <n v="1"/>
    <d v="2026-07-20T00:00:00"/>
    <d v="2026-07-24T00:00:00"/>
    <n v="211.04"/>
    <n v="84.33"/>
    <n v="75.900000000000006"/>
    <n v="8.43"/>
    <s v="Paid"/>
    <s v=""/>
    <d v="2026-08-28T00:00:00"/>
    <d v="2026-08-28T00:00:00"/>
    <n v="210"/>
    <n v="0.43"/>
    <n v="90.3"/>
    <n v="5.9699999999999989"/>
    <x v="1"/>
    <x v="6"/>
    <x v="1"/>
  </r>
  <r>
    <s v="CLM103028"/>
    <s v="PT10494"/>
    <s v="P06"/>
    <x v="3"/>
    <x v="3"/>
    <n v="30"/>
    <d v="2026-04-04T00:00:00"/>
    <d v="2026-04-08T00:00:00"/>
    <n v="44547.34"/>
    <n v="11221.42"/>
    <n v="11221.42"/>
    <n v="0"/>
    <s v="Paid"/>
    <s v=""/>
    <d v="2026-05-23T00:00:00"/>
    <d v="2026-05-23T00:00:00"/>
    <n v="1450"/>
    <n v="0.27"/>
    <n v="11745"/>
    <n v="523.57999999999993"/>
    <x v="0"/>
    <x v="2"/>
    <x v="10"/>
  </r>
  <r>
    <s v="CLM103029"/>
    <s v="PT11785"/>
    <s v="P01"/>
    <x v="2"/>
    <x v="0"/>
    <n v="1"/>
    <d v="2026-05-19T00:00:00"/>
    <d v="2026-09-23T00:00:00"/>
    <n v="143.28"/>
    <m/>
    <m/>
    <m/>
    <s v="Pending"/>
    <s v=""/>
    <m/>
    <m/>
    <n v="145"/>
    <n v="0.45"/>
    <n v="65.25"/>
    <s v=""/>
    <x v="2"/>
    <x v="5"/>
    <x v="7"/>
  </r>
  <r>
    <s v="CLM103030"/>
    <s v="PT12711"/>
    <s v="P02"/>
    <x v="0"/>
    <x v="4"/>
    <n v="1"/>
    <d v="2026-08-16T00:00:00"/>
    <d v="2026-08-17T00:00:00"/>
    <n v="37.54"/>
    <n v="15.87"/>
    <n v="15.87"/>
    <n v="0"/>
    <s v="Paid"/>
    <s v=""/>
    <d v="2026-09-30T00:00:00"/>
    <d v="2026-09-30T00:00:00"/>
    <n v="38"/>
    <n v="0.43"/>
    <n v="16.34"/>
    <n v="0.47000000000000064"/>
    <x v="0"/>
    <x v="6"/>
    <x v="4"/>
  </r>
  <r>
    <s v="CLM103031"/>
    <s v="PT11283"/>
    <s v="P07"/>
    <x v="0"/>
    <x v="8"/>
    <n v="1"/>
    <d v="2025-11-22T00:00:00"/>
    <d v="2025-11-24T00:00:00"/>
    <n v="266.44"/>
    <n v="77.56"/>
    <n v="77.56"/>
    <n v="0"/>
    <s v="Paid"/>
    <s v=""/>
    <d v="2026-01-14T00:00:00"/>
    <d v="2026-01-14T00:00:00"/>
    <n v="260"/>
    <n v="0.28000000000000003"/>
    <n v="72.8"/>
    <n v="-4.7600000000000051"/>
    <x v="0"/>
    <x v="3"/>
    <x v="3"/>
  </r>
  <r>
    <s v="CLM103032"/>
    <s v="PT11649"/>
    <s v="P05"/>
    <x v="1"/>
    <x v="7"/>
    <n v="1"/>
    <d v="2026-07-14T00:00:00"/>
    <d v="2026-07-23T00:00:00"/>
    <n v="211.95"/>
    <m/>
    <m/>
    <m/>
    <s v="Denied"/>
    <s v="CO-16"/>
    <d v="2026-09-17T00:00:00"/>
    <m/>
    <n v="210"/>
    <n v="0.38"/>
    <n v="79.8"/>
    <s v=""/>
    <x v="2"/>
    <x v="0"/>
    <x v="1"/>
  </r>
  <r>
    <s v="CLM103033"/>
    <s v="PT10604"/>
    <s v="P07"/>
    <x v="0"/>
    <x v="7"/>
    <n v="1"/>
    <d v="2026-01-29T00:00:00"/>
    <d v="2026-02-02T00:00:00"/>
    <n v="207.35"/>
    <n v="66.36"/>
    <n v="66.36"/>
    <n v="0"/>
    <s v="Paid"/>
    <s v=""/>
    <d v="2026-04-10T00:00:00"/>
    <d v="2026-04-10T00:00:00"/>
    <n v="210"/>
    <n v="0.28000000000000003"/>
    <n v="58.8"/>
    <n v="-7.5600000000000023"/>
    <x v="0"/>
    <x v="3"/>
    <x v="5"/>
  </r>
  <r>
    <s v="CLM103034"/>
    <s v="PT11011"/>
    <s v="P07"/>
    <x v="2"/>
    <x v="0"/>
    <n v="1"/>
    <d v="2026-04-21T00:00:00"/>
    <d v="2026-04-23T00:00:00"/>
    <n v="142.16999999999999"/>
    <n v="45.82"/>
    <n v="41.24"/>
    <n v="4.58"/>
    <s v="Paid"/>
    <s v=""/>
    <d v="2026-07-25T00:00:00"/>
    <d v="2026-07-25T00:00:00"/>
    <n v="145"/>
    <n v="0.28000000000000003"/>
    <n v="40.6"/>
    <n v="-5.2199999999999989"/>
    <x v="0"/>
    <x v="3"/>
    <x v="10"/>
  </r>
  <r>
    <s v="CLM103035"/>
    <s v="PT12535"/>
    <s v="P01"/>
    <x v="2"/>
    <x v="9"/>
    <n v="2"/>
    <d v="2026-07-02T00:00:00"/>
    <d v="2026-07-03T00:00:00"/>
    <n v="115.59"/>
    <n v="48.96"/>
    <n v="48.96"/>
    <n v="0"/>
    <s v="Paid"/>
    <s v=""/>
    <d v="2026-08-22T00:00:00"/>
    <d v="2026-08-22T00:00:00"/>
    <n v="58"/>
    <n v="0.45"/>
    <n v="52.2"/>
    <n v="3.240000000000002"/>
    <x v="1"/>
    <x v="5"/>
    <x v="1"/>
  </r>
  <r>
    <s v="CLM103036"/>
    <s v="PT10212"/>
    <s v="P04"/>
    <x v="2"/>
    <x v="2"/>
    <n v="4"/>
    <d v="2026-08-21T00:00:00"/>
    <d v="2026-08-27T00:00:00"/>
    <n v="250.39"/>
    <n v="101.35"/>
    <n v="91.22"/>
    <n v="10.130000000000001"/>
    <s v="Paid"/>
    <s v=""/>
    <d v="2026-09-10T00:00:00"/>
    <d v="2026-09-10T00:00:00"/>
    <n v="62"/>
    <n v="0.36"/>
    <n v="89.28"/>
    <n v="-12.069999999999993"/>
    <x v="0"/>
    <x v="1"/>
    <x v="4"/>
  </r>
  <r>
    <s v="CLM103038"/>
    <s v="PT13499"/>
    <s v="P02"/>
    <x v="1"/>
    <x v="5"/>
    <n v="1"/>
    <d v="2026-09-18T00:00:00"/>
    <d v="2026-09-20T00:00:00"/>
    <n v="4670.91"/>
    <m/>
    <m/>
    <m/>
    <s v="Pending"/>
    <s v=""/>
    <m/>
    <m/>
    <n v="4800"/>
    <n v="0.43"/>
    <n v="2064"/>
    <s v=""/>
    <x v="2"/>
    <x v="6"/>
    <x v="8"/>
  </r>
  <r>
    <s v="CLM103039"/>
    <s v="PT11132"/>
    <s v="P05"/>
    <x v="1"/>
    <x v="4"/>
    <n v="1"/>
    <d v="2026-08-03T00:00:00"/>
    <d v="2026-08-06T00:00:00"/>
    <n v="38.49"/>
    <n v="13.73"/>
    <n v="12.36"/>
    <n v="1.37"/>
    <s v="Paid"/>
    <s v=""/>
    <d v="2026-08-16T00:00:00"/>
    <d v="2026-08-16T00:00:00"/>
    <n v="38"/>
    <n v="0.38"/>
    <n v="14.44"/>
    <n v="0.70999999999999908"/>
    <x v="0"/>
    <x v="0"/>
    <x v="4"/>
  </r>
  <r>
    <s v="CLM103040"/>
    <s v="PT12431"/>
    <s v="P02"/>
    <x v="1"/>
    <x v="11"/>
    <n v="1"/>
    <d v="2025-11-03T00:00:00"/>
    <d v="2025-11-10T00:00:00"/>
    <n v="1145.6400000000001"/>
    <n v="503.87"/>
    <n v="503.87"/>
    <n v="0"/>
    <s v="Paid"/>
    <s v=""/>
    <d v="2025-12-18T00:00:00"/>
    <d v="2025-12-18T00:00:00"/>
    <n v="1150"/>
    <n v="0.43"/>
    <n v="494.5"/>
    <n v="-9.3700000000000045"/>
    <x v="0"/>
    <x v="6"/>
    <x v="3"/>
  </r>
  <r>
    <s v="CLM103042"/>
    <s v="PT10785"/>
    <s v="P01"/>
    <x v="1"/>
    <x v="7"/>
    <n v="1"/>
    <d v="2026-09-02T00:00:00"/>
    <d v="2026-09-06T00:00:00"/>
    <n v="205"/>
    <m/>
    <m/>
    <m/>
    <s v="Pending"/>
    <s v=""/>
    <m/>
    <m/>
    <n v="210"/>
    <n v="0.45"/>
    <n v="94.5"/>
    <s v=""/>
    <x v="2"/>
    <x v="5"/>
    <x v="8"/>
  </r>
  <r>
    <s v="CLM103043"/>
    <s v="PT10951"/>
    <s v="P01"/>
    <x v="2"/>
    <x v="0"/>
    <n v="1"/>
    <d v="2026-05-24T00:00:00"/>
    <d v="2026-08-29T00:00:00"/>
    <n v="145.43"/>
    <m/>
    <m/>
    <m/>
    <s v="Pending"/>
    <s v=""/>
    <m/>
    <m/>
    <n v="145"/>
    <n v="0.45"/>
    <n v="65.25"/>
    <s v=""/>
    <x v="2"/>
    <x v="5"/>
    <x v="7"/>
  </r>
  <r>
    <s v="CLM103044"/>
    <s v="PT12762"/>
    <s v="P05"/>
    <x v="0"/>
    <x v="4"/>
    <n v="1"/>
    <d v="2026-01-27T00:00:00"/>
    <d v="2026-01-31T00:00:00"/>
    <n v="37.04"/>
    <n v="13"/>
    <n v="13"/>
    <n v="0"/>
    <s v="Paid"/>
    <s v=""/>
    <d v="2026-04-03T00:00:00"/>
    <d v="2026-04-03T00:00:00"/>
    <n v="38"/>
    <n v="0.38"/>
    <n v="14.44"/>
    <n v="1.4399999999999995"/>
    <x v="1"/>
    <x v="0"/>
    <x v="5"/>
  </r>
  <r>
    <s v="CLM103045"/>
    <s v="PT12030"/>
    <s v="P02"/>
    <x v="1"/>
    <x v="7"/>
    <n v="1"/>
    <d v="2026-03-09T00:00:00"/>
    <d v="2026-03-15T00:00:00"/>
    <n v="212.61"/>
    <n v="99.8"/>
    <n v="99.8"/>
    <n v="0"/>
    <s v="Paid"/>
    <s v=""/>
    <d v="2026-04-02T00:00:00"/>
    <d v="2026-04-02T00:00:00"/>
    <n v="210"/>
    <n v="0.43"/>
    <n v="90.3"/>
    <n v="-9.5"/>
    <x v="0"/>
    <x v="6"/>
    <x v="2"/>
  </r>
  <r>
    <s v="CLM103046"/>
    <s v="PT10810"/>
    <s v="P05"/>
    <x v="0"/>
    <x v="0"/>
    <n v="1"/>
    <d v="2026-07-10T00:00:00"/>
    <d v="2026-07-20T00:00:00"/>
    <n v="148.63999999999999"/>
    <n v="59.66"/>
    <n v="47.73"/>
    <n v="11.93"/>
    <s v="Paid"/>
    <s v=""/>
    <d v="2026-08-19T00:00:00"/>
    <d v="2026-08-19T00:00:00"/>
    <n v="145"/>
    <n v="0.38"/>
    <n v="55.1"/>
    <n v="-4.5599999999999952"/>
    <x v="0"/>
    <x v="0"/>
    <x v="1"/>
  </r>
  <r>
    <s v="CLM103047"/>
    <s v="PT13325"/>
    <s v="P02"/>
    <x v="3"/>
    <x v="6"/>
    <n v="1"/>
    <d v="2026-05-02T00:00:00"/>
    <d v="2026-05-05T00:00:00"/>
    <n v="425.15"/>
    <n v="166.92"/>
    <n v="166.92"/>
    <n v="0"/>
    <s v="Paid"/>
    <s v=""/>
    <d v="2026-05-26T00:00:00"/>
    <d v="2026-05-26T00:00:00"/>
    <n v="420"/>
    <n v="0.43"/>
    <n v="180.6"/>
    <n v="13.680000000000007"/>
    <x v="1"/>
    <x v="6"/>
    <x v="7"/>
  </r>
  <r>
    <s v="CLM103048"/>
    <s v="PT12386"/>
    <s v="P02"/>
    <x v="1"/>
    <x v="1"/>
    <n v="1"/>
    <d v="2026-08-09T00:00:00"/>
    <d v="2026-08-11T00:00:00"/>
    <n v="244.05"/>
    <n v="99.75"/>
    <n v="89.77"/>
    <n v="9.98"/>
    <s v="Paid"/>
    <s v=""/>
    <d v="2026-09-11T00:00:00"/>
    <d v="2026-09-11T00:00:00"/>
    <n v="240"/>
    <n v="0.43"/>
    <n v="103.2"/>
    <n v="3.4500000000000028"/>
    <x v="0"/>
    <x v="6"/>
    <x v="4"/>
  </r>
  <r>
    <s v="CLM103049"/>
    <s v="PT12383"/>
    <s v="P01"/>
    <x v="1"/>
    <x v="8"/>
    <n v="1"/>
    <d v="2026-01-05T00:00:00"/>
    <d v="2026-01-11T00:00:00"/>
    <n v="263.24"/>
    <n v="112.97"/>
    <n v="112.97"/>
    <n v="0"/>
    <s v="Paid"/>
    <s v=""/>
    <d v="2026-02-02T00:00:00"/>
    <d v="2026-02-02T00:00:00"/>
    <n v="260"/>
    <n v="0.45"/>
    <n v="117"/>
    <n v="4.0300000000000011"/>
    <x v="0"/>
    <x v="5"/>
    <x v="5"/>
  </r>
  <r>
    <s v="CLM103050"/>
    <s v="PT13304"/>
    <s v="P01"/>
    <x v="0"/>
    <x v="8"/>
    <n v="1"/>
    <d v="2026-09-26T00:00:00"/>
    <d v="2026-09-27T00:00:00"/>
    <n v="266.61"/>
    <m/>
    <m/>
    <m/>
    <s v="Pending"/>
    <s v=""/>
    <m/>
    <m/>
    <n v="260"/>
    <n v="0.45"/>
    <n v="117"/>
    <s v=""/>
    <x v="2"/>
    <x v="5"/>
    <x v="8"/>
  </r>
  <r>
    <s v="CLM103051"/>
    <s v="PT10583"/>
    <s v="P02"/>
    <x v="2"/>
    <x v="2"/>
    <n v="4"/>
    <d v="2026-04-01T00:00:00"/>
    <d v="2026-04-13T00:00:00"/>
    <n v="249.57"/>
    <m/>
    <m/>
    <m/>
    <s v="Denied"/>
    <s v="CO-16"/>
    <d v="2026-05-26T00:00:00"/>
    <m/>
    <n v="62"/>
    <n v="0.43"/>
    <n v="106.64"/>
    <s v=""/>
    <x v="2"/>
    <x v="6"/>
    <x v="10"/>
  </r>
  <r>
    <s v="CLM103052"/>
    <s v="PT13245"/>
    <s v="P07"/>
    <x v="2"/>
    <x v="9"/>
    <n v="4"/>
    <d v="2025-10-21T00:00:00"/>
    <d v="2025-11-03T00:00:00"/>
    <n v="227.81"/>
    <m/>
    <m/>
    <m/>
    <s v="Denied"/>
    <s v="CO-18"/>
    <d v="2025-12-14T00:00:00"/>
    <m/>
    <n v="58"/>
    <n v="0.28000000000000003"/>
    <n v="64.959999999999994"/>
    <s v=""/>
    <x v="2"/>
    <x v="3"/>
    <x v="9"/>
  </r>
  <r>
    <s v="CLM103053"/>
    <s v="PT10569"/>
    <s v="P05"/>
    <x v="2"/>
    <x v="0"/>
    <n v="1"/>
    <d v="2026-01-26T00:00:00"/>
    <d v="2026-02-03T00:00:00"/>
    <n v="143.72"/>
    <n v="60.99"/>
    <n v="54.89"/>
    <n v="6.1"/>
    <s v="Paid"/>
    <s v=""/>
    <d v="2026-03-25T00:00:00"/>
    <d v="2026-03-25T00:00:00"/>
    <n v="145"/>
    <n v="0.38"/>
    <n v="55.1"/>
    <n v="-5.8900000000000006"/>
    <x v="0"/>
    <x v="0"/>
    <x v="5"/>
  </r>
  <r>
    <s v="CLM103054"/>
    <s v="PT12483"/>
    <s v="P01"/>
    <x v="2"/>
    <x v="2"/>
    <n v="2"/>
    <d v="2025-12-22T00:00:00"/>
    <d v="2026-01-03T00:00:00"/>
    <n v="125.85"/>
    <n v="56.6"/>
    <n v="50.94"/>
    <n v="5.66"/>
    <s v="Paid"/>
    <s v=""/>
    <d v="2026-02-01T00:00:00"/>
    <d v="2026-02-01T00:00:00"/>
    <n v="62"/>
    <n v="0.45"/>
    <n v="55.8"/>
    <n v="-0.80000000000000426"/>
    <x v="0"/>
    <x v="5"/>
    <x v="6"/>
  </r>
  <r>
    <s v="CLM103055"/>
    <s v="PT13200"/>
    <s v="P02"/>
    <x v="2"/>
    <x v="2"/>
    <n v="1"/>
    <d v="2025-11-23T00:00:00"/>
    <d v="2025-11-26T00:00:00"/>
    <n v="63.85"/>
    <n v="29.98"/>
    <n v="26.98"/>
    <n v="3"/>
    <s v="Paid"/>
    <s v=""/>
    <d v="2025-12-24T00:00:00"/>
    <d v="2025-12-24T00:00:00"/>
    <n v="62"/>
    <n v="0.43"/>
    <n v="26.66"/>
    <n v="-3.3200000000000003"/>
    <x v="0"/>
    <x v="6"/>
    <x v="3"/>
  </r>
  <r>
    <s v="CLM103056"/>
    <s v="PT10379"/>
    <s v="P05"/>
    <x v="2"/>
    <x v="9"/>
    <n v="1"/>
    <d v="2025-10-14T00:00:00"/>
    <d v="2026-01-18T00:00:00"/>
    <n v="57.08"/>
    <m/>
    <m/>
    <m/>
    <s v="Denied"/>
    <s v="CO-29"/>
    <d v="2026-02-24T00:00:00"/>
    <m/>
    <n v="58"/>
    <n v="0.38"/>
    <n v="22.04"/>
    <s v=""/>
    <x v="2"/>
    <x v="0"/>
    <x v="9"/>
  </r>
  <r>
    <s v="CLM103057"/>
    <s v="PT12120"/>
    <s v="P01"/>
    <x v="3"/>
    <x v="3"/>
    <n v="10"/>
    <d v="2026-06-14T00:00:00"/>
    <d v="2026-06-19T00:00:00"/>
    <n v="14329.96"/>
    <m/>
    <m/>
    <m/>
    <s v="Denied"/>
    <s v="CO-197"/>
    <d v="2026-07-14T00:00:00"/>
    <m/>
    <n v="1450"/>
    <n v="0.45"/>
    <n v="6525"/>
    <s v=""/>
    <x v="2"/>
    <x v="5"/>
    <x v="11"/>
  </r>
  <r>
    <s v="CLM103058"/>
    <s v="PT10858"/>
    <s v="P04"/>
    <x v="0"/>
    <x v="4"/>
    <n v="1"/>
    <d v="2026-08-20T00:00:00"/>
    <d v="2026-08-26T00:00:00"/>
    <n v="37.299999999999997"/>
    <n v="13.87"/>
    <n v="13.87"/>
    <n v="0"/>
    <s v="Paid"/>
    <s v=""/>
    <d v="2026-09-01T00:00:00"/>
    <d v="2026-09-01T00:00:00"/>
    <n v="38"/>
    <n v="0.36"/>
    <n v="13.68"/>
    <n v="-0.1899999999999995"/>
    <x v="0"/>
    <x v="1"/>
    <x v="4"/>
  </r>
  <r>
    <s v="CLM103059"/>
    <s v="PT10531"/>
    <s v="P02"/>
    <x v="3"/>
    <x v="3"/>
    <n v="20"/>
    <d v="2026-08-26T00:00:00"/>
    <d v="2026-08-28T00:00:00"/>
    <n v="29285.87"/>
    <m/>
    <m/>
    <m/>
    <s v="Pending"/>
    <s v=""/>
    <m/>
    <m/>
    <n v="1450"/>
    <n v="0.43"/>
    <n v="12470"/>
    <s v=""/>
    <x v="2"/>
    <x v="6"/>
    <x v="4"/>
  </r>
  <r>
    <s v="CLM103060"/>
    <s v="PT10960"/>
    <s v="P02"/>
    <x v="1"/>
    <x v="10"/>
    <n v="1"/>
    <d v="2025-10-24T00:00:00"/>
    <d v="2025-10-26T00:00:00"/>
    <n v="1069.2"/>
    <n v="395.31"/>
    <n v="395.31"/>
    <n v="0"/>
    <s v="Paid"/>
    <s v=""/>
    <d v="2025-11-23T00:00:00"/>
    <d v="2025-11-23T00:00:00"/>
    <n v="1050"/>
    <n v="0.43"/>
    <n v="451.5"/>
    <n v="56.19"/>
    <x v="1"/>
    <x v="6"/>
    <x v="9"/>
  </r>
  <r>
    <s v="CLM103061"/>
    <s v="PT10601"/>
    <s v="P08"/>
    <x v="1"/>
    <x v="11"/>
    <n v="1"/>
    <d v="2026-05-22T00:00:00"/>
    <d v="2026-05-23T00:00:00"/>
    <n v="1154.9100000000001"/>
    <n v="1154.9100000000001"/>
    <n v="1154.9100000000001"/>
    <n v="0"/>
    <s v="Paid"/>
    <s v=""/>
    <d v="2026-07-29T00:00:00"/>
    <d v="2026-07-29T00:00:00"/>
    <n v="1150"/>
    <n v="1"/>
    <n v="1150"/>
    <n v="-4.9100000000000819"/>
    <x v="0"/>
    <x v="7"/>
    <x v="7"/>
  </r>
  <r>
    <s v="CLM103062"/>
    <s v="PT13199"/>
    <s v="P05"/>
    <x v="3"/>
    <x v="3"/>
    <n v="20"/>
    <d v="2026-08-02T00:00:00"/>
    <d v="2026-08-10T00:00:00"/>
    <n v="28866.48"/>
    <m/>
    <m/>
    <m/>
    <s v="Pending"/>
    <s v=""/>
    <m/>
    <m/>
    <n v="1450"/>
    <n v="0.38"/>
    <n v="11020"/>
    <s v=""/>
    <x v="2"/>
    <x v="0"/>
    <x v="4"/>
  </r>
  <r>
    <s v="CLM103063"/>
    <s v="PT12011"/>
    <s v="P06"/>
    <x v="1"/>
    <x v="1"/>
    <n v="1"/>
    <d v="2026-08-04T00:00:00"/>
    <d v="2026-08-08T00:00:00"/>
    <n v="245.63"/>
    <n v="66.25"/>
    <n v="53"/>
    <n v="13.25"/>
    <s v="Paid"/>
    <s v=""/>
    <d v="2026-09-22T00:00:00"/>
    <d v="2026-09-22T00:00:00"/>
    <n v="240"/>
    <n v="0.27"/>
    <n v="64.8"/>
    <n v="-1.4500000000000028"/>
    <x v="0"/>
    <x v="2"/>
    <x v="4"/>
  </r>
  <r>
    <s v="CLM103064"/>
    <s v="PT12517"/>
    <s v="P07"/>
    <x v="0"/>
    <x v="4"/>
    <n v="1"/>
    <d v="2025-11-02T00:00:00"/>
    <d v="2025-11-05T00:00:00"/>
    <n v="37.36"/>
    <n v="9.2200000000000006"/>
    <n v="9.2200000000000006"/>
    <n v="0"/>
    <s v="Paid"/>
    <s v=""/>
    <d v="2026-01-10T00:00:00"/>
    <d v="2026-01-10T00:00:00"/>
    <n v="38"/>
    <n v="0.28000000000000003"/>
    <n v="10.64"/>
    <n v="1.42"/>
    <x v="1"/>
    <x v="3"/>
    <x v="3"/>
  </r>
  <r>
    <s v="CLM103065"/>
    <s v="PT11399"/>
    <s v="P01"/>
    <x v="0"/>
    <x v="7"/>
    <n v="1"/>
    <d v="2026-06-17T00:00:00"/>
    <d v="2026-06-18T00:00:00"/>
    <n v="209.7"/>
    <n v="96.92"/>
    <n v="87.23"/>
    <n v="9.69"/>
    <s v="Paid"/>
    <s v=""/>
    <d v="2026-07-26T00:00:00"/>
    <d v="2026-07-26T00:00:00"/>
    <n v="210"/>
    <n v="0.45"/>
    <n v="94.5"/>
    <n v="-2.4200000000000017"/>
    <x v="0"/>
    <x v="5"/>
    <x v="11"/>
  </r>
  <r>
    <s v="CLM103066"/>
    <s v="PT12042"/>
    <s v="P07"/>
    <x v="3"/>
    <x v="6"/>
    <n v="1"/>
    <d v="2025-11-13T00:00:00"/>
    <d v="2025-11-20T00:00:00"/>
    <n v="423.66"/>
    <n v="108.03"/>
    <n v="108.03"/>
    <n v="0"/>
    <s v="Paid"/>
    <s v=""/>
    <d v="2026-02-06T00:00:00"/>
    <d v="2026-02-06T00:00:00"/>
    <n v="420"/>
    <n v="0.28000000000000003"/>
    <n v="117.6"/>
    <n v="9.5699999999999932"/>
    <x v="1"/>
    <x v="3"/>
    <x v="3"/>
  </r>
  <r>
    <s v="CLM103067"/>
    <s v="PT13296"/>
    <s v="P04"/>
    <x v="2"/>
    <x v="0"/>
    <n v="1"/>
    <d v="2026-03-09T00:00:00"/>
    <d v="2026-03-10T00:00:00"/>
    <n v="146.97999999999999"/>
    <n v="50.41"/>
    <n v="40.33"/>
    <n v="10.08"/>
    <s v="Paid"/>
    <s v=""/>
    <d v="2026-04-01T00:00:00"/>
    <d v="2026-04-01T00:00:00"/>
    <n v="145"/>
    <n v="0.36"/>
    <n v="52.2"/>
    <n v="1.7900000000000063"/>
    <x v="0"/>
    <x v="1"/>
    <x v="2"/>
  </r>
  <r>
    <s v="CLM103068"/>
    <s v="PT11142"/>
    <s v="P04"/>
    <x v="1"/>
    <x v="11"/>
    <n v="1"/>
    <d v="2026-07-19T00:00:00"/>
    <d v="2026-08-05T00:00:00"/>
    <n v="1122.82"/>
    <n v="371.32"/>
    <n v="334.19"/>
    <n v="37.130000000000003"/>
    <s v="Paid"/>
    <s v=""/>
    <d v="2026-08-20T00:00:00"/>
    <d v="2026-08-20T00:00:00"/>
    <n v="1150"/>
    <n v="0.36"/>
    <n v="414"/>
    <n v="42.680000000000007"/>
    <x v="1"/>
    <x v="1"/>
    <x v="1"/>
  </r>
  <r>
    <s v="CLM103069"/>
    <s v="PT10933"/>
    <s v="P01"/>
    <x v="2"/>
    <x v="0"/>
    <n v="1"/>
    <d v="2026-01-29T00:00:00"/>
    <d v="2026-02-01T00:00:00"/>
    <n v="145.72999999999999"/>
    <n v="56.01"/>
    <n v="44.81"/>
    <n v="11.2"/>
    <s v="Paid"/>
    <s v=""/>
    <d v="2026-03-03T00:00:00"/>
    <d v="2026-03-03T00:00:00"/>
    <n v="145"/>
    <n v="0.45"/>
    <n v="65.25"/>
    <n v="9.240000000000002"/>
    <x v="1"/>
    <x v="5"/>
    <x v="5"/>
  </r>
  <r>
    <s v="CLM103070"/>
    <s v="PT10761"/>
    <s v="P07"/>
    <x v="0"/>
    <x v="4"/>
    <n v="1"/>
    <d v="2025-10-05T00:00:00"/>
    <d v="2025-10-06T00:00:00"/>
    <n v="37.18"/>
    <n v="10.81"/>
    <n v="9.73"/>
    <n v="1.08"/>
    <s v="Paid"/>
    <s v=""/>
    <d v="2025-12-07T00:00:00"/>
    <d v="2025-12-07T00:00:00"/>
    <n v="38"/>
    <n v="0.28000000000000003"/>
    <n v="10.64"/>
    <n v="-0.16999999999999993"/>
    <x v="0"/>
    <x v="3"/>
    <x v="9"/>
  </r>
  <r>
    <s v="CLM103071"/>
    <s v="PT13110"/>
    <s v="P02"/>
    <x v="1"/>
    <x v="11"/>
    <n v="1"/>
    <d v="2026-08-29T00:00:00"/>
    <d v="2026-08-31T00:00:00"/>
    <n v="1139.53"/>
    <m/>
    <m/>
    <m/>
    <s v="Denied"/>
    <s v="CO-197"/>
    <d v="2026-09-25T00:00:00"/>
    <m/>
    <n v="1150"/>
    <n v="0.43"/>
    <n v="494.5"/>
    <s v=""/>
    <x v="2"/>
    <x v="6"/>
    <x v="4"/>
  </r>
  <r>
    <s v="CLM103073"/>
    <s v="PT11135"/>
    <s v="P04"/>
    <x v="0"/>
    <x v="7"/>
    <n v="1"/>
    <d v="2025-12-09T00:00:00"/>
    <d v="2025-12-16T00:00:00"/>
    <n v="215.98"/>
    <n v="66.41"/>
    <n v="66.41"/>
    <n v="0"/>
    <s v="Paid"/>
    <s v=""/>
    <d v="2026-01-12T00:00:00"/>
    <d v="2026-01-12T00:00:00"/>
    <n v="210"/>
    <n v="0.36"/>
    <n v="75.599999999999994"/>
    <n v="9.1899999999999977"/>
    <x v="1"/>
    <x v="1"/>
    <x v="6"/>
  </r>
  <r>
    <s v="CLM103074"/>
    <s v="PT12818"/>
    <s v="P04"/>
    <x v="1"/>
    <x v="5"/>
    <n v="1"/>
    <d v="2026-06-11T00:00:00"/>
    <d v="2026-06-12T00:00:00"/>
    <n v="4874.83"/>
    <m/>
    <m/>
    <m/>
    <s v="Denied"/>
    <s v="CO-197"/>
    <d v="2026-07-02T00:00:00"/>
    <m/>
    <n v="4800"/>
    <n v="0.36"/>
    <n v="1728"/>
    <s v=""/>
    <x v="2"/>
    <x v="1"/>
    <x v="11"/>
  </r>
  <r>
    <s v="CLM103075"/>
    <s v="PT13152"/>
    <s v="P01"/>
    <x v="2"/>
    <x v="9"/>
    <n v="4"/>
    <d v="2025-10-12T00:00:00"/>
    <d v="2025-10-16T00:00:00"/>
    <n v="238.76"/>
    <m/>
    <m/>
    <m/>
    <s v="Denied"/>
    <s v="CO-27"/>
    <d v="2025-11-18T00:00:00"/>
    <m/>
    <n v="58"/>
    <n v="0.45"/>
    <n v="104.4"/>
    <s v=""/>
    <x v="2"/>
    <x v="5"/>
    <x v="9"/>
  </r>
  <r>
    <s v="CLM103076"/>
    <s v="PT10945"/>
    <s v="P03"/>
    <x v="0"/>
    <x v="4"/>
    <n v="1"/>
    <d v="2025-11-28T00:00:00"/>
    <d v="2025-12-14T00:00:00"/>
    <n v="38.700000000000003"/>
    <n v="18.09"/>
    <n v="18.09"/>
    <n v="0"/>
    <s v="Paid"/>
    <s v=""/>
    <d v="2026-02-08T00:00:00"/>
    <d v="2026-02-08T00:00:00"/>
    <n v="38"/>
    <n v="0.47"/>
    <n v="17.86"/>
    <n v="-0.23000000000000043"/>
    <x v="0"/>
    <x v="4"/>
    <x v="3"/>
  </r>
  <r>
    <s v="CLM103077"/>
    <s v="PT12700"/>
    <s v="P03"/>
    <x v="1"/>
    <x v="11"/>
    <n v="1"/>
    <d v="2025-10-25T00:00:00"/>
    <d v="2025-10-30T00:00:00"/>
    <n v="1163.31"/>
    <m/>
    <m/>
    <m/>
    <s v="Denied"/>
    <s v="CO-16"/>
    <d v="2025-12-31T00:00:00"/>
    <m/>
    <n v="1150"/>
    <n v="0.47"/>
    <n v="540.5"/>
    <s v=""/>
    <x v="2"/>
    <x v="4"/>
    <x v="9"/>
  </r>
  <r>
    <s v="CLM103078"/>
    <s v="PT13268"/>
    <s v="P07"/>
    <x v="2"/>
    <x v="0"/>
    <n v="1"/>
    <d v="2026-08-04T00:00:00"/>
    <d v="2026-08-09T00:00:00"/>
    <n v="147.71"/>
    <m/>
    <m/>
    <m/>
    <s v="Pending"/>
    <s v=""/>
    <m/>
    <m/>
    <n v="145"/>
    <n v="0.28000000000000003"/>
    <n v="40.6"/>
    <s v=""/>
    <x v="2"/>
    <x v="3"/>
    <x v="4"/>
  </r>
  <r>
    <s v="CLM103079"/>
    <s v="PT10658"/>
    <s v="P08"/>
    <x v="2"/>
    <x v="0"/>
    <n v="1"/>
    <d v="2026-05-26T00:00:00"/>
    <d v="2026-05-30T00:00:00"/>
    <n v="144.5"/>
    <n v="144.5"/>
    <n v="144.5"/>
    <n v="0"/>
    <s v="Paid"/>
    <s v=""/>
    <d v="2026-07-28T00:00:00"/>
    <d v="2026-07-28T00:00:00"/>
    <n v="145"/>
    <n v="1"/>
    <n v="145"/>
    <n v="0.5"/>
    <x v="0"/>
    <x v="7"/>
    <x v="7"/>
  </r>
  <r>
    <s v="CLM103080"/>
    <s v="PT13144"/>
    <s v="P02"/>
    <x v="1"/>
    <x v="8"/>
    <n v="1"/>
    <d v="2026-06-28T00:00:00"/>
    <d v="2026-07-09T00:00:00"/>
    <n v="254.09"/>
    <n v="93.73"/>
    <n v="74.98"/>
    <n v="18.75"/>
    <s v="Paid"/>
    <s v=""/>
    <d v="2026-08-06T00:00:00"/>
    <d v="2026-08-06T00:00:00"/>
    <n v="260"/>
    <n v="0.43"/>
    <n v="111.8"/>
    <n v="18.069999999999993"/>
    <x v="1"/>
    <x v="6"/>
    <x v="11"/>
  </r>
  <r>
    <s v="CLM103081"/>
    <s v="PT13345"/>
    <s v="P01"/>
    <x v="2"/>
    <x v="2"/>
    <n v="1"/>
    <d v="2025-11-12T00:00:00"/>
    <d v="2025-11-17T00:00:00"/>
    <n v="63.57"/>
    <m/>
    <m/>
    <m/>
    <s v="Denied"/>
    <s v="CO-11"/>
    <d v="2025-12-12T00:00:00"/>
    <m/>
    <n v="62"/>
    <n v="0.45"/>
    <n v="27.9"/>
    <s v=""/>
    <x v="2"/>
    <x v="5"/>
    <x v="3"/>
  </r>
  <r>
    <s v="CLM103082"/>
    <s v="PT10860"/>
    <s v="P05"/>
    <x v="0"/>
    <x v="7"/>
    <n v="1"/>
    <d v="2025-12-19T00:00:00"/>
    <d v="2025-12-21T00:00:00"/>
    <n v="208.16"/>
    <n v="74.569999999999993"/>
    <n v="67.11"/>
    <n v="7.46"/>
    <s v="Paid"/>
    <s v=""/>
    <d v="2026-02-15T00:00:00"/>
    <d v="2026-02-15T00:00:00"/>
    <n v="210"/>
    <n v="0.38"/>
    <n v="79.8"/>
    <n v="5.230000000000004"/>
    <x v="1"/>
    <x v="0"/>
    <x v="6"/>
  </r>
  <r>
    <s v="CLM103083"/>
    <s v="PT10110"/>
    <s v="P01"/>
    <x v="0"/>
    <x v="8"/>
    <n v="1"/>
    <d v="2026-08-29T00:00:00"/>
    <d v="2026-08-30T00:00:00"/>
    <n v="262.68"/>
    <m/>
    <m/>
    <m/>
    <s v="Pending"/>
    <s v=""/>
    <m/>
    <m/>
    <n v="260"/>
    <n v="0.45"/>
    <n v="117"/>
    <s v=""/>
    <x v="2"/>
    <x v="5"/>
    <x v="4"/>
  </r>
  <r>
    <s v="CLM103084"/>
    <s v="PT11476"/>
    <s v="P02"/>
    <x v="3"/>
    <x v="3"/>
    <n v="5"/>
    <d v="2026-06-08T00:00:00"/>
    <d v="2026-06-11T00:00:00"/>
    <n v="7140.31"/>
    <n v="2627.75"/>
    <n v="2627.75"/>
    <n v="0"/>
    <s v="Paid"/>
    <s v=""/>
    <d v="2026-07-18T00:00:00"/>
    <d v="2026-07-18T00:00:00"/>
    <n v="1450"/>
    <n v="0.43"/>
    <n v="3117.5"/>
    <n v="489.75"/>
    <x v="1"/>
    <x v="6"/>
    <x v="11"/>
  </r>
  <r>
    <s v="CLM103085"/>
    <s v="PT11497"/>
    <s v="P01"/>
    <x v="2"/>
    <x v="2"/>
    <n v="1"/>
    <d v="2026-09-11T00:00:00"/>
    <d v="2026-09-16T00:00:00"/>
    <n v="61.12"/>
    <m/>
    <m/>
    <m/>
    <s v="Pending"/>
    <s v=""/>
    <m/>
    <m/>
    <n v="62"/>
    <n v="0.45"/>
    <n v="27.9"/>
    <s v=""/>
    <x v="2"/>
    <x v="5"/>
    <x v="8"/>
  </r>
  <r>
    <s v="CLM103086"/>
    <s v="PT12736"/>
    <s v="P02"/>
    <x v="2"/>
    <x v="0"/>
    <n v="1"/>
    <d v="2025-12-09T00:00:00"/>
    <d v="2025-12-12T00:00:00"/>
    <n v="143.4"/>
    <n v="70.14"/>
    <n v="63.13"/>
    <n v="7.01"/>
    <s v="Paid"/>
    <s v=""/>
    <d v="2026-01-07T00:00:00"/>
    <d v="2026-01-07T00:00:00"/>
    <n v="145"/>
    <n v="0.43"/>
    <n v="62.35"/>
    <n v="-7.7899999999999991"/>
    <x v="0"/>
    <x v="6"/>
    <x v="6"/>
  </r>
  <r>
    <s v="CLM103087"/>
    <s v="PT10858"/>
    <s v="P05"/>
    <x v="3"/>
    <x v="7"/>
    <n v="1"/>
    <d v="2026-03-09T00:00:00"/>
    <d v="2026-03-10T00:00:00"/>
    <n v="207.1"/>
    <n v="68.989999999999995"/>
    <n v="62.09"/>
    <n v="6.9"/>
    <s v="Paid"/>
    <s v=""/>
    <d v="2026-04-26T00:00:00"/>
    <d v="2026-04-26T00:00:00"/>
    <n v="210"/>
    <n v="0.38"/>
    <n v="79.8"/>
    <n v="10.810000000000002"/>
    <x v="1"/>
    <x v="0"/>
    <x v="2"/>
  </r>
  <r>
    <s v="CLM103088"/>
    <s v="PT11104"/>
    <s v="P04"/>
    <x v="0"/>
    <x v="8"/>
    <n v="1"/>
    <d v="2025-12-18T00:00:00"/>
    <d v="2025-12-19T00:00:00"/>
    <n v="258.45999999999998"/>
    <n v="89.25"/>
    <n v="89.25"/>
    <n v="0"/>
    <s v="Paid"/>
    <s v=""/>
    <d v="2026-01-15T00:00:00"/>
    <d v="2026-01-15T00:00:00"/>
    <n v="260"/>
    <n v="0.36"/>
    <n v="93.6"/>
    <n v="4.3499999999999943"/>
    <x v="0"/>
    <x v="1"/>
    <x v="6"/>
  </r>
  <r>
    <s v="CLM103089"/>
    <s v="PT10229"/>
    <s v="P06"/>
    <x v="2"/>
    <x v="0"/>
    <n v="1"/>
    <d v="2026-09-02T00:00:00"/>
    <d v="2026-09-03T00:00:00"/>
    <n v="143.36000000000001"/>
    <m/>
    <m/>
    <m/>
    <s v="Pending"/>
    <s v=""/>
    <m/>
    <m/>
    <n v="145"/>
    <n v="0.27"/>
    <n v="39.15"/>
    <s v=""/>
    <x v="2"/>
    <x v="2"/>
    <x v="8"/>
  </r>
  <r>
    <s v="CLM103090"/>
    <s v="PT10114"/>
    <s v="P05"/>
    <x v="3"/>
    <x v="7"/>
    <n v="1"/>
    <d v="2026-08-18T00:00:00"/>
    <d v="2026-08-23T00:00:00"/>
    <n v="207.9"/>
    <m/>
    <m/>
    <m/>
    <s v="Pending"/>
    <s v=""/>
    <m/>
    <m/>
    <n v="210"/>
    <n v="0.38"/>
    <n v="79.8"/>
    <s v=""/>
    <x v="2"/>
    <x v="0"/>
    <x v="4"/>
  </r>
  <r>
    <s v="CLM103091"/>
    <s v="PT10538"/>
    <s v="P02"/>
    <x v="2"/>
    <x v="9"/>
    <n v="4"/>
    <d v="2026-06-12T00:00:00"/>
    <d v="2026-06-13T00:00:00"/>
    <n v="234.31"/>
    <n v="110.18"/>
    <n v="99.16"/>
    <n v="11.02"/>
    <s v="Paid"/>
    <s v=""/>
    <d v="2026-07-18T00:00:00"/>
    <d v="2026-07-18T00:00:00"/>
    <n v="58"/>
    <n v="0.43"/>
    <n v="99.76"/>
    <n v="-10.420000000000002"/>
    <x v="0"/>
    <x v="6"/>
    <x v="11"/>
  </r>
  <r>
    <s v="CLM103092"/>
    <s v="PT11083"/>
    <s v="P05"/>
    <x v="0"/>
    <x v="8"/>
    <n v="1"/>
    <d v="2026-05-31T00:00:00"/>
    <d v="2026-06-03T00:00:00"/>
    <n v="259.88"/>
    <n v="112.08"/>
    <n v="89.66"/>
    <n v="22.42"/>
    <s v="Paid"/>
    <s v=""/>
    <d v="2026-07-11T00:00:00"/>
    <d v="2026-07-11T00:00:00"/>
    <n v="260"/>
    <n v="0.38"/>
    <n v="98.8"/>
    <n v="-13.280000000000001"/>
    <x v="0"/>
    <x v="0"/>
    <x v="7"/>
  </r>
  <r>
    <s v="CLM103093"/>
    <s v="PT12237"/>
    <s v="P01"/>
    <x v="3"/>
    <x v="3"/>
    <n v="20"/>
    <d v="2026-05-07T00:00:00"/>
    <d v="2026-05-08T00:00:00"/>
    <n v="29533.71"/>
    <m/>
    <m/>
    <m/>
    <s v="Denied"/>
    <s v="CO-50"/>
    <d v="2026-06-12T00:00:00"/>
    <m/>
    <n v="1450"/>
    <n v="0.45"/>
    <n v="13050"/>
    <s v=""/>
    <x v="2"/>
    <x v="5"/>
    <x v="7"/>
  </r>
  <r>
    <s v="CLM103094"/>
    <s v="PT10572"/>
    <s v="P03"/>
    <x v="2"/>
    <x v="9"/>
    <n v="3"/>
    <d v="2026-01-25T00:00:00"/>
    <d v="2026-01-30T00:00:00"/>
    <n v="172.45"/>
    <n v="69.33"/>
    <n v="69.33"/>
    <n v="0"/>
    <s v="Paid"/>
    <s v=""/>
    <d v="2026-03-09T00:00:00"/>
    <d v="2026-03-09T00:00:00"/>
    <n v="58"/>
    <n v="0.47"/>
    <n v="81.78"/>
    <n v="12.450000000000003"/>
    <x v="1"/>
    <x v="4"/>
    <x v="5"/>
  </r>
  <r>
    <s v="CLM103095"/>
    <s v="PT13095"/>
    <s v="P02"/>
    <x v="1"/>
    <x v="5"/>
    <n v="1"/>
    <d v="2026-05-28T00:00:00"/>
    <d v="2026-05-30T00:00:00"/>
    <n v="4701.26"/>
    <n v="1918.64"/>
    <n v="1918.64"/>
    <n v="0"/>
    <s v="Paid"/>
    <s v=""/>
    <d v="2026-07-04T00:00:00"/>
    <d v="2026-07-04T00:00:00"/>
    <n v="4800"/>
    <n v="0.43"/>
    <n v="2064"/>
    <n v="145.3599999999999"/>
    <x v="1"/>
    <x v="6"/>
    <x v="7"/>
  </r>
  <r>
    <s v="CLM103096"/>
    <s v="PT11476"/>
    <s v="P01"/>
    <x v="0"/>
    <x v="7"/>
    <n v="1"/>
    <d v="2026-08-20T00:00:00"/>
    <d v="2026-08-23T00:00:00"/>
    <n v="213.06"/>
    <n v="85.24"/>
    <n v="85.24"/>
    <n v="0"/>
    <s v="Paid"/>
    <s v=""/>
    <d v="2026-09-28T00:00:00"/>
    <d v="2026-09-28T00:00:00"/>
    <n v="210"/>
    <n v="0.45"/>
    <n v="94.5"/>
    <n v="9.2600000000000051"/>
    <x v="1"/>
    <x v="5"/>
    <x v="4"/>
  </r>
  <r>
    <s v="CLM103097"/>
    <s v="PT12836"/>
    <s v="P05"/>
    <x v="3"/>
    <x v="3"/>
    <n v="10"/>
    <d v="2026-03-01T00:00:00"/>
    <d v="2026-03-04T00:00:00"/>
    <n v="14173.21"/>
    <m/>
    <m/>
    <m/>
    <s v="Denied"/>
    <s v="CO-197"/>
    <d v="2026-05-06T00:00:00"/>
    <m/>
    <n v="1450"/>
    <n v="0.38"/>
    <n v="5510"/>
    <s v=""/>
    <x v="2"/>
    <x v="0"/>
    <x v="2"/>
  </r>
  <r>
    <s v="CLM103098"/>
    <s v="PT10636"/>
    <s v="P04"/>
    <x v="1"/>
    <x v="4"/>
    <n v="1"/>
    <d v="2026-06-18T00:00:00"/>
    <d v="2026-06-20T00:00:00"/>
    <n v="38.99"/>
    <n v="12.53"/>
    <n v="11.28"/>
    <n v="1.25"/>
    <s v="Paid"/>
    <s v=""/>
    <d v="2026-06-29T00:00:00"/>
    <d v="2026-06-29T00:00:00"/>
    <n v="38"/>
    <n v="0.36"/>
    <n v="13.68"/>
    <n v="1.1500000000000004"/>
    <x v="1"/>
    <x v="1"/>
    <x v="11"/>
  </r>
  <r>
    <s v="CLM103099"/>
    <s v="PT12913"/>
    <s v="P03"/>
    <x v="3"/>
    <x v="3"/>
    <n v="20"/>
    <d v="2026-06-13T00:00:00"/>
    <d v="2026-06-19T00:00:00"/>
    <n v="29121.64"/>
    <n v="15037.55"/>
    <n v="13533.79"/>
    <n v="1503.76"/>
    <s v="Paid"/>
    <s v=""/>
    <d v="2026-07-16T00:00:00"/>
    <d v="2026-07-16T00:00:00"/>
    <n v="1450"/>
    <n v="0.47"/>
    <n v="13630"/>
    <n v="-1407.5499999999993"/>
    <x v="0"/>
    <x v="4"/>
    <x v="11"/>
  </r>
  <r>
    <s v="CLM103100"/>
    <s v="PT12789"/>
    <s v="P05"/>
    <x v="0"/>
    <x v="4"/>
    <n v="1"/>
    <d v="2025-11-29T00:00:00"/>
    <d v="2025-12-05T00:00:00"/>
    <n v="37.26"/>
    <n v="14.22"/>
    <n v="12.8"/>
    <n v="1.42"/>
    <s v="Paid"/>
    <s v=""/>
    <d v="2026-01-10T00:00:00"/>
    <d v="2026-01-10T00:00:00"/>
    <n v="38"/>
    <n v="0.38"/>
    <n v="14.44"/>
    <n v="0.21999999999999886"/>
    <x v="0"/>
    <x v="0"/>
    <x v="3"/>
  </r>
  <r>
    <s v="CLM103101"/>
    <s v="PT12456"/>
    <s v="P06"/>
    <x v="3"/>
    <x v="7"/>
    <n v="1"/>
    <d v="2026-05-13T00:00:00"/>
    <d v="2026-05-17T00:00:00"/>
    <n v="212.89"/>
    <m/>
    <m/>
    <m/>
    <s v="Denied"/>
    <s v="CO-16"/>
    <d v="2026-07-01T00:00:00"/>
    <m/>
    <n v="210"/>
    <n v="0.27"/>
    <n v="56.7"/>
    <s v=""/>
    <x v="2"/>
    <x v="2"/>
    <x v="7"/>
  </r>
  <r>
    <s v="CLM103102"/>
    <s v="PT10165"/>
    <s v="P03"/>
    <x v="0"/>
    <x v="7"/>
    <n v="1"/>
    <d v="2025-11-22T00:00:00"/>
    <d v="2025-12-03T00:00:00"/>
    <n v="209.52"/>
    <n v="84.53"/>
    <n v="76.08"/>
    <n v="8.4499999999999993"/>
    <s v="Paid"/>
    <s v=""/>
    <d v="2026-01-12T00:00:00"/>
    <d v="2026-01-12T00:00:00"/>
    <n v="210"/>
    <n v="0.47"/>
    <n v="98.7"/>
    <n v="14.170000000000002"/>
    <x v="1"/>
    <x v="4"/>
    <x v="3"/>
  </r>
  <r>
    <s v="CLM103103"/>
    <s v="PT10026"/>
    <s v="P02"/>
    <x v="1"/>
    <x v="10"/>
    <n v="1"/>
    <d v="2026-04-06T00:00:00"/>
    <d v="2026-04-07T00:00:00"/>
    <n v="1024.76"/>
    <n v="438.72"/>
    <n v="394.85"/>
    <n v="43.87"/>
    <s v="Paid"/>
    <s v=""/>
    <d v="2026-06-01T00:00:00"/>
    <d v="2026-06-01T00:00:00"/>
    <n v="1050"/>
    <n v="0.43"/>
    <n v="451.5"/>
    <n v="12.779999999999973"/>
    <x v="0"/>
    <x v="6"/>
    <x v="10"/>
  </r>
  <r>
    <s v="CLM103104"/>
    <s v="PT12407"/>
    <s v="P07"/>
    <x v="2"/>
    <x v="0"/>
    <n v="1"/>
    <d v="2025-12-07T00:00:00"/>
    <d v="2026-04-22T00:00:00"/>
    <n v="145.28"/>
    <m/>
    <m/>
    <m/>
    <s v="Denied"/>
    <s v="CO-29"/>
    <d v="2026-06-09T00:00:00"/>
    <m/>
    <n v="145"/>
    <n v="0.28000000000000003"/>
    <n v="40.6"/>
    <s v=""/>
    <x v="2"/>
    <x v="3"/>
    <x v="6"/>
  </r>
  <r>
    <s v="CLM103105"/>
    <s v="PT10938"/>
    <s v="P03"/>
    <x v="0"/>
    <x v="7"/>
    <n v="1"/>
    <d v="2026-05-04T00:00:00"/>
    <d v="2026-05-11T00:00:00"/>
    <n v="209.88"/>
    <m/>
    <m/>
    <m/>
    <s v="Denied"/>
    <s v="CO-4"/>
    <d v="2026-06-22T00:00:00"/>
    <m/>
    <n v="210"/>
    <n v="0.47"/>
    <n v="98.7"/>
    <s v=""/>
    <x v="2"/>
    <x v="4"/>
    <x v="7"/>
  </r>
  <r>
    <s v="CLM103106"/>
    <s v="PT13378"/>
    <s v="P01"/>
    <x v="2"/>
    <x v="9"/>
    <n v="4"/>
    <d v="2025-12-08T00:00:00"/>
    <d v="2025-12-22T00:00:00"/>
    <n v="231.17"/>
    <n v="106.57"/>
    <n v="106.57"/>
    <n v="0"/>
    <s v="Paid"/>
    <s v=""/>
    <d v="2026-02-06T00:00:00"/>
    <d v="2026-02-06T00:00:00"/>
    <n v="58"/>
    <n v="0.45"/>
    <n v="104.4"/>
    <n v="-2.1699999999999875"/>
    <x v="0"/>
    <x v="5"/>
    <x v="6"/>
  </r>
  <r>
    <s v="CLM103107"/>
    <s v="PT12331"/>
    <s v="P01"/>
    <x v="2"/>
    <x v="2"/>
    <n v="2"/>
    <d v="2025-12-10T00:00:00"/>
    <d v="2025-12-13T00:00:00"/>
    <n v="120.29"/>
    <n v="60.77"/>
    <n v="48.62"/>
    <n v="12.15"/>
    <s v="Paid"/>
    <s v=""/>
    <d v="2025-12-26T00:00:00"/>
    <d v="2025-12-26T00:00:00"/>
    <n v="62"/>
    <n v="0.45"/>
    <n v="55.8"/>
    <n v="-4.970000000000006"/>
    <x v="0"/>
    <x v="5"/>
    <x v="6"/>
  </r>
  <r>
    <s v="CLM103108"/>
    <s v="PT10456"/>
    <s v="P01"/>
    <x v="3"/>
    <x v="6"/>
    <n v="1"/>
    <d v="2026-03-25T00:00:00"/>
    <d v="2026-03-28T00:00:00"/>
    <n v="412.86"/>
    <n v="177.49"/>
    <n v="177.49"/>
    <n v="0"/>
    <s v="Paid"/>
    <s v=""/>
    <d v="2026-04-10T00:00:00"/>
    <d v="2026-04-10T00:00:00"/>
    <n v="420"/>
    <n v="0.45"/>
    <n v="189"/>
    <n v="11.509999999999991"/>
    <x v="1"/>
    <x v="5"/>
    <x v="2"/>
  </r>
  <r>
    <s v="CLM103109"/>
    <s v="PT13445"/>
    <s v="P01"/>
    <x v="2"/>
    <x v="9"/>
    <n v="3"/>
    <d v="2026-07-14T00:00:00"/>
    <d v="2026-07-15T00:00:00"/>
    <n v="174.62"/>
    <m/>
    <m/>
    <m/>
    <s v="Denied"/>
    <s v="CO-11"/>
    <d v="2026-08-23T00:00:00"/>
    <m/>
    <n v="58"/>
    <n v="0.45"/>
    <n v="78.3"/>
    <s v=""/>
    <x v="2"/>
    <x v="5"/>
    <x v="1"/>
  </r>
  <r>
    <s v="CLM103110"/>
    <s v="PT10211"/>
    <s v="P04"/>
    <x v="1"/>
    <x v="7"/>
    <n v="1"/>
    <d v="2026-01-07T00:00:00"/>
    <d v="2026-01-09T00:00:00"/>
    <n v="214.9"/>
    <n v="72.819999999999993"/>
    <n v="65.540000000000006"/>
    <n v="7.28"/>
    <s v="Paid"/>
    <s v=""/>
    <d v="2026-01-29T00:00:00"/>
    <d v="2026-01-29T00:00:00"/>
    <n v="210"/>
    <n v="0.36"/>
    <n v="75.599999999999994"/>
    <n v="2.7800000000000011"/>
    <x v="0"/>
    <x v="1"/>
    <x v="5"/>
  </r>
  <r>
    <s v="CLM103111"/>
    <s v="PT10001"/>
    <s v="P05"/>
    <x v="2"/>
    <x v="2"/>
    <n v="4"/>
    <d v="2026-05-21T00:00:00"/>
    <d v="2026-05-23T00:00:00"/>
    <n v="254.14"/>
    <n v="82.9"/>
    <n v="82.9"/>
    <n v="0"/>
    <s v="Paid"/>
    <s v=""/>
    <d v="2026-07-25T00:00:00"/>
    <d v="2026-07-25T00:00:00"/>
    <n v="62"/>
    <n v="0.38"/>
    <n v="94.24"/>
    <n v="11.339999999999989"/>
    <x v="1"/>
    <x v="0"/>
    <x v="7"/>
  </r>
  <r>
    <s v="CLM103112"/>
    <s v="PT12139"/>
    <s v="P01"/>
    <x v="0"/>
    <x v="4"/>
    <n v="1"/>
    <d v="2025-10-15T00:00:00"/>
    <d v="2025-10-19T00:00:00"/>
    <n v="38.14"/>
    <m/>
    <m/>
    <m/>
    <s v="Denied"/>
    <s v="CO-16"/>
    <d v="2025-11-24T00:00:00"/>
    <m/>
    <n v="38"/>
    <n v="0.45"/>
    <n v="17.100000000000001"/>
    <s v=""/>
    <x v="2"/>
    <x v="5"/>
    <x v="9"/>
  </r>
  <r>
    <s v="CLM103113"/>
    <s v="PT13329"/>
    <s v="P02"/>
    <x v="3"/>
    <x v="6"/>
    <n v="1"/>
    <d v="2026-02-03T00:00:00"/>
    <d v="2026-02-08T00:00:00"/>
    <n v="422.42"/>
    <n v="175.73"/>
    <n v="175.73"/>
    <n v="0"/>
    <s v="Paid"/>
    <s v=""/>
    <d v="2026-03-18T00:00:00"/>
    <d v="2026-03-18T00:00:00"/>
    <n v="420"/>
    <n v="0.43"/>
    <n v="180.6"/>
    <n v="4.8700000000000045"/>
    <x v="0"/>
    <x v="6"/>
    <x v="0"/>
  </r>
  <r>
    <s v="CLM103114"/>
    <s v="PT11824"/>
    <s v="P07"/>
    <x v="1"/>
    <x v="1"/>
    <n v="1"/>
    <d v="2026-08-16T00:00:00"/>
    <d v="2026-08-19T00:00:00"/>
    <n v="240.23"/>
    <m/>
    <m/>
    <m/>
    <s v="Pending"/>
    <s v=""/>
    <m/>
    <m/>
    <n v="240"/>
    <n v="0.28000000000000003"/>
    <n v="67.2"/>
    <s v=""/>
    <x v="2"/>
    <x v="3"/>
    <x v="4"/>
  </r>
  <r>
    <s v="CLM103115"/>
    <s v="PT10274"/>
    <s v="P01"/>
    <x v="3"/>
    <x v="3"/>
    <n v="5"/>
    <d v="2026-01-09T00:00:00"/>
    <d v="2026-01-13T00:00:00"/>
    <n v="7388.79"/>
    <n v="3629.46"/>
    <n v="3266.51"/>
    <n v="362.95"/>
    <s v="Paid"/>
    <s v=""/>
    <d v="2026-02-21T00:00:00"/>
    <d v="2026-02-21T00:00:00"/>
    <n v="1450"/>
    <n v="0.45"/>
    <n v="3262.5"/>
    <n v="-366.96000000000004"/>
    <x v="0"/>
    <x v="5"/>
    <x v="5"/>
  </r>
  <r>
    <s v="CLM103116"/>
    <s v="PT11733"/>
    <s v="P01"/>
    <x v="0"/>
    <x v="0"/>
    <n v="1"/>
    <d v="2026-02-21T00:00:00"/>
    <d v="2026-02-22T00:00:00"/>
    <n v="141.71"/>
    <m/>
    <m/>
    <m/>
    <s v="Denied"/>
    <s v="CO-27"/>
    <d v="2026-03-08T00:00:00"/>
    <m/>
    <n v="145"/>
    <n v="0.45"/>
    <n v="65.25"/>
    <s v=""/>
    <x v="2"/>
    <x v="5"/>
    <x v="0"/>
  </r>
  <r>
    <s v="CLM103117"/>
    <s v="PT10720"/>
    <s v="P05"/>
    <x v="0"/>
    <x v="8"/>
    <n v="1"/>
    <d v="2026-03-23T00:00:00"/>
    <d v="2026-03-24T00:00:00"/>
    <n v="267.01"/>
    <n v="110.17"/>
    <n v="88.14"/>
    <n v="22.03"/>
    <s v="Paid"/>
    <s v=""/>
    <d v="2026-05-13T00:00:00"/>
    <d v="2026-05-13T00:00:00"/>
    <n v="260"/>
    <n v="0.38"/>
    <n v="98.8"/>
    <n v="-11.370000000000005"/>
    <x v="0"/>
    <x v="0"/>
    <x v="2"/>
  </r>
  <r>
    <s v="CLM103118"/>
    <s v="PT11179"/>
    <s v="P02"/>
    <x v="2"/>
    <x v="9"/>
    <n v="4"/>
    <d v="2026-02-27T00:00:00"/>
    <d v="2026-03-02T00:00:00"/>
    <n v="230.52"/>
    <n v="86.42"/>
    <n v="86.42"/>
    <n v="0"/>
    <s v="Paid"/>
    <s v=""/>
    <d v="2026-04-05T00:00:00"/>
    <d v="2026-04-05T00:00:00"/>
    <n v="58"/>
    <n v="0.43"/>
    <n v="99.76"/>
    <n v="13.340000000000003"/>
    <x v="1"/>
    <x v="6"/>
    <x v="0"/>
  </r>
  <r>
    <s v="CLM103119"/>
    <s v="PT11581"/>
    <s v="P01"/>
    <x v="3"/>
    <x v="3"/>
    <n v="20"/>
    <d v="2026-01-24T00:00:00"/>
    <d v="2026-01-26T00:00:00"/>
    <n v="29461.85"/>
    <m/>
    <m/>
    <m/>
    <s v="Denied"/>
    <s v="CO-27"/>
    <d v="2026-02-19T00:00:00"/>
    <m/>
    <n v="1450"/>
    <n v="0.45"/>
    <n v="13050"/>
    <s v=""/>
    <x v="2"/>
    <x v="5"/>
    <x v="5"/>
  </r>
  <r>
    <s v="CLM103120"/>
    <s v="PT11839"/>
    <s v="P07"/>
    <x v="1"/>
    <x v="1"/>
    <n v="1"/>
    <d v="2025-11-24T00:00:00"/>
    <d v="2025-12-03T00:00:00"/>
    <n v="238.93"/>
    <n v="71.89"/>
    <n v="57.51"/>
    <n v="14.38"/>
    <s v="Paid"/>
    <s v=""/>
    <d v="2026-02-07T00:00:00"/>
    <d v="2026-02-07T00:00:00"/>
    <n v="240"/>
    <n v="0.28000000000000003"/>
    <n v="67.2"/>
    <n v="-4.6899999999999977"/>
    <x v="0"/>
    <x v="3"/>
    <x v="3"/>
  </r>
  <r>
    <s v="CLM103121"/>
    <s v="PT13423"/>
    <s v="P03"/>
    <x v="1"/>
    <x v="8"/>
    <n v="1"/>
    <d v="2026-09-13T00:00:00"/>
    <d v="2026-09-22T00:00:00"/>
    <n v="260.93"/>
    <m/>
    <m/>
    <m/>
    <s v="Pending"/>
    <s v=""/>
    <m/>
    <m/>
    <n v="260"/>
    <n v="0.47"/>
    <n v="122.2"/>
    <s v=""/>
    <x v="2"/>
    <x v="4"/>
    <x v="8"/>
  </r>
  <r>
    <s v="CLM103122"/>
    <s v="PT11874"/>
    <s v="P02"/>
    <x v="2"/>
    <x v="0"/>
    <n v="1"/>
    <d v="2026-02-16T00:00:00"/>
    <d v="2026-06-16T00:00:00"/>
    <n v="146.05000000000001"/>
    <m/>
    <m/>
    <m/>
    <s v="Denied"/>
    <s v="CO-29"/>
    <d v="2026-06-28T00:00:00"/>
    <m/>
    <n v="145"/>
    <n v="0.43"/>
    <n v="62.35"/>
    <s v=""/>
    <x v="2"/>
    <x v="6"/>
    <x v="0"/>
  </r>
  <r>
    <s v="CLM103123"/>
    <s v="PT11936"/>
    <s v="P02"/>
    <x v="3"/>
    <x v="6"/>
    <n v="1"/>
    <d v="2025-11-16T00:00:00"/>
    <d v="2025-11-20T00:00:00"/>
    <n v="420.1"/>
    <n v="176.8"/>
    <n v="141.44"/>
    <n v="35.36"/>
    <s v="Paid"/>
    <s v=""/>
    <d v="2025-12-15T00:00:00"/>
    <d v="2025-12-15T00:00:00"/>
    <n v="420"/>
    <n v="0.43"/>
    <n v="180.6"/>
    <n v="3.7999999999999829"/>
    <x v="0"/>
    <x v="6"/>
    <x v="3"/>
  </r>
  <r>
    <s v="CLM103124"/>
    <s v="PT11059"/>
    <s v="P02"/>
    <x v="1"/>
    <x v="7"/>
    <n v="1"/>
    <d v="2026-01-17T00:00:00"/>
    <d v="2026-01-18T00:00:00"/>
    <n v="214.77"/>
    <n v="87.71"/>
    <n v="87.71"/>
    <n v="0"/>
    <s v="Paid"/>
    <s v=""/>
    <d v="2026-02-13T00:00:00"/>
    <d v="2026-02-13T00:00:00"/>
    <n v="210"/>
    <n v="0.43"/>
    <n v="90.3"/>
    <n v="2.5900000000000034"/>
    <x v="0"/>
    <x v="6"/>
    <x v="5"/>
  </r>
  <r>
    <s v="CLM103125"/>
    <s v="PT11613"/>
    <s v="P04"/>
    <x v="2"/>
    <x v="9"/>
    <n v="2"/>
    <d v="2026-02-16T00:00:00"/>
    <d v="2026-02-17T00:00:00"/>
    <n v="112.54"/>
    <n v="38.56"/>
    <n v="34.700000000000003"/>
    <n v="3.86"/>
    <s v="Paid"/>
    <s v=""/>
    <d v="2026-03-10T00:00:00"/>
    <d v="2026-03-10T00:00:00"/>
    <n v="58"/>
    <n v="0.36"/>
    <n v="41.76"/>
    <n v="3.1999999999999957"/>
    <x v="1"/>
    <x v="1"/>
    <x v="0"/>
  </r>
  <r>
    <s v="CLM103126"/>
    <s v="PT10903"/>
    <s v="P01"/>
    <x v="3"/>
    <x v="3"/>
    <n v="10"/>
    <d v="2026-09-22T00:00:00"/>
    <d v="2026-09-30T00:00:00"/>
    <n v="14723.46"/>
    <m/>
    <m/>
    <m/>
    <s v="Pending"/>
    <s v=""/>
    <m/>
    <m/>
    <n v="1450"/>
    <n v="0.45"/>
    <n v="6525"/>
    <s v=""/>
    <x v="2"/>
    <x v="5"/>
    <x v="8"/>
  </r>
  <r>
    <s v="CLM103127"/>
    <s v="PT10632"/>
    <s v="P01"/>
    <x v="3"/>
    <x v="7"/>
    <n v="1"/>
    <d v="2026-01-15T00:00:00"/>
    <d v="2026-01-21T00:00:00"/>
    <n v="215.85"/>
    <n v="93.03"/>
    <n v="93.03"/>
    <n v="0"/>
    <s v="Paid"/>
    <s v=""/>
    <d v="2026-03-09T00:00:00"/>
    <d v="2026-03-09T00:00:00"/>
    <n v="210"/>
    <n v="0.45"/>
    <n v="94.5"/>
    <n v="1.4699999999999989"/>
    <x v="0"/>
    <x v="5"/>
    <x v="5"/>
  </r>
  <r>
    <s v="CLM103128"/>
    <s v="PT12890"/>
    <s v="P01"/>
    <x v="2"/>
    <x v="2"/>
    <n v="2"/>
    <d v="2026-03-24T00:00:00"/>
    <d v="2026-04-01T00:00:00"/>
    <n v="125.19"/>
    <n v="54.01"/>
    <n v="54.01"/>
    <n v="0"/>
    <s v="Paid"/>
    <s v=""/>
    <d v="2026-04-12T00:00:00"/>
    <d v="2026-04-12T00:00:00"/>
    <n v="62"/>
    <n v="0.45"/>
    <n v="55.8"/>
    <n v="1.7899999999999991"/>
    <x v="0"/>
    <x v="5"/>
    <x v="2"/>
  </r>
  <r>
    <s v="CLM103129"/>
    <s v="PT13322"/>
    <s v="P05"/>
    <x v="1"/>
    <x v="11"/>
    <n v="1"/>
    <d v="2026-04-13T00:00:00"/>
    <d v="2026-04-17T00:00:00"/>
    <n v="1116.8599999999999"/>
    <n v="474.26"/>
    <n v="379.41"/>
    <n v="94.85"/>
    <s v="Paid"/>
    <s v=""/>
    <d v="2026-06-17T00:00:00"/>
    <d v="2026-06-17T00:00:00"/>
    <n v="1150"/>
    <n v="0.38"/>
    <n v="437"/>
    <n v="-37.259999999999991"/>
    <x v="0"/>
    <x v="0"/>
    <x v="10"/>
  </r>
  <r>
    <s v="CLM103130"/>
    <s v="PT13363"/>
    <s v="P04"/>
    <x v="0"/>
    <x v="4"/>
    <n v="1"/>
    <d v="2025-10-24T00:00:00"/>
    <d v="2025-10-25T00:00:00"/>
    <n v="38.450000000000003"/>
    <n v="15.61"/>
    <n v="15.61"/>
    <n v="0"/>
    <s v="Paid"/>
    <s v=""/>
    <d v="2025-11-08T00:00:00"/>
    <d v="2025-11-08T00:00:00"/>
    <n v="38"/>
    <n v="0.36"/>
    <n v="13.68"/>
    <n v="-1.9299999999999997"/>
    <x v="0"/>
    <x v="1"/>
    <x v="9"/>
  </r>
  <r>
    <s v="CLM103131"/>
    <s v="PT12949"/>
    <s v="P06"/>
    <x v="2"/>
    <x v="2"/>
    <n v="1"/>
    <d v="2026-04-26T00:00:00"/>
    <d v="2026-04-27T00:00:00"/>
    <n v="62.57"/>
    <n v="19.190000000000001"/>
    <n v="15.35"/>
    <n v="3.84"/>
    <s v="Paid"/>
    <s v=""/>
    <d v="2026-06-03T00:00:00"/>
    <d v="2026-06-03T00:00:00"/>
    <n v="62"/>
    <n v="0.27"/>
    <n v="16.739999999999998"/>
    <n v="-2.4500000000000028"/>
    <x v="0"/>
    <x v="2"/>
    <x v="10"/>
  </r>
  <r>
    <s v="CLM103132"/>
    <s v="PT11823"/>
    <s v="P05"/>
    <x v="2"/>
    <x v="2"/>
    <n v="2"/>
    <d v="2025-10-23T00:00:00"/>
    <d v="2025-10-26T00:00:00"/>
    <n v="120.61"/>
    <m/>
    <m/>
    <m/>
    <s v="Denied"/>
    <s v="CO-16"/>
    <d v="2026-01-18T00:00:00"/>
    <m/>
    <n v="62"/>
    <n v="0.38"/>
    <n v="47.12"/>
    <s v=""/>
    <x v="2"/>
    <x v="0"/>
    <x v="9"/>
  </r>
  <r>
    <s v="CLM103133"/>
    <s v="PT10976"/>
    <s v="P04"/>
    <x v="1"/>
    <x v="5"/>
    <n v="1"/>
    <d v="2026-03-08T00:00:00"/>
    <d v="2026-03-10T00:00:00"/>
    <n v="4912.82"/>
    <n v="1734.33"/>
    <n v="1387.46"/>
    <n v="346.87"/>
    <s v="Paid"/>
    <s v=""/>
    <d v="2026-03-23T00:00:00"/>
    <d v="2026-03-23T00:00:00"/>
    <n v="4800"/>
    <n v="0.36"/>
    <n v="1728"/>
    <n v="-6.3299999999999272"/>
    <x v="0"/>
    <x v="1"/>
    <x v="2"/>
  </r>
  <r>
    <s v="CLM103134"/>
    <s v="PT13027"/>
    <s v="P03"/>
    <x v="0"/>
    <x v="4"/>
    <n v="1"/>
    <d v="2025-11-10T00:00:00"/>
    <d v="2025-11-19T00:00:00"/>
    <n v="38.93"/>
    <n v="20.11"/>
    <n v="20.11"/>
    <n v="0"/>
    <s v="Paid"/>
    <s v=""/>
    <d v="2025-12-17T00:00:00"/>
    <d v="2025-12-17T00:00:00"/>
    <n v="38"/>
    <n v="0.47"/>
    <n v="17.86"/>
    <n v="-2.25"/>
    <x v="0"/>
    <x v="4"/>
    <x v="3"/>
  </r>
  <r>
    <s v="CLM103135"/>
    <s v="PT12003"/>
    <s v="P06"/>
    <x v="1"/>
    <x v="11"/>
    <n v="1"/>
    <d v="2026-05-12T00:00:00"/>
    <d v="2026-05-15T00:00:00"/>
    <n v="1145.1099999999999"/>
    <n v="312.95"/>
    <n v="312.95"/>
    <n v="0"/>
    <s v="Paid"/>
    <s v=""/>
    <d v="2026-06-19T00:00:00"/>
    <d v="2026-06-19T00:00:00"/>
    <n v="1150"/>
    <n v="0.27"/>
    <n v="310.5"/>
    <n v="-2.4499999999999886"/>
    <x v="0"/>
    <x v="2"/>
    <x v="7"/>
  </r>
  <r>
    <s v="CLM103136"/>
    <s v="PT10848"/>
    <s v="P04"/>
    <x v="0"/>
    <x v="7"/>
    <n v="1"/>
    <d v="2026-02-06T00:00:00"/>
    <d v="2026-02-12T00:00:00"/>
    <n v="205.07"/>
    <n v="73.14"/>
    <n v="58.51"/>
    <n v="14.63"/>
    <s v="Paid"/>
    <s v=""/>
    <d v="2026-03-02T00:00:00"/>
    <d v="2026-03-02T00:00:00"/>
    <n v="210"/>
    <n v="0.36"/>
    <n v="75.599999999999994"/>
    <n v="2.4599999999999937"/>
    <x v="0"/>
    <x v="1"/>
    <x v="0"/>
  </r>
  <r>
    <s v="CLM103137"/>
    <s v="PT10502"/>
    <s v="P04"/>
    <x v="3"/>
    <x v="7"/>
    <n v="1"/>
    <d v="2025-11-12T00:00:00"/>
    <d v="2025-11-13T00:00:00"/>
    <n v="211.68"/>
    <n v="78.010000000000005"/>
    <n v="78.010000000000005"/>
    <n v="0"/>
    <s v="Paid"/>
    <s v=""/>
    <d v="2025-11-22T00:00:00"/>
    <d v="2025-11-22T00:00:00"/>
    <n v="210"/>
    <n v="0.36"/>
    <n v="75.599999999999994"/>
    <n v="-2.4100000000000108"/>
    <x v="0"/>
    <x v="1"/>
    <x v="3"/>
  </r>
  <r>
    <s v="CLM103138"/>
    <s v="PT11185"/>
    <s v="P01"/>
    <x v="1"/>
    <x v="5"/>
    <n v="1"/>
    <d v="2026-05-25T00:00:00"/>
    <d v="2026-05-26T00:00:00"/>
    <n v="4857.22"/>
    <n v="1940"/>
    <n v="1940"/>
    <n v="0"/>
    <s v="Paid"/>
    <s v=""/>
    <d v="2026-06-15T00:00:00"/>
    <d v="2026-06-15T00:00:00"/>
    <n v="4800"/>
    <n v="0.45"/>
    <n v="2160"/>
    <n v="220"/>
    <x v="1"/>
    <x v="5"/>
    <x v="7"/>
  </r>
  <r>
    <s v="CLM103139"/>
    <s v="PT12662"/>
    <s v="P02"/>
    <x v="3"/>
    <x v="7"/>
    <n v="1"/>
    <d v="2026-03-29T00:00:00"/>
    <d v="2026-04-09T00:00:00"/>
    <n v="208.99"/>
    <n v="85.55"/>
    <n v="68.44"/>
    <n v="17.11"/>
    <s v="Paid"/>
    <s v=""/>
    <d v="2026-05-14T00:00:00"/>
    <d v="2026-05-14T00:00:00"/>
    <n v="210"/>
    <n v="0.43"/>
    <n v="90.3"/>
    <n v="4.75"/>
    <x v="1"/>
    <x v="6"/>
    <x v="2"/>
  </r>
  <r>
    <s v="CLM103140"/>
    <s v="PT11646"/>
    <s v="P01"/>
    <x v="3"/>
    <x v="6"/>
    <n v="1"/>
    <d v="2026-03-11T00:00:00"/>
    <d v="2026-03-15T00:00:00"/>
    <n v="417.93"/>
    <n v="163.76"/>
    <n v="163.76"/>
    <n v="0"/>
    <s v="Paid"/>
    <s v=""/>
    <d v="2026-04-06T00:00:00"/>
    <d v="2026-04-06T00:00:00"/>
    <n v="420"/>
    <n v="0.45"/>
    <n v="189"/>
    <n v="25.240000000000009"/>
    <x v="1"/>
    <x v="5"/>
    <x v="2"/>
  </r>
  <r>
    <s v="CLM103141"/>
    <s v="PT13344"/>
    <s v="P02"/>
    <x v="3"/>
    <x v="7"/>
    <n v="1"/>
    <d v="2026-05-14T00:00:00"/>
    <d v="2026-05-17T00:00:00"/>
    <n v="211.93"/>
    <n v="95.32"/>
    <n v="85.79"/>
    <n v="9.5299999999999994"/>
    <s v="Paid"/>
    <s v=""/>
    <d v="2026-06-01T00:00:00"/>
    <d v="2026-06-01T00:00:00"/>
    <n v="210"/>
    <n v="0.43"/>
    <n v="90.3"/>
    <n v="-5.019999999999996"/>
    <x v="0"/>
    <x v="6"/>
    <x v="7"/>
  </r>
  <r>
    <s v="CLM103142"/>
    <s v="PT13481"/>
    <s v="P02"/>
    <x v="0"/>
    <x v="4"/>
    <n v="1"/>
    <d v="2026-02-06T00:00:00"/>
    <d v="2026-02-09T00:00:00"/>
    <n v="37.96"/>
    <n v="14.34"/>
    <n v="12.91"/>
    <n v="1.43"/>
    <s v="Paid"/>
    <s v=""/>
    <d v="2026-03-18T00:00:00"/>
    <d v="2026-03-18T00:00:00"/>
    <n v="38"/>
    <n v="0.43"/>
    <n v="16.34"/>
    <n v="2"/>
    <x v="1"/>
    <x v="6"/>
    <x v="0"/>
  </r>
  <r>
    <s v="CLM103143"/>
    <s v="PT12167"/>
    <s v="P03"/>
    <x v="3"/>
    <x v="7"/>
    <n v="1"/>
    <d v="2026-03-18T00:00:00"/>
    <d v="2026-03-29T00:00:00"/>
    <n v="214.79"/>
    <m/>
    <m/>
    <m/>
    <s v="Denied"/>
    <s v="CO-27"/>
    <d v="2026-05-01T00:00:00"/>
    <m/>
    <n v="210"/>
    <n v="0.47"/>
    <n v="98.7"/>
    <s v=""/>
    <x v="2"/>
    <x v="4"/>
    <x v="2"/>
  </r>
  <r>
    <s v="CLM103144"/>
    <s v="PT10166"/>
    <s v="P02"/>
    <x v="1"/>
    <x v="11"/>
    <n v="1"/>
    <d v="2026-02-19T00:00:00"/>
    <d v="2026-02-20T00:00:00"/>
    <n v="1125.28"/>
    <m/>
    <m/>
    <m/>
    <s v="Denied"/>
    <s v="CO-16"/>
    <d v="2026-03-15T00:00:00"/>
    <m/>
    <n v="1150"/>
    <n v="0.43"/>
    <n v="494.5"/>
    <s v=""/>
    <x v="2"/>
    <x v="6"/>
    <x v="0"/>
  </r>
  <r>
    <s v="CLM103145"/>
    <s v="PT10828"/>
    <s v="P04"/>
    <x v="0"/>
    <x v="7"/>
    <n v="1"/>
    <d v="2026-05-10T00:00:00"/>
    <d v="2026-05-12T00:00:00"/>
    <n v="213.59"/>
    <m/>
    <m/>
    <m/>
    <s v="Denied"/>
    <s v="CO-11"/>
    <d v="2026-05-18T00:00:00"/>
    <m/>
    <n v="210"/>
    <n v="0.36"/>
    <n v="75.599999999999994"/>
    <s v=""/>
    <x v="2"/>
    <x v="1"/>
    <x v="7"/>
  </r>
  <r>
    <s v="CLM103146"/>
    <s v="PT10990"/>
    <s v="P07"/>
    <x v="1"/>
    <x v="5"/>
    <n v="1"/>
    <d v="2026-02-09T00:00:00"/>
    <d v="2026-02-10T00:00:00"/>
    <n v="4727.1899999999996"/>
    <n v="1191.6500000000001"/>
    <n v="1191.6500000000001"/>
    <n v="0"/>
    <s v="Paid"/>
    <s v=""/>
    <d v="2026-05-05T00:00:00"/>
    <d v="2026-05-05T00:00:00"/>
    <n v="4800"/>
    <n v="0.28000000000000003"/>
    <n v="1344"/>
    <n v="152.34999999999991"/>
    <x v="1"/>
    <x v="3"/>
    <x v="0"/>
  </r>
  <r>
    <s v="CLM103147"/>
    <s v="PT12852"/>
    <s v="P01"/>
    <x v="2"/>
    <x v="2"/>
    <n v="3"/>
    <d v="2025-11-27T00:00:00"/>
    <d v="2025-11-28T00:00:00"/>
    <n v="183.35"/>
    <n v="77.97"/>
    <n v="77.97"/>
    <n v="0"/>
    <s v="Paid"/>
    <s v=""/>
    <d v="2025-12-18T00:00:00"/>
    <d v="2025-12-18T00:00:00"/>
    <n v="62"/>
    <n v="0.45"/>
    <n v="83.7"/>
    <n v="5.730000000000004"/>
    <x v="1"/>
    <x v="5"/>
    <x v="3"/>
  </r>
  <r>
    <s v="CLM103148"/>
    <s v="PT11419"/>
    <s v="P04"/>
    <x v="1"/>
    <x v="7"/>
    <n v="1"/>
    <d v="2025-11-23T00:00:00"/>
    <d v="2025-11-25T00:00:00"/>
    <n v="208.03"/>
    <n v="73.900000000000006"/>
    <n v="66.510000000000005"/>
    <n v="7.39"/>
    <s v="Paid"/>
    <s v=""/>
    <d v="2025-12-12T00:00:00"/>
    <d v="2025-12-12T00:00:00"/>
    <n v="210"/>
    <n v="0.36"/>
    <n v="75.599999999999994"/>
    <n v="1.6999999999999886"/>
    <x v="0"/>
    <x v="1"/>
    <x v="3"/>
  </r>
  <r>
    <s v="CLM103149"/>
    <s v="PT11344"/>
    <s v="P02"/>
    <x v="0"/>
    <x v="7"/>
    <n v="1"/>
    <d v="2026-05-20T00:00:00"/>
    <d v="2026-05-29T00:00:00"/>
    <n v="215.77"/>
    <n v="92.29"/>
    <n v="92.29"/>
    <n v="0"/>
    <s v="Paid"/>
    <s v=""/>
    <d v="2026-06-29T00:00:00"/>
    <d v="2026-06-29T00:00:00"/>
    <n v="210"/>
    <n v="0.43"/>
    <n v="90.3"/>
    <n v="-1.9900000000000091"/>
    <x v="0"/>
    <x v="6"/>
    <x v="7"/>
  </r>
  <r>
    <s v="CLM103150"/>
    <s v="PT10832"/>
    <s v="P08"/>
    <x v="0"/>
    <x v="4"/>
    <n v="1"/>
    <d v="2026-08-13T00:00:00"/>
    <d v="2026-08-22T00:00:00"/>
    <n v="37.85"/>
    <m/>
    <m/>
    <m/>
    <s v="Pending"/>
    <s v=""/>
    <m/>
    <m/>
    <n v="38"/>
    <n v="1"/>
    <n v="38"/>
    <s v=""/>
    <x v="2"/>
    <x v="7"/>
    <x v="4"/>
  </r>
  <r>
    <s v="CLM103151"/>
    <s v="PT12795"/>
    <s v="P05"/>
    <x v="2"/>
    <x v="0"/>
    <n v="1"/>
    <d v="2026-07-22T00:00:00"/>
    <d v="2026-07-31T00:00:00"/>
    <n v="143.74"/>
    <n v="47.6"/>
    <n v="42.84"/>
    <n v="4.76"/>
    <s v="Paid"/>
    <s v=""/>
    <d v="2026-08-31T00:00:00"/>
    <d v="2026-08-31T00:00:00"/>
    <n v="145"/>
    <n v="0.38"/>
    <n v="55.1"/>
    <n v="7.5"/>
    <x v="1"/>
    <x v="0"/>
    <x v="1"/>
  </r>
  <r>
    <s v="CLM103152"/>
    <s v="PT10528"/>
    <s v="P05"/>
    <x v="0"/>
    <x v="0"/>
    <n v="1"/>
    <d v="2026-08-04T00:00:00"/>
    <d v="2026-08-08T00:00:00"/>
    <n v="146"/>
    <m/>
    <m/>
    <m/>
    <s v="Denied"/>
    <s v="CO-18"/>
    <d v="2026-08-30T00:00:00"/>
    <m/>
    <n v="145"/>
    <n v="0.38"/>
    <n v="55.1"/>
    <s v=""/>
    <x v="2"/>
    <x v="0"/>
    <x v="4"/>
  </r>
  <r>
    <s v="CLM103153"/>
    <s v="PT13426"/>
    <s v="P04"/>
    <x v="2"/>
    <x v="9"/>
    <n v="4"/>
    <d v="2026-05-04T00:00:00"/>
    <d v="2026-05-08T00:00:00"/>
    <n v="238.25"/>
    <n v="97.4"/>
    <n v="87.66"/>
    <n v="9.74"/>
    <s v="Paid"/>
    <s v=""/>
    <d v="2026-05-24T00:00:00"/>
    <d v="2026-05-24T00:00:00"/>
    <n v="58"/>
    <n v="0.36"/>
    <n v="83.52"/>
    <n v="-13.88000000000001"/>
    <x v="0"/>
    <x v="1"/>
    <x v="7"/>
  </r>
  <r>
    <s v="CLM103154"/>
    <s v="PT13328"/>
    <s v="P03"/>
    <x v="1"/>
    <x v="1"/>
    <n v="1"/>
    <d v="2026-05-11T00:00:00"/>
    <d v="2026-05-17T00:00:00"/>
    <n v="239.73"/>
    <n v="130.41999999999999"/>
    <n v="130.41999999999999"/>
    <n v="0"/>
    <s v="Paid"/>
    <s v=""/>
    <d v="2026-07-15T00:00:00"/>
    <d v="2026-07-15T00:00:00"/>
    <n v="240"/>
    <n v="0.47"/>
    <n v="112.8"/>
    <n v="-17.61999999999999"/>
    <x v="0"/>
    <x v="4"/>
    <x v="7"/>
  </r>
  <r>
    <s v="CLM103155"/>
    <s v="PT10769"/>
    <s v="P04"/>
    <x v="2"/>
    <x v="2"/>
    <n v="1"/>
    <d v="2026-06-11T00:00:00"/>
    <d v="2026-06-12T00:00:00"/>
    <n v="62.4"/>
    <n v="24.95"/>
    <n v="24.95"/>
    <n v="0"/>
    <s v="Paid"/>
    <s v=""/>
    <d v="2026-06-29T00:00:00"/>
    <d v="2026-06-29T00:00:00"/>
    <n v="62"/>
    <n v="0.36"/>
    <n v="22.32"/>
    <n v="-2.629999999999999"/>
    <x v="0"/>
    <x v="1"/>
    <x v="11"/>
  </r>
  <r>
    <s v="CLM103156"/>
    <s v="PT12596"/>
    <s v="P01"/>
    <x v="0"/>
    <x v="4"/>
    <n v="1"/>
    <d v="2025-12-05T00:00:00"/>
    <d v="2025-12-13T00:00:00"/>
    <n v="37.14"/>
    <n v="14.5"/>
    <n v="14.5"/>
    <n v="0"/>
    <s v="Paid"/>
    <s v=""/>
    <d v="2025-12-24T00:00:00"/>
    <d v="2025-12-24T00:00:00"/>
    <n v="38"/>
    <n v="0.45"/>
    <n v="17.100000000000001"/>
    <n v="2.6000000000000014"/>
    <x v="1"/>
    <x v="5"/>
    <x v="6"/>
  </r>
  <r>
    <s v="CLM103157"/>
    <s v="PT11600"/>
    <s v="P05"/>
    <x v="1"/>
    <x v="11"/>
    <n v="1"/>
    <d v="2026-04-14T00:00:00"/>
    <d v="2026-04-16T00:00:00"/>
    <n v="1127.3399999999999"/>
    <n v="400.44"/>
    <n v="400.44"/>
    <n v="0"/>
    <s v="Paid"/>
    <s v=""/>
    <d v="2026-06-03T00:00:00"/>
    <d v="2026-06-03T00:00:00"/>
    <n v="1150"/>
    <n v="0.38"/>
    <n v="437"/>
    <n v="36.56"/>
    <x v="1"/>
    <x v="0"/>
    <x v="10"/>
  </r>
  <r>
    <s v="CLM103158"/>
    <s v="PT10772"/>
    <s v="P01"/>
    <x v="1"/>
    <x v="10"/>
    <n v="1"/>
    <d v="2026-01-29T00:00:00"/>
    <d v="2026-02-15T00:00:00"/>
    <n v="1056.4000000000001"/>
    <n v="478.62"/>
    <n v="430.76"/>
    <n v="47.86"/>
    <s v="Paid"/>
    <s v=""/>
    <d v="2026-03-10T00:00:00"/>
    <d v="2026-03-10T00:00:00"/>
    <n v="1050"/>
    <n v="0.45"/>
    <n v="472.5"/>
    <n v="-6.1200000000000045"/>
    <x v="0"/>
    <x v="5"/>
    <x v="5"/>
  </r>
  <r>
    <s v="CLM103159"/>
    <s v="PT10268"/>
    <s v="P01"/>
    <x v="3"/>
    <x v="6"/>
    <n v="1"/>
    <d v="2026-02-01T00:00:00"/>
    <d v="2026-02-02T00:00:00"/>
    <n v="424.37"/>
    <n v="175.22"/>
    <n v="157.69999999999999"/>
    <n v="17.52"/>
    <s v="Paid"/>
    <s v=""/>
    <d v="2026-02-25T00:00:00"/>
    <d v="2026-02-25T00:00:00"/>
    <n v="420"/>
    <n v="0.45"/>
    <n v="189"/>
    <n v="13.780000000000001"/>
    <x v="1"/>
    <x v="5"/>
    <x v="0"/>
  </r>
  <r>
    <s v="CLM103160"/>
    <s v="PT13054"/>
    <s v="P01"/>
    <x v="3"/>
    <x v="3"/>
    <n v="20"/>
    <d v="2026-02-22T00:00:00"/>
    <d v="2026-03-06T00:00:00"/>
    <n v="28459.95"/>
    <m/>
    <m/>
    <m/>
    <s v="Denied"/>
    <s v="CO-197"/>
    <d v="2026-03-28T00:00:00"/>
    <m/>
    <n v="1450"/>
    <n v="0.45"/>
    <n v="13050"/>
    <s v=""/>
    <x v="2"/>
    <x v="5"/>
    <x v="0"/>
  </r>
  <r>
    <s v="CLM103161"/>
    <s v="PT10016"/>
    <s v="P07"/>
    <x v="3"/>
    <x v="3"/>
    <n v="5"/>
    <d v="2026-06-21T00:00:00"/>
    <d v="2026-06-26T00:00:00"/>
    <n v="7404.41"/>
    <n v="2135.31"/>
    <n v="1921.78"/>
    <n v="213.53"/>
    <s v="Paid"/>
    <s v=""/>
    <d v="2026-08-16T00:00:00"/>
    <d v="2026-08-16T00:00:00"/>
    <n v="1450"/>
    <n v="0.28000000000000003"/>
    <n v="2030"/>
    <n v="-105.30999999999995"/>
    <x v="0"/>
    <x v="3"/>
    <x v="11"/>
  </r>
  <r>
    <s v="CLM103162"/>
    <s v="PT10965"/>
    <s v="P01"/>
    <x v="1"/>
    <x v="5"/>
    <n v="1"/>
    <d v="2025-10-13T00:00:00"/>
    <d v="2025-10-14T00:00:00"/>
    <n v="4917.3"/>
    <n v="2329.3200000000002"/>
    <n v="2329.3200000000002"/>
    <n v="0"/>
    <s v="Paid"/>
    <s v=""/>
    <d v="2025-11-11T00:00:00"/>
    <d v="2025-11-11T00:00:00"/>
    <n v="4800"/>
    <n v="0.45"/>
    <n v="2160"/>
    <n v="-169.32000000000016"/>
    <x v="0"/>
    <x v="5"/>
    <x v="9"/>
  </r>
  <r>
    <s v="CLM103163"/>
    <s v="PT11629"/>
    <s v="P05"/>
    <x v="3"/>
    <x v="7"/>
    <n v="1"/>
    <d v="2025-12-06T00:00:00"/>
    <d v="2025-12-09T00:00:00"/>
    <n v="213.23"/>
    <n v="74.47"/>
    <n v="59.58"/>
    <n v="14.89"/>
    <s v="Paid"/>
    <s v=""/>
    <d v="2026-01-16T00:00:00"/>
    <d v="2026-01-16T00:00:00"/>
    <n v="210"/>
    <n v="0.38"/>
    <n v="79.8"/>
    <n v="5.3299999999999983"/>
    <x v="1"/>
    <x v="0"/>
    <x v="6"/>
  </r>
  <r>
    <s v="CLM103164"/>
    <s v="PT11917"/>
    <s v="P03"/>
    <x v="1"/>
    <x v="7"/>
    <n v="1"/>
    <d v="2026-06-01T00:00:00"/>
    <d v="2026-06-03T00:00:00"/>
    <n v="215.63"/>
    <n v="115.41"/>
    <n v="103.87"/>
    <n v="11.54"/>
    <s v="Paid"/>
    <s v=""/>
    <d v="2026-07-22T00:00:00"/>
    <d v="2026-07-22T00:00:00"/>
    <n v="210"/>
    <n v="0.47"/>
    <n v="98.7"/>
    <n v="-16.709999999999994"/>
    <x v="0"/>
    <x v="4"/>
    <x v="11"/>
  </r>
  <r>
    <s v="CLM103165"/>
    <s v="PT11895"/>
    <s v="P07"/>
    <x v="2"/>
    <x v="2"/>
    <n v="2"/>
    <d v="2026-04-27T00:00:00"/>
    <d v="2026-05-06T00:00:00"/>
    <n v="121.07"/>
    <m/>
    <m/>
    <m/>
    <s v="Denied"/>
    <s v="CO-11"/>
    <d v="2026-07-16T00:00:00"/>
    <m/>
    <n v="62"/>
    <n v="0.28000000000000003"/>
    <n v="34.72"/>
    <s v=""/>
    <x v="2"/>
    <x v="3"/>
    <x v="10"/>
  </r>
  <r>
    <s v="CLM103166"/>
    <s v="PT11788"/>
    <s v="P02"/>
    <x v="2"/>
    <x v="2"/>
    <n v="1"/>
    <d v="2026-08-25T00:00:00"/>
    <d v="2026-08-27T00:00:00"/>
    <n v="60.91"/>
    <m/>
    <m/>
    <m/>
    <s v="Pending"/>
    <s v=""/>
    <m/>
    <m/>
    <n v="62"/>
    <n v="0.43"/>
    <n v="26.66"/>
    <s v=""/>
    <x v="2"/>
    <x v="6"/>
    <x v="4"/>
  </r>
  <r>
    <s v="CLM103167"/>
    <s v="PT10881"/>
    <s v="P06"/>
    <x v="1"/>
    <x v="1"/>
    <n v="1"/>
    <d v="2026-07-04T00:00:00"/>
    <d v="2026-07-09T00:00:00"/>
    <n v="246.8"/>
    <n v="60.02"/>
    <n v="60.02"/>
    <n v="0"/>
    <s v="Paid"/>
    <s v=""/>
    <d v="2026-08-14T00:00:00"/>
    <d v="2026-08-14T00:00:00"/>
    <n v="240"/>
    <n v="0.27"/>
    <n v="64.8"/>
    <n v="4.779999999999994"/>
    <x v="1"/>
    <x v="2"/>
    <x v="1"/>
  </r>
  <r>
    <s v="CLM103168"/>
    <s v="PT12459"/>
    <s v="P01"/>
    <x v="3"/>
    <x v="7"/>
    <n v="1"/>
    <d v="2025-12-07T00:00:00"/>
    <d v="2025-12-11T00:00:00"/>
    <n v="211.3"/>
    <m/>
    <m/>
    <m/>
    <s v="Denied"/>
    <s v="CO-27"/>
    <d v="2026-01-16T00:00:00"/>
    <m/>
    <n v="210"/>
    <n v="0.45"/>
    <n v="94.5"/>
    <s v=""/>
    <x v="2"/>
    <x v="5"/>
    <x v="6"/>
  </r>
  <r>
    <s v="CLM103169"/>
    <s v="PT12758"/>
    <s v="P02"/>
    <x v="0"/>
    <x v="8"/>
    <n v="1"/>
    <d v="2026-09-07T00:00:00"/>
    <d v="2026-09-19T00:00:00"/>
    <n v="266.55"/>
    <m/>
    <m/>
    <m/>
    <s v="Pending"/>
    <s v=""/>
    <m/>
    <m/>
    <n v="260"/>
    <n v="0.43"/>
    <n v="111.8"/>
    <s v=""/>
    <x v="2"/>
    <x v="6"/>
    <x v="8"/>
  </r>
  <r>
    <s v="CLM103171"/>
    <s v="PT11606"/>
    <s v="P01"/>
    <x v="3"/>
    <x v="7"/>
    <n v="1"/>
    <d v="2025-10-02T00:00:00"/>
    <d v="2025-10-10T00:00:00"/>
    <n v="212.74"/>
    <n v="88.32"/>
    <n v="88.32"/>
    <n v="0"/>
    <s v="Paid"/>
    <s v=""/>
    <d v="2025-10-29T00:00:00"/>
    <d v="2025-10-29T00:00:00"/>
    <n v="210"/>
    <n v="0.45"/>
    <n v="94.5"/>
    <n v="6.1800000000000068"/>
    <x v="1"/>
    <x v="5"/>
    <x v="9"/>
  </r>
  <r>
    <s v="CLM103172"/>
    <s v="PT12586"/>
    <s v="P01"/>
    <x v="1"/>
    <x v="11"/>
    <n v="1"/>
    <d v="2025-12-22T00:00:00"/>
    <d v="2025-12-26T00:00:00"/>
    <n v="1167.1600000000001"/>
    <n v="539.64"/>
    <n v="539.64"/>
    <n v="0"/>
    <s v="Paid"/>
    <s v=""/>
    <d v="2026-01-22T00:00:00"/>
    <d v="2026-01-22T00:00:00"/>
    <n v="1150"/>
    <n v="0.45"/>
    <n v="517.5"/>
    <n v="-22.139999999999986"/>
    <x v="0"/>
    <x v="5"/>
    <x v="6"/>
  </r>
  <r>
    <s v="CLM103173"/>
    <s v="PT13470"/>
    <s v="P01"/>
    <x v="1"/>
    <x v="4"/>
    <n v="1"/>
    <d v="2026-05-15T00:00:00"/>
    <d v="2026-05-18T00:00:00"/>
    <n v="37.770000000000003"/>
    <n v="16.79"/>
    <n v="16.79"/>
    <n v="0"/>
    <s v="Paid"/>
    <s v=""/>
    <d v="2026-06-19T00:00:00"/>
    <d v="2026-06-19T00:00:00"/>
    <n v="38"/>
    <n v="0.45"/>
    <n v="17.100000000000001"/>
    <n v="0.31000000000000227"/>
    <x v="0"/>
    <x v="5"/>
    <x v="7"/>
  </r>
  <r>
    <s v="CLM103174"/>
    <s v="PT10058"/>
    <s v="P07"/>
    <x v="0"/>
    <x v="4"/>
    <n v="1"/>
    <d v="2026-03-13T00:00:00"/>
    <d v="2026-03-14T00:00:00"/>
    <n v="38.380000000000003"/>
    <n v="9.77"/>
    <n v="9.77"/>
    <n v="0"/>
    <s v="Paid"/>
    <s v=""/>
    <d v="2026-04-26T00:00:00"/>
    <d v="2026-04-26T00:00:00"/>
    <n v="38"/>
    <n v="0.28000000000000003"/>
    <n v="10.64"/>
    <n v="0.87000000000000099"/>
    <x v="1"/>
    <x v="3"/>
    <x v="2"/>
  </r>
  <r>
    <s v="CLM103175"/>
    <s v="PT12643"/>
    <s v="P07"/>
    <x v="1"/>
    <x v="8"/>
    <n v="1"/>
    <d v="2026-09-06T00:00:00"/>
    <d v="2026-09-11T00:00:00"/>
    <n v="258.8"/>
    <m/>
    <m/>
    <m/>
    <s v="Pending"/>
    <s v=""/>
    <m/>
    <m/>
    <n v="260"/>
    <n v="0.28000000000000003"/>
    <n v="72.8"/>
    <s v=""/>
    <x v="2"/>
    <x v="3"/>
    <x v="8"/>
  </r>
  <r>
    <s v="CLM103176"/>
    <s v="PT11123"/>
    <s v="P07"/>
    <x v="2"/>
    <x v="9"/>
    <n v="2"/>
    <d v="2026-02-23T00:00:00"/>
    <d v="2026-02-26T00:00:00"/>
    <n v="115.09"/>
    <n v="30.2"/>
    <n v="27.18"/>
    <n v="3.02"/>
    <s v="Paid"/>
    <s v=""/>
    <d v="2026-04-23T00:00:00"/>
    <d v="2026-04-23T00:00:00"/>
    <n v="58"/>
    <n v="0.28000000000000003"/>
    <n v="32.479999999999997"/>
    <n v="2.2799999999999976"/>
    <x v="1"/>
    <x v="3"/>
    <x v="0"/>
  </r>
  <r>
    <s v="CLM103177"/>
    <s v="PT12164"/>
    <s v="P01"/>
    <x v="2"/>
    <x v="0"/>
    <n v="1"/>
    <d v="2026-01-03T00:00:00"/>
    <d v="2026-01-10T00:00:00"/>
    <n v="146.84"/>
    <n v="71.44"/>
    <n v="57.15"/>
    <n v="14.29"/>
    <s v="Paid"/>
    <s v=""/>
    <d v="2026-02-07T00:00:00"/>
    <d v="2026-02-07T00:00:00"/>
    <n v="145"/>
    <n v="0.45"/>
    <n v="65.25"/>
    <n v="-6.1899999999999977"/>
    <x v="0"/>
    <x v="5"/>
    <x v="5"/>
  </r>
  <r>
    <s v="CLM103178"/>
    <s v="PT13097"/>
    <s v="P05"/>
    <x v="1"/>
    <x v="5"/>
    <n v="1"/>
    <d v="2026-03-21T00:00:00"/>
    <d v="2026-03-24T00:00:00"/>
    <n v="4741.45"/>
    <m/>
    <m/>
    <m/>
    <s v="Denied"/>
    <s v="CO-197"/>
    <d v="2026-05-26T00:00:00"/>
    <m/>
    <n v="4800"/>
    <n v="0.38"/>
    <n v="1824"/>
    <s v=""/>
    <x v="2"/>
    <x v="0"/>
    <x v="2"/>
  </r>
  <r>
    <s v="CLM103179"/>
    <s v="PT10171"/>
    <s v="P04"/>
    <x v="2"/>
    <x v="9"/>
    <n v="1"/>
    <d v="2026-04-16T00:00:00"/>
    <d v="2026-04-20T00:00:00"/>
    <n v="58.71"/>
    <n v="23.04"/>
    <n v="23.04"/>
    <n v="0"/>
    <s v="Paid"/>
    <s v=""/>
    <d v="2026-05-21T00:00:00"/>
    <d v="2026-05-21T00:00:00"/>
    <n v="58"/>
    <n v="0.36"/>
    <n v="20.88"/>
    <n v="-2.16"/>
    <x v="0"/>
    <x v="1"/>
    <x v="10"/>
  </r>
  <r>
    <s v="CLM103180"/>
    <s v="PT12610"/>
    <s v="P07"/>
    <x v="3"/>
    <x v="7"/>
    <n v="1"/>
    <d v="2026-01-26T00:00:00"/>
    <d v="2026-01-29T00:00:00"/>
    <n v="212.59"/>
    <m/>
    <m/>
    <m/>
    <s v="Denied"/>
    <s v="CO-16"/>
    <d v="2026-03-29T00:00:00"/>
    <m/>
    <n v="210"/>
    <n v="0.28000000000000003"/>
    <n v="58.8"/>
    <s v=""/>
    <x v="2"/>
    <x v="3"/>
    <x v="5"/>
  </r>
  <r>
    <s v="CLM103181"/>
    <s v="PT11856"/>
    <s v="P05"/>
    <x v="1"/>
    <x v="8"/>
    <n v="1"/>
    <d v="2026-03-23T00:00:00"/>
    <d v="2026-04-02T00:00:00"/>
    <n v="257.70999999999998"/>
    <n v="108.98"/>
    <n v="108.98"/>
    <n v="0"/>
    <s v="Paid"/>
    <s v=""/>
    <d v="2026-05-05T00:00:00"/>
    <d v="2026-05-05T00:00:00"/>
    <n v="260"/>
    <n v="0.38"/>
    <n v="98.8"/>
    <n v="-10.180000000000007"/>
    <x v="0"/>
    <x v="0"/>
    <x v="2"/>
  </r>
  <r>
    <s v="CLM103182"/>
    <s v="PT10189"/>
    <s v="P03"/>
    <x v="3"/>
    <x v="3"/>
    <n v="5"/>
    <d v="2026-04-30T00:00:00"/>
    <d v="2026-05-02T00:00:00"/>
    <n v="7151.26"/>
    <n v="3175.96"/>
    <n v="2540.77"/>
    <n v="635.19000000000005"/>
    <s v="Paid"/>
    <s v=""/>
    <d v="2026-07-03T00:00:00"/>
    <d v="2026-07-03T00:00:00"/>
    <n v="1450"/>
    <n v="0.47"/>
    <n v="3407.5"/>
    <n v="231.53999999999996"/>
    <x v="1"/>
    <x v="4"/>
    <x v="10"/>
  </r>
  <r>
    <s v="CLM103183"/>
    <s v="PT12614"/>
    <s v="P06"/>
    <x v="0"/>
    <x v="7"/>
    <n v="1"/>
    <d v="2025-12-19T00:00:00"/>
    <d v="2025-12-23T00:00:00"/>
    <n v="205.95"/>
    <m/>
    <m/>
    <m/>
    <s v="Denied"/>
    <s v="CO-4"/>
    <d v="2026-02-06T00:00:00"/>
    <m/>
    <n v="210"/>
    <n v="0.27"/>
    <n v="56.7"/>
    <s v=""/>
    <x v="2"/>
    <x v="2"/>
    <x v="6"/>
  </r>
  <r>
    <s v="CLM103184"/>
    <s v="PT11614"/>
    <s v="P01"/>
    <x v="1"/>
    <x v="4"/>
    <n v="1"/>
    <d v="2025-12-18T00:00:00"/>
    <d v="2025-12-23T00:00:00"/>
    <n v="37.24"/>
    <m/>
    <m/>
    <m/>
    <s v="Denied"/>
    <s v="CO-11"/>
    <d v="2026-01-26T00:00:00"/>
    <m/>
    <n v="38"/>
    <n v="0.45"/>
    <n v="17.100000000000001"/>
    <s v=""/>
    <x v="2"/>
    <x v="5"/>
    <x v="6"/>
  </r>
  <r>
    <s v="CLM103185"/>
    <s v="PT12235"/>
    <s v="P03"/>
    <x v="0"/>
    <x v="0"/>
    <n v="1"/>
    <d v="2026-05-10T00:00:00"/>
    <d v="2026-05-15T00:00:00"/>
    <n v="146.54"/>
    <n v="62.74"/>
    <n v="62.74"/>
    <n v="0"/>
    <s v="Paid"/>
    <s v=""/>
    <d v="2026-06-25T00:00:00"/>
    <d v="2026-06-25T00:00:00"/>
    <n v="145"/>
    <n v="0.47"/>
    <n v="68.150000000000006"/>
    <n v="5.4100000000000037"/>
    <x v="1"/>
    <x v="4"/>
    <x v="7"/>
  </r>
  <r>
    <s v="CLM103186"/>
    <s v="PT12071"/>
    <s v="P04"/>
    <x v="0"/>
    <x v="7"/>
    <n v="1"/>
    <d v="2026-09-02T00:00:00"/>
    <d v="2026-09-05T00:00:00"/>
    <n v="207.41"/>
    <m/>
    <m/>
    <m/>
    <s v="Pending"/>
    <s v=""/>
    <m/>
    <m/>
    <n v="210"/>
    <n v="0.36"/>
    <n v="75.599999999999994"/>
    <s v=""/>
    <x v="2"/>
    <x v="1"/>
    <x v="8"/>
  </r>
  <r>
    <s v="CLM103187"/>
    <s v="PT12785"/>
    <s v="P02"/>
    <x v="1"/>
    <x v="11"/>
    <n v="1"/>
    <d v="2026-04-19T00:00:00"/>
    <d v="2026-04-21T00:00:00"/>
    <n v="1141.53"/>
    <n v="477.59"/>
    <n v="477.59"/>
    <n v="0"/>
    <s v="Paid"/>
    <s v=""/>
    <d v="2026-05-31T00:00:00"/>
    <d v="2026-05-31T00:00:00"/>
    <n v="1150"/>
    <n v="0.43"/>
    <n v="494.5"/>
    <n v="16.910000000000025"/>
    <x v="0"/>
    <x v="6"/>
    <x v="10"/>
  </r>
  <r>
    <s v="CLM103188"/>
    <s v="PT11368"/>
    <s v="P02"/>
    <x v="2"/>
    <x v="0"/>
    <n v="1"/>
    <d v="2026-06-23T00:00:00"/>
    <d v="2026-06-24T00:00:00"/>
    <n v="144.19999999999999"/>
    <n v="66.03"/>
    <n v="66.03"/>
    <n v="0"/>
    <s v="Paid"/>
    <s v=""/>
    <d v="2026-07-17T00:00:00"/>
    <d v="2026-07-17T00:00:00"/>
    <n v="145"/>
    <n v="0.43"/>
    <n v="62.35"/>
    <n v="-3.6799999999999997"/>
    <x v="0"/>
    <x v="6"/>
    <x v="11"/>
  </r>
  <r>
    <s v="CLM103189"/>
    <s v="PT13306"/>
    <s v="P01"/>
    <x v="3"/>
    <x v="6"/>
    <n v="1"/>
    <d v="2026-06-02T00:00:00"/>
    <d v="2026-06-04T00:00:00"/>
    <n v="427.38"/>
    <n v="213.28"/>
    <n v="213.28"/>
    <n v="0"/>
    <s v="Paid"/>
    <s v=""/>
    <d v="2026-06-30T00:00:00"/>
    <d v="2026-06-30T00:00:00"/>
    <n v="420"/>
    <n v="0.45"/>
    <n v="189"/>
    <n v="-24.28"/>
    <x v="0"/>
    <x v="5"/>
    <x v="11"/>
  </r>
  <r>
    <s v="CLM103190"/>
    <s v="PT11939"/>
    <s v="P02"/>
    <x v="2"/>
    <x v="2"/>
    <n v="2"/>
    <d v="2025-12-21T00:00:00"/>
    <d v="2026-01-02T00:00:00"/>
    <n v="122.1"/>
    <n v="59.05"/>
    <n v="59.05"/>
    <n v="0"/>
    <s v="Paid"/>
    <s v=""/>
    <d v="2026-02-08T00:00:00"/>
    <d v="2026-02-08T00:00:00"/>
    <n v="62"/>
    <n v="0.43"/>
    <n v="53.32"/>
    <n v="-5.7299999999999969"/>
    <x v="0"/>
    <x v="6"/>
    <x v="6"/>
  </r>
  <r>
    <s v="CLM103191"/>
    <s v="PT11704"/>
    <s v="P05"/>
    <x v="2"/>
    <x v="0"/>
    <n v="1"/>
    <d v="2026-05-28T00:00:00"/>
    <d v="2026-06-04T00:00:00"/>
    <n v="142.19"/>
    <n v="50.18"/>
    <n v="40.14"/>
    <n v="10.039999999999999"/>
    <s v="Paid"/>
    <s v=""/>
    <d v="2026-07-06T00:00:00"/>
    <d v="2026-07-06T00:00:00"/>
    <n v="145"/>
    <n v="0.38"/>
    <n v="55.1"/>
    <n v="4.9200000000000017"/>
    <x v="1"/>
    <x v="0"/>
    <x v="7"/>
  </r>
  <r>
    <s v="CLM103192"/>
    <s v="PT13333"/>
    <s v="P02"/>
    <x v="0"/>
    <x v="0"/>
    <n v="1"/>
    <d v="2026-03-02T00:00:00"/>
    <d v="2026-03-08T00:00:00"/>
    <n v="145.87"/>
    <m/>
    <m/>
    <m/>
    <s v="Denied"/>
    <s v="CO-16"/>
    <d v="2026-04-03T00:00:00"/>
    <m/>
    <n v="145"/>
    <n v="0.43"/>
    <n v="62.35"/>
    <s v=""/>
    <x v="2"/>
    <x v="6"/>
    <x v="2"/>
  </r>
  <r>
    <s v="CLM103193"/>
    <s v="PT12786"/>
    <s v="P08"/>
    <x v="2"/>
    <x v="0"/>
    <n v="1"/>
    <d v="2026-02-17T00:00:00"/>
    <d v="2026-02-21T00:00:00"/>
    <n v="149.11000000000001"/>
    <n v="149.11000000000001"/>
    <n v="149.11000000000001"/>
    <n v="0"/>
    <s v="Paid"/>
    <s v=""/>
    <d v="2026-05-05T00:00:00"/>
    <d v="2026-05-05T00:00:00"/>
    <n v="145"/>
    <n v="1"/>
    <n v="145"/>
    <n v="-4.1100000000000136"/>
    <x v="0"/>
    <x v="7"/>
    <x v="0"/>
  </r>
  <r>
    <s v="CLM103194"/>
    <s v="PT11118"/>
    <s v="P05"/>
    <x v="2"/>
    <x v="0"/>
    <n v="1"/>
    <d v="2026-08-15T00:00:00"/>
    <d v="2026-08-18T00:00:00"/>
    <n v="143.78"/>
    <m/>
    <m/>
    <m/>
    <s v="Pending"/>
    <s v=""/>
    <m/>
    <m/>
    <n v="145"/>
    <n v="0.38"/>
    <n v="55.1"/>
    <s v=""/>
    <x v="2"/>
    <x v="0"/>
    <x v="4"/>
  </r>
  <r>
    <s v="CLM103195"/>
    <s v="PT10113"/>
    <s v="P08"/>
    <x v="1"/>
    <x v="1"/>
    <n v="1"/>
    <d v="2026-01-25T00:00:00"/>
    <d v="2026-01-27T00:00:00"/>
    <n v="242.81"/>
    <m/>
    <m/>
    <m/>
    <s v="Pending"/>
    <s v=""/>
    <m/>
    <m/>
    <n v="240"/>
    <n v="1"/>
    <n v="240"/>
    <s v=""/>
    <x v="2"/>
    <x v="7"/>
    <x v="5"/>
  </r>
  <r>
    <s v="CLM103196"/>
    <s v="PT12467"/>
    <s v="P05"/>
    <x v="1"/>
    <x v="1"/>
    <n v="1"/>
    <d v="2026-02-15T00:00:00"/>
    <d v="2026-02-19T00:00:00"/>
    <n v="239.55"/>
    <n v="95.77"/>
    <n v="76.62"/>
    <n v="19.149999999999999"/>
    <s v="Paid"/>
    <s v=""/>
    <d v="2026-04-14T00:00:00"/>
    <d v="2026-04-14T00:00:00"/>
    <n v="240"/>
    <n v="0.38"/>
    <n v="91.2"/>
    <n v="-4.5699999999999932"/>
    <x v="0"/>
    <x v="0"/>
    <x v="0"/>
  </r>
  <r>
    <s v="CLM103197"/>
    <s v="PT10314"/>
    <s v="P04"/>
    <x v="2"/>
    <x v="2"/>
    <n v="3"/>
    <d v="2026-08-09T00:00:00"/>
    <d v="2026-08-10T00:00:00"/>
    <n v="189.43"/>
    <n v="77.33"/>
    <n v="77.33"/>
    <n v="0"/>
    <s v="Paid"/>
    <s v=""/>
    <d v="2026-08-24T00:00:00"/>
    <d v="2026-08-24T00:00:00"/>
    <n v="62"/>
    <n v="0.36"/>
    <n v="66.959999999999994"/>
    <n v="-10.370000000000005"/>
    <x v="0"/>
    <x v="1"/>
    <x v="4"/>
  </r>
  <r>
    <s v="CLM103198"/>
    <s v="PT10992"/>
    <s v="P03"/>
    <x v="0"/>
    <x v="0"/>
    <n v="1"/>
    <d v="2026-04-06T00:00:00"/>
    <d v="2026-04-07T00:00:00"/>
    <n v="142.22"/>
    <m/>
    <m/>
    <m/>
    <s v="Denied"/>
    <s v="CO-4"/>
    <d v="2026-05-28T00:00:00"/>
    <m/>
    <n v="145"/>
    <n v="0.47"/>
    <n v="68.150000000000006"/>
    <s v=""/>
    <x v="2"/>
    <x v="4"/>
    <x v="10"/>
  </r>
  <r>
    <s v="CLM103199"/>
    <s v="PT11001"/>
    <s v="P05"/>
    <x v="0"/>
    <x v="7"/>
    <n v="1"/>
    <d v="2026-02-27T00:00:00"/>
    <d v="2026-03-03T00:00:00"/>
    <n v="213.38"/>
    <m/>
    <m/>
    <m/>
    <s v="Denied"/>
    <s v="CO-16"/>
    <d v="2026-05-29T00:00:00"/>
    <m/>
    <n v="210"/>
    <n v="0.38"/>
    <n v="79.8"/>
    <s v=""/>
    <x v="2"/>
    <x v="0"/>
    <x v="0"/>
  </r>
  <r>
    <s v="CLM103200"/>
    <s v="PT10031"/>
    <s v="P04"/>
    <x v="1"/>
    <x v="11"/>
    <n v="1"/>
    <d v="2026-02-03T00:00:00"/>
    <d v="2026-02-09T00:00:00"/>
    <n v="1122.24"/>
    <n v="381.41"/>
    <n v="381.41"/>
    <n v="0"/>
    <s v="Paid"/>
    <s v=""/>
    <d v="2026-03-05T00:00:00"/>
    <d v="2026-03-05T00:00:00"/>
    <n v="1150"/>
    <n v="0.36"/>
    <n v="414"/>
    <n v="32.589999999999975"/>
    <x v="1"/>
    <x v="1"/>
    <x v="0"/>
  </r>
  <r>
    <s v="CLM103201"/>
    <s v="PT13452"/>
    <s v="P01"/>
    <x v="3"/>
    <x v="7"/>
    <n v="1"/>
    <d v="2026-07-25T00:00:00"/>
    <d v="2026-07-31T00:00:00"/>
    <n v="211.75"/>
    <m/>
    <m/>
    <m/>
    <s v="Denied"/>
    <s v="CO-27"/>
    <d v="2026-08-20T00:00:00"/>
    <m/>
    <n v="210"/>
    <n v="0.45"/>
    <n v="94.5"/>
    <s v=""/>
    <x v="2"/>
    <x v="5"/>
    <x v="1"/>
  </r>
  <r>
    <s v="CLM103202"/>
    <s v="PT10465"/>
    <s v="P01"/>
    <x v="1"/>
    <x v="5"/>
    <n v="1"/>
    <d v="2026-02-28T00:00:00"/>
    <d v="2026-03-04T00:00:00"/>
    <n v="4900.78"/>
    <n v="2012.36"/>
    <n v="1609.89"/>
    <n v="402.47"/>
    <s v="Paid"/>
    <s v=""/>
    <d v="2026-04-13T00:00:00"/>
    <d v="2026-04-13T00:00:00"/>
    <n v="4800"/>
    <n v="0.45"/>
    <n v="2160"/>
    <n v="147.6400000000001"/>
    <x v="1"/>
    <x v="5"/>
    <x v="0"/>
  </r>
  <r>
    <s v="CLM103203"/>
    <s v="PT12930"/>
    <s v="P02"/>
    <x v="0"/>
    <x v="0"/>
    <n v="1"/>
    <d v="2026-06-10T00:00:00"/>
    <d v="2026-06-14T00:00:00"/>
    <n v="143.30000000000001"/>
    <m/>
    <m/>
    <m/>
    <s v="Denied"/>
    <s v="CO-50"/>
    <d v="2026-06-30T00:00:00"/>
    <m/>
    <n v="145"/>
    <n v="0.43"/>
    <n v="62.35"/>
    <s v=""/>
    <x v="2"/>
    <x v="6"/>
    <x v="11"/>
  </r>
  <r>
    <s v="CLM103204"/>
    <s v="PT12233"/>
    <s v="P03"/>
    <x v="0"/>
    <x v="7"/>
    <n v="1"/>
    <d v="2026-06-30T00:00:00"/>
    <d v="2026-07-10T00:00:00"/>
    <n v="215.89"/>
    <n v="87.83"/>
    <n v="87.83"/>
    <n v="0"/>
    <s v="Paid"/>
    <s v=""/>
    <d v="2026-08-09T00:00:00"/>
    <d v="2026-08-09T00:00:00"/>
    <n v="210"/>
    <n v="0.47"/>
    <n v="98.7"/>
    <n v="10.870000000000005"/>
    <x v="1"/>
    <x v="4"/>
    <x v="11"/>
  </r>
  <r>
    <s v="CLM103205"/>
    <s v="PT11534"/>
    <s v="P02"/>
    <x v="2"/>
    <x v="2"/>
    <n v="4"/>
    <d v="2026-07-18T00:00:00"/>
    <d v="2026-07-26T00:00:00"/>
    <n v="242.26"/>
    <n v="109.41"/>
    <n v="109.41"/>
    <n v="0"/>
    <s v="Paid"/>
    <s v=""/>
    <d v="2026-08-17T00:00:00"/>
    <d v="2026-08-17T00:00:00"/>
    <n v="62"/>
    <n v="0.43"/>
    <n v="106.64"/>
    <n v="-2.769999999999996"/>
    <x v="0"/>
    <x v="6"/>
    <x v="1"/>
  </r>
  <r>
    <s v="CLM103206"/>
    <s v="PT10604"/>
    <s v="P01"/>
    <x v="2"/>
    <x v="0"/>
    <n v="1"/>
    <d v="2026-02-13T00:00:00"/>
    <d v="2026-02-17T00:00:00"/>
    <n v="146.72"/>
    <n v="62.95"/>
    <n v="56.65"/>
    <n v="6.3"/>
    <s v="Paid"/>
    <s v=""/>
    <d v="2026-03-15T00:00:00"/>
    <d v="2026-03-15T00:00:00"/>
    <n v="145"/>
    <n v="0.45"/>
    <n v="65.25"/>
    <n v="2.2999999999999972"/>
    <x v="0"/>
    <x v="5"/>
    <x v="0"/>
  </r>
  <r>
    <s v="CLM103207"/>
    <s v="PT12167"/>
    <s v="P07"/>
    <x v="3"/>
    <x v="3"/>
    <n v="10"/>
    <d v="2025-11-15T00:00:00"/>
    <d v="2025-11-18T00:00:00"/>
    <n v="14162.18"/>
    <n v="4228.51"/>
    <n v="4228.51"/>
    <n v="0"/>
    <s v="Paid"/>
    <s v=""/>
    <d v="2025-12-31T00:00:00"/>
    <d v="2025-12-31T00:00:00"/>
    <n v="1450"/>
    <n v="0.28000000000000003"/>
    <n v="4060"/>
    <n v="-168.51000000000022"/>
    <x v="0"/>
    <x v="3"/>
    <x v="3"/>
  </r>
  <r>
    <s v="CLM103208"/>
    <s v="PT11918"/>
    <s v="P01"/>
    <x v="2"/>
    <x v="0"/>
    <n v="1"/>
    <d v="2026-04-16T00:00:00"/>
    <d v="2026-04-17T00:00:00"/>
    <n v="144.94999999999999"/>
    <m/>
    <m/>
    <m/>
    <s v="Denied"/>
    <s v="CO-27"/>
    <d v="2026-05-23T00:00:00"/>
    <m/>
    <n v="145"/>
    <n v="0.45"/>
    <n v="65.25"/>
    <s v=""/>
    <x v="2"/>
    <x v="5"/>
    <x v="10"/>
  </r>
  <r>
    <s v="CLM103209"/>
    <s v="PT13088"/>
    <s v="P05"/>
    <x v="3"/>
    <x v="6"/>
    <n v="1"/>
    <d v="2026-08-03T00:00:00"/>
    <d v="2026-08-05T00:00:00"/>
    <n v="407.58"/>
    <n v="156.25"/>
    <n v="140.63"/>
    <n v="15.62"/>
    <s v="Paid"/>
    <s v=""/>
    <d v="2026-08-13T00:00:00"/>
    <d v="2026-08-13T00:00:00"/>
    <n v="420"/>
    <n v="0.38"/>
    <n v="159.6"/>
    <n v="3.3499999999999943"/>
    <x v="0"/>
    <x v="0"/>
    <x v="4"/>
  </r>
  <r>
    <s v="CLM103210"/>
    <s v="PT10854"/>
    <s v="P01"/>
    <x v="1"/>
    <x v="10"/>
    <n v="1"/>
    <d v="2025-10-09T00:00:00"/>
    <d v="2025-10-10T00:00:00"/>
    <n v="1029.25"/>
    <n v="403.17"/>
    <n v="362.85"/>
    <n v="40.32"/>
    <s v="Paid"/>
    <s v=""/>
    <d v="2025-10-30T00:00:00"/>
    <d v="2025-10-30T00:00:00"/>
    <n v="1050"/>
    <n v="0.45"/>
    <n v="472.5"/>
    <n v="69.329999999999984"/>
    <x v="1"/>
    <x v="5"/>
    <x v="9"/>
  </r>
  <r>
    <s v="CLM103211"/>
    <s v="PT10248"/>
    <s v="P02"/>
    <x v="3"/>
    <x v="3"/>
    <n v="5"/>
    <d v="2026-09-10T00:00:00"/>
    <d v="2026-09-11T00:00:00"/>
    <n v="7189.54"/>
    <n v="2864.13"/>
    <n v="2864.13"/>
    <n v="0"/>
    <s v="Paid"/>
    <s v=""/>
    <d v="2026-09-22T00:00:00"/>
    <d v="2026-09-22T00:00:00"/>
    <n v="1450"/>
    <n v="0.43"/>
    <n v="3117.5"/>
    <n v="253.36999999999989"/>
    <x v="1"/>
    <x v="6"/>
    <x v="8"/>
  </r>
  <r>
    <s v="CLM103212"/>
    <s v="PT12033"/>
    <s v="P03"/>
    <x v="3"/>
    <x v="3"/>
    <n v="5"/>
    <d v="2026-03-13T00:00:00"/>
    <d v="2026-03-16T00:00:00"/>
    <n v="7262.01"/>
    <m/>
    <m/>
    <m/>
    <s v="Denied"/>
    <s v="CO-197"/>
    <d v="2026-04-20T00:00:00"/>
    <m/>
    <n v="1450"/>
    <n v="0.47"/>
    <n v="3407.5"/>
    <s v=""/>
    <x v="2"/>
    <x v="4"/>
    <x v="2"/>
  </r>
  <r>
    <s v="CLM103213"/>
    <s v="PT11391"/>
    <s v="P04"/>
    <x v="1"/>
    <x v="8"/>
    <n v="1"/>
    <d v="2026-01-25T00:00:00"/>
    <d v="2026-01-30T00:00:00"/>
    <n v="267.74"/>
    <n v="101.18"/>
    <n v="101.18"/>
    <n v="0"/>
    <s v="Paid"/>
    <s v=""/>
    <d v="2026-02-18T00:00:00"/>
    <d v="2026-02-18T00:00:00"/>
    <n v="260"/>
    <n v="0.36"/>
    <n v="93.6"/>
    <n v="-7.5800000000000125"/>
    <x v="0"/>
    <x v="1"/>
    <x v="5"/>
  </r>
  <r>
    <s v="CLM103214"/>
    <s v="PT12313"/>
    <s v="P02"/>
    <x v="2"/>
    <x v="2"/>
    <n v="1"/>
    <d v="2025-10-04T00:00:00"/>
    <d v="2025-10-05T00:00:00"/>
    <n v="61.99"/>
    <n v="30.47"/>
    <n v="30.47"/>
    <n v="0"/>
    <s v="Paid"/>
    <s v=""/>
    <d v="2025-11-06T00:00:00"/>
    <d v="2025-11-06T00:00:00"/>
    <n v="62"/>
    <n v="0.43"/>
    <n v="26.66"/>
    <n v="-3.8099999999999987"/>
    <x v="0"/>
    <x v="6"/>
    <x v="9"/>
  </r>
  <r>
    <s v="CLM103215"/>
    <s v="PT11047"/>
    <s v="P05"/>
    <x v="1"/>
    <x v="5"/>
    <n v="1"/>
    <d v="2026-01-29T00:00:00"/>
    <d v="2026-01-31T00:00:00"/>
    <n v="4693.57"/>
    <m/>
    <m/>
    <m/>
    <s v="Denied"/>
    <s v="CO-197"/>
    <d v="2026-04-18T00:00:00"/>
    <m/>
    <n v="4800"/>
    <n v="0.38"/>
    <n v="1824"/>
    <s v=""/>
    <x v="2"/>
    <x v="0"/>
    <x v="5"/>
  </r>
  <r>
    <s v="CLM103216"/>
    <s v="PT11944"/>
    <s v="P04"/>
    <x v="1"/>
    <x v="1"/>
    <n v="1"/>
    <d v="2026-04-05T00:00:00"/>
    <d v="2026-04-07T00:00:00"/>
    <n v="233.22"/>
    <n v="72.58"/>
    <n v="65.319999999999993"/>
    <n v="7.26"/>
    <s v="Paid"/>
    <s v=""/>
    <d v="2026-04-21T00:00:00"/>
    <d v="2026-04-21T00:00:00"/>
    <n v="240"/>
    <n v="0.36"/>
    <n v="86.4"/>
    <n v="13.820000000000007"/>
    <x v="1"/>
    <x v="1"/>
    <x v="10"/>
  </r>
  <r>
    <s v="CLM103217"/>
    <s v="PT12089"/>
    <s v="P01"/>
    <x v="2"/>
    <x v="0"/>
    <n v="1"/>
    <d v="2025-10-26T00:00:00"/>
    <d v="2025-10-28T00:00:00"/>
    <n v="146.46"/>
    <n v="64.680000000000007"/>
    <n v="51.74"/>
    <n v="12.94"/>
    <s v="Paid"/>
    <s v=""/>
    <d v="2025-11-14T00:00:00"/>
    <d v="2025-11-14T00:00:00"/>
    <n v="145"/>
    <n v="0.45"/>
    <n v="65.25"/>
    <n v="0.56999999999999318"/>
    <x v="0"/>
    <x v="5"/>
    <x v="9"/>
  </r>
  <r>
    <s v="CLM103218"/>
    <s v="PT11261"/>
    <s v="P04"/>
    <x v="0"/>
    <x v="7"/>
    <n v="1"/>
    <d v="2025-11-15T00:00:00"/>
    <d v="2025-11-28T00:00:00"/>
    <n v="205.76"/>
    <n v="81.67"/>
    <n v="81.67"/>
    <n v="0"/>
    <s v="Paid"/>
    <s v=""/>
    <d v="2025-12-08T00:00:00"/>
    <d v="2025-12-08T00:00:00"/>
    <n v="210"/>
    <n v="0.36"/>
    <n v="75.599999999999994"/>
    <n v="-6.0700000000000074"/>
    <x v="0"/>
    <x v="1"/>
    <x v="3"/>
  </r>
  <r>
    <s v="CLM103219"/>
    <s v="PT13084"/>
    <s v="P07"/>
    <x v="0"/>
    <x v="0"/>
    <n v="1"/>
    <d v="2026-07-05T00:00:00"/>
    <d v="2026-07-08T00:00:00"/>
    <n v="149.19999999999999"/>
    <n v="46.99"/>
    <n v="46.99"/>
    <n v="0"/>
    <s v="Paid"/>
    <s v=""/>
    <d v="2026-09-15T00:00:00"/>
    <d v="2026-09-15T00:00:00"/>
    <n v="145"/>
    <n v="0.28000000000000003"/>
    <n v="40.6"/>
    <n v="-6.3900000000000006"/>
    <x v="0"/>
    <x v="3"/>
    <x v="1"/>
  </r>
  <r>
    <s v="CLM103220"/>
    <s v="PT12312"/>
    <s v="P06"/>
    <x v="2"/>
    <x v="9"/>
    <n v="4"/>
    <d v="2026-03-21T00:00:00"/>
    <d v="2026-03-28T00:00:00"/>
    <n v="230.7"/>
    <n v="70.08"/>
    <n v="63.07"/>
    <n v="7.01"/>
    <s v="Paid"/>
    <s v=""/>
    <d v="2026-04-27T00:00:00"/>
    <d v="2026-04-27T00:00:00"/>
    <n v="58"/>
    <n v="0.27"/>
    <n v="62.64"/>
    <n v="-7.4399999999999977"/>
    <x v="0"/>
    <x v="2"/>
    <x v="2"/>
  </r>
  <r>
    <s v="CLM103221"/>
    <s v="PT11979"/>
    <s v="P01"/>
    <x v="0"/>
    <x v="0"/>
    <n v="1"/>
    <d v="2025-10-20T00:00:00"/>
    <d v="2025-10-27T00:00:00"/>
    <n v="145.59"/>
    <n v="61.57"/>
    <n v="61.57"/>
    <n v="0"/>
    <s v="Paid"/>
    <s v=""/>
    <d v="2025-11-20T00:00:00"/>
    <d v="2025-11-20T00:00:00"/>
    <n v="145"/>
    <n v="0.45"/>
    <n v="65.25"/>
    <n v="3.6799999999999997"/>
    <x v="1"/>
    <x v="5"/>
    <x v="9"/>
  </r>
  <r>
    <s v="CLM103222"/>
    <s v="PT11803"/>
    <s v="P05"/>
    <x v="2"/>
    <x v="9"/>
    <n v="1"/>
    <d v="2025-10-21T00:00:00"/>
    <d v="2025-10-26T00:00:00"/>
    <n v="59.34"/>
    <n v="26.12"/>
    <n v="26.12"/>
    <n v="0"/>
    <s v="Paid"/>
    <s v=""/>
    <d v="2025-12-29T00:00:00"/>
    <d v="2025-12-29T00:00:00"/>
    <n v="58"/>
    <n v="0.38"/>
    <n v="22.04"/>
    <n v="-4.0800000000000018"/>
    <x v="0"/>
    <x v="0"/>
    <x v="9"/>
  </r>
  <r>
    <s v="CLM103223"/>
    <s v="PT12179"/>
    <s v="P02"/>
    <x v="0"/>
    <x v="7"/>
    <n v="1"/>
    <d v="2026-01-06T00:00:00"/>
    <d v="2026-01-07T00:00:00"/>
    <n v="212.88"/>
    <n v="94.86"/>
    <n v="94.86"/>
    <n v="0"/>
    <s v="Paid"/>
    <s v=""/>
    <d v="2026-02-05T00:00:00"/>
    <d v="2026-02-05T00:00:00"/>
    <n v="210"/>
    <n v="0.43"/>
    <n v="90.3"/>
    <n v="-4.5600000000000023"/>
    <x v="0"/>
    <x v="6"/>
    <x v="5"/>
  </r>
  <r>
    <s v="CLM103224"/>
    <s v="PT10880"/>
    <s v="P04"/>
    <x v="1"/>
    <x v="1"/>
    <n v="1"/>
    <d v="2026-01-29T00:00:00"/>
    <d v="2026-02-01T00:00:00"/>
    <n v="237.99"/>
    <n v="84.57"/>
    <n v="84.57"/>
    <n v="0"/>
    <s v="Paid"/>
    <s v=""/>
    <d v="2026-02-22T00:00:00"/>
    <d v="2026-02-22T00:00:00"/>
    <n v="240"/>
    <n v="0.36"/>
    <n v="86.4"/>
    <n v="1.8300000000000125"/>
    <x v="0"/>
    <x v="1"/>
    <x v="5"/>
  </r>
  <r>
    <s v="CLM103225"/>
    <s v="PT13340"/>
    <s v="P05"/>
    <x v="0"/>
    <x v="8"/>
    <n v="1"/>
    <d v="2026-09-16T00:00:00"/>
    <d v="2026-09-17T00:00:00"/>
    <n v="261.98"/>
    <m/>
    <m/>
    <m/>
    <s v="Pending"/>
    <s v=""/>
    <m/>
    <m/>
    <n v="260"/>
    <n v="0.38"/>
    <n v="98.8"/>
    <s v=""/>
    <x v="2"/>
    <x v="0"/>
    <x v="8"/>
  </r>
  <r>
    <s v="CLM103226"/>
    <s v="PT11017"/>
    <s v="P04"/>
    <x v="0"/>
    <x v="4"/>
    <n v="1"/>
    <d v="2026-01-09T00:00:00"/>
    <d v="2026-01-16T00:00:00"/>
    <n v="38.49"/>
    <n v="13.36"/>
    <n v="10.69"/>
    <n v="2.67"/>
    <s v="Paid"/>
    <s v=""/>
    <d v="2026-01-29T00:00:00"/>
    <d v="2026-01-29T00:00:00"/>
    <n v="38"/>
    <n v="0.36"/>
    <n v="13.68"/>
    <n v="0.32000000000000028"/>
    <x v="0"/>
    <x v="1"/>
    <x v="5"/>
  </r>
  <r>
    <s v="CLM103227"/>
    <s v="PT12709"/>
    <s v="P02"/>
    <x v="0"/>
    <x v="7"/>
    <n v="1"/>
    <d v="2026-04-20T00:00:00"/>
    <d v="2026-04-22T00:00:00"/>
    <n v="213.73"/>
    <n v="94.29"/>
    <n v="75.430000000000007"/>
    <n v="18.86"/>
    <s v="Paid"/>
    <s v=""/>
    <d v="2026-05-22T00:00:00"/>
    <d v="2026-05-22T00:00:00"/>
    <n v="210"/>
    <n v="0.43"/>
    <n v="90.3"/>
    <n v="-3.9900000000000091"/>
    <x v="0"/>
    <x v="6"/>
    <x v="10"/>
  </r>
  <r>
    <s v="CLM103228"/>
    <s v="PT11599"/>
    <s v="P06"/>
    <x v="0"/>
    <x v="7"/>
    <n v="1"/>
    <d v="2025-12-19T00:00:00"/>
    <d v="2025-12-21T00:00:00"/>
    <n v="209.66"/>
    <n v="51.78"/>
    <n v="51.78"/>
    <n v="0"/>
    <s v="Paid"/>
    <s v=""/>
    <d v="2026-01-30T00:00:00"/>
    <d v="2026-01-30T00:00:00"/>
    <n v="210"/>
    <n v="0.27"/>
    <n v="56.7"/>
    <n v="4.9200000000000017"/>
    <x v="1"/>
    <x v="2"/>
    <x v="6"/>
  </r>
  <r>
    <s v="CLM103229"/>
    <s v="PT10376"/>
    <s v="P06"/>
    <x v="0"/>
    <x v="0"/>
    <n v="1"/>
    <d v="2026-04-29T00:00:00"/>
    <d v="2026-05-01T00:00:00"/>
    <n v="144.34"/>
    <n v="34.32"/>
    <n v="34.32"/>
    <n v="0"/>
    <s v="Paid"/>
    <s v=""/>
    <d v="2026-06-20T00:00:00"/>
    <d v="2026-06-20T00:00:00"/>
    <n v="145"/>
    <n v="0.27"/>
    <n v="39.15"/>
    <n v="4.8299999999999983"/>
    <x v="1"/>
    <x v="2"/>
    <x v="10"/>
  </r>
  <r>
    <s v="CLM103230"/>
    <s v="PT12279"/>
    <s v="P02"/>
    <x v="0"/>
    <x v="7"/>
    <n v="1"/>
    <d v="2026-09-18T00:00:00"/>
    <d v="2026-09-19T00:00:00"/>
    <n v="216.11"/>
    <m/>
    <m/>
    <m/>
    <s v="Pending"/>
    <s v=""/>
    <m/>
    <m/>
    <n v="210"/>
    <n v="0.43"/>
    <n v="90.3"/>
    <s v=""/>
    <x v="2"/>
    <x v="6"/>
    <x v="8"/>
  </r>
  <r>
    <s v="CLM103231"/>
    <s v="PT13031"/>
    <s v="P01"/>
    <x v="0"/>
    <x v="7"/>
    <n v="1"/>
    <d v="2026-05-24T00:00:00"/>
    <d v="2026-05-26T00:00:00"/>
    <n v="204.11"/>
    <n v="100.4"/>
    <n v="100.4"/>
    <n v="0"/>
    <s v="Paid"/>
    <s v=""/>
    <d v="2026-07-07T00:00:00"/>
    <d v="2026-07-07T00:00:00"/>
    <n v="210"/>
    <n v="0.45"/>
    <n v="94.5"/>
    <n v="-5.9000000000000057"/>
    <x v="0"/>
    <x v="5"/>
    <x v="7"/>
  </r>
  <r>
    <s v="CLM103232"/>
    <s v="PT12325"/>
    <s v="P07"/>
    <x v="2"/>
    <x v="0"/>
    <n v="1"/>
    <d v="2026-01-13T00:00:00"/>
    <d v="2026-01-15T00:00:00"/>
    <n v="143.01"/>
    <m/>
    <m/>
    <m/>
    <s v="Denied"/>
    <s v="CO-27"/>
    <d v="2026-03-03T00:00:00"/>
    <m/>
    <n v="145"/>
    <n v="0.28000000000000003"/>
    <n v="40.6"/>
    <s v=""/>
    <x v="2"/>
    <x v="3"/>
    <x v="5"/>
  </r>
  <r>
    <s v="CLM103233"/>
    <s v="PT11503"/>
    <s v="P04"/>
    <x v="1"/>
    <x v="1"/>
    <n v="1"/>
    <d v="2026-03-03T00:00:00"/>
    <d v="2026-03-07T00:00:00"/>
    <n v="235.39"/>
    <n v="77.819999999999993"/>
    <n v="77.819999999999993"/>
    <n v="0"/>
    <s v="Paid"/>
    <s v=""/>
    <d v="2026-03-22T00:00:00"/>
    <d v="2026-03-22T00:00:00"/>
    <n v="240"/>
    <n v="0.36"/>
    <n v="86.4"/>
    <n v="8.5800000000000125"/>
    <x v="1"/>
    <x v="1"/>
    <x v="2"/>
  </r>
  <r>
    <s v="CLM103234"/>
    <s v="PT10710"/>
    <s v="P01"/>
    <x v="1"/>
    <x v="1"/>
    <n v="1"/>
    <d v="2026-04-27T00:00:00"/>
    <d v="2026-04-30T00:00:00"/>
    <n v="236.73"/>
    <n v="119.85"/>
    <n v="95.88"/>
    <n v="23.97"/>
    <s v="Paid"/>
    <s v=""/>
    <d v="2026-05-24T00:00:00"/>
    <d v="2026-05-24T00:00:00"/>
    <n v="240"/>
    <n v="0.45"/>
    <n v="108"/>
    <n v="-11.849999999999994"/>
    <x v="0"/>
    <x v="5"/>
    <x v="10"/>
  </r>
  <r>
    <s v="CLM103235"/>
    <s v="PT11475"/>
    <s v="P01"/>
    <x v="1"/>
    <x v="4"/>
    <n v="1"/>
    <d v="2026-01-18T00:00:00"/>
    <d v="2026-01-22T00:00:00"/>
    <n v="38.35"/>
    <n v="17.239999999999998"/>
    <n v="17.239999999999998"/>
    <n v="0"/>
    <s v="Paid"/>
    <s v=""/>
    <d v="2026-02-13T00:00:00"/>
    <d v="2026-02-13T00:00:00"/>
    <n v="38"/>
    <n v="0.45"/>
    <n v="17.100000000000001"/>
    <n v="-0.13999999999999702"/>
    <x v="0"/>
    <x v="5"/>
    <x v="5"/>
  </r>
  <r>
    <s v="CLM103236"/>
    <s v="PT11966"/>
    <s v="P01"/>
    <x v="1"/>
    <x v="8"/>
    <n v="1"/>
    <d v="2026-03-11T00:00:00"/>
    <d v="2026-03-13T00:00:00"/>
    <n v="264.83"/>
    <n v="124.77"/>
    <n v="112.29"/>
    <n v="12.48"/>
    <s v="Paid"/>
    <s v=""/>
    <d v="2026-04-11T00:00:00"/>
    <d v="2026-04-11T00:00:00"/>
    <n v="260"/>
    <n v="0.45"/>
    <n v="117"/>
    <n v="-7.769999999999996"/>
    <x v="0"/>
    <x v="5"/>
    <x v="2"/>
  </r>
  <r>
    <s v="CLM103237"/>
    <s v="PT10312"/>
    <s v="P07"/>
    <x v="2"/>
    <x v="2"/>
    <n v="1"/>
    <d v="2026-01-29T00:00:00"/>
    <d v="2026-02-01T00:00:00"/>
    <n v="61.4"/>
    <m/>
    <m/>
    <m/>
    <s v="Denied"/>
    <s v="CO-27"/>
    <d v="2026-03-21T00:00:00"/>
    <m/>
    <n v="62"/>
    <n v="0.28000000000000003"/>
    <n v="17.36"/>
    <s v=""/>
    <x v="2"/>
    <x v="3"/>
    <x v="5"/>
  </r>
  <r>
    <s v="CLM103238"/>
    <s v="PT11100"/>
    <s v="P05"/>
    <x v="1"/>
    <x v="7"/>
    <n v="1"/>
    <d v="2026-07-01T00:00:00"/>
    <d v="2026-07-08T00:00:00"/>
    <n v="211.76"/>
    <n v="72.63"/>
    <n v="72.63"/>
    <n v="0"/>
    <s v="Paid"/>
    <s v=""/>
    <d v="2026-08-30T00:00:00"/>
    <d v="2026-08-30T00:00:00"/>
    <n v="210"/>
    <n v="0.38"/>
    <n v="79.8"/>
    <n v="7.1700000000000017"/>
    <x v="1"/>
    <x v="0"/>
    <x v="1"/>
  </r>
  <r>
    <s v="CLM103239"/>
    <s v="PT10992"/>
    <s v="P03"/>
    <x v="0"/>
    <x v="0"/>
    <n v="1"/>
    <d v="2026-07-30T00:00:00"/>
    <d v="2026-08-05T00:00:00"/>
    <n v="144.04"/>
    <n v="75.790000000000006"/>
    <n v="60.63"/>
    <n v="15.16"/>
    <s v="Paid"/>
    <s v=""/>
    <d v="2026-09-23T00:00:00"/>
    <d v="2026-09-23T00:00:00"/>
    <n v="145"/>
    <n v="0.47"/>
    <n v="68.150000000000006"/>
    <n v="-7.6400000000000006"/>
    <x v="0"/>
    <x v="4"/>
    <x v="1"/>
  </r>
  <r>
    <s v="CLM103240"/>
    <s v="PT11385"/>
    <s v="P04"/>
    <x v="3"/>
    <x v="6"/>
    <n v="1"/>
    <d v="2025-12-15T00:00:00"/>
    <d v="2025-12-22T00:00:00"/>
    <n v="427.53"/>
    <n v="153.47999999999999"/>
    <n v="122.78"/>
    <n v="30.7"/>
    <s v="Paid"/>
    <s v=""/>
    <d v="2026-01-16T00:00:00"/>
    <d v="2026-01-16T00:00:00"/>
    <n v="420"/>
    <n v="0.36"/>
    <n v="151.19999999999999"/>
    <n v="-2.2800000000000011"/>
    <x v="0"/>
    <x v="1"/>
    <x v="6"/>
  </r>
  <r>
    <s v="CLM103241"/>
    <s v="PT10009"/>
    <s v="P06"/>
    <x v="1"/>
    <x v="8"/>
    <n v="1"/>
    <d v="2026-02-14T00:00:00"/>
    <d v="2026-02-16T00:00:00"/>
    <n v="259.02999999999997"/>
    <m/>
    <m/>
    <m/>
    <s v="Denied"/>
    <s v="CO-16"/>
    <d v="2026-03-23T00:00:00"/>
    <m/>
    <n v="260"/>
    <n v="0.27"/>
    <n v="70.2"/>
    <s v=""/>
    <x v="2"/>
    <x v="2"/>
    <x v="0"/>
  </r>
  <r>
    <s v="CLM103242"/>
    <s v="PT12616"/>
    <s v="P01"/>
    <x v="1"/>
    <x v="8"/>
    <n v="1"/>
    <d v="2026-06-04T00:00:00"/>
    <d v="2026-06-15T00:00:00"/>
    <n v="254.77"/>
    <n v="111.64"/>
    <n v="111.64"/>
    <n v="0"/>
    <s v="Paid"/>
    <s v=""/>
    <d v="2026-07-29T00:00:00"/>
    <d v="2026-07-29T00:00:00"/>
    <n v="260"/>
    <n v="0.45"/>
    <n v="117"/>
    <n v="5.3599999999999994"/>
    <x v="0"/>
    <x v="5"/>
    <x v="11"/>
  </r>
  <r>
    <s v="CLM103243"/>
    <s v="PT11523"/>
    <s v="P01"/>
    <x v="1"/>
    <x v="7"/>
    <n v="1"/>
    <d v="2026-04-19T00:00:00"/>
    <d v="2026-04-21T00:00:00"/>
    <n v="214.9"/>
    <n v="98.15"/>
    <n v="98.15"/>
    <n v="0"/>
    <s v="Paid"/>
    <s v=""/>
    <d v="2026-05-18T00:00:00"/>
    <d v="2026-05-18T00:00:00"/>
    <n v="210"/>
    <n v="0.45"/>
    <n v="94.5"/>
    <n v="-3.6500000000000057"/>
    <x v="0"/>
    <x v="5"/>
    <x v="10"/>
  </r>
  <r>
    <s v="CLM103244"/>
    <s v="PT12651"/>
    <s v="P04"/>
    <x v="1"/>
    <x v="10"/>
    <n v="1"/>
    <d v="2026-04-13T00:00:00"/>
    <d v="2026-04-20T00:00:00"/>
    <n v="1057.43"/>
    <n v="375.07"/>
    <n v="375.07"/>
    <n v="0"/>
    <s v="Paid"/>
    <s v=""/>
    <d v="2026-05-10T00:00:00"/>
    <d v="2026-05-10T00:00:00"/>
    <n v="1050"/>
    <n v="0.36"/>
    <n v="378"/>
    <n v="2.9300000000000068"/>
    <x v="0"/>
    <x v="1"/>
    <x v="10"/>
  </r>
  <r>
    <s v="CLM103245"/>
    <s v="PT10694"/>
    <s v="P02"/>
    <x v="1"/>
    <x v="8"/>
    <n v="1"/>
    <d v="2026-02-16T00:00:00"/>
    <d v="2026-02-18T00:00:00"/>
    <n v="254.33"/>
    <n v="99.35"/>
    <n v="79.48"/>
    <n v="19.87"/>
    <s v="Paid"/>
    <s v=""/>
    <d v="2026-03-17T00:00:00"/>
    <d v="2026-03-17T00:00:00"/>
    <n v="260"/>
    <n v="0.43"/>
    <n v="111.8"/>
    <n v="12.450000000000003"/>
    <x v="1"/>
    <x v="6"/>
    <x v="0"/>
  </r>
  <r>
    <s v="CLM103246"/>
    <s v="PT11871"/>
    <s v="P04"/>
    <x v="1"/>
    <x v="5"/>
    <n v="1"/>
    <d v="2026-05-05T00:00:00"/>
    <d v="2026-05-21T00:00:00"/>
    <n v="4675.51"/>
    <n v="1510.2"/>
    <n v="1359.18"/>
    <n v="151.02000000000001"/>
    <s v="Paid"/>
    <s v=""/>
    <d v="2026-06-05T00:00:00"/>
    <d v="2026-06-05T00:00:00"/>
    <n v="4800"/>
    <n v="0.36"/>
    <n v="1728"/>
    <n v="217.79999999999995"/>
    <x v="1"/>
    <x v="1"/>
    <x v="7"/>
  </r>
  <r>
    <s v="CLM103247"/>
    <s v="PT10117"/>
    <s v="P03"/>
    <x v="2"/>
    <x v="0"/>
    <n v="1"/>
    <d v="2026-05-12T00:00:00"/>
    <d v="2026-05-18T00:00:00"/>
    <n v="142.51"/>
    <n v="67.42"/>
    <n v="67.42"/>
    <n v="0"/>
    <s v="Paid"/>
    <s v=""/>
    <d v="2026-06-07T00:00:00"/>
    <d v="2026-06-07T00:00:00"/>
    <n v="145"/>
    <n v="0.47"/>
    <n v="68.150000000000006"/>
    <n v="0.73000000000000398"/>
    <x v="0"/>
    <x v="4"/>
    <x v="7"/>
  </r>
  <r>
    <s v="CLM103248"/>
    <s v="PT11277"/>
    <s v="P03"/>
    <x v="0"/>
    <x v="4"/>
    <n v="1"/>
    <d v="2026-05-29T00:00:00"/>
    <d v="2026-06-02T00:00:00"/>
    <n v="38.36"/>
    <n v="20"/>
    <n v="16"/>
    <n v="4"/>
    <s v="Paid"/>
    <s v=""/>
    <d v="2026-07-05T00:00:00"/>
    <d v="2026-07-05T00:00:00"/>
    <n v="38"/>
    <n v="0.47"/>
    <n v="17.86"/>
    <n v="-2.1400000000000006"/>
    <x v="0"/>
    <x v="4"/>
    <x v="7"/>
  </r>
  <r>
    <s v="CLM103249"/>
    <s v="PT13347"/>
    <s v="P01"/>
    <x v="3"/>
    <x v="3"/>
    <n v="10"/>
    <d v="2026-07-28T00:00:00"/>
    <d v="2026-08-03T00:00:00"/>
    <n v="14591.56"/>
    <n v="6191.26"/>
    <n v="5572.13"/>
    <n v="619.13"/>
    <s v="Paid"/>
    <s v=""/>
    <d v="2026-09-05T00:00:00"/>
    <d v="2026-09-05T00:00:00"/>
    <n v="1450"/>
    <n v="0.45"/>
    <n v="6525"/>
    <n v="333.73999999999978"/>
    <x v="1"/>
    <x v="5"/>
    <x v="1"/>
  </r>
  <r>
    <s v="CLM103250"/>
    <s v="PT11742"/>
    <s v="P01"/>
    <x v="2"/>
    <x v="0"/>
    <n v="1"/>
    <d v="2026-01-30T00:00:00"/>
    <d v="2026-02-06T00:00:00"/>
    <n v="143.62"/>
    <n v="65.25"/>
    <n v="52.2"/>
    <n v="13.05"/>
    <s v="Paid"/>
    <s v=""/>
    <d v="2026-03-07T00:00:00"/>
    <d v="2026-03-07T00:00:00"/>
    <n v="145"/>
    <n v="0.45"/>
    <n v="65.25"/>
    <n v="0"/>
    <x v="0"/>
    <x v="5"/>
    <x v="5"/>
  </r>
  <r>
    <s v="CLM103251"/>
    <s v="PT11337"/>
    <s v="P03"/>
    <x v="3"/>
    <x v="7"/>
    <n v="1"/>
    <d v="2026-04-01T00:00:00"/>
    <d v="2026-04-04T00:00:00"/>
    <n v="207.57"/>
    <n v="83.34"/>
    <n v="66.67"/>
    <n v="16.670000000000002"/>
    <s v="Paid"/>
    <s v=""/>
    <d v="2026-04-30T00:00:00"/>
    <d v="2026-04-30T00:00:00"/>
    <n v="210"/>
    <n v="0.47"/>
    <n v="98.7"/>
    <n v="15.36"/>
    <x v="1"/>
    <x v="4"/>
    <x v="10"/>
  </r>
  <r>
    <s v="CLM103252"/>
    <s v="PT13215"/>
    <s v="P01"/>
    <x v="2"/>
    <x v="2"/>
    <n v="3"/>
    <d v="2025-11-15T00:00:00"/>
    <d v="2025-11-17T00:00:00"/>
    <n v="183.67"/>
    <n v="91.35"/>
    <n v="91.35"/>
    <n v="0"/>
    <s v="Paid"/>
    <s v=""/>
    <d v="2025-12-14T00:00:00"/>
    <d v="2025-12-14T00:00:00"/>
    <n v="62"/>
    <n v="0.45"/>
    <n v="83.7"/>
    <n v="-7.6499999999999915"/>
    <x v="0"/>
    <x v="5"/>
    <x v="3"/>
  </r>
  <r>
    <s v="CLM103253"/>
    <s v="PT11660"/>
    <s v="P02"/>
    <x v="1"/>
    <x v="11"/>
    <n v="1"/>
    <d v="2026-02-28T00:00:00"/>
    <d v="2026-03-02T00:00:00"/>
    <n v="1119.7"/>
    <n v="498.51"/>
    <n v="448.66"/>
    <n v="49.85"/>
    <s v="Paid"/>
    <s v=""/>
    <d v="2026-04-07T00:00:00"/>
    <d v="2026-04-07T00:00:00"/>
    <n v="1150"/>
    <n v="0.43"/>
    <n v="494.5"/>
    <n v="-4.0099999999999909"/>
    <x v="0"/>
    <x v="6"/>
    <x v="0"/>
  </r>
  <r>
    <s v="CLM103254"/>
    <s v="PT12960"/>
    <s v="P01"/>
    <x v="0"/>
    <x v="8"/>
    <n v="1"/>
    <d v="2026-02-19T00:00:00"/>
    <d v="2026-02-22T00:00:00"/>
    <n v="262.2"/>
    <n v="126.43"/>
    <n v="101.14"/>
    <n v="25.29"/>
    <s v="Paid"/>
    <s v=""/>
    <d v="2026-03-20T00:00:00"/>
    <d v="2026-03-20T00:00:00"/>
    <n v="260"/>
    <n v="0.45"/>
    <n v="117"/>
    <n v="-9.4300000000000068"/>
    <x v="0"/>
    <x v="5"/>
    <x v="0"/>
  </r>
  <r>
    <s v="CLM103255"/>
    <s v="PT11444"/>
    <s v="P07"/>
    <x v="2"/>
    <x v="0"/>
    <n v="1"/>
    <d v="2026-03-15T00:00:00"/>
    <d v="2026-03-17T00:00:00"/>
    <n v="144.63999999999999"/>
    <m/>
    <m/>
    <m/>
    <s v="Denied"/>
    <s v="CO-11"/>
    <d v="2026-05-14T00:00:00"/>
    <m/>
    <n v="145"/>
    <n v="0.28000000000000003"/>
    <n v="40.6"/>
    <s v=""/>
    <x v="2"/>
    <x v="3"/>
    <x v="2"/>
  </r>
  <r>
    <s v="CLM103256"/>
    <s v="PT10337"/>
    <s v="P01"/>
    <x v="3"/>
    <x v="6"/>
    <n v="1"/>
    <d v="2025-12-27T00:00:00"/>
    <d v="2026-01-08T00:00:00"/>
    <n v="431.17"/>
    <n v="213.91"/>
    <n v="213.91"/>
    <n v="0"/>
    <s v="Paid"/>
    <s v=""/>
    <d v="2026-01-22T00:00:00"/>
    <d v="2026-01-22T00:00:00"/>
    <n v="420"/>
    <n v="0.45"/>
    <n v="189"/>
    <n v="-24.909999999999997"/>
    <x v="0"/>
    <x v="5"/>
    <x v="6"/>
  </r>
  <r>
    <s v="CLM103257"/>
    <s v="PT12304"/>
    <s v="P05"/>
    <x v="3"/>
    <x v="6"/>
    <n v="1"/>
    <d v="2025-12-20T00:00:00"/>
    <d v="2025-12-24T00:00:00"/>
    <n v="428.87"/>
    <n v="147.46"/>
    <n v="132.71"/>
    <n v="14.75"/>
    <s v="Paid"/>
    <s v=""/>
    <d v="2026-02-27T00:00:00"/>
    <d v="2026-02-27T00:00:00"/>
    <n v="420"/>
    <n v="0.38"/>
    <n v="159.6"/>
    <n v="12.139999999999986"/>
    <x v="1"/>
    <x v="0"/>
    <x v="6"/>
  </r>
  <r>
    <s v="CLM103258"/>
    <s v="PT10582"/>
    <s v="P02"/>
    <x v="3"/>
    <x v="6"/>
    <n v="1"/>
    <d v="2025-12-22T00:00:00"/>
    <d v="2025-12-26T00:00:00"/>
    <n v="412.67"/>
    <n v="186.22"/>
    <n v="186.22"/>
    <n v="0"/>
    <s v="Paid"/>
    <s v=""/>
    <d v="2026-01-07T00:00:00"/>
    <d v="2026-01-07T00:00:00"/>
    <n v="420"/>
    <n v="0.43"/>
    <n v="180.6"/>
    <n v="-5.6200000000000045"/>
    <x v="0"/>
    <x v="6"/>
    <x v="6"/>
  </r>
  <r>
    <s v="CLM103259"/>
    <s v="PT12336"/>
    <s v="P04"/>
    <x v="1"/>
    <x v="7"/>
    <n v="1"/>
    <d v="2026-03-23T00:00:00"/>
    <d v="2026-03-26T00:00:00"/>
    <n v="207.09"/>
    <m/>
    <m/>
    <m/>
    <s v="Denied"/>
    <s v="CO-16"/>
    <d v="2026-04-06T00:00:00"/>
    <m/>
    <n v="210"/>
    <n v="0.36"/>
    <n v="75.599999999999994"/>
    <s v=""/>
    <x v="2"/>
    <x v="1"/>
    <x v="2"/>
  </r>
  <r>
    <s v="CLM103260"/>
    <s v="PT11536"/>
    <s v="P01"/>
    <x v="2"/>
    <x v="9"/>
    <n v="4"/>
    <d v="2026-07-16T00:00:00"/>
    <d v="2026-07-25T00:00:00"/>
    <n v="229.49"/>
    <n v="98.15"/>
    <n v="78.52"/>
    <n v="19.63"/>
    <s v="Paid"/>
    <s v=""/>
    <d v="2026-08-20T00:00:00"/>
    <d v="2026-08-20T00:00:00"/>
    <n v="58"/>
    <n v="0.45"/>
    <n v="104.4"/>
    <n v="6.25"/>
    <x v="1"/>
    <x v="5"/>
    <x v="1"/>
  </r>
  <r>
    <s v="CLM103261"/>
    <s v="PT11110"/>
    <s v="P01"/>
    <x v="3"/>
    <x v="6"/>
    <n v="1"/>
    <d v="2026-02-23T00:00:00"/>
    <d v="2026-02-25T00:00:00"/>
    <n v="417.91"/>
    <n v="202.56"/>
    <n v="202.56"/>
    <n v="0"/>
    <s v="Paid"/>
    <s v=""/>
    <d v="2026-03-19T00:00:00"/>
    <d v="2026-03-19T00:00:00"/>
    <n v="420"/>
    <n v="0.45"/>
    <n v="189"/>
    <n v="-13.560000000000002"/>
    <x v="0"/>
    <x v="5"/>
    <x v="0"/>
  </r>
  <r>
    <s v="CLM103262"/>
    <s v="PT10773"/>
    <s v="P01"/>
    <x v="1"/>
    <x v="11"/>
    <n v="1"/>
    <d v="2026-04-22T00:00:00"/>
    <d v="2026-04-23T00:00:00"/>
    <n v="1170.05"/>
    <n v="457.11"/>
    <n v="365.69"/>
    <n v="91.42"/>
    <s v="Paid"/>
    <s v=""/>
    <d v="2026-05-11T00:00:00"/>
    <d v="2026-05-11T00:00:00"/>
    <n v="1150"/>
    <n v="0.45"/>
    <n v="517.5"/>
    <n v="60.389999999999986"/>
    <x v="1"/>
    <x v="5"/>
    <x v="10"/>
  </r>
  <r>
    <s v="CLM103263"/>
    <s v="PT11174"/>
    <s v="P04"/>
    <x v="0"/>
    <x v="7"/>
    <n v="1"/>
    <d v="2026-03-28T00:00:00"/>
    <d v="2026-04-06T00:00:00"/>
    <n v="216.26"/>
    <n v="71.040000000000006"/>
    <n v="71.040000000000006"/>
    <n v="0"/>
    <s v="Paid"/>
    <s v=""/>
    <d v="2026-04-22T00:00:00"/>
    <d v="2026-04-22T00:00:00"/>
    <n v="210"/>
    <n v="0.36"/>
    <n v="75.599999999999994"/>
    <n v="4.5599999999999881"/>
    <x v="1"/>
    <x v="1"/>
    <x v="2"/>
  </r>
  <r>
    <s v="CLM103264"/>
    <s v="PT10250"/>
    <s v="P01"/>
    <x v="1"/>
    <x v="1"/>
    <n v="1"/>
    <d v="2025-11-13T00:00:00"/>
    <d v="2025-11-20T00:00:00"/>
    <n v="244.38"/>
    <m/>
    <m/>
    <m/>
    <s v="Denied"/>
    <s v="CO-16"/>
    <d v="2025-12-17T00:00:00"/>
    <m/>
    <n v="240"/>
    <n v="0.45"/>
    <n v="108"/>
    <s v=""/>
    <x v="2"/>
    <x v="5"/>
    <x v="3"/>
  </r>
  <r>
    <s v="CLM103265"/>
    <s v="PT10911"/>
    <s v="P04"/>
    <x v="1"/>
    <x v="10"/>
    <n v="1"/>
    <d v="2026-05-09T00:00:00"/>
    <d v="2026-05-10T00:00:00"/>
    <n v="1021.92"/>
    <m/>
    <m/>
    <m/>
    <s v="Denied"/>
    <s v="CO-16"/>
    <d v="2026-05-19T00:00:00"/>
    <m/>
    <n v="1050"/>
    <n v="0.36"/>
    <n v="378"/>
    <s v=""/>
    <x v="2"/>
    <x v="1"/>
    <x v="7"/>
  </r>
  <r>
    <s v="CLM103266"/>
    <s v="PT13134"/>
    <s v="P04"/>
    <x v="2"/>
    <x v="2"/>
    <n v="2"/>
    <d v="2026-05-01T00:00:00"/>
    <d v="2026-05-07T00:00:00"/>
    <n v="125.67"/>
    <n v="49.23"/>
    <n v="44.31"/>
    <n v="4.92"/>
    <s v="Paid"/>
    <s v=""/>
    <d v="2026-05-14T00:00:00"/>
    <d v="2026-05-14T00:00:00"/>
    <n v="62"/>
    <n v="0.36"/>
    <n v="44.64"/>
    <n v="-4.5899999999999963"/>
    <x v="0"/>
    <x v="1"/>
    <x v="7"/>
  </r>
  <r>
    <s v="CLM103267"/>
    <s v="PT13301"/>
    <s v="P02"/>
    <x v="2"/>
    <x v="9"/>
    <n v="1"/>
    <d v="2026-03-28T00:00:00"/>
    <d v="2026-04-06T00:00:00"/>
    <n v="57.41"/>
    <n v="24.58"/>
    <n v="22.12"/>
    <n v="2.46"/>
    <s v="Paid"/>
    <s v=""/>
    <d v="2026-05-13T00:00:00"/>
    <d v="2026-05-13T00:00:00"/>
    <n v="58"/>
    <n v="0.43"/>
    <n v="24.94"/>
    <n v="0.36000000000000298"/>
    <x v="0"/>
    <x v="6"/>
    <x v="2"/>
  </r>
  <r>
    <s v="CLM103268"/>
    <s v="PT10787"/>
    <s v="P01"/>
    <x v="2"/>
    <x v="9"/>
    <n v="1"/>
    <d v="2025-11-26T00:00:00"/>
    <d v="2025-11-27T00:00:00"/>
    <n v="59.4"/>
    <n v="25.66"/>
    <n v="25.66"/>
    <n v="0"/>
    <s v="Paid"/>
    <s v=""/>
    <d v="2025-12-25T00:00:00"/>
    <d v="2025-12-25T00:00:00"/>
    <n v="58"/>
    <n v="0.45"/>
    <n v="26.1"/>
    <n v="0.44000000000000128"/>
    <x v="0"/>
    <x v="5"/>
    <x v="3"/>
  </r>
  <r>
    <s v="CLM103269"/>
    <s v="PT11377"/>
    <s v="P04"/>
    <x v="3"/>
    <x v="3"/>
    <n v="10"/>
    <d v="2025-11-12T00:00:00"/>
    <d v="2025-11-18T00:00:00"/>
    <n v="14382.74"/>
    <m/>
    <m/>
    <m/>
    <s v="Denied"/>
    <s v="CO-27"/>
    <d v="2025-12-07T00:00:00"/>
    <m/>
    <n v="1450"/>
    <n v="0.36"/>
    <n v="5220"/>
    <s v=""/>
    <x v="2"/>
    <x v="1"/>
    <x v="3"/>
  </r>
  <r>
    <s v="CLM103270"/>
    <s v="PT12589"/>
    <s v="P01"/>
    <x v="1"/>
    <x v="8"/>
    <n v="1"/>
    <d v="2026-02-06T00:00:00"/>
    <d v="2026-02-07T00:00:00"/>
    <n v="252.47"/>
    <n v="96.44"/>
    <n v="86.8"/>
    <n v="9.64"/>
    <s v="Paid"/>
    <s v=""/>
    <d v="2026-02-22T00:00:00"/>
    <d v="2026-02-22T00:00:00"/>
    <n v="260"/>
    <n v="0.45"/>
    <n v="117"/>
    <n v="20.560000000000002"/>
    <x v="1"/>
    <x v="5"/>
    <x v="0"/>
  </r>
  <r>
    <s v="CLM103271"/>
    <s v="PT11170"/>
    <s v="P06"/>
    <x v="2"/>
    <x v="0"/>
    <n v="1"/>
    <d v="2026-03-06T00:00:00"/>
    <d v="2026-03-09T00:00:00"/>
    <n v="147.74"/>
    <n v="44.91"/>
    <n v="35.93"/>
    <n v="8.98"/>
    <s v="Paid"/>
    <s v=""/>
    <d v="2026-04-25T00:00:00"/>
    <d v="2026-04-25T00:00:00"/>
    <n v="145"/>
    <n v="0.27"/>
    <n v="39.15"/>
    <n v="-5.759999999999998"/>
    <x v="0"/>
    <x v="2"/>
    <x v="2"/>
  </r>
  <r>
    <s v="CLM103272"/>
    <s v="PT10219"/>
    <s v="P05"/>
    <x v="0"/>
    <x v="7"/>
    <n v="1"/>
    <d v="2026-02-08T00:00:00"/>
    <d v="2026-02-11T00:00:00"/>
    <n v="212.03"/>
    <n v="90.98"/>
    <n v="81.88"/>
    <n v="9.1"/>
    <s v="Paid"/>
    <s v=""/>
    <d v="2026-03-29T00:00:00"/>
    <d v="2026-03-29T00:00:00"/>
    <n v="210"/>
    <n v="0.38"/>
    <n v="79.8"/>
    <n v="-11.180000000000007"/>
    <x v="0"/>
    <x v="0"/>
    <x v="0"/>
  </r>
  <r>
    <s v="CLM103273"/>
    <s v="PT11479"/>
    <s v="P06"/>
    <x v="0"/>
    <x v="8"/>
    <n v="1"/>
    <d v="2025-12-26T00:00:00"/>
    <d v="2025-12-31T00:00:00"/>
    <n v="257.58"/>
    <m/>
    <m/>
    <m/>
    <s v="Denied"/>
    <s v="CO-11"/>
    <d v="2026-02-10T00:00:00"/>
    <m/>
    <n v="260"/>
    <n v="0.27"/>
    <n v="70.2"/>
    <s v=""/>
    <x v="2"/>
    <x v="2"/>
    <x v="6"/>
  </r>
  <r>
    <s v="CLM103274"/>
    <s v="PT13400"/>
    <s v="P04"/>
    <x v="0"/>
    <x v="7"/>
    <n v="1"/>
    <d v="2026-06-29T00:00:00"/>
    <d v="2026-07-03T00:00:00"/>
    <n v="216.13"/>
    <n v="80.03"/>
    <n v="72.03"/>
    <n v="8"/>
    <s v="Paid"/>
    <s v=""/>
    <d v="2026-07-27T00:00:00"/>
    <d v="2026-07-27T00:00:00"/>
    <n v="210"/>
    <n v="0.36"/>
    <n v="75.599999999999994"/>
    <n v="-4.4300000000000068"/>
    <x v="0"/>
    <x v="1"/>
    <x v="11"/>
  </r>
  <r>
    <s v="CLM103275"/>
    <s v="PT13425"/>
    <s v="P02"/>
    <x v="0"/>
    <x v="0"/>
    <n v="1"/>
    <d v="2026-03-20T00:00:00"/>
    <d v="2026-03-21T00:00:00"/>
    <n v="146.09"/>
    <n v="64.09"/>
    <n v="57.68"/>
    <n v="6.41"/>
    <s v="Paid"/>
    <s v=""/>
    <d v="2026-04-12T00:00:00"/>
    <d v="2026-04-12T00:00:00"/>
    <n v="145"/>
    <n v="0.43"/>
    <n v="62.35"/>
    <n v="-1.740000000000002"/>
    <x v="0"/>
    <x v="6"/>
    <x v="2"/>
  </r>
  <r>
    <s v="CLM103276"/>
    <s v="PT10695"/>
    <s v="P08"/>
    <x v="2"/>
    <x v="0"/>
    <n v="1"/>
    <d v="2026-03-02T00:00:00"/>
    <d v="2026-03-08T00:00:00"/>
    <n v="144.41"/>
    <n v="144.41"/>
    <n v="144.41"/>
    <n v="0"/>
    <s v="Paid"/>
    <s v=""/>
    <d v="2026-06-08T00:00:00"/>
    <d v="2026-06-08T00:00:00"/>
    <n v="145"/>
    <n v="1"/>
    <n v="145"/>
    <n v="0.59000000000000341"/>
    <x v="0"/>
    <x v="7"/>
    <x v="2"/>
  </r>
  <r>
    <s v="CLM103277"/>
    <s v="PT10038"/>
    <s v="P08"/>
    <x v="1"/>
    <x v="7"/>
    <n v="1"/>
    <d v="2026-06-27T00:00:00"/>
    <d v="2026-07-01T00:00:00"/>
    <n v="208.43"/>
    <m/>
    <m/>
    <m/>
    <s v="Pending"/>
    <s v=""/>
    <m/>
    <m/>
    <n v="210"/>
    <n v="1"/>
    <n v="210"/>
    <s v=""/>
    <x v="2"/>
    <x v="7"/>
    <x v="11"/>
  </r>
  <r>
    <s v="CLM103278"/>
    <s v="PT12523"/>
    <s v="P04"/>
    <x v="3"/>
    <x v="7"/>
    <n v="1"/>
    <d v="2026-06-07T00:00:00"/>
    <d v="2026-06-09T00:00:00"/>
    <n v="211.25"/>
    <m/>
    <m/>
    <m/>
    <s v="Denied"/>
    <s v="CO-18"/>
    <d v="2026-06-25T00:00:00"/>
    <m/>
    <n v="210"/>
    <n v="0.36"/>
    <n v="75.599999999999994"/>
    <s v=""/>
    <x v="2"/>
    <x v="1"/>
    <x v="11"/>
  </r>
  <r>
    <s v="CLM103279"/>
    <s v="PT12857"/>
    <s v="P01"/>
    <x v="1"/>
    <x v="10"/>
    <n v="1"/>
    <d v="2026-08-25T00:00:00"/>
    <d v="2026-09-04T00:00:00"/>
    <n v="1078.54"/>
    <m/>
    <m/>
    <m/>
    <s v="Pending"/>
    <s v=""/>
    <m/>
    <m/>
    <n v="1050"/>
    <n v="0.45"/>
    <n v="472.5"/>
    <s v=""/>
    <x v="2"/>
    <x v="5"/>
    <x v="4"/>
  </r>
  <r>
    <s v="CLM103280"/>
    <s v="PT13484"/>
    <s v="P05"/>
    <x v="1"/>
    <x v="5"/>
    <n v="1"/>
    <d v="2026-09-07T00:00:00"/>
    <d v="2026-09-10T00:00:00"/>
    <n v="4678.09"/>
    <m/>
    <m/>
    <m/>
    <s v="Pending"/>
    <s v=""/>
    <m/>
    <m/>
    <n v="4800"/>
    <n v="0.38"/>
    <n v="1824"/>
    <s v=""/>
    <x v="2"/>
    <x v="0"/>
    <x v="8"/>
  </r>
  <r>
    <s v="CLM103281"/>
    <s v="PT13284"/>
    <s v="P01"/>
    <x v="0"/>
    <x v="7"/>
    <n v="1"/>
    <d v="2025-11-20T00:00:00"/>
    <d v="2025-11-22T00:00:00"/>
    <n v="206.49"/>
    <n v="95.45"/>
    <n v="95.45"/>
    <n v="0"/>
    <s v="Paid"/>
    <s v=""/>
    <d v="2025-12-20T00:00:00"/>
    <d v="2025-12-20T00:00:00"/>
    <n v="210"/>
    <n v="0.45"/>
    <n v="94.5"/>
    <n v="-0.95000000000000284"/>
    <x v="0"/>
    <x v="5"/>
    <x v="3"/>
  </r>
  <r>
    <s v="CLM103282"/>
    <s v="PT10514"/>
    <s v="P02"/>
    <x v="3"/>
    <x v="3"/>
    <n v="20"/>
    <d v="2026-02-15T00:00:00"/>
    <d v="2026-02-23T00:00:00"/>
    <n v="28967.69"/>
    <n v="11569.15"/>
    <n v="11569.15"/>
    <n v="0"/>
    <s v="Paid"/>
    <s v=""/>
    <d v="2026-03-31T00:00:00"/>
    <d v="2026-03-31T00:00:00"/>
    <n v="1450"/>
    <n v="0.43"/>
    <n v="12470"/>
    <n v="900.85000000000036"/>
    <x v="1"/>
    <x v="6"/>
    <x v="0"/>
  </r>
  <r>
    <s v="CLM103283"/>
    <s v="PT12134"/>
    <s v="P03"/>
    <x v="3"/>
    <x v="6"/>
    <n v="1"/>
    <d v="2026-06-15T00:00:00"/>
    <d v="2026-06-16T00:00:00"/>
    <n v="415.93"/>
    <n v="169.15"/>
    <n v="135.32"/>
    <n v="33.83"/>
    <s v="Paid"/>
    <s v=""/>
    <d v="2026-08-14T00:00:00"/>
    <d v="2026-08-14T00:00:00"/>
    <n v="420"/>
    <n v="0.47"/>
    <n v="197.4"/>
    <n v="28.25"/>
    <x v="1"/>
    <x v="4"/>
    <x v="11"/>
  </r>
  <r>
    <s v="CLM103284"/>
    <s v="PT10176"/>
    <s v="P02"/>
    <x v="2"/>
    <x v="2"/>
    <n v="1"/>
    <d v="2026-05-28T00:00:00"/>
    <d v="2026-05-30T00:00:00"/>
    <n v="62.72"/>
    <n v="29.81"/>
    <n v="26.83"/>
    <n v="2.98"/>
    <s v="Paid"/>
    <s v=""/>
    <d v="2026-06-06T00:00:00"/>
    <d v="2026-06-06T00:00:00"/>
    <n v="62"/>
    <n v="0.43"/>
    <n v="26.66"/>
    <n v="-3.1499999999999986"/>
    <x v="0"/>
    <x v="6"/>
    <x v="7"/>
  </r>
  <r>
    <s v="CLM103285"/>
    <s v="PT10489"/>
    <s v="P07"/>
    <x v="0"/>
    <x v="4"/>
    <n v="1"/>
    <d v="2026-01-31T00:00:00"/>
    <d v="2026-02-03T00:00:00"/>
    <n v="37.74"/>
    <m/>
    <m/>
    <m/>
    <s v="Denied"/>
    <s v="CO-4"/>
    <d v="2026-05-02T00:00:00"/>
    <m/>
    <n v="38"/>
    <n v="0.28000000000000003"/>
    <n v="10.64"/>
    <s v=""/>
    <x v="2"/>
    <x v="3"/>
    <x v="5"/>
  </r>
  <r>
    <s v="CLM103286"/>
    <s v="PT11528"/>
    <s v="P01"/>
    <x v="1"/>
    <x v="8"/>
    <n v="1"/>
    <d v="2026-07-28T00:00:00"/>
    <d v="2026-08-14T00:00:00"/>
    <n v="257.41000000000003"/>
    <n v="107.21"/>
    <n v="107.21"/>
    <n v="0"/>
    <s v="Paid"/>
    <s v=""/>
    <d v="2026-09-08T00:00:00"/>
    <d v="2026-09-08T00:00:00"/>
    <n v="260"/>
    <n v="0.45"/>
    <n v="117"/>
    <n v="9.7900000000000063"/>
    <x v="1"/>
    <x v="5"/>
    <x v="1"/>
  </r>
  <r>
    <s v="CLM103287"/>
    <s v="PT13463"/>
    <s v="P01"/>
    <x v="0"/>
    <x v="4"/>
    <n v="1"/>
    <d v="2025-12-05T00:00:00"/>
    <d v="2025-12-06T00:00:00"/>
    <n v="37.049999999999997"/>
    <n v="18.77"/>
    <n v="15.02"/>
    <n v="3.75"/>
    <s v="Paid"/>
    <s v=""/>
    <d v="2026-01-05T00:00:00"/>
    <d v="2026-01-05T00:00:00"/>
    <n v="38"/>
    <n v="0.45"/>
    <n v="17.100000000000001"/>
    <n v="-1.6699999999999982"/>
    <x v="0"/>
    <x v="5"/>
    <x v="6"/>
  </r>
  <r>
    <s v="CLM103288"/>
    <s v="PT12570"/>
    <s v="P04"/>
    <x v="3"/>
    <x v="6"/>
    <n v="1"/>
    <d v="2026-09-24T00:00:00"/>
    <d v="2026-09-28T00:00:00"/>
    <n v="429.51"/>
    <m/>
    <m/>
    <m/>
    <s v="Pending"/>
    <s v=""/>
    <m/>
    <m/>
    <n v="420"/>
    <n v="0.36"/>
    <n v="151.19999999999999"/>
    <s v=""/>
    <x v="2"/>
    <x v="1"/>
    <x v="8"/>
  </r>
  <r>
    <s v="CLM103289"/>
    <s v="PT11064"/>
    <s v="P05"/>
    <x v="0"/>
    <x v="4"/>
    <n v="1"/>
    <d v="2025-11-13T00:00:00"/>
    <d v="2025-11-24T00:00:00"/>
    <n v="38.159999999999997"/>
    <m/>
    <m/>
    <m/>
    <s v="Denied"/>
    <s v="CO-16"/>
    <d v="2026-01-02T00:00:00"/>
    <m/>
    <n v="38"/>
    <n v="0.38"/>
    <n v="14.44"/>
    <s v=""/>
    <x v="2"/>
    <x v="0"/>
    <x v="3"/>
  </r>
  <r>
    <s v="CLM103290"/>
    <s v="PT11153"/>
    <s v="P01"/>
    <x v="0"/>
    <x v="7"/>
    <n v="1"/>
    <d v="2026-03-27T00:00:00"/>
    <d v="2026-04-02T00:00:00"/>
    <n v="213.95"/>
    <n v="85.29"/>
    <n v="68.23"/>
    <n v="17.059999999999999"/>
    <s v="Paid"/>
    <s v=""/>
    <d v="2026-05-04T00:00:00"/>
    <d v="2026-05-04T00:00:00"/>
    <n v="210"/>
    <n v="0.45"/>
    <n v="94.5"/>
    <n v="9.2099999999999937"/>
    <x v="1"/>
    <x v="5"/>
    <x v="2"/>
  </r>
  <r>
    <s v="CLM103291"/>
    <s v="PT10998"/>
    <s v="P01"/>
    <x v="0"/>
    <x v="0"/>
    <n v="1"/>
    <d v="2026-04-18T00:00:00"/>
    <d v="2026-04-19T00:00:00"/>
    <n v="142.41999999999999"/>
    <n v="65.5"/>
    <n v="52.4"/>
    <n v="13.1"/>
    <s v="Paid"/>
    <s v=""/>
    <d v="2026-05-17T00:00:00"/>
    <d v="2026-05-17T00:00:00"/>
    <n v="145"/>
    <n v="0.45"/>
    <n v="65.25"/>
    <n v="-0.25"/>
    <x v="0"/>
    <x v="5"/>
    <x v="10"/>
  </r>
  <r>
    <s v="CLM103292"/>
    <s v="PT10772"/>
    <s v="P06"/>
    <x v="0"/>
    <x v="0"/>
    <n v="1"/>
    <d v="2026-04-04T00:00:00"/>
    <d v="2026-04-06T00:00:00"/>
    <n v="146.46"/>
    <n v="38.56"/>
    <n v="30.85"/>
    <n v="7.71"/>
    <s v="Paid"/>
    <s v=""/>
    <d v="2026-05-20T00:00:00"/>
    <d v="2026-05-20T00:00:00"/>
    <n v="145"/>
    <n v="0.27"/>
    <n v="39.15"/>
    <n v="0.58999999999999631"/>
    <x v="0"/>
    <x v="2"/>
    <x v="10"/>
  </r>
  <r>
    <s v="CLM103293"/>
    <s v="PT13278"/>
    <s v="P01"/>
    <x v="0"/>
    <x v="4"/>
    <n v="1"/>
    <d v="2026-03-30T00:00:00"/>
    <d v="2026-04-01T00:00:00"/>
    <n v="37.979999999999997"/>
    <n v="15.97"/>
    <n v="14.37"/>
    <n v="1.6"/>
    <s v="Paid"/>
    <s v=""/>
    <d v="2026-05-03T00:00:00"/>
    <d v="2026-05-03T00:00:00"/>
    <n v="38"/>
    <n v="0.45"/>
    <n v="17.100000000000001"/>
    <n v="1.1300000000000008"/>
    <x v="1"/>
    <x v="5"/>
    <x v="2"/>
  </r>
  <r>
    <s v="CLM103294"/>
    <s v="PT11263"/>
    <s v="P02"/>
    <x v="1"/>
    <x v="5"/>
    <n v="1"/>
    <d v="2025-10-05T00:00:00"/>
    <d v="2025-10-10T00:00:00"/>
    <n v="4897.37"/>
    <m/>
    <m/>
    <m/>
    <s v="Denied"/>
    <s v="CO-16"/>
    <d v="2025-11-26T00:00:00"/>
    <m/>
    <n v="4800"/>
    <n v="0.43"/>
    <n v="2064"/>
    <s v=""/>
    <x v="2"/>
    <x v="6"/>
    <x v="9"/>
  </r>
  <r>
    <s v="CLM103295"/>
    <s v="PT12968"/>
    <s v="P02"/>
    <x v="1"/>
    <x v="10"/>
    <n v="1"/>
    <d v="2026-09-21T00:00:00"/>
    <d v="2026-09-22T00:00:00"/>
    <n v="1080.68"/>
    <m/>
    <m/>
    <m/>
    <s v="Pending"/>
    <s v=""/>
    <m/>
    <m/>
    <n v="1050"/>
    <n v="0.43"/>
    <n v="451.5"/>
    <s v=""/>
    <x v="2"/>
    <x v="6"/>
    <x v="8"/>
  </r>
  <r>
    <s v="CLM103296"/>
    <s v="PT12812"/>
    <s v="P06"/>
    <x v="1"/>
    <x v="11"/>
    <n v="1"/>
    <d v="2025-11-11T00:00:00"/>
    <d v="2025-11-14T00:00:00"/>
    <n v="1123.5"/>
    <n v="257.37"/>
    <n v="257.37"/>
    <n v="0"/>
    <s v="Paid"/>
    <s v=""/>
    <d v="2025-12-25T00:00:00"/>
    <d v="2025-12-25T00:00:00"/>
    <n v="1150"/>
    <n v="0.27"/>
    <n v="310.5"/>
    <n v="53.129999999999995"/>
    <x v="1"/>
    <x v="2"/>
    <x v="3"/>
  </r>
  <r>
    <s v="CLM103297"/>
    <s v="PT12660"/>
    <s v="P05"/>
    <x v="2"/>
    <x v="0"/>
    <n v="1"/>
    <d v="2026-07-26T00:00:00"/>
    <d v="2026-07-31T00:00:00"/>
    <n v="143.52000000000001"/>
    <m/>
    <m/>
    <m/>
    <s v="Pending"/>
    <s v=""/>
    <m/>
    <m/>
    <n v="145"/>
    <n v="0.38"/>
    <n v="55.1"/>
    <s v=""/>
    <x v="2"/>
    <x v="0"/>
    <x v="1"/>
  </r>
  <r>
    <s v="CLM103298"/>
    <s v="PT11736"/>
    <s v="P05"/>
    <x v="2"/>
    <x v="2"/>
    <n v="4"/>
    <d v="2025-11-18T00:00:00"/>
    <d v="2026-03-24T00:00:00"/>
    <n v="254.4"/>
    <m/>
    <m/>
    <m/>
    <s v="Denied"/>
    <s v="CO-29"/>
    <d v="2026-06-04T00:00:00"/>
    <m/>
    <n v="62"/>
    <n v="0.38"/>
    <n v="94.24"/>
    <s v=""/>
    <x v="2"/>
    <x v="0"/>
    <x v="3"/>
  </r>
  <r>
    <s v="CLM103299"/>
    <s v="PT13477"/>
    <s v="P02"/>
    <x v="0"/>
    <x v="7"/>
    <n v="1"/>
    <d v="2026-08-12T00:00:00"/>
    <d v="2026-08-13T00:00:00"/>
    <n v="207.53"/>
    <m/>
    <m/>
    <m/>
    <s v="Denied"/>
    <s v="CO-16"/>
    <d v="2026-09-08T00:00:00"/>
    <m/>
    <n v="210"/>
    <n v="0.43"/>
    <n v="90.3"/>
    <s v=""/>
    <x v="2"/>
    <x v="6"/>
    <x v="4"/>
  </r>
  <r>
    <s v="CLM103300"/>
    <s v="PT13410"/>
    <s v="P01"/>
    <x v="1"/>
    <x v="8"/>
    <n v="1"/>
    <d v="2026-09-16T00:00:00"/>
    <d v="2026-09-17T00:00:00"/>
    <n v="259.86"/>
    <m/>
    <m/>
    <m/>
    <s v="Pending"/>
    <s v=""/>
    <m/>
    <m/>
    <n v="260"/>
    <n v="0.45"/>
    <n v="117"/>
    <s v=""/>
    <x v="2"/>
    <x v="5"/>
    <x v="8"/>
  </r>
  <r>
    <s v="CLM103301"/>
    <s v="PT13029"/>
    <s v="P01"/>
    <x v="1"/>
    <x v="11"/>
    <n v="1"/>
    <d v="2026-08-21T00:00:00"/>
    <d v="2026-08-26T00:00:00"/>
    <n v="1163.01"/>
    <m/>
    <m/>
    <m/>
    <s v="Pending"/>
    <s v=""/>
    <m/>
    <m/>
    <n v="1150"/>
    <n v="0.45"/>
    <n v="517.5"/>
    <s v=""/>
    <x v="2"/>
    <x v="5"/>
    <x v="4"/>
  </r>
  <r>
    <s v="CLM103302"/>
    <s v="PT12996"/>
    <s v="P08"/>
    <x v="0"/>
    <x v="4"/>
    <n v="1"/>
    <d v="2026-03-18T00:00:00"/>
    <d v="2026-03-26T00:00:00"/>
    <n v="37.81"/>
    <n v="37.81"/>
    <n v="37.81"/>
    <n v="0"/>
    <s v="Paid"/>
    <s v=""/>
    <d v="2026-05-17T00:00:00"/>
    <d v="2026-05-17T00:00:00"/>
    <n v="38"/>
    <n v="1"/>
    <n v="38"/>
    <n v="0.18999999999999773"/>
    <x v="0"/>
    <x v="7"/>
    <x v="2"/>
  </r>
  <r>
    <s v="CLM103303"/>
    <s v="PT11350"/>
    <s v="P02"/>
    <x v="1"/>
    <x v="11"/>
    <n v="1"/>
    <d v="2026-05-21T00:00:00"/>
    <d v="2026-05-24T00:00:00"/>
    <n v="1153.83"/>
    <m/>
    <m/>
    <m/>
    <s v="Denied"/>
    <s v="CO-16"/>
    <d v="2026-07-09T00:00:00"/>
    <m/>
    <n v="1150"/>
    <n v="0.43"/>
    <n v="494.5"/>
    <s v=""/>
    <x v="2"/>
    <x v="6"/>
    <x v="7"/>
  </r>
  <r>
    <s v="CLM103304"/>
    <s v="PT12404"/>
    <s v="P04"/>
    <x v="1"/>
    <x v="4"/>
    <n v="1"/>
    <d v="2026-06-16T00:00:00"/>
    <d v="2026-06-19T00:00:00"/>
    <n v="37.4"/>
    <n v="11.39"/>
    <n v="10.25"/>
    <n v="1.1399999999999999"/>
    <s v="Paid"/>
    <s v=""/>
    <d v="2026-07-05T00:00:00"/>
    <d v="2026-07-05T00:00:00"/>
    <n v="38"/>
    <n v="0.36"/>
    <n v="13.68"/>
    <n v="2.2899999999999991"/>
    <x v="1"/>
    <x v="1"/>
    <x v="11"/>
  </r>
  <r>
    <s v="CLM103305"/>
    <s v="PT13437"/>
    <s v="P03"/>
    <x v="0"/>
    <x v="4"/>
    <n v="1"/>
    <d v="2026-07-22T00:00:00"/>
    <d v="2026-07-25T00:00:00"/>
    <n v="37.06"/>
    <m/>
    <m/>
    <m/>
    <s v="Denied"/>
    <s v="CO-18"/>
    <d v="2026-08-27T00:00:00"/>
    <m/>
    <n v="38"/>
    <n v="0.47"/>
    <n v="17.86"/>
    <s v=""/>
    <x v="2"/>
    <x v="4"/>
    <x v="1"/>
  </r>
  <r>
    <s v="CLM103306"/>
    <s v="PT10097"/>
    <s v="P08"/>
    <x v="2"/>
    <x v="2"/>
    <n v="2"/>
    <d v="2026-09-26T00:00:00"/>
    <d v="2026-09-30T00:00:00"/>
    <n v="121.09"/>
    <m/>
    <m/>
    <m/>
    <s v="Pending"/>
    <s v=""/>
    <m/>
    <m/>
    <n v="62"/>
    <n v="1"/>
    <n v="124"/>
    <s v=""/>
    <x v="2"/>
    <x v="7"/>
    <x v="8"/>
  </r>
  <r>
    <s v="CLM103307"/>
    <s v="PT11876"/>
    <s v="P04"/>
    <x v="2"/>
    <x v="2"/>
    <n v="1"/>
    <d v="2026-07-15T00:00:00"/>
    <d v="2026-07-17T00:00:00"/>
    <n v="62.3"/>
    <n v="20.73"/>
    <n v="18.66"/>
    <n v="2.0699999999999998"/>
    <s v="Paid"/>
    <s v=""/>
    <d v="2026-07-31T00:00:00"/>
    <d v="2026-07-31T00:00:00"/>
    <n v="62"/>
    <n v="0.36"/>
    <n v="22.32"/>
    <n v="1.5899999999999999"/>
    <x v="1"/>
    <x v="1"/>
    <x v="1"/>
  </r>
  <r>
    <s v="CLM103308"/>
    <s v="PT12896"/>
    <s v="P07"/>
    <x v="0"/>
    <x v="4"/>
    <n v="1"/>
    <d v="2025-11-09T00:00:00"/>
    <d v="2025-11-11T00:00:00"/>
    <n v="38.51"/>
    <n v="11.89"/>
    <n v="11.89"/>
    <n v="0"/>
    <s v="Paid"/>
    <s v=""/>
    <d v="2026-01-01T00:00:00"/>
    <d v="2026-01-01T00:00:00"/>
    <n v="38"/>
    <n v="0.28000000000000003"/>
    <n v="10.64"/>
    <n v="-1.25"/>
    <x v="0"/>
    <x v="3"/>
    <x v="3"/>
  </r>
  <r>
    <s v="CLM103309"/>
    <s v="PT13036"/>
    <s v="P05"/>
    <x v="2"/>
    <x v="2"/>
    <n v="1"/>
    <d v="2026-08-01T00:00:00"/>
    <d v="2026-08-07T00:00:00"/>
    <n v="62.82"/>
    <m/>
    <m/>
    <m/>
    <s v="Pending"/>
    <s v=""/>
    <m/>
    <m/>
    <n v="62"/>
    <n v="0.38"/>
    <n v="23.56"/>
    <s v=""/>
    <x v="2"/>
    <x v="0"/>
    <x v="4"/>
  </r>
  <r>
    <s v="CLM103310"/>
    <s v="PT10125"/>
    <s v="P01"/>
    <x v="3"/>
    <x v="6"/>
    <n v="1"/>
    <d v="2026-07-30T00:00:00"/>
    <d v="2026-08-01T00:00:00"/>
    <n v="426.47"/>
    <m/>
    <m/>
    <m/>
    <s v="Denied"/>
    <s v="CO-197"/>
    <d v="2026-09-08T00:00:00"/>
    <m/>
    <n v="420"/>
    <n v="0.45"/>
    <n v="189"/>
    <s v=""/>
    <x v="2"/>
    <x v="5"/>
    <x v="1"/>
  </r>
  <r>
    <s v="CLM103311"/>
    <s v="PT12739"/>
    <s v="P01"/>
    <x v="3"/>
    <x v="7"/>
    <n v="1"/>
    <d v="2025-10-18T00:00:00"/>
    <d v="2025-10-21T00:00:00"/>
    <n v="212.59"/>
    <m/>
    <m/>
    <m/>
    <s v="Denied"/>
    <s v="CO-50"/>
    <d v="2025-11-24T00:00:00"/>
    <m/>
    <n v="210"/>
    <n v="0.45"/>
    <n v="94.5"/>
    <s v=""/>
    <x v="2"/>
    <x v="5"/>
    <x v="9"/>
  </r>
  <r>
    <s v="CLM103312"/>
    <s v="PT10671"/>
    <s v="P07"/>
    <x v="0"/>
    <x v="0"/>
    <n v="1"/>
    <d v="2025-12-20T00:00:00"/>
    <d v="2025-12-30T00:00:00"/>
    <n v="140.75"/>
    <n v="38"/>
    <n v="30.4"/>
    <n v="7.6"/>
    <s v="Paid"/>
    <s v=""/>
    <d v="2026-01-09T00:00:00"/>
    <d v="2026-01-09T00:00:00"/>
    <n v="145"/>
    <n v="0.28000000000000003"/>
    <n v="40.6"/>
    <n v="2.6000000000000014"/>
    <x v="1"/>
    <x v="3"/>
    <x v="6"/>
  </r>
  <r>
    <s v="CLM103313"/>
    <s v="PT11884"/>
    <s v="P04"/>
    <x v="2"/>
    <x v="2"/>
    <n v="1"/>
    <d v="2026-01-23T00:00:00"/>
    <d v="2026-01-26T00:00:00"/>
    <n v="63.02"/>
    <n v="22.13"/>
    <n v="22.13"/>
    <n v="0"/>
    <s v="Paid"/>
    <s v=""/>
    <d v="2026-02-15T00:00:00"/>
    <d v="2026-02-15T00:00:00"/>
    <n v="62"/>
    <n v="0.36"/>
    <n v="22.32"/>
    <n v="0.19000000000000128"/>
    <x v="0"/>
    <x v="1"/>
    <x v="5"/>
  </r>
  <r>
    <s v="CLM103314"/>
    <s v="PT12003"/>
    <s v="P04"/>
    <x v="3"/>
    <x v="7"/>
    <n v="1"/>
    <d v="2025-10-02T00:00:00"/>
    <d v="2025-10-07T00:00:00"/>
    <n v="208.08"/>
    <n v="82.03"/>
    <n v="65.62"/>
    <n v="16.41"/>
    <s v="Paid"/>
    <s v=""/>
    <d v="2025-10-30T00:00:00"/>
    <d v="2025-10-30T00:00:00"/>
    <n v="210"/>
    <n v="0.36"/>
    <n v="75.599999999999994"/>
    <n v="-6.4300000000000068"/>
    <x v="0"/>
    <x v="1"/>
    <x v="9"/>
  </r>
  <r>
    <s v="CLM103315"/>
    <s v="PT12418"/>
    <s v="P02"/>
    <x v="0"/>
    <x v="8"/>
    <n v="1"/>
    <d v="2026-05-19T00:00:00"/>
    <d v="2026-05-21T00:00:00"/>
    <n v="255.34"/>
    <n v="116.83"/>
    <n v="116.83"/>
    <n v="0"/>
    <s v="Paid"/>
    <s v=""/>
    <d v="2026-06-06T00:00:00"/>
    <d v="2026-06-06T00:00:00"/>
    <n v="260"/>
    <n v="0.43"/>
    <n v="111.8"/>
    <n v="-5.0300000000000011"/>
    <x v="0"/>
    <x v="6"/>
    <x v="7"/>
  </r>
  <r>
    <s v="CLM103316"/>
    <s v="PT12186"/>
    <s v="P02"/>
    <x v="2"/>
    <x v="9"/>
    <n v="3"/>
    <d v="2026-05-06T00:00:00"/>
    <d v="2026-05-09T00:00:00"/>
    <n v="175.61"/>
    <n v="64.56"/>
    <n v="51.65"/>
    <n v="12.91"/>
    <s v="Paid"/>
    <s v=""/>
    <d v="2026-05-25T00:00:00"/>
    <d v="2026-05-25T00:00:00"/>
    <n v="58"/>
    <n v="0.43"/>
    <n v="74.819999999999993"/>
    <n v="10.259999999999991"/>
    <x v="1"/>
    <x v="6"/>
    <x v="7"/>
  </r>
  <r>
    <s v="CLM103317"/>
    <s v="PT10523"/>
    <s v="P01"/>
    <x v="1"/>
    <x v="5"/>
    <n v="1"/>
    <d v="2026-01-17T00:00:00"/>
    <d v="2026-01-18T00:00:00"/>
    <n v="4938.53"/>
    <n v="1998.39"/>
    <n v="1598.71"/>
    <n v="399.68"/>
    <s v="Paid"/>
    <s v=""/>
    <d v="2026-03-04T00:00:00"/>
    <d v="2026-03-04T00:00:00"/>
    <n v="4800"/>
    <n v="0.45"/>
    <n v="2160"/>
    <n v="161.6099999999999"/>
    <x v="1"/>
    <x v="5"/>
    <x v="5"/>
  </r>
  <r>
    <s v="CLM103318"/>
    <s v="PT10500"/>
    <s v="P05"/>
    <x v="1"/>
    <x v="10"/>
    <n v="1"/>
    <d v="2025-10-25T00:00:00"/>
    <d v="2025-10-29T00:00:00"/>
    <n v="1061.74"/>
    <n v="381.59"/>
    <n v="305.27"/>
    <n v="76.319999999999993"/>
    <s v="Paid"/>
    <s v=""/>
    <d v="2026-01-04T00:00:00"/>
    <d v="2026-01-04T00:00:00"/>
    <n v="1050"/>
    <n v="0.38"/>
    <n v="399"/>
    <n v="17.410000000000025"/>
    <x v="0"/>
    <x v="0"/>
    <x v="9"/>
  </r>
  <r>
    <s v="CLM103319"/>
    <s v="PT10858"/>
    <s v="P06"/>
    <x v="2"/>
    <x v="0"/>
    <n v="1"/>
    <d v="2025-10-07T00:00:00"/>
    <d v="2025-10-08T00:00:00"/>
    <n v="141.01"/>
    <m/>
    <m/>
    <m/>
    <s v="Denied"/>
    <s v="CO-18"/>
    <d v="2025-10-31T00:00:00"/>
    <m/>
    <n v="145"/>
    <n v="0.27"/>
    <n v="39.15"/>
    <s v=""/>
    <x v="2"/>
    <x v="2"/>
    <x v="9"/>
  </r>
  <r>
    <s v="CLM103320"/>
    <s v="PT10428"/>
    <s v="P01"/>
    <x v="2"/>
    <x v="0"/>
    <n v="1"/>
    <d v="2026-03-08T00:00:00"/>
    <d v="2026-03-10T00:00:00"/>
    <n v="146.99"/>
    <n v="60.63"/>
    <n v="54.57"/>
    <n v="6.06"/>
    <s v="Paid"/>
    <s v=""/>
    <d v="2026-03-18T00:00:00"/>
    <d v="2026-03-18T00:00:00"/>
    <n v="145"/>
    <n v="0.45"/>
    <n v="65.25"/>
    <n v="4.6199999999999974"/>
    <x v="1"/>
    <x v="5"/>
    <x v="2"/>
  </r>
  <r>
    <s v="CLM103321"/>
    <s v="PT11434"/>
    <s v="P04"/>
    <x v="1"/>
    <x v="1"/>
    <n v="1"/>
    <d v="2026-07-22T00:00:00"/>
    <d v="2026-07-23T00:00:00"/>
    <n v="238.24"/>
    <n v="75.34"/>
    <n v="75.34"/>
    <n v="0"/>
    <s v="Paid"/>
    <s v=""/>
    <d v="2026-08-03T00:00:00"/>
    <d v="2026-08-03T00:00:00"/>
    <n v="240"/>
    <n v="0.36"/>
    <n v="86.4"/>
    <n v="11.060000000000002"/>
    <x v="1"/>
    <x v="1"/>
    <x v="1"/>
  </r>
  <r>
    <s v="CLM103322"/>
    <s v="PT10804"/>
    <s v="P04"/>
    <x v="1"/>
    <x v="4"/>
    <n v="1"/>
    <d v="2026-02-07T00:00:00"/>
    <d v="2026-02-12T00:00:00"/>
    <n v="38.35"/>
    <n v="11.95"/>
    <n v="11.95"/>
    <n v="0"/>
    <s v="Paid"/>
    <s v=""/>
    <d v="2026-03-11T00:00:00"/>
    <d v="2026-03-11T00:00:00"/>
    <n v="38"/>
    <n v="0.36"/>
    <n v="13.68"/>
    <n v="1.7300000000000004"/>
    <x v="1"/>
    <x v="1"/>
    <x v="0"/>
  </r>
  <r>
    <s v="CLM103323"/>
    <s v="PT11284"/>
    <s v="P02"/>
    <x v="3"/>
    <x v="7"/>
    <n v="1"/>
    <d v="2025-10-08T00:00:00"/>
    <d v="2025-10-09T00:00:00"/>
    <n v="210.98"/>
    <n v="77.930000000000007"/>
    <n v="77.930000000000007"/>
    <n v="0"/>
    <s v="Paid"/>
    <s v=""/>
    <d v="2025-11-20T00:00:00"/>
    <d v="2025-11-20T00:00:00"/>
    <n v="210"/>
    <n v="0.43"/>
    <n v="90.3"/>
    <n v="12.36999999999999"/>
    <x v="1"/>
    <x v="6"/>
    <x v="9"/>
  </r>
  <r>
    <s v="CLM103324"/>
    <s v="PT13492"/>
    <s v="P05"/>
    <x v="0"/>
    <x v="0"/>
    <n v="1"/>
    <d v="2026-01-25T00:00:00"/>
    <d v="2026-01-26T00:00:00"/>
    <n v="147.26"/>
    <n v="60"/>
    <n v="48"/>
    <n v="12"/>
    <s v="Paid"/>
    <s v=""/>
    <d v="2026-02-27T00:00:00"/>
    <d v="2026-02-27T00:00:00"/>
    <n v="145"/>
    <n v="0.38"/>
    <n v="55.1"/>
    <n v="-4.8999999999999986"/>
    <x v="0"/>
    <x v="0"/>
    <x v="5"/>
  </r>
  <r>
    <s v="CLM103325"/>
    <s v="PT13199"/>
    <s v="P06"/>
    <x v="0"/>
    <x v="4"/>
    <n v="1"/>
    <d v="2026-06-26T00:00:00"/>
    <d v="2026-06-28T00:00:00"/>
    <n v="38.18"/>
    <n v="8.93"/>
    <n v="8.93"/>
    <n v="0"/>
    <s v="Paid"/>
    <s v=""/>
    <d v="2026-07-05T00:00:00"/>
    <d v="2026-07-05T00:00:00"/>
    <n v="38"/>
    <n v="0.27"/>
    <n v="10.26"/>
    <n v="1.33"/>
    <x v="1"/>
    <x v="2"/>
    <x v="11"/>
  </r>
  <r>
    <s v="CLM103326"/>
    <s v="PT12162"/>
    <s v="P01"/>
    <x v="2"/>
    <x v="9"/>
    <n v="3"/>
    <d v="2026-01-17T00:00:00"/>
    <d v="2026-02-01T00:00:00"/>
    <n v="175.17"/>
    <n v="73.599999999999994"/>
    <n v="73.599999999999994"/>
    <n v="0"/>
    <s v="Paid"/>
    <s v=""/>
    <d v="2026-02-23T00:00:00"/>
    <d v="2026-02-23T00:00:00"/>
    <n v="58"/>
    <n v="0.45"/>
    <n v="78.3"/>
    <n v="4.7000000000000028"/>
    <x v="1"/>
    <x v="5"/>
    <x v="5"/>
  </r>
  <r>
    <s v="CLM103327"/>
    <s v="PT12890"/>
    <s v="P02"/>
    <x v="1"/>
    <x v="7"/>
    <n v="1"/>
    <d v="2025-12-22T00:00:00"/>
    <d v="2025-12-26T00:00:00"/>
    <n v="212.4"/>
    <n v="94.29"/>
    <n v="75.430000000000007"/>
    <n v="18.86"/>
    <s v="Paid"/>
    <s v=""/>
    <d v="2026-01-14T00:00:00"/>
    <d v="2026-01-14T00:00:00"/>
    <n v="210"/>
    <n v="0.43"/>
    <n v="90.3"/>
    <n v="-3.9900000000000091"/>
    <x v="0"/>
    <x v="6"/>
    <x v="6"/>
  </r>
  <r>
    <s v="CLM103328"/>
    <s v="PT10480"/>
    <s v="P05"/>
    <x v="1"/>
    <x v="10"/>
    <n v="1"/>
    <d v="2026-02-02T00:00:00"/>
    <d v="2026-02-11T00:00:00"/>
    <n v="1050.6199999999999"/>
    <n v="382.89"/>
    <n v="344.6"/>
    <n v="38.29"/>
    <s v="Paid"/>
    <s v=""/>
    <d v="2026-04-01T00:00:00"/>
    <d v="2026-04-01T00:00:00"/>
    <n v="1050"/>
    <n v="0.38"/>
    <n v="399"/>
    <n v="16.110000000000014"/>
    <x v="0"/>
    <x v="0"/>
    <x v="0"/>
  </r>
  <r>
    <s v="CLM103329"/>
    <s v="PT13449"/>
    <s v="P07"/>
    <x v="1"/>
    <x v="5"/>
    <n v="1"/>
    <d v="2025-11-09T00:00:00"/>
    <d v="2025-11-12T00:00:00"/>
    <n v="4890.0600000000004"/>
    <m/>
    <m/>
    <m/>
    <s v="Denied"/>
    <s v="CO-50"/>
    <d v="2026-01-18T00:00:00"/>
    <m/>
    <n v="4800"/>
    <n v="0.28000000000000003"/>
    <n v="1344"/>
    <s v=""/>
    <x v="2"/>
    <x v="3"/>
    <x v="3"/>
  </r>
  <r>
    <s v="CLM103330"/>
    <s v="PT11105"/>
    <s v="P04"/>
    <x v="2"/>
    <x v="0"/>
    <n v="1"/>
    <d v="2026-08-07T00:00:00"/>
    <d v="2026-08-08T00:00:00"/>
    <n v="141.82"/>
    <n v="51.54"/>
    <n v="41.23"/>
    <n v="10.31"/>
    <s v="Paid"/>
    <s v=""/>
    <d v="2026-08-31T00:00:00"/>
    <d v="2026-08-31T00:00:00"/>
    <n v="145"/>
    <n v="0.36"/>
    <n v="52.2"/>
    <n v="0.66000000000000369"/>
    <x v="0"/>
    <x v="1"/>
    <x v="4"/>
  </r>
  <r>
    <s v="CLM103331"/>
    <s v="PT12002"/>
    <s v="P04"/>
    <x v="1"/>
    <x v="1"/>
    <n v="1"/>
    <d v="2026-01-04T00:00:00"/>
    <d v="2026-01-12T00:00:00"/>
    <n v="236.23"/>
    <n v="72.16"/>
    <n v="57.73"/>
    <n v="14.43"/>
    <s v="Paid"/>
    <s v=""/>
    <d v="2026-01-29T00:00:00"/>
    <d v="2026-01-29T00:00:00"/>
    <n v="240"/>
    <n v="0.36"/>
    <n v="86.4"/>
    <n v="14.240000000000009"/>
    <x v="1"/>
    <x v="1"/>
    <x v="5"/>
  </r>
  <r>
    <s v="CLM103332"/>
    <s v="PT10262"/>
    <s v="P04"/>
    <x v="0"/>
    <x v="0"/>
    <n v="1"/>
    <d v="2026-08-26T00:00:00"/>
    <d v="2026-09-01T00:00:00"/>
    <n v="142.13"/>
    <n v="57.99"/>
    <n v="46.39"/>
    <n v="11.6"/>
    <s v="Paid"/>
    <s v=""/>
    <d v="2026-09-15T00:00:00"/>
    <d v="2026-09-15T00:00:00"/>
    <n v="145"/>
    <n v="0.36"/>
    <n v="52.2"/>
    <n v="-5.7899999999999991"/>
    <x v="0"/>
    <x v="1"/>
    <x v="4"/>
  </r>
  <r>
    <s v="CLM103333"/>
    <s v="PT11295"/>
    <s v="P02"/>
    <x v="1"/>
    <x v="10"/>
    <n v="1"/>
    <d v="2026-05-01T00:00:00"/>
    <d v="2026-05-03T00:00:00"/>
    <n v="1048.53"/>
    <n v="475.35"/>
    <n v="427.81"/>
    <n v="47.54"/>
    <s v="Paid"/>
    <s v=""/>
    <d v="2026-06-10T00:00:00"/>
    <d v="2026-06-10T00:00:00"/>
    <n v="1050"/>
    <n v="0.43"/>
    <n v="451.5"/>
    <n v="-23.850000000000023"/>
    <x v="0"/>
    <x v="6"/>
    <x v="7"/>
  </r>
  <r>
    <s v="CLM103334"/>
    <s v="PT11323"/>
    <s v="P05"/>
    <x v="1"/>
    <x v="11"/>
    <n v="1"/>
    <d v="2026-03-31T00:00:00"/>
    <d v="2026-04-02T00:00:00"/>
    <n v="1146.0899999999999"/>
    <n v="462.65"/>
    <n v="462.65"/>
    <n v="0"/>
    <s v="Paid"/>
    <s v=""/>
    <d v="2026-06-10T00:00:00"/>
    <d v="2026-06-10T00:00:00"/>
    <n v="1150"/>
    <n v="0.38"/>
    <n v="437"/>
    <n v="-25.649999999999977"/>
    <x v="0"/>
    <x v="0"/>
    <x v="2"/>
  </r>
  <r>
    <s v="CLM103335"/>
    <s v="PT13120"/>
    <s v="P04"/>
    <x v="1"/>
    <x v="10"/>
    <n v="1"/>
    <d v="2026-08-06T00:00:00"/>
    <d v="2026-08-07T00:00:00"/>
    <n v="1054.6300000000001"/>
    <m/>
    <m/>
    <m/>
    <s v="Denied"/>
    <s v="CO-50"/>
    <d v="2026-08-22T00:00:00"/>
    <m/>
    <n v="1050"/>
    <n v="0.36"/>
    <n v="378"/>
    <s v=""/>
    <x v="2"/>
    <x v="1"/>
    <x v="4"/>
  </r>
  <r>
    <s v="CLM103336"/>
    <s v="PT12658"/>
    <s v="P05"/>
    <x v="2"/>
    <x v="9"/>
    <n v="1"/>
    <d v="2026-06-01T00:00:00"/>
    <d v="2026-06-05T00:00:00"/>
    <n v="59"/>
    <n v="22.06"/>
    <n v="22.06"/>
    <n v="0"/>
    <s v="Paid"/>
    <s v=""/>
    <d v="2026-07-25T00:00:00"/>
    <d v="2026-07-25T00:00:00"/>
    <n v="58"/>
    <n v="0.38"/>
    <n v="22.04"/>
    <n v="-1.9999999999999574E-2"/>
    <x v="0"/>
    <x v="0"/>
    <x v="11"/>
  </r>
  <r>
    <s v="CLM103337"/>
    <s v="PT12387"/>
    <s v="P05"/>
    <x v="0"/>
    <x v="4"/>
    <n v="1"/>
    <d v="2026-06-30T00:00:00"/>
    <d v="2026-07-04T00:00:00"/>
    <n v="36.880000000000003"/>
    <m/>
    <m/>
    <m/>
    <s v="Denied"/>
    <s v="CO-11"/>
    <d v="2026-08-06T00:00:00"/>
    <m/>
    <n v="38"/>
    <n v="0.38"/>
    <n v="14.44"/>
    <s v=""/>
    <x v="2"/>
    <x v="0"/>
    <x v="11"/>
  </r>
  <r>
    <s v="CLM103338"/>
    <s v="PT10846"/>
    <s v="P05"/>
    <x v="3"/>
    <x v="3"/>
    <n v="30"/>
    <d v="2026-03-13T00:00:00"/>
    <d v="2026-03-24T00:00:00"/>
    <n v="42329.73"/>
    <m/>
    <m/>
    <m/>
    <s v="Denied"/>
    <s v="CO-16"/>
    <d v="2026-05-18T00:00:00"/>
    <m/>
    <n v="1450"/>
    <n v="0.38"/>
    <n v="16530"/>
    <s v=""/>
    <x v="2"/>
    <x v="0"/>
    <x v="2"/>
  </r>
  <r>
    <s v="CLM103339"/>
    <s v="PT11381"/>
    <s v="P02"/>
    <x v="0"/>
    <x v="7"/>
    <n v="1"/>
    <d v="2026-04-03T00:00:00"/>
    <d v="2026-04-09T00:00:00"/>
    <n v="205.44"/>
    <n v="83.43"/>
    <n v="75.09"/>
    <n v="8.34"/>
    <s v="Paid"/>
    <s v=""/>
    <d v="2026-05-17T00:00:00"/>
    <d v="2026-05-17T00:00:00"/>
    <n v="210"/>
    <n v="0.43"/>
    <n v="90.3"/>
    <n v="6.8699999999999903"/>
    <x v="1"/>
    <x v="6"/>
    <x v="10"/>
  </r>
  <r>
    <s v="CLM103340"/>
    <s v="PT11103"/>
    <s v="P07"/>
    <x v="3"/>
    <x v="7"/>
    <n v="1"/>
    <d v="2026-08-23T00:00:00"/>
    <d v="2026-08-24T00:00:00"/>
    <n v="205.38"/>
    <m/>
    <m/>
    <m/>
    <s v="Pending"/>
    <s v=""/>
    <m/>
    <m/>
    <n v="210"/>
    <n v="0.28000000000000003"/>
    <n v="58.8"/>
    <s v=""/>
    <x v="2"/>
    <x v="3"/>
    <x v="4"/>
  </r>
  <r>
    <s v="CLM103341"/>
    <s v="PT12929"/>
    <s v="P07"/>
    <x v="2"/>
    <x v="0"/>
    <n v="1"/>
    <d v="2025-12-14T00:00:00"/>
    <d v="2025-12-16T00:00:00"/>
    <n v="144.69"/>
    <n v="38.979999999999997"/>
    <n v="38.979999999999997"/>
    <n v="0"/>
    <s v="Paid"/>
    <s v=""/>
    <d v="2026-02-25T00:00:00"/>
    <d v="2026-02-25T00:00:00"/>
    <n v="145"/>
    <n v="0.28000000000000003"/>
    <n v="40.6"/>
    <n v="1.6200000000000045"/>
    <x v="0"/>
    <x v="3"/>
    <x v="6"/>
  </r>
  <r>
    <s v="CLM103342"/>
    <s v="PT12591"/>
    <s v="P07"/>
    <x v="2"/>
    <x v="0"/>
    <n v="1"/>
    <d v="2026-04-12T00:00:00"/>
    <d v="2026-04-15T00:00:00"/>
    <n v="145.69999999999999"/>
    <n v="43.47"/>
    <n v="43.47"/>
    <n v="0"/>
    <s v="Paid"/>
    <s v=""/>
    <d v="2026-07-01T00:00:00"/>
    <d v="2026-07-01T00:00:00"/>
    <n v="145"/>
    <n v="0.28000000000000003"/>
    <n v="40.6"/>
    <n v="-2.8699999999999974"/>
    <x v="0"/>
    <x v="3"/>
    <x v="10"/>
  </r>
  <r>
    <s v="CLM103343"/>
    <s v="PT11692"/>
    <s v="P05"/>
    <x v="0"/>
    <x v="7"/>
    <n v="1"/>
    <d v="2026-03-26T00:00:00"/>
    <d v="2026-03-28T00:00:00"/>
    <n v="211.91"/>
    <n v="79.64"/>
    <n v="79.64"/>
    <n v="0"/>
    <s v="Paid"/>
    <s v=""/>
    <d v="2026-06-17T00:00:00"/>
    <d v="2026-06-17T00:00:00"/>
    <n v="210"/>
    <n v="0.38"/>
    <n v="79.8"/>
    <n v="0.15999999999999659"/>
    <x v="0"/>
    <x v="0"/>
    <x v="2"/>
  </r>
  <r>
    <s v="CLM103344"/>
    <s v="PT12874"/>
    <s v="P07"/>
    <x v="0"/>
    <x v="7"/>
    <n v="1"/>
    <d v="2026-08-09T00:00:00"/>
    <d v="2026-08-15T00:00:00"/>
    <n v="205.65"/>
    <m/>
    <m/>
    <m/>
    <s v="Pending"/>
    <s v=""/>
    <m/>
    <m/>
    <n v="210"/>
    <n v="0.28000000000000003"/>
    <n v="58.8"/>
    <s v=""/>
    <x v="2"/>
    <x v="3"/>
    <x v="4"/>
  </r>
  <r>
    <s v="CLM103345"/>
    <s v="PT12806"/>
    <s v="P05"/>
    <x v="1"/>
    <x v="1"/>
    <n v="1"/>
    <d v="2025-10-01T00:00:00"/>
    <d v="2025-10-07T00:00:00"/>
    <n v="245.29"/>
    <n v="84.64"/>
    <n v="84.64"/>
    <n v="0"/>
    <s v="Paid"/>
    <s v=""/>
    <d v="2025-10-20T00:00:00"/>
    <d v="2025-10-20T00:00:00"/>
    <n v="240"/>
    <n v="0.38"/>
    <n v="91.2"/>
    <n v="6.5600000000000023"/>
    <x v="1"/>
    <x v="0"/>
    <x v="9"/>
  </r>
  <r>
    <s v="CLM103346"/>
    <s v="PT10979"/>
    <s v="P07"/>
    <x v="0"/>
    <x v="0"/>
    <n v="1"/>
    <d v="2026-04-03T00:00:00"/>
    <d v="2026-04-05T00:00:00"/>
    <n v="143.04"/>
    <m/>
    <m/>
    <m/>
    <s v="Denied"/>
    <s v="CO-4"/>
    <d v="2026-05-14T00:00:00"/>
    <m/>
    <n v="145"/>
    <n v="0.28000000000000003"/>
    <n v="40.6"/>
    <s v=""/>
    <x v="2"/>
    <x v="3"/>
    <x v="10"/>
  </r>
  <r>
    <s v="CLM103347"/>
    <s v="PT11263"/>
    <s v="P01"/>
    <x v="0"/>
    <x v="7"/>
    <n v="1"/>
    <d v="2025-12-21T00:00:00"/>
    <d v="2025-12-24T00:00:00"/>
    <n v="210.06"/>
    <n v="99.46"/>
    <n v="99.46"/>
    <n v="0"/>
    <s v="Paid"/>
    <s v=""/>
    <d v="2026-01-18T00:00:00"/>
    <d v="2026-01-18T00:00:00"/>
    <n v="210"/>
    <n v="0.45"/>
    <n v="94.5"/>
    <n v="-4.9599999999999937"/>
    <x v="0"/>
    <x v="5"/>
    <x v="6"/>
  </r>
  <r>
    <s v="CLM103348"/>
    <s v="PT10797"/>
    <s v="P06"/>
    <x v="2"/>
    <x v="0"/>
    <n v="1"/>
    <d v="2026-07-07T00:00:00"/>
    <d v="2026-07-09T00:00:00"/>
    <n v="148.93"/>
    <n v="40.26"/>
    <n v="40.26"/>
    <n v="0"/>
    <s v="Paid"/>
    <s v=""/>
    <d v="2026-08-14T00:00:00"/>
    <d v="2026-08-14T00:00:00"/>
    <n v="145"/>
    <n v="0.27"/>
    <n v="39.15"/>
    <n v="-1.1099999999999994"/>
    <x v="0"/>
    <x v="2"/>
    <x v="1"/>
  </r>
  <r>
    <s v="CLM103349"/>
    <s v="PT11580"/>
    <s v="P06"/>
    <x v="1"/>
    <x v="4"/>
    <n v="1"/>
    <d v="2025-10-31T00:00:00"/>
    <d v="2025-11-01T00:00:00"/>
    <n v="38.06"/>
    <n v="11.58"/>
    <n v="10.42"/>
    <n v="1.1599999999999999"/>
    <s v="Paid"/>
    <s v=""/>
    <d v="2025-11-23T00:00:00"/>
    <d v="2025-11-23T00:00:00"/>
    <n v="38"/>
    <n v="0.27"/>
    <n v="10.26"/>
    <n v="-1.3200000000000003"/>
    <x v="0"/>
    <x v="2"/>
    <x v="9"/>
  </r>
  <r>
    <s v="CLM103350"/>
    <s v="PT13485"/>
    <s v="P01"/>
    <x v="1"/>
    <x v="4"/>
    <n v="1"/>
    <d v="2026-05-13T00:00:00"/>
    <d v="2026-05-18T00:00:00"/>
    <n v="37.74"/>
    <n v="18.95"/>
    <n v="18.95"/>
    <n v="0"/>
    <s v="Paid"/>
    <s v=""/>
    <d v="2026-06-09T00:00:00"/>
    <d v="2026-06-09T00:00:00"/>
    <n v="38"/>
    <n v="0.45"/>
    <n v="17.100000000000001"/>
    <n v="-1.8499999999999979"/>
    <x v="0"/>
    <x v="5"/>
    <x v="7"/>
  </r>
  <r>
    <s v="CLM103351"/>
    <s v="PT11609"/>
    <s v="P01"/>
    <x v="0"/>
    <x v="4"/>
    <n v="1"/>
    <d v="2026-08-03T00:00:00"/>
    <d v="2026-08-08T00:00:00"/>
    <n v="38.659999999999997"/>
    <n v="19.739999999999998"/>
    <n v="19.739999999999998"/>
    <n v="0"/>
    <s v="Paid"/>
    <s v=""/>
    <d v="2026-09-03T00:00:00"/>
    <d v="2026-09-03T00:00:00"/>
    <n v="38"/>
    <n v="0.45"/>
    <n v="17.100000000000001"/>
    <n v="-2.639999999999997"/>
    <x v="0"/>
    <x v="5"/>
    <x v="4"/>
  </r>
  <r>
    <s v="CLM103352"/>
    <s v="PT13151"/>
    <s v="P01"/>
    <x v="1"/>
    <x v="10"/>
    <n v="1"/>
    <d v="2025-10-09T00:00:00"/>
    <d v="2025-10-11T00:00:00"/>
    <n v="1072.17"/>
    <m/>
    <m/>
    <m/>
    <s v="Denied"/>
    <s v="CO-50"/>
    <d v="2025-11-12T00:00:00"/>
    <m/>
    <n v="1050"/>
    <n v="0.45"/>
    <n v="472.5"/>
    <s v=""/>
    <x v="2"/>
    <x v="5"/>
    <x v="9"/>
  </r>
  <r>
    <s v="CLM103354"/>
    <s v="PT11687"/>
    <s v="P05"/>
    <x v="1"/>
    <x v="4"/>
    <n v="1"/>
    <d v="2026-09-14T00:00:00"/>
    <d v="2026-09-26T00:00:00"/>
    <n v="36.94"/>
    <m/>
    <m/>
    <m/>
    <s v="Pending"/>
    <s v=""/>
    <m/>
    <m/>
    <n v="38"/>
    <n v="0.38"/>
    <n v="14.44"/>
    <s v=""/>
    <x v="2"/>
    <x v="0"/>
    <x v="8"/>
  </r>
  <r>
    <s v="CLM103355"/>
    <s v="PT11858"/>
    <s v="P03"/>
    <x v="1"/>
    <x v="10"/>
    <n v="1"/>
    <d v="2025-12-13T00:00:00"/>
    <d v="2025-12-15T00:00:00"/>
    <n v="1051.52"/>
    <n v="430.74"/>
    <n v="387.67"/>
    <n v="43.07"/>
    <s v="Paid"/>
    <s v=""/>
    <d v="2026-01-29T00:00:00"/>
    <d v="2026-01-29T00:00:00"/>
    <n v="1050"/>
    <n v="0.47"/>
    <n v="493.5"/>
    <n v="62.759999999999991"/>
    <x v="1"/>
    <x v="4"/>
    <x v="6"/>
  </r>
  <r>
    <s v="CLM103356"/>
    <s v="PT11748"/>
    <s v="P01"/>
    <x v="0"/>
    <x v="4"/>
    <n v="1"/>
    <d v="2026-07-22T00:00:00"/>
    <d v="2026-07-28T00:00:00"/>
    <n v="37.659999999999997"/>
    <m/>
    <m/>
    <m/>
    <s v="Denied"/>
    <s v="CO-16"/>
    <d v="2026-08-14T00:00:00"/>
    <m/>
    <n v="38"/>
    <n v="0.45"/>
    <n v="17.100000000000001"/>
    <s v=""/>
    <x v="2"/>
    <x v="5"/>
    <x v="1"/>
  </r>
  <r>
    <s v="CLM103357"/>
    <s v="PT12703"/>
    <s v="P04"/>
    <x v="3"/>
    <x v="7"/>
    <n v="1"/>
    <d v="2025-10-31T00:00:00"/>
    <d v="2025-11-02T00:00:00"/>
    <n v="206"/>
    <m/>
    <m/>
    <m/>
    <s v="Denied"/>
    <s v="CO-27"/>
    <d v="2025-11-23T00:00:00"/>
    <m/>
    <n v="210"/>
    <n v="0.36"/>
    <n v="75.599999999999994"/>
    <s v=""/>
    <x v="2"/>
    <x v="1"/>
    <x v="9"/>
  </r>
  <r>
    <s v="CLM103358"/>
    <s v="PT11308"/>
    <s v="P02"/>
    <x v="2"/>
    <x v="0"/>
    <n v="1"/>
    <d v="2025-12-08T00:00:00"/>
    <d v="2025-12-10T00:00:00"/>
    <n v="148.49"/>
    <n v="65.98"/>
    <n v="59.38"/>
    <n v="6.6"/>
    <s v="Paid"/>
    <s v=""/>
    <d v="2026-01-15T00:00:00"/>
    <d v="2026-01-15T00:00:00"/>
    <n v="145"/>
    <n v="0.43"/>
    <n v="62.35"/>
    <n v="-3.6300000000000026"/>
    <x v="0"/>
    <x v="6"/>
    <x v="6"/>
  </r>
  <r>
    <s v="CLM103359"/>
    <s v="PT11419"/>
    <s v="P06"/>
    <x v="2"/>
    <x v="2"/>
    <n v="1"/>
    <d v="2025-12-15T00:00:00"/>
    <d v="2025-12-16T00:00:00"/>
    <n v="61.74"/>
    <n v="14.87"/>
    <n v="14.87"/>
    <n v="0"/>
    <s v="Paid"/>
    <s v=""/>
    <d v="2026-01-28T00:00:00"/>
    <d v="2026-01-28T00:00:00"/>
    <n v="62"/>
    <n v="0.27"/>
    <n v="16.739999999999998"/>
    <n v="1.8699999999999992"/>
    <x v="1"/>
    <x v="2"/>
    <x v="6"/>
  </r>
  <r>
    <s v="CLM103360"/>
    <s v="PT13096"/>
    <s v="P06"/>
    <x v="1"/>
    <x v="11"/>
    <n v="1"/>
    <d v="2025-10-08T00:00:00"/>
    <d v="2025-10-15T00:00:00"/>
    <n v="1147.3"/>
    <n v="263.06"/>
    <n v="210.45"/>
    <n v="52.61"/>
    <s v="Paid"/>
    <s v=""/>
    <d v="2025-12-08T00:00:00"/>
    <d v="2025-12-08T00:00:00"/>
    <n v="1150"/>
    <n v="0.27"/>
    <n v="310.5"/>
    <n v="47.44"/>
    <x v="1"/>
    <x v="2"/>
    <x v="9"/>
  </r>
  <r>
    <s v="CLM103361"/>
    <s v="PT11820"/>
    <s v="P02"/>
    <x v="1"/>
    <x v="1"/>
    <n v="1"/>
    <d v="2025-12-26T00:00:00"/>
    <d v="2025-12-31T00:00:00"/>
    <n v="236.31"/>
    <n v="105.38"/>
    <n v="84.3"/>
    <n v="21.08"/>
    <s v="Paid"/>
    <s v=""/>
    <d v="2026-01-31T00:00:00"/>
    <d v="2026-01-31T00:00:00"/>
    <n v="240"/>
    <n v="0.43"/>
    <n v="103.2"/>
    <n v="-2.1799999999999926"/>
    <x v="0"/>
    <x v="6"/>
    <x v="6"/>
  </r>
  <r>
    <s v="CLM103362"/>
    <s v="PT12354"/>
    <s v="P02"/>
    <x v="1"/>
    <x v="1"/>
    <n v="1"/>
    <d v="2026-01-22T00:00:00"/>
    <d v="2026-01-28T00:00:00"/>
    <n v="242.26"/>
    <n v="90.05"/>
    <n v="72.040000000000006"/>
    <n v="18.010000000000002"/>
    <s v="Paid"/>
    <s v=""/>
    <d v="2026-02-10T00:00:00"/>
    <d v="2026-02-10T00:00:00"/>
    <n v="240"/>
    <n v="0.43"/>
    <n v="103.2"/>
    <n v="13.150000000000006"/>
    <x v="1"/>
    <x v="6"/>
    <x v="5"/>
  </r>
  <r>
    <s v="CLM103363"/>
    <s v="PT10641"/>
    <s v="P02"/>
    <x v="3"/>
    <x v="6"/>
    <n v="1"/>
    <d v="2025-11-03T00:00:00"/>
    <d v="2025-11-14T00:00:00"/>
    <n v="411.7"/>
    <n v="186.68"/>
    <n v="186.68"/>
    <n v="0"/>
    <s v="Paid"/>
    <s v=""/>
    <d v="2025-12-11T00:00:00"/>
    <d v="2025-12-11T00:00:00"/>
    <n v="420"/>
    <n v="0.43"/>
    <n v="180.6"/>
    <n v="-6.0800000000000125"/>
    <x v="0"/>
    <x v="6"/>
    <x v="3"/>
  </r>
  <r>
    <s v="CLM103364"/>
    <s v="PT12084"/>
    <s v="P01"/>
    <x v="1"/>
    <x v="5"/>
    <n v="1"/>
    <d v="2026-09-09T00:00:00"/>
    <d v="2026-09-10T00:00:00"/>
    <n v="4915.33"/>
    <m/>
    <m/>
    <m/>
    <s v="Pending"/>
    <s v=""/>
    <m/>
    <m/>
    <n v="4800"/>
    <n v="0.45"/>
    <n v="2160"/>
    <s v=""/>
    <x v="2"/>
    <x v="5"/>
    <x v="8"/>
  </r>
  <r>
    <s v="CLM103365"/>
    <s v="PT10186"/>
    <s v="P01"/>
    <x v="0"/>
    <x v="8"/>
    <n v="1"/>
    <d v="2026-05-14T00:00:00"/>
    <d v="2026-05-18T00:00:00"/>
    <n v="265.82"/>
    <n v="131.35"/>
    <n v="118.22"/>
    <n v="13.13"/>
    <s v="Paid"/>
    <s v=""/>
    <d v="2026-06-07T00:00:00"/>
    <d v="2026-06-07T00:00:00"/>
    <n v="260"/>
    <n v="0.45"/>
    <n v="117"/>
    <n v="-14.349999999999994"/>
    <x v="0"/>
    <x v="5"/>
    <x v="7"/>
  </r>
  <r>
    <s v="CLM103366"/>
    <s v="PT10221"/>
    <s v="P03"/>
    <x v="2"/>
    <x v="2"/>
    <n v="4"/>
    <d v="2026-01-25T00:00:00"/>
    <d v="2026-01-31T00:00:00"/>
    <n v="242.58"/>
    <n v="118.21"/>
    <n v="118.21"/>
    <n v="0"/>
    <s v="Paid"/>
    <s v=""/>
    <d v="2026-03-24T00:00:00"/>
    <d v="2026-03-24T00:00:00"/>
    <n v="62"/>
    <n v="0.47"/>
    <n v="116.56"/>
    <n v="-1.6499999999999915"/>
    <x v="0"/>
    <x v="4"/>
    <x v="5"/>
  </r>
  <r>
    <s v="CLM103367"/>
    <s v="PT12298"/>
    <s v="P05"/>
    <x v="1"/>
    <x v="4"/>
    <n v="1"/>
    <d v="2026-04-06T00:00:00"/>
    <d v="2026-04-12T00:00:00"/>
    <n v="36.96"/>
    <n v="14.58"/>
    <n v="14.58"/>
    <n v="0"/>
    <s v="Paid"/>
    <s v=""/>
    <d v="2026-06-13T00:00:00"/>
    <d v="2026-06-13T00:00:00"/>
    <n v="38"/>
    <n v="0.38"/>
    <n v="14.44"/>
    <n v="-0.14000000000000057"/>
    <x v="0"/>
    <x v="0"/>
    <x v="10"/>
  </r>
  <r>
    <s v="CLM103368"/>
    <s v="PT12441"/>
    <s v="P02"/>
    <x v="1"/>
    <x v="11"/>
    <n v="1"/>
    <d v="2026-09-13T00:00:00"/>
    <d v="2026-09-16T00:00:00"/>
    <n v="1173.45"/>
    <m/>
    <m/>
    <m/>
    <s v="Pending"/>
    <s v=""/>
    <m/>
    <m/>
    <n v="1150"/>
    <n v="0.43"/>
    <n v="494.5"/>
    <s v=""/>
    <x v="2"/>
    <x v="6"/>
    <x v="8"/>
  </r>
  <r>
    <s v="CLM103369"/>
    <s v="PT10393"/>
    <s v="P01"/>
    <x v="0"/>
    <x v="8"/>
    <n v="1"/>
    <d v="2026-07-15T00:00:00"/>
    <d v="2026-07-21T00:00:00"/>
    <n v="264.02"/>
    <m/>
    <m/>
    <m/>
    <s v="Denied"/>
    <s v="CO-16"/>
    <d v="2026-08-12T00:00:00"/>
    <m/>
    <n v="260"/>
    <n v="0.45"/>
    <n v="117"/>
    <s v=""/>
    <x v="2"/>
    <x v="5"/>
    <x v="1"/>
  </r>
  <r>
    <s v="CLM103370"/>
    <s v="PT12706"/>
    <s v="P04"/>
    <x v="2"/>
    <x v="0"/>
    <n v="1"/>
    <d v="2026-06-21T00:00:00"/>
    <d v="2026-06-22T00:00:00"/>
    <n v="143.43"/>
    <n v="47.98"/>
    <n v="38.380000000000003"/>
    <n v="9.6"/>
    <s v="Paid"/>
    <s v=""/>
    <d v="2026-07-12T00:00:00"/>
    <d v="2026-07-12T00:00:00"/>
    <n v="145"/>
    <n v="0.36"/>
    <n v="52.2"/>
    <n v="4.220000000000006"/>
    <x v="1"/>
    <x v="1"/>
    <x v="11"/>
  </r>
  <r>
    <s v="CLM103371"/>
    <s v="PT11036"/>
    <s v="P01"/>
    <x v="1"/>
    <x v="1"/>
    <n v="1"/>
    <d v="2026-03-11T00:00:00"/>
    <d v="2026-03-12T00:00:00"/>
    <n v="234.5"/>
    <n v="105.14"/>
    <n v="84.11"/>
    <n v="21.03"/>
    <s v="Paid"/>
    <s v=""/>
    <d v="2026-04-18T00:00:00"/>
    <d v="2026-04-18T00:00:00"/>
    <n v="240"/>
    <n v="0.45"/>
    <n v="108"/>
    <n v="2.8599999999999994"/>
    <x v="0"/>
    <x v="5"/>
    <x v="2"/>
  </r>
  <r>
    <s v="CLM103372"/>
    <s v="PT13498"/>
    <s v="P04"/>
    <x v="1"/>
    <x v="10"/>
    <n v="1"/>
    <d v="2026-01-27T00:00:00"/>
    <d v="2026-02-01T00:00:00"/>
    <n v="1054.28"/>
    <n v="377.7"/>
    <n v="339.93"/>
    <n v="37.770000000000003"/>
    <s v="Paid"/>
    <s v=""/>
    <d v="2026-02-23T00:00:00"/>
    <d v="2026-02-23T00:00:00"/>
    <n v="1050"/>
    <n v="0.36"/>
    <n v="378"/>
    <n v="0.30000000000001137"/>
    <x v="0"/>
    <x v="1"/>
    <x v="5"/>
  </r>
  <r>
    <s v="CLM103373"/>
    <s v="PT13089"/>
    <s v="P01"/>
    <x v="3"/>
    <x v="3"/>
    <n v="20"/>
    <d v="2026-02-09T00:00:00"/>
    <d v="2026-02-14T00:00:00"/>
    <n v="28816.400000000001"/>
    <n v="12067.9"/>
    <n v="9654.32"/>
    <n v="2413.58"/>
    <s v="Paid"/>
    <s v=""/>
    <d v="2026-03-21T00:00:00"/>
    <d v="2026-03-21T00:00:00"/>
    <n v="1450"/>
    <n v="0.45"/>
    <n v="13050"/>
    <n v="982.10000000000036"/>
    <x v="1"/>
    <x v="5"/>
    <x v="0"/>
  </r>
  <r>
    <s v="CLM103374"/>
    <s v="PT12988"/>
    <s v="P06"/>
    <x v="1"/>
    <x v="11"/>
    <n v="1"/>
    <d v="2026-08-03T00:00:00"/>
    <d v="2026-08-05T00:00:00"/>
    <n v="1141.6099999999999"/>
    <m/>
    <m/>
    <m/>
    <s v="Denied"/>
    <s v="CO-197"/>
    <d v="2026-09-10T00:00:00"/>
    <m/>
    <n v="1150"/>
    <n v="0.27"/>
    <n v="310.5"/>
    <s v=""/>
    <x v="2"/>
    <x v="2"/>
    <x v="4"/>
  </r>
  <r>
    <s v="CLM103375"/>
    <s v="PT13237"/>
    <s v="P02"/>
    <x v="2"/>
    <x v="9"/>
    <n v="1"/>
    <d v="2025-12-15T00:00:00"/>
    <d v="2025-12-19T00:00:00"/>
    <n v="58.2"/>
    <n v="22.64"/>
    <n v="22.64"/>
    <n v="0"/>
    <s v="Paid"/>
    <s v=""/>
    <d v="2026-01-14T00:00:00"/>
    <d v="2026-01-14T00:00:00"/>
    <n v="58"/>
    <n v="0.43"/>
    <n v="24.94"/>
    <n v="2.3000000000000007"/>
    <x v="1"/>
    <x v="6"/>
    <x v="6"/>
  </r>
  <r>
    <s v="CLM103376"/>
    <s v="PT12489"/>
    <s v="P01"/>
    <x v="0"/>
    <x v="8"/>
    <n v="1"/>
    <d v="2026-01-19T00:00:00"/>
    <d v="2026-01-25T00:00:00"/>
    <n v="261.26"/>
    <n v="99.95"/>
    <n v="79.959999999999994"/>
    <n v="19.989999999999998"/>
    <s v="Paid"/>
    <s v=""/>
    <d v="2026-02-15T00:00:00"/>
    <d v="2026-02-15T00:00:00"/>
    <n v="260"/>
    <n v="0.45"/>
    <n v="117"/>
    <n v="17.049999999999997"/>
    <x v="1"/>
    <x v="5"/>
    <x v="5"/>
  </r>
  <r>
    <s v="CLM103377"/>
    <s v="PT12729"/>
    <s v="P03"/>
    <x v="3"/>
    <x v="6"/>
    <n v="1"/>
    <d v="2026-05-14T00:00:00"/>
    <d v="2026-05-19T00:00:00"/>
    <n v="416.81"/>
    <n v="200.66"/>
    <n v="200.66"/>
    <n v="0"/>
    <s v="Paid"/>
    <s v=""/>
    <d v="2026-08-01T00:00:00"/>
    <d v="2026-08-01T00:00:00"/>
    <n v="420"/>
    <n v="0.47"/>
    <n v="197.4"/>
    <n v="-3.2599999999999909"/>
    <x v="0"/>
    <x v="4"/>
    <x v="7"/>
  </r>
  <r>
    <s v="CLM103378"/>
    <s v="PT11017"/>
    <s v="P01"/>
    <x v="3"/>
    <x v="6"/>
    <n v="1"/>
    <d v="2026-05-29T00:00:00"/>
    <d v="2026-06-01T00:00:00"/>
    <n v="420.59"/>
    <n v="208.95"/>
    <n v="208.95"/>
    <n v="0"/>
    <s v="Paid"/>
    <s v=""/>
    <d v="2026-06-22T00:00:00"/>
    <d v="2026-06-22T00:00:00"/>
    <n v="420"/>
    <n v="0.45"/>
    <n v="189"/>
    <n v="-19.949999999999989"/>
    <x v="0"/>
    <x v="5"/>
    <x v="7"/>
  </r>
  <r>
    <s v="CLM103379"/>
    <s v="PT10984"/>
    <s v="P02"/>
    <x v="1"/>
    <x v="10"/>
    <n v="1"/>
    <d v="2026-02-15T00:00:00"/>
    <d v="2026-02-23T00:00:00"/>
    <n v="1028.3699999999999"/>
    <n v="402.7"/>
    <n v="362.43"/>
    <n v="40.270000000000003"/>
    <s v="Paid"/>
    <s v=""/>
    <d v="2026-03-25T00:00:00"/>
    <d v="2026-03-25T00:00:00"/>
    <n v="1050"/>
    <n v="0.43"/>
    <n v="451.5"/>
    <n v="48.800000000000011"/>
    <x v="1"/>
    <x v="6"/>
    <x v="0"/>
  </r>
  <r>
    <s v="CLM103380"/>
    <s v="PT10969"/>
    <s v="P05"/>
    <x v="0"/>
    <x v="7"/>
    <n v="1"/>
    <d v="2026-04-22T00:00:00"/>
    <d v="2026-04-27T00:00:00"/>
    <n v="204.23"/>
    <n v="70.540000000000006"/>
    <n v="56.43"/>
    <n v="14.11"/>
    <s v="Paid"/>
    <s v=""/>
    <d v="2026-06-16T00:00:00"/>
    <d v="2026-06-16T00:00:00"/>
    <n v="210"/>
    <n v="0.38"/>
    <n v="79.8"/>
    <n v="9.2599999999999909"/>
    <x v="1"/>
    <x v="0"/>
    <x v="10"/>
  </r>
  <r>
    <s v="CLM103381"/>
    <s v="PT10826"/>
    <s v="P01"/>
    <x v="1"/>
    <x v="5"/>
    <n v="1"/>
    <d v="2025-11-13T00:00:00"/>
    <d v="2025-11-20T00:00:00"/>
    <n v="4729.1400000000003"/>
    <n v="2273.64"/>
    <n v="1818.91"/>
    <n v="454.73"/>
    <s v="Paid"/>
    <s v=""/>
    <d v="2025-12-10T00:00:00"/>
    <d v="2025-12-10T00:00:00"/>
    <n v="4800"/>
    <n v="0.45"/>
    <n v="2160"/>
    <n v="-113.63999999999987"/>
    <x v="0"/>
    <x v="5"/>
    <x v="3"/>
  </r>
  <r>
    <s v="CLM103382"/>
    <s v="PT11879"/>
    <s v="P03"/>
    <x v="3"/>
    <x v="7"/>
    <n v="1"/>
    <d v="2026-05-26T00:00:00"/>
    <d v="2026-06-01T00:00:00"/>
    <n v="204.17"/>
    <n v="82.66"/>
    <n v="66.13"/>
    <n v="16.53"/>
    <s v="Paid"/>
    <s v=""/>
    <d v="2026-07-19T00:00:00"/>
    <d v="2026-07-19T00:00:00"/>
    <n v="210"/>
    <n v="0.47"/>
    <n v="98.7"/>
    <n v="16.040000000000006"/>
    <x v="1"/>
    <x v="4"/>
    <x v="7"/>
  </r>
  <r>
    <s v="CLM103383"/>
    <s v="PT12716"/>
    <s v="P02"/>
    <x v="0"/>
    <x v="8"/>
    <n v="1"/>
    <d v="2026-04-18T00:00:00"/>
    <d v="2026-04-20T00:00:00"/>
    <n v="267.44"/>
    <n v="112.58"/>
    <n v="112.58"/>
    <n v="0"/>
    <s v="Paid"/>
    <s v=""/>
    <d v="2026-05-18T00:00:00"/>
    <d v="2026-05-18T00:00:00"/>
    <n v="260"/>
    <n v="0.43"/>
    <n v="111.8"/>
    <n v="-0.78000000000000114"/>
    <x v="0"/>
    <x v="6"/>
    <x v="10"/>
  </r>
  <r>
    <s v="CLM103384"/>
    <s v="PT10209"/>
    <s v="P02"/>
    <x v="1"/>
    <x v="4"/>
    <n v="1"/>
    <d v="2026-03-25T00:00:00"/>
    <d v="2026-04-04T00:00:00"/>
    <n v="37.93"/>
    <n v="18.25"/>
    <n v="18.25"/>
    <n v="0"/>
    <s v="Paid"/>
    <s v=""/>
    <d v="2026-05-03T00:00:00"/>
    <d v="2026-05-03T00:00:00"/>
    <n v="38"/>
    <n v="0.43"/>
    <n v="16.34"/>
    <n v="-1.9100000000000001"/>
    <x v="0"/>
    <x v="6"/>
    <x v="2"/>
  </r>
  <r>
    <s v="CLM103385"/>
    <s v="PT11940"/>
    <s v="P02"/>
    <x v="0"/>
    <x v="0"/>
    <n v="1"/>
    <d v="2025-11-26T00:00:00"/>
    <d v="2025-11-29T00:00:00"/>
    <n v="146.79"/>
    <n v="61.37"/>
    <n v="61.37"/>
    <n v="0"/>
    <s v="Paid"/>
    <s v=""/>
    <d v="2025-12-18T00:00:00"/>
    <d v="2025-12-18T00:00:00"/>
    <n v="145"/>
    <n v="0.43"/>
    <n v="62.35"/>
    <n v="0.98000000000000398"/>
    <x v="0"/>
    <x v="6"/>
    <x v="3"/>
  </r>
  <r>
    <s v="CLM103386"/>
    <s v="PT11738"/>
    <s v="P06"/>
    <x v="2"/>
    <x v="2"/>
    <n v="3"/>
    <d v="2026-09-16T00:00:00"/>
    <d v="2026-09-19T00:00:00"/>
    <n v="187.79"/>
    <m/>
    <m/>
    <m/>
    <s v="Pending"/>
    <s v=""/>
    <m/>
    <m/>
    <n v="62"/>
    <n v="0.27"/>
    <n v="50.22"/>
    <s v=""/>
    <x v="2"/>
    <x v="2"/>
    <x v="8"/>
  </r>
  <r>
    <s v="CLM103387"/>
    <s v="PT11800"/>
    <s v="P04"/>
    <x v="2"/>
    <x v="0"/>
    <n v="1"/>
    <d v="2026-04-17T00:00:00"/>
    <d v="2026-04-20T00:00:00"/>
    <n v="143.44"/>
    <n v="55.87"/>
    <n v="50.28"/>
    <n v="5.59"/>
    <s v="Paid"/>
    <s v=""/>
    <d v="2026-05-11T00:00:00"/>
    <d v="2026-05-11T00:00:00"/>
    <n v="145"/>
    <n v="0.36"/>
    <n v="52.2"/>
    <n v="-3.6699999999999946"/>
    <x v="0"/>
    <x v="1"/>
    <x v="10"/>
  </r>
  <r>
    <s v="CLM103388"/>
    <s v="PT12266"/>
    <s v="P03"/>
    <x v="2"/>
    <x v="0"/>
    <n v="1"/>
    <d v="2025-11-26T00:00:00"/>
    <d v="2025-11-28T00:00:00"/>
    <n v="148.84"/>
    <n v="71.400000000000006"/>
    <n v="71.400000000000006"/>
    <n v="0"/>
    <s v="Paid"/>
    <s v=""/>
    <d v="2026-01-19T00:00:00"/>
    <d v="2026-01-19T00:00:00"/>
    <n v="145"/>
    <n v="0.47"/>
    <n v="68.150000000000006"/>
    <n v="-3.25"/>
    <x v="0"/>
    <x v="4"/>
    <x v="3"/>
  </r>
  <r>
    <s v="CLM103389"/>
    <s v="PT12558"/>
    <s v="P06"/>
    <x v="2"/>
    <x v="0"/>
    <n v="1"/>
    <d v="2025-12-25T00:00:00"/>
    <d v="2025-12-31T00:00:00"/>
    <n v="148.04"/>
    <n v="40.08"/>
    <n v="40.08"/>
    <n v="0"/>
    <s v="Paid"/>
    <s v=""/>
    <d v="2026-02-15T00:00:00"/>
    <d v="2026-02-15T00:00:00"/>
    <n v="145"/>
    <n v="0.27"/>
    <n v="39.15"/>
    <n v="-0.92999999999999972"/>
    <x v="0"/>
    <x v="2"/>
    <x v="6"/>
  </r>
  <r>
    <s v="CLM103390"/>
    <s v="PT11905"/>
    <s v="P04"/>
    <x v="2"/>
    <x v="2"/>
    <n v="1"/>
    <d v="2026-02-27T00:00:00"/>
    <d v="2026-03-01T00:00:00"/>
    <n v="62.81"/>
    <n v="25.25"/>
    <n v="25.25"/>
    <n v="0"/>
    <s v="Paid"/>
    <s v=""/>
    <d v="2026-03-17T00:00:00"/>
    <d v="2026-03-17T00:00:00"/>
    <n v="62"/>
    <n v="0.36"/>
    <n v="22.32"/>
    <n v="-2.9299999999999997"/>
    <x v="0"/>
    <x v="1"/>
    <x v="0"/>
  </r>
  <r>
    <s v="CLM103391"/>
    <s v="PT13365"/>
    <s v="P05"/>
    <x v="3"/>
    <x v="3"/>
    <n v="10"/>
    <d v="2026-02-20T00:00:00"/>
    <d v="2026-02-23T00:00:00"/>
    <n v="14461.49"/>
    <m/>
    <m/>
    <m/>
    <s v="Denied"/>
    <s v="CO-197"/>
    <d v="2026-04-19T00:00:00"/>
    <m/>
    <n v="1450"/>
    <n v="0.38"/>
    <n v="5510"/>
    <s v=""/>
    <x v="2"/>
    <x v="0"/>
    <x v="0"/>
  </r>
  <r>
    <s v="CLM103392"/>
    <s v="PT10610"/>
    <s v="P02"/>
    <x v="2"/>
    <x v="2"/>
    <n v="1"/>
    <d v="2026-03-06T00:00:00"/>
    <d v="2026-03-12T00:00:00"/>
    <n v="60.16"/>
    <n v="24.67"/>
    <n v="24.67"/>
    <n v="0"/>
    <s v="Paid"/>
    <s v=""/>
    <d v="2026-04-12T00:00:00"/>
    <d v="2026-04-12T00:00:00"/>
    <n v="62"/>
    <n v="0.43"/>
    <n v="26.66"/>
    <n v="1.9899999999999984"/>
    <x v="1"/>
    <x v="6"/>
    <x v="2"/>
  </r>
  <r>
    <s v="CLM103393"/>
    <s v="PT12393"/>
    <s v="P08"/>
    <x v="1"/>
    <x v="5"/>
    <n v="1"/>
    <d v="2025-10-27T00:00:00"/>
    <d v="2025-10-29T00:00:00"/>
    <n v="4865.26"/>
    <m/>
    <m/>
    <m/>
    <s v="Pending"/>
    <s v=""/>
    <m/>
    <m/>
    <n v="4800"/>
    <n v="1"/>
    <n v="4800"/>
    <s v=""/>
    <x v="2"/>
    <x v="7"/>
    <x v="9"/>
  </r>
  <r>
    <s v="CLM103394"/>
    <s v="PT10844"/>
    <s v="P01"/>
    <x v="0"/>
    <x v="7"/>
    <n v="1"/>
    <d v="2026-07-15T00:00:00"/>
    <d v="2026-07-25T00:00:00"/>
    <n v="210.04"/>
    <n v="88.8"/>
    <n v="71.040000000000006"/>
    <n v="17.760000000000002"/>
    <s v="Paid"/>
    <s v=""/>
    <d v="2026-08-30T00:00:00"/>
    <d v="2026-08-30T00:00:00"/>
    <n v="210"/>
    <n v="0.45"/>
    <n v="94.5"/>
    <n v="5.7000000000000028"/>
    <x v="1"/>
    <x v="5"/>
    <x v="1"/>
  </r>
  <r>
    <s v="CLM103396"/>
    <s v="PT11824"/>
    <s v="P01"/>
    <x v="0"/>
    <x v="8"/>
    <n v="1"/>
    <d v="2026-08-25T00:00:00"/>
    <d v="2026-08-28T00:00:00"/>
    <n v="266.55"/>
    <n v="116.63"/>
    <n v="104.97"/>
    <n v="11.66"/>
    <s v="Paid"/>
    <s v=""/>
    <d v="2026-09-13T00:00:00"/>
    <d v="2026-09-13T00:00:00"/>
    <n v="260"/>
    <n v="0.45"/>
    <n v="117"/>
    <n v="0.37000000000000455"/>
    <x v="0"/>
    <x v="5"/>
    <x v="4"/>
  </r>
  <r>
    <s v="CLM103397"/>
    <s v="PT12731"/>
    <s v="P03"/>
    <x v="3"/>
    <x v="6"/>
    <n v="1"/>
    <d v="2026-05-25T00:00:00"/>
    <d v="2026-05-30T00:00:00"/>
    <n v="428.48"/>
    <n v="231.9"/>
    <n v="231.9"/>
    <n v="0"/>
    <s v="Paid"/>
    <s v=""/>
    <d v="2026-06-23T00:00:00"/>
    <d v="2026-06-23T00:00:00"/>
    <n v="420"/>
    <n v="0.47"/>
    <n v="197.4"/>
    <n v="-34.5"/>
    <x v="0"/>
    <x v="4"/>
    <x v="7"/>
  </r>
  <r>
    <s v="CLM103399"/>
    <s v="PT13145"/>
    <s v="P02"/>
    <x v="3"/>
    <x v="3"/>
    <n v="5"/>
    <d v="2026-07-30T00:00:00"/>
    <d v="2026-08-04T00:00:00"/>
    <n v="7378.8"/>
    <n v="2781.88"/>
    <n v="2781.88"/>
    <n v="0"/>
    <s v="Paid"/>
    <s v=""/>
    <d v="2026-08-29T00:00:00"/>
    <d v="2026-08-29T00:00:00"/>
    <n v="1450"/>
    <n v="0.43"/>
    <n v="3117.5"/>
    <n v="335.61999999999989"/>
    <x v="1"/>
    <x v="6"/>
    <x v="1"/>
  </r>
  <r>
    <s v="CLM103400"/>
    <s v="PT13249"/>
    <s v="P02"/>
    <x v="0"/>
    <x v="4"/>
    <n v="1"/>
    <d v="2026-01-23T00:00:00"/>
    <d v="2026-01-25T00:00:00"/>
    <n v="38.46"/>
    <n v="14.69"/>
    <n v="11.75"/>
    <n v="2.94"/>
    <s v="Paid"/>
    <s v=""/>
    <d v="2026-03-11T00:00:00"/>
    <d v="2026-03-11T00:00:00"/>
    <n v="38"/>
    <n v="0.43"/>
    <n v="16.34"/>
    <n v="1.6500000000000004"/>
    <x v="1"/>
    <x v="6"/>
    <x v="5"/>
  </r>
  <r>
    <s v="CLM103401"/>
    <s v="PT10452"/>
    <s v="P01"/>
    <x v="1"/>
    <x v="11"/>
    <n v="1"/>
    <d v="2025-11-20T00:00:00"/>
    <d v="2025-11-23T00:00:00"/>
    <n v="1143.72"/>
    <n v="491"/>
    <n v="392.8"/>
    <n v="98.2"/>
    <s v="Paid"/>
    <s v=""/>
    <d v="2025-11-28T00:00:00"/>
    <d v="2025-11-28T00:00:00"/>
    <n v="1150"/>
    <n v="0.45"/>
    <n v="517.5"/>
    <n v="26.5"/>
    <x v="1"/>
    <x v="5"/>
    <x v="3"/>
  </r>
  <r>
    <s v="CLM103402"/>
    <s v="PT11681"/>
    <s v="P04"/>
    <x v="2"/>
    <x v="9"/>
    <n v="4"/>
    <d v="2026-09-27T00:00:00"/>
    <d v="2026-09-28T00:00:00"/>
    <n v="234.62"/>
    <m/>
    <m/>
    <m/>
    <s v="Pending"/>
    <s v=""/>
    <m/>
    <m/>
    <n v="58"/>
    <n v="0.36"/>
    <n v="83.52"/>
    <s v=""/>
    <x v="2"/>
    <x v="1"/>
    <x v="8"/>
  </r>
  <r>
    <s v="CLM103403"/>
    <s v="PT12946"/>
    <s v="P01"/>
    <x v="2"/>
    <x v="9"/>
    <n v="2"/>
    <d v="2026-09-22T00:00:00"/>
    <d v="2026-09-28T00:00:00"/>
    <n v="113.61"/>
    <m/>
    <m/>
    <m/>
    <s v="Pending"/>
    <s v=""/>
    <m/>
    <m/>
    <n v="58"/>
    <n v="0.45"/>
    <n v="52.2"/>
    <s v=""/>
    <x v="2"/>
    <x v="5"/>
    <x v="8"/>
  </r>
  <r>
    <s v="CLM103404"/>
    <s v="PT10294"/>
    <s v="P01"/>
    <x v="0"/>
    <x v="4"/>
    <n v="1"/>
    <d v="2025-12-25T00:00:00"/>
    <d v="2025-12-28T00:00:00"/>
    <n v="38.79"/>
    <n v="16.63"/>
    <n v="16.63"/>
    <n v="0"/>
    <s v="Paid"/>
    <s v=""/>
    <d v="2026-01-23T00:00:00"/>
    <d v="2026-01-23T00:00:00"/>
    <n v="38"/>
    <n v="0.45"/>
    <n v="17.100000000000001"/>
    <n v="0.47000000000000242"/>
    <x v="0"/>
    <x v="5"/>
    <x v="6"/>
  </r>
  <r>
    <s v="CLM103405"/>
    <s v="PT11572"/>
    <s v="P04"/>
    <x v="0"/>
    <x v="7"/>
    <n v="1"/>
    <d v="2026-03-13T00:00:00"/>
    <d v="2026-04-04T00:00:00"/>
    <n v="210.13"/>
    <n v="75.23"/>
    <n v="67.709999999999994"/>
    <n v="7.52"/>
    <s v="Paid"/>
    <s v=""/>
    <d v="2026-04-21T00:00:00"/>
    <d v="2026-04-21T00:00:00"/>
    <n v="210"/>
    <n v="0.36"/>
    <n v="75.599999999999994"/>
    <n v="0.36999999999999034"/>
    <x v="0"/>
    <x v="1"/>
    <x v="2"/>
  </r>
  <r>
    <s v="CLM103406"/>
    <s v="PT11311"/>
    <s v="P01"/>
    <x v="2"/>
    <x v="0"/>
    <n v="1"/>
    <d v="2026-08-31T00:00:00"/>
    <d v="2026-09-01T00:00:00"/>
    <n v="141.04"/>
    <m/>
    <m/>
    <m/>
    <s v="Pending"/>
    <s v=""/>
    <m/>
    <m/>
    <n v="145"/>
    <n v="0.45"/>
    <n v="65.25"/>
    <s v=""/>
    <x v="2"/>
    <x v="5"/>
    <x v="4"/>
  </r>
  <r>
    <s v="CLM103407"/>
    <s v="PT10383"/>
    <s v="P02"/>
    <x v="3"/>
    <x v="7"/>
    <n v="1"/>
    <d v="2026-09-05T00:00:00"/>
    <d v="2026-09-07T00:00:00"/>
    <n v="213.95"/>
    <m/>
    <m/>
    <m/>
    <s v="Pending"/>
    <s v=""/>
    <m/>
    <m/>
    <n v="210"/>
    <n v="0.43"/>
    <n v="90.3"/>
    <s v=""/>
    <x v="2"/>
    <x v="6"/>
    <x v="8"/>
  </r>
  <r>
    <s v="CLM103408"/>
    <s v="PT11173"/>
    <s v="P06"/>
    <x v="2"/>
    <x v="2"/>
    <n v="1"/>
    <d v="2026-09-10T00:00:00"/>
    <d v="2026-09-15T00:00:00"/>
    <n v="63.17"/>
    <m/>
    <m/>
    <m/>
    <s v="Pending"/>
    <s v=""/>
    <m/>
    <m/>
    <n v="62"/>
    <n v="0.27"/>
    <n v="16.739999999999998"/>
    <s v=""/>
    <x v="2"/>
    <x v="2"/>
    <x v="8"/>
  </r>
  <r>
    <s v="CLM103409"/>
    <s v="PT11136"/>
    <s v="P01"/>
    <x v="3"/>
    <x v="6"/>
    <n v="1"/>
    <d v="2026-08-22T00:00:00"/>
    <d v="2026-08-23T00:00:00"/>
    <n v="411.9"/>
    <m/>
    <m/>
    <m/>
    <s v="Pending"/>
    <s v=""/>
    <m/>
    <m/>
    <n v="420"/>
    <n v="0.45"/>
    <n v="189"/>
    <s v=""/>
    <x v="2"/>
    <x v="5"/>
    <x v="4"/>
  </r>
  <r>
    <s v="CLM103410"/>
    <s v="PT12269"/>
    <s v="P05"/>
    <x v="1"/>
    <x v="7"/>
    <n v="1"/>
    <d v="2026-06-14T00:00:00"/>
    <d v="2026-06-24T00:00:00"/>
    <n v="213.09"/>
    <n v="85.7"/>
    <n v="77.13"/>
    <n v="8.57"/>
    <s v="Paid"/>
    <s v=""/>
    <d v="2026-07-13T00:00:00"/>
    <d v="2026-07-13T00:00:00"/>
    <n v="210"/>
    <n v="0.38"/>
    <n v="79.8"/>
    <n v="-5.9000000000000057"/>
    <x v="0"/>
    <x v="0"/>
    <x v="11"/>
  </r>
  <r>
    <s v="CLM103411"/>
    <s v="PT12676"/>
    <s v="P08"/>
    <x v="2"/>
    <x v="2"/>
    <n v="1"/>
    <d v="2026-06-23T00:00:00"/>
    <d v="2026-06-26T00:00:00"/>
    <n v="63.69"/>
    <n v="63.69"/>
    <n v="63.69"/>
    <n v="0"/>
    <s v="Paid"/>
    <s v=""/>
    <d v="2026-09-12T00:00:00"/>
    <d v="2026-09-12T00:00:00"/>
    <n v="62"/>
    <n v="1"/>
    <n v="62"/>
    <n v="-1.6899999999999977"/>
    <x v="0"/>
    <x v="7"/>
    <x v="11"/>
  </r>
  <r>
    <s v="CLM103412"/>
    <s v="PT11424"/>
    <s v="P02"/>
    <x v="0"/>
    <x v="8"/>
    <n v="1"/>
    <d v="2026-04-09T00:00:00"/>
    <d v="2026-04-10T00:00:00"/>
    <n v="254.28"/>
    <m/>
    <m/>
    <m/>
    <s v="Denied"/>
    <s v="CO-27"/>
    <d v="2026-05-01T00:00:00"/>
    <m/>
    <n v="260"/>
    <n v="0.43"/>
    <n v="111.8"/>
    <s v=""/>
    <x v="2"/>
    <x v="6"/>
    <x v="10"/>
  </r>
  <r>
    <s v="CLM103413"/>
    <s v="PT11407"/>
    <s v="P02"/>
    <x v="2"/>
    <x v="2"/>
    <n v="3"/>
    <d v="2025-12-20T00:00:00"/>
    <d v="2025-12-21T00:00:00"/>
    <n v="190.98"/>
    <n v="89.21"/>
    <n v="89.21"/>
    <n v="0"/>
    <s v="Paid"/>
    <s v=""/>
    <d v="2026-01-20T00:00:00"/>
    <d v="2026-01-20T00:00:00"/>
    <n v="62"/>
    <n v="0.43"/>
    <n v="79.98"/>
    <n v="-9.2299999999999898"/>
    <x v="0"/>
    <x v="6"/>
    <x v="6"/>
  </r>
  <r>
    <s v="CLM103414"/>
    <s v="PT12444"/>
    <s v="P04"/>
    <x v="2"/>
    <x v="0"/>
    <n v="1"/>
    <d v="2026-09-23T00:00:00"/>
    <d v="2026-09-26T00:00:00"/>
    <n v="145.4"/>
    <m/>
    <m/>
    <m/>
    <s v="Pending"/>
    <s v=""/>
    <m/>
    <m/>
    <n v="145"/>
    <n v="0.36"/>
    <n v="52.2"/>
    <s v=""/>
    <x v="2"/>
    <x v="1"/>
    <x v="8"/>
  </r>
  <r>
    <s v="CLM103415"/>
    <s v="PT12405"/>
    <s v="P02"/>
    <x v="1"/>
    <x v="10"/>
    <n v="1"/>
    <d v="2026-05-09T00:00:00"/>
    <d v="2026-05-11T00:00:00"/>
    <n v="1020.07"/>
    <m/>
    <m/>
    <m/>
    <s v="Denied"/>
    <s v="CO-16"/>
    <d v="2026-06-26T00:00:00"/>
    <m/>
    <n v="1050"/>
    <n v="0.43"/>
    <n v="451.5"/>
    <s v=""/>
    <x v="2"/>
    <x v="6"/>
    <x v="7"/>
  </r>
  <r>
    <s v="CLM103416"/>
    <s v="PT13420"/>
    <s v="P01"/>
    <x v="0"/>
    <x v="8"/>
    <n v="1"/>
    <d v="2026-07-27T00:00:00"/>
    <d v="2026-08-05T00:00:00"/>
    <n v="255.33"/>
    <n v="108.99"/>
    <n v="108.99"/>
    <n v="0"/>
    <s v="Paid"/>
    <s v=""/>
    <d v="2026-09-09T00:00:00"/>
    <d v="2026-09-09T00:00:00"/>
    <n v="260"/>
    <n v="0.45"/>
    <n v="117"/>
    <n v="8.0100000000000051"/>
    <x v="1"/>
    <x v="5"/>
    <x v="1"/>
  </r>
  <r>
    <s v="CLM103417"/>
    <s v="PT10808"/>
    <s v="P06"/>
    <x v="2"/>
    <x v="9"/>
    <n v="1"/>
    <d v="2026-02-14T00:00:00"/>
    <d v="2026-02-16T00:00:00"/>
    <n v="59.07"/>
    <n v="16.57"/>
    <n v="16.57"/>
    <n v="0"/>
    <s v="Paid"/>
    <s v=""/>
    <d v="2026-03-09T00:00:00"/>
    <d v="2026-03-09T00:00:00"/>
    <n v="58"/>
    <n v="0.27"/>
    <n v="15.66"/>
    <n v="-0.91000000000000014"/>
    <x v="0"/>
    <x v="2"/>
    <x v="0"/>
  </r>
  <r>
    <s v="CLM103418"/>
    <s v="PT11016"/>
    <s v="P05"/>
    <x v="2"/>
    <x v="9"/>
    <n v="1"/>
    <d v="2026-04-22T00:00:00"/>
    <d v="2026-04-23T00:00:00"/>
    <n v="58.64"/>
    <n v="25.33"/>
    <n v="22.8"/>
    <n v="2.5299999999999998"/>
    <s v="Paid"/>
    <s v=""/>
    <d v="2026-06-15T00:00:00"/>
    <d v="2026-06-15T00:00:00"/>
    <n v="58"/>
    <n v="0.38"/>
    <n v="22.04"/>
    <n v="-3.2899999999999991"/>
    <x v="0"/>
    <x v="0"/>
    <x v="10"/>
  </r>
  <r>
    <s v="CLM103419"/>
    <s v="PT10009"/>
    <s v="P01"/>
    <x v="1"/>
    <x v="7"/>
    <n v="1"/>
    <d v="2026-09-11T00:00:00"/>
    <d v="2026-09-21T00:00:00"/>
    <n v="213.66"/>
    <m/>
    <m/>
    <m/>
    <s v="Pending"/>
    <s v=""/>
    <m/>
    <m/>
    <n v="210"/>
    <n v="0.45"/>
    <n v="94.5"/>
    <s v=""/>
    <x v="2"/>
    <x v="5"/>
    <x v="8"/>
  </r>
  <r>
    <s v="CLM103420"/>
    <s v="PT13171"/>
    <s v="P05"/>
    <x v="1"/>
    <x v="1"/>
    <n v="1"/>
    <d v="2025-12-25T00:00:00"/>
    <d v="2025-12-28T00:00:00"/>
    <n v="241.19"/>
    <n v="93.27"/>
    <n v="93.27"/>
    <n v="0"/>
    <s v="Paid"/>
    <s v=""/>
    <d v="2026-02-11T00:00:00"/>
    <d v="2026-02-11T00:00:00"/>
    <n v="240"/>
    <n v="0.38"/>
    <n v="91.2"/>
    <n v="-2.0699999999999932"/>
    <x v="0"/>
    <x v="0"/>
    <x v="6"/>
  </r>
  <r>
    <s v="CLM103421"/>
    <s v="PT13353"/>
    <s v="P07"/>
    <x v="2"/>
    <x v="0"/>
    <n v="1"/>
    <d v="2026-09-03T00:00:00"/>
    <d v="2026-09-06T00:00:00"/>
    <n v="142.83000000000001"/>
    <m/>
    <m/>
    <m/>
    <s v="Pending"/>
    <s v=""/>
    <m/>
    <m/>
    <n v="145"/>
    <n v="0.28000000000000003"/>
    <n v="40.6"/>
    <s v=""/>
    <x v="2"/>
    <x v="3"/>
    <x v="8"/>
  </r>
  <r>
    <s v="CLM103422"/>
    <s v="PT10074"/>
    <s v="P06"/>
    <x v="3"/>
    <x v="3"/>
    <n v="5"/>
    <d v="2026-04-24T00:00:00"/>
    <d v="2026-05-05T00:00:00"/>
    <n v="7244.58"/>
    <m/>
    <m/>
    <m/>
    <s v="Denied"/>
    <s v="CO-16"/>
    <d v="2026-06-05T00:00:00"/>
    <m/>
    <n v="1450"/>
    <n v="0.27"/>
    <n v="1957.5"/>
    <s v=""/>
    <x v="2"/>
    <x v="2"/>
    <x v="10"/>
  </r>
  <r>
    <s v="CLM103423"/>
    <s v="PT12846"/>
    <s v="P01"/>
    <x v="2"/>
    <x v="0"/>
    <n v="1"/>
    <d v="2025-12-01T00:00:00"/>
    <d v="2025-12-02T00:00:00"/>
    <n v="142.97999999999999"/>
    <n v="61.14"/>
    <n v="61.14"/>
    <n v="0"/>
    <s v="Paid"/>
    <s v=""/>
    <d v="2026-01-14T00:00:00"/>
    <d v="2026-01-14T00:00:00"/>
    <n v="145"/>
    <n v="0.45"/>
    <n v="65.25"/>
    <n v="4.1099999999999994"/>
    <x v="1"/>
    <x v="5"/>
    <x v="6"/>
  </r>
  <r>
    <s v="CLM103425"/>
    <s v="PT10398"/>
    <s v="P03"/>
    <x v="3"/>
    <x v="7"/>
    <n v="1"/>
    <d v="2026-07-30T00:00:00"/>
    <d v="2026-08-04T00:00:00"/>
    <n v="211.14"/>
    <n v="108.39"/>
    <n v="108.39"/>
    <n v="0"/>
    <s v="Paid"/>
    <s v=""/>
    <d v="2026-09-23T00:00:00"/>
    <d v="2026-09-23T00:00:00"/>
    <n v="210"/>
    <n v="0.47"/>
    <n v="98.7"/>
    <n v="-9.6899999999999977"/>
    <x v="0"/>
    <x v="4"/>
    <x v="1"/>
  </r>
  <r>
    <s v="CLM103426"/>
    <s v="PT11835"/>
    <s v="P04"/>
    <x v="0"/>
    <x v="4"/>
    <n v="1"/>
    <d v="2026-05-03T00:00:00"/>
    <d v="2026-05-04T00:00:00"/>
    <n v="36.909999999999997"/>
    <n v="11.89"/>
    <n v="9.51"/>
    <n v="2.38"/>
    <s v="Paid"/>
    <s v=""/>
    <d v="2026-05-26T00:00:00"/>
    <d v="2026-05-26T00:00:00"/>
    <n v="38"/>
    <n v="0.36"/>
    <n v="13.68"/>
    <n v="1.7899999999999991"/>
    <x v="1"/>
    <x v="1"/>
    <x v="7"/>
  </r>
  <r>
    <s v="CLM103427"/>
    <s v="PT10211"/>
    <s v="P01"/>
    <x v="2"/>
    <x v="9"/>
    <n v="1"/>
    <d v="2025-11-28T00:00:00"/>
    <d v="2025-12-04T00:00:00"/>
    <n v="58.72"/>
    <n v="23.88"/>
    <n v="23.88"/>
    <n v="0"/>
    <s v="Paid"/>
    <s v=""/>
    <d v="2025-12-30T00:00:00"/>
    <d v="2025-12-30T00:00:00"/>
    <n v="58"/>
    <n v="0.45"/>
    <n v="26.1"/>
    <n v="2.2200000000000024"/>
    <x v="1"/>
    <x v="5"/>
    <x v="3"/>
  </r>
  <r>
    <s v="CLM103428"/>
    <s v="PT10018"/>
    <s v="P04"/>
    <x v="0"/>
    <x v="8"/>
    <n v="1"/>
    <d v="2026-07-14T00:00:00"/>
    <d v="2026-07-16T00:00:00"/>
    <n v="264.42"/>
    <n v="101.84"/>
    <n v="81.47"/>
    <n v="20.37"/>
    <s v="Paid"/>
    <s v=""/>
    <d v="2026-07-25T00:00:00"/>
    <d v="2026-07-25T00:00:00"/>
    <n v="260"/>
    <n v="0.36"/>
    <n v="93.6"/>
    <n v="-8.2400000000000091"/>
    <x v="0"/>
    <x v="1"/>
    <x v="1"/>
  </r>
  <r>
    <s v="CLM103429"/>
    <s v="PT12930"/>
    <s v="P01"/>
    <x v="2"/>
    <x v="2"/>
    <n v="1"/>
    <d v="2026-01-23T00:00:00"/>
    <d v="2026-01-25T00:00:00"/>
    <n v="62.83"/>
    <n v="29.92"/>
    <n v="23.94"/>
    <n v="5.98"/>
    <s v="Paid"/>
    <s v=""/>
    <d v="2026-02-12T00:00:00"/>
    <d v="2026-02-12T00:00:00"/>
    <n v="62"/>
    <n v="0.45"/>
    <n v="27.9"/>
    <n v="-2.0200000000000031"/>
    <x v="0"/>
    <x v="5"/>
    <x v="5"/>
  </r>
  <r>
    <s v="CLM103430"/>
    <s v="PT11241"/>
    <s v="P05"/>
    <x v="2"/>
    <x v="2"/>
    <n v="1"/>
    <d v="2026-04-19T00:00:00"/>
    <d v="2026-04-27T00:00:00"/>
    <n v="61.97"/>
    <m/>
    <m/>
    <m/>
    <s v="Denied"/>
    <s v="CO-16"/>
    <d v="2026-05-27T00:00:00"/>
    <m/>
    <n v="62"/>
    <n v="0.38"/>
    <n v="23.56"/>
    <s v=""/>
    <x v="2"/>
    <x v="0"/>
    <x v="10"/>
  </r>
  <r>
    <s v="CLM103431"/>
    <s v="PT10778"/>
    <s v="P02"/>
    <x v="3"/>
    <x v="6"/>
    <n v="1"/>
    <d v="2025-10-21T00:00:00"/>
    <d v="2025-10-22T00:00:00"/>
    <n v="420.71"/>
    <n v="204.03"/>
    <n v="183.63"/>
    <n v="20.399999999999999"/>
    <s v="Paid"/>
    <s v=""/>
    <d v="2025-11-09T00:00:00"/>
    <d v="2025-11-09T00:00:00"/>
    <n v="420"/>
    <n v="0.43"/>
    <n v="180.6"/>
    <n v="-23.430000000000007"/>
    <x v="0"/>
    <x v="6"/>
    <x v="9"/>
  </r>
  <r>
    <s v="CLM103432"/>
    <s v="PT10385"/>
    <s v="P05"/>
    <x v="3"/>
    <x v="3"/>
    <n v="5"/>
    <d v="2026-01-24T00:00:00"/>
    <d v="2026-01-25T00:00:00"/>
    <n v="7237.72"/>
    <m/>
    <m/>
    <m/>
    <s v="Denied"/>
    <s v="CO-16"/>
    <d v="2026-03-31T00:00:00"/>
    <m/>
    <n v="1450"/>
    <n v="0.38"/>
    <n v="2755"/>
    <s v=""/>
    <x v="2"/>
    <x v="0"/>
    <x v="5"/>
  </r>
  <r>
    <s v="CLM103433"/>
    <s v="PT12228"/>
    <s v="P05"/>
    <x v="0"/>
    <x v="7"/>
    <n v="1"/>
    <d v="2026-07-19T00:00:00"/>
    <d v="2026-07-27T00:00:00"/>
    <n v="208.29"/>
    <n v="79.42"/>
    <n v="71.48"/>
    <n v="7.94"/>
    <s v="Paid"/>
    <s v=""/>
    <d v="2026-09-09T00:00:00"/>
    <d v="2026-09-09T00:00:00"/>
    <n v="210"/>
    <n v="0.38"/>
    <n v="79.8"/>
    <n v="0.37999999999999545"/>
    <x v="0"/>
    <x v="0"/>
    <x v="1"/>
  </r>
  <r>
    <s v="CLM103434"/>
    <s v="PT13442"/>
    <s v="P05"/>
    <x v="0"/>
    <x v="0"/>
    <n v="1"/>
    <d v="2026-06-16T00:00:00"/>
    <d v="2026-06-18T00:00:00"/>
    <n v="142.38999999999999"/>
    <n v="46.6"/>
    <n v="41.94"/>
    <n v="4.66"/>
    <s v="Paid"/>
    <s v=""/>
    <d v="2026-08-11T00:00:00"/>
    <d v="2026-08-11T00:00:00"/>
    <n v="145"/>
    <n v="0.38"/>
    <n v="55.1"/>
    <n v="8.5"/>
    <x v="1"/>
    <x v="0"/>
    <x v="11"/>
  </r>
  <r>
    <s v="CLM103435"/>
    <s v="PT11775"/>
    <s v="P03"/>
    <x v="1"/>
    <x v="4"/>
    <n v="1"/>
    <d v="2026-06-29T00:00:00"/>
    <d v="2026-07-03T00:00:00"/>
    <n v="37.659999999999997"/>
    <n v="18.29"/>
    <n v="18.29"/>
    <n v="0"/>
    <s v="Paid"/>
    <s v=""/>
    <d v="2026-08-27T00:00:00"/>
    <d v="2026-08-27T00:00:00"/>
    <n v="38"/>
    <n v="0.47"/>
    <n v="17.86"/>
    <n v="-0.42999999999999972"/>
    <x v="0"/>
    <x v="4"/>
    <x v="11"/>
  </r>
  <r>
    <s v="CLM103436"/>
    <s v="PT10568"/>
    <s v="P02"/>
    <x v="0"/>
    <x v="8"/>
    <n v="1"/>
    <d v="2026-01-09T00:00:00"/>
    <d v="2026-01-14T00:00:00"/>
    <n v="254.97"/>
    <n v="119.52"/>
    <n v="119.52"/>
    <n v="0"/>
    <s v="Paid"/>
    <s v=""/>
    <d v="2026-02-24T00:00:00"/>
    <d v="2026-02-24T00:00:00"/>
    <n v="260"/>
    <n v="0.43"/>
    <n v="111.8"/>
    <n v="-7.7199999999999989"/>
    <x v="0"/>
    <x v="6"/>
    <x v="5"/>
  </r>
  <r>
    <s v="CLM103437"/>
    <s v="PT11389"/>
    <s v="P01"/>
    <x v="1"/>
    <x v="1"/>
    <n v="1"/>
    <d v="2025-12-29T00:00:00"/>
    <d v="2025-12-31T00:00:00"/>
    <n v="239.57"/>
    <n v="108.89"/>
    <n v="98"/>
    <n v="10.89"/>
    <s v="Paid"/>
    <s v=""/>
    <d v="2026-01-25T00:00:00"/>
    <d v="2026-01-25T00:00:00"/>
    <n v="240"/>
    <n v="0.45"/>
    <n v="108"/>
    <n v="-0.89000000000000057"/>
    <x v="0"/>
    <x v="5"/>
    <x v="6"/>
  </r>
  <r>
    <s v="CLM103438"/>
    <s v="PT11861"/>
    <s v="P06"/>
    <x v="0"/>
    <x v="4"/>
    <n v="1"/>
    <d v="2025-10-17T00:00:00"/>
    <d v="2025-10-31T00:00:00"/>
    <n v="37.229999999999997"/>
    <n v="11.15"/>
    <n v="11.15"/>
    <n v="0"/>
    <s v="Paid"/>
    <s v=""/>
    <d v="2025-12-19T00:00:00"/>
    <d v="2025-12-19T00:00:00"/>
    <n v="38"/>
    <n v="0.27"/>
    <n v="10.26"/>
    <n v="-0.89000000000000057"/>
    <x v="0"/>
    <x v="2"/>
    <x v="9"/>
  </r>
  <r>
    <s v="CLM103439"/>
    <s v="PT12340"/>
    <s v="P03"/>
    <x v="0"/>
    <x v="0"/>
    <n v="1"/>
    <d v="2026-07-16T00:00:00"/>
    <d v="2026-07-25T00:00:00"/>
    <n v="143.22999999999999"/>
    <m/>
    <m/>
    <m/>
    <s v="Denied"/>
    <s v="CO-11"/>
    <d v="2026-09-20T00:00:00"/>
    <m/>
    <n v="145"/>
    <n v="0.47"/>
    <n v="68.150000000000006"/>
    <s v=""/>
    <x v="2"/>
    <x v="4"/>
    <x v="1"/>
  </r>
  <r>
    <s v="CLM103440"/>
    <s v="PT10762"/>
    <s v="P05"/>
    <x v="1"/>
    <x v="11"/>
    <n v="1"/>
    <d v="2026-02-20T00:00:00"/>
    <d v="2026-03-01T00:00:00"/>
    <n v="1122.0899999999999"/>
    <n v="455.44"/>
    <n v="455.44"/>
    <n v="0"/>
    <s v="Paid"/>
    <s v=""/>
    <d v="2026-04-19T00:00:00"/>
    <d v="2026-04-19T00:00:00"/>
    <n v="1150"/>
    <n v="0.38"/>
    <n v="437"/>
    <n v="-18.439999999999998"/>
    <x v="0"/>
    <x v="0"/>
    <x v="0"/>
  </r>
  <r>
    <s v="CLM103441"/>
    <s v="PT11738"/>
    <s v="P05"/>
    <x v="2"/>
    <x v="0"/>
    <n v="1"/>
    <d v="2026-06-28T00:00:00"/>
    <d v="2026-07-03T00:00:00"/>
    <n v="144.4"/>
    <n v="56.49"/>
    <n v="56.49"/>
    <n v="0"/>
    <s v="Paid"/>
    <s v=""/>
    <d v="2026-08-21T00:00:00"/>
    <d v="2026-08-21T00:00:00"/>
    <n v="145"/>
    <n v="0.38"/>
    <n v="55.1"/>
    <n v="-1.3900000000000006"/>
    <x v="0"/>
    <x v="0"/>
    <x v="11"/>
  </r>
  <r>
    <s v="CLM103442"/>
    <s v="PT10251"/>
    <s v="P08"/>
    <x v="0"/>
    <x v="4"/>
    <n v="1"/>
    <d v="2026-02-09T00:00:00"/>
    <d v="2026-02-14T00:00:00"/>
    <n v="37.93"/>
    <m/>
    <m/>
    <m/>
    <s v="Pending"/>
    <s v=""/>
    <m/>
    <m/>
    <n v="38"/>
    <n v="1"/>
    <n v="38"/>
    <s v=""/>
    <x v="2"/>
    <x v="7"/>
    <x v="0"/>
  </r>
  <r>
    <s v="CLM103443"/>
    <s v="PT12631"/>
    <s v="P01"/>
    <x v="1"/>
    <x v="1"/>
    <n v="1"/>
    <d v="2026-02-06T00:00:00"/>
    <d v="2026-02-09T00:00:00"/>
    <n v="236.36"/>
    <n v="102.86"/>
    <n v="102.86"/>
    <n v="0"/>
    <s v="Paid"/>
    <s v=""/>
    <d v="2026-03-15T00:00:00"/>
    <d v="2026-03-15T00:00:00"/>
    <n v="240"/>
    <n v="0.45"/>
    <n v="108"/>
    <n v="5.1400000000000006"/>
    <x v="0"/>
    <x v="5"/>
    <x v="0"/>
  </r>
  <r>
    <s v="CLM103444"/>
    <s v="PT12422"/>
    <s v="P05"/>
    <x v="0"/>
    <x v="4"/>
    <n v="1"/>
    <d v="2026-08-14T00:00:00"/>
    <d v="2026-08-19T00:00:00"/>
    <n v="38.58"/>
    <m/>
    <m/>
    <m/>
    <s v="Pending"/>
    <s v=""/>
    <m/>
    <m/>
    <n v="38"/>
    <n v="0.38"/>
    <n v="14.44"/>
    <s v=""/>
    <x v="2"/>
    <x v="0"/>
    <x v="4"/>
  </r>
  <r>
    <s v="CLM103445"/>
    <s v="PT11867"/>
    <s v="P01"/>
    <x v="1"/>
    <x v="1"/>
    <n v="1"/>
    <d v="2026-02-13T00:00:00"/>
    <d v="2026-02-22T00:00:00"/>
    <n v="234.65"/>
    <n v="103.98"/>
    <n v="103.98"/>
    <n v="0"/>
    <s v="Paid"/>
    <s v=""/>
    <d v="2026-03-27T00:00:00"/>
    <d v="2026-03-27T00:00:00"/>
    <n v="240"/>
    <n v="0.45"/>
    <n v="108"/>
    <n v="4.019999999999996"/>
    <x v="0"/>
    <x v="5"/>
    <x v="0"/>
  </r>
  <r>
    <s v="CLM103446"/>
    <s v="PT11154"/>
    <s v="P03"/>
    <x v="0"/>
    <x v="8"/>
    <n v="1"/>
    <d v="2026-03-23T00:00:00"/>
    <d v="2026-04-14T00:00:00"/>
    <n v="252.95"/>
    <n v="120.31"/>
    <n v="120.31"/>
    <n v="0"/>
    <s v="Paid"/>
    <s v=""/>
    <d v="2026-06-04T00:00:00"/>
    <d v="2026-06-04T00:00:00"/>
    <n v="260"/>
    <n v="0.47"/>
    <n v="122.2"/>
    <n v="1.8900000000000006"/>
    <x v="0"/>
    <x v="4"/>
    <x v="2"/>
  </r>
  <r>
    <s v="CLM103447"/>
    <s v="PT12914"/>
    <s v="P08"/>
    <x v="0"/>
    <x v="4"/>
    <n v="1"/>
    <d v="2026-01-25T00:00:00"/>
    <d v="2026-01-26T00:00:00"/>
    <n v="38.479999999999997"/>
    <n v="38.479999999999997"/>
    <n v="38.479999999999997"/>
    <n v="0"/>
    <s v="Paid"/>
    <s v=""/>
    <d v="2026-03-31T00:00:00"/>
    <d v="2026-03-31T00:00:00"/>
    <n v="38"/>
    <n v="1"/>
    <n v="38"/>
    <n v="-0.47999999999999687"/>
    <x v="0"/>
    <x v="7"/>
    <x v="5"/>
  </r>
  <r>
    <s v="CLM103448"/>
    <s v="PT12818"/>
    <s v="P04"/>
    <x v="3"/>
    <x v="6"/>
    <n v="1"/>
    <d v="2026-06-16T00:00:00"/>
    <d v="2026-06-17T00:00:00"/>
    <n v="429.4"/>
    <n v="167"/>
    <n v="150.30000000000001"/>
    <n v="16.7"/>
    <s v="Paid"/>
    <s v=""/>
    <d v="2026-07-06T00:00:00"/>
    <d v="2026-07-06T00:00:00"/>
    <n v="420"/>
    <n v="0.36"/>
    <n v="151.19999999999999"/>
    <n v="-15.800000000000011"/>
    <x v="0"/>
    <x v="1"/>
    <x v="11"/>
  </r>
  <r>
    <s v="CLM103449"/>
    <s v="PT12360"/>
    <s v="P02"/>
    <x v="0"/>
    <x v="7"/>
    <n v="1"/>
    <d v="2026-06-15T00:00:00"/>
    <d v="2026-06-17T00:00:00"/>
    <n v="213.67"/>
    <n v="78.73"/>
    <n v="62.98"/>
    <n v="15.75"/>
    <s v="Paid"/>
    <s v=""/>
    <d v="2026-07-11T00:00:00"/>
    <d v="2026-07-11T00:00:00"/>
    <n v="210"/>
    <n v="0.43"/>
    <n v="90.3"/>
    <n v="11.569999999999993"/>
    <x v="1"/>
    <x v="6"/>
    <x v="11"/>
  </r>
  <r>
    <s v="CLM103450"/>
    <s v="PT11299"/>
    <s v="P06"/>
    <x v="3"/>
    <x v="7"/>
    <n v="1"/>
    <d v="2026-09-15T00:00:00"/>
    <d v="2026-09-18T00:00:00"/>
    <n v="211.13"/>
    <m/>
    <m/>
    <m/>
    <s v="Pending"/>
    <s v=""/>
    <m/>
    <m/>
    <n v="210"/>
    <n v="0.27"/>
    <n v="56.7"/>
    <s v=""/>
    <x v="2"/>
    <x v="2"/>
    <x v="8"/>
  </r>
  <r>
    <s v="CLM103452"/>
    <s v="PT10881"/>
    <s v="P02"/>
    <x v="0"/>
    <x v="8"/>
    <n v="1"/>
    <d v="2026-05-16T00:00:00"/>
    <d v="2026-05-19T00:00:00"/>
    <n v="262.26"/>
    <n v="112.81"/>
    <n v="90.25"/>
    <n v="22.56"/>
    <s v="Paid"/>
    <s v=""/>
    <d v="2026-06-29T00:00:00"/>
    <d v="2026-06-29T00:00:00"/>
    <n v="260"/>
    <n v="0.43"/>
    <n v="111.8"/>
    <n v="-1.0100000000000051"/>
    <x v="0"/>
    <x v="6"/>
    <x v="7"/>
  </r>
  <r>
    <s v="CLM103453"/>
    <s v="PT12884"/>
    <s v="P07"/>
    <x v="3"/>
    <x v="7"/>
    <n v="1"/>
    <d v="2026-01-24T00:00:00"/>
    <d v="2026-01-26T00:00:00"/>
    <n v="214.66"/>
    <n v="65.11"/>
    <n v="65.11"/>
    <n v="0"/>
    <s v="Paid"/>
    <s v=""/>
    <d v="2026-03-12T00:00:00"/>
    <d v="2026-03-12T00:00:00"/>
    <n v="210"/>
    <n v="0.28000000000000003"/>
    <n v="58.8"/>
    <n v="-6.3100000000000023"/>
    <x v="0"/>
    <x v="3"/>
    <x v="5"/>
  </r>
  <r>
    <s v="CLM103454"/>
    <s v="PT11886"/>
    <s v="P05"/>
    <x v="2"/>
    <x v="2"/>
    <n v="4"/>
    <d v="2026-03-21T00:00:00"/>
    <d v="2026-03-23T00:00:00"/>
    <n v="247.08"/>
    <n v="81.33"/>
    <n v="73.2"/>
    <n v="8.1300000000000008"/>
    <s v="Paid"/>
    <s v=""/>
    <d v="2026-06-07T00:00:00"/>
    <d v="2026-06-07T00:00:00"/>
    <n v="62"/>
    <n v="0.38"/>
    <n v="94.24"/>
    <n v="12.909999999999997"/>
    <x v="1"/>
    <x v="0"/>
    <x v="2"/>
  </r>
  <r>
    <s v="CLM103455"/>
    <s v="PT12781"/>
    <s v="P04"/>
    <x v="1"/>
    <x v="10"/>
    <n v="1"/>
    <d v="2025-12-10T00:00:00"/>
    <d v="2025-12-11T00:00:00"/>
    <n v="1043.76"/>
    <n v="385.5"/>
    <n v="308.39999999999998"/>
    <n v="77.099999999999994"/>
    <s v="Paid"/>
    <s v=""/>
    <d v="2026-01-01T00:00:00"/>
    <d v="2026-01-01T00:00:00"/>
    <n v="1050"/>
    <n v="0.36"/>
    <n v="378"/>
    <n v="-7.5"/>
    <x v="0"/>
    <x v="1"/>
    <x v="6"/>
  </r>
  <r>
    <s v="CLM103456"/>
    <s v="PT12253"/>
    <s v="P05"/>
    <x v="0"/>
    <x v="0"/>
    <n v="1"/>
    <d v="2026-07-11T00:00:00"/>
    <d v="2026-07-12T00:00:00"/>
    <n v="146.11000000000001"/>
    <n v="49.54"/>
    <n v="49.54"/>
    <n v="0"/>
    <s v="Paid"/>
    <s v=""/>
    <d v="2026-08-23T00:00:00"/>
    <d v="2026-08-23T00:00:00"/>
    <n v="145"/>
    <n v="0.38"/>
    <n v="55.1"/>
    <n v="5.5600000000000023"/>
    <x v="1"/>
    <x v="0"/>
    <x v="1"/>
  </r>
  <r>
    <s v="CLM103457"/>
    <s v="PT10351"/>
    <s v="P01"/>
    <x v="3"/>
    <x v="3"/>
    <n v="5"/>
    <d v="2025-10-16T00:00:00"/>
    <d v="2025-10-17T00:00:00"/>
    <n v="7355.42"/>
    <n v="3482.74"/>
    <n v="3134.47"/>
    <n v="348.27"/>
    <s v="Paid"/>
    <s v=""/>
    <d v="2025-11-07T00:00:00"/>
    <d v="2025-11-07T00:00:00"/>
    <n v="1450"/>
    <n v="0.45"/>
    <n v="3262.5"/>
    <n v="-220.23999999999978"/>
    <x v="0"/>
    <x v="5"/>
    <x v="9"/>
  </r>
  <r>
    <s v="CLM103458"/>
    <s v="PT11823"/>
    <s v="P04"/>
    <x v="1"/>
    <x v="11"/>
    <n v="1"/>
    <d v="2025-11-25T00:00:00"/>
    <d v="2025-11-29T00:00:00"/>
    <n v="1132.98"/>
    <n v="349.85"/>
    <n v="279.88"/>
    <n v="69.97"/>
    <s v="Paid"/>
    <s v=""/>
    <d v="2025-12-13T00:00:00"/>
    <d v="2025-12-13T00:00:00"/>
    <n v="1150"/>
    <n v="0.36"/>
    <n v="414"/>
    <n v="64.149999999999977"/>
    <x v="1"/>
    <x v="1"/>
    <x v="3"/>
  </r>
  <r>
    <s v="CLM103459"/>
    <s v="PT11117"/>
    <s v="P06"/>
    <x v="1"/>
    <x v="4"/>
    <n v="1"/>
    <d v="2025-10-08T00:00:00"/>
    <d v="2025-10-09T00:00:00"/>
    <n v="38.369999999999997"/>
    <n v="10.78"/>
    <n v="10.78"/>
    <n v="0"/>
    <s v="Paid"/>
    <s v=""/>
    <d v="2025-11-06T00:00:00"/>
    <d v="2025-11-06T00:00:00"/>
    <n v="38"/>
    <n v="0.27"/>
    <n v="10.26"/>
    <n v="-0.51999999999999957"/>
    <x v="0"/>
    <x v="2"/>
    <x v="9"/>
  </r>
  <r>
    <s v="CLM103460"/>
    <s v="PT11614"/>
    <s v="P03"/>
    <x v="1"/>
    <x v="7"/>
    <n v="1"/>
    <d v="2026-09-10T00:00:00"/>
    <d v="2026-09-12T00:00:00"/>
    <n v="215.04"/>
    <m/>
    <m/>
    <m/>
    <s v="Pending"/>
    <s v=""/>
    <m/>
    <m/>
    <n v="210"/>
    <n v="0.47"/>
    <n v="98.7"/>
    <s v=""/>
    <x v="2"/>
    <x v="4"/>
    <x v="8"/>
  </r>
  <r>
    <s v="CLM103461"/>
    <s v="PT10261"/>
    <s v="P04"/>
    <x v="0"/>
    <x v="7"/>
    <n v="1"/>
    <d v="2026-06-22T00:00:00"/>
    <d v="2026-06-23T00:00:00"/>
    <n v="206.2"/>
    <n v="65.34"/>
    <n v="58.81"/>
    <n v="6.53"/>
    <s v="Paid"/>
    <s v=""/>
    <d v="2026-07-15T00:00:00"/>
    <d v="2026-07-15T00:00:00"/>
    <n v="210"/>
    <n v="0.36"/>
    <n v="75.599999999999994"/>
    <n v="10.259999999999991"/>
    <x v="1"/>
    <x v="1"/>
    <x v="11"/>
  </r>
  <r>
    <s v="CLM103462"/>
    <s v="PT12766"/>
    <s v="P07"/>
    <x v="1"/>
    <x v="7"/>
    <n v="1"/>
    <d v="2026-02-09T00:00:00"/>
    <d v="2026-02-21T00:00:00"/>
    <n v="206.29"/>
    <m/>
    <m/>
    <m/>
    <s v="Denied"/>
    <s v="CO-50"/>
    <d v="2026-05-07T00:00:00"/>
    <m/>
    <n v="210"/>
    <n v="0.28000000000000003"/>
    <n v="58.8"/>
    <s v=""/>
    <x v="2"/>
    <x v="3"/>
    <x v="0"/>
  </r>
  <r>
    <s v="CLM103463"/>
    <s v="PT10037"/>
    <s v="P06"/>
    <x v="1"/>
    <x v="4"/>
    <n v="1"/>
    <d v="2025-12-06T00:00:00"/>
    <d v="2025-12-14T00:00:00"/>
    <n v="37.74"/>
    <n v="11.31"/>
    <n v="11.31"/>
    <n v="0"/>
    <s v="Paid"/>
    <s v=""/>
    <d v="2026-01-19T00:00:00"/>
    <d v="2026-01-19T00:00:00"/>
    <n v="38"/>
    <n v="0.27"/>
    <n v="10.26"/>
    <n v="-1.0500000000000007"/>
    <x v="0"/>
    <x v="2"/>
    <x v="6"/>
  </r>
  <r>
    <s v="CLM103464"/>
    <s v="PT12088"/>
    <s v="P04"/>
    <x v="1"/>
    <x v="4"/>
    <n v="1"/>
    <d v="2026-08-03T00:00:00"/>
    <d v="2026-08-04T00:00:00"/>
    <n v="37.07"/>
    <n v="11.58"/>
    <n v="11.58"/>
    <n v="0"/>
    <s v="Paid"/>
    <s v=""/>
    <d v="2026-08-25T00:00:00"/>
    <d v="2026-08-25T00:00:00"/>
    <n v="38"/>
    <n v="0.36"/>
    <n v="13.68"/>
    <n v="2.0999999999999996"/>
    <x v="1"/>
    <x v="1"/>
    <x v="4"/>
  </r>
  <r>
    <s v="CLM103465"/>
    <s v="PT12474"/>
    <s v="P03"/>
    <x v="1"/>
    <x v="5"/>
    <n v="1"/>
    <d v="2026-09-04T00:00:00"/>
    <d v="2026-09-08T00:00:00"/>
    <n v="4941.49"/>
    <n v="2163.5700000000002"/>
    <n v="1730.86"/>
    <n v="432.71"/>
    <s v="Paid"/>
    <s v=""/>
    <d v="2026-09-30T00:00:00"/>
    <d v="2026-09-30T00:00:00"/>
    <n v="4800"/>
    <n v="0.47"/>
    <n v="2256"/>
    <n v="92.429999999999836"/>
    <x v="0"/>
    <x v="4"/>
    <x v="8"/>
  </r>
  <r>
    <s v="CLM103466"/>
    <s v="PT11187"/>
    <s v="P02"/>
    <x v="3"/>
    <x v="7"/>
    <n v="1"/>
    <d v="2025-12-17T00:00:00"/>
    <d v="2025-12-27T00:00:00"/>
    <n v="213.7"/>
    <n v="90.2"/>
    <n v="90.2"/>
    <n v="0"/>
    <s v="Paid"/>
    <s v=""/>
    <d v="2026-02-09T00:00:00"/>
    <d v="2026-02-09T00:00:00"/>
    <n v="210"/>
    <n v="0.43"/>
    <n v="90.3"/>
    <n v="9.9999999999994316E-2"/>
    <x v="0"/>
    <x v="6"/>
    <x v="6"/>
  </r>
  <r>
    <s v="CLM103467"/>
    <s v="PT13471"/>
    <s v="P02"/>
    <x v="3"/>
    <x v="6"/>
    <n v="1"/>
    <d v="2026-06-14T00:00:00"/>
    <d v="2026-06-16T00:00:00"/>
    <n v="423.94"/>
    <n v="155.88999999999999"/>
    <n v="124.71"/>
    <n v="31.18"/>
    <s v="Paid"/>
    <s v=""/>
    <d v="2026-07-27T00:00:00"/>
    <d v="2026-07-27T00:00:00"/>
    <n v="420"/>
    <n v="0.43"/>
    <n v="180.6"/>
    <n v="24.710000000000008"/>
    <x v="1"/>
    <x v="6"/>
    <x v="11"/>
  </r>
  <r>
    <s v="CLM103468"/>
    <s v="PT11943"/>
    <s v="P05"/>
    <x v="2"/>
    <x v="9"/>
    <n v="1"/>
    <d v="2026-04-04T00:00:00"/>
    <d v="2026-04-10T00:00:00"/>
    <n v="58.11"/>
    <n v="20.98"/>
    <n v="20.98"/>
    <n v="0"/>
    <s v="Paid"/>
    <s v=""/>
    <d v="2026-06-22T00:00:00"/>
    <d v="2026-06-22T00:00:00"/>
    <n v="58"/>
    <n v="0.38"/>
    <n v="22.04"/>
    <n v="1.0599999999999987"/>
    <x v="0"/>
    <x v="0"/>
    <x v="10"/>
  </r>
  <r>
    <s v="CLM103469"/>
    <s v="PT11700"/>
    <s v="P05"/>
    <x v="2"/>
    <x v="2"/>
    <n v="2"/>
    <d v="2026-09-04T00:00:00"/>
    <d v="2026-09-09T00:00:00"/>
    <n v="121.59"/>
    <m/>
    <m/>
    <m/>
    <s v="Pending"/>
    <s v=""/>
    <m/>
    <m/>
    <n v="62"/>
    <n v="0.38"/>
    <n v="47.12"/>
    <s v=""/>
    <x v="2"/>
    <x v="0"/>
    <x v="8"/>
  </r>
  <r>
    <s v="CLM103470"/>
    <s v="PT12745"/>
    <s v="P01"/>
    <x v="3"/>
    <x v="3"/>
    <n v="5"/>
    <d v="2026-04-12T00:00:00"/>
    <d v="2026-04-17T00:00:00"/>
    <n v="7145.73"/>
    <n v="2920.07"/>
    <n v="2336.06"/>
    <n v="584.01"/>
    <s v="Paid"/>
    <s v=""/>
    <d v="2026-05-28T00:00:00"/>
    <d v="2026-05-28T00:00:00"/>
    <n v="1450"/>
    <n v="0.45"/>
    <n v="3262.5"/>
    <n v="342.42999999999984"/>
    <x v="1"/>
    <x v="5"/>
    <x v="10"/>
  </r>
  <r>
    <s v="CLM103471"/>
    <s v="PT10260"/>
    <s v="P05"/>
    <x v="2"/>
    <x v="2"/>
    <n v="1"/>
    <d v="2026-04-21T00:00:00"/>
    <d v="2026-05-01T00:00:00"/>
    <n v="63.34"/>
    <n v="22.39"/>
    <n v="20.149999999999999"/>
    <n v="2.2400000000000002"/>
    <s v="Paid"/>
    <s v=""/>
    <d v="2026-05-29T00:00:00"/>
    <d v="2026-05-29T00:00:00"/>
    <n v="62"/>
    <n v="0.38"/>
    <n v="23.56"/>
    <n v="1.1699999999999982"/>
    <x v="0"/>
    <x v="0"/>
    <x v="10"/>
  </r>
  <r>
    <s v="CLM103472"/>
    <s v="PT12912"/>
    <s v="P02"/>
    <x v="0"/>
    <x v="8"/>
    <n v="1"/>
    <d v="2026-04-24T00:00:00"/>
    <d v="2026-04-25T00:00:00"/>
    <n v="255.6"/>
    <n v="99.1"/>
    <n v="99.1"/>
    <n v="0"/>
    <s v="Paid"/>
    <s v=""/>
    <d v="2026-05-19T00:00:00"/>
    <d v="2026-05-19T00:00:00"/>
    <n v="260"/>
    <n v="0.43"/>
    <n v="111.8"/>
    <n v="12.700000000000003"/>
    <x v="1"/>
    <x v="6"/>
    <x v="10"/>
  </r>
  <r>
    <s v="CLM103473"/>
    <s v="PT13437"/>
    <s v="P02"/>
    <x v="2"/>
    <x v="2"/>
    <n v="2"/>
    <d v="2025-11-09T00:00:00"/>
    <d v="2025-11-12T00:00:00"/>
    <n v="122.21"/>
    <n v="59.72"/>
    <n v="53.75"/>
    <n v="5.97"/>
    <s v="Paid"/>
    <s v=""/>
    <d v="2025-12-10T00:00:00"/>
    <d v="2025-12-10T00:00:00"/>
    <n v="62"/>
    <n v="0.43"/>
    <n v="53.32"/>
    <n v="-6.3999999999999986"/>
    <x v="0"/>
    <x v="6"/>
    <x v="3"/>
  </r>
  <r>
    <s v="CLM103474"/>
    <s v="PT12475"/>
    <s v="P01"/>
    <x v="2"/>
    <x v="2"/>
    <n v="1"/>
    <d v="2026-08-31T00:00:00"/>
    <d v="2026-09-09T00:00:00"/>
    <n v="62.99"/>
    <n v="30.37"/>
    <n v="30.37"/>
    <n v="0"/>
    <s v="Paid"/>
    <s v=""/>
    <d v="2026-09-25T00:00:00"/>
    <d v="2026-09-25T00:00:00"/>
    <n v="62"/>
    <n v="0.45"/>
    <n v="27.9"/>
    <n v="-2.4700000000000024"/>
    <x v="0"/>
    <x v="5"/>
    <x v="4"/>
  </r>
  <r>
    <s v="CLM103475"/>
    <s v="PT12854"/>
    <s v="P03"/>
    <x v="0"/>
    <x v="7"/>
    <n v="1"/>
    <d v="2026-08-18T00:00:00"/>
    <d v="2026-08-24T00:00:00"/>
    <n v="214.87"/>
    <n v="104.08"/>
    <n v="83.26"/>
    <n v="20.82"/>
    <s v="Paid"/>
    <s v=""/>
    <d v="2026-09-24T00:00:00"/>
    <d v="2026-09-24T00:00:00"/>
    <n v="210"/>
    <n v="0.47"/>
    <n v="98.7"/>
    <n v="-5.3799999999999955"/>
    <x v="0"/>
    <x v="4"/>
    <x v="4"/>
  </r>
  <r>
    <s v="CLM103476"/>
    <s v="PT12494"/>
    <s v="P02"/>
    <x v="1"/>
    <x v="11"/>
    <n v="1"/>
    <d v="2026-07-31T00:00:00"/>
    <d v="2026-08-06T00:00:00"/>
    <n v="1155.8499999999999"/>
    <n v="568.79"/>
    <n v="455.03"/>
    <n v="113.76"/>
    <s v="Paid"/>
    <s v=""/>
    <d v="2026-09-04T00:00:00"/>
    <d v="2026-09-04T00:00:00"/>
    <n v="1150"/>
    <n v="0.43"/>
    <n v="494.5"/>
    <n v="-74.289999999999964"/>
    <x v="0"/>
    <x v="6"/>
    <x v="1"/>
  </r>
  <r>
    <s v="CLM103478"/>
    <s v="PT11072"/>
    <s v="P01"/>
    <x v="1"/>
    <x v="4"/>
    <n v="1"/>
    <d v="2026-02-04T00:00:00"/>
    <d v="2026-02-09T00:00:00"/>
    <n v="37.35"/>
    <m/>
    <m/>
    <m/>
    <s v="Denied"/>
    <s v="CO-50"/>
    <d v="2026-02-28T00:00:00"/>
    <m/>
    <n v="38"/>
    <n v="0.45"/>
    <n v="17.100000000000001"/>
    <s v=""/>
    <x v="2"/>
    <x v="5"/>
    <x v="0"/>
  </r>
  <r>
    <s v="CLM103479"/>
    <s v="PT12646"/>
    <s v="P01"/>
    <x v="2"/>
    <x v="9"/>
    <n v="2"/>
    <d v="2026-06-13T00:00:00"/>
    <d v="2026-06-14T00:00:00"/>
    <n v="113.1"/>
    <m/>
    <m/>
    <m/>
    <s v="Denied"/>
    <s v="CO-16"/>
    <d v="2026-07-07T00:00:00"/>
    <m/>
    <n v="58"/>
    <n v="0.45"/>
    <n v="52.2"/>
    <s v=""/>
    <x v="2"/>
    <x v="5"/>
    <x v="11"/>
  </r>
  <r>
    <s v="CLM103480"/>
    <s v="PT12736"/>
    <s v="P02"/>
    <x v="0"/>
    <x v="8"/>
    <n v="1"/>
    <d v="2026-08-04T00:00:00"/>
    <d v="2026-08-05T00:00:00"/>
    <n v="254.64"/>
    <n v="121.83"/>
    <n v="97.46"/>
    <n v="24.37"/>
    <s v="Paid"/>
    <s v=""/>
    <d v="2026-09-02T00:00:00"/>
    <d v="2026-09-02T00:00:00"/>
    <n v="260"/>
    <n v="0.43"/>
    <n v="111.8"/>
    <n v="-10.030000000000001"/>
    <x v="0"/>
    <x v="6"/>
    <x v="4"/>
  </r>
  <r>
    <s v="CLM103481"/>
    <s v="PT13266"/>
    <s v="P01"/>
    <x v="1"/>
    <x v="10"/>
    <n v="1"/>
    <d v="2026-09-07T00:00:00"/>
    <d v="2026-09-08T00:00:00"/>
    <n v="1028.04"/>
    <n v="493.35"/>
    <n v="493.35"/>
    <n v="0"/>
    <s v="Paid"/>
    <s v=""/>
    <d v="2026-09-29T00:00:00"/>
    <d v="2026-09-29T00:00:00"/>
    <n v="1050"/>
    <n v="0.45"/>
    <n v="472.5"/>
    <n v="-20.850000000000023"/>
    <x v="0"/>
    <x v="5"/>
    <x v="8"/>
  </r>
  <r>
    <s v="CLM103482"/>
    <s v="PT11230"/>
    <s v="P04"/>
    <x v="1"/>
    <x v="7"/>
    <n v="1"/>
    <d v="2026-05-13T00:00:00"/>
    <d v="2026-05-16T00:00:00"/>
    <n v="210.34"/>
    <n v="85"/>
    <n v="68"/>
    <n v="17"/>
    <s v="Paid"/>
    <s v=""/>
    <d v="2026-05-27T00:00:00"/>
    <d v="2026-05-27T00:00:00"/>
    <n v="210"/>
    <n v="0.36"/>
    <n v="75.599999999999994"/>
    <n v="-9.4000000000000057"/>
    <x v="0"/>
    <x v="1"/>
    <x v="7"/>
  </r>
  <r>
    <s v="CLM103483"/>
    <s v="PT11474"/>
    <s v="P02"/>
    <x v="0"/>
    <x v="7"/>
    <n v="1"/>
    <d v="2026-09-06T00:00:00"/>
    <d v="2026-09-12T00:00:00"/>
    <n v="207.6"/>
    <m/>
    <m/>
    <m/>
    <s v="Pending"/>
    <s v=""/>
    <m/>
    <m/>
    <n v="210"/>
    <n v="0.43"/>
    <n v="90.3"/>
    <s v=""/>
    <x v="2"/>
    <x v="6"/>
    <x v="8"/>
  </r>
  <r>
    <s v="CLM103484"/>
    <s v="PT12155"/>
    <s v="P05"/>
    <x v="1"/>
    <x v="10"/>
    <n v="1"/>
    <d v="2026-06-24T00:00:00"/>
    <d v="2026-06-30T00:00:00"/>
    <n v="1033.96"/>
    <n v="349.09"/>
    <n v="349.09"/>
    <n v="0"/>
    <s v="Paid"/>
    <s v=""/>
    <d v="2026-08-07T00:00:00"/>
    <d v="2026-08-07T00:00:00"/>
    <n v="1050"/>
    <n v="0.38"/>
    <n v="399"/>
    <n v="49.910000000000025"/>
    <x v="1"/>
    <x v="0"/>
    <x v="11"/>
  </r>
  <r>
    <s v="CLM103485"/>
    <s v="PT12223"/>
    <s v="P02"/>
    <x v="0"/>
    <x v="4"/>
    <n v="1"/>
    <d v="2026-03-08T00:00:00"/>
    <d v="2026-03-20T00:00:00"/>
    <n v="38.729999999999997"/>
    <n v="17.829999999999998"/>
    <n v="16.05"/>
    <n v="1.78"/>
    <s v="Paid"/>
    <s v=""/>
    <d v="2026-04-18T00:00:00"/>
    <d v="2026-04-18T00:00:00"/>
    <n v="38"/>
    <n v="0.43"/>
    <n v="16.34"/>
    <n v="-1.4899999999999984"/>
    <x v="0"/>
    <x v="6"/>
    <x v="2"/>
  </r>
  <r>
    <s v="CLM103486"/>
    <s v="PT13292"/>
    <s v="P02"/>
    <x v="1"/>
    <x v="8"/>
    <n v="1"/>
    <d v="2025-10-06T00:00:00"/>
    <d v="2025-10-10T00:00:00"/>
    <n v="253.9"/>
    <n v="121.7"/>
    <n v="97.36"/>
    <n v="24.34"/>
    <s v="Paid"/>
    <s v=""/>
    <d v="2025-11-15T00:00:00"/>
    <d v="2025-11-15T00:00:00"/>
    <n v="260"/>
    <n v="0.43"/>
    <n v="111.8"/>
    <n v="-9.9000000000000057"/>
    <x v="0"/>
    <x v="6"/>
    <x v="9"/>
  </r>
  <r>
    <s v="CLM103487"/>
    <s v="PT13399"/>
    <s v="P03"/>
    <x v="2"/>
    <x v="9"/>
    <n v="3"/>
    <d v="2025-11-10T00:00:00"/>
    <d v="2025-11-14T00:00:00"/>
    <n v="170.99"/>
    <n v="78.95"/>
    <n v="78.95"/>
    <n v="0"/>
    <s v="Paid"/>
    <s v=""/>
    <d v="2025-12-15T00:00:00"/>
    <d v="2025-12-15T00:00:00"/>
    <n v="58"/>
    <n v="0.47"/>
    <n v="81.78"/>
    <n v="2.8299999999999983"/>
    <x v="0"/>
    <x v="4"/>
    <x v="3"/>
  </r>
  <r>
    <s v="CLM103488"/>
    <s v="PT10813"/>
    <s v="P02"/>
    <x v="0"/>
    <x v="8"/>
    <n v="1"/>
    <d v="2026-03-19T00:00:00"/>
    <d v="2026-03-20T00:00:00"/>
    <n v="255.98"/>
    <n v="107.53"/>
    <n v="107.53"/>
    <n v="0"/>
    <s v="Paid"/>
    <s v=""/>
    <d v="2026-04-18T00:00:00"/>
    <d v="2026-04-18T00:00:00"/>
    <n v="260"/>
    <n v="0.43"/>
    <n v="111.8"/>
    <n v="4.269999999999996"/>
    <x v="0"/>
    <x v="6"/>
    <x v="2"/>
  </r>
  <r>
    <s v="CLM103489"/>
    <s v="PT12523"/>
    <s v="P07"/>
    <x v="2"/>
    <x v="0"/>
    <n v="1"/>
    <d v="2025-12-15T00:00:00"/>
    <d v="2025-12-24T00:00:00"/>
    <n v="142.01"/>
    <n v="35.56"/>
    <n v="35.56"/>
    <n v="0"/>
    <s v="Paid"/>
    <s v=""/>
    <d v="2026-03-18T00:00:00"/>
    <d v="2026-03-18T00:00:00"/>
    <n v="145"/>
    <n v="0.28000000000000003"/>
    <n v="40.6"/>
    <n v="5.0399999999999991"/>
    <x v="1"/>
    <x v="3"/>
    <x v="6"/>
  </r>
  <r>
    <s v="CLM103490"/>
    <s v="PT12458"/>
    <s v="P01"/>
    <x v="2"/>
    <x v="9"/>
    <n v="2"/>
    <d v="2026-01-20T00:00:00"/>
    <d v="2026-01-24T00:00:00"/>
    <n v="114.54"/>
    <n v="59.35"/>
    <n v="59.35"/>
    <n v="0"/>
    <s v="Paid"/>
    <s v=""/>
    <d v="2026-03-13T00:00:00"/>
    <d v="2026-03-13T00:00:00"/>
    <n v="58"/>
    <n v="0.45"/>
    <n v="52.2"/>
    <n v="-7.1499999999999986"/>
    <x v="0"/>
    <x v="5"/>
    <x v="5"/>
  </r>
  <r>
    <s v="CLM103491"/>
    <s v="PT10671"/>
    <s v="P07"/>
    <x v="1"/>
    <x v="11"/>
    <n v="1"/>
    <d v="2025-10-02T00:00:00"/>
    <d v="2025-10-03T00:00:00"/>
    <n v="1132.92"/>
    <n v="328.31"/>
    <n v="262.64999999999998"/>
    <n v="65.66"/>
    <s v="Paid"/>
    <s v=""/>
    <d v="2025-12-17T00:00:00"/>
    <d v="2025-12-17T00:00:00"/>
    <n v="1150"/>
    <n v="0.28000000000000003"/>
    <n v="322"/>
    <n v="-6.3100000000000023"/>
    <x v="0"/>
    <x v="3"/>
    <x v="9"/>
  </r>
  <r>
    <s v="CLM103492"/>
    <s v="PT12378"/>
    <s v="P02"/>
    <x v="0"/>
    <x v="8"/>
    <n v="1"/>
    <d v="2026-07-28T00:00:00"/>
    <d v="2026-07-30T00:00:00"/>
    <n v="259.79000000000002"/>
    <n v="106.83"/>
    <n v="96.15"/>
    <n v="10.68"/>
    <s v="Paid"/>
    <s v=""/>
    <d v="2026-08-16T00:00:00"/>
    <d v="2026-08-16T00:00:00"/>
    <n v="260"/>
    <n v="0.43"/>
    <n v="111.8"/>
    <n v="4.9699999999999989"/>
    <x v="0"/>
    <x v="6"/>
    <x v="1"/>
  </r>
  <r>
    <s v="CLM103493"/>
    <s v="PT12644"/>
    <s v="P01"/>
    <x v="1"/>
    <x v="1"/>
    <n v="1"/>
    <d v="2026-03-02T00:00:00"/>
    <d v="2026-03-08T00:00:00"/>
    <n v="239.78"/>
    <n v="103.36"/>
    <n v="82.69"/>
    <n v="20.67"/>
    <s v="Paid"/>
    <s v=""/>
    <d v="2026-03-29T00:00:00"/>
    <d v="2026-03-29T00:00:00"/>
    <n v="240"/>
    <n v="0.45"/>
    <n v="108"/>
    <n v="4.6400000000000006"/>
    <x v="0"/>
    <x v="5"/>
    <x v="2"/>
  </r>
  <r>
    <s v="CLM103494"/>
    <s v="PT10463"/>
    <s v="P04"/>
    <x v="0"/>
    <x v="8"/>
    <n v="1"/>
    <d v="2026-03-03T00:00:00"/>
    <d v="2026-03-07T00:00:00"/>
    <n v="260.08999999999997"/>
    <n v="105.38"/>
    <n v="105.38"/>
    <n v="0"/>
    <s v="Paid"/>
    <s v=""/>
    <d v="2026-03-29T00:00:00"/>
    <d v="2026-03-29T00:00:00"/>
    <n v="260"/>
    <n v="0.36"/>
    <n v="93.6"/>
    <n v="-11.780000000000001"/>
    <x v="0"/>
    <x v="1"/>
    <x v="2"/>
  </r>
  <r>
    <s v="CLM103495"/>
    <s v="PT10995"/>
    <s v="P04"/>
    <x v="3"/>
    <x v="7"/>
    <n v="1"/>
    <d v="2026-02-12T00:00:00"/>
    <d v="2026-02-19T00:00:00"/>
    <n v="207.03"/>
    <n v="71.989999999999995"/>
    <n v="57.59"/>
    <n v="14.4"/>
    <s v="Paid"/>
    <s v=""/>
    <d v="2026-03-04T00:00:00"/>
    <d v="2026-03-04T00:00:00"/>
    <n v="210"/>
    <n v="0.36"/>
    <n v="75.599999999999994"/>
    <n v="3.6099999999999994"/>
    <x v="0"/>
    <x v="1"/>
    <x v="0"/>
  </r>
  <r>
    <s v="CLM103496"/>
    <s v="PT11820"/>
    <s v="P01"/>
    <x v="2"/>
    <x v="9"/>
    <n v="1"/>
    <d v="2026-06-03T00:00:00"/>
    <d v="2026-06-06T00:00:00"/>
    <n v="57.92"/>
    <n v="22.65"/>
    <n v="18.12"/>
    <n v="4.53"/>
    <s v="Paid"/>
    <s v=""/>
    <d v="2026-07-05T00:00:00"/>
    <d v="2026-07-05T00:00:00"/>
    <n v="58"/>
    <n v="0.45"/>
    <n v="26.1"/>
    <n v="3.4500000000000028"/>
    <x v="1"/>
    <x v="5"/>
    <x v="11"/>
  </r>
  <r>
    <s v="CLM103497"/>
    <s v="PT11360"/>
    <s v="P06"/>
    <x v="0"/>
    <x v="0"/>
    <n v="1"/>
    <d v="2026-08-14T00:00:00"/>
    <d v="2026-08-18T00:00:00"/>
    <n v="141.36000000000001"/>
    <m/>
    <m/>
    <m/>
    <s v="Pending"/>
    <s v=""/>
    <m/>
    <m/>
    <n v="145"/>
    <n v="0.27"/>
    <n v="39.15"/>
    <s v=""/>
    <x v="2"/>
    <x v="2"/>
    <x v="4"/>
  </r>
  <r>
    <s v="CLM103498"/>
    <s v="PT11436"/>
    <s v="P01"/>
    <x v="0"/>
    <x v="7"/>
    <n v="1"/>
    <d v="2026-01-04T00:00:00"/>
    <d v="2026-01-05T00:00:00"/>
    <n v="213.96"/>
    <n v="108.81"/>
    <n v="97.93"/>
    <n v="10.88"/>
    <s v="Paid"/>
    <s v=""/>
    <d v="2026-02-01T00:00:00"/>
    <d v="2026-02-01T00:00:00"/>
    <n v="210"/>
    <n v="0.45"/>
    <n v="94.5"/>
    <n v="-14.310000000000002"/>
    <x v="0"/>
    <x v="5"/>
    <x v="5"/>
  </r>
  <r>
    <s v="CLM103499"/>
    <s v="PT11135"/>
    <s v="P01"/>
    <x v="3"/>
    <x v="6"/>
    <n v="1"/>
    <d v="2026-03-14T00:00:00"/>
    <d v="2026-03-16T00:00:00"/>
    <n v="421.27"/>
    <n v="193.54"/>
    <n v="193.54"/>
    <n v="0"/>
    <s v="Paid"/>
    <s v=""/>
    <d v="2026-04-14T00:00:00"/>
    <d v="2026-04-14T00:00:00"/>
    <n v="420"/>
    <n v="0.45"/>
    <n v="189"/>
    <n v="-4.539999999999992"/>
    <x v="0"/>
    <x v="5"/>
    <x v="2"/>
  </r>
  <r>
    <s v="CLM103500"/>
    <s v="PT13173"/>
    <s v="P02"/>
    <x v="1"/>
    <x v="7"/>
    <n v="1"/>
    <d v="2025-12-04T00:00:00"/>
    <d v="2025-12-10T00:00:00"/>
    <n v="214.53"/>
    <n v="105.43"/>
    <n v="105.43"/>
    <n v="0"/>
    <s v="Paid"/>
    <s v=""/>
    <d v="2026-01-13T00:00:00"/>
    <d v="2026-01-13T00:00:00"/>
    <n v="210"/>
    <n v="0.43"/>
    <n v="90.3"/>
    <n v="-15.13000000000001"/>
    <x v="0"/>
    <x v="6"/>
    <x v="6"/>
  </r>
  <r>
    <s v="CLM103501"/>
    <s v="PT12336"/>
    <s v="P02"/>
    <x v="2"/>
    <x v="9"/>
    <n v="1"/>
    <d v="2026-01-12T00:00:00"/>
    <d v="2026-01-13T00:00:00"/>
    <n v="59.31"/>
    <n v="25.14"/>
    <n v="25.14"/>
    <n v="0"/>
    <s v="Paid"/>
    <s v=""/>
    <d v="2026-02-20T00:00:00"/>
    <d v="2026-02-20T00:00:00"/>
    <n v="58"/>
    <n v="0.43"/>
    <n v="24.94"/>
    <n v="-0.19999999999999929"/>
    <x v="0"/>
    <x v="6"/>
    <x v="5"/>
  </r>
  <r>
    <s v="CLM103502"/>
    <s v="PT12065"/>
    <s v="P03"/>
    <x v="0"/>
    <x v="7"/>
    <n v="1"/>
    <d v="2026-09-26T00:00:00"/>
    <d v="2026-09-29T00:00:00"/>
    <n v="205.21"/>
    <m/>
    <m/>
    <m/>
    <s v="Pending"/>
    <s v=""/>
    <m/>
    <m/>
    <n v="210"/>
    <n v="0.47"/>
    <n v="98.7"/>
    <s v=""/>
    <x v="2"/>
    <x v="4"/>
    <x v="8"/>
  </r>
  <r>
    <s v="CLM103504"/>
    <s v="PT11791"/>
    <s v="P02"/>
    <x v="0"/>
    <x v="4"/>
    <n v="1"/>
    <d v="2026-07-29T00:00:00"/>
    <d v="2026-08-01T00:00:00"/>
    <n v="38.979999999999997"/>
    <n v="18.29"/>
    <n v="18.29"/>
    <n v="0"/>
    <s v="Paid"/>
    <s v=""/>
    <d v="2026-08-23T00:00:00"/>
    <d v="2026-08-23T00:00:00"/>
    <n v="38"/>
    <n v="0.43"/>
    <n v="16.34"/>
    <n v="-1.9499999999999993"/>
    <x v="0"/>
    <x v="6"/>
    <x v="1"/>
  </r>
  <r>
    <s v="CLM103505"/>
    <s v="PT11136"/>
    <s v="P01"/>
    <x v="2"/>
    <x v="9"/>
    <n v="4"/>
    <d v="2026-06-13T00:00:00"/>
    <d v="2026-06-16T00:00:00"/>
    <n v="232.97"/>
    <n v="120.36"/>
    <n v="108.32"/>
    <n v="12.04"/>
    <s v="Paid"/>
    <s v=""/>
    <d v="2026-07-17T00:00:00"/>
    <d v="2026-07-17T00:00:00"/>
    <n v="58"/>
    <n v="0.45"/>
    <n v="104.4"/>
    <n v="-15.959999999999994"/>
    <x v="0"/>
    <x v="5"/>
    <x v="11"/>
  </r>
  <r>
    <s v="CLM103506"/>
    <s v="PT13167"/>
    <s v="P01"/>
    <x v="2"/>
    <x v="0"/>
    <n v="1"/>
    <d v="2026-09-26T00:00:00"/>
    <d v="2026-09-29T00:00:00"/>
    <n v="141.87"/>
    <m/>
    <m/>
    <m/>
    <s v="Pending"/>
    <s v=""/>
    <m/>
    <m/>
    <n v="145"/>
    <n v="0.45"/>
    <n v="65.25"/>
    <s v=""/>
    <x v="2"/>
    <x v="5"/>
    <x v="8"/>
  </r>
  <r>
    <s v="CLM103507"/>
    <s v="PT11415"/>
    <s v="P01"/>
    <x v="3"/>
    <x v="7"/>
    <n v="1"/>
    <d v="2026-05-15T00:00:00"/>
    <d v="2026-05-20T00:00:00"/>
    <n v="211.41"/>
    <n v="84.7"/>
    <n v="84.7"/>
    <n v="0"/>
    <s v="Paid"/>
    <s v=""/>
    <d v="2026-06-11T00:00:00"/>
    <d v="2026-06-11T00:00:00"/>
    <n v="210"/>
    <n v="0.45"/>
    <n v="94.5"/>
    <n v="9.7999999999999972"/>
    <x v="1"/>
    <x v="5"/>
    <x v="7"/>
  </r>
  <r>
    <s v="CLM103508"/>
    <s v="PT11879"/>
    <s v="P01"/>
    <x v="1"/>
    <x v="7"/>
    <n v="1"/>
    <d v="2026-08-15T00:00:00"/>
    <d v="2026-08-16T00:00:00"/>
    <n v="207.53"/>
    <n v="93.38"/>
    <n v="93.38"/>
    <n v="0"/>
    <s v="Paid"/>
    <s v=""/>
    <d v="2026-09-20T00:00:00"/>
    <d v="2026-09-20T00:00:00"/>
    <n v="210"/>
    <n v="0.45"/>
    <n v="94.5"/>
    <n v="1.1200000000000045"/>
    <x v="0"/>
    <x v="5"/>
    <x v="4"/>
  </r>
  <r>
    <s v="CLM103509"/>
    <s v="PT12746"/>
    <s v="P04"/>
    <x v="0"/>
    <x v="7"/>
    <n v="1"/>
    <d v="2026-05-15T00:00:00"/>
    <d v="2026-05-22T00:00:00"/>
    <n v="205.77"/>
    <n v="64.64"/>
    <n v="51.71"/>
    <n v="12.93"/>
    <s v="Paid"/>
    <s v=""/>
    <d v="2026-06-15T00:00:00"/>
    <d v="2026-06-15T00:00:00"/>
    <n v="210"/>
    <n v="0.36"/>
    <n v="75.599999999999994"/>
    <n v="10.959999999999994"/>
    <x v="1"/>
    <x v="1"/>
    <x v="7"/>
  </r>
  <r>
    <s v="CLM103510"/>
    <s v="PT11493"/>
    <s v="P05"/>
    <x v="1"/>
    <x v="1"/>
    <n v="1"/>
    <d v="2026-03-05T00:00:00"/>
    <d v="2026-03-07T00:00:00"/>
    <n v="232.9"/>
    <n v="80.78"/>
    <n v="80.78"/>
    <n v="0"/>
    <s v="Paid"/>
    <s v=""/>
    <d v="2026-04-09T00:00:00"/>
    <d v="2026-04-09T00:00:00"/>
    <n v="240"/>
    <n v="0.38"/>
    <n v="91.2"/>
    <n v="10.420000000000002"/>
    <x v="1"/>
    <x v="0"/>
    <x v="2"/>
  </r>
  <r>
    <s v="CLM103511"/>
    <s v="PT10098"/>
    <s v="P02"/>
    <x v="1"/>
    <x v="10"/>
    <n v="1"/>
    <d v="2026-08-17T00:00:00"/>
    <d v="2026-08-20T00:00:00"/>
    <n v="1048.56"/>
    <m/>
    <m/>
    <m/>
    <s v="Denied"/>
    <s v="CO-16"/>
    <d v="2026-09-22T00:00:00"/>
    <m/>
    <n v="1050"/>
    <n v="0.43"/>
    <n v="451.5"/>
    <s v=""/>
    <x v="2"/>
    <x v="6"/>
    <x v="4"/>
  </r>
  <r>
    <s v="CLM103512"/>
    <s v="PT12264"/>
    <s v="P02"/>
    <x v="3"/>
    <x v="3"/>
    <n v="30"/>
    <d v="2026-05-01T00:00:00"/>
    <d v="2026-05-08T00:00:00"/>
    <n v="42669.17"/>
    <n v="17205.79"/>
    <n v="17205.79"/>
    <n v="0"/>
    <s v="Paid"/>
    <s v=""/>
    <d v="2026-05-24T00:00:00"/>
    <d v="2026-05-24T00:00:00"/>
    <n v="1450"/>
    <n v="0.43"/>
    <n v="18705"/>
    <n v="1499.2099999999991"/>
    <x v="1"/>
    <x v="6"/>
    <x v="7"/>
  </r>
  <r>
    <s v="CLM103513"/>
    <s v="PT10457"/>
    <s v="P06"/>
    <x v="0"/>
    <x v="0"/>
    <n v="1"/>
    <d v="2026-01-02T00:00:00"/>
    <d v="2026-01-14T00:00:00"/>
    <n v="144.86000000000001"/>
    <n v="35.76"/>
    <n v="35.76"/>
    <n v="0"/>
    <s v="Paid"/>
    <s v=""/>
    <d v="2026-02-03T00:00:00"/>
    <d v="2026-02-03T00:00:00"/>
    <n v="145"/>
    <n v="0.27"/>
    <n v="39.15"/>
    <n v="3.3900000000000006"/>
    <x v="1"/>
    <x v="2"/>
    <x v="5"/>
  </r>
  <r>
    <s v="CLM103514"/>
    <s v="PT12820"/>
    <s v="P04"/>
    <x v="1"/>
    <x v="4"/>
    <n v="1"/>
    <d v="2026-03-08T00:00:00"/>
    <d v="2026-03-11T00:00:00"/>
    <n v="37.049999999999997"/>
    <n v="11.27"/>
    <n v="9.02"/>
    <n v="2.25"/>
    <s v="Paid"/>
    <s v=""/>
    <d v="2026-03-24T00:00:00"/>
    <d v="2026-03-24T00:00:00"/>
    <n v="38"/>
    <n v="0.36"/>
    <n v="13.68"/>
    <n v="2.41"/>
    <x v="1"/>
    <x v="1"/>
    <x v="2"/>
  </r>
  <r>
    <s v="CLM103515"/>
    <s v="PT13188"/>
    <s v="P06"/>
    <x v="1"/>
    <x v="8"/>
    <n v="1"/>
    <d v="2026-06-28T00:00:00"/>
    <d v="2026-06-29T00:00:00"/>
    <n v="258"/>
    <n v="64.48"/>
    <n v="51.58"/>
    <n v="12.9"/>
    <s v="Paid"/>
    <s v=""/>
    <d v="2026-08-15T00:00:00"/>
    <d v="2026-08-15T00:00:00"/>
    <n v="260"/>
    <n v="0.27"/>
    <n v="70.2"/>
    <n v="5.7199999999999989"/>
    <x v="1"/>
    <x v="2"/>
    <x v="11"/>
  </r>
  <r>
    <s v="CLM103516"/>
    <s v="PT11944"/>
    <s v="P07"/>
    <x v="2"/>
    <x v="0"/>
    <n v="1"/>
    <d v="2026-05-05T00:00:00"/>
    <d v="2026-05-06T00:00:00"/>
    <n v="144.5"/>
    <n v="39.229999999999997"/>
    <n v="31.38"/>
    <n v="7.85"/>
    <s v="Paid"/>
    <s v=""/>
    <d v="2026-06-30T00:00:00"/>
    <d v="2026-06-30T00:00:00"/>
    <n v="145"/>
    <n v="0.28000000000000003"/>
    <n v="40.6"/>
    <n v="1.3700000000000045"/>
    <x v="0"/>
    <x v="3"/>
    <x v="7"/>
  </r>
  <r>
    <s v="CLM103517"/>
    <s v="PT11971"/>
    <s v="P04"/>
    <x v="0"/>
    <x v="8"/>
    <n v="1"/>
    <d v="2026-05-18T00:00:00"/>
    <d v="2026-05-24T00:00:00"/>
    <n v="264.44"/>
    <n v="90.08"/>
    <n v="72.06"/>
    <n v="18.02"/>
    <s v="Paid"/>
    <s v=""/>
    <d v="2026-06-11T00:00:00"/>
    <d v="2026-06-11T00:00:00"/>
    <n v="260"/>
    <n v="0.36"/>
    <n v="93.6"/>
    <n v="3.519999999999996"/>
    <x v="0"/>
    <x v="1"/>
    <x v="7"/>
  </r>
  <r>
    <s v="CLM103518"/>
    <s v="PT10105"/>
    <s v="P02"/>
    <x v="2"/>
    <x v="2"/>
    <n v="1"/>
    <d v="2025-10-07T00:00:00"/>
    <d v="2025-10-09T00:00:00"/>
    <n v="60.29"/>
    <n v="26.98"/>
    <n v="26.98"/>
    <n v="0"/>
    <s v="Paid"/>
    <s v=""/>
    <d v="2025-11-10T00:00:00"/>
    <d v="2025-11-10T00:00:00"/>
    <n v="62"/>
    <n v="0.43"/>
    <n v="26.66"/>
    <n v="-0.32000000000000028"/>
    <x v="0"/>
    <x v="6"/>
    <x v="9"/>
  </r>
  <r>
    <s v="CLM103519"/>
    <s v="PT10190"/>
    <s v="P06"/>
    <x v="0"/>
    <x v="8"/>
    <n v="1"/>
    <d v="2026-06-28T00:00:00"/>
    <d v="2026-06-29T00:00:00"/>
    <n v="259.18"/>
    <n v="65.45"/>
    <n v="65.45"/>
    <n v="0"/>
    <s v="Paid"/>
    <s v=""/>
    <d v="2026-07-30T00:00:00"/>
    <d v="2026-07-30T00:00:00"/>
    <n v="260"/>
    <n v="0.27"/>
    <n v="70.2"/>
    <n v="4.75"/>
    <x v="1"/>
    <x v="2"/>
    <x v="11"/>
  </r>
  <r>
    <s v="CLM103520"/>
    <s v="PT12375"/>
    <s v="P02"/>
    <x v="0"/>
    <x v="7"/>
    <n v="1"/>
    <d v="2025-11-28T00:00:00"/>
    <d v="2025-11-30T00:00:00"/>
    <n v="203.91"/>
    <n v="95.01"/>
    <n v="85.51"/>
    <n v="9.5"/>
    <s v="Paid"/>
    <s v=""/>
    <d v="2026-01-09T00:00:00"/>
    <d v="2026-01-09T00:00:00"/>
    <n v="210"/>
    <n v="0.43"/>
    <n v="90.3"/>
    <n v="-4.710000000000008"/>
    <x v="0"/>
    <x v="6"/>
    <x v="3"/>
  </r>
  <r>
    <s v="CLM103521"/>
    <s v="PT11788"/>
    <s v="P02"/>
    <x v="1"/>
    <x v="10"/>
    <n v="1"/>
    <d v="2026-06-25T00:00:00"/>
    <d v="2026-06-28T00:00:00"/>
    <n v="1060.78"/>
    <n v="399.11"/>
    <n v="319.29000000000002"/>
    <n v="79.819999999999993"/>
    <s v="Paid"/>
    <s v=""/>
    <d v="2026-07-24T00:00:00"/>
    <d v="2026-07-24T00:00:00"/>
    <n v="1050"/>
    <n v="0.43"/>
    <n v="451.5"/>
    <n v="52.389999999999986"/>
    <x v="1"/>
    <x v="6"/>
    <x v="11"/>
  </r>
  <r>
    <s v="CLM103523"/>
    <s v="PT10532"/>
    <s v="P01"/>
    <x v="0"/>
    <x v="0"/>
    <n v="1"/>
    <d v="2026-03-09T00:00:00"/>
    <d v="2026-03-11T00:00:00"/>
    <n v="143.57"/>
    <n v="65.69"/>
    <n v="65.69"/>
    <n v="0"/>
    <s v="Paid"/>
    <s v=""/>
    <d v="2026-04-14T00:00:00"/>
    <d v="2026-04-14T00:00:00"/>
    <n v="145"/>
    <n v="0.45"/>
    <n v="65.25"/>
    <n v="-0.43999999999999773"/>
    <x v="0"/>
    <x v="5"/>
    <x v="2"/>
  </r>
  <r>
    <s v="CLM103524"/>
    <s v="PT11790"/>
    <s v="P02"/>
    <x v="0"/>
    <x v="0"/>
    <n v="1"/>
    <d v="2026-07-20T00:00:00"/>
    <d v="2026-07-21T00:00:00"/>
    <n v="146.07"/>
    <n v="58.76"/>
    <n v="52.88"/>
    <n v="5.88"/>
    <s v="Paid"/>
    <s v=""/>
    <d v="2026-08-25T00:00:00"/>
    <d v="2026-08-25T00:00:00"/>
    <n v="145"/>
    <n v="0.43"/>
    <n v="62.35"/>
    <n v="3.5900000000000034"/>
    <x v="1"/>
    <x v="6"/>
    <x v="1"/>
  </r>
  <r>
    <s v="CLM103525"/>
    <s v="PT12684"/>
    <s v="P05"/>
    <x v="3"/>
    <x v="7"/>
    <n v="1"/>
    <d v="2026-08-29T00:00:00"/>
    <d v="2026-09-10T00:00:00"/>
    <n v="214.09"/>
    <m/>
    <m/>
    <m/>
    <s v="Pending"/>
    <s v=""/>
    <m/>
    <m/>
    <n v="210"/>
    <n v="0.38"/>
    <n v="79.8"/>
    <s v=""/>
    <x v="2"/>
    <x v="0"/>
    <x v="4"/>
  </r>
  <r>
    <s v="CLM103526"/>
    <s v="PT12146"/>
    <s v="P02"/>
    <x v="0"/>
    <x v="7"/>
    <n v="1"/>
    <d v="2026-06-07T00:00:00"/>
    <d v="2026-06-08T00:00:00"/>
    <n v="205.47"/>
    <n v="95.25"/>
    <n v="95.25"/>
    <n v="0"/>
    <s v="Paid"/>
    <s v=""/>
    <d v="2026-07-13T00:00:00"/>
    <d v="2026-07-13T00:00:00"/>
    <n v="210"/>
    <n v="0.43"/>
    <n v="90.3"/>
    <n v="-4.9500000000000028"/>
    <x v="0"/>
    <x v="6"/>
    <x v="11"/>
  </r>
  <r>
    <s v="CLM103527"/>
    <s v="PT11644"/>
    <s v="P02"/>
    <x v="3"/>
    <x v="3"/>
    <n v="10"/>
    <d v="2026-03-01T00:00:00"/>
    <d v="2026-03-06T00:00:00"/>
    <n v="14291.75"/>
    <n v="6323.71"/>
    <n v="5058.97"/>
    <n v="1264.74"/>
    <s v="Paid"/>
    <s v=""/>
    <d v="2026-04-04T00:00:00"/>
    <d v="2026-04-04T00:00:00"/>
    <n v="1450"/>
    <n v="0.43"/>
    <n v="6235"/>
    <n v="-88.710000000000036"/>
    <x v="0"/>
    <x v="6"/>
    <x v="2"/>
  </r>
  <r>
    <s v="CLM103528"/>
    <s v="PT12030"/>
    <s v="P04"/>
    <x v="3"/>
    <x v="7"/>
    <n v="1"/>
    <d v="2025-10-21T00:00:00"/>
    <d v="2025-10-23T00:00:00"/>
    <n v="212.89"/>
    <n v="86.35"/>
    <n v="69.08"/>
    <n v="17.27"/>
    <s v="Paid"/>
    <s v=""/>
    <d v="2025-11-09T00:00:00"/>
    <d v="2025-11-09T00:00:00"/>
    <n v="210"/>
    <n v="0.36"/>
    <n v="75.599999999999994"/>
    <n v="-10.75"/>
    <x v="0"/>
    <x v="1"/>
    <x v="9"/>
  </r>
  <r>
    <s v="CLM103529"/>
    <s v="PT10863"/>
    <s v="P01"/>
    <x v="0"/>
    <x v="8"/>
    <n v="1"/>
    <d v="2025-10-06T00:00:00"/>
    <d v="2025-10-08T00:00:00"/>
    <n v="262.92"/>
    <n v="101.78"/>
    <n v="81.42"/>
    <n v="20.36"/>
    <s v="Paid"/>
    <s v=""/>
    <d v="2025-11-03T00:00:00"/>
    <d v="2025-11-03T00:00:00"/>
    <n v="260"/>
    <n v="0.45"/>
    <n v="117"/>
    <n v="15.219999999999999"/>
    <x v="1"/>
    <x v="5"/>
    <x v="9"/>
  </r>
  <r>
    <s v="CLM103530"/>
    <s v="PT10072"/>
    <s v="P01"/>
    <x v="1"/>
    <x v="5"/>
    <n v="1"/>
    <d v="2026-07-30T00:00:00"/>
    <d v="2026-07-31T00:00:00"/>
    <n v="4800.3100000000004"/>
    <n v="2097.16"/>
    <n v="2097.16"/>
    <n v="0"/>
    <s v="Paid"/>
    <s v=""/>
    <d v="2026-08-17T00:00:00"/>
    <d v="2026-08-17T00:00:00"/>
    <n v="4800"/>
    <n v="0.45"/>
    <n v="2160"/>
    <n v="62.840000000000146"/>
    <x v="0"/>
    <x v="5"/>
    <x v="1"/>
  </r>
  <r>
    <s v="CLM103531"/>
    <s v="PT11560"/>
    <s v="P04"/>
    <x v="1"/>
    <x v="4"/>
    <n v="1"/>
    <d v="2026-04-13T00:00:00"/>
    <d v="2026-04-18T00:00:00"/>
    <n v="38.229999999999997"/>
    <n v="13.18"/>
    <n v="13.18"/>
    <n v="0"/>
    <s v="Paid"/>
    <s v=""/>
    <d v="2026-05-04T00:00:00"/>
    <d v="2026-05-04T00:00:00"/>
    <n v="38"/>
    <n v="0.36"/>
    <n v="13.68"/>
    <n v="0.5"/>
    <x v="0"/>
    <x v="1"/>
    <x v="10"/>
  </r>
  <r>
    <s v="CLM103532"/>
    <s v="PT11648"/>
    <s v="P07"/>
    <x v="1"/>
    <x v="11"/>
    <n v="1"/>
    <d v="2026-04-16T00:00:00"/>
    <d v="2026-04-18T00:00:00"/>
    <n v="1184.18"/>
    <m/>
    <m/>
    <m/>
    <s v="Denied"/>
    <s v="CO-197"/>
    <d v="2026-06-09T00:00:00"/>
    <m/>
    <n v="1150"/>
    <n v="0.28000000000000003"/>
    <n v="322"/>
    <s v=""/>
    <x v="2"/>
    <x v="3"/>
    <x v="10"/>
  </r>
  <r>
    <s v="CLM103533"/>
    <s v="PT12000"/>
    <s v="P05"/>
    <x v="0"/>
    <x v="7"/>
    <n v="1"/>
    <d v="2025-12-22T00:00:00"/>
    <d v="2026-01-03T00:00:00"/>
    <n v="213.61"/>
    <n v="92.58"/>
    <n v="83.32"/>
    <n v="9.26"/>
    <s v="Paid"/>
    <s v=""/>
    <d v="2026-02-27T00:00:00"/>
    <d v="2026-02-27T00:00:00"/>
    <n v="210"/>
    <n v="0.38"/>
    <n v="79.8"/>
    <n v="-12.780000000000001"/>
    <x v="0"/>
    <x v="0"/>
    <x v="6"/>
  </r>
  <r>
    <s v="CLM103534"/>
    <s v="PT13106"/>
    <s v="P04"/>
    <x v="1"/>
    <x v="8"/>
    <n v="1"/>
    <d v="2026-08-20T00:00:00"/>
    <d v="2026-08-23T00:00:00"/>
    <n v="261"/>
    <n v="82.84"/>
    <n v="82.84"/>
    <n v="0"/>
    <s v="Paid"/>
    <s v=""/>
    <d v="2026-09-16T00:00:00"/>
    <d v="2026-09-16T00:00:00"/>
    <n v="260"/>
    <n v="0.36"/>
    <n v="93.6"/>
    <n v="10.759999999999991"/>
    <x v="1"/>
    <x v="1"/>
    <x v="4"/>
  </r>
  <r>
    <s v="CLM103535"/>
    <s v="PT11085"/>
    <s v="P01"/>
    <x v="1"/>
    <x v="10"/>
    <n v="1"/>
    <d v="2026-05-06T00:00:00"/>
    <d v="2026-05-08T00:00:00"/>
    <n v="1020.82"/>
    <n v="522.79"/>
    <n v="522.79"/>
    <n v="0"/>
    <s v="Paid"/>
    <s v=""/>
    <d v="2026-05-29T00:00:00"/>
    <d v="2026-05-29T00:00:00"/>
    <n v="1050"/>
    <n v="0.45"/>
    <n v="472.5"/>
    <n v="-50.289999999999964"/>
    <x v="0"/>
    <x v="5"/>
    <x v="7"/>
  </r>
  <r>
    <s v="CLM103536"/>
    <s v="PT12455"/>
    <s v="P03"/>
    <x v="2"/>
    <x v="9"/>
    <n v="1"/>
    <d v="2026-05-02T00:00:00"/>
    <d v="2026-05-04T00:00:00"/>
    <n v="56.39"/>
    <n v="26.07"/>
    <n v="26.07"/>
    <n v="0"/>
    <s v="Paid"/>
    <s v=""/>
    <d v="2026-06-15T00:00:00"/>
    <d v="2026-06-15T00:00:00"/>
    <n v="58"/>
    <n v="0.47"/>
    <n v="27.26"/>
    <n v="1.1900000000000013"/>
    <x v="0"/>
    <x v="4"/>
    <x v="7"/>
  </r>
  <r>
    <s v="CLM103537"/>
    <s v="PT13421"/>
    <s v="P05"/>
    <x v="2"/>
    <x v="9"/>
    <n v="4"/>
    <d v="2026-02-24T00:00:00"/>
    <d v="2026-02-26T00:00:00"/>
    <n v="238.77"/>
    <n v="99.8"/>
    <n v="99.8"/>
    <n v="0"/>
    <s v="Paid"/>
    <s v=""/>
    <d v="2026-05-03T00:00:00"/>
    <d v="2026-05-03T00:00:00"/>
    <n v="58"/>
    <n v="0.38"/>
    <n v="88.16"/>
    <n v="-11.64"/>
    <x v="0"/>
    <x v="0"/>
    <x v="0"/>
  </r>
  <r>
    <s v="CLM103538"/>
    <s v="PT11819"/>
    <s v="P06"/>
    <x v="1"/>
    <x v="4"/>
    <n v="1"/>
    <d v="2026-07-13T00:00:00"/>
    <d v="2026-07-17T00:00:00"/>
    <n v="36.96"/>
    <n v="9.76"/>
    <n v="9.76"/>
    <n v="0"/>
    <s v="Paid"/>
    <s v=""/>
    <d v="2026-09-02T00:00:00"/>
    <d v="2026-09-02T00:00:00"/>
    <n v="38"/>
    <n v="0.27"/>
    <n v="10.26"/>
    <n v="0.5"/>
    <x v="0"/>
    <x v="2"/>
    <x v="1"/>
  </r>
  <r>
    <s v="CLM103539"/>
    <s v="PT11152"/>
    <s v="P07"/>
    <x v="1"/>
    <x v="10"/>
    <n v="1"/>
    <d v="2025-12-24T00:00:00"/>
    <d v="2025-12-25T00:00:00"/>
    <n v="1038.18"/>
    <n v="282.16000000000003"/>
    <n v="225.73"/>
    <n v="56.43"/>
    <s v="Paid"/>
    <s v=""/>
    <d v="2026-02-25T00:00:00"/>
    <d v="2026-02-25T00:00:00"/>
    <n v="1050"/>
    <n v="0.28000000000000003"/>
    <n v="294"/>
    <n v="11.839999999999975"/>
    <x v="0"/>
    <x v="3"/>
    <x v="6"/>
  </r>
  <r>
    <s v="CLM103540"/>
    <s v="PT11398"/>
    <s v="P02"/>
    <x v="3"/>
    <x v="3"/>
    <n v="20"/>
    <d v="2026-02-11T00:00:00"/>
    <d v="2026-02-12T00:00:00"/>
    <n v="28135.919999999998"/>
    <n v="10869.32"/>
    <n v="9782.39"/>
    <n v="1086.93"/>
    <s v="Paid"/>
    <s v=""/>
    <d v="2026-03-18T00:00:00"/>
    <d v="2026-03-18T00:00:00"/>
    <n v="1450"/>
    <n v="0.43"/>
    <n v="12470"/>
    <n v="1600.6800000000003"/>
    <x v="1"/>
    <x v="6"/>
    <x v="0"/>
  </r>
  <r>
    <s v="CLM103541"/>
    <s v="PT12817"/>
    <s v="P01"/>
    <x v="0"/>
    <x v="7"/>
    <n v="1"/>
    <d v="2026-05-09T00:00:00"/>
    <d v="2026-05-17T00:00:00"/>
    <n v="212.77"/>
    <n v="88.47"/>
    <n v="88.47"/>
    <n v="0"/>
    <s v="Paid"/>
    <s v=""/>
    <d v="2026-06-18T00:00:00"/>
    <d v="2026-06-18T00:00:00"/>
    <n v="210"/>
    <n v="0.45"/>
    <n v="94.5"/>
    <n v="6.0300000000000011"/>
    <x v="1"/>
    <x v="5"/>
    <x v="7"/>
  </r>
  <r>
    <s v="CLM103542"/>
    <s v="PT10027"/>
    <s v="P06"/>
    <x v="0"/>
    <x v="0"/>
    <n v="1"/>
    <d v="2026-07-22T00:00:00"/>
    <d v="2026-07-24T00:00:00"/>
    <n v="146.44999999999999"/>
    <m/>
    <m/>
    <m/>
    <s v="Denied"/>
    <s v="CO-50"/>
    <d v="2026-09-10T00:00:00"/>
    <m/>
    <n v="145"/>
    <n v="0.27"/>
    <n v="39.15"/>
    <s v=""/>
    <x v="2"/>
    <x v="2"/>
    <x v="1"/>
  </r>
  <r>
    <s v="CLM103543"/>
    <s v="PT10294"/>
    <s v="P03"/>
    <x v="0"/>
    <x v="0"/>
    <n v="1"/>
    <d v="2026-02-18T00:00:00"/>
    <d v="2026-02-21T00:00:00"/>
    <n v="146.28"/>
    <m/>
    <m/>
    <m/>
    <s v="Denied"/>
    <s v="CO-16"/>
    <d v="2026-04-19T00:00:00"/>
    <m/>
    <n v="145"/>
    <n v="0.47"/>
    <n v="68.150000000000006"/>
    <s v=""/>
    <x v="2"/>
    <x v="4"/>
    <x v="0"/>
  </r>
  <r>
    <s v="CLM103544"/>
    <s v="PT11677"/>
    <s v="P01"/>
    <x v="1"/>
    <x v="1"/>
    <n v="1"/>
    <d v="2026-06-29T00:00:00"/>
    <d v="2026-07-05T00:00:00"/>
    <n v="246.28"/>
    <n v="107.61"/>
    <n v="107.61"/>
    <n v="0"/>
    <s v="Paid"/>
    <s v=""/>
    <d v="2026-08-05T00:00:00"/>
    <d v="2026-08-05T00:00:00"/>
    <n v="240"/>
    <n v="0.45"/>
    <n v="108"/>
    <n v="0.39000000000000057"/>
    <x v="0"/>
    <x v="5"/>
    <x v="11"/>
  </r>
  <r>
    <s v="CLM103545"/>
    <s v="PT12378"/>
    <s v="P07"/>
    <x v="1"/>
    <x v="10"/>
    <n v="1"/>
    <d v="2026-05-08T00:00:00"/>
    <d v="2026-05-11T00:00:00"/>
    <n v="1046.1500000000001"/>
    <n v="329.24"/>
    <n v="329.24"/>
    <n v="0"/>
    <s v="Paid"/>
    <s v=""/>
    <d v="2026-07-22T00:00:00"/>
    <d v="2026-07-22T00:00:00"/>
    <n v="1050"/>
    <n v="0.28000000000000003"/>
    <n v="294"/>
    <n v="-35.240000000000009"/>
    <x v="0"/>
    <x v="3"/>
    <x v="7"/>
  </r>
  <r>
    <s v="CLM103546"/>
    <s v="PT11099"/>
    <s v="P05"/>
    <x v="0"/>
    <x v="8"/>
    <n v="1"/>
    <d v="2026-07-03T00:00:00"/>
    <d v="2026-07-08T00:00:00"/>
    <n v="267.32"/>
    <n v="95.7"/>
    <n v="86.13"/>
    <n v="9.57"/>
    <s v="Paid"/>
    <s v=""/>
    <d v="2026-08-12T00:00:00"/>
    <d v="2026-08-12T00:00:00"/>
    <n v="260"/>
    <n v="0.38"/>
    <n v="98.8"/>
    <n v="3.0999999999999943"/>
    <x v="0"/>
    <x v="0"/>
    <x v="1"/>
  </r>
  <r>
    <s v="CLM103547"/>
    <s v="PT11674"/>
    <s v="P06"/>
    <x v="0"/>
    <x v="7"/>
    <n v="1"/>
    <d v="2026-01-12T00:00:00"/>
    <d v="2026-01-14T00:00:00"/>
    <n v="208.96"/>
    <n v="50.4"/>
    <n v="40.32"/>
    <n v="10.08"/>
    <s v="Paid"/>
    <s v=""/>
    <d v="2026-01-23T00:00:00"/>
    <d v="2026-01-23T00:00:00"/>
    <n v="210"/>
    <n v="0.27"/>
    <n v="56.7"/>
    <n v="6.3000000000000043"/>
    <x v="1"/>
    <x v="2"/>
    <x v="5"/>
  </r>
  <r>
    <s v="CLM103548"/>
    <s v="PT10309"/>
    <s v="P07"/>
    <x v="0"/>
    <x v="0"/>
    <n v="1"/>
    <d v="2026-03-19T00:00:00"/>
    <d v="2026-03-24T00:00:00"/>
    <n v="142.65"/>
    <n v="41.61"/>
    <n v="41.61"/>
    <n v="0"/>
    <s v="Paid"/>
    <s v=""/>
    <d v="2026-05-26T00:00:00"/>
    <d v="2026-05-26T00:00:00"/>
    <n v="145"/>
    <n v="0.28000000000000003"/>
    <n v="40.6"/>
    <n v="-1.009999999999998"/>
    <x v="0"/>
    <x v="3"/>
    <x v="2"/>
  </r>
  <r>
    <s v="CLM103549"/>
    <s v="PT12787"/>
    <s v="P07"/>
    <x v="0"/>
    <x v="7"/>
    <n v="1"/>
    <d v="2026-06-05T00:00:00"/>
    <d v="2026-06-06T00:00:00"/>
    <n v="209.37"/>
    <m/>
    <m/>
    <m/>
    <s v="Denied"/>
    <s v="CO-16"/>
    <d v="2026-08-17T00:00:00"/>
    <m/>
    <n v="210"/>
    <n v="0.28000000000000003"/>
    <n v="58.8"/>
    <s v=""/>
    <x v="2"/>
    <x v="3"/>
    <x v="11"/>
  </r>
  <r>
    <s v="CLM103550"/>
    <s v="PT10046"/>
    <s v="P06"/>
    <x v="1"/>
    <x v="11"/>
    <n v="1"/>
    <d v="2026-09-06T00:00:00"/>
    <d v="2026-09-12T00:00:00"/>
    <n v="1180.46"/>
    <m/>
    <m/>
    <m/>
    <s v="Pending"/>
    <s v=""/>
    <m/>
    <m/>
    <n v="1150"/>
    <n v="0.27"/>
    <n v="310.5"/>
    <s v=""/>
    <x v="2"/>
    <x v="2"/>
    <x v="8"/>
  </r>
  <r>
    <s v="CLM103551"/>
    <s v="PT10794"/>
    <s v="P01"/>
    <x v="1"/>
    <x v="10"/>
    <n v="1"/>
    <d v="2025-10-30T00:00:00"/>
    <d v="2025-11-08T00:00:00"/>
    <n v="1073.23"/>
    <n v="487.24"/>
    <n v="438.52"/>
    <n v="48.72"/>
    <s v="Paid"/>
    <s v=""/>
    <d v="2025-12-12T00:00:00"/>
    <d v="2025-12-12T00:00:00"/>
    <n v="1050"/>
    <n v="0.45"/>
    <n v="472.5"/>
    <n v="-14.740000000000009"/>
    <x v="0"/>
    <x v="5"/>
    <x v="9"/>
  </r>
  <r>
    <s v="CLM103552"/>
    <s v="PT10354"/>
    <s v="P02"/>
    <x v="1"/>
    <x v="11"/>
    <n v="1"/>
    <d v="2026-09-08T00:00:00"/>
    <d v="2026-09-12T00:00:00"/>
    <n v="1177.19"/>
    <m/>
    <m/>
    <m/>
    <s v="Pending"/>
    <s v=""/>
    <m/>
    <m/>
    <n v="1150"/>
    <n v="0.43"/>
    <n v="494.5"/>
    <s v=""/>
    <x v="2"/>
    <x v="6"/>
    <x v="8"/>
  </r>
  <r>
    <s v="CLM103553"/>
    <s v="PT11556"/>
    <s v="P06"/>
    <x v="2"/>
    <x v="0"/>
    <n v="1"/>
    <d v="2025-10-12T00:00:00"/>
    <d v="2026-02-10T00:00:00"/>
    <n v="146.51"/>
    <m/>
    <m/>
    <m/>
    <s v="Denied"/>
    <s v="CO-29"/>
    <d v="2026-03-22T00:00:00"/>
    <m/>
    <n v="145"/>
    <n v="0.27"/>
    <n v="39.15"/>
    <s v=""/>
    <x v="2"/>
    <x v="2"/>
    <x v="9"/>
  </r>
  <r>
    <s v="CLM103554"/>
    <s v="PT10592"/>
    <s v="P02"/>
    <x v="0"/>
    <x v="8"/>
    <n v="1"/>
    <d v="2025-12-12T00:00:00"/>
    <d v="2025-12-30T00:00:00"/>
    <n v="258.60000000000002"/>
    <n v="98.29"/>
    <n v="98.29"/>
    <n v="0"/>
    <s v="Paid"/>
    <s v=""/>
    <d v="2026-02-07T00:00:00"/>
    <d v="2026-02-07T00:00:00"/>
    <n v="260"/>
    <n v="0.43"/>
    <n v="111.8"/>
    <n v="13.509999999999991"/>
    <x v="1"/>
    <x v="6"/>
    <x v="6"/>
  </r>
  <r>
    <s v="CLM103555"/>
    <s v="PT11381"/>
    <s v="P01"/>
    <x v="2"/>
    <x v="9"/>
    <n v="4"/>
    <d v="2026-07-09T00:00:00"/>
    <d v="2026-07-22T00:00:00"/>
    <n v="227.08"/>
    <n v="116.26"/>
    <n v="116.26"/>
    <n v="0"/>
    <s v="Paid"/>
    <s v=""/>
    <d v="2026-08-11T00:00:00"/>
    <d v="2026-08-11T00:00:00"/>
    <n v="58"/>
    <n v="0.45"/>
    <n v="104.4"/>
    <n v="-11.86"/>
    <x v="0"/>
    <x v="5"/>
    <x v="1"/>
  </r>
  <r>
    <s v="CLM103556"/>
    <s v="PT11616"/>
    <s v="P01"/>
    <x v="1"/>
    <x v="10"/>
    <n v="1"/>
    <d v="2025-10-31T00:00:00"/>
    <d v="2025-11-01T00:00:00"/>
    <n v="1051.8499999999999"/>
    <n v="470.4"/>
    <n v="470.4"/>
    <n v="0"/>
    <s v="Paid"/>
    <s v=""/>
    <d v="2025-11-20T00:00:00"/>
    <d v="2025-11-20T00:00:00"/>
    <n v="1050"/>
    <n v="0.45"/>
    <n v="472.5"/>
    <n v="2.1000000000000227"/>
    <x v="0"/>
    <x v="5"/>
    <x v="9"/>
  </r>
  <r>
    <s v="CLM103557"/>
    <s v="PT12174"/>
    <s v="P07"/>
    <x v="1"/>
    <x v="1"/>
    <n v="1"/>
    <d v="2025-11-02T00:00:00"/>
    <d v="2025-11-30T00:00:00"/>
    <n v="233.34"/>
    <n v="62.14"/>
    <n v="49.71"/>
    <n v="12.43"/>
    <s v="Paid"/>
    <s v=""/>
    <d v="2026-01-14T00:00:00"/>
    <d v="2026-01-14T00:00:00"/>
    <n v="240"/>
    <n v="0.28000000000000003"/>
    <n v="67.2"/>
    <n v="5.0600000000000023"/>
    <x v="1"/>
    <x v="3"/>
    <x v="3"/>
  </r>
  <r>
    <s v="CLM103558"/>
    <s v="PT11191"/>
    <s v="P01"/>
    <x v="0"/>
    <x v="8"/>
    <n v="1"/>
    <d v="2026-07-01T00:00:00"/>
    <d v="2026-07-05T00:00:00"/>
    <n v="255.55"/>
    <n v="117.04"/>
    <n v="117.04"/>
    <n v="0"/>
    <s v="Paid"/>
    <s v=""/>
    <d v="2026-08-09T00:00:00"/>
    <d v="2026-08-09T00:00:00"/>
    <n v="260"/>
    <n v="0.45"/>
    <n v="117"/>
    <n v="-4.0000000000006253E-2"/>
    <x v="0"/>
    <x v="5"/>
    <x v="1"/>
  </r>
  <r>
    <s v="CLM103559"/>
    <s v="PT12369"/>
    <s v="P03"/>
    <x v="1"/>
    <x v="7"/>
    <n v="1"/>
    <d v="2026-01-09T00:00:00"/>
    <d v="2026-01-14T00:00:00"/>
    <n v="204.38"/>
    <n v="109.29"/>
    <n v="109.29"/>
    <n v="0"/>
    <s v="Paid"/>
    <s v=""/>
    <d v="2026-01-29T00:00:00"/>
    <d v="2026-01-29T00:00:00"/>
    <n v="210"/>
    <n v="0.47"/>
    <n v="98.7"/>
    <n v="-10.590000000000003"/>
    <x v="0"/>
    <x v="4"/>
    <x v="5"/>
  </r>
  <r>
    <s v="CLM103560"/>
    <s v="PT11975"/>
    <s v="P01"/>
    <x v="1"/>
    <x v="1"/>
    <n v="1"/>
    <d v="2025-12-19T00:00:00"/>
    <d v="2025-12-20T00:00:00"/>
    <n v="233.18"/>
    <n v="112.73"/>
    <n v="112.73"/>
    <n v="0"/>
    <s v="Paid"/>
    <s v=""/>
    <d v="2026-01-10T00:00:00"/>
    <d v="2026-01-10T00:00:00"/>
    <n v="240"/>
    <n v="0.45"/>
    <n v="108"/>
    <n v="-4.730000000000004"/>
    <x v="0"/>
    <x v="5"/>
    <x v="6"/>
  </r>
  <r>
    <s v="CLM103561"/>
    <s v="PT12554"/>
    <s v="P08"/>
    <x v="1"/>
    <x v="7"/>
    <n v="1"/>
    <d v="2026-02-23T00:00:00"/>
    <d v="2026-02-26T00:00:00"/>
    <n v="209.9"/>
    <n v="209.9"/>
    <n v="209.9"/>
    <n v="0"/>
    <s v="Paid"/>
    <s v=""/>
    <d v="2026-05-26T00:00:00"/>
    <d v="2026-05-26T00:00:00"/>
    <n v="210"/>
    <n v="1"/>
    <n v="210"/>
    <n v="9.9999999999994316E-2"/>
    <x v="0"/>
    <x v="7"/>
    <x v="0"/>
  </r>
  <r>
    <s v="CLM103562"/>
    <s v="PT10708"/>
    <s v="P01"/>
    <x v="0"/>
    <x v="7"/>
    <n v="1"/>
    <d v="2025-12-26T00:00:00"/>
    <d v="2025-12-30T00:00:00"/>
    <n v="209.52"/>
    <n v="107.17"/>
    <n v="107.17"/>
    <n v="0"/>
    <s v="Paid"/>
    <s v=""/>
    <d v="2026-02-04T00:00:00"/>
    <d v="2026-02-04T00:00:00"/>
    <n v="210"/>
    <n v="0.45"/>
    <n v="94.5"/>
    <n v="-12.670000000000002"/>
    <x v="0"/>
    <x v="5"/>
    <x v="6"/>
  </r>
  <r>
    <s v="CLM103563"/>
    <s v="PT12768"/>
    <s v="P05"/>
    <x v="1"/>
    <x v="10"/>
    <n v="1"/>
    <d v="2025-12-29T00:00:00"/>
    <d v="2025-12-31T00:00:00"/>
    <n v="1079.24"/>
    <m/>
    <m/>
    <m/>
    <s v="Denied"/>
    <s v="CO-197"/>
    <d v="2026-03-15T00:00:00"/>
    <m/>
    <n v="1050"/>
    <n v="0.38"/>
    <n v="399"/>
    <s v=""/>
    <x v="2"/>
    <x v="0"/>
    <x v="6"/>
  </r>
  <r>
    <s v="CLM103564"/>
    <s v="PT13016"/>
    <s v="P04"/>
    <x v="0"/>
    <x v="7"/>
    <n v="1"/>
    <d v="2026-06-17T00:00:00"/>
    <d v="2026-06-24T00:00:00"/>
    <n v="210.47"/>
    <n v="70.31"/>
    <n v="70.31"/>
    <n v="0"/>
    <s v="Paid"/>
    <s v=""/>
    <d v="2026-07-10T00:00:00"/>
    <d v="2026-07-10T00:00:00"/>
    <n v="210"/>
    <n v="0.36"/>
    <n v="75.599999999999994"/>
    <n v="5.289999999999992"/>
    <x v="1"/>
    <x v="1"/>
    <x v="11"/>
  </r>
  <r>
    <s v="CLM103565"/>
    <s v="PT12655"/>
    <s v="P01"/>
    <x v="2"/>
    <x v="9"/>
    <n v="3"/>
    <d v="2026-04-29T00:00:00"/>
    <d v="2026-05-01T00:00:00"/>
    <n v="177.51"/>
    <n v="83.32"/>
    <n v="74.989999999999995"/>
    <n v="8.33"/>
    <s v="Paid"/>
    <s v=""/>
    <d v="2026-05-28T00:00:00"/>
    <d v="2026-05-28T00:00:00"/>
    <n v="58"/>
    <n v="0.45"/>
    <n v="78.3"/>
    <n v="-5.019999999999996"/>
    <x v="0"/>
    <x v="5"/>
    <x v="10"/>
  </r>
  <r>
    <s v="CLM103566"/>
    <s v="PT12380"/>
    <s v="P07"/>
    <x v="1"/>
    <x v="5"/>
    <n v="1"/>
    <d v="2026-07-06T00:00:00"/>
    <d v="2026-07-09T00:00:00"/>
    <n v="4726.2700000000004"/>
    <m/>
    <m/>
    <m/>
    <s v="Denied"/>
    <s v="CO-11"/>
    <d v="2026-09-03T00:00:00"/>
    <m/>
    <n v="4800"/>
    <n v="0.28000000000000003"/>
    <n v="1344"/>
    <s v=""/>
    <x v="2"/>
    <x v="3"/>
    <x v="1"/>
  </r>
  <r>
    <s v="CLM103567"/>
    <s v="PT11158"/>
    <s v="P01"/>
    <x v="0"/>
    <x v="7"/>
    <n v="1"/>
    <d v="2025-11-09T00:00:00"/>
    <d v="2025-11-15T00:00:00"/>
    <n v="213.7"/>
    <n v="102.35"/>
    <n v="102.35"/>
    <n v="0"/>
    <s v="Paid"/>
    <s v=""/>
    <d v="2025-12-13T00:00:00"/>
    <d v="2025-12-13T00:00:00"/>
    <n v="210"/>
    <n v="0.45"/>
    <n v="94.5"/>
    <n v="-7.8499999999999943"/>
    <x v="0"/>
    <x v="5"/>
    <x v="3"/>
  </r>
  <r>
    <s v="CLM103568"/>
    <s v="PT12531"/>
    <s v="P01"/>
    <x v="1"/>
    <x v="7"/>
    <n v="1"/>
    <d v="2026-04-10T00:00:00"/>
    <d v="2026-04-14T00:00:00"/>
    <n v="212.18"/>
    <n v="84.06"/>
    <n v="84.06"/>
    <n v="0"/>
    <s v="Paid"/>
    <s v=""/>
    <d v="2026-05-19T00:00:00"/>
    <d v="2026-05-19T00:00:00"/>
    <n v="210"/>
    <n v="0.45"/>
    <n v="94.5"/>
    <n v="10.439999999999998"/>
    <x v="1"/>
    <x v="5"/>
    <x v="10"/>
  </r>
  <r>
    <s v="CLM103569"/>
    <s v="PT10316"/>
    <s v="P02"/>
    <x v="3"/>
    <x v="3"/>
    <n v="30"/>
    <d v="2025-10-04T00:00:00"/>
    <d v="2025-10-05T00:00:00"/>
    <n v="42629.25"/>
    <n v="15698.49"/>
    <n v="15698.49"/>
    <n v="0"/>
    <s v="Paid"/>
    <s v=""/>
    <d v="2025-11-10T00:00:00"/>
    <d v="2025-11-10T00:00:00"/>
    <n v="1450"/>
    <n v="0.43"/>
    <n v="18705"/>
    <n v="3006.51"/>
    <x v="1"/>
    <x v="6"/>
    <x v="9"/>
  </r>
  <r>
    <s v="CLM103570"/>
    <s v="PT10431"/>
    <s v="P02"/>
    <x v="2"/>
    <x v="0"/>
    <n v="1"/>
    <d v="2026-04-16T00:00:00"/>
    <d v="2026-04-28T00:00:00"/>
    <n v="144.12"/>
    <n v="57.64"/>
    <n v="57.64"/>
    <n v="0"/>
    <s v="Paid"/>
    <s v=""/>
    <d v="2026-06-18T00:00:00"/>
    <d v="2026-06-18T00:00:00"/>
    <n v="145"/>
    <n v="0.43"/>
    <n v="62.35"/>
    <n v="4.7100000000000009"/>
    <x v="1"/>
    <x v="6"/>
    <x v="10"/>
  </r>
  <r>
    <s v="CLM103571"/>
    <s v="PT10189"/>
    <s v="P01"/>
    <x v="1"/>
    <x v="10"/>
    <n v="1"/>
    <d v="2026-05-18T00:00:00"/>
    <d v="2026-05-25T00:00:00"/>
    <n v="1026.1300000000001"/>
    <n v="456.75"/>
    <n v="411.07"/>
    <n v="45.68"/>
    <s v="Paid"/>
    <s v=""/>
    <d v="2026-06-10T00:00:00"/>
    <d v="2026-06-10T00:00:00"/>
    <n v="1050"/>
    <n v="0.45"/>
    <n v="472.5"/>
    <n v="15.75"/>
    <x v="0"/>
    <x v="5"/>
    <x v="7"/>
  </r>
  <r>
    <s v="CLM103572"/>
    <s v="PT11362"/>
    <s v="P04"/>
    <x v="1"/>
    <x v="8"/>
    <n v="1"/>
    <d v="2026-08-23T00:00:00"/>
    <d v="2026-08-24T00:00:00"/>
    <n v="261.13"/>
    <m/>
    <m/>
    <m/>
    <s v="Denied"/>
    <s v="CO-18"/>
    <d v="2026-09-15T00:00:00"/>
    <m/>
    <n v="260"/>
    <n v="0.36"/>
    <n v="93.6"/>
    <s v=""/>
    <x v="2"/>
    <x v="1"/>
    <x v="4"/>
  </r>
  <r>
    <s v="CLM103573"/>
    <s v="PT10977"/>
    <s v="P04"/>
    <x v="3"/>
    <x v="3"/>
    <n v="30"/>
    <d v="2025-12-20T00:00:00"/>
    <d v="2025-12-22T00:00:00"/>
    <n v="44799.11"/>
    <n v="15986.4"/>
    <n v="12789.12"/>
    <n v="3197.28"/>
    <s v="Paid"/>
    <s v=""/>
    <d v="2026-01-01T00:00:00"/>
    <d v="2026-01-01T00:00:00"/>
    <n v="1450"/>
    <n v="0.36"/>
    <n v="15660"/>
    <n v="-326.39999999999964"/>
    <x v="0"/>
    <x v="1"/>
    <x v="6"/>
  </r>
  <r>
    <s v="CLM103574"/>
    <s v="PT10400"/>
    <s v="P01"/>
    <x v="0"/>
    <x v="8"/>
    <n v="1"/>
    <d v="2026-08-30T00:00:00"/>
    <d v="2026-08-31T00:00:00"/>
    <n v="266.95"/>
    <n v="136.13999999999999"/>
    <n v="108.91"/>
    <n v="27.23"/>
    <s v="Paid"/>
    <s v=""/>
    <d v="2026-09-14T00:00:00"/>
    <d v="2026-09-14T00:00:00"/>
    <n v="260"/>
    <n v="0.45"/>
    <n v="117"/>
    <n v="-19.139999999999986"/>
    <x v="0"/>
    <x v="5"/>
    <x v="4"/>
  </r>
  <r>
    <s v="CLM103575"/>
    <s v="PT11803"/>
    <s v="P02"/>
    <x v="1"/>
    <x v="10"/>
    <n v="1"/>
    <d v="2026-05-05T00:00:00"/>
    <d v="2026-05-07T00:00:00"/>
    <n v="1019.87"/>
    <m/>
    <m/>
    <m/>
    <s v="Denied"/>
    <s v="CO-197"/>
    <d v="2026-06-05T00:00:00"/>
    <m/>
    <n v="1050"/>
    <n v="0.43"/>
    <n v="451.5"/>
    <s v=""/>
    <x v="2"/>
    <x v="6"/>
    <x v="7"/>
  </r>
  <r>
    <s v="CLM103576"/>
    <s v="PT10668"/>
    <s v="P03"/>
    <x v="0"/>
    <x v="0"/>
    <n v="1"/>
    <d v="2026-01-07T00:00:00"/>
    <d v="2026-01-12T00:00:00"/>
    <n v="141.97"/>
    <n v="69.67"/>
    <n v="62.7"/>
    <n v="6.97"/>
    <s v="Paid"/>
    <s v=""/>
    <d v="2026-02-07T00:00:00"/>
    <d v="2026-02-07T00:00:00"/>
    <n v="145"/>
    <n v="0.47"/>
    <n v="68.150000000000006"/>
    <n v="-1.519999999999996"/>
    <x v="0"/>
    <x v="4"/>
    <x v="5"/>
  </r>
  <r>
    <s v="CLM103577"/>
    <s v="PT11642"/>
    <s v="P02"/>
    <x v="0"/>
    <x v="0"/>
    <n v="1"/>
    <d v="2026-05-26T00:00:00"/>
    <d v="2026-05-29T00:00:00"/>
    <n v="148.86000000000001"/>
    <n v="70.45"/>
    <n v="70.45"/>
    <n v="0"/>
    <s v="Paid"/>
    <s v=""/>
    <d v="2026-06-17T00:00:00"/>
    <d v="2026-06-17T00:00:00"/>
    <n v="145"/>
    <n v="0.43"/>
    <n v="62.35"/>
    <n v="-8.1000000000000014"/>
    <x v="0"/>
    <x v="6"/>
    <x v="7"/>
  </r>
  <r>
    <s v="CLM103578"/>
    <s v="PT12874"/>
    <s v="P07"/>
    <x v="2"/>
    <x v="0"/>
    <n v="1"/>
    <d v="2025-11-20T00:00:00"/>
    <d v="2025-11-21T00:00:00"/>
    <n v="144.80000000000001"/>
    <m/>
    <m/>
    <m/>
    <s v="Denied"/>
    <s v="CO-16"/>
    <d v="2026-01-20T00:00:00"/>
    <m/>
    <n v="145"/>
    <n v="0.28000000000000003"/>
    <n v="40.6"/>
    <s v=""/>
    <x v="2"/>
    <x v="3"/>
    <x v="3"/>
  </r>
  <r>
    <s v="CLM103579"/>
    <s v="PT13035"/>
    <s v="P07"/>
    <x v="1"/>
    <x v="11"/>
    <n v="1"/>
    <d v="2026-05-02T00:00:00"/>
    <d v="2026-05-03T00:00:00"/>
    <n v="1145.83"/>
    <n v="290.24"/>
    <n v="290.24"/>
    <n v="0"/>
    <s v="Paid"/>
    <s v=""/>
    <d v="2026-07-13T00:00:00"/>
    <d v="2026-07-13T00:00:00"/>
    <n v="1150"/>
    <n v="0.28000000000000003"/>
    <n v="322"/>
    <n v="31.759999999999991"/>
    <x v="1"/>
    <x v="3"/>
    <x v="7"/>
  </r>
  <r>
    <s v="CLM103580"/>
    <s v="PT11948"/>
    <s v="P01"/>
    <x v="0"/>
    <x v="8"/>
    <n v="1"/>
    <d v="2025-10-01T00:00:00"/>
    <d v="2025-10-04T00:00:00"/>
    <n v="262.85000000000002"/>
    <n v="133.16999999999999"/>
    <n v="119.85"/>
    <n v="13.32"/>
    <s v="Paid"/>
    <s v=""/>
    <d v="2025-10-30T00:00:00"/>
    <d v="2025-10-30T00:00:00"/>
    <n v="260"/>
    <n v="0.45"/>
    <n v="117"/>
    <n v="-16.169999999999987"/>
    <x v="0"/>
    <x v="5"/>
    <x v="9"/>
  </r>
  <r>
    <s v="CLM103581"/>
    <s v="PT11890"/>
    <s v="P01"/>
    <x v="3"/>
    <x v="3"/>
    <n v="5"/>
    <d v="2025-10-04T00:00:00"/>
    <d v="2025-10-11T00:00:00"/>
    <n v="7315.05"/>
    <n v="3192.76"/>
    <n v="3192.76"/>
    <n v="0"/>
    <s v="Paid"/>
    <s v=""/>
    <d v="2025-11-10T00:00:00"/>
    <d v="2025-11-10T00:00:00"/>
    <n v="1450"/>
    <n v="0.45"/>
    <n v="3262.5"/>
    <n v="69.739999999999782"/>
    <x v="0"/>
    <x v="5"/>
    <x v="9"/>
  </r>
  <r>
    <s v="CLM103582"/>
    <s v="PT11863"/>
    <s v="P01"/>
    <x v="1"/>
    <x v="8"/>
    <n v="1"/>
    <d v="2025-10-19T00:00:00"/>
    <d v="2025-10-24T00:00:00"/>
    <n v="253.97"/>
    <n v="115.43"/>
    <n v="115.43"/>
    <n v="0"/>
    <s v="Paid"/>
    <s v=""/>
    <d v="2025-11-28T00:00:00"/>
    <d v="2025-11-28T00:00:00"/>
    <n v="260"/>
    <n v="0.45"/>
    <n v="117"/>
    <n v="1.5699999999999932"/>
    <x v="0"/>
    <x v="5"/>
    <x v="9"/>
  </r>
  <r>
    <s v="CLM103583"/>
    <s v="PT10125"/>
    <s v="P08"/>
    <x v="1"/>
    <x v="7"/>
    <n v="1"/>
    <d v="2026-05-29T00:00:00"/>
    <d v="2026-05-31T00:00:00"/>
    <n v="211.1"/>
    <m/>
    <m/>
    <m/>
    <s v="Pending"/>
    <s v=""/>
    <m/>
    <m/>
    <n v="210"/>
    <n v="1"/>
    <n v="210"/>
    <s v=""/>
    <x v="2"/>
    <x v="7"/>
    <x v="7"/>
  </r>
  <r>
    <s v="CLM103584"/>
    <s v="PT12264"/>
    <s v="P04"/>
    <x v="1"/>
    <x v="8"/>
    <n v="1"/>
    <d v="2026-08-29T00:00:00"/>
    <d v="2026-09-08T00:00:00"/>
    <n v="266.70999999999998"/>
    <n v="84.96"/>
    <n v="67.97"/>
    <n v="16.989999999999998"/>
    <s v="Paid"/>
    <s v=""/>
    <d v="2026-09-24T00:00:00"/>
    <d v="2026-09-24T00:00:00"/>
    <n v="260"/>
    <n v="0.36"/>
    <n v="93.6"/>
    <n v="8.64"/>
    <x v="1"/>
    <x v="1"/>
    <x v="4"/>
  </r>
  <r>
    <s v="CLM103585"/>
    <s v="PT13425"/>
    <s v="P06"/>
    <x v="2"/>
    <x v="2"/>
    <n v="1"/>
    <d v="2025-11-08T00:00:00"/>
    <d v="2025-11-10T00:00:00"/>
    <n v="61.71"/>
    <n v="15.64"/>
    <n v="15.64"/>
    <n v="0"/>
    <s v="Paid"/>
    <s v=""/>
    <d v="2025-12-22T00:00:00"/>
    <d v="2025-12-22T00:00:00"/>
    <n v="62"/>
    <n v="0.27"/>
    <n v="16.739999999999998"/>
    <n v="1.0999999999999979"/>
    <x v="1"/>
    <x v="2"/>
    <x v="3"/>
  </r>
  <r>
    <s v="CLM103586"/>
    <s v="PT10255"/>
    <s v="P02"/>
    <x v="1"/>
    <x v="10"/>
    <n v="1"/>
    <d v="2026-02-27T00:00:00"/>
    <d v="2026-03-11T00:00:00"/>
    <n v="1060.01"/>
    <m/>
    <m/>
    <m/>
    <s v="Denied"/>
    <s v="CO-27"/>
    <d v="2026-04-28T00:00:00"/>
    <m/>
    <n v="1050"/>
    <n v="0.43"/>
    <n v="451.5"/>
    <s v=""/>
    <x v="2"/>
    <x v="6"/>
    <x v="0"/>
  </r>
  <r>
    <s v="CLM103587"/>
    <s v="PT10400"/>
    <s v="P01"/>
    <x v="2"/>
    <x v="9"/>
    <n v="1"/>
    <d v="2025-11-07T00:00:00"/>
    <d v="2025-11-10T00:00:00"/>
    <n v="57.73"/>
    <n v="28.46"/>
    <n v="25.61"/>
    <n v="2.85"/>
    <s v="Paid"/>
    <s v=""/>
    <d v="2025-12-22T00:00:00"/>
    <d v="2025-12-22T00:00:00"/>
    <n v="58"/>
    <n v="0.45"/>
    <n v="26.1"/>
    <n v="-2.3599999999999994"/>
    <x v="0"/>
    <x v="5"/>
    <x v="3"/>
  </r>
  <r>
    <s v="CLM103588"/>
    <s v="PT11053"/>
    <s v="P04"/>
    <x v="0"/>
    <x v="8"/>
    <n v="1"/>
    <d v="2026-01-30T00:00:00"/>
    <d v="2026-02-04T00:00:00"/>
    <n v="256.55"/>
    <n v="82.21"/>
    <n v="65.77"/>
    <n v="16.440000000000001"/>
    <s v="Paid"/>
    <s v=""/>
    <d v="2026-02-25T00:00:00"/>
    <d v="2026-02-25T00:00:00"/>
    <n v="260"/>
    <n v="0.36"/>
    <n v="93.6"/>
    <n v="11.39"/>
    <x v="1"/>
    <x v="1"/>
    <x v="5"/>
  </r>
  <r>
    <s v="CLM103589"/>
    <s v="PT10138"/>
    <s v="P07"/>
    <x v="1"/>
    <x v="5"/>
    <n v="1"/>
    <d v="2025-11-20T00:00:00"/>
    <d v="2025-11-26T00:00:00"/>
    <n v="4928.6099999999997"/>
    <m/>
    <m/>
    <m/>
    <s v="Denied"/>
    <s v="CO-11"/>
    <d v="2026-01-08T00:00:00"/>
    <m/>
    <n v="4800"/>
    <n v="0.28000000000000003"/>
    <n v="1344"/>
    <s v=""/>
    <x v="2"/>
    <x v="3"/>
    <x v="3"/>
  </r>
  <r>
    <s v="CLM103590"/>
    <s v="PT11190"/>
    <s v="P01"/>
    <x v="3"/>
    <x v="6"/>
    <n v="1"/>
    <d v="2026-09-19T00:00:00"/>
    <d v="2026-09-22T00:00:00"/>
    <n v="429.62"/>
    <m/>
    <m/>
    <m/>
    <s v="Pending"/>
    <s v=""/>
    <m/>
    <m/>
    <n v="420"/>
    <n v="0.45"/>
    <n v="189"/>
    <s v=""/>
    <x v="2"/>
    <x v="5"/>
    <x v="8"/>
  </r>
  <r>
    <s v="CLM103591"/>
    <s v="PT12801"/>
    <s v="P07"/>
    <x v="3"/>
    <x v="7"/>
    <n v="1"/>
    <d v="2026-02-01T00:00:00"/>
    <d v="2026-02-07T00:00:00"/>
    <n v="211.67"/>
    <m/>
    <m/>
    <m/>
    <s v="Denied"/>
    <s v="CO-27"/>
    <d v="2026-03-29T00:00:00"/>
    <m/>
    <n v="210"/>
    <n v="0.28000000000000003"/>
    <n v="58.8"/>
    <s v=""/>
    <x v="2"/>
    <x v="3"/>
    <x v="0"/>
  </r>
  <r>
    <s v="CLM103592"/>
    <s v="PT12616"/>
    <s v="P02"/>
    <x v="2"/>
    <x v="0"/>
    <n v="1"/>
    <d v="2026-04-11T00:00:00"/>
    <d v="2026-04-15T00:00:00"/>
    <n v="141.12"/>
    <n v="51.2"/>
    <n v="46.08"/>
    <n v="5.12"/>
    <s v="Paid"/>
    <s v=""/>
    <d v="2026-05-28T00:00:00"/>
    <d v="2026-05-28T00:00:00"/>
    <n v="145"/>
    <n v="0.43"/>
    <n v="62.35"/>
    <n v="11.149999999999999"/>
    <x v="1"/>
    <x v="6"/>
    <x v="10"/>
  </r>
  <r>
    <s v="CLM103593"/>
    <s v="PT11018"/>
    <s v="P06"/>
    <x v="1"/>
    <x v="11"/>
    <n v="1"/>
    <d v="2026-02-01T00:00:00"/>
    <d v="2026-02-06T00:00:00"/>
    <n v="1131.93"/>
    <n v="320.3"/>
    <n v="256.24"/>
    <n v="64.06"/>
    <s v="Paid"/>
    <s v=""/>
    <d v="2026-03-29T00:00:00"/>
    <d v="2026-03-29T00:00:00"/>
    <n v="1150"/>
    <n v="0.27"/>
    <n v="310.5"/>
    <n v="-9.8000000000000114"/>
    <x v="0"/>
    <x v="2"/>
    <x v="0"/>
  </r>
  <r>
    <s v="CLM103594"/>
    <s v="PT13312"/>
    <s v="P01"/>
    <x v="0"/>
    <x v="4"/>
    <n v="1"/>
    <d v="2026-09-06T00:00:00"/>
    <d v="2026-09-12T00:00:00"/>
    <n v="37.83"/>
    <m/>
    <m/>
    <m/>
    <s v="Pending"/>
    <s v=""/>
    <m/>
    <m/>
    <n v="38"/>
    <n v="0.45"/>
    <n v="17.100000000000001"/>
    <s v=""/>
    <x v="2"/>
    <x v="5"/>
    <x v="8"/>
  </r>
  <r>
    <s v="CLM103595"/>
    <s v="PT12123"/>
    <s v="P06"/>
    <x v="2"/>
    <x v="9"/>
    <n v="1"/>
    <d v="2026-03-13T00:00:00"/>
    <d v="2026-03-14T00:00:00"/>
    <n v="57.14"/>
    <n v="13.42"/>
    <n v="13.42"/>
    <n v="0"/>
    <s v="Paid"/>
    <s v=""/>
    <d v="2026-04-18T00:00:00"/>
    <d v="2026-04-18T00:00:00"/>
    <n v="58"/>
    <n v="0.27"/>
    <n v="15.66"/>
    <n v="2.2400000000000002"/>
    <x v="1"/>
    <x v="2"/>
    <x v="2"/>
  </r>
  <r>
    <s v="CLM103596"/>
    <s v="PT13227"/>
    <s v="P04"/>
    <x v="1"/>
    <x v="10"/>
    <n v="1"/>
    <d v="2026-09-22T00:00:00"/>
    <d v="2026-09-27T00:00:00"/>
    <n v="1046.7"/>
    <m/>
    <m/>
    <m/>
    <s v="Pending"/>
    <s v=""/>
    <m/>
    <m/>
    <n v="1050"/>
    <n v="0.36"/>
    <n v="378"/>
    <s v=""/>
    <x v="2"/>
    <x v="1"/>
    <x v="8"/>
  </r>
  <r>
    <s v="CLM103597"/>
    <s v="PT12989"/>
    <s v="P01"/>
    <x v="3"/>
    <x v="6"/>
    <n v="1"/>
    <d v="2026-03-29T00:00:00"/>
    <d v="2026-04-02T00:00:00"/>
    <n v="419.57"/>
    <n v="190.61"/>
    <n v="152.49"/>
    <n v="38.119999999999997"/>
    <s v="Paid"/>
    <s v=""/>
    <d v="2026-04-27T00:00:00"/>
    <d v="2026-04-27T00:00:00"/>
    <n v="420"/>
    <n v="0.45"/>
    <n v="189"/>
    <n v="-1.6100000000000136"/>
    <x v="0"/>
    <x v="5"/>
    <x v="2"/>
  </r>
  <r>
    <s v="CLM103598"/>
    <s v="PT10370"/>
    <s v="P03"/>
    <x v="1"/>
    <x v="10"/>
    <n v="1"/>
    <d v="2026-04-22T00:00:00"/>
    <d v="2026-04-28T00:00:00"/>
    <n v="1078.1199999999999"/>
    <n v="530.82000000000005"/>
    <n v="530.82000000000005"/>
    <n v="0"/>
    <s v="Paid"/>
    <s v=""/>
    <d v="2026-06-14T00:00:00"/>
    <d v="2026-06-14T00:00:00"/>
    <n v="1050"/>
    <n v="0.47"/>
    <n v="493.5"/>
    <n v="-37.32000000000005"/>
    <x v="0"/>
    <x v="4"/>
    <x v="10"/>
  </r>
  <r>
    <s v="CLM103599"/>
    <s v="PT11561"/>
    <s v="P01"/>
    <x v="0"/>
    <x v="8"/>
    <n v="1"/>
    <d v="2026-09-19T00:00:00"/>
    <d v="2026-09-30T00:00:00"/>
    <n v="263.45"/>
    <m/>
    <m/>
    <m/>
    <s v="Pending"/>
    <s v=""/>
    <m/>
    <m/>
    <n v="260"/>
    <n v="0.45"/>
    <n v="117"/>
    <s v=""/>
    <x v="2"/>
    <x v="5"/>
    <x v="8"/>
  </r>
  <r>
    <s v="CLM103600"/>
    <s v="PT10824"/>
    <s v="P03"/>
    <x v="1"/>
    <x v="10"/>
    <n v="1"/>
    <d v="2026-08-10T00:00:00"/>
    <d v="2026-08-26T00:00:00"/>
    <n v="1020.13"/>
    <m/>
    <m/>
    <m/>
    <s v="Pending"/>
    <s v=""/>
    <m/>
    <m/>
    <n v="1050"/>
    <n v="0.47"/>
    <n v="493.5"/>
    <s v=""/>
    <x v="2"/>
    <x v="4"/>
    <x v="4"/>
  </r>
  <r>
    <s v="CLM103601"/>
    <s v="PT12270"/>
    <s v="P01"/>
    <x v="1"/>
    <x v="8"/>
    <n v="1"/>
    <d v="2026-09-07T00:00:00"/>
    <d v="2026-09-10T00:00:00"/>
    <n v="265.02"/>
    <m/>
    <m/>
    <m/>
    <s v="Pending"/>
    <s v=""/>
    <m/>
    <m/>
    <n v="260"/>
    <n v="0.45"/>
    <n v="117"/>
    <s v=""/>
    <x v="2"/>
    <x v="5"/>
    <x v="8"/>
  </r>
  <r>
    <s v="CLM103602"/>
    <s v="PT13412"/>
    <s v="P07"/>
    <x v="1"/>
    <x v="5"/>
    <n v="1"/>
    <d v="2026-01-16T00:00:00"/>
    <d v="2026-01-17T00:00:00"/>
    <n v="4725.53"/>
    <m/>
    <m/>
    <m/>
    <s v="Denied"/>
    <s v="CO-50"/>
    <d v="2026-04-16T00:00:00"/>
    <m/>
    <n v="4800"/>
    <n v="0.28000000000000003"/>
    <n v="1344"/>
    <s v=""/>
    <x v="2"/>
    <x v="3"/>
    <x v="5"/>
  </r>
  <r>
    <s v="CLM103603"/>
    <s v="PT12025"/>
    <s v="P08"/>
    <x v="0"/>
    <x v="0"/>
    <n v="1"/>
    <d v="2026-02-11T00:00:00"/>
    <d v="2026-02-13T00:00:00"/>
    <n v="141.44999999999999"/>
    <n v="141.44999999999999"/>
    <n v="141.44999999999999"/>
    <n v="0"/>
    <s v="Paid"/>
    <s v=""/>
    <d v="2026-04-29T00:00:00"/>
    <d v="2026-04-29T00:00:00"/>
    <n v="145"/>
    <n v="1"/>
    <n v="145"/>
    <n v="3.5500000000000114"/>
    <x v="0"/>
    <x v="7"/>
    <x v="0"/>
  </r>
  <r>
    <s v="CLM103604"/>
    <s v="PT10048"/>
    <s v="P02"/>
    <x v="1"/>
    <x v="7"/>
    <n v="1"/>
    <d v="2026-06-09T00:00:00"/>
    <d v="2026-06-12T00:00:00"/>
    <n v="206.63"/>
    <n v="99.55"/>
    <n v="99.55"/>
    <n v="0"/>
    <s v="Paid"/>
    <s v=""/>
    <d v="2026-07-30T00:00:00"/>
    <d v="2026-07-30T00:00:00"/>
    <n v="210"/>
    <n v="0.43"/>
    <n v="90.3"/>
    <n v="-9.25"/>
    <x v="0"/>
    <x v="6"/>
    <x v="11"/>
  </r>
  <r>
    <s v="CLM103605"/>
    <s v="PT10268"/>
    <s v="P01"/>
    <x v="0"/>
    <x v="7"/>
    <n v="1"/>
    <d v="2026-08-01T00:00:00"/>
    <d v="2026-08-04T00:00:00"/>
    <n v="206.7"/>
    <n v="97.34"/>
    <n v="77.87"/>
    <n v="19.47"/>
    <s v="Paid"/>
    <s v=""/>
    <d v="2026-09-11T00:00:00"/>
    <d v="2026-09-11T00:00:00"/>
    <n v="210"/>
    <n v="0.45"/>
    <n v="94.5"/>
    <n v="-2.8400000000000034"/>
    <x v="0"/>
    <x v="5"/>
    <x v="4"/>
  </r>
  <r>
    <s v="CLM103606"/>
    <s v="PT12625"/>
    <s v="P01"/>
    <x v="0"/>
    <x v="8"/>
    <n v="1"/>
    <d v="2025-10-26T00:00:00"/>
    <d v="2025-10-31T00:00:00"/>
    <n v="267.45"/>
    <n v="106.72"/>
    <n v="106.72"/>
    <n v="0"/>
    <s v="Paid"/>
    <s v=""/>
    <d v="2025-12-12T00:00:00"/>
    <d v="2025-12-12T00:00:00"/>
    <n v="260"/>
    <n v="0.45"/>
    <n v="117"/>
    <n v="10.280000000000001"/>
    <x v="1"/>
    <x v="5"/>
    <x v="9"/>
  </r>
  <r>
    <s v="CLM103607"/>
    <s v="PT11619"/>
    <s v="P07"/>
    <x v="2"/>
    <x v="2"/>
    <n v="1"/>
    <d v="2026-07-22T00:00:00"/>
    <d v="2026-07-30T00:00:00"/>
    <n v="61.48"/>
    <n v="17.73"/>
    <n v="17.73"/>
    <n v="0"/>
    <s v="Paid"/>
    <s v=""/>
    <d v="2026-09-20T00:00:00"/>
    <d v="2026-09-20T00:00:00"/>
    <n v="62"/>
    <n v="0.28000000000000003"/>
    <n v="17.36"/>
    <n v="-0.37000000000000099"/>
    <x v="0"/>
    <x v="3"/>
    <x v="1"/>
  </r>
  <r>
    <s v="CLM103608"/>
    <s v="PT10292"/>
    <s v="P01"/>
    <x v="1"/>
    <x v="5"/>
    <n v="1"/>
    <d v="2026-01-16T00:00:00"/>
    <d v="2026-01-18T00:00:00"/>
    <n v="4788.58"/>
    <m/>
    <m/>
    <m/>
    <s v="Denied"/>
    <s v="CO-50"/>
    <d v="2026-02-03T00:00:00"/>
    <m/>
    <n v="4800"/>
    <n v="0.45"/>
    <n v="2160"/>
    <s v=""/>
    <x v="2"/>
    <x v="5"/>
    <x v="5"/>
  </r>
  <r>
    <s v="CLM103609"/>
    <s v="PT13133"/>
    <s v="P01"/>
    <x v="3"/>
    <x v="7"/>
    <n v="1"/>
    <d v="2026-09-01T00:00:00"/>
    <d v="2026-09-02T00:00:00"/>
    <n v="206.31"/>
    <m/>
    <m/>
    <m/>
    <s v="Pending"/>
    <s v=""/>
    <m/>
    <m/>
    <n v="210"/>
    <n v="0.45"/>
    <n v="94.5"/>
    <s v=""/>
    <x v="2"/>
    <x v="5"/>
    <x v="8"/>
  </r>
  <r>
    <s v="CLM103610"/>
    <s v="PT13370"/>
    <s v="P07"/>
    <x v="3"/>
    <x v="3"/>
    <n v="20"/>
    <d v="2026-04-26T00:00:00"/>
    <d v="2026-05-04T00:00:00"/>
    <n v="29791.14"/>
    <n v="8858.5499999999993"/>
    <n v="8858.5499999999993"/>
    <n v="0"/>
    <s v="Paid"/>
    <s v=""/>
    <d v="2026-07-12T00:00:00"/>
    <d v="2026-07-12T00:00:00"/>
    <n v="1450"/>
    <n v="0.28000000000000003"/>
    <n v="8120"/>
    <n v="-738.54999999999927"/>
    <x v="0"/>
    <x v="3"/>
    <x v="10"/>
  </r>
  <r>
    <s v="CLM103611"/>
    <s v="PT10242"/>
    <s v="P01"/>
    <x v="3"/>
    <x v="3"/>
    <n v="5"/>
    <d v="2025-12-27T00:00:00"/>
    <d v="2026-01-03T00:00:00"/>
    <n v="7275.11"/>
    <n v="3092.25"/>
    <n v="2473.8000000000002"/>
    <n v="618.45000000000005"/>
    <s v="Paid"/>
    <s v=""/>
    <d v="2026-01-27T00:00:00"/>
    <d v="2026-01-27T00:00:00"/>
    <n v="1450"/>
    <n v="0.45"/>
    <n v="3262.5"/>
    <n v="170.25"/>
    <x v="1"/>
    <x v="5"/>
    <x v="6"/>
  </r>
  <r>
    <s v="CLM103612"/>
    <s v="PT10840"/>
    <s v="P04"/>
    <x v="2"/>
    <x v="0"/>
    <n v="1"/>
    <d v="2026-01-15T00:00:00"/>
    <d v="2026-01-23T00:00:00"/>
    <n v="145.74"/>
    <m/>
    <m/>
    <m/>
    <s v="Denied"/>
    <s v="CO-4"/>
    <d v="2026-02-19T00:00:00"/>
    <m/>
    <n v="145"/>
    <n v="0.36"/>
    <n v="52.2"/>
    <s v=""/>
    <x v="2"/>
    <x v="1"/>
    <x v="5"/>
  </r>
  <r>
    <s v="CLM103613"/>
    <s v="PT10276"/>
    <s v="P01"/>
    <x v="0"/>
    <x v="7"/>
    <n v="1"/>
    <d v="2026-08-29T00:00:00"/>
    <d v="2026-08-30T00:00:00"/>
    <n v="204.38"/>
    <n v="94.72"/>
    <n v="75.78"/>
    <n v="18.940000000000001"/>
    <s v="Paid"/>
    <s v=""/>
    <d v="2026-09-12T00:00:00"/>
    <d v="2026-09-12T00:00:00"/>
    <n v="210"/>
    <n v="0.45"/>
    <n v="94.5"/>
    <n v="-0.21999999999999886"/>
    <x v="0"/>
    <x v="5"/>
    <x v="4"/>
  </r>
  <r>
    <s v="CLM103614"/>
    <s v="PT10808"/>
    <s v="P01"/>
    <x v="0"/>
    <x v="7"/>
    <n v="1"/>
    <d v="2026-05-18T00:00:00"/>
    <d v="2026-05-20T00:00:00"/>
    <n v="214.31"/>
    <n v="97.77"/>
    <n v="97.77"/>
    <n v="0"/>
    <s v="Paid"/>
    <s v=""/>
    <d v="2026-06-20T00:00:00"/>
    <d v="2026-06-20T00:00:00"/>
    <n v="210"/>
    <n v="0.45"/>
    <n v="94.5"/>
    <n v="-3.269999999999996"/>
    <x v="0"/>
    <x v="5"/>
    <x v="7"/>
  </r>
  <r>
    <s v="CLM103615"/>
    <s v="PT13248"/>
    <s v="P08"/>
    <x v="0"/>
    <x v="8"/>
    <n v="1"/>
    <d v="2026-05-13T00:00:00"/>
    <d v="2026-05-20T00:00:00"/>
    <n v="266.05"/>
    <m/>
    <m/>
    <m/>
    <s v="Pending"/>
    <s v=""/>
    <m/>
    <m/>
    <n v="260"/>
    <n v="1"/>
    <n v="260"/>
    <s v=""/>
    <x v="2"/>
    <x v="7"/>
    <x v="7"/>
  </r>
  <r>
    <s v="CLM103616"/>
    <s v="PT10062"/>
    <s v="P05"/>
    <x v="1"/>
    <x v="8"/>
    <n v="1"/>
    <d v="2026-07-22T00:00:00"/>
    <d v="2026-07-23T00:00:00"/>
    <n v="256.36"/>
    <m/>
    <m/>
    <m/>
    <s v="Pending"/>
    <s v=""/>
    <m/>
    <m/>
    <n v="260"/>
    <n v="0.38"/>
    <n v="98.8"/>
    <s v=""/>
    <x v="2"/>
    <x v="0"/>
    <x v="1"/>
  </r>
  <r>
    <s v="CLM103617"/>
    <s v="PT12963"/>
    <s v="P07"/>
    <x v="1"/>
    <x v="7"/>
    <n v="1"/>
    <d v="2026-03-14T00:00:00"/>
    <d v="2026-03-17T00:00:00"/>
    <n v="211.89"/>
    <m/>
    <m/>
    <m/>
    <s v="Denied"/>
    <s v="CO-16"/>
    <d v="2026-05-24T00:00:00"/>
    <m/>
    <n v="210"/>
    <n v="0.28000000000000003"/>
    <n v="58.8"/>
    <s v=""/>
    <x v="2"/>
    <x v="3"/>
    <x v="2"/>
  </r>
  <r>
    <s v="CLM103618"/>
    <s v="PT11395"/>
    <s v="P05"/>
    <x v="1"/>
    <x v="4"/>
    <n v="1"/>
    <d v="2026-06-22T00:00:00"/>
    <d v="2026-06-23T00:00:00"/>
    <n v="39.119999999999997"/>
    <n v="16.03"/>
    <n v="16.03"/>
    <n v="0"/>
    <s v="Paid"/>
    <s v=""/>
    <d v="2026-07-27T00:00:00"/>
    <d v="2026-07-27T00:00:00"/>
    <n v="38"/>
    <n v="0.38"/>
    <n v="14.44"/>
    <n v="-1.5900000000000016"/>
    <x v="0"/>
    <x v="0"/>
    <x v="11"/>
  </r>
  <r>
    <s v="CLM103619"/>
    <s v="PT10886"/>
    <s v="P01"/>
    <x v="0"/>
    <x v="8"/>
    <n v="1"/>
    <d v="2025-11-05T00:00:00"/>
    <d v="2025-11-08T00:00:00"/>
    <n v="267.68"/>
    <n v="113.75"/>
    <n v="113.75"/>
    <n v="0"/>
    <s v="Paid"/>
    <s v=""/>
    <d v="2025-12-03T00:00:00"/>
    <d v="2025-12-03T00:00:00"/>
    <n v="260"/>
    <n v="0.45"/>
    <n v="117"/>
    <n v="3.25"/>
    <x v="0"/>
    <x v="5"/>
    <x v="3"/>
  </r>
  <r>
    <s v="CLM103620"/>
    <s v="PT10371"/>
    <s v="P05"/>
    <x v="3"/>
    <x v="6"/>
    <n v="1"/>
    <d v="2026-04-14T00:00:00"/>
    <d v="2026-04-19T00:00:00"/>
    <n v="417.76"/>
    <n v="166.98"/>
    <n v="166.98"/>
    <n v="0"/>
    <s v="Paid"/>
    <s v=""/>
    <d v="2026-06-01T00:00:00"/>
    <d v="2026-06-01T00:00:00"/>
    <n v="420"/>
    <n v="0.38"/>
    <n v="159.6"/>
    <n v="-7.3799999999999955"/>
    <x v="0"/>
    <x v="0"/>
    <x v="10"/>
  </r>
  <r>
    <s v="CLM103621"/>
    <s v="PT11380"/>
    <s v="P08"/>
    <x v="1"/>
    <x v="5"/>
    <n v="1"/>
    <d v="2026-05-09T00:00:00"/>
    <d v="2026-06-06T00:00:00"/>
    <n v="4856.7299999999996"/>
    <n v="4856.7299999999996"/>
    <n v="4856.7299999999996"/>
    <n v="0"/>
    <s v="Paid"/>
    <s v=""/>
    <d v="2026-07-31T00:00:00"/>
    <d v="2026-07-31T00:00:00"/>
    <n v="4800"/>
    <n v="1"/>
    <n v="4800"/>
    <n v="-56.729999999999563"/>
    <x v="0"/>
    <x v="7"/>
    <x v="7"/>
  </r>
  <r>
    <s v="CLM103622"/>
    <s v="PT10034"/>
    <s v="P04"/>
    <x v="3"/>
    <x v="3"/>
    <n v="10"/>
    <d v="2026-06-08T00:00:00"/>
    <d v="2026-06-16T00:00:00"/>
    <n v="14696.97"/>
    <n v="4561.82"/>
    <n v="3649.46"/>
    <n v="912.36"/>
    <s v="Paid"/>
    <s v=""/>
    <d v="2026-06-26T00:00:00"/>
    <d v="2026-06-26T00:00:00"/>
    <n v="1450"/>
    <n v="0.36"/>
    <n v="5220"/>
    <n v="658.18000000000029"/>
    <x v="1"/>
    <x v="1"/>
    <x v="11"/>
  </r>
  <r>
    <s v="CLM103623"/>
    <s v="PT10208"/>
    <s v="P03"/>
    <x v="3"/>
    <x v="3"/>
    <n v="10"/>
    <d v="2026-08-20T00:00:00"/>
    <d v="2026-08-21T00:00:00"/>
    <n v="14088.91"/>
    <m/>
    <m/>
    <m/>
    <s v="Pending"/>
    <s v=""/>
    <m/>
    <m/>
    <n v="1450"/>
    <n v="0.47"/>
    <n v="6815"/>
    <s v=""/>
    <x v="2"/>
    <x v="4"/>
    <x v="4"/>
  </r>
  <r>
    <s v="CLM103624"/>
    <s v="PT10520"/>
    <s v="P08"/>
    <x v="2"/>
    <x v="9"/>
    <n v="3"/>
    <d v="2026-04-08T00:00:00"/>
    <d v="2026-04-11T00:00:00"/>
    <n v="170.13"/>
    <n v="170.13"/>
    <n v="170.13"/>
    <n v="0"/>
    <s v="Paid"/>
    <s v=""/>
    <d v="2026-07-06T00:00:00"/>
    <d v="2026-07-06T00:00:00"/>
    <n v="58"/>
    <n v="1"/>
    <n v="174"/>
    <n v="3.8700000000000045"/>
    <x v="0"/>
    <x v="7"/>
    <x v="10"/>
  </r>
  <r>
    <s v="CLM103625"/>
    <s v="PT11345"/>
    <s v="P02"/>
    <x v="1"/>
    <x v="1"/>
    <n v="1"/>
    <d v="2026-06-02T00:00:00"/>
    <d v="2026-06-04T00:00:00"/>
    <n v="236.31"/>
    <n v="95.41"/>
    <n v="76.33"/>
    <n v="19.079999999999998"/>
    <s v="Paid"/>
    <s v=""/>
    <d v="2026-06-26T00:00:00"/>
    <d v="2026-06-26T00:00:00"/>
    <n v="240"/>
    <n v="0.43"/>
    <n v="103.2"/>
    <n v="7.7900000000000063"/>
    <x v="1"/>
    <x v="6"/>
    <x v="11"/>
  </r>
  <r>
    <s v="CLM103626"/>
    <s v="PT10650"/>
    <s v="P04"/>
    <x v="2"/>
    <x v="0"/>
    <n v="1"/>
    <d v="2025-10-13T00:00:00"/>
    <d v="2025-10-22T00:00:00"/>
    <n v="143.57"/>
    <n v="50.74"/>
    <n v="40.590000000000003"/>
    <n v="10.15"/>
    <s v="Paid"/>
    <s v=""/>
    <d v="2025-11-07T00:00:00"/>
    <d v="2025-11-07T00:00:00"/>
    <n v="145"/>
    <n v="0.36"/>
    <n v="52.2"/>
    <n v="1.4600000000000009"/>
    <x v="0"/>
    <x v="1"/>
    <x v="9"/>
  </r>
  <r>
    <s v="CLM103627"/>
    <s v="PT11285"/>
    <s v="P05"/>
    <x v="2"/>
    <x v="0"/>
    <n v="1"/>
    <d v="2026-08-15T00:00:00"/>
    <d v="2026-08-19T00:00:00"/>
    <n v="143.66"/>
    <m/>
    <m/>
    <m/>
    <s v="Pending"/>
    <s v=""/>
    <m/>
    <m/>
    <n v="145"/>
    <n v="0.38"/>
    <n v="55.1"/>
    <s v=""/>
    <x v="2"/>
    <x v="0"/>
    <x v="4"/>
  </r>
  <r>
    <s v="CLM103628"/>
    <s v="PT11137"/>
    <s v="P02"/>
    <x v="3"/>
    <x v="7"/>
    <n v="1"/>
    <d v="2026-07-03T00:00:00"/>
    <d v="2026-07-07T00:00:00"/>
    <n v="204.94"/>
    <n v="100.35"/>
    <n v="90.31"/>
    <n v="10.039999999999999"/>
    <s v="Paid"/>
    <s v=""/>
    <d v="2026-07-22T00:00:00"/>
    <d v="2026-07-22T00:00:00"/>
    <n v="210"/>
    <n v="0.43"/>
    <n v="90.3"/>
    <n v="-10.049999999999997"/>
    <x v="0"/>
    <x v="6"/>
    <x v="1"/>
  </r>
  <r>
    <s v="CLM103629"/>
    <s v="PT11079"/>
    <s v="P07"/>
    <x v="1"/>
    <x v="11"/>
    <n v="1"/>
    <d v="2026-05-17T00:00:00"/>
    <d v="2026-05-23T00:00:00"/>
    <n v="1184.42"/>
    <n v="359.22"/>
    <n v="287.38"/>
    <n v="71.84"/>
    <s v="Paid"/>
    <s v=""/>
    <d v="2026-08-10T00:00:00"/>
    <d v="2026-08-10T00:00:00"/>
    <n v="1150"/>
    <n v="0.28000000000000003"/>
    <n v="322"/>
    <n v="-37.220000000000027"/>
    <x v="0"/>
    <x v="3"/>
    <x v="7"/>
  </r>
  <r>
    <s v="CLM103630"/>
    <s v="PT11719"/>
    <s v="P01"/>
    <x v="1"/>
    <x v="7"/>
    <n v="1"/>
    <d v="2026-03-11T00:00:00"/>
    <d v="2026-03-22T00:00:00"/>
    <n v="206.98"/>
    <n v="104.85"/>
    <n v="94.37"/>
    <n v="10.48"/>
    <s v="Paid"/>
    <s v=""/>
    <d v="2026-05-07T00:00:00"/>
    <d v="2026-05-07T00:00:00"/>
    <n v="210"/>
    <n v="0.45"/>
    <n v="94.5"/>
    <n v="-10.349999999999994"/>
    <x v="0"/>
    <x v="5"/>
    <x v="2"/>
  </r>
  <r>
    <s v="CLM103631"/>
    <s v="PT10145"/>
    <s v="P01"/>
    <x v="0"/>
    <x v="8"/>
    <n v="1"/>
    <d v="2025-12-29T00:00:00"/>
    <d v="2026-01-04T00:00:00"/>
    <n v="252.96"/>
    <n v="124.42"/>
    <n v="124.42"/>
    <n v="0"/>
    <s v="Paid"/>
    <s v=""/>
    <d v="2026-01-28T00:00:00"/>
    <d v="2026-01-28T00:00:00"/>
    <n v="260"/>
    <n v="0.45"/>
    <n v="117"/>
    <n v="-7.4200000000000017"/>
    <x v="0"/>
    <x v="5"/>
    <x v="6"/>
  </r>
  <r>
    <s v="CLM103632"/>
    <s v="PT13452"/>
    <s v="P01"/>
    <x v="2"/>
    <x v="2"/>
    <n v="4"/>
    <d v="2026-02-09T00:00:00"/>
    <d v="2026-02-18T00:00:00"/>
    <n v="241.73"/>
    <n v="93.62"/>
    <n v="93.62"/>
    <n v="0"/>
    <s v="Paid"/>
    <s v=""/>
    <d v="2026-03-16T00:00:00"/>
    <d v="2026-03-16T00:00:00"/>
    <n v="62"/>
    <n v="0.45"/>
    <n v="111.6"/>
    <n v="17.97999999999999"/>
    <x v="1"/>
    <x v="5"/>
    <x v="0"/>
  </r>
  <r>
    <s v="CLM103633"/>
    <s v="PT11203"/>
    <s v="P02"/>
    <x v="1"/>
    <x v="5"/>
    <n v="1"/>
    <d v="2026-05-10T00:00:00"/>
    <d v="2026-05-13T00:00:00"/>
    <n v="4759.49"/>
    <m/>
    <m/>
    <m/>
    <s v="Denied"/>
    <s v="CO-197"/>
    <d v="2026-06-12T00:00:00"/>
    <m/>
    <n v="4800"/>
    <n v="0.43"/>
    <n v="2064"/>
    <s v=""/>
    <x v="2"/>
    <x v="6"/>
    <x v="7"/>
  </r>
  <r>
    <s v="CLM103634"/>
    <s v="PT11155"/>
    <s v="P04"/>
    <x v="0"/>
    <x v="4"/>
    <n v="1"/>
    <d v="2026-01-17T00:00:00"/>
    <d v="2026-01-31T00:00:00"/>
    <n v="37.53"/>
    <n v="12.88"/>
    <n v="12.88"/>
    <n v="0"/>
    <s v="Paid"/>
    <s v=""/>
    <d v="2026-02-17T00:00:00"/>
    <d v="2026-02-17T00:00:00"/>
    <n v="38"/>
    <n v="0.36"/>
    <n v="13.68"/>
    <n v="0.79999999999999893"/>
    <x v="1"/>
    <x v="1"/>
    <x v="5"/>
  </r>
  <r>
    <s v="CLM103635"/>
    <s v="PT13024"/>
    <s v="P02"/>
    <x v="0"/>
    <x v="7"/>
    <n v="1"/>
    <d v="2026-05-05T00:00:00"/>
    <d v="2026-05-19T00:00:00"/>
    <n v="204.46"/>
    <n v="92.76"/>
    <n v="83.48"/>
    <n v="9.2799999999999994"/>
    <s v="Paid"/>
    <s v=""/>
    <d v="2026-06-21T00:00:00"/>
    <d v="2026-06-21T00:00:00"/>
    <n v="210"/>
    <n v="0.43"/>
    <n v="90.3"/>
    <n v="-2.460000000000008"/>
    <x v="0"/>
    <x v="6"/>
    <x v="7"/>
  </r>
  <r>
    <s v="CLM103636"/>
    <s v="PT12764"/>
    <s v="P01"/>
    <x v="1"/>
    <x v="1"/>
    <n v="1"/>
    <d v="2026-09-07T00:00:00"/>
    <d v="2026-09-14T00:00:00"/>
    <n v="245.65"/>
    <m/>
    <m/>
    <m/>
    <s v="Pending"/>
    <s v=""/>
    <m/>
    <m/>
    <n v="240"/>
    <n v="0.45"/>
    <n v="108"/>
    <s v=""/>
    <x v="2"/>
    <x v="5"/>
    <x v="8"/>
  </r>
  <r>
    <s v="CLM103637"/>
    <s v="PT13178"/>
    <s v="P02"/>
    <x v="1"/>
    <x v="1"/>
    <n v="1"/>
    <d v="2025-10-12T00:00:00"/>
    <d v="2025-10-13T00:00:00"/>
    <n v="237.24"/>
    <n v="99.5"/>
    <n v="99.5"/>
    <n v="0"/>
    <s v="Paid"/>
    <s v=""/>
    <d v="2025-11-11T00:00:00"/>
    <d v="2025-11-11T00:00:00"/>
    <n v="240"/>
    <n v="0.43"/>
    <n v="103.2"/>
    <n v="3.7000000000000028"/>
    <x v="0"/>
    <x v="6"/>
    <x v="9"/>
  </r>
  <r>
    <s v="CLM103638"/>
    <s v="PT10772"/>
    <s v="P04"/>
    <x v="0"/>
    <x v="0"/>
    <n v="1"/>
    <d v="2026-09-16T00:00:00"/>
    <d v="2026-09-28T00:00:00"/>
    <n v="143.04"/>
    <m/>
    <m/>
    <m/>
    <s v="Pending"/>
    <s v=""/>
    <m/>
    <m/>
    <n v="145"/>
    <n v="0.36"/>
    <n v="52.2"/>
    <s v=""/>
    <x v="2"/>
    <x v="1"/>
    <x v="8"/>
  </r>
  <r>
    <s v="CLM103639"/>
    <s v="PT10237"/>
    <s v="P04"/>
    <x v="2"/>
    <x v="2"/>
    <n v="1"/>
    <d v="2026-09-19T00:00:00"/>
    <d v="2026-09-20T00:00:00"/>
    <n v="63.03"/>
    <m/>
    <m/>
    <m/>
    <s v="Pending"/>
    <s v=""/>
    <m/>
    <m/>
    <n v="62"/>
    <n v="0.36"/>
    <n v="22.32"/>
    <s v=""/>
    <x v="2"/>
    <x v="1"/>
    <x v="8"/>
  </r>
  <r>
    <s v="CLM103640"/>
    <s v="PT12636"/>
    <s v="P08"/>
    <x v="1"/>
    <x v="11"/>
    <n v="1"/>
    <d v="2025-11-21T00:00:00"/>
    <d v="2025-11-23T00:00:00"/>
    <n v="1144.02"/>
    <m/>
    <m/>
    <m/>
    <s v="Pending"/>
    <s v=""/>
    <m/>
    <m/>
    <n v="1150"/>
    <n v="1"/>
    <n v="1150"/>
    <s v=""/>
    <x v="2"/>
    <x v="7"/>
    <x v="3"/>
  </r>
  <r>
    <s v="CLM103641"/>
    <s v="PT10360"/>
    <s v="P02"/>
    <x v="0"/>
    <x v="7"/>
    <n v="1"/>
    <d v="2026-03-07T00:00:00"/>
    <d v="2026-03-12T00:00:00"/>
    <n v="204.76"/>
    <n v="87.77"/>
    <n v="87.77"/>
    <n v="0"/>
    <s v="Paid"/>
    <s v=""/>
    <d v="2026-04-19T00:00:00"/>
    <d v="2026-04-19T00:00:00"/>
    <n v="210"/>
    <n v="0.43"/>
    <n v="90.3"/>
    <n v="2.5300000000000011"/>
    <x v="0"/>
    <x v="6"/>
    <x v="2"/>
  </r>
  <r>
    <s v="CLM103642"/>
    <s v="PT13199"/>
    <s v="P07"/>
    <x v="2"/>
    <x v="2"/>
    <n v="1"/>
    <d v="2026-08-20T00:00:00"/>
    <d v="2026-08-26T00:00:00"/>
    <n v="61.15"/>
    <m/>
    <m/>
    <m/>
    <s v="Pending"/>
    <s v=""/>
    <m/>
    <m/>
    <n v="62"/>
    <n v="0.28000000000000003"/>
    <n v="17.36"/>
    <s v=""/>
    <x v="2"/>
    <x v="3"/>
    <x v="4"/>
  </r>
  <r>
    <s v="CLM103643"/>
    <s v="PT12356"/>
    <s v="P08"/>
    <x v="0"/>
    <x v="8"/>
    <n v="1"/>
    <d v="2025-11-17T00:00:00"/>
    <d v="2025-11-19T00:00:00"/>
    <n v="263.39"/>
    <n v="263.39"/>
    <n v="263.39"/>
    <n v="0"/>
    <s v="Paid"/>
    <s v=""/>
    <d v="2026-01-12T00:00:00"/>
    <d v="2026-01-12T00:00:00"/>
    <n v="260"/>
    <n v="1"/>
    <n v="260"/>
    <n v="-3.3899999999999864"/>
    <x v="0"/>
    <x v="7"/>
    <x v="3"/>
  </r>
  <r>
    <s v="CLM103644"/>
    <s v="PT12639"/>
    <s v="P07"/>
    <x v="2"/>
    <x v="2"/>
    <n v="4"/>
    <d v="2026-07-22T00:00:00"/>
    <d v="2026-07-24T00:00:00"/>
    <n v="245.17"/>
    <n v="76.849999999999994"/>
    <n v="76.849999999999994"/>
    <n v="0"/>
    <s v="Paid"/>
    <s v=""/>
    <d v="2026-09-27T00:00:00"/>
    <d v="2026-09-27T00:00:00"/>
    <n v="62"/>
    <n v="0.28000000000000003"/>
    <n v="69.44"/>
    <n v="-7.4099999999999966"/>
    <x v="0"/>
    <x v="3"/>
    <x v="1"/>
  </r>
  <r>
    <s v="CLM103645"/>
    <s v="PT11627"/>
    <s v="P05"/>
    <x v="3"/>
    <x v="7"/>
    <n v="1"/>
    <d v="2026-06-15T00:00:00"/>
    <d v="2026-06-16T00:00:00"/>
    <n v="209.93"/>
    <n v="86.59"/>
    <n v="69.27"/>
    <n v="17.32"/>
    <s v="Paid"/>
    <s v=""/>
    <d v="2026-09-17T00:00:00"/>
    <d v="2026-09-17T00:00:00"/>
    <n v="210"/>
    <n v="0.38"/>
    <n v="79.8"/>
    <n v="-6.7900000000000063"/>
    <x v="0"/>
    <x v="0"/>
    <x v="11"/>
  </r>
  <r>
    <s v="CLM103646"/>
    <s v="PT10606"/>
    <s v="P06"/>
    <x v="3"/>
    <x v="7"/>
    <n v="1"/>
    <d v="2026-05-03T00:00:00"/>
    <d v="2026-05-11T00:00:00"/>
    <n v="213.82"/>
    <n v="52.45"/>
    <n v="47.2"/>
    <n v="5.25"/>
    <s v="Paid"/>
    <s v=""/>
    <d v="2026-06-09T00:00:00"/>
    <d v="2026-06-09T00:00:00"/>
    <n v="210"/>
    <n v="0.27"/>
    <n v="56.7"/>
    <n v="4.25"/>
    <x v="1"/>
    <x v="2"/>
    <x v="7"/>
  </r>
  <r>
    <s v="CLM103647"/>
    <s v="PT11782"/>
    <s v="P06"/>
    <x v="0"/>
    <x v="0"/>
    <n v="1"/>
    <d v="2026-05-21T00:00:00"/>
    <d v="2026-05-22T00:00:00"/>
    <n v="141.72"/>
    <n v="37.630000000000003"/>
    <n v="30.1"/>
    <n v="7.53"/>
    <s v="Paid"/>
    <s v=""/>
    <d v="2026-06-28T00:00:00"/>
    <d v="2026-06-28T00:00:00"/>
    <n v="145"/>
    <n v="0.27"/>
    <n v="39.15"/>
    <n v="1.519999999999996"/>
    <x v="0"/>
    <x v="2"/>
    <x v="7"/>
  </r>
  <r>
    <s v="CLM103648"/>
    <s v="PT12694"/>
    <s v="P03"/>
    <x v="2"/>
    <x v="9"/>
    <n v="1"/>
    <d v="2026-04-23T00:00:00"/>
    <d v="2026-04-24T00:00:00"/>
    <n v="58.67"/>
    <m/>
    <m/>
    <m/>
    <s v="Denied"/>
    <s v="CO-27"/>
    <d v="2026-06-07T00:00:00"/>
    <m/>
    <n v="58"/>
    <n v="0.47"/>
    <n v="27.26"/>
    <s v=""/>
    <x v="2"/>
    <x v="4"/>
    <x v="10"/>
  </r>
  <r>
    <s v="CLM103649"/>
    <s v="PT11832"/>
    <s v="P03"/>
    <x v="1"/>
    <x v="10"/>
    <n v="1"/>
    <d v="2026-07-24T00:00:00"/>
    <d v="2026-08-04T00:00:00"/>
    <n v="1049.76"/>
    <m/>
    <m/>
    <m/>
    <s v="Denied"/>
    <s v="CO-11"/>
    <d v="2026-09-30T00:00:00"/>
    <m/>
    <n v="1050"/>
    <n v="0.47"/>
    <n v="493.5"/>
    <s v=""/>
    <x v="2"/>
    <x v="4"/>
    <x v="1"/>
  </r>
  <r>
    <s v="CLM103650"/>
    <s v="PT11986"/>
    <s v="P02"/>
    <x v="1"/>
    <x v="4"/>
    <n v="1"/>
    <d v="2026-08-31T00:00:00"/>
    <d v="2026-09-07T00:00:00"/>
    <n v="37.85"/>
    <n v="17.36"/>
    <n v="13.89"/>
    <n v="3.47"/>
    <s v="Paid"/>
    <s v=""/>
    <d v="2026-09-28T00:00:00"/>
    <d v="2026-09-28T00:00:00"/>
    <n v="38"/>
    <n v="0.43"/>
    <n v="16.34"/>
    <n v="-1.0199999999999996"/>
    <x v="0"/>
    <x v="6"/>
    <x v="4"/>
  </r>
  <r>
    <s v="CLM103651"/>
    <s v="PT11455"/>
    <s v="P06"/>
    <x v="1"/>
    <x v="11"/>
    <n v="1"/>
    <d v="2026-05-17T00:00:00"/>
    <d v="2026-05-20T00:00:00"/>
    <n v="1148.45"/>
    <n v="272.55"/>
    <n v="272.55"/>
    <n v="0"/>
    <s v="Paid"/>
    <s v=""/>
    <d v="2026-06-10T00:00:00"/>
    <d v="2026-06-10T00:00:00"/>
    <n v="1150"/>
    <n v="0.27"/>
    <n v="310.5"/>
    <n v="37.949999999999989"/>
    <x v="1"/>
    <x v="2"/>
    <x v="7"/>
  </r>
  <r>
    <s v="CLM103652"/>
    <s v="PT10146"/>
    <s v="P07"/>
    <x v="2"/>
    <x v="9"/>
    <n v="1"/>
    <d v="2025-10-29T00:00:00"/>
    <d v="2025-11-21T00:00:00"/>
    <n v="59.63"/>
    <n v="15.91"/>
    <n v="14.32"/>
    <n v="1.59"/>
    <s v="Paid"/>
    <s v=""/>
    <d v="2026-02-03T00:00:00"/>
    <d v="2026-02-03T00:00:00"/>
    <n v="58"/>
    <n v="0.28000000000000003"/>
    <n v="16.239999999999998"/>
    <n v="0.32999999999999829"/>
    <x v="0"/>
    <x v="3"/>
    <x v="9"/>
  </r>
  <r>
    <s v="CLM103653"/>
    <s v="PT13056"/>
    <s v="P03"/>
    <x v="0"/>
    <x v="8"/>
    <n v="1"/>
    <d v="2026-03-15T00:00:00"/>
    <d v="2026-03-17T00:00:00"/>
    <n v="254.26"/>
    <n v="119.79"/>
    <n v="107.81"/>
    <n v="11.98"/>
    <s v="Paid"/>
    <s v=""/>
    <d v="2026-04-28T00:00:00"/>
    <d v="2026-04-28T00:00:00"/>
    <n v="260"/>
    <n v="0.47"/>
    <n v="122.2"/>
    <n v="2.4099999999999966"/>
    <x v="0"/>
    <x v="4"/>
    <x v="2"/>
  </r>
  <r>
    <s v="CLM103654"/>
    <s v="PT13391"/>
    <s v="P02"/>
    <x v="0"/>
    <x v="8"/>
    <n v="1"/>
    <d v="2026-03-22T00:00:00"/>
    <d v="2026-03-27T00:00:00"/>
    <n v="263.27"/>
    <n v="124.22"/>
    <n v="124.22"/>
    <n v="0"/>
    <s v="Paid"/>
    <s v=""/>
    <d v="2026-04-28T00:00:00"/>
    <d v="2026-04-28T00:00:00"/>
    <n v="260"/>
    <n v="0.43"/>
    <n v="111.8"/>
    <n v="-12.420000000000002"/>
    <x v="0"/>
    <x v="6"/>
    <x v="2"/>
  </r>
  <r>
    <s v="CLM103655"/>
    <s v="PT11398"/>
    <s v="P08"/>
    <x v="1"/>
    <x v="11"/>
    <n v="1"/>
    <d v="2025-10-02T00:00:00"/>
    <d v="2025-10-19T00:00:00"/>
    <n v="1164.3900000000001"/>
    <m/>
    <m/>
    <m/>
    <s v="Denied"/>
    <s v="CO-50"/>
    <d v="2025-12-09T00:00:00"/>
    <m/>
    <n v="1150"/>
    <n v="1"/>
    <n v="1150"/>
    <s v=""/>
    <x v="2"/>
    <x v="7"/>
    <x v="9"/>
  </r>
  <r>
    <s v="CLM103656"/>
    <s v="PT12753"/>
    <s v="P03"/>
    <x v="3"/>
    <x v="7"/>
    <n v="1"/>
    <d v="2026-05-29T00:00:00"/>
    <d v="2026-06-01T00:00:00"/>
    <n v="215.4"/>
    <n v="108.32"/>
    <n v="97.49"/>
    <n v="10.83"/>
    <s v="Paid"/>
    <s v=""/>
    <d v="2026-07-18T00:00:00"/>
    <d v="2026-07-18T00:00:00"/>
    <n v="210"/>
    <n v="0.47"/>
    <n v="98.7"/>
    <n v="-9.6199999999999903"/>
    <x v="0"/>
    <x v="4"/>
    <x v="7"/>
  </r>
  <r>
    <s v="CLM103657"/>
    <s v="PT13346"/>
    <s v="P01"/>
    <x v="0"/>
    <x v="4"/>
    <n v="1"/>
    <d v="2026-07-12T00:00:00"/>
    <d v="2026-07-14T00:00:00"/>
    <n v="38.18"/>
    <n v="15.35"/>
    <n v="12.28"/>
    <n v="3.07"/>
    <s v="Paid"/>
    <s v=""/>
    <d v="2026-08-01T00:00:00"/>
    <d v="2026-08-01T00:00:00"/>
    <n v="38"/>
    <n v="0.45"/>
    <n v="17.100000000000001"/>
    <n v="1.7500000000000018"/>
    <x v="1"/>
    <x v="5"/>
    <x v="1"/>
  </r>
  <r>
    <s v="CLM103658"/>
    <s v="PT11082"/>
    <s v="P02"/>
    <x v="0"/>
    <x v="7"/>
    <n v="1"/>
    <d v="2026-05-05T00:00:00"/>
    <d v="2026-05-09T00:00:00"/>
    <n v="213.92"/>
    <n v="82.56"/>
    <n v="74.3"/>
    <n v="8.26"/>
    <s v="Paid"/>
    <s v=""/>
    <d v="2026-05-26T00:00:00"/>
    <d v="2026-05-26T00:00:00"/>
    <n v="210"/>
    <n v="0.43"/>
    <n v="90.3"/>
    <n v="7.7399999999999949"/>
    <x v="1"/>
    <x v="6"/>
    <x v="7"/>
  </r>
  <r>
    <s v="CLM103659"/>
    <s v="PT11770"/>
    <s v="P01"/>
    <x v="0"/>
    <x v="8"/>
    <n v="1"/>
    <d v="2026-04-03T00:00:00"/>
    <d v="2026-04-16T00:00:00"/>
    <n v="252.92"/>
    <n v="110.21"/>
    <n v="110.21"/>
    <n v="0"/>
    <s v="Paid"/>
    <s v=""/>
    <d v="2026-05-16T00:00:00"/>
    <d v="2026-05-16T00:00:00"/>
    <n v="260"/>
    <n v="0.45"/>
    <n v="117"/>
    <n v="6.7900000000000063"/>
    <x v="1"/>
    <x v="5"/>
    <x v="10"/>
  </r>
  <r>
    <s v="CLM103660"/>
    <s v="PT12401"/>
    <s v="P03"/>
    <x v="0"/>
    <x v="4"/>
    <n v="1"/>
    <d v="2026-05-28T00:00:00"/>
    <d v="2026-05-30T00:00:00"/>
    <n v="38.409999999999997"/>
    <n v="15.93"/>
    <n v="15.93"/>
    <n v="0"/>
    <s v="Paid"/>
    <s v=""/>
    <d v="2026-07-31T00:00:00"/>
    <d v="2026-07-31T00:00:00"/>
    <n v="38"/>
    <n v="0.47"/>
    <n v="17.86"/>
    <n v="1.9299999999999997"/>
    <x v="1"/>
    <x v="4"/>
    <x v="7"/>
  </r>
  <r>
    <s v="CLM103661"/>
    <s v="PT11405"/>
    <s v="P07"/>
    <x v="1"/>
    <x v="7"/>
    <n v="1"/>
    <d v="2026-05-08T00:00:00"/>
    <d v="2026-05-09T00:00:00"/>
    <n v="211.03"/>
    <n v="58.34"/>
    <n v="58.34"/>
    <n v="0"/>
    <s v="Paid"/>
    <s v=""/>
    <d v="2026-07-08T00:00:00"/>
    <d v="2026-07-08T00:00:00"/>
    <n v="210"/>
    <n v="0.28000000000000003"/>
    <n v="58.8"/>
    <n v="0.45999999999999375"/>
    <x v="0"/>
    <x v="3"/>
    <x v="7"/>
  </r>
  <r>
    <s v="CLM103662"/>
    <s v="PT10219"/>
    <s v="P01"/>
    <x v="0"/>
    <x v="8"/>
    <n v="1"/>
    <d v="2026-04-17T00:00:00"/>
    <d v="2026-04-19T00:00:00"/>
    <n v="261.66000000000003"/>
    <n v="118.85"/>
    <n v="118.85"/>
    <n v="0"/>
    <s v="Paid"/>
    <s v=""/>
    <d v="2026-05-07T00:00:00"/>
    <d v="2026-05-07T00:00:00"/>
    <n v="260"/>
    <n v="0.45"/>
    <n v="117"/>
    <n v="-1.8499999999999943"/>
    <x v="0"/>
    <x v="5"/>
    <x v="10"/>
  </r>
  <r>
    <s v="CLM103663"/>
    <s v="PT10579"/>
    <s v="P01"/>
    <x v="0"/>
    <x v="0"/>
    <n v="1"/>
    <d v="2025-11-02T00:00:00"/>
    <d v="2025-11-08T00:00:00"/>
    <n v="142.36000000000001"/>
    <n v="70.540000000000006"/>
    <n v="70.540000000000006"/>
    <n v="0"/>
    <s v="Paid"/>
    <s v=""/>
    <d v="2025-12-07T00:00:00"/>
    <d v="2025-12-07T00:00:00"/>
    <n v="145"/>
    <n v="0.45"/>
    <n v="65.25"/>
    <n v="-5.2900000000000063"/>
    <x v="0"/>
    <x v="5"/>
    <x v="3"/>
  </r>
  <r>
    <s v="CLM103664"/>
    <s v="PT10400"/>
    <s v="P03"/>
    <x v="1"/>
    <x v="5"/>
    <n v="1"/>
    <d v="2026-01-27T00:00:00"/>
    <d v="2026-02-14T00:00:00"/>
    <n v="4707.22"/>
    <n v="2373.6999999999998"/>
    <n v="2136.33"/>
    <n v="237.37"/>
    <s v="Paid"/>
    <s v=""/>
    <d v="2026-03-31T00:00:00"/>
    <d v="2026-03-31T00:00:00"/>
    <n v="4800"/>
    <n v="0.47"/>
    <n v="2256"/>
    <n v="-117.69999999999982"/>
    <x v="0"/>
    <x v="4"/>
    <x v="5"/>
  </r>
  <r>
    <s v="CLM103665"/>
    <s v="PT12641"/>
    <s v="P05"/>
    <x v="0"/>
    <x v="0"/>
    <n v="1"/>
    <d v="2026-09-10T00:00:00"/>
    <d v="2026-09-12T00:00:00"/>
    <n v="145.66999999999999"/>
    <m/>
    <m/>
    <m/>
    <s v="Pending"/>
    <s v=""/>
    <m/>
    <m/>
    <n v="145"/>
    <n v="0.38"/>
    <n v="55.1"/>
    <s v=""/>
    <x v="2"/>
    <x v="0"/>
    <x v="8"/>
  </r>
  <r>
    <s v="CLM103666"/>
    <s v="PT10386"/>
    <s v="P06"/>
    <x v="3"/>
    <x v="7"/>
    <n v="1"/>
    <d v="2026-05-04T00:00:00"/>
    <d v="2026-05-05T00:00:00"/>
    <n v="215.05"/>
    <m/>
    <m/>
    <m/>
    <s v="Denied"/>
    <s v="CO-16"/>
    <d v="2026-05-29T00:00:00"/>
    <m/>
    <n v="210"/>
    <n v="0.27"/>
    <n v="56.7"/>
    <s v=""/>
    <x v="2"/>
    <x v="2"/>
    <x v="7"/>
  </r>
  <r>
    <s v="CLM103667"/>
    <s v="PT12647"/>
    <s v="P06"/>
    <x v="3"/>
    <x v="3"/>
    <n v="5"/>
    <d v="2026-01-27T00:00:00"/>
    <d v="2026-01-31T00:00:00"/>
    <n v="7464.36"/>
    <n v="1972.88"/>
    <n v="1578.3"/>
    <n v="394.58"/>
    <s v="Paid"/>
    <s v=""/>
    <d v="2026-03-15T00:00:00"/>
    <d v="2026-03-15T00:00:00"/>
    <n v="1450"/>
    <n v="0.27"/>
    <n v="1957.5"/>
    <n v="-15.380000000000109"/>
    <x v="0"/>
    <x v="2"/>
    <x v="5"/>
  </r>
  <r>
    <s v="CLM103668"/>
    <s v="PT10651"/>
    <s v="P01"/>
    <x v="0"/>
    <x v="7"/>
    <n v="1"/>
    <d v="2026-02-26T00:00:00"/>
    <d v="2026-03-02T00:00:00"/>
    <n v="214.12"/>
    <n v="95.8"/>
    <n v="86.22"/>
    <n v="9.58"/>
    <s v="Paid"/>
    <s v=""/>
    <d v="2026-04-08T00:00:00"/>
    <d v="2026-04-08T00:00:00"/>
    <n v="210"/>
    <n v="0.45"/>
    <n v="94.5"/>
    <n v="-1.2999999999999972"/>
    <x v="0"/>
    <x v="5"/>
    <x v="0"/>
  </r>
  <r>
    <s v="CLM103669"/>
    <s v="PT10219"/>
    <s v="P02"/>
    <x v="0"/>
    <x v="8"/>
    <n v="1"/>
    <d v="2026-05-31T00:00:00"/>
    <d v="2026-06-02T00:00:00"/>
    <n v="263.42"/>
    <n v="117.16"/>
    <n v="105.44"/>
    <n v="11.72"/>
    <s v="Paid"/>
    <s v=""/>
    <d v="2026-06-24T00:00:00"/>
    <d v="2026-06-24T00:00:00"/>
    <n v="260"/>
    <n v="0.43"/>
    <n v="111.8"/>
    <n v="-5.3599999999999994"/>
    <x v="0"/>
    <x v="6"/>
    <x v="7"/>
  </r>
  <r>
    <s v="CLM103670"/>
    <s v="PT10648"/>
    <s v="P06"/>
    <x v="3"/>
    <x v="3"/>
    <n v="30"/>
    <d v="2025-12-31T00:00:00"/>
    <d v="2026-01-01T00:00:00"/>
    <n v="43434.48"/>
    <n v="13534.93"/>
    <n v="10827.94"/>
    <n v="2706.99"/>
    <s v="Paid"/>
    <s v=""/>
    <d v="2026-01-21T00:00:00"/>
    <d v="2026-01-21T00:00:00"/>
    <n v="1450"/>
    <n v="0.27"/>
    <n v="11745"/>
    <n v="-1789.9300000000003"/>
    <x v="0"/>
    <x v="2"/>
    <x v="6"/>
  </r>
  <r>
    <s v="CLM103671"/>
    <s v="PT12767"/>
    <s v="P02"/>
    <x v="0"/>
    <x v="8"/>
    <n v="1"/>
    <d v="2025-12-20T00:00:00"/>
    <d v="2025-12-24T00:00:00"/>
    <n v="258.82"/>
    <n v="123.1"/>
    <n v="110.79"/>
    <n v="12.31"/>
    <s v="Paid"/>
    <s v=""/>
    <d v="2026-01-16T00:00:00"/>
    <d v="2026-01-16T00:00:00"/>
    <n v="260"/>
    <n v="0.43"/>
    <n v="111.8"/>
    <n v="-11.299999999999997"/>
    <x v="0"/>
    <x v="6"/>
    <x v="6"/>
  </r>
  <r>
    <s v="CLM103672"/>
    <s v="PT12435"/>
    <s v="P02"/>
    <x v="3"/>
    <x v="7"/>
    <n v="1"/>
    <d v="2026-05-27T00:00:00"/>
    <d v="2026-06-09T00:00:00"/>
    <n v="205.51"/>
    <n v="95.02"/>
    <n v="85.52"/>
    <n v="9.5"/>
    <s v="Paid"/>
    <s v=""/>
    <d v="2026-06-21T00:00:00"/>
    <d v="2026-06-21T00:00:00"/>
    <n v="210"/>
    <n v="0.43"/>
    <n v="90.3"/>
    <n v="-4.7199999999999989"/>
    <x v="0"/>
    <x v="6"/>
    <x v="7"/>
  </r>
  <r>
    <s v="CLM103673"/>
    <s v="PT12525"/>
    <s v="P06"/>
    <x v="1"/>
    <x v="7"/>
    <n v="1"/>
    <d v="2026-05-12T00:00:00"/>
    <d v="2026-05-15T00:00:00"/>
    <n v="209.27"/>
    <n v="56.47"/>
    <n v="45.18"/>
    <n v="11.29"/>
    <s v="Paid"/>
    <s v=""/>
    <d v="2026-06-25T00:00:00"/>
    <d v="2026-06-25T00:00:00"/>
    <n v="210"/>
    <n v="0.27"/>
    <n v="56.7"/>
    <n v="0.23000000000000398"/>
    <x v="0"/>
    <x v="2"/>
    <x v="7"/>
  </r>
  <r>
    <s v="CLM103674"/>
    <s v="PT13419"/>
    <s v="P01"/>
    <x v="1"/>
    <x v="11"/>
    <n v="1"/>
    <d v="2026-04-13T00:00:00"/>
    <d v="2026-04-21T00:00:00"/>
    <n v="1164.1400000000001"/>
    <m/>
    <m/>
    <m/>
    <s v="Denied"/>
    <s v="CO-197"/>
    <d v="2026-05-21T00:00:00"/>
    <m/>
    <n v="1150"/>
    <n v="0.45"/>
    <n v="517.5"/>
    <s v=""/>
    <x v="2"/>
    <x v="5"/>
    <x v="10"/>
  </r>
  <r>
    <s v="CLM103675"/>
    <s v="PT10032"/>
    <s v="P03"/>
    <x v="1"/>
    <x v="11"/>
    <n v="1"/>
    <d v="2025-11-08T00:00:00"/>
    <d v="2025-11-09T00:00:00"/>
    <n v="1161.43"/>
    <m/>
    <m/>
    <m/>
    <s v="Denied"/>
    <s v="CO-197"/>
    <d v="2025-12-12T00:00:00"/>
    <m/>
    <n v="1150"/>
    <n v="0.47"/>
    <n v="540.5"/>
    <s v=""/>
    <x v="2"/>
    <x v="4"/>
    <x v="3"/>
  </r>
  <r>
    <s v="CLM103676"/>
    <s v="PT11301"/>
    <s v="P06"/>
    <x v="2"/>
    <x v="2"/>
    <n v="2"/>
    <d v="2026-02-05T00:00:00"/>
    <d v="2026-02-16T00:00:00"/>
    <n v="120.7"/>
    <n v="36.880000000000003"/>
    <n v="33.19"/>
    <n v="3.69"/>
    <s v="Paid"/>
    <s v=""/>
    <d v="2026-03-24T00:00:00"/>
    <d v="2026-03-24T00:00:00"/>
    <n v="62"/>
    <n v="0.27"/>
    <n v="33.479999999999997"/>
    <n v="-3.4000000000000057"/>
    <x v="0"/>
    <x v="2"/>
    <x v="0"/>
  </r>
  <r>
    <s v="CLM103677"/>
    <s v="PT11237"/>
    <s v="P01"/>
    <x v="1"/>
    <x v="1"/>
    <n v="1"/>
    <d v="2026-01-16T00:00:00"/>
    <d v="2026-01-21T00:00:00"/>
    <n v="245.8"/>
    <m/>
    <m/>
    <m/>
    <s v="Denied"/>
    <s v="CO-16"/>
    <d v="2026-02-26T00:00:00"/>
    <m/>
    <n v="240"/>
    <n v="0.45"/>
    <n v="108"/>
    <s v=""/>
    <x v="2"/>
    <x v="5"/>
    <x v="5"/>
  </r>
  <r>
    <s v="CLM103678"/>
    <s v="PT11847"/>
    <s v="P03"/>
    <x v="1"/>
    <x v="7"/>
    <n v="1"/>
    <d v="2026-09-21T00:00:00"/>
    <d v="2026-09-26T00:00:00"/>
    <n v="204.28"/>
    <m/>
    <m/>
    <m/>
    <s v="Pending"/>
    <s v=""/>
    <m/>
    <m/>
    <n v="210"/>
    <n v="0.47"/>
    <n v="98.7"/>
    <s v=""/>
    <x v="2"/>
    <x v="4"/>
    <x v="8"/>
  </r>
  <r>
    <s v="CLM103679"/>
    <s v="PT10872"/>
    <s v="P06"/>
    <x v="0"/>
    <x v="0"/>
    <n v="1"/>
    <d v="2026-01-28T00:00:00"/>
    <d v="2026-02-09T00:00:00"/>
    <n v="140.71"/>
    <n v="40.36"/>
    <n v="32.29"/>
    <n v="8.07"/>
    <s v="Paid"/>
    <s v=""/>
    <d v="2026-03-18T00:00:00"/>
    <d v="2026-03-18T00:00:00"/>
    <n v="145"/>
    <n v="0.27"/>
    <n v="39.15"/>
    <n v="-1.2100000000000009"/>
    <x v="0"/>
    <x v="2"/>
    <x v="5"/>
  </r>
  <r>
    <s v="CLM103680"/>
    <s v="PT12317"/>
    <s v="P06"/>
    <x v="0"/>
    <x v="7"/>
    <n v="1"/>
    <d v="2026-06-04T00:00:00"/>
    <d v="2026-06-09T00:00:00"/>
    <n v="213.92"/>
    <m/>
    <m/>
    <m/>
    <s v="Denied"/>
    <s v="CO-18"/>
    <d v="2026-07-03T00:00:00"/>
    <m/>
    <n v="210"/>
    <n v="0.27"/>
    <n v="56.7"/>
    <s v=""/>
    <x v="2"/>
    <x v="2"/>
    <x v="11"/>
  </r>
  <r>
    <s v="CLM103681"/>
    <s v="PT12147"/>
    <s v="P06"/>
    <x v="2"/>
    <x v="0"/>
    <n v="1"/>
    <d v="2025-12-21T00:00:00"/>
    <d v="2025-12-26T00:00:00"/>
    <n v="148.91"/>
    <n v="39.15"/>
    <n v="39.15"/>
    <n v="0"/>
    <s v="Paid"/>
    <s v=""/>
    <d v="2026-01-10T00:00:00"/>
    <d v="2026-01-10T00:00:00"/>
    <n v="145"/>
    <n v="0.27"/>
    <n v="39.15"/>
    <n v="0"/>
    <x v="0"/>
    <x v="2"/>
    <x v="6"/>
  </r>
  <r>
    <s v="CLM103682"/>
    <s v="PT11109"/>
    <s v="P06"/>
    <x v="0"/>
    <x v="8"/>
    <n v="1"/>
    <d v="2026-07-31T00:00:00"/>
    <d v="2026-08-03T00:00:00"/>
    <n v="258.85000000000002"/>
    <m/>
    <m/>
    <m/>
    <s v="Pending"/>
    <s v=""/>
    <m/>
    <m/>
    <n v="260"/>
    <n v="0.27"/>
    <n v="70.2"/>
    <s v=""/>
    <x v="2"/>
    <x v="2"/>
    <x v="1"/>
  </r>
  <r>
    <s v="CLM103683"/>
    <s v="PT13220"/>
    <s v="P05"/>
    <x v="1"/>
    <x v="1"/>
    <n v="1"/>
    <d v="2026-02-19T00:00:00"/>
    <d v="2026-02-20T00:00:00"/>
    <n v="244.73"/>
    <n v="99.76"/>
    <n v="99.76"/>
    <n v="0"/>
    <s v="Paid"/>
    <s v=""/>
    <d v="2026-03-10T00:00:00"/>
    <d v="2026-03-10T00:00:00"/>
    <n v="240"/>
    <n v="0.38"/>
    <n v="91.2"/>
    <n v="-8.5600000000000023"/>
    <x v="0"/>
    <x v="0"/>
    <x v="0"/>
  </r>
  <r>
    <s v="CLM103684"/>
    <s v="PT10238"/>
    <s v="P02"/>
    <x v="1"/>
    <x v="11"/>
    <n v="1"/>
    <d v="2025-11-12T00:00:00"/>
    <d v="2025-11-18T00:00:00"/>
    <n v="1177.2"/>
    <n v="535.78"/>
    <n v="428.62"/>
    <n v="107.16"/>
    <s v="Paid"/>
    <s v=""/>
    <d v="2025-12-12T00:00:00"/>
    <d v="2025-12-12T00:00:00"/>
    <n v="1150"/>
    <n v="0.43"/>
    <n v="494.5"/>
    <n v="-41.279999999999973"/>
    <x v="0"/>
    <x v="6"/>
    <x v="3"/>
  </r>
  <r>
    <s v="CLM103685"/>
    <s v="PT12486"/>
    <s v="P03"/>
    <x v="2"/>
    <x v="2"/>
    <n v="1"/>
    <d v="2026-08-04T00:00:00"/>
    <d v="2026-08-09T00:00:00"/>
    <n v="63.11"/>
    <n v="32.200000000000003"/>
    <n v="25.76"/>
    <n v="6.44"/>
    <s v="Paid"/>
    <s v=""/>
    <d v="2026-09-17T00:00:00"/>
    <d v="2026-09-17T00:00:00"/>
    <n v="62"/>
    <n v="0.47"/>
    <n v="29.14"/>
    <n v="-3.0600000000000023"/>
    <x v="0"/>
    <x v="4"/>
    <x v="4"/>
  </r>
  <r>
    <s v="CLM103686"/>
    <s v="PT10692"/>
    <s v="P06"/>
    <x v="0"/>
    <x v="0"/>
    <n v="1"/>
    <d v="2026-02-09T00:00:00"/>
    <d v="2026-02-17T00:00:00"/>
    <n v="148.59"/>
    <n v="35.75"/>
    <n v="32.17"/>
    <n v="3.58"/>
    <s v="Paid"/>
    <s v=""/>
    <d v="2026-03-27T00:00:00"/>
    <d v="2026-03-27T00:00:00"/>
    <n v="145"/>
    <n v="0.27"/>
    <n v="39.15"/>
    <n v="3.3999999999999986"/>
    <x v="1"/>
    <x v="2"/>
    <x v="0"/>
  </r>
  <r>
    <s v="CLM103687"/>
    <s v="PT13100"/>
    <s v="P07"/>
    <x v="1"/>
    <x v="10"/>
    <n v="1"/>
    <d v="2025-10-30T00:00:00"/>
    <d v="2025-11-08T00:00:00"/>
    <n v="1042.8699999999999"/>
    <n v="308.36"/>
    <n v="246.69"/>
    <n v="61.67"/>
    <s v="Paid"/>
    <s v=""/>
    <d v="2026-01-08T00:00:00"/>
    <d v="2026-01-08T00:00:00"/>
    <n v="1050"/>
    <n v="0.28000000000000003"/>
    <n v="294"/>
    <n v="-14.360000000000014"/>
    <x v="0"/>
    <x v="3"/>
    <x v="9"/>
  </r>
  <r>
    <s v="CLM103688"/>
    <s v="PT11229"/>
    <s v="P05"/>
    <x v="1"/>
    <x v="4"/>
    <n v="1"/>
    <d v="2026-03-22T00:00:00"/>
    <d v="2026-03-31T00:00:00"/>
    <n v="38.799999999999997"/>
    <n v="13.27"/>
    <n v="13.27"/>
    <n v="0"/>
    <s v="Paid"/>
    <s v=""/>
    <d v="2026-05-23T00:00:00"/>
    <d v="2026-05-23T00:00:00"/>
    <n v="38"/>
    <n v="0.38"/>
    <n v="14.44"/>
    <n v="1.17"/>
    <x v="1"/>
    <x v="0"/>
    <x v="2"/>
  </r>
  <r>
    <s v="CLM103689"/>
    <s v="PT11352"/>
    <s v="P02"/>
    <x v="0"/>
    <x v="0"/>
    <n v="1"/>
    <d v="2026-04-07T00:00:00"/>
    <d v="2026-04-08T00:00:00"/>
    <n v="149.04"/>
    <m/>
    <m/>
    <m/>
    <s v="Denied"/>
    <s v="CO-27"/>
    <d v="2026-05-05T00:00:00"/>
    <m/>
    <n v="145"/>
    <n v="0.43"/>
    <n v="62.35"/>
    <s v=""/>
    <x v="2"/>
    <x v="6"/>
    <x v="10"/>
  </r>
  <r>
    <s v="CLM103690"/>
    <s v="PT12556"/>
    <s v="P06"/>
    <x v="0"/>
    <x v="4"/>
    <n v="1"/>
    <d v="2026-03-16T00:00:00"/>
    <d v="2026-03-18T00:00:00"/>
    <n v="38.880000000000003"/>
    <n v="9.16"/>
    <n v="9.16"/>
    <n v="0"/>
    <s v="Paid"/>
    <s v=""/>
    <d v="2026-04-16T00:00:00"/>
    <d v="2026-04-16T00:00:00"/>
    <n v="38"/>
    <n v="0.27"/>
    <n v="10.26"/>
    <n v="1.0999999999999996"/>
    <x v="1"/>
    <x v="2"/>
    <x v="2"/>
  </r>
  <r>
    <s v="CLM103691"/>
    <s v="PT11345"/>
    <s v="P05"/>
    <x v="2"/>
    <x v="9"/>
    <n v="2"/>
    <d v="2026-04-26T00:00:00"/>
    <d v="2026-04-27T00:00:00"/>
    <n v="118.03"/>
    <n v="50.04"/>
    <n v="50.04"/>
    <n v="0"/>
    <s v="Paid"/>
    <s v=""/>
    <d v="2026-07-30T00:00:00"/>
    <d v="2026-07-30T00:00:00"/>
    <n v="58"/>
    <n v="0.38"/>
    <n v="44.08"/>
    <n v="-5.9600000000000009"/>
    <x v="0"/>
    <x v="0"/>
    <x v="10"/>
  </r>
  <r>
    <s v="CLM103692"/>
    <s v="PT10585"/>
    <s v="P03"/>
    <x v="2"/>
    <x v="2"/>
    <n v="4"/>
    <d v="2026-06-20T00:00:00"/>
    <d v="2026-06-26T00:00:00"/>
    <n v="246.74"/>
    <n v="130.29"/>
    <n v="117.26"/>
    <n v="13.03"/>
    <s v="Paid"/>
    <s v=""/>
    <d v="2026-08-23T00:00:00"/>
    <d v="2026-08-23T00:00:00"/>
    <n v="62"/>
    <n v="0.47"/>
    <n v="116.56"/>
    <n v="-13.72999999999999"/>
    <x v="0"/>
    <x v="4"/>
    <x v="11"/>
  </r>
  <r>
    <s v="CLM103693"/>
    <s v="PT11823"/>
    <s v="P05"/>
    <x v="1"/>
    <x v="10"/>
    <n v="1"/>
    <d v="2026-09-06T00:00:00"/>
    <d v="2026-09-08T00:00:00"/>
    <n v="1050.31"/>
    <m/>
    <m/>
    <m/>
    <s v="Pending"/>
    <s v=""/>
    <m/>
    <m/>
    <n v="1050"/>
    <n v="0.38"/>
    <n v="399"/>
    <s v=""/>
    <x v="2"/>
    <x v="0"/>
    <x v="8"/>
  </r>
  <r>
    <s v="CLM103694"/>
    <s v="PT12441"/>
    <s v="P04"/>
    <x v="2"/>
    <x v="0"/>
    <n v="1"/>
    <d v="2026-05-13T00:00:00"/>
    <d v="2026-05-14T00:00:00"/>
    <n v="146.33000000000001"/>
    <n v="48.09"/>
    <n v="48.09"/>
    <n v="0"/>
    <s v="Paid"/>
    <s v=""/>
    <d v="2026-05-28T00:00:00"/>
    <d v="2026-05-28T00:00:00"/>
    <n v="145"/>
    <n v="0.36"/>
    <n v="52.2"/>
    <n v="4.1099999999999994"/>
    <x v="1"/>
    <x v="1"/>
    <x v="7"/>
  </r>
  <r>
    <s v="CLM103695"/>
    <s v="PT10154"/>
    <s v="P02"/>
    <x v="3"/>
    <x v="6"/>
    <n v="1"/>
    <d v="2025-11-23T00:00:00"/>
    <d v="2025-11-25T00:00:00"/>
    <n v="424.62"/>
    <m/>
    <m/>
    <m/>
    <s v="Denied"/>
    <s v="CO-50"/>
    <d v="2026-01-04T00:00:00"/>
    <m/>
    <n v="420"/>
    <n v="0.43"/>
    <n v="180.6"/>
    <s v=""/>
    <x v="2"/>
    <x v="6"/>
    <x v="3"/>
  </r>
  <r>
    <s v="CLM103696"/>
    <s v="PT11506"/>
    <s v="P05"/>
    <x v="2"/>
    <x v="9"/>
    <n v="4"/>
    <d v="2025-11-26T00:00:00"/>
    <d v="2026-03-29T00:00:00"/>
    <n v="235.38"/>
    <m/>
    <m/>
    <m/>
    <s v="Denied"/>
    <s v="CO-29"/>
    <d v="2026-05-25T00:00:00"/>
    <m/>
    <n v="58"/>
    <n v="0.38"/>
    <n v="88.16"/>
    <s v=""/>
    <x v="2"/>
    <x v="0"/>
    <x v="3"/>
  </r>
  <r>
    <s v="CLM103697"/>
    <s v="PT10537"/>
    <s v="P01"/>
    <x v="0"/>
    <x v="4"/>
    <n v="1"/>
    <d v="2026-08-17T00:00:00"/>
    <d v="2026-08-20T00:00:00"/>
    <n v="37.840000000000003"/>
    <n v="16.68"/>
    <n v="13.34"/>
    <n v="3.34"/>
    <s v="Paid"/>
    <s v=""/>
    <d v="2026-09-23T00:00:00"/>
    <d v="2026-09-23T00:00:00"/>
    <n v="38"/>
    <n v="0.45"/>
    <n v="17.100000000000001"/>
    <n v="0.42000000000000171"/>
    <x v="0"/>
    <x v="5"/>
    <x v="4"/>
  </r>
  <r>
    <s v="CLM103698"/>
    <s v="PT10453"/>
    <s v="P05"/>
    <x v="3"/>
    <x v="7"/>
    <n v="1"/>
    <d v="2025-12-30T00:00:00"/>
    <d v="2026-01-01T00:00:00"/>
    <n v="210.67"/>
    <n v="70.989999999999995"/>
    <n v="70.989999999999995"/>
    <n v="0"/>
    <s v="Paid"/>
    <s v=""/>
    <d v="2026-03-04T00:00:00"/>
    <d v="2026-03-04T00:00:00"/>
    <n v="210"/>
    <n v="0.38"/>
    <n v="79.8"/>
    <n v="8.8100000000000023"/>
    <x v="1"/>
    <x v="0"/>
    <x v="6"/>
  </r>
  <r>
    <s v="CLM103699"/>
    <s v="PT11148"/>
    <s v="P07"/>
    <x v="0"/>
    <x v="4"/>
    <n v="1"/>
    <d v="2026-04-05T00:00:00"/>
    <d v="2026-04-09T00:00:00"/>
    <n v="38.28"/>
    <m/>
    <m/>
    <m/>
    <s v="Denied"/>
    <s v="CO-50"/>
    <d v="2026-07-22T00:00:00"/>
    <m/>
    <n v="38"/>
    <n v="0.28000000000000003"/>
    <n v="10.64"/>
    <s v=""/>
    <x v="2"/>
    <x v="3"/>
    <x v="10"/>
  </r>
  <r>
    <s v="CLM103700"/>
    <s v="PT12572"/>
    <s v="P05"/>
    <x v="1"/>
    <x v="1"/>
    <n v="1"/>
    <d v="2025-11-22T00:00:00"/>
    <d v="2025-11-28T00:00:00"/>
    <n v="235.26"/>
    <n v="92.34"/>
    <n v="73.87"/>
    <n v="18.47"/>
    <s v="Paid"/>
    <s v=""/>
    <d v="2026-01-17T00:00:00"/>
    <d v="2026-01-17T00:00:00"/>
    <n v="240"/>
    <n v="0.38"/>
    <n v="91.2"/>
    <n v="-1.1400000000000006"/>
    <x v="0"/>
    <x v="0"/>
    <x v="3"/>
  </r>
  <r>
    <s v="CLM103701"/>
    <s v="PT10249"/>
    <s v="P04"/>
    <x v="2"/>
    <x v="9"/>
    <n v="3"/>
    <d v="2026-07-01T00:00:00"/>
    <d v="2026-07-02T00:00:00"/>
    <n v="169.09"/>
    <n v="59.07"/>
    <n v="59.07"/>
    <n v="0"/>
    <s v="Paid"/>
    <s v=""/>
    <d v="2026-07-24T00:00:00"/>
    <d v="2026-07-24T00:00:00"/>
    <n v="58"/>
    <n v="0.36"/>
    <n v="62.64"/>
    <n v="3.5700000000000003"/>
    <x v="1"/>
    <x v="1"/>
    <x v="1"/>
  </r>
  <r>
    <s v="CLM103702"/>
    <s v="PT12658"/>
    <s v="P01"/>
    <x v="0"/>
    <x v="4"/>
    <n v="1"/>
    <d v="2025-10-08T00:00:00"/>
    <d v="2025-10-12T00:00:00"/>
    <n v="38.82"/>
    <n v="17.420000000000002"/>
    <n v="13.94"/>
    <n v="3.48"/>
    <s v="Paid"/>
    <s v=""/>
    <d v="2025-10-31T00:00:00"/>
    <d v="2025-10-31T00:00:00"/>
    <n v="38"/>
    <n v="0.45"/>
    <n v="17.100000000000001"/>
    <n v="-0.32000000000000028"/>
    <x v="0"/>
    <x v="5"/>
    <x v="9"/>
  </r>
  <r>
    <s v="CLM103703"/>
    <s v="PT11440"/>
    <s v="P05"/>
    <x v="1"/>
    <x v="8"/>
    <n v="1"/>
    <d v="2026-04-22T00:00:00"/>
    <d v="2026-04-25T00:00:00"/>
    <n v="263.41000000000003"/>
    <m/>
    <m/>
    <m/>
    <s v="Denied"/>
    <s v="CO-27"/>
    <d v="2026-05-23T00:00:00"/>
    <m/>
    <n v="260"/>
    <n v="0.38"/>
    <n v="98.8"/>
    <s v=""/>
    <x v="2"/>
    <x v="0"/>
    <x v="10"/>
  </r>
  <r>
    <s v="CLM103704"/>
    <s v="PT12218"/>
    <s v="P01"/>
    <x v="0"/>
    <x v="8"/>
    <n v="1"/>
    <d v="2026-05-13T00:00:00"/>
    <d v="2026-05-19T00:00:00"/>
    <n v="266.22000000000003"/>
    <n v="116.57"/>
    <n v="104.91"/>
    <n v="11.66"/>
    <s v="Paid"/>
    <s v=""/>
    <d v="2026-06-24T00:00:00"/>
    <d v="2026-06-24T00:00:00"/>
    <n v="260"/>
    <n v="0.45"/>
    <n v="117"/>
    <n v="0.43000000000000682"/>
    <x v="0"/>
    <x v="5"/>
    <x v="7"/>
  </r>
  <r>
    <s v="CLM103705"/>
    <s v="PT13315"/>
    <s v="P01"/>
    <x v="2"/>
    <x v="0"/>
    <n v="1"/>
    <d v="2025-10-28T00:00:00"/>
    <d v="2025-10-30T00:00:00"/>
    <n v="141.80000000000001"/>
    <n v="63.58"/>
    <n v="63.58"/>
    <n v="0"/>
    <s v="Paid"/>
    <s v=""/>
    <d v="2025-11-26T00:00:00"/>
    <d v="2025-11-26T00:00:00"/>
    <n v="145"/>
    <n v="0.45"/>
    <n v="65.25"/>
    <n v="1.6700000000000017"/>
    <x v="0"/>
    <x v="5"/>
    <x v="9"/>
  </r>
  <r>
    <s v="CLM103706"/>
    <s v="PT12290"/>
    <s v="P01"/>
    <x v="1"/>
    <x v="7"/>
    <n v="1"/>
    <d v="2026-02-19T00:00:00"/>
    <d v="2026-02-26T00:00:00"/>
    <n v="208.23"/>
    <n v="105.76"/>
    <n v="84.61"/>
    <n v="21.15"/>
    <s v="Paid"/>
    <s v=""/>
    <d v="2026-03-20T00:00:00"/>
    <d v="2026-03-20T00:00:00"/>
    <n v="210"/>
    <n v="0.45"/>
    <n v="94.5"/>
    <n v="-11.260000000000005"/>
    <x v="0"/>
    <x v="5"/>
    <x v="0"/>
  </r>
  <r>
    <s v="CLM103707"/>
    <s v="PT11177"/>
    <s v="P06"/>
    <x v="2"/>
    <x v="9"/>
    <n v="3"/>
    <d v="2026-08-29T00:00:00"/>
    <d v="2026-08-30T00:00:00"/>
    <n v="173.98"/>
    <m/>
    <m/>
    <m/>
    <s v="Pending"/>
    <s v=""/>
    <m/>
    <m/>
    <n v="58"/>
    <n v="0.27"/>
    <n v="46.98"/>
    <s v=""/>
    <x v="2"/>
    <x v="2"/>
    <x v="4"/>
  </r>
  <r>
    <s v="CLM103708"/>
    <s v="PT13488"/>
    <s v="P08"/>
    <x v="2"/>
    <x v="2"/>
    <n v="1"/>
    <d v="2026-08-24T00:00:00"/>
    <d v="2026-08-26T00:00:00"/>
    <n v="61.77"/>
    <m/>
    <m/>
    <m/>
    <s v="Pending"/>
    <s v=""/>
    <m/>
    <m/>
    <n v="62"/>
    <n v="1"/>
    <n v="62"/>
    <s v=""/>
    <x v="2"/>
    <x v="7"/>
    <x v="4"/>
  </r>
  <r>
    <s v="CLM103709"/>
    <s v="PT12662"/>
    <s v="P01"/>
    <x v="3"/>
    <x v="7"/>
    <n v="1"/>
    <d v="2025-10-14T00:00:00"/>
    <d v="2025-10-16T00:00:00"/>
    <n v="213.23"/>
    <m/>
    <m/>
    <m/>
    <s v="Denied"/>
    <s v="CO-11"/>
    <d v="2025-11-07T00:00:00"/>
    <m/>
    <n v="210"/>
    <n v="0.45"/>
    <n v="94.5"/>
    <s v=""/>
    <x v="2"/>
    <x v="5"/>
    <x v="9"/>
  </r>
  <r>
    <s v="CLM103710"/>
    <s v="PT11165"/>
    <s v="P04"/>
    <x v="1"/>
    <x v="1"/>
    <n v="1"/>
    <d v="2026-08-18T00:00:00"/>
    <d v="2026-08-19T00:00:00"/>
    <n v="239.95"/>
    <n v="96.12"/>
    <n v="96.12"/>
    <n v="0"/>
    <s v="Paid"/>
    <s v=""/>
    <d v="2026-09-03T00:00:00"/>
    <d v="2026-09-03T00:00:00"/>
    <n v="240"/>
    <n v="0.36"/>
    <n v="86.4"/>
    <n v="-9.7199999999999989"/>
    <x v="0"/>
    <x v="1"/>
    <x v="4"/>
  </r>
  <r>
    <s v="CLM103711"/>
    <s v="PT10993"/>
    <s v="P08"/>
    <x v="1"/>
    <x v="1"/>
    <n v="1"/>
    <d v="2026-08-22T00:00:00"/>
    <d v="2026-08-24T00:00:00"/>
    <n v="244.76"/>
    <m/>
    <m/>
    <m/>
    <s v="Pending"/>
    <s v=""/>
    <m/>
    <m/>
    <n v="240"/>
    <n v="1"/>
    <n v="240"/>
    <s v=""/>
    <x v="2"/>
    <x v="7"/>
    <x v="4"/>
  </r>
  <r>
    <s v="CLM103712"/>
    <s v="PT12808"/>
    <s v="P01"/>
    <x v="1"/>
    <x v="10"/>
    <n v="1"/>
    <d v="2026-06-08T00:00:00"/>
    <d v="2026-06-12T00:00:00"/>
    <n v="1059.76"/>
    <m/>
    <m/>
    <m/>
    <s v="Denied"/>
    <s v="CO-50"/>
    <d v="2026-07-14T00:00:00"/>
    <m/>
    <n v="1050"/>
    <n v="0.45"/>
    <n v="472.5"/>
    <s v=""/>
    <x v="2"/>
    <x v="5"/>
    <x v="11"/>
  </r>
  <r>
    <s v="CLM103713"/>
    <s v="PT11223"/>
    <s v="P06"/>
    <x v="1"/>
    <x v="4"/>
    <n v="1"/>
    <d v="2025-11-30T00:00:00"/>
    <d v="2025-12-04T00:00:00"/>
    <n v="38.9"/>
    <n v="11.86"/>
    <n v="10.67"/>
    <n v="1.19"/>
    <s v="Paid"/>
    <s v=""/>
    <d v="2026-01-18T00:00:00"/>
    <d v="2026-01-18T00:00:00"/>
    <n v="38"/>
    <n v="0.27"/>
    <n v="10.26"/>
    <n v="-1.5999999999999996"/>
    <x v="0"/>
    <x v="2"/>
    <x v="3"/>
  </r>
  <r>
    <s v="CLM103714"/>
    <s v="PT11410"/>
    <s v="P04"/>
    <x v="0"/>
    <x v="0"/>
    <n v="1"/>
    <d v="2026-01-01T00:00:00"/>
    <d v="2026-01-02T00:00:00"/>
    <n v="144.87"/>
    <n v="46.71"/>
    <n v="46.71"/>
    <n v="0"/>
    <s v="Paid"/>
    <s v=""/>
    <d v="2026-01-19T00:00:00"/>
    <d v="2026-01-19T00:00:00"/>
    <n v="145"/>
    <n v="0.36"/>
    <n v="52.2"/>
    <n v="5.490000000000002"/>
    <x v="1"/>
    <x v="1"/>
    <x v="5"/>
  </r>
  <r>
    <s v="CLM103715"/>
    <s v="PT10479"/>
    <s v="P01"/>
    <x v="1"/>
    <x v="7"/>
    <n v="1"/>
    <d v="2026-09-21T00:00:00"/>
    <d v="2026-09-25T00:00:00"/>
    <n v="205.46"/>
    <m/>
    <m/>
    <m/>
    <s v="Pending"/>
    <s v=""/>
    <m/>
    <m/>
    <n v="210"/>
    <n v="0.45"/>
    <n v="94.5"/>
    <s v=""/>
    <x v="2"/>
    <x v="5"/>
    <x v="8"/>
  </r>
  <r>
    <s v="CLM103716"/>
    <s v="PT10500"/>
    <s v="P02"/>
    <x v="1"/>
    <x v="7"/>
    <n v="1"/>
    <d v="2025-11-11T00:00:00"/>
    <d v="2025-11-14T00:00:00"/>
    <n v="204.86"/>
    <n v="92.28"/>
    <n v="83.05"/>
    <n v="9.23"/>
    <s v="Paid"/>
    <s v=""/>
    <d v="2025-12-24T00:00:00"/>
    <d v="2025-12-24T00:00:00"/>
    <n v="210"/>
    <n v="0.43"/>
    <n v="90.3"/>
    <n v="-1.980000000000004"/>
    <x v="0"/>
    <x v="6"/>
    <x v="3"/>
  </r>
  <r>
    <s v="CLM103717"/>
    <s v="PT11469"/>
    <s v="P04"/>
    <x v="1"/>
    <x v="5"/>
    <n v="1"/>
    <d v="2026-09-20T00:00:00"/>
    <d v="2026-09-24T00:00:00"/>
    <n v="4690.66"/>
    <m/>
    <m/>
    <m/>
    <s v="Pending"/>
    <s v=""/>
    <m/>
    <m/>
    <n v="4800"/>
    <n v="0.36"/>
    <n v="1728"/>
    <s v=""/>
    <x v="2"/>
    <x v="1"/>
    <x v="8"/>
  </r>
  <r>
    <s v="CLM103718"/>
    <s v="PT11530"/>
    <s v="P01"/>
    <x v="3"/>
    <x v="6"/>
    <n v="1"/>
    <d v="2025-10-12T00:00:00"/>
    <d v="2025-10-24T00:00:00"/>
    <n v="431.79"/>
    <m/>
    <m/>
    <m/>
    <s v="Denied"/>
    <s v="CO-197"/>
    <d v="2025-12-04T00:00:00"/>
    <m/>
    <n v="420"/>
    <n v="0.45"/>
    <n v="189"/>
    <s v=""/>
    <x v="2"/>
    <x v="5"/>
    <x v="9"/>
  </r>
  <r>
    <s v="CLM103719"/>
    <s v="PT11835"/>
    <s v="P06"/>
    <x v="2"/>
    <x v="2"/>
    <n v="2"/>
    <d v="2025-12-18T00:00:00"/>
    <d v="2025-12-22T00:00:00"/>
    <n v="123.31"/>
    <n v="34.04"/>
    <n v="30.64"/>
    <n v="3.4"/>
    <s v="Paid"/>
    <s v=""/>
    <d v="2026-01-28T00:00:00"/>
    <d v="2026-01-28T00:00:00"/>
    <n v="62"/>
    <n v="0.27"/>
    <n v="33.479999999999997"/>
    <n v="-0.56000000000000227"/>
    <x v="0"/>
    <x v="2"/>
    <x v="6"/>
  </r>
  <r>
    <s v="CLM103720"/>
    <s v="PT11503"/>
    <s v="P06"/>
    <x v="1"/>
    <x v="10"/>
    <n v="1"/>
    <d v="2026-01-12T00:00:00"/>
    <d v="2026-01-23T00:00:00"/>
    <n v="1021.15"/>
    <n v="248.1"/>
    <n v="248.1"/>
    <n v="0"/>
    <s v="Paid"/>
    <s v=""/>
    <d v="2026-03-05T00:00:00"/>
    <d v="2026-03-05T00:00:00"/>
    <n v="1050"/>
    <n v="0.27"/>
    <n v="283.5"/>
    <n v="35.400000000000006"/>
    <x v="1"/>
    <x v="2"/>
    <x v="5"/>
  </r>
  <r>
    <s v="CLM103721"/>
    <s v="PT10840"/>
    <s v="P06"/>
    <x v="0"/>
    <x v="4"/>
    <n v="1"/>
    <d v="2026-05-13T00:00:00"/>
    <d v="2026-05-15T00:00:00"/>
    <n v="37.04"/>
    <n v="8.83"/>
    <n v="7.06"/>
    <n v="1.77"/>
    <s v="Paid"/>
    <s v=""/>
    <d v="2026-06-27T00:00:00"/>
    <d v="2026-06-27T00:00:00"/>
    <n v="38"/>
    <n v="0.27"/>
    <n v="10.26"/>
    <n v="1.4299999999999997"/>
    <x v="1"/>
    <x v="2"/>
    <x v="7"/>
  </r>
  <r>
    <s v="CLM103722"/>
    <s v="PT10776"/>
    <s v="P04"/>
    <x v="0"/>
    <x v="8"/>
    <n v="1"/>
    <d v="2025-12-10T00:00:00"/>
    <d v="2025-12-14T00:00:00"/>
    <n v="262.26"/>
    <n v="96.4"/>
    <n v="86.76"/>
    <n v="9.64"/>
    <s v="Paid"/>
    <s v=""/>
    <d v="2026-01-05T00:00:00"/>
    <d v="2026-01-05T00:00:00"/>
    <n v="260"/>
    <n v="0.36"/>
    <n v="93.6"/>
    <n v="-2.8000000000000114"/>
    <x v="0"/>
    <x v="1"/>
    <x v="6"/>
  </r>
  <r>
    <s v="CLM103723"/>
    <s v="PT11290"/>
    <s v="P08"/>
    <x v="0"/>
    <x v="7"/>
    <n v="1"/>
    <d v="2026-03-29T00:00:00"/>
    <d v="2026-03-30T00:00:00"/>
    <n v="212.24"/>
    <n v="212.24"/>
    <n v="212.24"/>
    <n v="0"/>
    <s v="Paid"/>
    <s v=""/>
    <d v="2026-05-30T00:00:00"/>
    <d v="2026-05-30T00:00:00"/>
    <n v="210"/>
    <n v="1"/>
    <n v="210"/>
    <n v="-2.2400000000000091"/>
    <x v="0"/>
    <x v="7"/>
    <x v="2"/>
  </r>
  <r>
    <s v="CLM103724"/>
    <s v="PT10445"/>
    <s v="P08"/>
    <x v="3"/>
    <x v="7"/>
    <n v="1"/>
    <d v="2026-02-21T00:00:00"/>
    <d v="2026-02-24T00:00:00"/>
    <n v="208.4"/>
    <n v="208.4"/>
    <n v="208.4"/>
    <n v="0"/>
    <s v="Paid"/>
    <s v=""/>
    <d v="2026-04-14T00:00:00"/>
    <d v="2026-04-14T00:00:00"/>
    <n v="210"/>
    <n v="1"/>
    <n v="210"/>
    <n v="1.5999999999999943"/>
    <x v="0"/>
    <x v="7"/>
    <x v="0"/>
  </r>
  <r>
    <s v="CLM103725"/>
    <s v="PT10982"/>
    <s v="P05"/>
    <x v="2"/>
    <x v="9"/>
    <n v="1"/>
    <d v="2026-08-31T00:00:00"/>
    <d v="2026-09-04T00:00:00"/>
    <n v="58.12"/>
    <m/>
    <m/>
    <m/>
    <s v="Pending"/>
    <s v=""/>
    <m/>
    <m/>
    <n v="58"/>
    <n v="0.38"/>
    <n v="22.04"/>
    <s v=""/>
    <x v="2"/>
    <x v="0"/>
    <x v="4"/>
  </r>
  <r>
    <s v="CLM103726"/>
    <s v="PT10016"/>
    <s v="P01"/>
    <x v="2"/>
    <x v="2"/>
    <n v="1"/>
    <d v="2025-10-05T00:00:00"/>
    <d v="2025-10-12T00:00:00"/>
    <n v="60.72"/>
    <n v="27.48"/>
    <n v="21.98"/>
    <n v="5.5"/>
    <s v="Paid"/>
    <s v=""/>
    <d v="2025-11-04T00:00:00"/>
    <d v="2025-11-04T00:00:00"/>
    <n v="62"/>
    <n v="0.45"/>
    <n v="27.9"/>
    <n v="0.41999999999999815"/>
    <x v="0"/>
    <x v="5"/>
    <x v="9"/>
  </r>
  <r>
    <s v="CLM103727"/>
    <s v="PT13420"/>
    <s v="P01"/>
    <x v="3"/>
    <x v="6"/>
    <n v="1"/>
    <d v="2026-09-03T00:00:00"/>
    <d v="2026-09-04T00:00:00"/>
    <n v="411.27"/>
    <m/>
    <m/>
    <m/>
    <s v="Denied"/>
    <s v="CO-16"/>
    <d v="2026-09-27T00:00:00"/>
    <m/>
    <n v="420"/>
    <n v="0.45"/>
    <n v="189"/>
    <s v=""/>
    <x v="2"/>
    <x v="5"/>
    <x v="8"/>
  </r>
  <r>
    <s v="CLM103728"/>
    <s v="PT13005"/>
    <s v="P03"/>
    <x v="0"/>
    <x v="4"/>
    <n v="1"/>
    <d v="2026-03-05T00:00:00"/>
    <d v="2026-03-12T00:00:00"/>
    <n v="37.93"/>
    <n v="17.3"/>
    <n v="13.84"/>
    <n v="3.46"/>
    <s v="Paid"/>
    <s v=""/>
    <d v="2026-04-24T00:00:00"/>
    <d v="2026-04-24T00:00:00"/>
    <n v="38"/>
    <n v="0.47"/>
    <n v="17.86"/>
    <n v="0.55999999999999872"/>
    <x v="0"/>
    <x v="4"/>
    <x v="2"/>
  </r>
  <r>
    <s v="CLM103729"/>
    <s v="PT10237"/>
    <s v="P07"/>
    <x v="0"/>
    <x v="4"/>
    <n v="1"/>
    <d v="2026-01-12T00:00:00"/>
    <d v="2026-01-13T00:00:00"/>
    <n v="37.799999999999997"/>
    <m/>
    <m/>
    <m/>
    <s v="Denied"/>
    <s v="CO-50"/>
    <d v="2026-02-22T00:00:00"/>
    <m/>
    <n v="38"/>
    <n v="0.28000000000000003"/>
    <n v="10.64"/>
    <s v=""/>
    <x v="2"/>
    <x v="3"/>
    <x v="5"/>
  </r>
  <r>
    <s v="CLM103730"/>
    <s v="PT11482"/>
    <s v="P01"/>
    <x v="3"/>
    <x v="3"/>
    <n v="30"/>
    <d v="2025-10-23T00:00:00"/>
    <d v="2025-10-27T00:00:00"/>
    <n v="42272.11"/>
    <n v="19271.05"/>
    <n v="15416.84"/>
    <n v="3854.21"/>
    <s v="Paid"/>
    <s v=""/>
    <d v="2025-11-21T00:00:00"/>
    <d v="2025-11-21T00:00:00"/>
    <n v="1450"/>
    <n v="0.45"/>
    <n v="19575"/>
    <n v="303.95000000000073"/>
    <x v="0"/>
    <x v="5"/>
    <x v="9"/>
  </r>
  <r>
    <s v="CLM103731"/>
    <s v="PT13438"/>
    <s v="P07"/>
    <x v="1"/>
    <x v="4"/>
    <n v="1"/>
    <d v="2025-12-10T00:00:00"/>
    <d v="2025-12-14T00:00:00"/>
    <n v="37.1"/>
    <n v="11.56"/>
    <n v="9.25"/>
    <n v="2.31"/>
    <s v="Paid"/>
    <s v=""/>
    <d v="2026-03-05T00:00:00"/>
    <d v="2026-03-05T00:00:00"/>
    <n v="38"/>
    <n v="0.28000000000000003"/>
    <n v="10.64"/>
    <n v="-0.91999999999999993"/>
    <x v="0"/>
    <x v="3"/>
    <x v="6"/>
  </r>
  <r>
    <s v="CLM103732"/>
    <s v="PT13174"/>
    <s v="P04"/>
    <x v="1"/>
    <x v="10"/>
    <n v="1"/>
    <d v="2026-09-17T00:00:00"/>
    <d v="2026-09-22T00:00:00"/>
    <n v="1029.45"/>
    <m/>
    <m/>
    <m/>
    <s v="Pending"/>
    <s v=""/>
    <m/>
    <m/>
    <n v="1050"/>
    <n v="0.36"/>
    <n v="378"/>
    <s v=""/>
    <x v="2"/>
    <x v="1"/>
    <x v="8"/>
  </r>
  <r>
    <s v="CLM103733"/>
    <s v="PT11513"/>
    <s v="P06"/>
    <x v="2"/>
    <x v="9"/>
    <n v="4"/>
    <d v="2026-06-16T00:00:00"/>
    <d v="2026-06-17T00:00:00"/>
    <n v="237.68"/>
    <n v="55.13"/>
    <n v="55.13"/>
    <n v="0"/>
    <s v="Paid"/>
    <s v=""/>
    <d v="2026-07-28T00:00:00"/>
    <d v="2026-07-28T00:00:00"/>
    <n v="58"/>
    <n v="0.27"/>
    <n v="62.64"/>
    <n v="7.509999999999998"/>
    <x v="1"/>
    <x v="2"/>
    <x v="11"/>
  </r>
  <r>
    <s v="CLM103734"/>
    <s v="PT10413"/>
    <s v="P02"/>
    <x v="1"/>
    <x v="4"/>
    <n v="1"/>
    <d v="2026-03-15T00:00:00"/>
    <d v="2026-03-16T00:00:00"/>
    <n v="38.01"/>
    <n v="14.1"/>
    <n v="12.69"/>
    <n v="1.41"/>
    <s v="Paid"/>
    <s v=""/>
    <d v="2026-04-12T00:00:00"/>
    <d v="2026-04-12T00:00:00"/>
    <n v="38"/>
    <n v="0.43"/>
    <n v="16.34"/>
    <n v="2.2400000000000002"/>
    <x v="1"/>
    <x v="6"/>
    <x v="2"/>
  </r>
  <r>
    <s v="CLM103735"/>
    <s v="PT12288"/>
    <s v="P06"/>
    <x v="3"/>
    <x v="7"/>
    <n v="1"/>
    <d v="2026-08-06T00:00:00"/>
    <d v="2026-08-07T00:00:00"/>
    <n v="209.28"/>
    <m/>
    <m/>
    <m/>
    <s v="Denied"/>
    <s v="CO-16"/>
    <d v="2026-09-18T00:00:00"/>
    <m/>
    <n v="210"/>
    <n v="0.27"/>
    <n v="56.7"/>
    <s v=""/>
    <x v="2"/>
    <x v="2"/>
    <x v="4"/>
  </r>
  <r>
    <s v="CLM103736"/>
    <s v="PT12187"/>
    <s v="P07"/>
    <x v="0"/>
    <x v="8"/>
    <n v="1"/>
    <d v="2026-02-10T00:00:00"/>
    <d v="2026-02-14T00:00:00"/>
    <n v="256.22000000000003"/>
    <n v="73.12"/>
    <n v="65.81"/>
    <n v="7.31"/>
    <s v="Paid"/>
    <s v=""/>
    <d v="2026-05-16T00:00:00"/>
    <d v="2026-05-16T00:00:00"/>
    <n v="260"/>
    <n v="0.28000000000000003"/>
    <n v="72.8"/>
    <n v="-0.32000000000000739"/>
    <x v="0"/>
    <x v="3"/>
    <x v="0"/>
  </r>
  <r>
    <s v="CLM103737"/>
    <s v="PT11584"/>
    <s v="P03"/>
    <x v="1"/>
    <x v="11"/>
    <n v="1"/>
    <d v="2026-03-12T00:00:00"/>
    <d v="2026-03-23T00:00:00"/>
    <n v="1152.7"/>
    <n v="584.67999999999995"/>
    <n v="584.67999999999995"/>
    <n v="0"/>
    <s v="Paid"/>
    <s v=""/>
    <d v="2026-04-28T00:00:00"/>
    <d v="2026-04-28T00:00:00"/>
    <n v="1150"/>
    <n v="0.47"/>
    <n v="540.5"/>
    <n v="-44.17999999999995"/>
    <x v="0"/>
    <x v="4"/>
    <x v="2"/>
  </r>
  <r>
    <s v="CLM103738"/>
    <s v="PT11311"/>
    <s v="P01"/>
    <x v="1"/>
    <x v="8"/>
    <n v="1"/>
    <d v="2026-09-09T00:00:00"/>
    <d v="2026-09-14T00:00:00"/>
    <n v="267.73"/>
    <m/>
    <m/>
    <m/>
    <s v="Pending"/>
    <s v=""/>
    <m/>
    <m/>
    <n v="260"/>
    <n v="0.45"/>
    <n v="117"/>
    <s v=""/>
    <x v="2"/>
    <x v="5"/>
    <x v="8"/>
  </r>
  <r>
    <s v="CLM103739"/>
    <s v="PT13448"/>
    <s v="P07"/>
    <x v="2"/>
    <x v="0"/>
    <n v="1"/>
    <d v="2026-06-01T00:00:00"/>
    <d v="2026-06-03T00:00:00"/>
    <n v="146.18"/>
    <n v="43.64"/>
    <n v="43.64"/>
    <n v="0"/>
    <s v="Paid"/>
    <s v=""/>
    <d v="2026-07-18T00:00:00"/>
    <d v="2026-07-18T00:00:00"/>
    <n v="145"/>
    <n v="0.28000000000000003"/>
    <n v="40.6"/>
    <n v="-3.0399999999999991"/>
    <x v="0"/>
    <x v="3"/>
    <x v="11"/>
  </r>
  <r>
    <s v="CLM103740"/>
    <s v="PT10094"/>
    <s v="P04"/>
    <x v="3"/>
    <x v="6"/>
    <n v="1"/>
    <d v="2026-08-25T00:00:00"/>
    <d v="2026-08-30T00:00:00"/>
    <n v="426.95"/>
    <n v="150.78"/>
    <n v="120.62"/>
    <n v="30.16"/>
    <s v="Paid"/>
    <s v=""/>
    <d v="2026-09-23T00:00:00"/>
    <d v="2026-09-23T00:00:00"/>
    <n v="420"/>
    <n v="0.36"/>
    <n v="151.19999999999999"/>
    <n v="0.41999999999998749"/>
    <x v="0"/>
    <x v="1"/>
    <x v="4"/>
  </r>
  <r>
    <s v="CLM103741"/>
    <s v="PT12926"/>
    <s v="P02"/>
    <x v="1"/>
    <x v="8"/>
    <n v="1"/>
    <d v="2026-03-13T00:00:00"/>
    <d v="2026-03-26T00:00:00"/>
    <n v="259.79000000000002"/>
    <m/>
    <m/>
    <m/>
    <s v="Denied"/>
    <s v="CO-4"/>
    <d v="2026-05-08T00:00:00"/>
    <m/>
    <n v="260"/>
    <n v="0.43"/>
    <n v="111.8"/>
    <s v=""/>
    <x v="2"/>
    <x v="6"/>
    <x v="2"/>
  </r>
  <r>
    <s v="CLM103742"/>
    <s v="PT11841"/>
    <s v="P01"/>
    <x v="3"/>
    <x v="6"/>
    <n v="1"/>
    <d v="2026-02-16T00:00:00"/>
    <d v="2026-02-20T00:00:00"/>
    <n v="419.51"/>
    <n v="174.22"/>
    <n v="174.22"/>
    <n v="0"/>
    <s v="Paid"/>
    <s v=""/>
    <d v="2026-03-21T00:00:00"/>
    <d v="2026-03-21T00:00:00"/>
    <n v="420"/>
    <n v="0.45"/>
    <n v="189"/>
    <n v="14.780000000000001"/>
    <x v="1"/>
    <x v="5"/>
    <x v="0"/>
  </r>
  <r>
    <s v="CLM103743"/>
    <s v="PT11265"/>
    <s v="P01"/>
    <x v="1"/>
    <x v="5"/>
    <n v="1"/>
    <d v="2026-08-29T00:00:00"/>
    <d v="2026-09-01T00:00:00"/>
    <n v="4904.84"/>
    <m/>
    <m/>
    <m/>
    <s v="Pending"/>
    <s v=""/>
    <m/>
    <m/>
    <n v="4800"/>
    <n v="0.45"/>
    <n v="2160"/>
    <s v=""/>
    <x v="2"/>
    <x v="5"/>
    <x v="4"/>
  </r>
  <r>
    <s v="CLM103744"/>
    <s v="PT12093"/>
    <s v="P03"/>
    <x v="2"/>
    <x v="9"/>
    <n v="1"/>
    <d v="2026-04-24T00:00:00"/>
    <d v="2026-04-30T00:00:00"/>
    <n v="59.38"/>
    <n v="27.24"/>
    <n v="21.79"/>
    <n v="5.45"/>
    <s v="Paid"/>
    <s v=""/>
    <d v="2026-06-08T00:00:00"/>
    <d v="2026-06-08T00:00:00"/>
    <n v="58"/>
    <n v="0.47"/>
    <n v="27.26"/>
    <n v="2.0000000000003126E-2"/>
    <x v="0"/>
    <x v="4"/>
    <x v="10"/>
  </r>
  <r>
    <s v="CLM103745"/>
    <s v="PT12302"/>
    <s v="P02"/>
    <x v="3"/>
    <x v="6"/>
    <n v="1"/>
    <d v="2025-12-04T00:00:00"/>
    <d v="2025-12-06T00:00:00"/>
    <n v="415.37"/>
    <n v="158.22"/>
    <n v="142.4"/>
    <n v="15.82"/>
    <s v="Paid"/>
    <s v=""/>
    <d v="2026-01-10T00:00:00"/>
    <d v="2026-01-10T00:00:00"/>
    <n v="420"/>
    <n v="0.43"/>
    <n v="180.6"/>
    <n v="22.379999999999995"/>
    <x v="1"/>
    <x v="6"/>
    <x v="6"/>
  </r>
  <r>
    <s v="CLM103746"/>
    <s v="PT12522"/>
    <s v="P03"/>
    <x v="3"/>
    <x v="6"/>
    <n v="1"/>
    <d v="2026-08-09T00:00:00"/>
    <d v="2026-08-13T00:00:00"/>
    <n v="411.9"/>
    <m/>
    <m/>
    <m/>
    <s v="Pending"/>
    <s v=""/>
    <m/>
    <m/>
    <n v="420"/>
    <n v="0.47"/>
    <n v="197.4"/>
    <s v=""/>
    <x v="2"/>
    <x v="4"/>
    <x v="4"/>
  </r>
  <r>
    <s v="CLM103747"/>
    <s v="PT10955"/>
    <s v="P04"/>
    <x v="1"/>
    <x v="10"/>
    <n v="1"/>
    <d v="2025-11-20T00:00:00"/>
    <d v="2025-11-26T00:00:00"/>
    <n v="1038.31"/>
    <m/>
    <m/>
    <m/>
    <s v="Denied"/>
    <s v="CO-50"/>
    <d v="2025-12-13T00:00:00"/>
    <m/>
    <n v="1050"/>
    <n v="0.36"/>
    <n v="378"/>
    <s v=""/>
    <x v="2"/>
    <x v="1"/>
    <x v="3"/>
  </r>
  <r>
    <s v="CLM103748"/>
    <s v="PT11466"/>
    <s v="P01"/>
    <x v="3"/>
    <x v="7"/>
    <n v="1"/>
    <d v="2026-01-30T00:00:00"/>
    <d v="2026-02-06T00:00:00"/>
    <n v="211.46"/>
    <n v="100.08"/>
    <n v="100.08"/>
    <n v="0"/>
    <s v="Paid"/>
    <s v=""/>
    <d v="2026-02-27T00:00:00"/>
    <d v="2026-02-27T00:00:00"/>
    <n v="210"/>
    <n v="0.45"/>
    <n v="94.5"/>
    <n v="-5.5799999999999983"/>
    <x v="0"/>
    <x v="5"/>
    <x v="5"/>
  </r>
  <r>
    <s v="CLM103749"/>
    <s v="PT10247"/>
    <s v="P03"/>
    <x v="3"/>
    <x v="6"/>
    <n v="1"/>
    <d v="2026-06-14T00:00:00"/>
    <d v="2026-06-15T00:00:00"/>
    <n v="426.04"/>
    <n v="196.97"/>
    <n v="196.97"/>
    <n v="0"/>
    <s v="Paid"/>
    <s v=""/>
    <d v="2026-07-21T00:00:00"/>
    <d v="2026-07-21T00:00:00"/>
    <n v="420"/>
    <n v="0.47"/>
    <n v="197.4"/>
    <n v="0.43000000000000682"/>
    <x v="0"/>
    <x v="4"/>
    <x v="11"/>
  </r>
  <r>
    <s v="CLM103750"/>
    <s v="PT13409"/>
    <s v="P02"/>
    <x v="1"/>
    <x v="10"/>
    <n v="1"/>
    <d v="2026-02-15T00:00:00"/>
    <d v="2026-02-16T00:00:00"/>
    <n v="1058.9100000000001"/>
    <n v="410.54"/>
    <n v="369.49"/>
    <n v="41.05"/>
    <s v="Paid"/>
    <s v=""/>
    <d v="2026-03-17T00:00:00"/>
    <d v="2026-03-17T00:00:00"/>
    <n v="1050"/>
    <n v="0.43"/>
    <n v="451.5"/>
    <n v="40.95999999999998"/>
    <x v="1"/>
    <x v="6"/>
    <x v="0"/>
  </r>
  <r>
    <s v="CLM103751"/>
    <s v="PT10608"/>
    <s v="P02"/>
    <x v="3"/>
    <x v="3"/>
    <n v="10"/>
    <d v="2026-06-04T00:00:00"/>
    <d v="2026-06-05T00:00:00"/>
    <n v="14610.4"/>
    <n v="5375.96"/>
    <n v="5375.96"/>
    <n v="0"/>
    <s v="Paid"/>
    <s v=""/>
    <d v="2026-07-03T00:00:00"/>
    <d v="2026-07-03T00:00:00"/>
    <n v="1450"/>
    <n v="0.43"/>
    <n v="6235"/>
    <n v="859.04"/>
    <x v="1"/>
    <x v="6"/>
    <x v="11"/>
  </r>
  <r>
    <s v="CLM103752"/>
    <s v="PT10192"/>
    <s v="P07"/>
    <x v="2"/>
    <x v="9"/>
    <n v="4"/>
    <d v="2026-04-18T00:00:00"/>
    <d v="2026-04-22T00:00:00"/>
    <n v="236.57"/>
    <n v="71.819999999999993"/>
    <n v="71.819999999999993"/>
    <n v="0"/>
    <s v="Paid"/>
    <s v=""/>
    <d v="2026-05-20T00:00:00"/>
    <d v="2026-05-20T00:00:00"/>
    <n v="58"/>
    <n v="0.28000000000000003"/>
    <n v="64.959999999999994"/>
    <n v="-6.8599999999999994"/>
    <x v="0"/>
    <x v="3"/>
    <x v="10"/>
  </r>
  <r>
    <s v="CLM103753"/>
    <s v="PT12950"/>
    <s v="P02"/>
    <x v="0"/>
    <x v="4"/>
    <n v="1"/>
    <d v="2026-09-06T00:00:00"/>
    <d v="2026-09-08T00:00:00"/>
    <n v="38.21"/>
    <m/>
    <m/>
    <m/>
    <s v="Pending"/>
    <s v=""/>
    <m/>
    <m/>
    <n v="38"/>
    <n v="0.43"/>
    <n v="16.34"/>
    <s v=""/>
    <x v="2"/>
    <x v="6"/>
    <x v="8"/>
  </r>
  <r>
    <s v="CLM103754"/>
    <s v="PT13294"/>
    <s v="P01"/>
    <x v="1"/>
    <x v="8"/>
    <n v="1"/>
    <d v="2026-06-23T00:00:00"/>
    <d v="2026-07-01T00:00:00"/>
    <n v="265.76"/>
    <n v="128.34"/>
    <n v="128.34"/>
    <n v="0"/>
    <s v="Paid"/>
    <s v=""/>
    <d v="2026-07-21T00:00:00"/>
    <d v="2026-07-21T00:00:00"/>
    <n v="260"/>
    <n v="0.45"/>
    <n v="117"/>
    <n v="-11.340000000000003"/>
    <x v="0"/>
    <x v="5"/>
    <x v="11"/>
  </r>
  <r>
    <s v="CLM103755"/>
    <s v="PT10231"/>
    <s v="P02"/>
    <x v="2"/>
    <x v="0"/>
    <n v="1"/>
    <d v="2025-12-06T00:00:00"/>
    <d v="2025-12-11T00:00:00"/>
    <n v="143.61000000000001"/>
    <n v="60.59"/>
    <n v="60.59"/>
    <n v="0"/>
    <s v="Paid"/>
    <s v=""/>
    <d v="2026-01-12T00:00:00"/>
    <d v="2026-01-12T00:00:00"/>
    <n v="145"/>
    <n v="0.43"/>
    <n v="62.35"/>
    <n v="1.759999999999998"/>
    <x v="0"/>
    <x v="6"/>
    <x v="6"/>
  </r>
  <r>
    <s v="CLM103756"/>
    <s v="PT10242"/>
    <s v="P01"/>
    <x v="0"/>
    <x v="7"/>
    <n v="1"/>
    <d v="2026-04-29T00:00:00"/>
    <d v="2026-05-01T00:00:00"/>
    <n v="216.2"/>
    <n v="94.26"/>
    <n v="75.41"/>
    <n v="18.850000000000001"/>
    <s v="Paid"/>
    <s v=""/>
    <d v="2026-05-30T00:00:00"/>
    <d v="2026-05-30T00:00:00"/>
    <n v="210"/>
    <n v="0.45"/>
    <n v="94.5"/>
    <n v="0.23999999999999488"/>
    <x v="0"/>
    <x v="5"/>
    <x v="10"/>
  </r>
  <r>
    <s v="CLM103757"/>
    <s v="PT12618"/>
    <s v="P05"/>
    <x v="0"/>
    <x v="4"/>
    <n v="1"/>
    <d v="2025-11-03T00:00:00"/>
    <d v="2025-11-10T00:00:00"/>
    <n v="38.83"/>
    <m/>
    <m/>
    <m/>
    <s v="Denied"/>
    <s v="CO-4"/>
    <d v="2025-12-28T00:00:00"/>
    <m/>
    <n v="38"/>
    <n v="0.38"/>
    <n v="14.44"/>
    <s v=""/>
    <x v="2"/>
    <x v="0"/>
    <x v="3"/>
  </r>
  <r>
    <s v="CLM103758"/>
    <s v="PT10249"/>
    <s v="P07"/>
    <x v="2"/>
    <x v="9"/>
    <n v="1"/>
    <d v="2026-02-09T00:00:00"/>
    <d v="2026-02-13T00:00:00"/>
    <n v="57.34"/>
    <n v="15.19"/>
    <n v="13.67"/>
    <n v="1.52"/>
    <s v="Paid"/>
    <s v=""/>
    <d v="2026-05-08T00:00:00"/>
    <d v="2026-05-08T00:00:00"/>
    <n v="58"/>
    <n v="0.28000000000000003"/>
    <n v="16.239999999999998"/>
    <n v="1.0499999999999989"/>
    <x v="1"/>
    <x v="3"/>
    <x v="0"/>
  </r>
  <r>
    <s v="CLM103759"/>
    <s v="PT11443"/>
    <s v="P02"/>
    <x v="2"/>
    <x v="2"/>
    <n v="4"/>
    <d v="2026-06-09T00:00:00"/>
    <d v="2026-06-10T00:00:00"/>
    <n v="253.2"/>
    <m/>
    <m/>
    <m/>
    <s v="Denied"/>
    <s v="CO-27"/>
    <d v="2026-07-04T00:00:00"/>
    <m/>
    <n v="62"/>
    <n v="0.43"/>
    <n v="106.64"/>
    <s v=""/>
    <x v="2"/>
    <x v="6"/>
    <x v="11"/>
  </r>
  <r>
    <s v="CLM103760"/>
    <s v="PT12757"/>
    <s v="P02"/>
    <x v="3"/>
    <x v="6"/>
    <n v="1"/>
    <d v="2026-08-24T00:00:00"/>
    <d v="2026-08-27T00:00:00"/>
    <n v="430.09"/>
    <n v="208.57"/>
    <n v="208.57"/>
    <n v="0"/>
    <s v="Paid"/>
    <s v=""/>
    <d v="2026-09-30T00:00:00"/>
    <d v="2026-09-30T00:00:00"/>
    <n v="420"/>
    <n v="0.43"/>
    <n v="180.6"/>
    <n v="-27.97"/>
    <x v="0"/>
    <x v="6"/>
    <x v="4"/>
  </r>
  <r>
    <s v="CLM103761"/>
    <s v="PT11635"/>
    <s v="P01"/>
    <x v="0"/>
    <x v="8"/>
    <n v="1"/>
    <d v="2026-06-29T00:00:00"/>
    <d v="2026-07-07T00:00:00"/>
    <n v="263.70999999999998"/>
    <n v="108.64"/>
    <n v="108.64"/>
    <n v="0"/>
    <s v="Paid"/>
    <s v=""/>
    <d v="2026-08-10T00:00:00"/>
    <d v="2026-08-10T00:00:00"/>
    <n v="260"/>
    <n v="0.45"/>
    <n v="117"/>
    <n v="8.36"/>
    <x v="1"/>
    <x v="5"/>
    <x v="11"/>
  </r>
  <r>
    <s v="CLM103762"/>
    <s v="PT10930"/>
    <s v="P05"/>
    <x v="2"/>
    <x v="9"/>
    <n v="4"/>
    <d v="2025-10-11T00:00:00"/>
    <d v="2025-10-25T00:00:00"/>
    <n v="228.47"/>
    <n v="86.25"/>
    <n v="77.63"/>
    <n v="8.6199999999999992"/>
    <s v="Paid"/>
    <s v=""/>
    <d v="2025-12-11T00:00:00"/>
    <d v="2025-12-11T00:00:00"/>
    <n v="58"/>
    <n v="0.38"/>
    <n v="88.16"/>
    <n v="1.9099999999999966"/>
    <x v="0"/>
    <x v="0"/>
    <x v="9"/>
  </r>
  <r>
    <s v="CLM103763"/>
    <s v="PT11755"/>
    <s v="P08"/>
    <x v="1"/>
    <x v="4"/>
    <n v="1"/>
    <d v="2026-07-31T00:00:00"/>
    <d v="2026-08-02T00:00:00"/>
    <n v="38.46"/>
    <m/>
    <m/>
    <m/>
    <s v="Pending"/>
    <s v=""/>
    <m/>
    <m/>
    <n v="38"/>
    <n v="1"/>
    <n v="38"/>
    <s v=""/>
    <x v="2"/>
    <x v="7"/>
    <x v="1"/>
  </r>
  <r>
    <s v="CLM103764"/>
    <s v="PT12540"/>
    <s v="P05"/>
    <x v="2"/>
    <x v="9"/>
    <n v="4"/>
    <d v="2026-02-22T00:00:00"/>
    <d v="2026-03-18T00:00:00"/>
    <n v="225.79"/>
    <n v="76.41"/>
    <n v="68.77"/>
    <n v="7.64"/>
    <s v="Paid"/>
    <s v=""/>
    <d v="2026-04-21T00:00:00"/>
    <d v="2026-04-21T00:00:00"/>
    <n v="58"/>
    <n v="0.38"/>
    <n v="88.16"/>
    <n v="11.75"/>
    <x v="1"/>
    <x v="0"/>
    <x v="0"/>
  </r>
  <r>
    <s v="CLM103765"/>
    <s v="PT10089"/>
    <s v="P04"/>
    <x v="0"/>
    <x v="7"/>
    <n v="1"/>
    <d v="2026-03-01T00:00:00"/>
    <d v="2026-03-08T00:00:00"/>
    <n v="204.99"/>
    <n v="76.73"/>
    <n v="76.73"/>
    <n v="0"/>
    <s v="Paid"/>
    <s v=""/>
    <d v="2026-03-19T00:00:00"/>
    <d v="2026-03-19T00:00:00"/>
    <n v="210"/>
    <n v="0.36"/>
    <n v="75.599999999999994"/>
    <n v="-1.1300000000000097"/>
    <x v="0"/>
    <x v="1"/>
    <x v="2"/>
  </r>
  <r>
    <s v="CLM103766"/>
    <s v="PT10537"/>
    <s v="P03"/>
    <x v="1"/>
    <x v="1"/>
    <n v="1"/>
    <d v="2026-02-27T00:00:00"/>
    <d v="2026-02-28T00:00:00"/>
    <n v="237"/>
    <n v="114.73"/>
    <n v="103.26"/>
    <n v="11.47"/>
    <s v="Paid"/>
    <s v=""/>
    <d v="2026-04-14T00:00:00"/>
    <d v="2026-04-14T00:00:00"/>
    <n v="240"/>
    <n v="0.47"/>
    <n v="112.8"/>
    <n v="-1.9300000000000068"/>
    <x v="0"/>
    <x v="4"/>
    <x v="0"/>
  </r>
  <r>
    <s v="CLM103767"/>
    <s v="PT11164"/>
    <s v="P01"/>
    <x v="1"/>
    <x v="1"/>
    <n v="1"/>
    <d v="2026-04-01T00:00:00"/>
    <d v="2026-04-14T00:00:00"/>
    <n v="240.09"/>
    <n v="117.28"/>
    <n v="117.28"/>
    <n v="0"/>
    <s v="Paid"/>
    <s v=""/>
    <d v="2026-05-20T00:00:00"/>
    <d v="2026-05-20T00:00:00"/>
    <n v="240"/>
    <n v="0.45"/>
    <n v="108"/>
    <n v="-9.2800000000000011"/>
    <x v="0"/>
    <x v="5"/>
    <x v="10"/>
  </r>
  <r>
    <s v="CLM103768"/>
    <s v="PT11069"/>
    <s v="P01"/>
    <x v="0"/>
    <x v="0"/>
    <n v="1"/>
    <d v="2026-08-26T00:00:00"/>
    <d v="2026-08-30T00:00:00"/>
    <n v="143.81"/>
    <m/>
    <m/>
    <m/>
    <s v="Pending"/>
    <s v=""/>
    <m/>
    <m/>
    <n v="145"/>
    <n v="0.45"/>
    <n v="65.25"/>
    <s v=""/>
    <x v="2"/>
    <x v="5"/>
    <x v="4"/>
  </r>
  <r>
    <s v="CLM103769"/>
    <s v="PT11174"/>
    <s v="P08"/>
    <x v="1"/>
    <x v="4"/>
    <n v="1"/>
    <d v="2026-04-12T00:00:00"/>
    <d v="2026-04-13T00:00:00"/>
    <n v="37.659999999999997"/>
    <n v="37.659999999999997"/>
    <n v="37.659999999999997"/>
    <n v="0"/>
    <s v="Paid"/>
    <s v=""/>
    <d v="2026-06-04T00:00:00"/>
    <d v="2026-06-04T00:00:00"/>
    <n v="38"/>
    <n v="1"/>
    <n v="38"/>
    <n v="0.34000000000000341"/>
    <x v="0"/>
    <x v="7"/>
    <x v="10"/>
  </r>
  <r>
    <s v="CLM103770"/>
    <s v="PT11346"/>
    <s v="P02"/>
    <x v="1"/>
    <x v="11"/>
    <n v="1"/>
    <d v="2026-05-28T00:00:00"/>
    <d v="2026-05-31T00:00:00"/>
    <n v="1163.23"/>
    <m/>
    <m/>
    <m/>
    <s v="Denied"/>
    <s v="CO-11"/>
    <d v="2026-07-08T00:00:00"/>
    <m/>
    <n v="1150"/>
    <n v="0.43"/>
    <n v="494.5"/>
    <s v=""/>
    <x v="2"/>
    <x v="6"/>
    <x v="7"/>
  </r>
  <r>
    <s v="CLM103771"/>
    <s v="PT11935"/>
    <s v="P07"/>
    <x v="1"/>
    <x v="11"/>
    <n v="1"/>
    <d v="2026-07-04T00:00:00"/>
    <d v="2026-07-09T00:00:00"/>
    <n v="1167.22"/>
    <m/>
    <m/>
    <m/>
    <s v="Denied"/>
    <s v="CO-197"/>
    <d v="2026-09-03T00:00:00"/>
    <m/>
    <n v="1150"/>
    <n v="0.28000000000000003"/>
    <n v="322"/>
    <s v=""/>
    <x v="2"/>
    <x v="3"/>
    <x v="1"/>
  </r>
  <r>
    <s v="CLM103772"/>
    <s v="PT13146"/>
    <s v="P04"/>
    <x v="0"/>
    <x v="0"/>
    <n v="1"/>
    <d v="2025-11-06T00:00:00"/>
    <d v="2025-11-08T00:00:00"/>
    <n v="142.24"/>
    <n v="58.73"/>
    <n v="52.86"/>
    <n v="5.87"/>
    <s v="Paid"/>
    <s v=""/>
    <d v="2025-11-21T00:00:00"/>
    <d v="2025-11-21T00:00:00"/>
    <n v="145"/>
    <n v="0.36"/>
    <n v="52.2"/>
    <n v="-6.529999999999994"/>
    <x v="0"/>
    <x v="1"/>
    <x v="3"/>
  </r>
  <r>
    <s v="CLM103773"/>
    <s v="PT12546"/>
    <s v="P05"/>
    <x v="0"/>
    <x v="7"/>
    <n v="1"/>
    <d v="2026-08-22T00:00:00"/>
    <d v="2026-08-23T00:00:00"/>
    <n v="215.94"/>
    <m/>
    <m/>
    <m/>
    <s v="Pending"/>
    <s v=""/>
    <m/>
    <m/>
    <n v="210"/>
    <n v="0.38"/>
    <n v="79.8"/>
    <s v=""/>
    <x v="2"/>
    <x v="0"/>
    <x v="4"/>
  </r>
  <r>
    <s v="CLM103774"/>
    <s v="PT10532"/>
    <s v="P04"/>
    <x v="0"/>
    <x v="0"/>
    <n v="1"/>
    <d v="2025-12-06T00:00:00"/>
    <d v="2025-12-07T00:00:00"/>
    <n v="144"/>
    <n v="46.67"/>
    <n v="46.67"/>
    <n v="0"/>
    <s v="Paid"/>
    <s v=""/>
    <d v="2025-12-24T00:00:00"/>
    <d v="2025-12-24T00:00:00"/>
    <n v="145"/>
    <n v="0.36"/>
    <n v="52.2"/>
    <n v="5.5300000000000011"/>
    <x v="1"/>
    <x v="1"/>
    <x v="6"/>
  </r>
  <r>
    <s v="CLM103775"/>
    <s v="PT11806"/>
    <s v="P01"/>
    <x v="0"/>
    <x v="4"/>
    <n v="1"/>
    <d v="2026-06-11T00:00:00"/>
    <d v="2026-06-12T00:00:00"/>
    <n v="38.24"/>
    <n v="14.75"/>
    <n v="14.75"/>
    <n v="0"/>
    <s v="Paid"/>
    <s v=""/>
    <d v="2026-07-22T00:00:00"/>
    <d v="2026-07-22T00:00:00"/>
    <n v="38"/>
    <n v="0.45"/>
    <n v="17.100000000000001"/>
    <n v="2.3500000000000014"/>
    <x v="1"/>
    <x v="5"/>
    <x v="11"/>
  </r>
  <r>
    <s v="CLM103776"/>
    <s v="PT12317"/>
    <s v="P03"/>
    <x v="0"/>
    <x v="4"/>
    <n v="1"/>
    <d v="2026-03-18T00:00:00"/>
    <d v="2026-04-02T00:00:00"/>
    <n v="37.229999999999997"/>
    <n v="18.079999999999998"/>
    <n v="14.46"/>
    <n v="3.62"/>
    <s v="Paid"/>
    <s v=""/>
    <d v="2026-04-23T00:00:00"/>
    <d v="2026-04-23T00:00:00"/>
    <n v="38"/>
    <n v="0.47"/>
    <n v="17.86"/>
    <n v="-0.21999999999999886"/>
    <x v="0"/>
    <x v="4"/>
    <x v="2"/>
  </r>
  <r>
    <s v="CLM103777"/>
    <s v="PT11852"/>
    <s v="P02"/>
    <x v="2"/>
    <x v="0"/>
    <n v="1"/>
    <d v="2026-02-19T00:00:00"/>
    <d v="2026-02-28T00:00:00"/>
    <n v="142.97999999999999"/>
    <n v="55.89"/>
    <n v="50.3"/>
    <n v="5.59"/>
    <s v="Paid"/>
    <s v=""/>
    <d v="2026-04-08T00:00:00"/>
    <d v="2026-04-08T00:00:00"/>
    <n v="145"/>
    <n v="0.43"/>
    <n v="62.35"/>
    <n v="6.4600000000000009"/>
    <x v="1"/>
    <x v="6"/>
    <x v="0"/>
  </r>
  <r>
    <s v="CLM103778"/>
    <s v="PT11284"/>
    <s v="P01"/>
    <x v="2"/>
    <x v="0"/>
    <n v="1"/>
    <d v="2025-12-24T00:00:00"/>
    <d v="2025-12-25T00:00:00"/>
    <n v="144.13"/>
    <m/>
    <m/>
    <m/>
    <s v="Denied"/>
    <s v="CO-11"/>
    <d v="2026-01-16T00:00:00"/>
    <m/>
    <n v="145"/>
    <n v="0.45"/>
    <n v="65.25"/>
    <s v=""/>
    <x v="2"/>
    <x v="5"/>
    <x v="6"/>
  </r>
  <r>
    <s v="CLM103779"/>
    <s v="PT12652"/>
    <s v="P08"/>
    <x v="0"/>
    <x v="4"/>
    <n v="1"/>
    <d v="2026-04-03T00:00:00"/>
    <d v="2026-04-09T00:00:00"/>
    <n v="38.33"/>
    <m/>
    <m/>
    <m/>
    <s v="Pending"/>
    <s v=""/>
    <m/>
    <m/>
    <n v="38"/>
    <n v="1"/>
    <n v="38"/>
    <s v=""/>
    <x v="2"/>
    <x v="7"/>
    <x v="10"/>
  </r>
  <r>
    <s v="CLM103780"/>
    <s v="PT11732"/>
    <s v="P01"/>
    <x v="0"/>
    <x v="7"/>
    <n v="1"/>
    <d v="2026-09-06T00:00:00"/>
    <d v="2026-09-08T00:00:00"/>
    <n v="206.39"/>
    <m/>
    <m/>
    <m/>
    <s v="Pending"/>
    <s v=""/>
    <m/>
    <m/>
    <n v="210"/>
    <n v="0.45"/>
    <n v="94.5"/>
    <s v=""/>
    <x v="2"/>
    <x v="5"/>
    <x v="8"/>
  </r>
  <r>
    <s v="CLM103781"/>
    <s v="PT12042"/>
    <s v="P02"/>
    <x v="3"/>
    <x v="6"/>
    <n v="1"/>
    <d v="2026-08-19T00:00:00"/>
    <d v="2026-08-20T00:00:00"/>
    <n v="408.67"/>
    <m/>
    <m/>
    <m/>
    <s v="Denied"/>
    <s v="CO-197"/>
    <d v="2026-09-11T00:00:00"/>
    <m/>
    <n v="420"/>
    <n v="0.43"/>
    <n v="180.6"/>
    <s v=""/>
    <x v="2"/>
    <x v="6"/>
    <x v="4"/>
  </r>
  <r>
    <s v="CLM103782"/>
    <s v="PT11333"/>
    <s v="P02"/>
    <x v="3"/>
    <x v="7"/>
    <n v="1"/>
    <d v="2026-06-25T00:00:00"/>
    <d v="2026-07-01T00:00:00"/>
    <n v="212.15"/>
    <n v="78.180000000000007"/>
    <n v="78.180000000000007"/>
    <n v="0"/>
    <s v="Paid"/>
    <s v=""/>
    <d v="2026-08-06T00:00:00"/>
    <d v="2026-08-06T00:00:00"/>
    <n v="210"/>
    <n v="0.43"/>
    <n v="90.3"/>
    <n v="12.11999999999999"/>
    <x v="1"/>
    <x v="6"/>
    <x v="11"/>
  </r>
  <r>
    <s v="CLM103783"/>
    <s v="PT12031"/>
    <s v="P01"/>
    <x v="1"/>
    <x v="4"/>
    <n v="1"/>
    <d v="2026-08-29T00:00:00"/>
    <d v="2026-08-30T00:00:00"/>
    <n v="38.65"/>
    <n v="14.7"/>
    <n v="14.7"/>
    <n v="0"/>
    <s v="Paid"/>
    <s v=""/>
    <d v="2026-09-27T00:00:00"/>
    <d v="2026-09-27T00:00:00"/>
    <n v="38"/>
    <n v="0.45"/>
    <n v="17.100000000000001"/>
    <n v="2.4000000000000021"/>
    <x v="1"/>
    <x v="5"/>
    <x v="4"/>
  </r>
  <r>
    <s v="CLM103784"/>
    <s v="PT11175"/>
    <s v="P08"/>
    <x v="2"/>
    <x v="9"/>
    <n v="1"/>
    <d v="2026-01-15T00:00:00"/>
    <d v="2026-01-18T00:00:00"/>
    <n v="58.8"/>
    <n v="58.8"/>
    <n v="58.8"/>
    <n v="0"/>
    <s v="Paid"/>
    <s v=""/>
    <d v="2026-04-25T00:00:00"/>
    <d v="2026-04-25T00:00:00"/>
    <n v="58"/>
    <n v="1"/>
    <n v="58"/>
    <n v="-0.79999999999999716"/>
    <x v="0"/>
    <x v="7"/>
    <x v="5"/>
  </r>
  <r>
    <s v="CLM103785"/>
    <s v="PT10314"/>
    <s v="P05"/>
    <x v="3"/>
    <x v="6"/>
    <n v="1"/>
    <d v="2025-12-31T00:00:00"/>
    <d v="2026-01-03T00:00:00"/>
    <n v="417.36"/>
    <n v="150.56"/>
    <n v="150.56"/>
    <n v="0"/>
    <s v="Paid"/>
    <s v=""/>
    <d v="2026-03-23T00:00:00"/>
    <d v="2026-03-23T00:00:00"/>
    <n v="420"/>
    <n v="0.38"/>
    <n v="159.6"/>
    <n v="9.039999999999992"/>
    <x v="1"/>
    <x v="0"/>
    <x v="6"/>
  </r>
  <r>
    <s v="CLM103786"/>
    <s v="PT13001"/>
    <s v="P01"/>
    <x v="3"/>
    <x v="6"/>
    <n v="1"/>
    <d v="2026-02-11T00:00:00"/>
    <d v="2026-02-12T00:00:00"/>
    <n v="426.54"/>
    <n v="213.4"/>
    <n v="213.4"/>
    <n v="0"/>
    <s v="Paid"/>
    <s v=""/>
    <d v="2026-03-19T00:00:00"/>
    <d v="2026-03-19T00:00:00"/>
    <n v="420"/>
    <n v="0.45"/>
    <n v="189"/>
    <n v="-24.400000000000006"/>
    <x v="0"/>
    <x v="5"/>
    <x v="0"/>
  </r>
  <r>
    <s v="CLM103787"/>
    <s v="PT12702"/>
    <s v="P04"/>
    <x v="1"/>
    <x v="5"/>
    <n v="1"/>
    <d v="2026-02-06T00:00:00"/>
    <d v="2026-02-08T00:00:00"/>
    <n v="4844.3900000000003"/>
    <n v="1535.11"/>
    <n v="1228.0899999999999"/>
    <n v="307.02"/>
    <s v="Paid"/>
    <s v=""/>
    <d v="2026-02-26T00:00:00"/>
    <d v="2026-02-26T00:00:00"/>
    <n v="4800"/>
    <n v="0.36"/>
    <n v="1728"/>
    <n v="192.8900000000001"/>
    <x v="1"/>
    <x v="1"/>
    <x v="0"/>
  </r>
  <r>
    <s v="CLM103788"/>
    <s v="PT13141"/>
    <s v="P04"/>
    <x v="1"/>
    <x v="4"/>
    <n v="1"/>
    <d v="2026-08-30T00:00:00"/>
    <d v="2026-09-04T00:00:00"/>
    <n v="37.74"/>
    <n v="13.81"/>
    <n v="13.81"/>
    <n v="0"/>
    <s v="Paid"/>
    <s v=""/>
    <d v="2026-09-29T00:00:00"/>
    <d v="2026-09-29T00:00:00"/>
    <n v="38"/>
    <n v="0.36"/>
    <n v="13.68"/>
    <n v="-0.13000000000000078"/>
    <x v="0"/>
    <x v="1"/>
    <x v="4"/>
  </r>
  <r>
    <s v="CLM103789"/>
    <s v="PT12650"/>
    <s v="P06"/>
    <x v="0"/>
    <x v="0"/>
    <n v="1"/>
    <d v="2026-05-19T00:00:00"/>
    <d v="2026-05-21T00:00:00"/>
    <n v="148.08000000000001"/>
    <n v="40.33"/>
    <n v="40.33"/>
    <n v="0"/>
    <s v="Paid"/>
    <s v=""/>
    <d v="2026-06-30T00:00:00"/>
    <d v="2026-06-30T00:00:00"/>
    <n v="145"/>
    <n v="0.27"/>
    <n v="39.15"/>
    <n v="-1.1799999999999997"/>
    <x v="0"/>
    <x v="2"/>
    <x v="7"/>
  </r>
  <r>
    <s v="CLM103790"/>
    <s v="PT11855"/>
    <s v="P05"/>
    <x v="0"/>
    <x v="8"/>
    <n v="1"/>
    <d v="2026-07-05T00:00:00"/>
    <d v="2026-07-06T00:00:00"/>
    <n v="254.63"/>
    <n v="106.19"/>
    <n v="84.95"/>
    <n v="21.24"/>
    <s v="Paid"/>
    <s v=""/>
    <d v="2026-09-02T00:00:00"/>
    <d v="2026-09-02T00:00:00"/>
    <n v="260"/>
    <n v="0.38"/>
    <n v="98.8"/>
    <n v="-7.3900000000000006"/>
    <x v="0"/>
    <x v="0"/>
    <x v="1"/>
  </r>
  <r>
    <s v="CLM103791"/>
    <s v="PT12536"/>
    <s v="P03"/>
    <x v="1"/>
    <x v="8"/>
    <n v="1"/>
    <d v="2026-07-24T00:00:00"/>
    <d v="2026-07-26T00:00:00"/>
    <n v="253.84"/>
    <n v="116.74"/>
    <n v="116.74"/>
    <n v="0"/>
    <s v="Paid"/>
    <s v=""/>
    <d v="2026-09-06T00:00:00"/>
    <d v="2026-09-06T00:00:00"/>
    <n v="260"/>
    <n v="0.47"/>
    <n v="122.2"/>
    <n v="5.460000000000008"/>
    <x v="0"/>
    <x v="4"/>
    <x v="1"/>
  </r>
  <r>
    <s v="CLM103792"/>
    <s v="PT13148"/>
    <s v="P05"/>
    <x v="0"/>
    <x v="4"/>
    <n v="1"/>
    <d v="2026-09-17T00:00:00"/>
    <d v="2026-09-18T00:00:00"/>
    <n v="37.72"/>
    <m/>
    <m/>
    <m/>
    <s v="Pending"/>
    <s v=""/>
    <m/>
    <m/>
    <n v="38"/>
    <n v="0.38"/>
    <n v="14.44"/>
    <s v=""/>
    <x v="2"/>
    <x v="0"/>
    <x v="8"/>
  </r>
  <r>
    <s v="CLM103793"/>
    <s v="PT11485"/>
    <s v="P02"/>
    <x v="1"/>
    <x v="7"/>
    <n v="1"/>
    <d v="2026-04-09T00:00:00"/>
    <d v="2026-04-11T00:00:00"/>
    <n v="208.01"/>
    <n v="85.33"/>
    <n v="68.260000000000005"/>
    <n v="17.07"/>
    <s v="Paid"/>
    <s v=""/>
    <d v="2026-06-12T00:00:00"/>
    <d v="2026-06-12T00:00:00"/>
    <n v="210"/>
    <n v="0.43"/>
    <n v="90.3"/>
    <n v="4.9699999999999989"/>
    <x v="1"/>
    <x v="6"/>
    <x v="10"/>
  </r>
  <r>
    <s v="CLM103794"/>
    <s v="PT13245"/>
    <s v="P05"/>
    <x v="3"/>
    <x v="3"/>
    <n v="30"/>
    <d v="2026-07-29T00:00:00"/>
    <d v="2026-07-31T00:00:00"/>
    <n v="43447"/>
    <n v="15778.64"/>
    <n v="15778.64"/>
    <n v="0"/>
    <s v="Paid"/>
    <s v=""/>
    <d v="2026-09-08T00:00:00"/>
    <d v="2026-09-08T00:00:00"/>
    <n v="1450"/>
    <n v="0.38"/>
    <n v="16530"/>
    <n v="751.36000000000058"/>
    <x v="0"/>
    <x v="0"/>
    <x v="1"/>
  </r>
  <r>
    <s v="CLM103795"/>
    <s v="PT10480"/>
    <s v="P01"/>
    <x v="3"/>
    <x v="7"/>
    <n v="1"/>
    <d v="2026-02-02T00:00:00"/>
    <d v="2026-02-09T00:00:00"/>
    <n v="204.39"/>
    <n v="89.86"/>
    <n v="89.86"/>
    <n v="0"/>
    <s v="Paid"/>
    <s v=""/>
    <d v="2026-03-12T00:00:00"/>
    <d v="2026-03-12T00:00:00"/>
    <n v="210"/>
    <n v="0.45"/>
    <n v="94.5"/>
    <n v="4.6400000000000006"/>
    <x v="0"/>
    <x v="5"/>
    <x v="0"/>
  </r>
  <r>
    <s v="CLM103796"/>
    <s v="PT13425"/>
    <s v="P04"/>
    <x v="1"/>
    <x v="10"/>
    <n v="1"/>
    <d v="2026-05-03T00:00:00"/>
    <d v="2026-05-11T00:00:00"/>
    <n v="1071.29"/>
    <n v="365.8"/>
    <n v="365.8"/>
    <n v="0"/>
    <s v="Paid"/>
    <s v=""/>
    <d v="2026-06-04T00:00:00"/>
    <d v="2026-06-04T00:00:00"/>
    <n v="1050"/>
    <n v="0.36"/>
    <n v="378"/>
    <n v="12.199999999999989"/>
    <x v="0"/>
    <x v="1"/>
    <x v="7"/>
  </r>
  <r>
    <s v="CLM103797"/>
    <s v="PT10610"/>
    <s v="P02"/>
    <x v="2"/>
    <x v="2"/>
    <n v="1"/>
    <d v="2026-03-01T00:00:00"/>
    <d v="2026-03-02T00:00:00"/>
    <n v="62.16"/>
    <n v="27.69"/>
    <n v="22.15"/>
    <n v="5.54"/>
    <s v="Paid"/>
    <s v=""/>
    <d v="2026-03-17T00:00:00"/>
    <d v="2026-03-17T00:00:00"/>
    <n v="62"/>
    <n v="0.43"/>
    <n v="26.66"/>
    <n v="-1.0300000000000011"/>
    <x v="0"/>
    <x v="6"/>
    <x v="2"/>
  </r>
  <r>
    <s v="CLM103798"/>
    <s v="PT12473"/>
    <s v="P07"/>
    <x v="0"/>
    <x v="0"/>
    <n v="1"/>
    <d v="2026-08-29T00:00:00"/>
    <d v="2026-08-31T00:00:00"/>
    <n v="143.94"/>
    <m/>
    <m/>
    <m/>
    <s v="Pending"/>
    <s v=""/>
    <m/>
    <m/>
    <n v="145"/>
    <n v="0.28000000000000003"/>
    <n v="40.6"/>
    <s v=""/>
    <x v="2"/>
    <x v="3"/>
    <x v="4"/>
  </r>
  <r>
    <s v="CLM103799"/>
    <s v="PT11814"/>
    <s v="P06"/>
    <x v="1"/>
    <x v="10"/>
    <n v="1"/>
    <d v="2026-05-24T00:00:00"/>
    <d v="2026-05-28T00:00:00"/>
    <n v="1022.13"/>
    <n v="243.32"/>
    <n v="194.66"/>
    <n v="48.66"/>
    <s v="Paid"/>
    <s v=""/>
    <d v="2026-07-09T00:00:00"/>
    <d v="2026-07-09T00:00:00"/>
    <n v="1050"/>
    <n v="0.27"/>
    <n v="283.5"/>
    <n v="40.180000000000007"/>
    <x v="1"/>
    <x v="2"/>
    <x v="7"/>
  </r>
  <r>
    <s v="CLM103800"/>
    <s v="PT12522"/>
    <s v="P01"/>
    <x v="0"/>
    <x v="7"/>
    <n v="1"/>
    <d v="2026-07-22T00:00:00"/>
    <d v="2026-07-25T00:00:00"/>
    <n v="216.03"/>
    <m/>
    <m/>
    <m/>
    <s v="Denied"/>
    <s v="CO-50"/>
    <d v="2026-08-30T00:00:00"/>
    <m/>
    <n v="210"/>
    <n v="0.45"/>
    <n v="94.5"/>
    <s v=""/>
    <x v="2"/>
    <x v="5"/>
    <x v="1"/>
  </r>
  <r>
    <s v="CLM103801"/>
    <s v="PT11852"/>
    <s v="P07"/>
    <x v="1"/>
    <x v="5"/>
    <n v="1"/>
    <d v="2026-01-21T00:00:00"/>
    <d v="2026-01-26T00:00:00"/>
    <n v="4661.3"/>
    <n v="1307.4100000000001"/>
    <n v="1045.93"/>
    <n v="261.48"/>
    <s v="Paid"/>
    <s v=""/>
    <d v="2026-04-03T00:00:00"/>
    <d v="2026-04-03T00:00:00"/>
    <n v="4800"/>
    <n v="0.28000000000000003"/>
    <n v="1344"/>
    <n v="36.589999999999918"/>
    <x v="0"/>
    <x v="3"/>
    <x v="5"/>
  </r>
  <r>
    <s v="CLM103802"/>
    <s v="PT10724"/>
    <s v="P03"/>
    <x v="2"/>
    <x v="0"/>
    <n v="1"/>
    <d v="2026-06-16T00:00:00"/>
    <d v="2026-06-23T00:00:00"/>
    <n v="141.97999999999999"/>
    <n v="77.23"/>
    <n v="61.78"/>
    <n v="15.45"/>
    <s v="Paid"/>
    <s v=""/>
    <d v="2026-08-06T00:00:00"/>
    <d v="2026-08-06T00:00:00"/>
    <n v="145"/>
    <n v="0.47"/>
    <n v="68.150000000000006"/>
    <n v="-9.0799999999999983"/>
    <x v="0"/>
    <x v="4"/>
    <x v="11"/>
  </r>
  <r>
    <s v="CLM103803"/>
    <s v="PT10265"/>
    <s v="P07"/>
    <x v="0"/>
    <x v="8"/>
    <n v="1"/>
    <d v="2026-01-04T00:00:00"/>
    <d v="2026-01-06T00:00:00"/>
    <n v="266.85000000000002"/>
    <n v="84.76"/>
    <n v="67.81"/>
    <n v="16.95"/>
    <s v="Paid"/>
    <s v=""/>
    <d v="2026-02-13T00:00:00"/>
    <d v="2026-02-13T00:00:00"/>
    <n v="260"/>
    <n v="0.28000000000000003"/>
    <n v="72.8"/>
    <n v="-11.960000000000008"/>
    <x v="0"/>
    <x v="3"/>
    <x v="5"/>
  </r>
  <r>
    <s v="CLM103804"/>
    <s v="PT12977"/>
    <s v="P03"/>
    <x v="2"/>
    <x v="9"/>
    <n v="3"/>
    <d v="2026-03-20T00:00:00"/>
    <d v="2026-03-21T00:00:00"/>
    <n v="179.09"/>
    <n v="91.49"/>
    <n v="91.49"/>
    <n v="0"/>
    <s v="Paid"/>
    <s v=""/>
    <d v="2026-05-17T00:00:00"/>
    <d v="2026-05-17T00:00:00"/>
    <n v="58"/>
    <n v="0.47"/>
    <n v="81.78"/>
    <n v="-9.7099999999999937"/>
    <x v="0"/>
    <x v="4"/>
    <x v="2"/>
  </r>
  <r>
    <s v="CLM103805"/>
    <s v="PT12190"/>
    <s v="P06"/>
    <x v="3"/>
    <x v="3"/>
    <n v="30"/>
    <d v="2026-04-14T00:00:00"/>
    <d v="2026-04-17T00:00:00"/>
    <n v="44190.91"/>
    <m/>
    <m/>
    <m/>
    <s v="Denied"/>
    <s v="CO-197"/>
    <d v="2026-05-22T00:00:00"/>
    <m/>
    <n v="1450"/>
    <n v="0.27"/>
    <n v="11745"/>
    <s v=""/>
    <x v="2"/>
    <x v="2"/>
    <x v="10"/>
  </r>
  <r>
    <s v="CLM103806"/>
    <s v="PT12706"/>
    <s v="P04"/>
    <x v="0"/>
    <x v="0"/>
    <n v="1"/>
    <d v="2026-05-19T00:00:00"/>
    <d v="2026-05-26T00:00:00"/>
    <n v="141.34"/>
    <m/>
    <m/>
    <m/>
    <s v="Denied"/>
    <s v="CO-16"/>
    <d v="2026-06-08T00:00:00"/>
    <m/>
    <n v="145"/>
    <n v="0.36"/>
    <n v="52.2"/>
    <s v=""/>
    <x v="2"/>
    <x v="1"/>
    <x v="7"/>
  </r>
  <r>
    <s v="CLM103807"/>
    <s v="PT11561"/>
    <s v="P01"/>
    <x v="1"/>
    <x v="7"/>
    <n v="1"/>
    <d v="2026-08-31T00:00:00"/>
    <d v="2026-09-01T00:00:00"/>
    <n v="214.15"/>
    <m/>
    <m/>
    <m/>
    <s v="Denied"/>
    <s v="CO-11"/>
    <d v="2026-09-16T00:00:00"/>
    <m/>
    <n v="210"/>
    <n v="0.45"/>
    <n v="94.5"/>
    <s v=""/>
    <x v="2"/>
    <x v="5"/>
    <x v="4"/>
  </r>
  <r>
    <s v="CLM103808"/>
    <s v="PT11345"/>
    <s v="P02"/>
    <x v="2"/>
    <x v="2"/>
    <n v="3"/>
    <d v="2026-05-14T00:00:00"/>
    <d v="2026-05-17T00:00:00"/>
    <n v="180.96"/>
    <n v="66.77"/>
    <n v="66.77"/>
    <n v="0"/>
    <s v="Paid"/>
    <s v=""/>
    <d v="2026-06-08T00:00:00"/>
    <d v="2026-06-08T00:00:00"/>
    <n v="62"/>
    <n v="0.43"/>
    <n v="79.98"/>
    <n v="13.210000000000008"/>
    <x v="1"/>
    <x v="6"/>
    <x v="7"/>
  </r>
  <r>
    <s v="CLM103809"/>
    <s v="PT12548"/>
    <s v="P01"/>
    <x v="1"/>
    <x v="5"/>
    <n v="1"/>
    <d v="2026-02-08T00:00:00"/>
    <d v="2026-02-11T00:00:00"/>
    <n v="4917.4399999999996"/>
    <n v="1932.74"/>
    <n v="1932.74"/>
    <n v="0"/>
    <s v="Paid"/>
    <s v=""/>
    <d v="2026-03-23T00:00:00"/>
    <d v="2026-03-23T00:00:00"/>
    <n v="4800"/>
    <n v="0.45"/>
    <n v="2160"/>
    <n v="227.26"/>
    <x v="1"/>
    <x v="5"/>
    <x v="0"/>
  </r>
  <r>
    <s v="CLM103810"/>
    <s v="PT13410"/>
    <s v="P03"/>
    <x v="2"/>
    <x v="2"/>
    <n v="3"/>
    <d v="2026-07-01T00:00:00"/>
    <d v="2026-07-05T00:00:00"/>
    <n v="181.03"/>
    <n v="90.28"/>
    <n v="90.28"/>
    <n v="0"/>
    <s v="Paid"/>
    <s v=""/>
    <d v="2026-08-02T00:00:00"/>
    <d v="2026-08-02T00:00:00"/>
    <n v="62"/>
    <n v="0.47"/>
    <n v="87.42"/>
    <n v="-2.8599999999999994"/>
    <x v="0"/>
    <x v="4"/>
    <x v="1"/>
  </r>
  <r>
    <s v="CLM103811"/>
    <s v="PT10623"/>
    <s v="P01"/>
    <x v="1"/>
    <x v="5"/>
    <n v="1"/>
    <d v="2026-08-24T00:00:00"/>
    <d v="2026-08-30T00:00:00"/>
    <n v="4778.87"/>
    <m/>
    <m/>
    <m/>
    <s v="Denied"/>
    <s v="CO-50"/>
    <d v="2026-09-14T00:00:00"/>
    <m/>
    <n v="4800"/>
    <n v="0.45"/>
    <n v="2160"/>
    <s v=""/>
    <x v="2"/>
    <x v="5"/>
    <x v="4"/>
  </r>
  <r>
    <s v="CLM103812"/>
    <s v="PT12778"/>
    <s v="P02"/>
    <x v="1"/>
    <x v="8"/>
    <n v="1"/>
    <d v="2026-05-29T00:00:00"/>
    <d v="2026-06-12T00:00:00"/>
    <n v="252.98"/>
    <n v="108.78"/>
    <n v="97.9"/>
    <n v="10.88"/>
    <s v="Paid"/>
    <s v=""/>
    <d v="2026-07-26T00:00:00"/>
    <d v="2026-07-26T00:00:00"/>
    <n v="260"/>
    <n v="0.43"/>
    <n v="111.8"/>
    <n v="3.019999999999996"/>
    <x v="0"/>
    <x v="6"/>
    <x v="7"/>
  </r>
  <r>
    <s v="CLM103813"/>
    <s v="PT11166"/>
    <s v="P04"/>
    <x v="1"/>
    <x v="1"/>
    <n v="1"/>
    <d v="2026-06-06T00:00:00"/>
    <d v="2026-06-10T00:00:00"/>
    <n v="243.05"/>
    <n v="92.99"/>
    <n v="92.99"/>
    <n v="0"/>
    <s v="Paid"/>
    <s v=""/>
    <d v="2026-06-27T00:00:00"/>
    <d v="2026-06-27T00:00:00"/>
    <n v="240"/>
    <n v="0.36"/>
    <n v="86.4"/>
    <n v="-6.5899999999999892"/>
    <x v="0"/>
    <x v="1"/>
    <x v="11"/>
  </r>
  <r>
    <s v="CLM103814"/>
    <s v="PT13166"/>
    <s v="P01"/>
    <x v="2"/>
    <x v="2"/>
    <n v="1"/>
    <d v="2026-01-10T00:00:00"/>
    <d v="2026-01-16T00:00:00"/>
    <n v="61.5"/>
    <n v="27.22"/>
    <n v="27.22"/>
    <n v="0"/>
    <s v="Paid"/>
    <s v=""/>
    <d v="2026-02-03T00:00:00"/>
    <d v="2026-02-03T00:00:00"/>
    <n v="62"/>
    <n v="0.45"/>
    <n v="27.9"/>
    <n v="0.67999999999999972"/>
    <x v="0"/>
    <x v="5"/>
    <x v="5"/>
  </r>
  <r>
    <s v="CLM103815"/>
    <s v="PT12415"/>
    <s v="P04"/>
    <x v="1"/>
    <x v="11"/>
    <n v="1"/>
    <d v="2026-08-21T00:00:00"/>
    <d v="2026-08-24T00:00:00"/>
    <n v="1179.6600000000001"/>
    <n v="371.9"/>
    <n v="334.71"/>
    <n v="37.19"/>
    <s v="Paid"/>
    <s v=""/>
    <d v="2026-09-07T00:00:00"/>
    <d v="2026-09-07T00:00:00"/>
    <n v="1150"/>
    <n v="0.36"/>
    <n v="414"/>
    <n v="42.100000000000023"/>
    <x v="1"/>
    <x v="1"/>
    <x v="4"/>
  </r>
  <r>
    <s v="CLM103816"/>
    <s v="PT12550"/>
    <s v="P07"/>
    <x v="2"/>
    <x v="9"/>
    <n v="1"/>
    <d v="2026-01-17T00:00:00"/>
    <d v="2026-01-18T00:00:00"/>
    <n v="59.72"/>
    <m/>
    <m/>
    <m/>
    <s v="Denied"/>
    <s v="CO-16"/>
    <d v="2026-03-09T00:00:00"/>
    <m/>
    <n v="58"/>
    <n v="0.28000000000000003"/>
    <n v="16.239999999999998"/>
    <s v=""/>
    <x v="2"/>
    <x v="3"/>
    <x v="5"/>
  </r>
  <r>
    <s v="CLM103817"/>
    <s v="PT12073"/>
    <s v="P07"/>
    <x v="2"/>
    <x v="9"/>
    <n v="4"/>
    <d v="2026-06-06T00:00:00"/>
    <d v="2026-06-07T00:00:00"/>
    <n v="235.62"/>
    <n v="69.400000000000006"/>
    <n v="55.52"/>
    <n v="13.88"/>
    <s v="Paid"/>
    <s v=""/>
    <d v="2026-08-14T00:00:00"/>
    <d v="2026-08-14T00:00:00"/>
    <n v="58"/>
    <n v="0.28000000000000003"/>
    <n v="64.959999999999994"/>
    <n v="-4.4400000000000119"/>
    <x v="0"/>
    <x v="3"/>
    <x v="11"/>
  </r>
  <r>
    <s v="CLM103818"/>
    <s v="PT10480"/>
    <s v="P04"/>
    <x v="1"/>
    <x v="1"/>
    <n v="1"/>
    <d v="2026-04-03T00:00:00"/>
    <d v="2026-04-05T00:00:00"/>
    <n v="243.48"/>
    <n v="81"/>
    <n v="81"/>
    <n v="0"/>
    <s v="Paid"/>
    <s v=""/>
    <d v="2026-04-23T00:00:00"/>
    <d v="2026-04-23T00:00:00"/>
    <n v="240"/>
    <n v="0.36"/>
    <n v="86.4"/>
    <n v="5.4000000000000057"/>
    <x v="1"/>
    <x v="1"/>
    <x v="10"/>
  </r>
  <r>
    <s v="CLM103819"/>
    <s v="PT10420"/>
    <s v="P07"/>
    <x v="1"/>
    <x v="4"/>
    <n v="1"/>
    <d v="2026-06-02T00:00:00"/>
    <d v="2026-06-04T00:00:00"/>
    <n v="37.78"/>
    <m/>
    <m/>
    <m/>
    <s v="Denied"/>
    <s v="CO-50"/>
    <d v="2026-07-27T00:00:00"/>
    <m/>
    <n v="38"/>
    <n v="0.28000000000000003"/>
    <n v="10.64"/>
    <s v=""/>
    <x v="2"/>
    <x v="3"/>
    <x v="11"/>
  </r>
  <r>
    <s v="CLM103820"/>
    <s v="PT10612"/>
    <s v="P01"/>
    <x v="2"/>
    <x v="2"/>
    <n v="2"/>
    <d v="2026-01-13T00:00:00"/>
    <d v="2026-01-16T00:00:00"/>
    <n v="122.97"/>
    <n v="48.75"/>
    <n v="43.87"/>
    <n v="4.88"/>
    <s v="Paid"/>
    <s v=""/>
    <d v="2026-02-10T00:00:00"/>
    <d v="2026-02-10T00:00:00"/>
    <n v="62"/>
    <n v="0.45"/>
    <n v="55.8"/>
    <n v="7.0499999999999972"/>
    <x v="1"/>
    <x v="5"/>
    <x v="5"/>
  </r>
  <r>
    <s v="CLM103821"/>
    <s v="PT13039"/>
    <s v="P01"/>
    <x v="3"/>
    <x v="7"/>
    <n v="1"/>
    <d v="2026-02-20T00:00:00"/>
    <d v="2026-02-25T00:00:00"/>
    <n v="206.66"/>
    <m/>
    <m/>
    <m/>
    <s v="Denied"/>
    <s v="CO-16"/>
    <d v="2026-03-29T00:00:00"/>
    <m/>
    <n v="210"/>
    <n v="0.45"/>
    <n v="94.5"/>
    <s v=""/>
    <x v="2"/>
    <x v="5"/>
    <x v="0"/>
  </r>
  <r>
    <s v="CLM103822"/>
    <s v="PT11248"/>
    <s v="P03"/>
    <x v="1"/>
    <x v="8"/>
    <n v="1"/>
    <d v="2026-01-23T00:00:00"/>
    <d v="2026-01-24T00:00:00"/>
    <n v="258.02999999999997"/>
    <n v="135.44999999999999"/>
    <n v="135.44999999999999"/>
    <n v="0"/>
    <s v="Paid"/>
    <s v=""/>
    <d v="2026-03-04T00:00:00"/>
    <d v="2026-03-04T00:00:00"/>
    <n v="260"/>
    <n v="0.47"/>
    <n v="122.2"/>
    <n v="-13.249999999999986"/>
    <x v="0"/>
    <x v="4"/>
    <x v="5"/>
  </r>
  <r>
    <s v="CLM103823"/>
    <s v="PT11422"/>
    <s v="P04"/>
    <x v="3"/>
    <x v="3"/>
    <n v="5"/>
    <d v="2026-02-27T00:00:00"/>
    <d v="2026-03-04T00:00:00"/>
    <n v="7239.5"/>
    <m/>
    <m/>
    <m/>
    <s v="Denied"/>
    <s v="CO-197"/>
    <d v="2026-03-26T00:00:00"/>
    <m/>
    <n v="1450"/>
    <n v="0.36"/>
    <n v="2610"/>
    <s v=""/>
    <x v="2"/>
    <x v="1"/>
    <x v="0"/>
  </r>
  <r>
    <s v="CLM103824"/>
    <s v="PT11504"/>
    <s v="P07"/>
    <x v="0"/>
    <x v="4"/>
    <n v="1"/>
    <d v="2025-12-20T00:00:00"/>
    <d v="2025-12-22T00:00:00"/>
    <n v="38.299999999999997"/>
    <n v="10.56"/>
    <n v="10.56"/>
    <n v="0"/>
    <s v="Paid"/>
    <s v=""/>
    <d v="2026-02-21T00:00:00"/>
    <d v="2026-02-21T00:00:00"/>
    <n v="38"/>
    <n v="0.28000000000000003"/>
    <n v="10.64"/>
    <n v="8.0000000000000071E-2"/>
    <x v="0"/>
    <x v="3"/>
    <x v="6"/>
  </r>
  <r>
    <s v="CLM103825"/>
    <s v="PT11884"/>
    <s v="P06"/>
    <x v="0"/>
    <x v="7"/>
    <n v="1"/>
    <d v="2025-12-09T00:00:00"/>
    <d v="2025-12-15T00:00:00"/>
    <n v="208.97"/>
    <n v="59.31"/>
    <n v="47.45"/>
    <n v="11.86"/>
    <s v="Paid"/>
    <s v=""/>
    <d v="2026-01-26T00:00:00"/>
    <d v="2026-01-26T00:00:00"/>
    <n v="210"/>
    <n v="0.27"/>
    <n v="56.7"/>
    <n v="-2.6099999999999994"/>
    <x v="0"/>
    <x v="2"/>
    <x v="6"/>
  </r>
  <r>
    <s v="CLM103826"/>
    <s v="PT13141"/>
    <s v="P01"/>
    <x v="0"/>
    <x v="0"/>
    <n v="1"/>
    <d v="2026-04-08T00:00:00"/>
    <d v="2026-04-09T00:00:00"/>
    <n v="142.37"/>
    <n v="68.989999999999995"/>
    <n v="62.09"/>
    <n v="6.9"/>
    <s v="Paid"/>
    <s v=""/>
    <d v="2026-05-12T00:00:00"/>
    <d v="2026-05-12T00:00:00"/>
    <n v="145"/>
    <n v="0.45"/>
    <n v="65.25"/>
    <n v="-3.7399999999999949"/>
    <x v="0"/>
    <x v="5"/>
    <x v="10"/>
  </r>
  <r>
    <s v="CLM103827"/>
    <s v="PT10866"/>
    <s v="P02"/>
    <x v="1"/>
    <x v="5"/>
    <n v="1"/>
    <d v="2026-05-16T00:00:00"/>
    <d v="2026-05-18T00:00:00"/>
    <n v="4793.32"/>
    <n v="2175.35"/>
    <n v="1740.28"/>
    <n v="435.07"/>
    <s v="Paid"/>
    <s v=""/>
    <d v="2026-06-18T00:00:00"/>
    <d v="2026-06-18T00:00:00"/>
    <n v="4800"/>
    <n v="0.43"/>
    <n v="2064"/>
    <n v="-111.34999999999991"/>
    <x v="0"/>
    <x v="6"/>
    <x v="7"/>
  </r>
  <r>
    <s v="CLM103828"/>
    <s v="PT13268"/>
    <s v="P01"/>
    <x v="3"/>
    <x v="3"/>
    <n v="30"/>
    <d v="2026-05-14T00:00:00"/>
    <d v="2026-05-15T00:00:00"/>
    <n v="42215.62"/>
    <n v="21781.27"/>
    <n v="21781.27"/>
    <n v="0"/>
    <s v="Paid"/>
    <s v=""/>
    <d v="2026-06-07T00:00:00"/>
    <d v="2026-06-07T00:00:00"/>
    <n v="1450"/>
    <n v="0.45"/>
    <n v="19575"/>
    <n v="-2206.2700000000004"/>
    <x v="0"/>
    <x v="5"/>
    <x v="7"/>
  </r>
  <r>
    <s v="CLM103829"/>
    <s v="PT12817"/>
    <s v="P04"/>
    <x v="1"/>
    <x v="7"/>
    <n v="1"/>
    <d v="2026-01-23T00:00:00"/>
    <d v="2026-02-01T00:00:00"/>
    <n v="216.1"/>
    <n v="85.73"/>
    <n v="68.58"/>
    <n v="17.149999999999999"/>
    <s v="Paid"/>
    <s v=""/>
    <d v="2026-02-24T00:00:00"/>
    <d v="2026-02-24T00:00:00"/>
    <n v="210"/>
    <n v="0.36"/>
    <n v="75.599999999999994"/>
    <n v="-10.13000000000001"/>
    <x v="0"/>
    <x v="1"/>
    <x v="5"/>
  </r>
  <r>
    <s v="CLM103830"/>
    <s v="PT10049"/>
    <s v="P05"/>
    <x v="3"/>
    <x v="3"/>
    <n v="30"/>
    <d v="2026-06-07T00:00:00"/>
    <d v="2026-06-09T00:00:00"/>
    <n v="42899.25"/>
    <m/>
    <m/>
    <m/>
    <s v="Denied"/>
    <s v="CO-16"/>
    <d v="2026-08-05T00:00:00"/>
    <m/>
    <n v="1450"/>
    <n v="0.38"/>
    <n v="16530"/>
    <s v=""/>
    <x v="2"/>
    <x v="0"/>
    <x v="11"/>
  </r>
  <r>
    <s v="CLM103831"/>
    <s v="PT12289"/>
    <s v="P02"/>
    <x v="2"/>
    <x v="0"/>
    <n v="1"/>
    <d v="2025-12-07T00:00:00"/>
    <d v="2025-12-12T00:00:00"/>
    <n v="145.77000000000001"/>
    <n v="53.73"/>
    <n v="53.73"/>
    <n v="0"/>
    <s v="Paid"/>
    <s v=""/>
    <d v="2026-01-17T00:00:00"/>
    <d v="2026-01-17T00:00:00"/>
    <n v="145"/>
    <n v="0.43"/>
    <n v="62.35"/>
    <n v="8.6200000000000045"/>
    <x v="1"/>
    <x v="6"/>
    <x v="6"/>
  </r>
  <r>
    <s v="CLM103832"/>
    <s v="PT12695"/>
    <s v="P01"/>
    <x v="3"/>
    <x v="6"/>
    <n v="1"/>
    <d v="2026-05-10T00:00:00"/>
    <d v="2026-05-17T00:00:00"/>
    <n v="421.77"/>
    <n v="195.63"/>
    <n v="156.5"/>
    <n v="39.130000000000003"/>
    <s v="Paid"/>
    <s v=""/>
    <d v="2026-06-12T00:00:00"/>
    <d v="2026-06-12T00:00:00"/>
    <n v="420"/>
    <n v="0.45"/>
    <n v="189"/>
    <n v="-6.6299999999999955"/>
    <x v="0"/>
    <x v="5"/>
    <x v="7"/>
  </r>
  <r>
    <s v="CLM103833"/>
    <s v="PT11253"/>
    <s v="P03"/>
    <x v="2"/>
    <x v="2"/>
    <n v="3"/>
    <d v="2025-12-17T00:00:00"/>
    <d v="2025-12-19T00:00:00"/>
    <n v="181.99"/>
    <n v="92.16"/>
    <n v="92.16"/>
    <n v="0"/>
    <s v="Paid"/>
    <s v=""/>
    <d v="2026-02-05T00:00:00"/>
    <d v="2026-02-05T00:00:00"/>
    <n v="62"/>
    <n v="0.47"/>
    <n v="87.42"/>
    <n v="-4.7399999999999949"/>
    <x v="0"/>
    <x v="4"/>
    <x v="6"/>
  </r>
  <r>
    <s v="CLM103835"/>
    <s v="PT12812"/>
    <s v="P03"/>
    <x v="3"/>
    <x v="3"/>
    <n v="5"/>
    <d v="2026-01-06T00:00:00"/>
    <d v="2026-01-10T00:00:00"/>
    <n v="7189.23"/>
    <n v="3555.97"/>
    <n v="3555.97"/>
    <n v="0"/>
    <s v="Paid"/>
    <s v=""/>
    <d v="2026-02-16T00:00:00"/>
    <d v="2026-02-16T00:00:00"/>
    <n v="1450"/>
    <n v="0.47"/>
    <n v="3407.5"/>
    <n v="-148.4699999999998"/>
    <x v="0"/>
    <x v="4"/>
    <x v="5"/>
  </r>
  <r>
    <s v="CLM103836"/>
    <s v="PT12774"/>
    <s v="P01"/>
    <x v="0"/>
    <x v="8"/>
    <n v="1"/>
    <d v="2026-01-18T00:00:00"/>
    <d v="2026-01-22T00:00:00"/>
    <n v="257.18"/>
    <n v="118.7"/>
    <n v="118.7"/>
    <n v="0"/>
    <s v="Paid"/>
    <s v=""/>
    <d v="2026-02-21T00:00:00"/>
    <d v="2026-02-21T00:00:00"/>
    <n v="260"/>
    <n v="0.45"/>
    <n v="117"/>
    <n v="-1.7000000000000028"/>
    <x v="0"/>
    <x v="5"/>
    <x v="5"/>
  </r>
  <r>
    <s v="CLM103837"/>
    <s v="PT10836"/>
    <s v="P07"/>
    <x v="2"/>
    <x v="0"/>
    <n v="1"/>
    <d v="2026-06-23T00:00:00"/>
    <d v="2026-06-29T00:00:00"/>
    <n v="148.79"/>
    <m/>
    <m/>
    <m/>
    <s v="Denied"/>
    <s v="CO-18"/>
    <d v="2026-08-22T00:00:00"/>
    <m/>
    <n v="145"/>
    <n v="0.28000000000000003"/>
    <n v="40.6"/>
    <s v=""/>
    <x v="2"/>
    <x v="3"/>
    <x v="11"/>
  </r>
  <r>
    <s v="CLM103838"/>
    <s v="PT12712"/>
    <s v="P08"/>
    <x v="1"/>
    <x v="5"/>
    <n v="1"/>
    <d v="2026-06-19T00:00:00"/>
    <d v="2026-06-24T00:00:00"/>
    <n v="4664.45"/>
    <m/>
    <m/>
    <m/>
    <s v="Pending"/>
    <s v=""/>
    <m/>
    <m/>
    <n v="4800"/>
    <n v="1"/>
    <n v="4800"/>
    <s v=""/>
    <x v="2"/>
    <x v="7"/>
    <x v="11"/>
  </r>
  <r>
    <s v="CLM103839"/>
    <s v="PT12911"/>
    <s v="P06"/>
    <x v="0"/>
    <x v="8"/>
    <n v="1"/>
    <d v="2026-02-17T00:00:00"/>
    <d v="2026-02-25T00:00:00"/>
    <n v="255.47"/>
    <m/>
    <m/>
    <m/>
    <s v="Denied"/>
    <s v="CO-16"/>
    <d v="2026-03-17T00:00:00"/>
    <m/>
    <n v="260"/>
    <n v="0.27"/>
    <n v="70.2"/>
    <s v=""/>
    <x v="2"/>
    <x v="2"/>
    <x v="0"/>
  </r>
  <r>
    <s v="CLM103840"/>
    <s v="PT10191"/>
    <s v="P05"/>
    <x v="2"/>
    <x v="2"/>
    <n v="4"/>
    <d v="2025-11-08T00:00:00"/>
    <d v="2025-11-09T00:00:00"/>
    <n v="254.28"/>
    <n v="91.12"/>
    <n v="91.12"/>
    <n v="0"/>
    <s v="Paid"/>
    <s v=""/>
    <d v="2026-01-11T00:00:00"/>
    <d v="2026-01-11T00:00:00"/>
    <n v="62"/>
    <n v="0.38"/>
    <n v="94.24"/>
    <n v="3.1199999999999903"/>
    <x v="0"/>
    <x v="0"/>
    <x v="3"/>
  </r>
  <r>
    <s v="CLM103841"/>
    <s v="PT10269"/>
    <s v="P04"/>
    <x v="3"/>
    <x v="6"/>
    <n v="1"/>
    <d v="2026-06-07T00:00:00"/>
    <d v="2026-06-13T00:00:00"/>
    <n v="415.7"/>
    <n v="163.02000000000001"/>
    <n v="163.02000000000001"/>
    <n v="0"/>
    <s v="Paid"/>
    <s v=""/>
    <d v="2026-07-04T00:00:00"/>
    <d v="2026-07-04T00:00:00"/>
    <n v="420"/>
    <n v="0.36"/>
    <n v="151.19999999999999"/>
    <n v="-11.820000000000022"/>
    <x v="0"/>
    <x v="1"/>
    <x v="11"/>
  </r>
  <r>
    <s v="CLM103842"/>
    <s v="PT11582"/>
    <s v="P03"/>
    <x v="2"/>
    <x v="0"/>
    <n v="1"/>
    <d v="2026-05-25T00:00:00"/>
    <d v="2026-05-26T00:00:00"/>
    <n v="142.1"/>
    <n v="58.89"/>
    <n v="58.89"/>
    <n v="0"/>
    <s v="Paid"/>
    <s v=""/>
    <d v="2026-07-25T00:00:00"/>
    <d v="2026-07-25T00:00:00"/>
    <n v="145"/>
    <n v="0.47"/>
    <n v="68.150000000000006"/>
    <n v="9.2600000000000051"/>
    <x v="1"/>
    <x v="4"/>
    <x v="7"/>
  </r>
  <r>
    <s v="CLM103843"/>
    <s v="PT11263"/>
    <s v="P02"/>
    <x v="0"/>
    <x v="4"/>
    <n v="1"/>
    <d v="2025-10-04T00:00:00"/>
    <d v="2025-10-05T00:00:00"/>
    <n v="37.36"/>
    <n v="14.15"/>
    <n v="14.15"/>
    <n v="0"/>
    <s v="Paid"/>
    <s v=""/>
    <d v="2025-11-01T00:00:00"/>
    <d v="2025-11-01T00:00:00"/>
    <n v="38"/>
    <n v="0.43"/>
    <n v="16.34"/>
    <n v="2.1899999999999995"/>
    <x v="1"/>
    <x v="6"/>
    <x v="9"/>
  </r>
  <r>
    <s v="CLM103844"/>
    <s v="PT12502"/>
    <s v="P07"/>
    <x v="1"/>
    <x v="7"/>
    <n v="1"/>
    <d v="2026-06-10T00:00:00"/>
    <d v="2026-06-13T00:00:00"/>
    <n v="214.49"/>
    <n v="66.790000000000006"/>
    <n v="60.11"/>
    <n v="6.68"/>
    <s v="Paid"/>
    <s v=""/>
    <d v="2026-08-13T00:00:00"/>
    <d v="2026-08-13T00:00:00"/>
    <n v="210"/>
    <n v="0.28000000000000003"/>
    <n v="58.8"/>
    <n v="-7.9900000000000091"/>
    <x v="0"/>
    <x v="3"/>
    <x v="11"/>
  </r>
  <r>
    <s v="CLM103845"/>
    <s v="PT11409"/>
    <s v="P03"/>
    <x v="2"/>
    <x v="2"/>
    <n v="1"/>
    <d v="2025-10-13T00:00:00"/>
    <d v="2025-10-15T00:00:00"/>
    <n v="60.57"/>
    <m/>
    <m/>
    <m/>
    <s v="Denied"/>
    <s v="CO-27"/>
    <d v="2025-11-27T00:00:00"/>
    <m/>
    <n v="62"/>
    <n v="0.47"/>
    <n v="29.14"/>
    <s v=""/>
    <x v="2"/>
    <x v="4"/>
    <x v="9"/>
  </r>
  <r>
    <s v="CLM103846"/>
    <s v="PT10307"/>
    <s v="P04"/>
    <x v="2"/>
    <x v="9"/>
    <n v="1"/>
    <d v="2026-01-01T00:00:00"/>
    <d v="2026-01-04T00:00:00"/>
    <n v="56.48"/>
    <n v="20.61"/>
    <n v="20.61"/>
    <n v="0"/>
    <s v="Paid"/>
    <s v=""/>
    <d v="2026-01-21T00:00:00"/>
    <d v="2026-01-21T00:00:00"/>
    <n v="58"/>
    <n v="0.36"/>
    <n v="20.88"/>
    <n v="0.26999999999999957"/>
    <x v="0"/>
    <x v="1"/>
    <x v="5"/>
  </r>
  <r>
    <s v="CLM103847"/>
    <s v="PT10020"/>
    <s v="P08"/>
    <x v="1"/>
    <x v="10"/>
    <n v="1"/>
    <d v="2025-12-30T00:00:00"/>
    <d v="2026-01-03T00:00:00"/>
    <n v="1020.38"/>
    <n v="1020.38"/>
    <n v="1020.38"/>
    <n v="0"/>
    <s v="Paid"/>
    <s v=""/>
    <d v="2026-03-26T00:00:00"/>
    <d v="2026-03-26T00:00:00"/>
    <n v="1050"/>
    <n v="1"/>
    <n v="1050"/>
    <n v="29.620000000000005"/>
    <x v="0"/>
    <x v="7"/>
    <x v="6"/>
  </r>
  <r>
    <s v="CLM103848"/>
    <s v="PT12028"/>
    <s v="P02"/>
    <x v="1"/>
    <x v="5"/>
    <n v="1"/>
    <d v="2026-08-12T00:00:00"/>
    <d v="2026-08-21T00:00:00"/>
    <n v="4767.6000000000004"/>
    <m/>
    <m/>
    <m/>
    <s v="Denied"/>
    <s v="CO-50"/>
    <d v="2026-09-19T00:00:00"/>
    <m/>
    <n v="4800"/>
    <n v="0.43"/>
    <n v="2064"/>
    <s v=""/>
    <x v="2"/>
    <x v="6"/>
    <x v="4"/>
  </r>
  <r>
    <s v="CLM103849"/>
    <s v="PT10936"/>
    <s v="P05"/>
    <x v="1"/>
    <x v="4"/>
    <n v="1"/>
    <d v="2026-04-05T00:00:00"/>
    <d v="2026-04-10T00:00:00"/>
    <n v="36.97"/>
    <n v="11.97"/>
    <n v="10.77"/>
    <n v="1.2"/>
    <s v="Paid"/>
    <s v=""/>
    <d v="2026-05-29T00:00:00"/>
    <d v="2026-05-29T00:00:00"/>
    <n v="38"/>
    <n v="0.38"/>
    <n v="14.44"/>
    <n v="2.4699999999999989"/>
    <x v="1"/>
    <x v="0"/>
    <x v="10"/>
  </r>
  <r>
    <s v="CLM103850"/>
    <s v="PT10146"/>
    <s v="P02"/>
    <x v="1"/>
    <x v="7"/>
    <n v="1"/>
    <d v="2025-11-27T00:00:00"/>
    <d v="2025-12-02T00:00:00"/>
    <n v="215.73"/>
    <n v="87.22"/>
    <n v="87.22"/>
    <n v="0"/>
    <s v="Paid"/>
    <s v=""/>
    <d v="2025-12-13T00:00:00"/>
    <d v="2025-12-13T00:00:00"/>
    <n v="210"/>
    <n v="0.43"/>
    <n v="90.3"/>
    <n v="3.0799999999999983"/>
    <x v="0"/>
    <x v="6"/>
    <x v="3"/>
  </r>
  <r>
    <s v="CLM103851"/>
    <s v="PT10411"/>
    <s v="P04"/>
    <x v="1"/>
    <x v="5"/>
    <n v="1"/>
    <d v="2026-04-12T00:00:00"/>
    <d v="2026-04-15T00:00:00"/>
    <n v="4926.25"/>
    <m/>
    <m/>
    <m/>
    <s v="Denied"/>
    <s v="CO-11"/>
    <d v="2026-05-07T00:00:00"/>
    <m/>
    <n v="4800"/>
    <n v="0.36"/>
    <n v="1728"/>
    <s v=""/>
    <x v="2"/>
    <x v="1"/>
    <x v="10"/>
  </r>
  <r>
    <s v="CLM103852"/>
    <s v="PT12322"/>
    <s v="P07"/>
    <x v="1"/>
    <x v="5"/>
    <n v="1"/>
    <d v="2025-12-16T00:00:00"/>
    <d v="2025-12-17T00:00:00"/>
    <n v="4740.5"/>
    <m/>
    <m/>
    <m/>
    <s v="Denied"/>
    <s v="CO-16"/>
    <d v="2026-01-05T00:00:00"/>
    <m/>
    <n v="4800"/>
    <n v="0.28000000000000003"/>
    <n v="1344"/>
    <s v=""/>
    <x v="2"/>
    <x v="3"/>
    <x v="6"/>
  </r>
  <r>
    <s v="CLM103853"/>
    <s v="PT10821"/>
    <s v="P02"/>
    <x v="0"/>
    <x v="8"/>
    <n v="1"/>
    <d v="2026-07-16T00:00:00"/>
    <d v="2026-07-23T00:00:00"/>
    <n v="252.98"/>
    <n v="124.31"/>
    <n v="111.88"/>
    <n v="12.43"/>
    <s v="Paid"/>
    <s v=""/>
    <d v="2026-09-01T00:00:00"/>
    <d v="2026-09-01T00:00:00"/>
    <n v="260"/>
    <n v="0.43"/>
    <n v="111.8"/>
    <n v="-12.510000000000005"/>
    <x v="0"/>
    <x v="6"/>
    <x v="1"/>
  </r>
  <r>
    <s v="CLM103854"/>
    <s v="PT10580"/>
    <s v="P04"/>
    <x v="1"/>
    <x v="8"/>
    <n v="1"/>
    <d v="2026-06-16T00:00:00"/>
    <d v="2026-06-17T00:00:00"/>
    <n v="252.5"/>
    <n v="85.2"/>
    <n v="68.16"/>
    <n v="17.04"/>
    <s v="Paid"/>
    <s v=""/>
    <d v="2026-07-03T00:00:00"/>
    <d v="2026-07-03T00:00:00"/>
    <n v="260"/>
    <n v="0.36"/>
    <n v="93.6"/>
    <n v="8.3999999999999915"/>
    <x v="1"/>
    <x v="1"/>
    <x v="11"/>
  </r>
  <r>
    <s v="CLM103855"/>
    <s v="PT10922"/>
    <s v="P02"/>
    <x v="3"/>
    <x v="6"/>
    <n v="1"/>
    <d v="2025-11-17T00:00:00"/>
    <d v="2025-11-20T00:00:00"/>
    <n v="425.38"/>
    <n v="160.41999999999999"/>
    <n v="160.41999999999999"/>
    <n v="0"/>
    <s v="Paid"/>
    <s v=""/>
    <d v="2025-12-21T00:00:00"/>
    <d v="2025-12-21T00:00:00"/>
    <n v="420"/>
    <n v="0.43"/>
    <n v="180.6"/>
    <n v="20.180000000000007"/>
    <x v="1"/>
    <x v="6"/>
    <x v="3"/>
  </r>
  <r>
    <s v="CLM103856"/>
    <s v="PT12633"/>
    <s v="P07"/>
    <x v="0"/>
    <x v="8"/>
    <n v="1"/>
    <d v="2026-04-03T00:00:00"/>
    <d v="2026-04-08T00:00:00"/>
    <n v="260.17"/>
    <n v="67.86"/>
    <n v="61.07"/>
    <n v="6.79"/>
    <s v="Paid"/>
    <s v=""/>
    <d v="2026-06-09T00:00:00"/>
    <d v="2026-06-09T00:00:00"/>
    <n v="260"/>
    <n v="0.28000000000000003"/>
    <n v="72.8"/>
    <n v="4.9399999999999977"/>
    <x v="1"/>
    <x v="3"/>
    <x v="10"/>
  </r>
  <r>
    <s v="CLM103857"/>
    <s v="PT12457"/>
    <s v="P03"/>
    <x v="1"/>
    <x v="8"/>
    <n v="1"/>
    <d v="2026-08-27T00:00:00"/>
    <d v="2026-08-28T00:00:00"/>
    <n v="266.47000000000003"/>
    <m/>
    <m/>
    <m/>
    <s v="Pending"/>
    <s v=""/>
    <m/>
    <m/>
    <n v="260"/>
    <n v="0.47"/>
    <n v="122.2"/>
    <s v=""/>
    <x v="2"/>
    <x v="4"/>
    <x v="4"/>
  </r>
  <r>
    <s v="CLM103858"/>
    <s v="PT11407"/>
    <s v="P02"/>
    <x v="0"/>
    <x v="0"/>
    <n v="1"/>
    <d v="2025-10-09T00:00:00"/>
    <d v="2025-10-10T00:00:00"/>
    <n v="147.97999999999999"/>
    <n v="60.29"/>
    <n v="48.23"/>
    <n v="12.06"/>
    <s v="Paid"/>
    <s v=""/>
    <d v="2025-11-17T00:00:00"/>
    <d v="2025-11-17T00:00:00"/>
    <n v="145"/>
    <n v="0.43"/>
    <n v="62.35"/>
    <n v="2.0600000000000023"/>
    <x v="0"/>
    <x v="6"/>
    <x v="9"/>
  </r>
  <r>
    <s v="CLM103859"/>
    <s v="PT12652"/>
    <s v="P04"/>
    <x v="1"/>
    <x v="4"/>
    <n v="1"/>
    <d v="2025-12-22T00:00:00"/>
    <d v="2026-01-01T00:00:00"/>
    <n v="37.75"/>
    <n v="12.97"/>
    <n v="10.38"/>
    <n v="2.59"/>
    <s v="Paid"/>
    <s v=""/>
    <d v="2026-01-24T00:00:00"/>
    <d v="2026-01-24T00:00:00"/>
    <n v="38"/>
    <n v="0.36"/>
    <n v="13.68"/>
    <n v="0.70999999999999908"/>
    <x v="1"/>
    <x v="1"/>
    <x v="6"/>
  </r>
  <r>
    <s v="CLM103860"/>
    <s v="PT11740"/>
    <s v="P05"/>
    <x v="1"/>
    <x v="7"/>
    <n v="1"/>
    <d v="2026-06-21T00:00:00"/>
    <d v="2026-06-23T00:00:00"/>
    <n v="211.6"/>
    <m/>
    <m/>
    <m/>
    <s v="Denied"/>
    <s v="CO-4"/>
    <d v="2026-08-16T00:00:00"/>
    <m/>
    <n v="210"/>
    <n v="0.38"/>
    <n v="79.8"/>
    <s v=""/>
    <x v="2"/>
    <x v="0"/>
    <x v="11"/>
  </r>
  <r>
    <s v="CLM103861"/>
    <s v="PT13207"/>
    <s v="P01"/>
    <x v="0"/>
    <x v="7"/>
    <n v="1"/>
    <d v="2025-10-02T00:00:00"/>
    <d v="2025-10-17T00:00:00"/>
    <n v="206.94"/>
    <n v="92.72"/>
    <n v="74.180000000000007"/>
    <n v="18.54"/>
    <s v="Paid"/>
    <s v=""/>
    <d v="2025-11-26T00:00:00"/>
    <d v="2025-11-26T00:00:00"/>
    <n v="210"/>
    <n v="0.45"/>
    <n v="94.5"/>
    <n v="1.7800000000000011"/>
    <x v="0"/>
    <x v="5"/>
    <x v="9"/>
  </r>
  <r>
    <s v="CLM103862"/>
    <s v="PT11921"/>
    <s v="P02"/>
    <x v="3"/>
    <x v="3"/>
    <n v="20"/>
    <d v="2026-04-11T00:00:00"/>
    <d v="2026-04-13T00:00:00"/>
    <n v="28283.79"/>
    <m/>
    <m/>
    <m/>
    <s v="Denied"/>
    <s v="CO-27"/>
    <d v="2026-05-03T00:00:00"/>
    <m/>
    <n v="1450"/>
    <n v="0.43"/>
    <n v="12470"/>
    <s v=""/>
    <x v="2"/>
    <x v="6"/>
    <x v="10"/>
  </r>
  <r>
    <s v="CLM103863"/>
    <s v="PT12944"/>
    <s v="P02"/>
    <x v="1"/>
    <x v="11"/>
    <n v="1"/>
    <d v="2026-04-07T00:00:00"/>
    <d v="2026-04-20T00:00:00"/>
    <n v="1140"/>
    <n v="419.08"/>
    <n v="335.26"/>
    <n v="83.82"/>
    <s v="Paid"/>
    <s v=""/>
    <d v="2026-05-07T00:00:00"/>
    <d v="2026-05-07T00:00:00"/>
    <n v="1150"/>
    <n v="0.43"/>
    <n v="494.5"/>
    <n v="75.420000000000016"/>
    <x v="1"/>
    <x v="6"/>
    <x v="10"/>
  </r>
  <r>
    <s v="CLM103864"/>
    <s v="PT11041"/>
    <s v="P03"/>
    <x v="0"/>
    <x v="8"/>
    <n v="1"/>
    <d v="2026-03-11T00:00:00"/>
    <d v="2026-03-21T00:00:00"/>
    <n v="258.83"/>
    <m/>
    <m/>
    <m/>
    <s v="Denied"/>
    <s v="CO-27"/>
    <d v="2026-04-14T00:00:00"/>
    <m/>
    <n v="260"/>
    <n v="0.47"/>
    <n v="122.2"/>
    <s v=""/>
    <x v="2"/>
    <x v="4"/>
    <x v="2"/>
  </r>
  <r>
    <s v="CLM103865"/>
    <s v="PT11713"/>
    <s v="P02"/>
    <x v="0"/>
    <x v="7"/>
    <n v="1"/>
    <d v="2025-10-30T00:00:00"/>
    <d v="2025-10-31T00:00:00"/>
    <n v="211.83"/>
    <n v="95.21"/>
    <n v="95.21"/>
    <n v="0"/>
    <s v="Paid"/>
    <s v=""/>
    <d v="2025-11-26T00:00:00"/>
    <d v="2025-11-26T00:00:00"/>
    <n v="210"/>
    <n v="0.43"/>
    <n v="90.3"/>
    <n v="-4.9099999999999966"/>
    <x v="0"/>
    <x v="6"/>
    <x v="9"/>
  </r>
  <r>
    <s v="CLM103866"/>
    <s v="PT10828"/>
    <s v="P01"/>
    <x v="1"/>
    <x v="11"/>
    <n v="1"/>
    <d v="2025-10-31T00:00:00"/>
    <d v="2025-11-01T00:00:00"/>
    <n v="1169.6199999999999"/>
    <m/>
    <m/>
    <m/>
    <s v="Denied"/>
    <s v="CO-197"/>
    <d v="2025-11-30T00:00:00"/>
    <m/>
    <n v="1150"/>
    <n v="0.45"/>
    <n v="517.5"/>
    <s v=""/>
    <x v="2"/>
    <x v="5"/>
    <x v="9"/>
  </r>
  <r>
    <s v="CLM103867"/>
    <s v="PT11515"/>
    <s v="P05"/>
    <x v="1"/>
    <x v="11"/>
    <n v="1"/>
    <d v="2026-05-19T00:00:00"/>
    <d v="2026-06-09T00:00:00"/>
    <n v="1144.57"/>
    <n v="493.3"/>
    <n v="394.64"/>
    <n v="98.66"/>
    <s v="Paid"/>
    <s v=""/>
    <d v="2026-07-10T00:00:00"/>
    <d v="2026-07-10T00:00:00"/>
    <n v="1150"/>
    <n v="0.38"/>
    <n v="437"/>
    <n v="-56.300000000000011"/>
    <x v="0"/>
    <x v="0"/>
    <x v="7"/>
  </r>
  <r>
    <s v="CLM103868"/>
    <s v="PT10674"/>
    <s v="P01"/>
    <x v="1"/>
    <x v="8"/>
    <n v="1"/>
    <d v="2026-02-04T00:00:00"/>
    <d v="2026-02-07T00:00:00"/>
    <n v="267.45"/>
    <m/>
    <m/>
    <m/>
    <s v="Denied"/>
    <s v="CO-11"/>
    <d v="2026-03-22T00:00:00"/>
    <m/>
    <n v="260"/>
    <n v="0.45"/>
    <n v="117"/>
    <s v=""/>
    <x v="2"/>
    <x v="5"/>
    <x v="0"/>
  </r>
  <r>
    <s v="CLM103869"/>
    <s v="PT13282"/>
    <s v="P01"/>
    <x v="0"/>
    <x v="7"/>
    <n v="1"/>
    <d v="2026-08-09T00:00:00"/>
    <d v="2026-08-13T00:00:00"/>
    <n v="213.06"/>
    <n v="81.75"/>
    <n v="81.75"/>
    <n v="0"/>
    <s v="Paid"/>
    <s v=""/>
    <d v="2026-09-22T00:00:00"/>
    <d v="2026-09-22T00:00:00"/>
    <n v="210"/>
    <n v="0.45"/>
    <n v="94.5"/>
    <n v="12.75"/>
    <x v="1"/>
    <x v="5"/>
    <x v="4"/>
  </r>
  <r>
    <s v="CLM103870"/>
    <s v="PT11137"/>
    <s v="P03"/>
    <x v="0"/>
    <x v="8"/>
    <n v="1"/>
    <d v="2025-11-25T00:00:00"/>
    <d v="2025-11-26T00:00:00"/>
    <n v="254.33"/>
    <n v="115.79"/>
    <n v="92.63"/>
    <n v="23.16"/>
    <s v="Paid"/>
    <s v=""/>
    <d v="2025-12-29T00:00:00"/>
    <d v="2025-12-29T00:00:00"/>
    <n v="260"/>
    <n v="0.47"/>
    <n v="122.2"/>
    <n v="6.4099999999999966"/>
    <x v="1"/>
    <x v="4"/>
    <x v="3"/>
  </r>
  <r>
    <s v="CLM103871"/>
    <s v="PT13050"/>
    <s v="P02"/>
    <x v="3"/>
    <x v="6"/>
    <n v="1"/>
    <d v="2026-05-26T00:00:00"/>
    <d v="2026-05-28T00:00:00"/>
    <n v="421.39"/>
    <n v="202.5"/>
    <n v="202.5"/>
    <n v="0"/>
    <s v="Paid"/>
    <s v=""/>
    <d v="2026-06-08T00:00:00"/>
    <d v="2026-06-08T00:00:00"/>
    <n v="420"/>
    <n v="0.43"/>
    <n v="180.6"/>
    <n v="-21.900000000000006"/>
    <x v="0"/>
    <x v="6"/>
    <x v="7"/>
  </r>
  <r>
    <s v="CLM103872"/>
    <s v="PT11458"/>
    <s v="P07"/>
    <x v="3"/>
    <x v="7"/>
    <n v="1"/>
    <d v="2026-03-06T00:00:00"/>
    <d v="2026-03-23T00:00:00"/>
    <n v="206.82"/>
    <n v="59.15"/>
    <n v="59.15"/>
    <n v="0"/>
    <s v="Paid"/>
    <s v=""/>
    <d v="2026-05-08T00:00:00"/>
    <d v="2026-05-08T00:00:00"/>
    <n v="210"/>
    <n v="0.28000000000000003"/>
    <n v="58.8"/>
    <n v="-0.35000000000000142"/>
    <x v="0"/>
    <x v="3"/>
    <x v="2"/>
  </r>
  <r>
    <s v="CLM103873"/>
    <s v="PT11027"/>
    <s v="P07"/>
    <x v="0"/>
    <x v="0"/>
    <n v="1"/>
    <d v="2026-07-24T00:00:00"/>
    <d v="2026-07-27T00:00:00"/>
    <n v="148.34"/>
    <m/>
    <m/>
    <m/>
    <s v="Denied"/>
    <s v="CO-16"/>
    <d v="2026-09-08T00:00:00"/>
    <m/>
    <n v="145"/>
    <n v="0.28000000000000003"/>
    <n v="40.6"/>
    <s v=""/>
    <x v="2"/>
    <x v="3"/>
    <x v="1"/>
  </r>
  <r>
    <s v="CLM103874"/>
    <s v="PT13190"/>
    <s v="P01"/>
    <x v="3"/>
    <x v="3"/>
    <n v="30"/>
    <d v="2026-01-04T00:00:00"/>
    <d v="2026-01-08T00:00:00"/>
    <n v="43075.48"/>
    <n v="22185.3"/>
    <n v="22185.3"/>
    <n v="0"/>
    <s v="Paid"/>
    <s v=""/>
    <d v="2026-02-18T00:00:00"/>
    <d v="2026-02-18T00:00:00"/>
    <n v="1450"/>
    <n v="0.45"/>
    <n v="19575"/>
    <n v="-2610.2999999999993"/>
    <x v="0"/>
    <x v="5"/>
    <x v="5"/>
  </r>
  <r>
    <s v="CLM103875"/>
    <s v="PT10921"/>
    <s v="P06"/>
    <x v="0"/>
    <x v="7"/>
    <n v="1"/>
    <d v="2025-10-22T00:00:00"/>
    <d v="2025-10-24T00:00:00"/>
    <n v="214.41"/>
    <m/>
    <m/>
    <m/>
    <s v="Denied"/>
    <s v="CO-27"/>
    <d v="2025-12-20T00:00:00"/>
    <m/>
    <n v="210"/>
    <n v="0.27"/>
    <n v="56.7"/>
    <s v=""/>
    <x v="2"/>
    <x v="2"/>
    <x v="9"/>
  </r>
  <r>
    <s v="CLM103876"/>
    <s v="PT12851"/>
    <s v="P02"/>
    <x v="1"/>
    <x v="1"/>
    <n v="1"/>
    <d v="2025-11-23T00:00:00"/>
    <d v="2025-11-28T00:00:00"/>
    <n v="243.42"/>
    <n v="100.88"/>
    <n v="100.88"/>
    <n v="0"/>
    <s v="Paid"/>
    <s v=""/>
    <d v="2025-12-31T00:00:00"/>
    <d v="2025-12-31T00:00:00"/>
    <n v="240"/>
    <n v="0.43"/>
    <n v="103.2"/>
    <n v="2.3200000000000074"/>
    <x v="0"/>
    <x v="6"/>
    <x v="3"/>
  </r>
  <r>
    <s v="CLM103877"/>
    <s v="PT11986"/>
    <s v="P04"/>
    <x v="3"/>
    <x v="3"/>
    <n v="5"/>
    <d v="2026-08-28T00:00:00"/>
    <d v="2026-08-30T00:00:00"/>
    <n v="7351.99"/>
    <n v="2960.56"/>
    <n v="2664.5"/>
    <n v="296.06"/>
    <s v="Paid"/>
    <s v=""/>
    <d v="2026-09-15T00:00:00"/>
    <d v="2026-09-15T00:00:00"/>
    <n v="1450"/>
    <n v="0.36"/>
    <n v="2610"/>
    <n v="-350.55999999999995"/>
    <x v="0"/>
    <x v="1"/>
    <x v="4"/>
  </r>
  <r>
    <s v="CLM103879"/>
    <s v="PT11006"/>
    <s v="P07"/>
    <x v="0"/>
    <x v="0"/>
    <n v="1"/>
    <d v="2026-02-04T00:00:00"/>
    <d v="2026-02-11T00:00:00"/>
    <n v="145.09"/>
    <n v="41.14"/>
    <n v="37.03"/>
    <n v="4.1100000000000003"/>
    <s v="Paid"/>
    <s v=""/>
    <d v="2026-04-10T00:00:00"/>
    <d v="2026-04-10T00:00:00"/>
    <n v="145"/>
    <n v="0.28000000000000003"/>
    <n v="40.6"/>
    <n v="-0.53999999999999915"/>
    <x v="0"/>
    <x v="3"/>
    <x v="0"/>
  </r>
  <r>
    <s v="CLM103880"/>
    <s v="PT12306"/>
    <s v="P07"/>
    <x v="1"/>
    <x v="4"/>
    <n v="1"/>
    <d v="2026-03-12T00:00:00"/>
    <d v="2026-03-14T00:00:00"/>
    <n v="38.56"/>
    <n v="11.12"/>
    <n v="11.12"/>
    <n v="0"/>
    <s v="Paid"/>
    <s v=""/>
    <d v="2026-04-27T00:00:00"/>
    <d v="2026-04-27T00:00:00"/>
    <n v="38"/>
    <n v="0.28000000000000003"/>
    <n v="10.64"/>
    <n v="-0.47999999999999865"/>
    <x v="0"/>
    <x v="3"/>
    <x v="2"/>
  </r>
  <r>
    <s v="CLM103881"/>
    <s v="PT10780"/>
    <s v="P01"/>
    <x v="0"/>
    <x v="4"/>
    <n v="1"/>
    <d v="2026-06-01T00:00:00"/>
    <d v="2026-06-15T00:00:00"/>
    <n v="37.36"/>
    <n v="16.75"/>
    <n v="16.75"/>
    <n v="0"/>
    <s v="Paid"/>
    <s v=""/>
    <d v="2026-07-07T00:00:00"/>
    <d v="2026-07-07T00:00:00"/>
    <n v="38"/>
    <n v="0.45"/>
    <n v="17.100000000000001"/>
    <n v="0.35000000000000142"/>
    <x v="0"/>
    <x v="5"/>
    <x v="11"/>
  </r>
  <r>
    <s v="CLM103882"/>
    <s v="PT10257"/>
    <s v="P04"/>
    <x v="3"/>
    <x v="7"/>
    <n v="1"/>
    <d v="2026-07-20T00:00:00"/>
    <d v="2026-07-21T00:00:00"/>
    <n v="212.1"/>
    <n v="82.65"/>
    <n v="74.38"/>
    <n v="8.27"/>
    <s v="Paid"/>
    <s v=""/>
    <d v="2026-08-02T00:00:00"/>
    <d v="2026-08-02T00:00:00"/>
    <n v="210"/>
    <n v="0.36"/>
    <n v="75.599999999999994"/>
    <n v="-7.0500000000000114"/>
    <x v="0"/>
    <x v="1"/>
    <x v="1"/>
  </r>
  <r>
    <s v="CLM103883"/>
    <s v="PT11575"/>
    <s v="P01"/>
    <x v="3"/>
    <x v="6"/>
    <n v="1"/>
    <d v="2026-05-18T00:00:00"/>
    <d v="2026-05-23T00:00:00"/>
    <n v="417.41"/>
    <n v="214.09"/>
    <n v="171.27"/>
    <n v="42.82"/>
    <s v="Paid"/>
    <s v=""/>
    <d v="2026-05-30T00:00:00"/>
    <d v="2026-05-30T00:00:00"/>
    <n v="420"/>
    <n v="0.45"/>
    <n v="189"/>
    <n v="-25.090000000000003"/>
    <x v="0"/>
    <x v="5"/>
    <x v="7"/>
  </r>
  <r>
    <s v="CLM103884"/>
    <s v="PT12788"/>
    <s v="P01"/>
    <x v="2"/>
    <x v="0"/>
    <n v="1"/>
    <d v="2026-08-21T00:00:00"/>
    <d v="2026-08-22T00:00:00"/>
    <n v="147.16"/>
    <n v="57.71"/>
    <n v="57.71"/>
    <n v="0"/>
    <s v="Paid"/>
    <s v=""/>
    <d v="2026-09-30T00:00:00"/>
    <d v="2026-09-30T00:00:00"/>
    <n v="145"/>
    <n v="0.45"/>
    <n v="65.25"/>
    <n v="7.5399999999999991"/>
    <x v="1"/>
    <x v="5"/>
    <x v="4"/>
  </r>
  <r>
    <s v="CLM103885"/>
    <s v="PT10275"/>
    <s v="P01"/>
    <x v="1"/>
    <x v="5"/>
    <n v="1"/>
    <d v="2026-02-01T00:00:00"/>
    <d v="2026-02-07T00:00:00"/>
    <n v="4783.13"/>
    <n v="1984.59"/>
    <n v="1984.59"/>
    <n v="0"/>
    <s v="Paid"/>
    <s v=""/>
    <d v="2026-03-16T00:00:00"/>
    <d v="2026-03-16T00:00:00"/>
    <n v="4800"/>
    <n v="0.45"/>
    <n v="2160"/>
    <n v="175.41000000000008"/>
    <x v="1"/>
    <x v="5"/>
    <x v="0"/>
  </r>
  <r>
    <s v="CLM103886"/>
    <s v="PT11695"/>
    <s v="P04"/>
    <x v="1"/>
    <x v="8"/>
    <n v="1"/>
    <d v="2026-02-12T00:00:00"/>
    <d v="2026-02-13T00:00:00"/>
    <n v="255.21"/>
    <n v="96.85"/>
    <n v="96.85"/>
    <n v="0"/>
    <s v="Paid"/>
    <s v=""/>
    <d v="2026-02-28T00:00:00"/>
    <d v="2026-02-28T00:00:00"/>
    <n v="260"/>
    <n v="0.36"/>
    <n v="93.6"/>
    <n v="-3.25"/>
    <x v="0"/>
    <x v="1"/>
    <x v="0"/>
  </r>
  <r>
    <s v="CLM103887"/>
    <s v="PT12206"/>
    <s v="P05"/>
    <x v="1"/>
    <x v="8"/>
    <n v="1"/>
    <d v="2026-02-24T00:00:00"/>
    <d v="2026-03-07T00:00:00"/>
    <n v="259.39999999999998"/>
    <m/>
    <m/>
    <m/>
    <s v="Denied"/>
    <s v="CO-27"/>
    <d v="2026-03-31T00:00:00"/>
    <m/>
    <n v="260"/>
    <n v="0.38"/>
    <n v="98.8"/>
    <s v=""/>
    <x v="2"/>
    <x v="0"/>
    <x v="0"/>
  </r>
  <r>
    <s v="CLM103888"/>
    <s v="PT12426"/>
    <s v="P07"/>
    <x v="1"/>
    <x v="11"/>
    <n v="1"/>
    <d v="2026-05-02T00:00:00"/>
    <d v="2026-05-05T00:00:00"/>
    <n v="1175.5899999999999"/>
    <n v="296.76"/>
    <n v="267.08"/>
    <n v="29.68"/>
    <s v="Paid"/>
    <s v=""/>
    <d v="2026-06-16T00:00:00"/>
    <d v="2026-06-16T00:00:00"/>
    <n v="1150"/>
    <n v="0.28000000000000003"/>
    <n v="322"/>
    <n v="25.240000000000009"/>
    <x v="1"/>
    <x v="3"/>
    <x v="7"/>
  </r>
  <r>
    <s v="CLM103889"/>
    <s v="PT10915"/>
    <s v="P01"/>
    <x v="1"/>
    <x v="10"/>
    <n v="1"/>
    <d v="2026-08-23T00:00:00"/>
    <d v="2026-08-24T00:00:00"/>
    <n v="1064.25"/>
    <n v="482.29"/>
    <n v="434.06"/>
    <n v="48.23"/>
    <s v="Paid"/>
    <s v=""/>
    <d v="2026-09-09T00:00:00"/>
    <d v="2026-09-09T00:00:00"/>
    <n v="1050"/>
    <n v="0.45"/>
    <n v="472.5"/>
    <n v="-9.7900000000000205"/>
    <x v="0"/>
    <x v="5"/>
    <x v="4"/>
  </r>
  <r>
    <s v="CLM103890"/>
    <s v="PT12126"/>
    <s v="P01"/>
    <x v="0"/>
    <x v="0"/>
    <n v="1"/>
    <d v="2026-07-08T00:00:00"/>
    <d v="2026-07-11T00:00:00"/>
    <n v="146.46"/>
    <n v="73.91"/>
    <n v="73.91"/>
    <n v="0"/>
    <s v="Paid"/>
    <s v=""/>
    <d v="2026-07-24T00:00:00"/>
    <d v="2026-07-24T00:00:00"/>
    <n v="145"/>
    <n v="0.45"/>
    <n v="65.25"/>
    <n v="-8.6599999999999966"/>
    <x v="0"/>
    <x v="5"/>
    <x v="1"/>
  </r>
  <r>
    <s v="CLM103891"/>
    <s v="PT11152"/>
    <s v="P07"/>
    <x v="0"/>
    <x v="0"/>
    <n v="1"/>
    <d v="2026-02-13T00:00:00"/>
    <d v="2026-02-16T00:00:00"/>
    <n v="148.44999999999999"/>
    <n v="44.65"/>
    <n v="44.65"/>
    <n v="0"/>
    <s v="Paid"/>
    <s v=""/>
    <d v="2026-05-10T00:00:00"/>
    <d v="2026-05-10T00:00:00"/>
    <n v="145"/>
    <n v="0.28000000000000003"/>
    <n v="40.6"/>
    <n v="-4.0499999999999972"/>
    <x v="0"/>
    <x v="3"/>
    <x v="0"/>
  </r>
  <r>
    <s v="CLM103892"/>
    <s v="PT10891"/>
    <s v="P06"/>
    <x v="1"/>
    <x v="10"/>
    <n v="1"/>
    <d v="2026-01-03T00:00:00"/>
    <d v="2026-01-10T00:00:00"/>
    <n v="1053.51"/>
    <n v="281.55"/>
    <n v="225.24"/>
    <n v="56.31"/>
    <s v="Paid"/>
    <s v=""/>
    <d v="2026-02-18T00:00:00"/>
    <d v="2026-02-18T00:00:00"/>
    <n v="1050"/>
    <n v="0.27"/>
    <n v="283.5"/>
    <n v="1.9499999999999886"/>
    <x v="0"/>
    <x v="2"/>
    <x v="5"/>
  </r>
  <r>
    <s v="CLM103893"/>
    <s v="PT10547"/>
    <s v="P06"/>
    <x v="3"/>
    <x v="6"/>
    <n v="1"/>
    <d v="2025-11-10T00:00:00"/>
    <d v="2025-11-11T00:00:00"/>
    <n v="414"/>
    <m/>
    <m/>
    <m/>
    <s v="Denied"/>
    <s v="CO-197"/>
    <d v="2026-01-01T00:00:00"/>
    <m/>
    <n v="420"/>
    <n v="0.27"/>
    <n v="113.4"/>
    <s v=""/>
    <x v="2"/>
    <x v="2"/>
    <x v="3"/>
  </r>
  <r>
    <s v="CLM103894"/>
    <s v="PT11135"/>
    <s v="P03"/>
    <x v="0"/>
    <x v="7"/>
    <n v="1"/>
    <d v="2025-10-04T00:00:00"/>
    <d v="2025-10-05T00:00:00"/>
    <n v="207.55"/>
    <n v="106.5"/>
    <n v="106.5"/>
    <n v="0"/>
    <s v="Paid"/>
    <s v=""/>
    <d v="2025-11-04T00:00:00"/>
    <d v="2025-11-04T00:00:00"/>
    <n v="210"/>
    <n v="0.47"/>
    <n v="98.7"/>
    <n v="-7.7999999999999972"/>
    <x v="0"/>
    <x v="4"/>
    <x v="9"/>
  </r>
  <r>
    <s v="CLM103895"/>
    <s v="PT12273"/>
    <s v="P02"/>
    <x v="0"/>
    <x v="0"/>
    <n v="1"/>
    <d v="2026-06-08T00:00:00"/>
    <d v="2026-06-12T00:00:00"/>
    <n v="144.24"/>
    <n v="55.86"/>
    <n v="44.69"/>
    <n v="11.17"/>
    <s v="Paid"/>
    <s v=""/>
    <d v="2026-06-30T00:00:00"/>
    <d v="2026-06-30T00:00:00"/>
    <n v="145"/>
    <n v="0.43"/>
    <n v="62.35"/>
    <n v="6.490000000000002"/>
    <x v="1"/>
    <x v="6"/>
    <x v="11"/>
  </r>
  <r>
    <s v="CLM103896"/>
    <s v="PT10850"/>
    <s v="P07"/>
    <x v="2"/>
    <x v="2"/>
    <n v="4"/>
    <d v="2026-06-01T00:00:00"/>
    <d v="2026-06-06T00:00:00"/>
    <n v="242.52"/>
    <n v="73.58"/>
    <n v="66.22"/>
    <n v="7.36"/>
    <s v="Paid"/>
    <s v=""/>
    <d v="2026-08-11T00:00:00"/>
    <d v="2026-08-11T00:00:00"/>
    <n v="62"/>
    <n v="0.28000000000000003"/>
    <n v="69.44"/>
    <n v="-4.1400000000000006"/>
    <x v="0"/>
    <x v="3"/>
    <x v="11"/>
  </r>
  <r>
    <s v="CLM103897"/>
    <s v="PT12669"/>
    <s v="P02"/>
    <x v="3"/>
    <x v="3"/>
    <n v="10"/>
    <d v="2026-06-15T00:00:00"/>
    <d v="2026-06-16T00:00:00"/>
    <n v="14094.74"/>
    <m/>
    <m/>
    <m/>
    <s v="Denied"/>
    <s v="CO-50"/>
    <d v="2026-07-20T00:00:00"/>
    <m/>
    <n v="1450"/>
    <n v="0.43"/>
    <n v="6235"/>
    <s v=""/>
    <x v="2"/>
    <x v="6"/>
    <x v="11"/>
  </r>
  <r>
    <s v="CLM103898"/>
    <s v="PT12830"/>
    <s v="P03"/>
    <x v="1"/>
    <x v="4"/>
    <n v="1"/>
    <d v="2026-06-24T00:00:00"/>
    <d v="2026-06-25T00:00:00"/>
    <n v="37.9"/>
    <n v="16.850000000000001"/>
    <n v="13.48"/>
    <n v="3.37"/>
    <s v="Paid"/>
    <s v=""/>
    <d v="2026-08-24T00:00:00"/>
    <d v="2026-08-24T00:00:00"/>
    <n v="38"/>
    <n v="0.47"/>
    <n v="17.86"/>
    <n v="1.009999999999998"/>
    <x v="1"/>
    <x v="4"/>
    <x v="11"/>
  </r>
  <r>
    <s v="CLM103899"/>
    <s v="PT10711"/>
    <s v="P03"/>
    <x v="3"/>
    <x v="7"/>
    <n v="1"/>
    <d v="2025-10-02T00:00:00"/>
    <d v="2025-10-03T00:00:00"/>
    <n v="207.97"/>
    <n v="95.74"/>
    <n v="95.74"/>
    <n v="0"/>
    <s v="Paid"/>
    <s v=""/>
    <d v="2025-11-16T00:00:00"/>
    <d v="2025-11-16T00:00:00"/>
    <n v="210"/>
    <n v="0.47"/>
    <n v="98.7"/>
    <n v="2.960000000000008"/>
    <x v="0"/>
    <x v="4"/>
    <x v="9"/>
  </r>
  <r>
    <s v="CLM103900"/>
    <s v="PT10237"/>
    <s v="P03"/>
    <x v="0"/>
    <x v="7"/>
    <n v="1"/>
    <d v="2026-08-21T00:00:00"/>
    <d v="2026-08-26T00:00:00"/>
    <n v="206.49"/>
    <m/>
    <m/>
    <m/>
    <s v="Pending"/>
    <s v=""/>
    <m/>
    <m/>
    <n v="210"/>
    <n v="0.47"/>
    <n v="98.7"/>
    <s v=""/>
    <x v="2"/>
    <x v="4"/>
    <x v="4"/>
  </r>
  <r>
    <s v="CLM103901"/>
    <s v="PT12431"/>
    <s v="P01"/>
    <x v="3"/>
    <x v="3"/>
    <n v="30"/>
    <d v="2026-01-03T00:00:00"/>
    <d v="2026-01-06T00:00:00"/>
    <n v="43881.71"/>
    <n v="20190.16"/>
    <n v="20190.16"/>
    <n v="0"/>
    <s v="Paid"/>
    <s v=""/>
    <d v="2026-02-16T00:00:00"/>
    <d v="2026-02-16T00:00:00"/>
    <n v="1450"/>
    <n v="0.45"/>
    <n v="19575"/>
    <n v="-615.15999999999985"/>
    <x v="0"/>
    <x v="5"/>
    <x v="5"/>
  </r>
  <r>
    <s v="CLM103902"/>
    <s v="PT13335"/>
    <s v="P05"/>
    <x v="1"/>
    <x v="5"/>
    <n v="1"/>
    <d v="2026-07-30T00:00:00"/>
    <d v="2026-07-31T00:00:00"/>
    <n v="4804.78"/>
    <n v="1995.8"/>
    <n v="1796.22"/>
    <n v="199.58"/>
    <s v="Paid"/>
    <s v=""/>
    <d v="2026-09-30T00:00:00"/>
    <d v="2026-09-30T00:00:00"/>
    <n v="4800"/>
    <n v="0.38"/>
    <n v="1824"/>
    <n v="-171.79999999999995"/>
    <x v="0"/>
    <x v="0"/>
    <x v="1"/>
  </r>
  <r>
    <s v="CLM103903"/>
    <s v="PT10946"/>
    <s v="P07"/>
    <x v="0"/>
    <x v="0"/>
    <n v="1"/>
    <d v="2025-11-13T00:00:00"/>
    <d v="2025-11-20T00:00:00"/>
    <n v="143.61000000000001"/>
    <n v="43.66"/>
    <n v="43.66"/>
    <n v="0"/>
    <s v="Paid"/>
    <s v=""/>
    <d v="2026-01-22T00:00:00"/>
    <d v="2026-01-22T00:00:00"/>
    <n v="145"/>
    <n v="0.28000000000000003"/>
    <n v="40.6"/>
    <n v="-3.0599999999999952"/>
    <x v="0"/>
    <x v="3"/>
    <x v="3"/>
  </r>
  <r>
    <s v="CLM103904"/>
    <s v="PT12299"/>
    <s v="P02"/>
    <x v="2"/>
    <x v="0"/>
    <n v="1"/>
    <d v="2026-07-10T00:00:00"/>
    <d v="2026-07-15T00:00:00"/>
    <n v="140.91"/>
    <n v="69.52"/>
    <n v="69.52"/>
    <n v="0"/>
    <s v="Paid"/>
    <s v=""/>
    <d v="2026-08-11T00:00:00"/>
    <d v="2026-08-11T00:00:00"/>
    <n v="145"/>
    <n v="0.43"/>
    <n v="62.35"/>
    <n v="-7.1699999999999946"/>
    <x v="0"/>
    <x v="6"/>
    <x v="1"/>
  </r>
  <r>
    <s v="CLM103905"/>
    <s v="PT10524"/>
    <s v="P02"/>
    <x v="2"/>
    <x v="2"/>
    <n v="1"/>
    <d v="2026-05-13T00:00:00"/>
    <d v="2026-05-22T00:00:00"/>
    <n v="63.83"/>
    <n v="24.75"/>
    <n v="19.8"/>
    <n v="4.95"/>
    <s v="Paid"/>
    <s v=""/>
    <d v="2026-07-20T00:00:00"/>
    <d v="2026-07-20T00:00:00"/>
    <n v="62"/>
    <n v="0.43"/>
    <n v="26.66"/>
    <n v="1.9100000000000001"/>
    <x v="1"/>
    <x v="6"/>
    <x v="7"/>
  </r>
  <r>
    <s v="CLM103906"/>
    <s v="PT10906"/>
    <s v="P02"/>
    <x v="1"/>
    <x v="10"/>
    <n v="1"/>
    <d v="2026-03-18T00:00:00"/>
    <d v="2026-03-19T00:00:00"/>
    <n v="1043.8699999999999"/>
    <n v="466.6"/>
    <n v="373.28"/>
    <n v="93.32"/>
    <s v="Paid"/>
    <s v=""/>
    <d v="2026-04-05T00:00:00"/>
    <d v="2026-04-05T00:00:00"/>
    <n v="1050"/>
    <n v="0.43"/>
    <n v="451.5"/>
    <n v="-15.100000000000023"/>
    <x v="0"/>
    <x v="6"/>
    <x v="2"/>
  </r>
  <r>
    <s v="CLM103907"/>
    <s v="PT12623"/>
    <s v="P06"/>
    <x v="2"/>
    <x v="2"/>
    <n v="2"/>
    <d v="2026-05-24T00:00:00"/>
    <d v="2026-05-27T00:00:00"/>
    <n v="120.47"/>
    <n v="34.049999999999997"/>
    <n v="30.65"/>
    <n v="3.4"/>
    <s v="Paid"/>
    <s v=""/>
    <d v="2026-06-29T00:00:00"/>
    <d v="2026-06-29T00:00:00"/>
    <n v="62"/>
    <n v="0.27"/>
    <n v="33.479999999999997"/>
    <n v="-0.57000000000000028"/>
    <x v="0"/>
    <x v="2"/>
    <x v="7"/>
  </r>
  <r>
    <s v="CLM103908"/>
    <s v="PT12639"/>
    <s v="P02"/>
    <x v="1"/>
    <x v="7"/>
    <n v="1"/>
    <d v="2026-07-19T00:00:00"/>
    <d v="2026-07-20T00:00:00"/>
    <n v="214.53"/>
    <n v="90.98"/>
    <n v="81.88"/>
    <n v="9.1"/>
    <s v="Paid"/>
    <s v=""/>
    <d v="2026-08-29T00:00:00"/>
    <d v="2026-08-29T00:00:00"/>
    <n v="210"/>
    <n v="0.43"/>
    <n v="90.3"/>
    <n v="-0.68000000000000682"/>
    <x v="0"/>
    <x v="6"/>
    <x v="1"/>
  </r>
  <r>
    <s v="CLM103909"/>
    <s v="PT11705"/>
    <s v="P02"/>
    <x v="1"/>
    <x v="10"/>
    <n v="1"/>
    <d v="2026-09-28T00:00:00"/>
    <d v="2026-09-30T00:00:00"/>
    <n v="1033.8499999999999"/>
    <m/>
    <m/>
    <m/>
    <s v="Pending"/>
    <s v=""/>
    <m/>
    <m/>
    <n v="1050"/>
    <n v="0.43"/>
    <n v="451.5"/>
    <s v=""/>
    <x v="2"/>
    <x v="6"/>
    <x v="8"/>
  </r>
  <r>
    <s v="CLM103910"/>
    <s v="PT11389"/>
    <s v="P02"/>
    <x v="3"/>
    <x v="7"/>
    <n v="1"/>
    <d v="2026-01-22T00:00:00"/>
    <d v="2026-01-25T00:00:00"/>
    <n v="208.02"/>
    <n v="99.7"/>
    <n v="89.73"/>
    <n v="9.9700000000000006"/>
    <s v="Paid"/>
    <s v=""/>
    <d v="2026-02-22T00:00:00"/>
    <d v="2026-02-22T00:00:00"/>
    <n v="210"/>
    <n v="0.43"/>
    <n v="90.3"/>
    <n v="-9.4000000000000057"/>
    <x v="0"/>
    <x v="6"/>
    <x v="5"/>
  </r>
  <r>
    <s v="CLM103911"/>
    <s v="PT11278"/>
    <s v="P01"/>
    <x v="0"/>
    <x v="4"/>
    <n v="1"/>
    <d v="2026-09-14T00:00:00"/>
    <d v="2026-09-17T00:00:00"/>
    <n v="38.979999999999997"/>
    <m/>
    <m/>
    <m/>
    <s v="Pending"/>
    <s v=""/>
    <m/>
    <m/>
    <n v="38"/>
    <n v="0.45"/>
    <n v="17.100000000000001"/>
    <s v=""/>
    <x v="2"/>
    <x v="5"/>
    <x v="8"/>
  </r>
  <r>
    <s v="CLM103912"/>
    <s v="PT12033"/>
    <s v="P01"/>
    <x v="0"/>
    <x v="7"/>
    <n v="1"/>
    <d v="2026-08-14T00:00:00"/>
    <d v="2026-08-16T00:00:00"/>
    <n v="214.87"/>
    <n v="89.73"/>
    <n v="71.78"/>
    <n v="17.95"/>
    <s v="Paid"/>
    <s v=""/>
    <d v="2026-09-10T00:00:00"/>
    <d v="2026-09-10T00:00:00"/>
    <n v="210"/>
    <n v="0.45"/>
    <n v="94.5"/>
    <n v="4.769999999999996"/>
    <x v="1"/>
    <x v="5"/>
    <x v="4"/>
  </r>
  <r>
    <s v="CLM103913"/>
    <s v="PT11630"/>
    <s v="P01"/>
    <x v="3"/>
    <x v="3"/>
    <n v="10"/>
    <d v="2026-06-03T00:00:00"/>
    <d v="2026-06-10T00:00:00"/>
    <n v="14602.53"/>
    <n v="6666.32"/>
    <n v="6666.32"/>
    <n v="0"/>
    <s v="Paid"/>
    <s v=""/>
    <d v="2026-07-12T00:00:00"/>
    <d v="2026-07-12T00:00:00"/>
    <n v="1450"/>
    <n v="0.45"/>
    <n v="6525"/>
    <n v="-141.31999999999971"/>
    <x v="0"/>
    <x v="5"/>
    <x v="11"/>
  </r>
  <r>
    <s v="CLM103914"/>
    <s v="PT11245"/>
    <s v="P01"/>
    <x v="3"/>
    <x v="7"/>
    <n v="1"/>
    <d v="2026-01-28T00:00:00"/>
    <d v="2026-01-31T00:00:00"/>
    <n v="209.22"/>
    <n v="96.76"/>
    <n v="96.76"/>
    <n v="0"/>
    <s v="Paid"/>
    <s v=""/>
    <d v="2026-03-15T00:00:00"/>
    <d v="2026-03-15T00:00:00"/>
    <n v="210"/>
    <n v="0.45"/>
    <n v="94.5"/>
    <n v="-2.2600000000000051"/>
    <x v="0"/>
    <x v="5"/>
    <x v="5"/>
  </r>
  <r>
    <s v="CLM103915"/>
    <s v="PT11305"/>
    <s v="P01"/>
    <x v="1"/>
    <x v="11"/>
    <n v="1"/>
    <d v="2025-12-20T00:00:00"/>
    <d v="2025-12-29T00:00:00"/>
    <n v="1145.6600000000001"/>
    <n v="436.89"/>
    <n v="349.51"/>
    <n v="87.38"/>
    <s v="Paid"/>
    <s v=""/>
    <d v="2026-01-26T00:00:00"/>
    <d v="2026-01-26T00:00:00"/>
    <n v="1150"/>
    <n v="0.45"/>
    <n v="517.5"/>
    <n v="80.610000000000014"/>
    <x v="1"/>
    <x v="5"/>
    <x v="6"/>
  </r>
  <r>
    <s v="CLM103916"/>
    <s v="PT12558"/>
    <s v="P01"/>
    <x v="1"/>
    <x v="8"/>
    <n v="1"/>
    <d v="2026-04-30T00:00:00"/>
    <d v="2026-05-01T00:00:00"/>
    <n v="264.32"/>
    <n v="117.56"/>
    <n v="117.56"/>
    <n v="0"/>
    <s v="Paid"/>
    <s v=""/>
    <d v="2026-06-14T00:00:00"/>
    <d v="2026-06-14T00:00:00"/>
    <n v="260"/>
    <n v="0.45"/>
    <n v="117"/>
    <n v="-0.56000000000000227"/>
    <x v="0"/>
    <x v="5"/>
    <x v="10"/>
  </r>
  <r>
    <s v="CLM103917"/>
    <s v="PT10743"/>
    <s v="P01"/>
    <x v="3"/>
    <x v="7"/>
    <n v="1"/>
    <d v="2025-12-05T00:00:00"/>
    <d v="2025-12-06T00:00:00"/>
    <n v="211.54"/>
    <n v="103.91"/>
    <n v="93.52"/>
    <n v="10.39"/>
    <s v="Paid"/>
    <s v=""/>
    <d v="2025-12-31T00:00:00"/>
    <d v="2025-12-31T00:00:00"/>
    <n v="210"/>
    <n v="0.45"/>
    <n v="94.5"/>
    <n v="-9.4099999999999966"/>
    <x v="0"/>
    <x v="5"/>
    <x v="6"/>
  </r>
  <r>
    <s v="CLM103918"/>
    <s v="PT10044"/>
    <s v="P01"/>
    <x v="0"/>
    <x v="0"/>
    <n v="1"/>
    <d v="2026-04-25T00:00:00"/>
    <d v="2026-04-27T00:00:00"/>
    <n v="143.9"/>
    <n v="60.75"/>
    <n v="60.75"/>
    <n v="0"/>
    <s v="Paid"/>
    <s v=""/>
    <d v="2026-05-16T00:00:00"/>
    <d v="2026-05-16T00:00:00"/>
    <n v="145"/>
    <n v="0.45"/>
    <n v="65.25"/>
    <n v="4.5"/>
    <x v="1"/>
    <x v="5"/>
    <x v="10"/>
  </r>
  <r>
    <s v="CLM103919"/>
    <s v="PT11961"/>
    <s v="P03"/>
    <x v="3"/>
    <x v="7"/>
    <n v="1"/>
    <d v="2025-10-02T00:00:00"/>
    <d v="2025-10-05T00:00:00"/>
    <n v="213.58"/>
    <n v="95.81"/>
    <n v="86.23"/>
    <n v="9.58"/>
    <s v="Paid"/>
    <s v=""/>
    <d v="2025-12-02T00:00:00"/>
    <d v="2025-12-02T00:00:00"/>
    <n v="210"/>
    <n v="0.47"/>
    <n v="98.7"/>
    <n v="2.8900000000000006"/>
    <x v="0"/>
    <x v="4"/>
    <x v="9"/>
  </r>
  <r>
    <s v="CLM103920"/>
    <s v="PT13293"/>
    <s v="P04"/>
    <x v="1"/>
    <x v="4"/>
    <n v="1"/>
    <d v="2026-02-23T00:00:00"/>
    <d v="2026-02-27T00:00:00"/>
    <n v="37.119999999999997"/>
    <m/>
    <m/>
    <m/>
    <s v="Denied"/>
    <s v="CO-16"/>
    <d v="2026-03-15T00:00:00"/>
    <m/>
    <n v="38"/>
    <n v="0.36"/>
    <n v="13.68"/>
    <s v=""/>
    <x v="2"/>
    <x v="1"/>
    <x v="0"/>
  </r>
  <r>
    <s v="CLM103921"/>
    <s v="PT12841"/>
    <s v="P01"/>
    <x v="1"/>
    <x v="11"/>
    <n v="1"/>
    <d v="2025-11-10T00:00:00"/>
    <d v="2025-11-13T00:00:00"/>
    <n v="1145.8900000000001"/>
    <n v="461.83"/>
    <n v="415.65"/>
    <n v="46.18"/>
    <s v="Paid"/>
    <s v=""/>
    <d v="2025-12-13T00:00:00"/>
    <d v="2025-12-13T00:00:00"/>
    <n v="1150"/>
    <n v="0.45"/>
    <n v="517.5"/>
    <n v="55.670000000000016"/>
    <x v="1"/>
    <x v="5"/>
    <x v="3"/>
  </r>
  <r>
    <s v="CLM103922"/>
    <s v="PT11849"/>
    <s v="P05"/>
    <x v="0"/>
    <x v="4"/>
    <n v="1"/>
    <d v="2025-11-16T00:00:00"/>
    <d v="2025-11-18T00:00:00"/>
    <n v="38.020000000000003"/>
    <m/>
    <m/>
    <m/>
    <s v="Denied"/>
    <s v="CO-11"/>
    <d v="2025-12-23T00:00:00"/>
    <m/>
    <n v="38"/>
    <n v="0.38"/>
    <n v="14.44"/>
    <s v=""/>
    <x v="2"/>
    <x v="0"/>
    <x v="3"/>
  </r>
  <r>
    <s v="CLM103923"/>
    <s v="PT13329"/>
    <s v="P02"/>
    <x v="0"/>
    <x v="7"/>
    <n v="1"/>
    <d v="2026-01-01T00:00:00"/>
    <d v="2026-01-03T00:00:00"/>
    <n v="208.97"/>
    <n v="90.03"/>
    <n v="90.03"/>
    <n v="0"/>
    <s v="Paid"/>
    <s v=""/>
    <d v="2026-02-12T00:00:00"/>
    <d v="2026-02-12T00:00:00"/>
    <n v="210"/>
    <n v="0.43"/>
    <n v="90.3"/>
    <n v="0.26999999999999602"/>
    <x v="0"/>
    <x v="6"/>
    <x v="5"/>
  </r>
  <r>
    <s v="CLM103924"/>
    <s v="PT13103"/>
    <s v="P04"/>
    <x v="0"/>
    <x v="4"/>
    <n v="1"/>
    <d v="2026-04-12T00:00:00"/>
    <d v="2026-04-16T00:00:00"/>
    <n v="38.520000000000003"/>
    <n v="15.75"/>
    <n v="12.6"/>
    <n v="3.15"/>
    <s v="Paid"/>
    <s v=""/>
    <d v="2026-05-05T00:00:00"/>
    <d v="2026-05-05T00:00:00"/>
    <n v="38"/>
    <n v="0.36"/>
    <n v="13.68"/>
    <n v="-2.0700000000000003"/>
    <x v="0"/>
    <x v="1"/>
    <x v="10"/>
  </r>
  <r>
    <s v="CLM103925"/>
    <s v="PT12156"/>
    <s v="P01"/>
    <x v="1"/>
    <x v="1"/>
    <n v="1"/>
    <d v="2025-11-25T00:00:00"/>
    <d v="2025-11-26T00:00:00"/>
    <n v="236.96"/>
    <n v="97.44"/>
    <n v="87.7"/>
    <n v="9.74"/>
    <s v="Paid"/>
    <s v=""/>
    <d v="2025-12-20T00:00:00"/>
    <d v="2025-12-20T00:00:00"/>
    <n v="240"/>
    <n v="0.45"/>
    <n v="108"/>
    <n v="10.560000000000002"/>
    <x v="1"/>
    <x v="5"/>
    <x v="3"/>
  </r>
  <r>
    <s v="CLM103926"/>
    <s v="PT10090"/>
    <s v="P01"/>
    <x v="0"/>
    <x v="8"/>
    <n v="1"/>
    <d v="2026-04-18T00:00:00"/>
    <d v="2026-04-22T00:00:00"/>
    <n v="254.09"/>
    <n v="112.57"/>
    <n v="112.57"/>
    <n v="0"/>
    <s v="Paid"/>
    <s v=""/>
    <d v="2026-05-24T00:00:00"/>
    <d v="2026-05-24T00:00:00"/>
    <n v="260"/>
    <n v="0.45"/>
    <n v="117"/>
    <n v="4.4300000000000068"/>
    <x v="0"/>
    <x v="5"/>
    <x v="10"/>
  </r>
  <r>
    <s v="CLM103927"/>
    <s v="PT11353"/>
    <s v="P02"/>
    <x v="0"/>
    <x v="8"/>
    <n v="1"/>
    <d v="2025-11-05T00:00:00"/>
    <d v="2025-11-06T00:00:00"/>
    <n v="262.91000000000003"/>
    <n v="129.65"/>
    <n v="116.68"/>
    <n v="12.97"/>
    <s v="Paid"/>
    <s v=""/>
    <d v="2025-12-10T00:00:00"/>
    <d v="2025-12-10T00:00:00"/>
    <n v="260"/>
    <n v="0.43"/>
    <n v="111.8"/>
    <n v="-17.850000000000009"/>
    <x v="0"/>
    <x v="6"/>
    <x v="3"/>
  </r>
  <r>
    <s v="CLM103928"/>
    <s v="PT10235"/>
    <s v="P04"/>
    <x v="2"/>
    <x v="0"/>
    <n v="1"/>
    <d v="2025-10-16T00:00:00"/>
    <d v="2025-10-19T00:00:00"/>
    <n v="148.65"/>
    <n v="59.37"/>
    <n v="59.37"/>
    <n v="0"/>
    <s v="Paid"/>
    <s v=""/>
    <d v="2025-11-06T00:00:00"/>
    <d v="2025-11-06T00:00:00"/>
    <n v="145"/>
    <n v="0.36"/>
    <n v="52.2"/>
    <n v="-7.1699999999999946"/>
    <x v="0"/>
    <x v="1"/>
    <x v="9"/>
  </r>
  <r>
    <s v="CLM103929"/>
    <s v="PT11516"/>
    <s v="P07"/>
    <x v="0"/>
    <x v="7"/>
    <n v="1"/>
    <d v="2026-03-28T00:00:00"/>
    <d v="2026-03-31T00:00:00"/>
    <n v="209.33"/>
    <m/>
    <m/>
    <m/>
    <s v="Denied"/>
    <s v="CO-11"/>
    <d v="2026-05-09T00:00:00"/>
    <m/>
    <n v="210"/>
    <n v="0.28000000000000003"/>
    <n v="58.8"/>
    <s v=""/>
    <x v="2"/>
    <x v="3"/>
    <x v="2"/>
  </r>
  <r>
    <s v="CLM103930"/>
    <s v="PT10543"/>
    <s v="P08"/>
    <x v="0"/>
    <x v="4"/>
    <n v="1"/>
    <d v="2026-08-07T00:00:00"/>
    <d v="2026-08-11T00:00:00"/>
    <n v="37.68"/>
    <m/>
    <m/>
    <m/>
    <s v="Pending"/>
    <s v=""/>
    <m/>
    <m/>
    <n v="38"/>
    <n v="1"/>
    <n v="38"/>
    <s v=""/>
    <x v="2"/>
    <x v="7"/>
    <x v="4"/>
  </r>
  <r>
    <s v="CLM103931"/>
    <s v="PT12386"/>
    <s v="P02"/>
    <x v="1"/>
    <x v="1"/>
    <n v="1"/>
    <d v="2026-01-20T00:00:00"/>
    <d v="2026-01-24T00:00:00"/>
    <n v="239.54"/>
    <n v="96.94"/>
    <n v="77.55"/>
    <n v="19.39"/>
    <s v="Paid"/>
    <s v=""/>
    <d v="2026-03-01T00:00:00"/>
    <d v="2026-03-01T00:00:00"/>
    <n v="240"/>
    <n v="0.43"/>
    <n v="103.2"/>
    <n v="6.2600000000000051"/>
    <x v="1"/>
    <x v="6"/>
    <x v="5"/>
  </r>
  <r>
    <s v="CLM103932"/>
    <s v="PT12293"/>
    <s v="P01"/>
    <x v="2"/>
    <x v="2"/>
    <n v="1"/>
    <d v="2026-08-06T00:00:00"/>
    <d v="2026-08-11T00:00:00"/>
    <n v="61.38"/>
    <n v="28.69"/>
    <n v="28.69"/>
    <n v="0"/>
    <s v="Paid"/>
    <s v=""/>
    <d v="2026-09-01T00:00:00"/>
    <d v="2026-09-01T00:00:00"/>
    <n v="62"/>
    <n v="0.45"/>
    <n v="27.9"/>
    <n v="-0.7900000000000027"/>
    <x v="0"/>
    <x v="5"/>
    <x v="4"/>
  </r>
  <r>
    <s v="CLM103933"/>
    <s v="PT11104"/>
    <s v="P01"/>
    <x v="2"/>
    <x v="0"/>
    <n v="1"/>
    <d v="2026-07-29T00:00:00"/>
    <d v="2026-08-02T00:00:00"/>
    <n v="144.54"/>
    <n v="62.79"/>
    <n v="50.23"/>
    <n v="12.56"/>
    <s v="Paid"/>
    <s v=""/>
    <d v="2026-08-13T00:00:00"/>
    <d v="2026-08-13T00:00:00"/>
    <n v="145"/>
    <n v="0.45"/>
    <n v="65.25"/>
    <n v="2.4600000000000009"/>
    <x v="0"/>
    <x v="5"/>
    <x v="1"/>
  </r>
  <r>
    <s v="CLM103934"/>
    <s v="PT12313"/>
    <s v="P03"/>
    <x v="3"/>
    <x v="7"/>
    <n v="1"/>
    <d v="2026-06-17T00:00:00"/>
    <d v="2026-06-21T00:00:00"/>
    <n v="211.31"/>
    <n v="84.57"/>
    <n v="84.57"/>
    <n v="0"/>
    <s v="Paid"/>
    <s v=""/>
    <d v="2026-08-06T00:00:00"/>
    <d v="2026-08-06T00:00:00"/>
    <n v="210"/>
    <n v="0.47"/>
    <n v="98.7"/>
    <n v="14.13000000000001"/>
    <x v="1"/>
    <x v="4"/>
    <x v="11"/>
  </r>
  <r>
    <s v="CLM103935"/>
    <s v="PT12813"/>
    <s v="P01"/>
    <x v="2"/>
    <x v="9"/>
    <n v="1"/>
    <d v="2026-09-20T00:00:00"/>
    <d v="2026-09-21T00:00:00"/>
    <n v="57.39"/>
    <m/>
    <m/>
    <m/>
    <s v="Pending"/>
    <s v=""/>
    <m/>
    <m/>
    <n v="58"/>
    <n v="0.45"/>
    <n v="26.1"/>
    <s v=""/>
    <x v="2"/>
    <x v="5"/>
    <x v="8"/>
  </r>
  <r>
    <s v="CLM103936"/>
    <s v="PT10261"/>
    <s v="P02"/>
    <x v="1"/>
    <x v="11"/>
    <n v="1"/>
    <d v="2026-02-20T00:00:00"/>
    <d v="2026-02-21T00:00:00"/>
    <n v="1128.3499999999999"/>
    <m/>
    <m/>
    <m/>
    <s v="Denied"/>
    <s v="CO-197"/>
    <d v="2026-04-01T00:00:00"/>
    <m/>
    <n v="1150"/>
    <n v="0.43"/>
    <n v="494.5"/>
    <s v=""/>
    <x v="2"/>
    <x v="6"/>
    <x v="0"/>
  </r>
  <r>
    <s v="CLM103937"/>
    <s v="PT11034"/>
    <s v="P03"/>
    <x v="3"/>
    <x v="7"/>
    <n v="1"/>
    <d v="2025-10-29T00:00:00"/>
    <d v="2025-11-14T00:00:00"/>
    <n v="209.45"/>
    <n v="91.14"/>
    <n v="91.14"/>
    <n v="0"/>
    <s v="Paid"/>
    <s v=""/>
    <d v="2026-01-12T00:00:00"/>
    <d v="2026-01-12T00:00:00"/>
    <n v="210"/>
    <n v="0.47"/>
    <n v="98.7"/>
    <n v="7.5600000000000023"/>
    <x v="1"/>
    <x v="4"/>
    <x v="9"/>
  </r>
  <r>
    <s v="CLM103938"/>
    <s v="PT12768"/>
    <s v="P02"/>
    <x v="0"/>
    <x v="0"/>
    <n v="1"/>
    <d v="2026-07-07T00:00:00"/>
    <d v="2026-07-11T00:00:00"/>
    <n v="142.11000000000001"/>
    <n v="55.62"/>
    <n v="55.62"/>
    <n v="0"/>
    <s v="Paid"/>
    <s v=""/>
    <d v="2026-07-22T00:00:00"/>
    <d v="2026-07-22T00:00:00"/>
    <n v="145"/>
    <n v="0.43"/>
    <n v="62.35"/>
    <n v="6.730000000000004"/>
    <x v="1"/>
    <x v="6"/>
    <x v="1"/>
  </r>
  <r>
    <s v="CLM103939"/>
    <s v="PT12358"/>
    <s v="P04"/>
    <x v="2"/>
    <x v="0"/>
    <n v="1"/>
    <d v="2026-04-09T00:00:00"/>
    <d v="2026-08-12T00:00:00"/>
    <n v="145.30000000000001"/>
    <m/>
    <m/>
    <m/>
    <s v="Denied"/>
    <s v="CO-29"/>
    <d v="2026-09-05T00:00:00"/>
    <m/>
    <n v="145"/>
    <n v="0.36"/>
    <n v="52.2"/>
    <s v=""/>
    <x v="2"/>
    <x v="1"/>
    <x v="10"/>
  </r>
  <r>
    <s v="CLM103940"/>
    <s v="PT12832"/>
    <s v="P01"/>
    <x v="3"/>
    <x v="7"/>
    <n v="1"/>
    <d v="2026-08-04T00:00:00"/>
    <d v="2026-08-21T00:00:00"/>
    <n v="211.61"/>
    <n v="108.51"/>
    <n v="86.81"/>
    <n v="21.7"/>
    <s v="Paid"/>
    <s v=""/>
    <d v="2026-09-28T00:00:00"/>
    <d v="2026-09-28T00:00:00"/>
    <n v="210"/>
    <n v="0.45"/>
    <n v="94.5"/>
    <n v="-14.010000000000005"/>
    <x v="0"/>
    <x v="5"/>
    <x v="4"/>
  </r>
  <r>
    <s v="CLM103941"/>
    <s v="PT10742"/>
    <s v="P06"/>
    <x v="3"/>
    <x v="7"/>
    <n v="1"/>
    <d v="2026-02-03T00:00:00"/>
    <d v="2026-02-20T00:00:00"/>
    <n v="204.86"/>
    <n v="47.86"/>
    <n v="38.29"/>
    <n v="9.57"/>
    <s v="Paid"/>
    <s v=""/>
    <d v="2026-03-08T00:00:00"/>
    <d v="2026-03-08T00:00:00"/>
    <n v="210"/>
    <n v="0.27"/>
    <n v="56.7"/>
    <n v="8.8400000000000034"/>
    <x v="1"/>
    <x v="2"/>
    <x v="0"/>
  </r>
  <r>
    <s v="CLM103942"/>
    <s v="PT10990"/>
    <s v="P05"/>
    <x v="0"/>
    <x v="4"/>
    <n v="1"/>
    <d v="2026-06-28T00:00:00"/>
    <d v="2026-07-01T00:00:00"/>
    <n v="37.799999999999997"/>
    <m/>
    <m/>
    <m/>
    <s v="Denied"/>
    <s v="CO-16"/>
    <d v="2026-08-27T00:00:00"/>
    <m/>
    <n v="38"/>
    <n v="0.38"/>
    <n v="14.44"/>
    <s v=""/>
    <x v="2"/>
    <x v="0"/>
    <x v="11"/>
  </r>
  <r>
    <s v="CLM103943"/>
    <s v="PT11648"/>
    <s v="P01"/>
    <x v="3"/>
    <x v="6"/>
    <n v="1"/>
    <d v="2026-09-16T00:00:00"/>
    <d v="2026-09-19T00:00:00"/>
    <n v="428.05"/>
    <m/>
    <m/>
    <m/>
    <s v="Pending"/>
    <s v=""/>
    <m/>
    <m/>
    <n v="420"/>
    <n v="0.45"/>
    <n v="189"/>
    <s v=""/>
    <x v="2"/>
    <x v="5"/>
    <x v="8"/>
  </r>
  <r>
    <s v="CLM103944"/>
    <s v="PT12306"/>
    <s v="P04"/>
    <x v="0"/>
    <x v="8"/>
    <n v="1"/>
    <d v="2026-05-20T00:00:00"/>
    <d v="2026-05-22T00:00:00"/>
    <n v="252.67"/>
    <n v="84.42"/>
    <n v="75.98"/>
    <n v="8.44"/>
    <s v="Paid"/>
    <s v=""/>
    <d v="2026-06-12T00:00:00"/>
    <d v="2026-06-12T00:00:00"/>
    <n v="260"/>
    <n v="0.36"/>
    <n v="93.6"/>
    <n v="9.1799999999999926"/>
    <x v="1"/>
    <x v="1"/>
    <x v="7"/>
  </r>
  <r>
    <s v="CLM103945"/>
    <s v="PT10312"/>
    <s v="P01"/>
    <x v="3"/>
    <x v="6"/>
    <n v="1"/>
    <d v="2025-11-25T00:00:00"/>
    <d v="2025-11-27T00:00:00"/>
    <n v="423.85"/>
    <m/>
    <m/>
    <m/>
    <s v="Denied"/>
    <s v="CO-50"/>
    <d v="2025-12-23T00:00:00"/>
    <m/>
    <n v="420"/>
    <n v="0.45"/>
    <n v="189"/>
    <s v=""/>
    <x v="2"/>
    <x v="5"/>
    <x v="3"/>
  </r>
  <r>
    <s v="CLM103946"/>
    <s v="PT11578"/>
    <s v="P02"/>
    <x v="2"/>
    <x v="0"/>
    <n v="1"/>
    <d v="2026-02-08T00:00:00"/>
    <d v="2026-05-15T00:00:00"/>
    <n v="148.63999999999999"/>
    <m/>
    <m/>
    <m/>
    <s v="Denied"/>
    <s v="CO-29"/>
    <d v="2026-06-19T00:00:00"/>
    <m/>
    <n v="145"/>
    <n v="0.43"/>
    <n v="62.35"/>
    <s v=""/>
    <x v="2"/>
    <x v="6"/>
    <x v="0"/>
  </r>
  <r>
    <s v="CLM103947"/>
    <s v="PT12462"/>
    <s v="P04"/>
    <x v="1"/>
    <x v="11"/>
    <n v="1"/>
    <d v="2026-04-23T00:00:00"/>
    <d v="2026-04-27T00:00:00"/>
    <n v="1151.7"/>
    <n v="355.06"/>
    <n v="355.06"/>
    <n v="0"/>
    <s v="Paid"/>
    <s v=""/>
    <d v="2026-05-10T00:00:00"/>
    <d v="2026-05-10T00:00:00"/>
    <n v="1150"/>
    <n v="0.36"/>
    <n v="414"/>
    <n v="58.94"/>
    <x v="1"/>
    <x v="1"/>
    <x v="10"/>
  </r>
  <r>
    <s v="CLM103948"/>
    <s v="PT11339"/>
    <s v="P01"/>
    <x v="1"/>
    <x v="7"/>
    <n v="1"/>
    <d v="2026-03-11T00:00:00"/>
    <d v="2026-03-13T00:00:00"/>
    <n v="205.38"/>
    <n v="103.7"/>
    <n v="82.96"/>
    <n v="20.74"/>
    <s v="Paid"/>
    <s v=""/>
    <d v="2026-04-15T00:00:00"/>
    <d v="2026-04-15T00:00:00"/>
    <n v="210"/>
    <n v="0.45"/>
    <n v="94.5"/>
    <n v="-9.2000000000000028"/>
    <x v="0"/>
    <x v="5"/>
    <x v="2"/>
  </r>
  <r>
    <s v="CLM103949"/>
    <s v="PT11967"/>
    <s v="P05"/>
    <x v="0"/>
    <x v="8"/>
    <n v="1"/>
    <d v="2025-12-14T00:00:00"/>
    <d v="2025-12-17T00:00:00"/>
    <n v="259.41000000000003"/>
    <n v="86.67"/>
    <n v="86.67"/>
    <n v="0"/>
    <s v="Paid"/>
    <s v=""/>
    <d v="2026-02-16T00:00:00"/>
    <d v="2026-02-16T00:00:00"/>
    <n v="260"/>
    <n v="0.38"/>
    <n v="98.8"/>
    <n v="12.129999999999995"/>
    <x v="1"/>
    <x v="0"/>
    <x v="6"/>
  </r>
  <r>
    <s v="CLM103950"/>
    <s v="PT11050"/>
    <s v="P06"/>
    <x v="0"/>
    <x v="7"/>
    <n v="1"/>
    <d v="2026-01-24T00:00:00"/>
    <d v="2026-01-26T00:00:00"/>
    <n v="206.71"/>
    <n v="57.82"/>
    <n v="52.04"/>
    <n v="5.78"/>
    <s v="Paid"/>
    <s v=""/>
    <d v="2026-03-08T00:00:00"/>
    <d v="2026-03-08T00:00:00"/>
    <n v="210"/>
    <n v="0.27"/>
    <n v="56.7"/>
    <n v="-1.1199999999999974"/>
    <x v="0"/>
    <x v="2"/>
    <x v="5"/>
  </r>
  <r>
    <s v="CLM103951"/>
    <s v="PT10217"/>
    <s v="P02"/>
    <x v="3"/>
    <x v="6"/>
    <n v="1"/>
    <d v="2026-04-12T00:00:00"/>
    <d v="2026-04-21T00:00:00"/>
    <n v="409.52"/>
    <n v="199.29"/>
    <n v="179.36"/>
    <n v="19.93"/>
    <s v="Paid"/>
    <s v=""/>
    <d v="2026-05-21T00:00:00"/>
    <d v="2026-05-21T00:00:00"/>
    <n v="420"/>
    <n v="0.43"/>
    <n v="180.6"/>
    <n v="-18.689999999999998"/>
    <x v="0"/>
    <x v="6"/>
    <x v="10"/>
  </r>
  <r>
    <s v="CLM103952"/>
    <s v="PT12615"/>
    <s v="P01"/>
    <x v="3"/>
    <x v="6"/>
    <n v="1"/>
    <d v="2026-01-18T00:00:00"/>
    <d v="2026-01-20T00:00:00"/>
    <n v="409.36"/>
    <n v="209.31"/>
    <n v="209.31"/>
    <n v="0"/>
    <s v="Paid"/>
    <s v=""/>
    <d v="2026-03-06T00:00:00"/>
    <d v="2026-03-06T00:00:00"/>
    <n v="420"/>
    <n v="0.45"/>
    <n v="189"/>
    <n v="-20.310000000000002"/>
    <x v="0"/>
    <x v="5"/>
    <x v="5"/>
  </r>
  <r>
    <s v="CLM103953"/>
    <s v="PT13062"/>
    <s v="P01"/>
    <x v="0"/>
    <x v="7"/>
    <n v="1"/>
    <d v="2026-08-21T00:00:00"/>
    <d v="2026-08-23T00:00:00"/>
    <n v="216.29"/>
    <n v="93.15"/>
    <n v="74.52"/>
    <n v="18.63"/>
    <s v="Paid"/>
    <s v=""/>
    <d v="2026-09-19T00:00:00"/>
    <d v="2026-09-19T00:00:00"/>
    <n v="210"/>
    <n v="0.45"/>
    <n v="94.5"/>
    <n v="1.3499999999999943"/>
    <x v="0"/>
    <x v="5"/>
    <x v="4"/>
  </r>
  <r>
    <s v="CLM103954"/>
    <s v="PT11239"/>
    <s v="P04"/>
    <x v="1"/>
    <x v="5"/>
    <n v="1"/>
    <d v="2025-11-01T00:00:00"/>
    <d v="2025-11-07T00:00:00"/>
    <n v="4719.47"/>
    <n v="1952.11"/>
    <n v="1756.9"/>
    <n v="195.21"/>
    <s v="Paid"/>
    <s v=""/>
    <d v="2025-11-21T00:00:00"/>
    <d v="2025-11-21T00:00:00"/>
    <n v="4800"/>
    <n v="0.36"/>
    <n v="1728"/>
    <n v="-224.1099999999999"/>
    <x v="0"/>
    <x v="1"/>
    <x v="3"/>
  </r>
  <r>
    <s v="CLM103955"/>
    <s v="PT13388"/>
    <s v="P07"/>
    <x v="3"/>
    <x v="3"/>
    <n v="10"/>
    <d v="2026-06-20T00:00:00"/>
    <d v="2026-06-23T00:00:00"/>
    <n v="14678.66"/>
    <n v="4595.58"/>
    <n v="4595.58"/>
    <n v="0"/>
    <s v="Paid"/>
    <s v=""/>
    <d v="2026-08-26T00:00:00"/>
    <d v="2026-08-26T00:00:00"/>
    <n v="1450"/>
    <n v="0.28000000000000003"/>
    <n v="4060"/>
    <n v="-535.57999999999993"/>
    <x v="0"/>
    <x v="3"/>
    <x v="11"/>
  </r>
  <r>
    <s v="CLM103956"/>
    <s v="PT13301"/>
    <s v="P02"/>
    <x v="1"/>
    <x v="7"/>
    <n v="1"/>
    <d v="2026-08-24T00:00:00"/>
    <d v="2026-08-25T00:00:00"/>
    <n v="207"/>
    <n v="101.27"/>
    <n v="81.02"/>
    <n v="20.25"/>
    <s v="Paid"/>
    <s v=""/>
    <d v="2026-09-09T00:00:00"/>
    <d v="2026-09-09T00:00:00"/>
    <n v="210"/>
    <n v="0.43"/>
    <n v="90.3"/>
    <n v="-10.969999999999999"/>
    <x v="0"/>
    <x v="6"/>
    <x v="4"/>
  </r>
  <r>
    <s v="CLM103957"/>
    <s v="PT13256"/>
    <s v="P03"/>
    <x v="3"/>
    <x v="3"/>
    <n v="5"/>
    <d v="2026-06-19T00:00:00"/>
    <d v="2026-06-21T00:00:00"/>
    <n v="7396.02"/>
    <n v="3501.99"/>
    <n v="2801.59"/>
    <n v="700.4"/>
    <s v="Paid"/>
    <s v=""/>
    <d v="2026-08-15T00:00:00"/>
    <d v="2026-08-15T00:00:00"/>
    <n v="1450"/>
    <n v="0.47"/>
    <n v="3407.5"/>
    <n v="-94.489999999999782"/>
    <x v="0"/>
    <x v="4"/>
    <x v="11"/>
  </r>
  <r>
    <s v="CLM103958"/>
    <s v="PT12862"/>
    <s v="P02"/>
    <x v="1"/>
    <x v="8"/>
    <n v="1"/>
    <d v="2026-02-09T00:00:00"/>
    <d v="2026-02-12T00:00:00"/>
    <n v="264.27999999999997"/>
    <n v="98.51"/>
    <n v="88.66"/>
    <n v="9.85"/>
    <s v="Paid"/>
    <s v=""/>
    <d v="2026-03-21T00:00:00"/>
    <d v="2026-03-21T00:00:00"/>
    <n v="260"/>
    <n v="0.43"/>
    <n v="111.8"/>
    <n v="13.289999999999992"/>
    <x v="1"/>
    <x v="6"/>
    <x v="0"/>
  </r>
  <r>
    <s v="CLM103959"/>
    <s v="PT11644"/>
    <s v="P05"/>
    <x v="2"/>
    <x v="2"/>
    <n v="1"/>
    <d v="2025-10-27T00:00:00"/>
    <d v="2025-10-29T00:00:00"/>
    <n v="62.64"/>
    <n v="20.81"/>
    <n v="20.81"/>
    <n v="0"/>
    <s v="Paid"/>
    <s v=""/>
    <d v="2025-12-10T00:00:00"/>
    <d v="2025-12-10T00:00:00"/>
    <n v="62"/>
    <n v="0.38"/>
    <n v="23.56"/>
    <n v="2.75"/>
    <x v="1"/>
    <x v="0"/>
    <x v="9"/>
  </r>
  <r>
    <s v="CLM103960"/>
    <s v="PT13238"/>
    <s v="P01"/>
    <x v="0"/>
    <x v="4"/>
    <n v="1"/>
    <d v="2026-08-16T00:00:00"/>
    <d v="2026-08-22T00:00:00"/>
    <n v="39.020000000000003"/>
    <n v="17.309999999999999"/>
    <n v="17.309999999999999"/>
    <n v="0"/>
    <s v="Paid"/>
    <s v=""/>
    <d v="2026-09-15T00:00:00"/>
    <d v="2026-09-15T00:00:00"/>
    <n v="38"/>
    <n v="0.45"/>
    <n v="17.100000000000001"/>
    <n v="-0.2099999999999973"/>
    <x v="0"/>
    <x v="5"/>
    <x v="4"/>
  </r>
  <r>
    <s v="CLM103961"/>
    <s v="PT13415"/>
    <s v="P02"/>
    <x v="1"/>
    <x v="8"/>
    <n v="1"/>
    <d v="2026-02-17T00:00:00"/>
    <d v="2026-02-19T00:00:00"/>
    <n v="258.11"/>
    <n v="120.04"/>
    <n v="108.04"/>
    <n v="12"/>
    <s v="Paid"/>
    <s v=""/>
    <d v="2026-03-18T00:00:00"/>
    <d v="2026-03-18T00:00:00"/>
    <n v="260"/>
    <n v="0.43"/>
    <n v="111.8"/>
    <n v="-8.2400000000000091"/>
    <x v="0"/>
    <x v="6"/>
    <x v="0"/>
  </r>
  <r>
    <s v="CLM103962"/>
    <s v="PT12355"/>
    <s v="P01"/>
    <x v="3"/>
    <x v="7"/>
    <n v="1"/>
    <d v="2026-03-14T00:00:00"/>
    <d v="2026-03-15T00:00:00"/>
    <n v="206.9"/>
    <n v="83.4"/>
    <n v="83.4"/>
    <n v="0"/>
    <s v="Paid"/>
    <s v=""/>
    <d v="2026-04-23T00:00:00"/>
    <d v="2026-04-23T00:00:00"/>
    <n v="210"/>
    <n v="0.45"/>
    <n v="94.5"/>
    <n v="11.099999999999994"/>
    <x v="1"/>
    <x v="5"/>
    <x v="2"/>
  </r>
  <r>
    <s v="CLM103963"/>
    <s v="PT12383"/>
    <s v="P08"/>
    <x v="0"/>
    <x v="0"/>
    <n v="1"/>
    <d v="2026-07-14T00:00:00"/>
    <d v="2026-07-15T00:00:00"/>
    <n v="144.97"/>
    <n v="144.97"/>
    <n v="144.97"/>
    <n v="0"/>
    <s v="Paid"/>
    <s v=""/>
    <d v="2026-09-08T00:00:00"/>
    <d v="2026-09-08T00:00:00"/>
    <n v="145"/>
    <n v="1"/>
    <n v="145"/>
    <n v="3.0000000000001137E-2"/>
    <x v="0"/>
    <x v="7"/>
    <x v="1"/>
  </r>
  <r>
    <s v="CLM103964"/>
    <s v="PT10102"/>
    <s v="P02"/>
    <x v="1"/>
    <x v="8"/>
    <n v="1"/>
    <d v="2026-02-17T00:00:00"/>
    <d v="2026-02-23T00:00:00"/>
    <n v="262.08999999999997"/>
    <n v="101.1"/>
    <n v="101.1"/>
    <n v="0"/>
    <s v="Paid"/>
    <s v=""/>
    <d v="2026-03-12T00:00:00"/>
    <d v="2026-03-12T00:00:00"/>
    <n v="260"/>
    <n v="0.43"/>
    <n v="111.8"/>
    <n v="10.700000000000003"/>
    <x v="1"/>
    <x v="6"/>
    <x v="0"/>
  </r>
  <r>
    <s v="CLM103966"/>
    <s v="PT13417"/>
    <s v="P07"/>
    <x v="2"/>
    <x v="2"/>
    <n v="3"/>
    <d v="2026-03-04T00:00:00"/>
    <d v="2026-03-06T00:00:00"/>
    <n v="185.98"/>
    <n v="52.64"/>
    <n v="52.64"/>
    <n v="0"/>
    <s v="Paid"/>
    <s v=""/>
    <d v="2026-04-09T00:00:00"/>
    <d v="2026-04-09T00:00:00"/>
    <n v="62"/>
    <n v="0.28000000000000003"/>
    <n v="52.08"/>
    <n v="-0.56000000000000227"/>
    <x v="0"/>
    <x v="3"/>
    <x v="2"/>
  </r>
  <r>
    <s v="CLM103968"/>
    <s v="PT11975"/>
    <s v="P05"/>
    <x v="0"/>
    <x v="8"/>
    <n v="1"/>
    <d v="2026-07-08T00:00:00"/>
    <d v="2026-07-19T00:00:00"/>
    <n v="259.06"/>
    <n v="100"/>
    <n v="90"/>
    <n v="10"/>
    <s v="Paid"/>
    <s v=""/>
    <d v="2026-09-23T00:00:00"/>
    <d v="2026-09-23T00:00:00"/>
    <n v="260"/>
    <n v="0.38"/>
    <n v="98.8"/>
    <n v="-1.2000000000000028"/>
    <x v="0"/>
    <x v="0"/>
    <x v="1"/>
  </r>
  <r>
    <s v="CLM103969"/>
    <s v="PT12303"/>
    <s v="P06"/>
    <x v="1"/>
    <x v="5"/>
    <n v="1"/>
    <d v="2026-02-02T00:00:00"/>
    <d v="2026-02-05T00:00:00"/>
    <n v="4829.95"/>
    <m/>
    <m/>
    <m/>
    <s v="Denied"/>
    <s v="CO-11"/>
    <d v="2026-03-02T00:00:00"/>
    <m/>
    <n v="4800"/>
    <n v="0.27"/>
    <n v="1296"/>
    <s v=""/>
    <x v="2"/>
    <x v="2"/>
    <x v="0"/>
  </r>
  <r>
    <s v="CLM103970"/>
    <s v="PT12780"/>
    <s v="P03"/>
    <x v="2"/>
    <x v="0"/>
    <n v="1"/>
    <d v="2026-04-25T00:00:00"/>
    <d v="2026-04-30T00:00:00"/>
    <n v="147.22999999999999"/>
    <n v="75.06"/>
    <n v="67.55"/>
    <n v="7.51"/>
    <s v="Paid"/>
    <s v=""/>
    <d v="2026-06-06T00:00:00"/>
    <d v="2026-06-06T00:00:00"/>
    <n v="145"/>
    <n v="0.47"/>
    <n v="68.150000000000006"/>
    <n v="-6.9099999999999966"/>
    <x v="0"/>
    <x v="4"/>
    <x v="10"/>
  </r>
  <r>
    <s v="CLM103971"/>
    <s v="PT11460"/>
    <s v="P03"/>
    <x v="3"/>
    <x v="7"/>
    <n v="1"/>
    <d v="2026-01-16T00:00:00"/>
    <d v="2026-01-19T00:00:00"/>
    <n v="215.19"/>
    <n v="111.4"/>
    <n v="89.12"/>
    <n v="22.28"/>
    <s v="Paid"/>
    <s v=""/>
    <d v="2026-03-16T00:00:00"/>
    <d v="2026-03-16T00:00:00"/>
    <n v="210"/>
    <n v="0.47"/>
    <n v="98.7"/>
    <n v="-12.700000000000003"/>
    <x v="0"/>
    <x v="4"/>
    <x v="5"/>
  </r>
  <r>
    <s v="CLM103972"/>
    <s v="PT10186"/>
    <s v="P01"/>
    <x v="0"/>
    <x v="8"/>
    <n v="1"/>
    <d v="2026-07-24T00:00:00"/>
    <d v="2026-07-25T00:00:00"/>
    <n v="260.81"/>
    <n v="116.84"/>
    <n v="116.84"/>
    <n v="0"/>
    <s v="Paid"/>
    <s v=""/>
    <d v="2026-08-31T00:00:00"/>
    <d v="2026-08-31T00:00:00"/>
    <n v="260"/>
    <n v="0.45"/>
    <n v="117"/>
    <n v="0.15999999999999659"/>
    <x v="0"/>
    <x v="5"/>
    <x v="1"/>
  </r>
  <r>
    <s v="CLM103973"/>
    <s v="PT11063"/>
    <s v="P07"/>
    <x v="1"/>
    <x v="5"/>
    <n v="1"/>
    <d v="2025-10-25T00:00:00"/>
    <d v="2025-11-10T00:00:00"/>
    <n v="4911.3599999999997"/>
    <m/>
    <m/>
    <m/>
    <s v="Denied"/>
    <s v="CO-197"/>
    <d v="2025-12-23T00:00:00"/>
    <m/>
    <n v="4800"/>
    <n v="0.28000000000000003"/>
    <n v="1344"/>
    <s v=""/>
    <x v="2"/>
    <x v="3"/>
    <x v="9"/>
  </r>
  <r>
    <s v="CLM103974"/>
    <s v="PT10964"/>
    <s v="P01"/>
    <x v="1"/>
    <x v="10"/>
    <n v="1"/>
    <d v="2025-12-25T00:00:00"/>
    <d v="2025-12-27T00:00:00"/>
    <n v="1021.11"/>
    <n v="505.92"/>
    <n v="404.74"/>
    <n v="101.18"/>
    <s v="Paid"/>
    <s v=""/>
    <d v="2026-01-24T00:00:00"/>
    <d v="2026-01-24T00:00:00"/>
    <n v="1050"/>
    <n v="0.45"/>
    <n v="472.5"/>
    <n v="-33.420000000000016"/>
    <x v="0"/>
    <x v="5"/>
    <x v="6"/>
  </r>
  <r>
    <s v="CLM103975"/>
    <s v="PT10802"/>
    <s v="P01"/>
    <x v="0"/>
    <x v="4"/>
    <n v="1"/>
    <d v="2026-07-05T00:00:00"/>
    <d v="2026-07-11T00:00:00"/>
    <n v="38.35"/>
    <m/>
    <m/>
    <m/>
    <s v="Denied"/>
    <s v="CO-16"/>
    <d v="2026-08-06T00:00:00"/>
    <m/>
    <n v="38"/>
    <n v="0.45"/>
    <n v="17.100000000000001"/>
    <s v=""/>
    <x v="2"/>
    <x v="5"/>
    <x v="1"/>
  </r>
  <r>
    <s v="CLM103976"/>
    <s v="PT11700"/>
    <s v="P04"/>
    <x v="0"/>
    <x v="7"/>
    <n v="1"/>
    <d v="2026-08-29T00:00:00"/>
    <d v="2026-09-01T00:00:00"/>
    <n v="204.61"/>
    <n v="67.989999999999995"/>
    <n v="54.39"/>
    <n v="13.6"/>
    <s v="Paid"/>
    <s v=""/>
    <d v="2026-09-23T00:00:00"/>
    <d v="2026-09-23T00:00:00"/>
    <n v="210"/>
    <n v="0.36"/>
    <n v="75.599999999999994"/>
    <n v="7.6099999999999994"/>
    <x v="1"/>
    <x v="1"/>
    <x v="4"/>
  </r>
  <r>
    <s v="CLM103977"/>
    <s v="PT11501"/>
    <s v="P03"/>
    <x v="3"/>
    <x v="6"/>
    <n v="1"/>
    <d v="2025-10-15T00:00:00"/>
    <d v="2025-10-19T00:00:00"/>
    <n v="419.72"/>
    <n v="194.8"/>
    <n v="155.84"/>
    <n v="38.96"/>
    <s v="Paid"/>
    <s v=""/>
    <d v="2025-12-13T00:00:00"/>
    <d v="2025-12-13T00:00:00"/>
    <n v="420"/>
    <n v="0.47"/>
    <n v="197.4"/>
    <n v="2.5999999999999943"/>
    <x v="0"/>
    <x v="4"/>
    <x v="9"/>
  </r>
  <r>
    <s v="CLM103978"/>
    <s v="PT13016"/>
    <s v="P05"/>
    <x v="1"/>
    <x v="4"/>
    <n v="1"/>
    <d v="2026-07-06T00:00:00"/>
    <d v="2026-07-19T00:00:00"/>
    <n v="37.43"/>
    <n v="15.48"/>
    <n v="15.48"/>
    <n v="0"/>
    <s v="Paid"/>
    <s v=""/>
    <d v="2026-09-16T00:00:00"/>
    <d v="2026-09-16T00:00:00"/>
    <n v="38"/>
    <n v="0.38"/>
    <n v="14.44"/>
    <n v="-1.0400000000000009"/>
    <x v="0"/>
    <x v="0"/>
    <x v="1"/>
  </r>
  <r>
    <s v="CLM103979"/>
    <s v="PT10284"/>
    <s v="P01"/>
    <x v="0"/>
    <x v="7"/>
    <n v="1"/>
    <d v="2026-03-19T00:00:00"/>
    <d v="2026-03-23T00:00:00"/>
    <n v="205.7"/>
    <m/>
    <m/>
    <m/>
    <s v="Denied"/>
    <s v="CO-18"/>
    <d v="2026-05-01T00:00:00"/>
    <m/>
    <n v="210"/>
    <n v="0.45"/>
    <n v="94.5"/>
    <s v=""/>
    <x v="2"/>
    <x v="5"/>
    <x v="2"/>
  </r>
  <r>
    <s v="CLM103980"/>
    <s v="PT10394"/>
    <s v="P05"/>
    <x v="0"/>
    <x v="4"/>
    <n v="1"/>
    <d v="2026-02-15T00:00:00"/>
    <d v="2026-02-16T00:00:00"/>
    <n v="37.340000000000003"/>
    <n v="15.63"/>
    <n v="15.63"/>
    <n v="0"/>
    <s v="Paid"/>
    <s v=""/>
    <d v="2026-04-27T00:00:00"/>
    <d v="2026-04-27T00:00:00"/>
    <n v="38"/>
    <n v="0.38"/>
    <n v="14.44"/>
    <n v="-1.1900000000000013"/>
    <x v="0"/>
    <x v="0"/>
    <x v="0"/>
  </r>
  <r>
    <s v="CLM103981"/>
    <s v="PT11559"/>
    <s v="P01"/>
    <x v="0"/>
    <x v="7"/>
    <n v="1"/>
    <d v="2026-03-03T00:00:00"/>
    <d v="2026-03-09T00:00:00"/>
    <n v="208.51"/>
    <n v="93.08"/>
    <n v="93.08"/>
    <n v="0"/>
    <s v="Paid"/>
    <s v=""/>
    <d v="2026-04-19T00:00:00"/>
    <d v="2026-04-19T00:00:00"/>
    <n v="210"/>
    <n v="0.45"/>
    <n v="94.5"/>
    <n v="1.4200000000000017"/>
    <x v="0"/>
    <x v="5"/>
    <x v="2"/>
  </r>
  <r>
    <s v="CLM103982"/>
    <s v="PT10500"/>
    <s v="P01"/>
    <x v="1"/>
    <x v="10"/>
    <n v="1"/>
    <d v="2026-05-21T00:00:00"/>
    <d v="2026-05-23T00:00:00"/>
    <n v="1078.94"/>
    <n v="489.81"/>
    <n v="440.83"/>
    <n v="48.98"/>
    <s v="Paid"/>
    <s v=""/>
    <d v="2026-06-23T00:00:00"/>
    <d v="2026-06-23T00:00:00"/>
    <n v="1050"/>
    <n v="0.45"/>
    <n v="472.5"/>
    <n v="-17.310000000000002"/>
    <x v="0"/>
    <x v="5"/>
    <x v="7"/>
  </r>
  <r>
    <s v="CLM103983"/>
    <s v="PT12975"/>
    <s v="P01"/>
    <x v="0"/>
    <x v="0"/>
    <n v="1"/>
    <d v="2025-12-22T00:00:00"/>
    <d v="2025-12-23T00:00:00"/>
    <n v="147.66"/>
    <n v="65.849999999999994"/>
    <n v="65.849999999999994"/>
    <n v="0"/>
    <s v="Paid"/>
    <s v=""/>
    <d v="2026-01-16T00:00:00"/>
    <d v="2026-01-16T00:00:00"/>
    <n v="145"/>
    <n v="0.45"/>
    <n v="65.25"/>
    <n v="-0.59999999999999432"/>
    <x v="0"/>
    <x v="5"/>
    <x v="6"/>
  </r>
  <r>
    <s v="CLM103984"/>
    <s v="PT11861"/>
    <s v="P03"/>
    <x v="1"/>
    <x v="8"/>
    <n v="1"/>
    <d v="2026-03-26T00:00:00"/>
    <d v="2026-03-28T00:00:00"/>
    <n v="264.17"/>
    <n v="131.72999999999999"/>
    <n v="118.56"/>
    <n v="13.17"/>
    <s v="Paid"/>
    <s v=""/>
    <d v="2026-05-10T00:00:00"/>
    <d v="2026-05-10T00:00:00"/>
    <n v="260"/>
    <n v="0.47"/>
    <n v="122.2"/>
    <n v="-9.5299999999999869"/>
    <x v="0"/>
    <x v="4"/>
    <x v="2"/>
  </r>
  <r>
    <s v="CLM103985"/>
    <s v="PT12593"/>
    <s v="P04"/>
    <x v="3"/>
    <x v="6"/>
    <n v="1"/>
    <d v="2026-01-24T00:00:00"/>
    <d v="2026-01-26T00:00:00"/>
    <n v="427.7"/>
    <n v="171.73"/>
    <n v="154.56"/>
    <n v="17.170000000000002"/>
    <s v="Paid"/>
    <s v=""/>
    <d v="2026-02-06T00:00:00"/>
    <d v="2026-02-06T00:00:00"/>
    <n v="420"/>
    <n v="0.36"/>
    <n v="151.19999999999999"/>
    <n v="-20.53"/>
    <x v="0"/>
    <x v="1"/>
    <x v="5"/>
  </r>
  <r>
    <s v="CLM103986"/>
    <s v="PT10890"/>
    <s v="P05"/>
    <x v="0"/>
    <x v="8"/>
    <n v="1"/>
    <d v="2026-08-05T00:00:00"/>
    <d v="2026-08-13T00:00:00"/>
    <n v="267.44"/>
    <m/>
    <m/>
    <m/>
    <s v="Denied"/>
    <s v="CO-4"/>
    <d v="2026-09-12T00:00:00"/>
    <m/>
    <n v="260"/>
    <n v="0.38"/>
    <n v="98.8"/>
    <s v=""/>
    <x v="2"/>
    <x v="0"/>
    <x v="4"/>
  </r>
  <r>
    <s v="CLM103987"/>
    <s v="PT10792"/>
    <s v="P02"/>
    <x v="2"/>
    <x v="0"/>
    <n v="1"/>
    <d v="2026-04-24T00:00:00"/>
    <d v="2026-07-28T00:00:00"/>
    <n v="143.38999999999999"/>
    <m/>
    <m/>
    <m/>
    <s v="Denied"/>
    <s v="CO-29"/>
    <d v="2026-08-16T00:00:00"/>
    <m/>
    <n v="145"/>
    <n v="0.43"/>
    <n v="62.35"/>
    <s v=""/>
    <x v="2"/>
    <x v="6"/>
    <x v="10"/>
  </r>
  <r>
    <s v="CLM103988"/>
    <s v="PT11431"/>
    <s v="P01"/>
    <x v="1"/>
    <x v="7"/>
    <n v="1"/>
    <d v="2026-08-10T00:00:00"/>
    <d v="2026-08-11T00:00:00"/>
    <n v="214"/>
    <n v="106.75"/>
    <n v="85.4"/>
    <n v="21.35"/>
    <s v="Paid"/>
    <s v=""/>
    <d v="2026-09-12T00:00:00"/>
    <d v="2026-09-12T00:00:00"/>
    <n v="210"/>
    <n v="0.45"/>
    <n v="94.5"/>
    <n v="-12.25"/>
    <x v="0"/>
    <x v="5"/>
    <x v="4"/>
  </r>
  <r>
    <s v="CLM103990"/>
    <s v="PT13359"/>
    <s v="P01"/>
    <x v="1"/>
    <x v="4"/>
    <n v="1"/>
    <d v="2026-05-06T00:00:00"/>
    <d v="2026-05-07T00:00:00"/>
    <n v="37.340000000000003"/>
    <m/>
    <m/>
    <m/>
    <s v="Denied"/>
    <s v="CO-27"/>
    <d v="2026-06-04T00:00:00"/>
    <m/>
    <n v="38"/>
    <n v="0.45"/>
    <n v="17.100000000000001"/>
    <s v=""/>
    <x v="2"/>
    <x v="5"/>
    <x v="7"/>
  </r>
  <r>
    <s v="CLM103991"/>
    <s v="PT10119"/>
    <s v="P06"/>
    <x v="1"/>
    <x v="7"/>
    <n v="1"/>
    <d v="2026-03-28T00:00:00"/>
    <d v="2026-03-29T00:00:00"/>
    <n v="210.09"/>
    <n v="50.99"/>
    <n v="50.99"/>
    <n v="0"/>
    <s v="Paid"/>
    <s v=""/>
    <d v="2026-05-01T00:00:00"/>
    <d v="2026-05-01T00:00:00"/>
    <n v="210"/>
    <n v="0.27"/>
    <n v="56.7"/>
    <n v="5.7100000000000009"/>
    <x v="1"/>
    <x v="2"/>
    <x v="2"/>
  </r>
  <r>
    <s v="CLM103992"/>
    <s v="PT12192"/>
    <s v="P06"/>
    <x v="0"/>
    <x v="0"/>
    <n v="1"/>
    <d v="2026-02-10T00:00:00"/>
    <d v="2026-02-25T00:00:00"/>
    <n v="145.46"/>
    <n v="45.25"/>
    <n v="45.25"/>
    <n v="0"/>
    <s v="Paid"/>
    <s v=""/>
    <d v="2026-04-11T00:00:00"/>
    <d v="2026-04-11T00:00:00"/>
    <n v="145"/>
    <n v="0.27"/>
    <n v="39.15"/>
    <n v="-6.1000000000000014"/>
    <x v="0"/>
    <x v="2"/>
    <x v="0"/>
  </r>
  <r>
    <s v="CLM103993"/>
    <s v="PT12791"/>
    <s v="P05"/>
    <x v="2"/>
    <x v="0"/>
    <n v="1"/>
    <d v="2026-09-21T00:00:00"/>
    <d v="2026-09-22T00:00:00"/>
    <n v="141.34"/>
    <m/>
    <m/>
    <m/>
    <s v="Pending"/>
    <s v=""/>
    <m/>
    <m/>
    <n v="145"/>
    <n v="0.38"/>
    <n v="55.1"/>
    <s v=""/>
    <x v="2"/>
    <x v="0"/>
    <x v="8"/>
  </r>
  <r>
    <s v="CLM103994"/>
    <s v="PT13485"/>
    <s v="P07"/>
    <x v="2"/>
    <x v="9"/>
    <n v="1"/>
    <d v="2025-12-04T00:00:00"/>
    <d v="2025-12-07T00:00:00"/>
    <n v="56.61"/>
    <n v="13.34"/>
    <n v="13.34"/>
    <n v="0"/>
    <s v="Paid"/>
    <s v=""/>
    <d v="2026-02-25T00:00:00"/>
    <d v="2026-02-25T00:00:00"/>
    <n v="58"/>
    <n v="0.28000000000000003"/>
    <n v="16.239999999999998"/>
    <n v="2.8999999999999986"/>
    <x v="1"/>
    <x v="3"/>
    <x v="6"/>
  </r>
  <r>
    <s v="CLM103995"/>
    <s v="PT10469"/>
    <s v="P01"/>
    <x v="3"/>
    <x v="6"/>
    <n v="1"/>
    <d v="2026-05-08T00:00:00"/>
    <d v="2026-05-18T00:00:00"/>
    <n v="431.95"/>
    <n v="184.33"/>
    <n v="147.46"/>
    <n v="36.869999999999997"/>
    <s v="Paid"/>
    <s v=""/>
    <d v="2026-06-23T00:00:00"/>
    <d v="2026-06-23T00:00:00"/>
    <n v="420"/>
    <n v="0.45"/>
    <n v="189"/>
    <n v="4.6699999999999875"/>
    <x v="0"/>
    <x v="5"/>
    <x v="7"/>
  </r>
  <r>
    <s v="CLM103996"/>
    <s v="PT10413"/>
    <s v="P05"/>
    <x v="1"/>
    <x v="10"/>
    <n v="1"/>
    <d v="2026-04-21T00:00:00"/>
    <d v="2026-04-24T00:00:00"/>
    <n v="1052.1500000000001"/>
    <n v="392.33"/>
    <n v="353.1"/>
    <n v="39.229999999999997"/>
    <s v="Paid"/>
    <s v=""/>
    <d v="2026-06-07T00:00:00"/>
    <d v="2026-06-07T00:00:00"/>
    <n v="1050"/>
    <n v="0.38"/>
    <n v="399"/>
    <n v="6.6700000000000159"/>
    <x v="0"/>
    <x v="0"/>
    <x v="10"/>
  </r>
  <r>
    <s v="CLM103997"/>
    <s v="PT10706"/>
    <s v="P02"/>
    <x v="1"/>
    <x v="7"/>
    <n v="1"/>
    <d v="2026-08-07T00:00:00"/>
    <d v="2026-08-10T00:00:00"/>
    <n v="214.28"/>
    <n v="82.81"/>
    <n v="74.53"/>
    <n v="8.2799999999999994"/>
    <s v="Paid"/>
    <s v=""/>
    <d v="2026-08-16T00:00:00"/>
    <d v="2026-08-16T00:00:00"/>
    <n v="210"/>
    <n v="0.43"/>
    <n v="90.3"/>
    <n v="7.4899999999999949"/>
    <x v="1"/>
    <x v="6"/>
    <x v="4"/>
  </r>
  <r>
    <s v="CLM103998"/>
    <s v="PT12787"/>
    <s v="P07"/>
    <x v="1"/>
    <x v="10"/>
    <n v="1"/>
    <d v="2026-07-03T00:00:00"/>
    <d v="2026-07-07T00:00:00"/>
    <n v="1055.23"/>
    <n v="314.33"/>
    <n v="314.33"/>
    <n v="0"/>
    <s v="Paid"/>
    <s v=""/>
    <d v="2026-09-16T00:00:00"/>
    <d v="2026-09-16T00:00:00"/>
    <n v="1050"/>
    <n v="0.28000000000000003"/>
    <n v="294"/>
    <n v="-20.329999999999984"/>
    <x v="0"/>
    <x v="3"/>
    <x v="1"/>
  </r>
  <r>
    <s v="CLM103999"/>
    <s v="PT12770"/>
    <s v="P01"/>
    <x v="2"/>
    <x v="9"/>
    <n v="2"/>
    <d v="2026-08-17T00:00:00"/>
    <d v="2026-08-23T00:00:00"/>
    <n v="112.76"/>
    <n v="53.21"/>
    <n v="47.89"/>
    <n v="5.32"/>
    <s v="Paid"/>
    <s v=""/>
    <d v="2026-09-19T00:00:00"/>
    <d v="2026-09-19T00:00:00"/>
    <n v="58"/>
    <n v="0.45"/>
    <n v="52.2"/>
    <n v="-1.009999999999998"/>
    <x v="0"/>
    <x v="5"/>
    <x v="4"/>
  </r>
  <r>
    <s v="CLM104000"/>
    <s v="PT12638"/>
    <s v="P02"/>
    <x v="3"/>
    <x v="7"/>
    <n v="1"/>
    <d v="2026-08-27T00:00:00"/>
    <d v="2026-09-01T00:00:00"/>
    <n v="215.87"/>
    <n v="101.21"/>
    <n v="91.09"/>
    <n v="10.119999999999999"/>
    <s v="Paid"/>
    <s v=""/>
    <d v="2026-09-30T00:00:00"/>
    <d v="2026-09-30T00:00:00"/>
    <n v="210"/>
    <n v="0.43"/>
    <n v="90.3"/>
    <n v="-10.909999999999997"/>
    <x v="0"/>
    <x v="6"/>
    <x v="4"/>
  </r>
  <r>
    <s v="CLM104001"/>
    <s v="PT11714"/>
    <s v="P04"/>
    <x v="2"/>
    <x v="2"/>
    <n v="4"/>
    <d v="2026-04-13T00:00:00"/>
    <d v="2026-04-19T00:00:00"/>
    <n v="250.49"/>
    <m/>
    <m/>
    <m/>
    <s v="Denied"/>
    <s v="CO-16"/>
    <d v="2026-05-12T00:00:00"/>
    <m/>
    <n v="62"/>
    <n v="0.36"/>
    <n v="89.28"/>
    <s v=""/>
    <x v="2"/>
    <x v="1"/>
    <x v="10"/>
  </r>
  <r>
    <s v="CLM104002"/>
    <s v="PT12799"/>
    <s v="P05"/>
    <x v="2"/>
    <x v="9"/>
    <n v="1"/>
    <d v="2026-08-19T00:00:00"/>
    <d v="2026-08-26T00:00:00"/>
    <n v="57.06"/>
    <m/>
    <m/>
    <m/>
    <s v="Pending"/>
    <s v=""/>
    <m/>
    <m/>
    <n v="58"/>
    <n v="0.38"/>
    <n v="22.04"/>
    <s v=""/>
    <x v="2"/>
    <x v="0"/>
    <x v="4"/>
  </r>
  <r>
    <s v="CLM104003"/>
    <s v="PT12710"/>
    <s v="P08"/>
    <x v="2"/>
    <x v="0"/>
    <n v="1"/>
    <d v="2025-10-09T00:00:00"/>
    <d v="2025-10-13T00:00:00"/>
    <n v="144.43"/>
    <m/>
    <m/>
    <m/>
    <s v="Pending"/>
    <s v=""/>
    <m/>
    <m/>
    <n v="145"/>
    <n v="1"/>
    <n v="145"/>
    <s v=""/>
    <x v="2"/>
    <x v="7"/>
    <x v="9"/>
  </r>
  <r>
    <s v="CLM104004"/>
    <s v="PT13341"/>
    <s v="P01"/>
    <x v="2"/>
    <x v="2"/>
    <n v="3"/>
    <d v="2026-07-22T00:00:00"/>
    <d v="2026-08-03T00:00:00"/>
    <n v="181.07"/>
    <n v="92.41"/>
    <n v="83.17"/>
    <n v="9.24"/>
    <s v="Paid"/>
    <s v=""/>
    <d v="2026-08-17T00:00:00"/>
    <d v="2026-08-17T00:00:00"/>
    <n v="62"/>
    <n v="0.45"/>
    <n v="83.7"/>
    <n v="-8.7099999999999937"/>
    <x v="0"/>
    <x v="5"/>
    <x v="1"/>
  </r>
  <r>
    <s v="CLM104005"/>
    <s v="PT11164"/>
    <s v="P02"/>
    <x v="0"/>
    <x v="4"/>
    <n v="1"/>
    <d v="2026-05-11T00:00:00"/>
    <d v="2026-05-16T00:00:00"/>
    <n v="38.06"/>
    <n v="16.260000000000002"/>
    <n v="16.260000000000002"/>
    <n v="0"/>
    <s v="Paid"/>
    <s v=""/>
    <d v="2026-05-31T00:00:00"/>
    <d v="2026-05-31T00:00:00"/>
    <n v="38"/>
    <n v="0.43"/>
    <n v="16.34"/>
    <n v="7.9999999999998295E-2"/>
    <x v="0"/>
    <x v="6"/>
    <x v="7"/>
  </r>
  <r>
    <s v="CLM104006"/>
    <s v="PT13052"/>
    <s v="P07"/>
    <x v="0"/>
    <x v="8"/>
    <n v="1"/>
    <d v="2026-02-11T00:00:00"/>
    <d v="2026-02-14T00:00:00"/>
    <n v="253.67"/>
    <m/>
    <m/>
    <m/>
    <s v="Denied"/>
    <s v="CO-16"/>
    <d v="2026-03-19T00:00:00"/>
    <m/>
    <n v="260"/>
    <n v="0.28000000000000003"/>
    <n v="72.8"/>
    <s v=""/>
    <x v="2"/>
    <x v="3"/>
    <x v="0"/>
  </r>
  <r>
    <s v="CLM104007"/>
    <s v="PT10426"/>
    <s v="P01"/>
    <x v="1"/>
    <x v="4"/>
    <n v="1"/>
    <d v="2026-04-19T00:00:00"/>
    <d v="2026-04-25T00:00:00"/>
    <n v="38.06"/>
    <n v="14.59"/>
    <n v="13.13"/>
    <n v="1.46"/>
    <s v="Paid"/>
    <s v=""/>
    <d v="2026-05-20T00:00:00"/>
    <d v="2026-05-20T00:00:00"/>
    <n v="38"/>
    <n v="0.45"/>
    <n v="17.100000000000001"/>
    <n v="2.5100000000000016"/>
    <x v="1"/>
    <x v="5"/>
    <x v="10"/>
  </r>
  <r>
    <s v="CLM104008"/>
    <s v="PT10572"/>
    <s v="P04"/>
    <x v="0"/>
    <x v="7"/>
    <n v="1"/>
    <d v="2026-07-29T00:00:00"/>
    <d v="2026-07-31T00:00:00"/>
    <n v="204.21"/>
    <n v="80.14"/>
    <n v="64.11"/>
    <n v="16.03"/>
    <s v="Paid"/>
    <s v=""/>
    <d v="2026-08-10T00:00:00"/>
    <d v="2026-08-10T00:00:00"/>
    <n v="210"/>
    <n v="0.36"/>
    <n v="75.599999999999994"/>
    <n v="-4.5400000000000063"/>
    <x v="0"/>
    <x v="1"/>
    <x v="1"/>
  </r>
  <r>
    <s v="CLM104009"/>
    <s v="PT10913"/>
    <s v="P01"/>
    <x v="0"/>
    <x v="7"/>
    <n v="1"/>
    <d v="2026-01-04T00:00:00"/>
    <d v="2026-01-05T00:00:00"/>
    <n v="207.95"/>
    <n v="106.71"/>
    <n v="85.37"/>
    <n v="21.34"/>
    <s v="Paid"/>
    <s v=""/>
    <d v="2026-01-24T00:00:00"/>
    <d v="2026-01-24T00:00:00"/>
    <n v="210"/>
    <n v="0.45"/>
    <n v="94.5"/>
    <n v="-12.209999999999994"/>
    <x v="0"/>
    <x v="5"/>
    <x v="5"/>
  </r>
  <r>
    <s v="CLM104010"/>
    <s v="PT11397"/>
    <s v="P06"/>
    <x v="1"/>
    <x v="11"/>
    <n v="1"/>
    <d v="2026-08-15T00:00:00"/>
    <d v="2026-08-24T00:00:00"/>
    <n v="1146.02"/>
    <m/>
    <m/>
    <m/>
    <s v="Denied"/>
    <s v="CO-27"/>
    <d v="2026-09-28T00:00:00"/>
    <m/>
    <n v="1150"/>
    <n v="0.27"/>
    <n v="310.5"/>
    <s v=""/>
    <x v="2"/>
    <x v="2"/>
    <x v="4"/>
  </r>
  <r>
    <s v="CLM104011"/>
    <s v="PT11013"/>
    <s v="P02"/>
    <x v="2"/>
    <x v="2"/>
    <n v="2"/>
    <d v="2026-08-09T00:00:00"/>
    <d v="2026-08-11T00:00:00"/>
    <n v="124.12"/>
    <n v="47.75"/>
    <n v="47.75"/>
    <n v="0"/>
    <s v="Paid"/>
    <s v=""/>
    <d v="2026-09-08T00:00:00"/>
    <d v="2026-09-08T00:00:00"/>
    <n v="62"/>
    <n v="0.43"/>
    <n v="53.32"/>
    <n v="5.57"/>
    <x v="1"/>
    <x v="6"/>
    <x v="4"/>
  </r>
  <r>
    <s v="CLM104012"/>
    <s v="PT12562"/>
    <s v="P04"/>
    <x v="0"/>
    <x v="7"/>
    <n v="1"/>
    <d v="2026-03-02T00:00:00"/>
    <d v="2026-03-07T00:00:00"/>
    <n v="207.83"/>
    <m/>
    <m/>
    <m/>
    <s v="Denied"/>
    <s v="CO-4"/>
    <d v="2026-03-25T00:00:00"/>
    <m/>
    <n v="210"/>
    <n v="0.36"/>
    <n v="75.599999999999994"/>
    <s v=""/>
    <x v="2"/>
    <x v="1"/>
    <x v="2"/>
  </r>
  <r>
    <s v="CLM104013"/>
    <s v="PT10804"/>
    <s v="P03"/>
    <x v="2"/>
    <x v="9"/>
    <n v="3"/>
    <d v="2026-03-09T00:00:00"/>
    <d v="2026-03-11T00:00:00"/>
    <n v="173.58"/>
    <n v="72.290000000000006"/>
    <n v="72.290000000000006"/>
    <n v="0"/>
    <s v="Paid"/>
    <s v=""/>
    <d v="2026-04-20T00:00:00"/>
    <d v="2026-04-20T00:00:00"/>
    <n v="58"/>
    <n v="0.47"/>
    <n v="81.78"/>
    <n v="9.4899999999999949"/>
    <x v="1"/>
    <x v="4"/>
    <x v="2"/>
  </r>
  <r>
    <s v="CLM104014"/>
    <s v="PT13383"/>
    <s v="P04"/>
    <x v="0"/>
    <x v="8"/>
    <n v="1"/>
    <d v="2026-08-23T00:00:00"/>
    <d v="2026-08-30T00:00:00"/>
    <n v="266.51"/>
    <n v="91.83"/>
    <n v="82.65"/>
    <n v="9.18"/>
    <s v="Paid"/>
    <s v=""/>
    <d v="2026-09-17T00:00:00"/>
    <d v="2026-09-17T00:00:00"/>
    <n v="260"/>
    <n v="0.36"/>
    <n v="93.6"/>
    <n v="1.769999999999996"/>
    <x v="0"/>
    <x v="1"/>
    <x v="4"/>
  </r>
  <r>
    <s v="CLM104015"/>
    <s v="PT11275"/>
    <s v="P04"/>
    <x v="2"/>
    <x v="0"/>
    <n v="1"/>
    <d v="2026-04-17T00:00:00"/>
    <d v="2026-04-22T00:00:00"/>
    <n v="148.24"/>
    <n v="50.2"/>
    <n v="45.18"/>
    <n v="5.0199999999999996"/>
    <s v="Paid"/>
    <s v=""/>
    <d v="2026-05-01T00:00:00"/>
    <d v="2026-05-01T00:00:00"/>
    <n v="145"/>
    <n v="0.36"/>
    <n v="52.2"/>
    <n v="2"/>
    <x v="0"/>
    <x v="1"/>
    <x v="10"/>
  </r>
  <r>
    <s v="CLM104016"/>
    <s v="PT11894"/>
    <s v="P01"/>
    <x v="0"/>
    <x v="8"/>
    <n v="1"/>
    <d v="2026-08-27T00:00:00"/>
    <d v="2026-09-01T00:00:00"/>
    <n v="264.14"/>
    <m/>
    <m/>
    <m/>
    <s v="Denied"/>
    <s v="CO-16"/>
    <d v="2026-09-30T00:00:00"/>
    <m/>
    <n v="260"/>
    <n v="0.45"/>
    <n v="117"/>
    <s v=""/>
    <x v="2"/>
    <x v="5"/>
    <x v="4"/>
  </r>
  <r>
    <s v="CLM104017"/>
    <s v="PT12761"/>
    <s v="P04"/>
    <x v="0"/>
    <x v="0"/>
    <n v="1"/>
    <d v="2026-07-23T00:00:00"/>
    <d v="2026-07-28T00:00:00"/>
    <n v="145.06"/>
    <n v="49.19"/>
    <n v="49.19"/>
    <n v="0"/>
    <s v="Paid"/>
    <s v=""/>
    <d v="2026-08-14T00:00:00"/>
    <d v="2026-08-14T00:00:00"/>
    <n v="145"/>
    <n v="0.36"/>
    <n v="52.2"/>
    <n v="3.0100000000000051"/>
    <x v="1"/>
    <x v="1"/>
    <x v="1"/>
  </r>
  <r>
    <s v="CLM104018"/>
    <s v="PT12650"/>
    <s v="P03"/>
    <x v="1"/>
    <x v="10"/>
    <n v="1"/>
    <d v="2025-12-09T00:00:00"/>
    <d v="2025-12-25T00:00:00"/>
    <n v="1074.3599999999999"/>
    <n v="573.1"/>
    <n v="458.48"/>
    <n v="114.62"/>
    <s v="Paid"/>
    <s v=""/>
    <d v="2026-02-25T00:00:00"/>
    <d v="2026-02-25T00:00:00"/>
    <n v="1050"/>
    <n v="0.47"/>
    <n v="493.5"/>
    <n v="-79.600000000000023"/>
    <x v="0"/>
    <x v="4"/>
    <x v="6"/>
  </r>
  <r>
    <s v="CLM104019"/>
    <s v="PT10057"/>
    <s v="P01"/>
    <x v="0"/>
    <x v="8"/>
    <n v="1"/>
    <d v="2026-08-05T00:00:00"/>
    <d v="2026-08-09T00:00:00"/>
    <n v="252.27"/>
    <n v="105.81"/>
    <n v="95.23"/>
    <n v="10.58"/>
    <s v="Paid"/>
    <s v=""/>
    <d v="2026-08-18T00:00:00"/>
    <d v="2026-08-18T00:00:00"/>
    <n v="260"/>
    <n v="0.45"/>
    <n v="117"/>
    <n v="11.189999999999998"/>
    <x v="1"/>
    <x v="5"/>
    <x v="4"/>
  </r>
  <r>
    <s v="CLM104020"/>
    <s v="PT12478"/>
    <s v="P04"/>
    <x v="2"/>
    <x v="2"/>
    <n v="3"/>
    <d v="2025-10-15T00:00:00"/>
    <d v="2025-10-16T00:00:00"/>
    <n v="187.06"/>
    <m/>
    <m/>
    <m/>
    <s v="Denied"/>
    <s v="CO-27"/>
    <d v="2025-11-03T00:00:00"/>
    <m/>
    <n v="62"/>
    <n v="0.36"/>
    <n v="66.959999999999994"/>
    <s v=""/>
    <x v="2"/>
    <x v="1"/>
    <x v="9"/>
  </r>
  <r>
    <s v="CLM104021"/>
    <s v="PT11854"/>
    <s v="P01"/>
    <x v="0"/>
    <x v="8"/>
    <n v="1"/>
    <d v="2026-09-21T00:00:00"/>
    <d v="2026-09-24T00:00:00"/>
    <n v="261.01"/>
    <m/>
    <m/>
    <m/>
    <s v="Pending"/>
    <s v=""/>
    <m/>
    <m/>
    <n v="260"/>
    <n v="0.45"/>
    <n v="117"/>
    <s v=""/>
    <x v="2"/>
    <x v="5"/>
    <x v="8"/>
  </r>
  <r>
    <s v="CLM104022"/>
    <s v="PT12270"/>
    <s v="P01"/>
    <x v="2"/>
    <x v="0"/>
    <n v="1"/>
    <d v="2025-12-26T00:00:00"/>
    <d v="2026-01-04T00:00:00"/>
    <n v="142.72"/>
    <n v="62.51"/>
    <n v="62.51"/>
    <n v="0"/>
    <s v="Paid"/>
    <s v=""/>
    <d v="2026-02-04T00:00:00"/>
    <d v="2026-02-04T00:00:00"/>
    <n v="145"/>
    <n v="0.45"/>
    <n v="65.25"/>
    <n v="2.740000000000002"/>
    <x v="0"/>
    <x v="5"/>
    <x v="6"/>
  </r>
  <r>
    <s v="CLM104023"/>
    <s v="PT10001"/>
    <s v="P04"/>
    <x v="1"/>
    <x v="1"/>
    <n v="1"/>
    <d v="2026-09-08T00:00:00"/>
    <d v="2026-09-16T00:00:00"/>
    <n v="245.31"/>
    <m/>
    <m/>
    <m/>
    <s v="Pending"/>
    <s v=""/>
    <m/>
    <m/>
    <n v="240"/>
    <n v="0.36"/>
    <n v="86.4"/>
    <s v=""/>
    <x v="2"/>
    <x v="1"/>
    <x v="8"/>
  </r>
  <r>
    <s v="CLM104024"/>
    <s v="PT13219"/>
    <s v="P03"/>
    <x v="1"/>
    <x v="7"/>
    <n v="1"/>
    <d v="2025-12-18T00:00:00"/>
    <d v="2025-12-21T00:00:00"/>
    <n v="210.58"/>
    <n v="98.85"/>
    <n v="98.85"/>
    <n v="0"/>
    <s v="Paid"/>
    <s v=""/>
    <d v="2026-02-04T00:00:00"/>
    <d v="2026-02-04T00:00:00"/>
    <n v="210"/>
    <n v="0.47"/>
    <n v="98.7"/>
    <n v="-0.14999999999999147"/>
    <x v="0"/>
    <x v="4"/>
    <x v="6"/>
  </r>
  <r>
    <s v="CLM104025"/>
    <s v="PT10681"/>
    <s v="P01"/>
    <x v="3"/>
    <x v="7"/>
    <n v="1"/>
    <d v="2026-01-06T00:00:00"/>
    <d v="2026-01-07T00:00:00"/>
    <n v="203.83"/>
    <n v="92.93"/>
    <n v="92.93"/>
    <n v="0"/>
    <s v="Paid"/>
    <s v=""/>
    <d v="2026-02-11T00:00:00"/>
    <d v="2026-02-11T00:00:00"/>
    <n v="210"/>
    <n v="0.45"/>
    <n v="94.5"/>
    <n v="1.5699999999999932"/>
    <x v="0"/>
    <x v="5"/>
    <x v="5"/>
  </r>
  <r>
    <s v="CLM104026"/>
    <s v="PT13486"/>
    <s v="P04"/>
    <x v="1"/>
    <x v="4"/>
    <n v="1"/>
    <d v="2026-04-12T00:00:00"/>
    <d v="2026-04-14T00:00:00"/>
    <n v="39.01"/>
    <n v="13.03"/>
    <n v="11.73"/>
    <n v="1.3"/>
    <s v="Paid"/>
    <s v=""/>
    <d v="2026-04-28T00:00:00"/>
    <d v="2026-04-28T00:00:00"/>
    <n v="38"/>
    <n v="0.36"/>
    <n v="13.68"/>
    <n v="0.65000000000000036"/>
    <x v="0"/>
    <x v="1"/>
    <x v="10"/>
  </r>
  <r>
    <s v="CLM104027"/>
    <s v="PT10682"/>
    <s v="P08"/>
    <x v="2"/>
    <x v="2"/>
    <n v="1"/>
    <d v="2026-07-15T00:00:00"/>
    <d v="2026-07-23T00:00:00"/>
    <n v="61.8"/>
    <m/>
    <m/>
    <m/>
    <s v="Pending"/>
    <s v=""/>
    <m/>
    <m/>
    <n v="62"/>
    <n v="1"/>
    <n v="62"/>
    <s v=""/>
    <x v="2"/>
    <x v="7"/>
    <x v="1"/>
  </r>
  <r>
    <s v="CLM104028"/>
    <s v="PT12881"/>
    <s v="P04"/>
    <x v="2"/>
    <x v="0"/>
    <n v="1"/>
    <d v="2025-12-19T00:00:00"/>
    <d v="2025-12-22T00:00:00"/>
    <n v="146.41"/>
    <n v="48.41"/>
    <n v="48.41"/>
    <n v="0"/>
    <s v="Paid"/>
    <s v=""/>
    <d v="2026-01-01T00:00:00"/>
    <d v="2026-01-01T00:00:00"/>
    <n v="145"/>
    <n v="0.36"/>
    <n v="52.2"/>
    <n v="3.7900000000000063"/>
    <x v="1"/>
    <x v="1"/>
    <x v="6"/>
  </r>
  <r>
    <s v="CLM104029"/>
    <s v="PT10982"/>
    <s v="P04"/>
    <x v="2"/>
    <x v="2"/>
    <n v="3"/>
    <d v="2026-08-23T00:00:00"/>
    <d v="2026-08-28T00:00:00"/>
    <n v="185.86"/>
    <n v="58.34"/>
    <n v="58.34"/>
    <n v="0"/>
    <s v="Paid"/>
    <s v=""/>
    <d v="2026-09-07T00:00:00"/>
    <d v="2026-09-07T00:00:00"/>
    <n v="62"/>
    <n v="0.36"/>
    <n v="66.959999999999994"/>
    <n v="8.6199999999999903"/>
    <x v="1"/>
    <x v="1"/>
    <x v="4"/>
  </r>
  <r>
    <s v="CLM104030"/>
    <s v="PT11780"/>
    <s v="P03"/>
    <x v="0"/>
    <x v="8"/>
    <n v="1"/>
    <d v="2025-12-16T00:00:00"/>
    <d v="2025-12-21T00:00:00"/>
    <n v="266.12"/>
    <n v="131.80000000000001"/>
    <n v="131.80000000000001"/>
    <n v="0"/>
    <s v="Paid"/>
    <s v=""/>
    <d v="2026-01-20T00:00:00"/>
    <d v="2026-01-20T00:00:00"/>
    <n v="260"/>
    <n v="0.47"/>
    <n v="122.2"/>
    <n v="-9.6000000000000085"/>
    <x v="0"/>
    <x v="4"/>
    <x v="6"/>
  </r>
  <r>
    <s v="CLM104031"/>
    <s v="PT11113"/>
    <s v="P01"/>
    <x v="1"/>
    <x v="1"/>
    <n v="1"/>
    <d v="2026-03-14T00:00:00"/>
    <d v="2026-03-18T00:00:00"/>
    <n v="246.62"/>
    <n v="94.36"/>
    <n v="94.36"/>
    <n v="0"/>
    <s v="Paid"/>
    <s v=""/>
    <d v="2026-04-07T00:00:00"/>
    <d v="2026-04-07T00:00:00"/>
    <n v="240"/>
    <n v="0.45"/>
    <n v="108"/>
    <n v="13.64"/>
    <x v="1"/>
    <x v="5"/>
    <x v="2"/>
  </r>
  <r>
    <s v="CLM104032"/>
    <s v="PT10264"/>
    <s v="P05"/>
    <x v="3"/>
    <x v="7"/>
    <n v="1"/>
    <d v="2025-10-30T00:00:00"/>
    <d v="2025-11-08T00:00:00"/>
    <n v="216.06"/>
    <n v="93.83"/>
    <n v="84.45"/>
    <n v="9.3800000000000008"/>
    <s v="Paid"/>
    <s v=""/>
    <d v="2025-12-14T00:00:00"/>
    <d v="2025-12-14T00:00:00"/>
    <n v="210"/>
    <n v="0.38"/>
    <n v="79.8"/>
    <n v="-14.030000000000001"/>
    <x v="0"/>
    <x v="0"/>
    <x v="9"/>
  </r>
  <r>
    <s v="CLM104033"/>
    <s v="PT11125"/>
    <s v="P04"/>
    <x v="0"/>
    <x v="8"/>
    <n v="1"/>
    <d v="2025-12-20T00:00:00"/>
    <d v="2025-12-21T00:00:00"/>
    <n v="262.37"/>
    <n v="106.69"/>
    <n v="106.69"/>
    <n v="0"/>
    <s v="Paid"/>
    <s v=""/>
    <d v="2026-01-01T00:00:00"/>
    <d v="2026-01-01T00:00:00"/>
    <n v="260"/>
    <n v="0.36"/>
    <n v="93.6"/>
    <n v="-13.090000000000003"/>
    <x v="0"/>
    <x v="1"/>
    <x v="6"/>
  </r>
  <r>
    <s v="CLM104034"/>
    <s v="PT12102"/>
    <s v="P07"/>
    <x v="1"/>
    <x v="11"/>
    <n v="1"/>
    <d v="2025-11-11T00:00:00"/>
    <d v="2025-11-15T00:00:00"/>
    <n v="1171.3599999999999"/>
    <n v="288.27"/>
    <n v="288.27"/>
    <n v="0"/>
    <s v="Paid"/>
    <s v=""/>
    <d v="2025-12-26T00:00:00"/>
    <d v="2025-12-26T00:00:00"/>
    <n v="1150"/>
    <n v="0.28000000000000003"/>
    <n v="322"/>
    <n v="33.730000000000018"/>
    <x v="1"/>
    <x v="3"/>
    <x v="3"/>
  </r>
  <r>
    <s v="CLM104035"/>
    <s v="PT13194"/>
    <s v="P03"/>
    <x v="1"/>
    <x v="5"/>
    <n v="1"/>
    <d v="2026-07-02T00:00:00"/>
    <d v="2026-07-04T00:00:00"/>
    <n v="4868.74"/>
    <m/>
    <m/>
    <m/>
    <s v="Denied"/>
    <s v="CO-11"/>
    <d v="2026-08-21T00:00:00"/>
    <m/>
    <n v="4800"/>
    <n v="0.47"/>
    <n v="2256"/>
    <s v=""/>
    <x v="2"/>
    <x v="4"/>
    <x v="1"/>
  </r>
  <r>
    <s v="CLM104036"/>
    <s v="PT11871"/>
    <s v="P01"/>
    <x v="3"/>
    <x v="3"/>
    <n v="10"/>
    <d v="2026-06-10T00:00:00"/>
    <d v="2026-06-18T00:00:00"/>
    <n v="14923.94"/>
    <n v="7054.25"/>
    <n v="6348.82"/>
    <n v="705.43"/>
    <s v="Paid"/>
    <s v=""/>
    <d v="2026-07-20T00:00:00"/>
    <d v="2026-07-20T00:00:00"/>
    <n v="1450"/>
    <n v="0.45"/>
    <n v="6525"/>
    <n v="-529.25"/>
    <x v="0"/>
    <x v="5"/>
    <x v="11"/>
  </r>
  <r>
    <s v="CLM104037"/>
    <s v="PT11352"/>
    <s v="P04"/>
    <x v="2"/>
    <x v="2"/>
    <n v="1"/>
    <d v="2026-06-12T00:00:00"/>
    <d v="2026-06-26T00:00:00"/>
    <n v="63.35"/>
    <n v="22.43"/>
    <n v="22.43"/>
    <n v="0"/>
    <s v="Paid"/>
    <s v=""/>
    <d v="2026-07-10T00:00:00"/>
    <d v="2026-07-10T00:00:00"/>
    <n v="62"/>
    <n v="0.36"/>
    <n v="22.32"/>
    <n v="-0.10999999999999943"/>
    <x v="0"/>
    <x v="1"/>
    <x v="11"/>
  </r>
  <r>
    <s v="CLM104038"/>
    <s v="PT10005"/>
    <s v="P07"/>
    <x v="0"/>
    <x v="8"/>
    <n v="1"/>
    <d v="2026-05-04T00:00:00"/>
    <d v="2026-05-09T00:00:00"/>
    <n v="260"/>
    <n v="70.83"/>
    <n v="70.83"/>
    <n v="0"/>
    <s v="Paid"/>
    <s v=""/>
    <d v="2026-06-14T00:00:00"/>
    <d v="2026-06-14T00:00:00"/>
    <n v="260"/>
    <n v="0.28000000000000003"/>
    <n v="72.8"/>
    <n v="1.9699999999999989"/>
    <x v="0"/>
    <x v="3"/>
    <x v="7"/>
  </r>
  <r>
    <s v="CLM104039"/>
    <s v="PT13214"/>
    <s v="P04"/>
    <x v="1"/>
    <x v="4"/>
    <n v="1"/>
    <d v="2025-11-26T00:00:00"/>
    <d v="2025-11-27T00:00:00"/>
    <n v="37.15"/>
    <n v="12.43"/>
    <n v="11.19"/>
    <n v="1.24"/>
    <s v="Paid"/>
    <s v=""/>
    <d v="2025-12-17T00:00:00"/>
    <d v="2025-12-17T00:00:00"/>
    <n v="38"/>
    <n v="0.36"/>
    <n v="13.68"/>
    <n v="1.25"/>
    <x v="1"/>
    <x v="1"/>
    <x v="3"/>
  </r>
  <r>
    <s v="CLM104040"/>
    <s v="PT11262"/>
    <s v="P01"/>
    <x v="0"/>
    <x v="0"/>
    <n v="1"/>
    <d v="2026-03-26T00:00:00"/>
    <d v="2026-03-31T00:00:00"/>
    <n v="141.66"/>
    <n v="66.739999999999995"/>
    <n v="66.739999999999995"/>
    <n v="0"/>
    <s v="Paid"/>
    <s v=""/>
    <d v="2026-05-08T00:00:00"/>
    <d v="2026-05-08T00:00:00"/>
    <n v="145"/>
    <n v="0.45"/>
    <n v="65.25"/>
    <n v="-1.4899999999999949"/>
    <x v="0"/>
    <x v="5"/>
    <x v="2"/>
  </r>
  <r>
    <s v="CLM104041"/>
    <s v="PT11876"/>
    <s v="P01"/>
    <x v="3"/>
    <x v="6"/>
    <n v="1"/>
    <d v="2026-04-03T00:00:00"/>
    <d v="2026-04-06T00:00:00"/>
    <n v="427.78"/>
    <n v="172.1"/>
    <n v="154.88999999999999"/>
    <n v="17.21"/>
    <s v="Paid"/>
    <s v=""/>
    <d v="2026-05-01T00:00:00"/>
    <d v="2026-05-01T00:00:00"/>
    <n v="420"/>
    <n v="0.45"/>
    <n v="189"/>
    <n v="16.900000000000006"/>
    <x v="1"/>
    <x v="5"/>
    <x v="10"/>
  </r>
  <r>
    <s v="CLM104042"/>
    <s v="PT13212"/>
    <s v="P07"/>
    <x v="0"/>
    <x v="0"/>
    <n v="1"/>
    <d v="2026-06-30T00:00:00"/>
    <d v="2026-07-03T00:00:00"/>
    <n v="142.5"/>
    <n v="41.03"/>
    <n v="41.03"/>
    <n v="0"/>
    <s v="Paid"/>
    <s v=""/>
    <d v="2026-09-22T00:00:00"/>
    <d v="2026-09-22T00:00:00"/>
    <n v="145"/>
    <n v="0.28000000000000003"/>
    <n v="40.6"/>
    <n v="-0.42999999999999972"/>
    <x v="0"/>
    <x v="3"/>
    <x v="11"/>
  </r>
  <r>
    <s v="CLM104043"/>
    <s v="PT10186"/>
    <s v="P05"/>
    <x v="3"/>
    <x v="3"/>
    <n v="10"/>
    <d v="2026-05-02T00:00:00"/>
    <d v="2026-05-05T00:00:00"/>
    <n v="14297.32"/>
    <n v="5766.2"/>
    <n v="5766.2"/>
    <n v="0"/>
    <s v="Paid"/>
    <s v=""/>
    <d v="2026-05-28T00:00:00"/>
    <d v="2026-05-28T00:00:00"/>
    <n v="1450"/>
    <n v="0.38"/>
    <n v="5510"/>
    <n v="-256.19999999999982"/>
    <x v="0"/>
    <x v="0"/>
    <x v="7"/>
  </r>
  <r>
    <s v="CLM104044"/>
    <s v="PT12274"/>
    <s v="P01"/>
    <x v="3"/>
    <x v="3"/>
    <n v="30"/>
    <d v="2026-03-11T00:00:00"/>
    <d v="2026-03-14T00:00:00"/>
    <n v="44480.4"/>
    <n v="21742.1"/>
    <n v="17393.68"/>
    <n v="4348.42"/>
    <s v="Paid"/>
    <s v=""/>
    <d v="2026-04-10T00:00:00"/>
    <d v="2026-04-10T00:00:00"/>
    <n v="1450"/>
    <n v="0.45"/>
    <n v="19575"/>
    <n v="-2167.0999999999985"/>
    <x v="0"/>
    <x v="5"/>
    <x v="2"/>
  </r>
  <r>
    <s v="CLM104045"/>
    <s v="PT11573"/>
    <s v="P07"/>
    <x v="3"/>
    <x v="3"/>
    <n v="30"/>
    <d v="2026-06-03T00:00:00"/>
    <d v="2026-06-06T00:00:00"/>
    <n v="43093.42"/>
    <n v="11450.94"/>
    <n v="10305.85"/>
    <n v="1145.0899999999999"/>
    <s v="Paid"/>
    <s v=""/>
    <d v="2026-07-27T00:00:00"/>
    <d v="2026-07-27T00:00:00"/>
    <n v="1450"/>
    <n v="0.28000000000000003"/>
    <n v="12180"/>
    <n v="729.05999999999949"/>
    <x v="1"/>
    <x v="3"/>
    <x v="11"/>
  </r>
  <r>
    <s v="CLM104046"/>
    <s v="PT10456"/>
    <s v="P01"/>
    <x v="2"/>
    <x v="9"/>
    <n v="2"/>
    <d v="2026-05-07T00:00:00"/>
    <d v="2026-05-21T00:00:00"/>
    <n v="114.38"/>
    <n v="49.88"/>
    <n v="39.9"/>
    <n v="9.98"/>
    <s v="Paid"/>
    <s v=""/>
    <d v="2026-06-25T00:00:00"/>
    <d v="2026-06-25T00:00:00"/>
    <n v="58"/>
    <n v="0.45"/>
    <n v="52.2"/>
    <n v="2.3200000000000003"/>
    <x v="0"/>
    <x v="5"/>
    <x v="7"/>
  </r>
  <r>
    <s v="CLM104047"/>
    <s v="PT10558"/>
    <s v="P01"/>
    <x v="1"/>
    <x v="8"/>
    <n v="1"/>
    <d v="2026-03-25T00:00:00"/>
    <d v="2026-03-28T00:00:00"/>
    <n v="257.7"/>
    <n v="128.54"/>
    <n v="115.69"/>
    <n v="12.85"/>
    <s v="Paid"/>
    <s v=""/>
    <d v="2026-04-25T00:00:00"/>
    <d v="2026-04-25T00:00:00"/>
    <n v="260"/>
    <n v="0.45"/>
    <n v="117"/>
    <n v="-11.539999999999992"/>
    <x v="0"/>
    <x v="5"/>
    <x v="2"/>
  </r>
  <r>
    <s v="CLM104048"/>
    <s v="PT12729"/>
    <s v="P02"/>
    <x v="0"/>
    <x v="8"/>
    <n v="1"/>
    <d v="2025-10-04T00:00:00"/>
    <d v="2025-10-05T00:00:00"/>
    <n v="256.67"/>
    <n v="105.35"/>
    <n v="94.81"/>
    <n v="10.54"/>
    <s v="Paid"/>
    <s v=""/>
    <d v="2025-11-16T00:00:00"/>
    <d v="2025-11-16T00:00:00"/>
    <n v="260"/>
    <n v="0.43"/>
    <n v="111.8"/>
    <n v="6.4500000000000028"/>
    <x v="1"/>
    <x v="6"/>
    <x v="9"/>
  </r>
  <r>
    <s v="CLM104049"/>
    <s v="PT10810"/>
    <s v="P05"/>
    <x v="3"/>
    <x v="3"/>
    <n v="5"/>
    <d v="2026-06-04T00:00:00"/>
    <d v="2026-06-14T00:00:00"/>
    <n v="7218.42"/>
    <n v="3064.06"/>
    <n v="3064.06"/>
    <n v="0"/>
    <s v="Paid"/>
    <s v=""/>
    <d v="2026-07-15T00:00:00"/>
    <d v="2026-07-15T00:00:00"/>
    <n v="1450"/>
    <n v="0.38"/>
    <n v="2755"/>
    <n v="-309.05999999999995"/>
    <x v="0"/>
    <x v="0"/>
    <x v="11"/>
  </r>
  <r>
    <s v="CLM104050"/>
    <s v="PT12724"/>
    <s v="P06"/>
    <x v="0"/>
    <x v="4"/>
    <n v="1"/>
    <d v="2026-04-05T00:00:00"/>
    <d v="2026-04-07T00:00:00"/>
    <n v="38.35"/>
    <n v="9.27"/>
    <n v="9.27"/>
    <n v="0"/>
    <s v="Paid"/>
    <s v=""/>
    <d v="2026-05-14T00:00:00"/>
    <d v="2026-05-14T00:00:00"/>
    <n v="38"/>
    <n v="0.27"/>
    <n v="10.26"/>
    <n v="0.99000000000000021"/>
    <x v="1"/>
    <x v="2"/>
    <x v="10"/>
  </r>
  <r>
    <s v="CLM104051"/>
    <s v="PT10442"/>
    <s v="P01"/>
    <x v="1"/>
    <x v="4"/>
    <n v="1"/>
    <d v="2025-11-09T00:00:00"/>
    <d v="2025-11-13T00:00:00"/>
    <n v="38.26"/>
    <n v="19.309999999999999"/>
    <n v="19.309999999999999"/>
    <n v="0"/>
    <s v="Paid"/>
    <s v=""/>
    <d v="2025-12-10T00:00:00"/>
    <d v="2025-12-10T00:00:00"/>
    <n v="38"/>
    <n v="0.45"/>
    <n v="17.100000000000001"/>
    <n v="-2.2099999999999973"/>
    <x v="0"/>
    <x v="5"/>
    <x v="3"/>
  </r>
  <r>
    <s v="CLM104052"/>
    <s v="PT12429"/>
    <s v="P03"/>
    <x v="3"/>
    <x v="6"/>
    <n v="1"/>
    <d v="2026-05-24T00:00:00"/>
    <d v="2026-05-31T00:00:00"/>
    <n v="414.82"/>
    <n v="216.11"/>
    <n v="216.11"/>
    <n v="0"/>
    <s v="Paid"/>
    <s v=""/>
    <d v="2026-07-09T00:00:00"/>
    <d v="2026-07-09T00:00:00"/>
    <n v="420"/>
    <n v="0.47"/>
    <n v="197.4"/>
    <n v="-18.710000000000008"/>
    <x v="0"/>
    <x v="4"/>
    <x v="7"/>
  </r>
  <r>
    <s v="CLM104053"/>
    <s v="PT13176"/>
    <s v="P03"/>
    <x v="0"/>
    <x v="7"/>
    <n v="1"/>
    <d v="2026-02-10T00:00:00"/>
    <d v="2026-02-13T00:00:00"/>
    <n v="206.51"/>
    <n v="96.68"/>
    <n v="87.01"/>
    <n v="9.67"/>
    <s v="Paid"/>
    <s v=""/>
    <d v="2026-04-08T00:00:00"/>
    <d v="2026-04-08T00:00:00"/>
    <n v="210"/>
    <n v="0.47"/>
    <n v="98.7"/>
    <n v="2.019999999999996"/>
    <x v="0"/>
    <x v="4"/>
    <x v="0"/>
  </r>
  <r>
    <s v="CLM104054"/>
    <s v="PT13297"/>
    <s v="P05"/>
    <x v="0"/>
    <x v="7"/>
    <n v="1"/>
    <d v="2026-05-02T00:00:00"/>
    <d v="2026-05-06T00:00:00"/>
    <n v="204.73"/>
    <m/>
    <m/>
    <m/>
    <s v="Denied"/>
    <s v="CO-50"/>
    <d v="2026-06-26T00:00:00"/>
    <m/>
    <n v="210"/>
    <n v="0.38"/>
    <n v="79.8"/>
    <s v=""/>
    <x v="2"/>
    <x v="0"/>
    <x v="7"/>
  </r>
  <r>
    <s v="CLM104055"/>
    <s v="PT12622"/>
    <s v="P01"/>
    <x v="1"/>
    <x v="11"/>
    <n v="1"/>
    <d v="2026-08-13T00:00:00"/>
    <d v="2026-08-15T00:00:00"/>
    <n v="1144.08"/>
    <n v="579.74"/>
    <n v="579.74"/>
    <n v="0"/>
    <s v="Paid"/>
    <s v=""/>
    <d v="2026-09-01T00:00:00"/>
    <d v="2026-09-01T00:00:00"/>
    <n v="1150"/>
    <n v="0.45"/>
    <n v="517.5"/>
    <n v="-62.240000000000009"/>
    <x v="0"/>
    <x v="5"/>
    <x v="4"/>
  </r>
  <r>
    <s v="CLM104056"/>
    <s v="PT11225"/>
    <s v="P01"/>
    <x v="3"/>
    <x v="6"/>
    <n v="1"/>
    <d v="2025-11-03T00:00:00"/>
    <d v="2025-11-06T00:00:00"/>
    <n v="410.78"/>
    <n v="196.18"/>
    <n v="156.94"/>
    <n v="39.24"/>
    <s v="Paid"/>
    <s v=""/>
    <d v="2025-12-07T00:00:00"/>
    <d v="2025-12-07T00:00:00"/>
    <n v="420"/>
    <n v="0.45"/>
    <n v="189"/>
    <n v="-7.1800000000000068"/>
    <x v="0"/>
    <x v="5"/>
    <x v="3"/>
  </r>
  <r>
    <s v="CLM104057"/>
    <s v="PT11734"/>
    <s v="P08"/>
    <x v="1"/>
    <x v="4"/>
    <n v="1"/>
    <d v="2026-06-30T00:00:00"/>
    <d v="2026-07-02T00:00:00"/>
    <n v="38.58"/>
    <n v="38.58"/>
    <n v="38.58"/>
    <n v="0"/>
    <s v="Paid"/>
    <s v=""/>
    <d v="2026-08-20T00:00:00"/>
    <d v="2026-08-20T00:00:00"/>
    <n v="38"/>
    <n v="1"/>
    <n v="38"/>
    <n v="-0.57999999999999829"/>
    <x v="0"/>
    <x v="7"/>
    <x v="11"/>
  </r>
  <r>
    <s v="CLM104058"/>
    <s v="PT11847"/>
    <s v="P04"/>
    <x v="0"/>
    <x v="8"/>
    <n v="1"/>
    <d v="2025-11-18T00:00:00"/>
    <d v="2025-11-21T00:00:00"/>
    <n v="262.19"/>
    <n v="80.73"/>
    <n v="80.73"/>
    <n v="0"/>
    <s v="Paid"/>
    <s v=""/>
    <d v="2025-12-15T00:00:00"/>
    <d v="2025-12-15T00:00:00"/>
    <n v="260"/>
    <n v="0.36"/>
    <n v="93.6"/>
    <n v="12.86999999999999"/>
    <x v="1"/>
    <x v="1"/>
    <x v="3"/>
  </r>
  <r>
    <s v="CLM104059"/>
    <s v="PT12387"/>
    <s v="P06"/>
    <x v="2"/>
    <x v="2"/>
    <n v="4"/>
    <d v="2026-09-21T00:00:00"/>
    <d v="2026-09-25T00:00:00"/>
    <n v="244.16"/>
    <m/>
    <m/>
    <m/>
    <s v="Pending"/>
    <s v=""/>
    <m/>
    <m/>
    <n v="62"/>
    <n v="0.27"/>
    <n v="66.959999999999994"/>
    <s v=""/>
    <x v="2"/>
    <x v="2"/>
    <x v="8"/>
  </r>
  <r>
    <s v="CLM104060"/>
    <s v="PT10416"/>
    <s v="P01"/>
    <x v="3"/>
    <x v="3"/>
    <n v="5"/>
    <d v="2026-04-08T00:00:00"/>
    <d v="2026-04-09T00:00:00"/>
    <n v="7452.11"/>
    <n v="3704.72"/>
    <n v="3704.72"/>
    <n v="0"/>
    <s v="Paid"/>
    <s v=""/>
    <d v="2026-04-30T00:00:00"/>
    <d v="2026-04-30T00:00:00"/>
    <n v="1450"/>
    <n v="0.45"/>
    <n v="3262.5"/>
    <n v="-442.2199999999998"/>
    <x v="0"/>
    <x v="5"/>
    <x v="10"/>
  </r>
  <r>
    <s v="CLM104061"/>
    <s v="PT10548"/>
    <s v="P06"/>
    <x v="3"/>
    <x v="3"/>
    <n v="20"/>
    <d v="2026-05-27T00:00:00"/>
    <d v="2026-05-29T00:00:00"/>
    <n v="29472.35"/>
    <n v="7420.3"/>
    <n v="7420.3"/>
    <n v="0"/>
    <s v="Paid"/>
    <s v=""/>
    <d v="2026-07-23T00:00:00"/>
    <d v="2026-07-23T00:00:00"/>
    <n v="1450"/>
    <n v="0.27"/>
    <n v="7830"/>
    <n v="409.69999999999982"/>
    <x v="1"/>
    <x v="2"/>
    <x v="7"/>
  </r>
  <r>
    <s v="CLM104062"/>
    <s v="PT10182"/>
    <s v="P01"/>
    <x v="0"/>
    <x v="0"/>
    <n v="1"/>
    <d v="2025-11-21T00:00:00"/>
    <d v="2025-11-26T00:00:00"/>
    <n v="144.69"/>
    <n v="57.61"/>
    <n v="57.61"/>
    <n v="0"/>
    <s v="Paid"/>
    <s v=""/>
    <d v="2026-01-04T00:00:00"/>
    <d v="2026-01-04T00:00:00"/>
    <n v="145"/>
    <n v="0.45"/>
    <n v="65.25"/>
    <n v="7.6400000000000006"/>
    <x v="1"/>
    <x v="5"/>
    <x v="3"/>
  </r>
  <r>
    <s v="CLM104063"/>
    <s v="PT10852"/>
    <s v="P06"/>
    <x v="2"/>
    <x v="2"/>
    <n v="2"/>
    <d v="2026-06-06T00:00:00"/>
    <d v="2026-06-08T00:00:00"/>
    <n v="122.01"/>
    <n v="32.07"/>
    <n v="25.66"/>
    <n v="6.41"/>
    <s v="Paid"/>
    <s v=""/>
    <d v="2026-08-07T00:00:00"/>
    <d v="2026-08-07T00:00:00"/>
    <n v="62"/>
    <n v="0.27"/>
    <n v="33.479999999999997"/>
    <n v="1.4099999999999966"/>
    <x v="0"/>
    <x v="2"/>
    <x v="11"/>
  </r>
  <r>
    <s v="CLM104064"/>
    <s v="PT10154"/>
    <s v="P02"/>
    <x v="1"/>
    <x v="11"/>
    <n v="1"/>
    <d v="2025-11-07T00:00:00"/>
    <d v="2025-11-12T00:00:00"/>
    <n v="1164.51"/>
    <n v="505.15"/>
    <n v="404.12"/>
    <n v="101.03"/>
    <s v="Paid"/>
    <s v=""/>
    <d v="2026-01-18T00:00:00"/>
    <d v="2026-01-18T00:00:00"/>
    <n v="1150"/>
    <n v="0.43"/>
    <n v="494.5"/>
    <n v="-10.649999999999977"/>
    <x v="0"/>
    <x v="6"/>
    <x v="3"/>
  </r>
  <r>
    <s v="CLM104065"/>
    <s v="PT10535"/>
    <s v="P01"/>
    <x v="2"/>
    <x v="9"/>
    <n v="4"/>
    <d v="2026-04-03T00:00:00"/>
    <d v="2026-04-04T00:00:00"/>
    <n v="235.09"/>
    <n v="96.83"/>
    <n v="77.459999999999994"/>
    <n v="19.37"/>
    <s v="Paid"/>
    <s v=""/>
    <d v="2026-04-21T00:00:00"/>
    <d v="2026-04-21T00:00:00"/>
    <n v="58"/>
    <n v="0.45"/>
    <n v="104.4"/>
    <n v="7.5700000000000074"/>
    <x v="1"/>
    <x v="5"/>
    <x v="10"/>
  </r>
  <r>
    <s v="CLM104066"/>
    <s v="PT10694"/>
    <s v="P02"/>
    <x v="3"/>
    <x v="7"/>
    <n v="1"/>
    <d v="2026-06-17T00:00:00"/>
    <d v="2026-06-19T00:00:00"/>
    <n v="208.31"/>
    <n v="93.46"/>
    <n v="84.11"/>
    <n v="9.35"/>
    <s v="Paid"/>
    <s v=""/>
    <d v="2026-08-05T00:00:00"/>
    <d v="2026-08-05T00:00:00"/>
    <n v="210"/>
    <n v="0.43"/>
    <n v="90.3"/>
    <n v="-3.1599999999999966"/>
    <x v="0"/>
    <x v="6"/>
    <x v="11"/>
  </r>
  <r>
    <s v="CLM104067"/>
    <s v="PT11475"/>
    <s v="P06"/>
    <x v="0"/>
    <x v="7"/>
    <n v="1"/>
    <d v="2026-02-03T00:00:00"/>
    <d v="2026-02-08T00:00:00"/>
    <n v="207.91"/>
    <m/>
    <m/>
    <m/>
    <s v="Denied"/>
    <s v="CO-16"/>
    <d v="2026-03-11T00:00:00"/>
    <m/>
    <n v="210"/>
    <n v="0.27"/>
    <n v="56.7"/>
    <s v=""/>
    <x v="2"/>
    <x v="2"/>
    <x v="0"/>
  </r>
  <r>
    <s v="CLM104068"/>
    <s v="PT10553"/>
    <s v="P05"/>
    <x v="2"/>
    <x v="2"/>
    <n v="1"/>
    <d v="2025-11-09T00:00:00"/>
    <d v="2026-03-07T00:00:00"/>
    <n v="63.84"/>
    <m/>
    <m/>
    <m/>
    <s v="Denied"/>
    <s v="CO-29"/>
    <d v="2026-05-20T00:00:00"/>
    <m/>
    <n v="62"/>
    <n v="0.38"/>
    <n v="23.56"/>
    <s v=""/>
    <x v="2"/>
    <x v="0"/>
    <x v="3"/>
  </r>
  <r>
    <s v="CLM104069"/>
    <s v="PT10896"/>
    <s v="P01"/>
    <x v="0"/>
    <x v="7"/>
    <n v="1"/>
    <d v="2025-10-27T00:00:00"/>
    <d v="2025-10-28T00:00:00"/>
    <n v="210.08"/>
    <n v="96.37"/>
    <n v="96.37"/>
    <n v="0"/>
    <s v="Paid"/>
    <s v=""/>
    <d v="2025-12-16T00:00:00"/>
    <d v="2025-12-16T00:00:00"/>
    <n v="210"/>
    <n v="0.45"/>
    <n v="94.5"/>
    <n v="-1.8700000000000045"/>
    <x v="0"/>
    <x v="5"/>
    <x v="9"/>
  </r>
  <r>
    <s v="CLM104070"/>
    <s v="PT10859"/>
    <s v="P02"/>
    <x v="1"/>
    <x v="11"/>
    <n v="1"/>
    <d v="2026-06-18T00:00:00"/>
    <d v="2026-06-22T00:00:00"/>
    <n v="1141.07"/>
    <n v="435.27"/>
    <n v="391.74"/>
    <n v="43.53"/>
    <s v="Paid"/>
    <s v=""/>
    <d v="2026-07-06T00:00:00"/>
    <d v="2026-07-06T00:00:00"/>
    <n v="1150"/>
    <n v="0.43"/>
    <n v="494.5"/>
    <n v="59.230000000000018"/>
    <x v="1"/>
    <x v="6"/>
    <x v="11"/>
  </r>
  <r>
    <s v="CLM104071"/>
    <s v="PT12148"/>
    <s v="P02"/>
    <x v="0"/>
    <x v="4"/>
    <n v="1"/>
    <d v="2026-04-18T00:00:00"/>
    <d v="2026-04-19T00:00:00"/>
    <n v="38.18"/>
    <n v="17.420000000000002"/>
    <n v="17.420000000000002"/>
    <n v="0"/>
    <s v="Paid"/>
    <s v=""/>
    <d v="2026-04-26T00:00:00"/>
    <d v="2026-04-26T00:00:00"/>
    <n v="38"/>
    <n v="0.43"/>
    <n v="16.34"/>
    <n v="-1.0800000000000018"/>
    <x v="0"/>
    <x v="6"/>
    <x v="10"/>
  </r>
  <r>
    <s v="CLM104072"/>
    <s v="PT11245"/>
    <s v="P08"/>
    <x v="1"/>
    <x v="1"/>
    <n v="1"/>
    <d v="2025-12-04T00:00:00"/>
    <d v="2025-12-06T00:00:00"/>
    <n v="238.65"/>
    <m/>
    <m/>
    <m/>
    <s v="Pending"/>
    <s v=""/>
    <m/>
    <m/>
    <n v="240"/>
    <n v="1"/>
    <n v="240"/>
    <s v=""/>
    <x v="2"/>
    <x v="7"/>
    <x v="6"/>
  </r>
  <r>
    <s v="CLM104073"/>
    <s v="PT12644"/>
    <s v="P01"/>
    <x v="1"/>
    <x v="11"/>
    <n v="1"/>
    <d v="2026-05-21T00:00:00"/>
    <d v="2026-05-22T00:00:00"/>
    <n v="1171.2"/>
    <n v="582.59"/>
    <n v="582.59"/>
    <n v="0"/>
    <s v="Paid"/>
    <s v=""/>
    <d v="2026-06-14T00:00:00"/>
    <d v="2026-06-14T00:00:00"/>
    <n v="1150"/>
    <n v="0.45"/>
    <n v="517.5"/>
    <n v="-65.090000000000032"/>
    <x v="0"/>
    <x v="5"/>
    <x v="7"/>
  </r>
  <r>
    <s v="CLM104074"/>
    <s v="PT11185"/>
    <s v="P07"/>
    <x v="0"/>
    <x v="4"/>
    <n v="1"/>
    <d v="2026-06-12T00:00:00"/>
    <d v="2026-06-18T00:00:00"/>
    <n v="38.83"/>
    <n v="9.6999999999999993"/>
    <n v="9.6999999999999993"/>
    <n v="0"/>
    <s v="Paid"/>
    <s v=""/>
    <d v="2026-08-31T00:00:00"/>
    <d v="2026-08-31T00:00:00"/>
    <n v="38"/>
    <n v="0.28000000000000003"/>
    <n v="10.64"/>
    <n v="0.94000000000000128"/>
    <x v="1"/>
    <x v="3"/>
    <x v="11"/>
  </r>
  <r>
    <s v="CLM104075"/>
    <s v="PT13432"/>
    <s v="P02"/>
    <x v="1"/>
    <x v="11"/>
    <n v="1"/>
    <d v="2025-11-01T00:00:00"/>
    <d v="2025-11-06T00:00:00"/>
    <n v="1143.05"/>
    <n v="544.51"/>
    <n v="435.61"/>
    <n v="108.9"/>
    <s v="Paid"/>
    <s v=""/>
    <d v="2025-12-16T00:00:00"/>
    <d v="2025-12-16T00:00:00"/>
    <n v="1150"/>
    <n v="0.43"/>
    <n v="494.5"/>
    <n v="-50.009999999999991"/>
    <x v="0"/>
    <x v="6"/>
    <x v="3"/>
  </r>
  <r>
    <s v="CLM104076"/>
    <s v="PT11233"/>
    <s v="P06"/>
    <x v="2"/>
    <x v="0"/>
    <n v="1"/>
    <d v="2026-04-14T00:00:00"/>
    <d v="2026-08-29T00:00:00"/>
    <n v="147.25"/>
    <m/>
    <m/>
    <m/>
    <s v="Denied"/>
    <s v="CO-29"/>
    <d v="2026-09-17T00:00:00"/>
    <m/>
    <n v="145"/>
    <n v="0.27"/>
    <n v="39.15"/>
    <s v=""/>
    <x v="2"/>
    <x v="2"/>
    <x v="10"/>
  </r>
  <r>
    <s v="CLM104077"/>
    <s v="PT10008"/>
    <s v="P06"/>
    <x v="2"/>
    <x v="2"/>
    <n v="3"/>
    <d v="2025-12-18T00:00:00"/>
    <d v="2025-12-19T00:00:00"/>
    <n v="184.86"/>
    <m/>
    <m/>
    <m/>
    <s v="Denied"/>
    <s v="CO-27"/>
    <d v="2026-02-02T00:00:00"/>
    <m/>
    <n v="62"/>
    <n v="0.27"/>
    <n v="50.22"/>
    <s v=""/>
    <x v="2"/>
    <x v="2"/>
    <x v="6"/>
  </r>
  <r>
    <s v="CLM104078"/>
    <s v="PT10091"/>
    <s v="P07"/>
    <x v="1"/>
    <x v="11"/>
    <n v="1"/>
    <d v="2026-03-02T00:00:00"/>
    <d v="2026-03-04T00:00:00"/>
    <n v="1124.9100000000001"/>
    <n v="281.70999999999998"/>
    <n v="281.70999999999998"/>
    <n v="0"/>
    <s v="Paid"/>
    <s v=""/>
    <d v="2026-05-02T00:00:00"/>
    <d v="2026-05-02T00:00:00"/>
    <n v="1150"/>
    <n v="0.28000000000000003"/>
    <n v="322"/>
    <n v="40.29000000000002"/>
    <x v="1"/>
    <x v="3"/>
    <x v="2"/>
  </r>
  <r>
    <s v="CLM104079"/>
    <s v="PT12700"/>
    <s v="P01"/>
    <x v="1"/>
    <x v="4"/>
    <n v="1"/>
    <d v="2026-09-25T00:00:00"/>
    <d v="2026-09-26T00:00:00"/>
    <n v="36.99"/>
    <m/>
    <m/>
    <m/>
    <s v="Pending"/>
    <s v=""/>
    <m/>
    <m/>
    <n v="38"/>
    <n v="0.45"/>
    <n v="17.100000000000001"/>
    <s v=""/>
    <x v="2"/>
    <x v="5"/>
    <x v="8"/>
  </r>
  <r>
    <s v="CLM104080"/>
    <s v="PT11374"/>
    <s v="P04"/>
    <x v="3"/>
    <x v="6"/>
    <n v="1"/>
    <d v="2026-03-20T00:00:00"/>
    <d v="2026-03-24T00:00:00"/>
    <n v="408.95"/>
    <n v="128.71"/>
    <n v="128.71"/>
    <n v="0"/>
    <s v="Paid"/>
    <s v=""/>
    <d v="2026-04-09T00:00:00"/>
    <d v="2026-04-09T00:00:00"/>
    <n v="420"/>
    <n v="0.36"/>
    <n v="151.19999999999999"/>
    <n v="22.489999999999981"/>
    <x v="1"/>
    <x v="1"/>
    <x v="2"/>
  </r>
  <r>
    <s v="CLM104081"/>
    <s v="PT11670"/>
    <s v="P04"/>
    <x v="1"/>
    <x v="7"/>
    <n v="1"/>
    <d v="2026-04-13T00:00:00"/>
    <d v="2026-04-25T00:00:00"/>
    <n v="205.17"/>
    <n v="66.599999999999994"/>
    <n v="59.94"/>
    <n v="6.66"/>
    <s v="Paid"/>
    <s v=""/>
    <d v="2026-05-11T00:00:00"/>
    <d v="2026-05-11T00:00:00"/>
    <n v="210"/>
    <n v="0.36"/>
    <n v="75.599999999999994"/>
    <n v="9"/>
    <x v="1"/>
    <x v="1"/>
    <x v="10"/>
  </r>
  <r>
    <s v="CLM104082"/>
    <s v="PT10882"/>
    <s v="P02"/>
    <x v="3"/>
    <x v="6"/>
    <n v="1"/>
    <d v="2026-07-03T00:00:00"/>
    <d v="2026-07-13T00:00:00"/>
    <n v="426.39"/>
    <n v="179.69"/>
    <n v="161.72"/>
    <n v="17.97"/>
    <s v="Paid"/>
    <s v=""/>
    <d v="2026-08-29T00:00:00"/>
    <d v="2026-08-29T00:00:00"/>
    <n v="420"/>
    <n v="0.43"/>
    <n v="180.6"/>
    <n v="0.90999999999999659"/>
    <x v="0"/>
    <x v="6"/>
    <x v="1"/>
  </r>
  <r>
    <s v="CLM104083"/>
    <s v="PT10527"/>
    <s v="P01"/>
    <x v="0"/>
    <x v="8"/>
    <n v="1"/>
    <d v="2026-01-05T00:00:00"/>
    <d v="2026-01-08T00:00:00"/>
    <n v="252.2"/>
    <n v="109.68"/>
    <n v="109.68"/>
    <n v="0"/>
    <s v="Paid"/>
    <s v=""/>
    <d v="2026-02-09T00:00:00"/>
    <d v="2026-02-09T00:00:00"/>
    <n v="260"/>
    <n v="0.45"/>
    <n v="117"/>
    <n v="7.3199999999999932"/>
    <x v="1"/>
    <x v="5"/>
    <x v="5"/>
  </r>
  <r>
    <s v="CLM104084"/>
    <s v="PT13197"/>
    <s v="P07"/>
    <x v="0"/>
    <x v="7"/>
    <n v="1"/>
    <d v="2026-03-21T00:00:00"/>
    <d v="2026-03-29T00:00:00"/>
    <n v="209.03"/>
    <m/>
    <m/>
    <m/>
    <s v="Denied"/>
    <s v="CO-16"/>
    <d v="2026-05-20T00:00:00"/>
    <m/>
    <n v="210"/>
    <n v="0.28000000000000003"/>
    <n v="58.8"/>
    <s v=""/>
    <x v="2"/>
    <x v="3"/>
    <x v="2"/>
  </r>
  <r>
    <s v="CLM104085"/>
    <s v="PT10680"/>
    <s v="P05"/>
    <x v="0"/>
    <x v="4"/>
    <n v="1"/>
    <d v="2026-05-21T00:00:00"/>
    <d v="2026-05-27T00:00:00"/>
    <n v="37.31"/>
    <m/>
    <m/>
    <m/>
    <s v="Denied"/>
    <s v="CO-16"/>
    <d v="2026-07-25T00:00:00"/>
    <m/>
    <n v="38"/>
    <n v="0.38"/>
    <n v="14.44"/>
    <s v=""/>
    <x v="2"/>
    <x v="0"/>
    <x v="7"/>
  </r>
  <r>
    <s v="CLM104086"/>
    <s v="PT10723"/>
    <s v="P07"/>
    <x v="1"/>
    <x v="7"/>
    <n v="1"/>
    <d v="2026-01-23T00:00:00"/>
    <d v="2026-01-29T00:00:00"/>
    <n v="206.18"/>
    <m/>
    <m/>
    <m/>
    <s v="Denied"/>
    <s v="CO-27"/>
    <d v="2026-04-12T00:00:00"/>
    <m/>
    <n v="210"/>
    <n v="0.28000000000000003"/>
    <n v="58.8"/>
    <s v=""/>
    <x v="2"/>
    <x v="3"/>
    <x v="5"/>
  </r>
  <r>
    <s v="CLM104087"/>
    <s v="PT13487"/>
    <s v="P08"/>
    <x v="1"/>
    <x v="1"/>
    <n v="1"/>
    <d v="2026-04-16T00:00:00"/>
    <d v="2026-04-21T00:00:00"/>
    <n v="234.88"/>
    <n v="234.88"/>
    <n v="234.88"/>
    <n v="0"/>
    <s v="Paid"/>
    <s v=""/>
    <d v="2026-07-17T00:00:00"/>
    <d v="2026-07-17T00:00:00"/>
    <n v="240"/>
    <n v="1"/>
    <n v="240"/>
    <n v="5.1200000000000045"/>
    <x v="0"/>
    <x v="7"/>
    <x v="10"/>
  </r>
  <r>
    <s v="CLM104088"/>
    <s v="PT11030"/>
    <s v="P05"/>
    <x v="1"/>
    <x v="4"/>
    <n v="1"/>
    <d v="2026-02-20T00:00:00"/>
    <d v="2026-02-21T00:00:00"/>
    <n v="37.54"/>
    <n v="12.84"/>
    <n v="12.84"/>
    <n v="0"/>
    <s v="Paid"/>
    <s v=""/>
    <d v="2026-04-04T00:00:00"/>
    <d v="2026-04-04T00:00:00"/>
    <n v="38"/>
    <n v="0.38"/>
    <n v="14.44"/>
    <n v="1.5999999999999996"/>
    <x v="1"/>
    <x v="0"/>
    <x v="0"/>
  </r>
  <r>
    <s v="CLM104089"/>
    <s v="PT11699"/>
    <s v="P03"/>
    <x v="2"/>
    <x v="9"/>
    <n v="3"/>
    <d v="2025-10-14T00:00:00"/>
    <d v="2025-10-19T00:00:00"/>
    <n v="175.73"/>
    <n v="93.5"/>
    <n v="84.15"/>
    <n v="9.35"/>
    <s v="Paid"/>
    <s v=""/>
    <d v="2025-11-28T00:00:00"/>
    <d v="2025-11-28T00:00:00"/>
    <n v="58"/>
    <n v="0.47"/>
    <n v="81.78"/>
    <n v="-11.719999999999999"/>
    <x v="0"/>
    <x v="4"/>
    <x v="9"/>
  </r>
  <r>
    <s v="CLM104090"/>
    <s v="PT10805"/>
    <s v="P08"/>
    <x v="2"/>
    <x v="0"/>
    <n v="1"/>
    <d v="2026-09-20T00:00:00"/>
    <d v="2026-09-25T00:00:00"/>
    <n v="142.30000000000001"/>
    <m/>
    <m/>
    <m/>
    <s v="Pending"/>
    <s v=""/>
    <m/>
    <m/>
    <n v="145"/>
    <n v="1"/>
    <n v="145"/>
    <s v=""/>
    <x v="2"/>
    <x v="7"/>
    <x v="8"/>
  </r>
  <r>
    <s v="CLM104091"/>
    <s v="PT11394"/>
    <s v="P06"/>
    <x v="2"/>
    <x v="0"/>
    <n v="1"/>
    <d v="2026-01-28T00:00:00"/>
    <d v="2026-01-31T00:00:00"/>
    <n v="142.44999999999999"/>
    <n v="36.85"/>
    <n v="36.85"/>
    <n v="0"/>
    <s v="Paid"/>
    <s v=""/>
    <d v="2026-02-26T00:00:00"/>
    <d v="2026-02-26T00:00:00"/>
    <n v="145"/>
    <n v="0.27"/>
    <n v="39.15"/>
    <n v="2.2999999999999972"/>
    <x v="1"/>
    <x v="2"/>
    <x v="5"/>
  </r>
  <r>
    <s v="CLM104092"/>
    <s v="PT11414"/>
    <s v="P04"/>
    <x v="1"/>
    <x v="8"/>
    <n v="1"/>
    <d v="2026-02-15T00:00:00"/>
    <d v="2026-02-18T00:00:00"/>
    <n v="257.51"/>
    <n v="79.989999999999995"/>
    <n v="79.989999999999995"/>
    <n v="0"/>
    <s v="Paid"/>
    <s v=""/>
    <d v="2026-03-01T00:00:00"/>
    <d v="2026-03-01T00:00:00"/>
    <n v="260"/>
    <n v="0.36"/>
    <n v="93.6"/>
    <n v="13.61"/>
    <x v="1"/>
    <x v="1"/>
    <x v="0"/>
  </r>
  <r>
    <s v="CLM104093"/>
    <s v="PT13331"/>
    <s v="P01"/>
    <x v="2"/>
    <x v="9"/>
    <n v="4"/>
    <d v="2026-01-02T00:00:00"/>
    <d v="2026-04-07T00:00:00"/>
    <n v="234.76"/>
    <m/>
    <m/>
    <m/>
    <s v="Denied"/>
    <s v="CO-29"/>
    <d v="2026-05-13T00:00:00"/>
    <m/>
    <n v="58"/>
    <n v="0.45"/>
    <n v="104.4"/>
    <s v=""/>
    <x v="2"/>
    <x v="5"/>
    <x v="5"/>
  </r>
  <r>
    <s v="CLM104094"/>
    <s v="PT13043"/>
    <s v="P02"/>
    <x v="1"/>
    <x v="5"/>
    <n v="1"/>
    <d v="2026-09-14T00:00:00"/>
    <d v="2026-09-17T00:00:00"/>
    <n v="4787.4399999999996"/>
    <m/>
    <m/>
    <m/>
    <s v="Pending"/>
    <s v=""/>
    <m/>
    <m/>
    <n v="4800"/>
    <n v="0.43"/>
    <n v="2064"/>
    <s v=""/>
    <x v="2"/>
    <x v="6"/>
    <x v="8"/>
  </r>
  <r>
    <s v="CLM104095"/>
    <s v="PT11876"/>
    <s v="P04"/>
    <x v="0"/>
    <x v="8"/>
    <n v="1"/>
    <d v="2026-04-06T00:00:00"/>
    <d v="2026-04-08T00:00:00"/>
    <n v="267.08"/>
    <n v="97.82"/>
    <n v="97.82"/>
    <n v="0"/>
    <s v="Paid"/>
    <s v=""/>
    <d v="2026-04-26T00:00:00"/>
    <d v="2026-04-26T00:00:00"/>
    <n v="260"/>
    <n v="0.36"/>
    <n v="93.6"/>
    <n v="-4.2199999999999989"/>
    <x v="0"/>
    <x v="1"/>
    <x v="10"/>
  </r>
  <r>
    <s v="CLM104096"/>
    <s v="PT12563"/>
    <s v="P01"/>
    <x v="2"/>
    <x v="0"/>
    <n v="1"/>
    <d v="2025-12-28T00:00:00"/>
    <d v="2025-12-29T00:00:00"/>
    <n v="143.55000000000001"/>
    <n v="67.31"/>
    <n v="60.58"/>
    <n v="6.73"/>
    <s v="Paid"/>
    <s v=""/>
    <d v="2026-01-15T00:00:00"/>
    <d v="2026-01-15T00:00:00"/>
    <n v="145"/>
    <n v="0.45"/>
    <n v="65.25"/>
    <n v="-2.0600000000000023"/>
    <x v="0"/>
    <x v="5"/>
    <x v="6"/>
  </r>
  <r>
    <s v="CLM104097"/>
    <s v="PT11731"/>
    <s v="P05"/>
    <x v="1"/>
    <x v="8"/>
    <n v="1"/>
    <d v="2025-11-01T00:00:00"/>
    <d v="2025-11-10T00:00:00"/>
    <n v="266.12"/>
    <n v="98.96"/>
    <n v="98.96"/>
    <n v="0"/>
    <s v="Paid"/>
    <s v=""/>
    <d v="2025-12-07T00:00:00"/>
    <d v="2025-12-07T00:00:00"/>
    <n v="260"/>
    <n v="0.38"/>
    <n v="98.8"/>
    <n v="-0.15999999999999659"/>
    <x v="0"/>
    <x v="0"/>
    <x v="3"/>
  </r>
  <r>
    <s v="CLM104098"/>
    <s v="PT13026"/>
    <s v="P03"/>
    <x v="3"/>
    <x v="6"/>
    <n v="1"/>
    <d v="2026-08-27T00:00:00"/>
    <d v="2026-09-03T00:00:00"/>
    <n v="420.19"/>
    <n v="218.76"/>
    <n v="218.76"/>
    <n v="0"/>
    <s v="Paid"/>
    <s v=""/>
    <d v="2026-09-17T00:00:00"/>
    <d v="2026-09-17T00:00:00"/>
    <n v="420"/>
    <n v="0.47"/>
    <n v="197.4"/>
    <n v="-21.359999999999985"/>
    <x v="0"/>
    <x v="4"/>
    <x v="4"/>
  </r>
  <r>
    <s v="CLM104099"/>
    <s v="PT12929"/>
    <s v="P02"/>
    <x v="1"/>
    <x v="10"/>
    <n v="1"/>
    <d v="2025-10-19T00:00:00"/>
    <d v="2025-10-22T00:00:00"/>
    <n v="1034.1500000000001"/>
    <n v="489.05"/>
    <n v="489.05"/>
    <n v="0"/>
    <s v="Paid"/>
    <s v=""/>
    <d v="2025-11-27T00:00:00"/>
    <d v="2025-11-27T00:00:00"/>
    <n v="1050"/>
    <n v="0.43"/>
    <n v="451.5"/>
    <n v="-37.550000000000011"/>
    <x v="0"/>
    <x v="6"/>
    <x v="9"/>
  </r>
  <r>
    <s v="CLM104100"/>
    <s v="PT10240"/>
    <s v="P02"/>
    <x v="1"/>
    <x v="10"/>
    <n v="1"/>
    <d v="2026-01-24T00:00:00"/>
    <d v="2026-01-27T00:00:00"/>
    <n v="1027.33"/>
    <m/>
    <m/>
    <m/>
    <s v="Denied"/>
    <s v="CO-27"/>
    <d v="2026-02-20T00:00:00"/>
    <m/>
    <n v="1050"/>
    <n v="0.43"/>
    <n v="451.5"/>
    <s v=""/>
    <x v="2"/>
    <x v="6"/>
    <x v="5"/>
  </r>
  <r>
    <s v="CLM104101"/>
    <s v="PT11013"/>
    <s v="P03"/>
    <x v="2"/>
    <x v="2"/>
    <n v="1"/>
    <d v="2026-03-26T00:00:00"/>
    <d v="2026-03-31T00:00:00"/>
    <n v="63.45"/>
    <m/>
    <m/>
    <m/>
    <s v="Denied"/>
    <s v="CO-4"/>
    <d v="2026-05-22T00:00:00"/>
    <m/>
    <n v="62"/>
    <n v="0.47"/>
    <n v="29.14"/>
    <s v=""/>
    <x v="2"/>
    <x v="4"/>
    <x v="2"/>
  </r>
  <r>
    <s v="CLM104102"/>
    <s v="PT11129"/>
    <s v="P02"/>
    <x v="1"/>
    <x v="4"/>
    <n v="1"/>
    <d v="2025-11-09T00:00:00"/>
    <d v="2025-11-10T00:00:00"/>
    <n v="38.56"/>
    <n v="14.76"/>
    <n v="11.81"/>
    <n v="2.95"/>
    <s v="Paid"/>
    <s v=""/>
    <d v="2025-12-03T00:00:00"/>
    <d v="2025-12-03T00:00:00"/>
    <n v="38"/>
    <n v="0.43"/>
    <n v="16.34"/>
    <n v="1.58"/>
    <x v="1"/>
    <x v="6"/>
    <x v="3"/>
  </r>
  <r>
    <s v="CLM104103"/>
    <s v="PT10151"/>
    <s v="P03"/>
    <x v="0"/>
    <x v="8"/>
    <n v="1"/>
    <d v="2026-05-26T00:00:00"/>
    <d v="2026-05-29T00:00:00"/>
    <n v="253.16"/>
    <n v="115.2"/>
    <n v="115.2"/>
    <n v="0"/>
    <s v="Paid"/>
    <s v=""/>
    <d v="2026-07-09T00:00:00"/>
    <d v="2026-07-09T00:00:00"/>
    <n v="260"/>
    <n v="0.47"/>
    <n v="122.2"/>
    <n v="7"/>
    <x v="1"/>
    <x v="4"/>
    <x v="7"/>
  </r>
  <r>
    <s v="CLM104104"/>
    <s v="PT13437"/>
    <s v="P03"/>
    <x v="0"/>
    <x v="0"/>
    <n v="1"/>
    <d v="2025-11-10T00:00:00"/>
    <d v="2025-11-16T00:00:00"/>
    <n v="147.04"/>
    <n v="61.03"/>
    <n v="54.93"/>
    <n v="6.1"/>
    <s v="Paid"/>
    <s v=""/>
    <d v="2026-01-15T00:00:00"/>
    <d v="2026-01-15T00:00:00"/>
    <n v="145"/>
    <n v="0.47"/>
    <n v="68.150000000000006"/>
    <n v="7.1200000000000045"/>
    <x v="1"/>
    <x v="4"/>
    <x v="3"/>
  </r>
  <r>
    <s v="CLM104105"/>
    <s v="PT10104"/>
    <s v="P05"/>
    <x v="2"/>
    <x v="0"/>
    <n v="1"/>
    <d v="2026-04-09T00:00:00"/>
    <d v="2026-04-14T00:00:00"/>
    <n v="144.06"/>
    <m/>
    <m/>
    <m/>
    <s v="Denied"/>
    <s v="CO-11"/>
    <d v="2026-05-31T00:00:00"/>
    <m/>
    <n v="145"/>
    <n v="0.38"/>
    <n v="55.1"/>
    <s v=""/>
    <x v="2"/>
    <x v="0"/>
    <x v="10"/>
  </r>
  <r>
    <s v="CLM104106"/>
    <s v="PT10708"/>
    <s v="P03"/>
    <x v="3"/>
    <x v="3"/>
    <n v="10"/>
    <d v="2026-09-23T00:00:00"/>
    <d v="2026-09-29T00:00:00"/>
    <n v="14663.31"/>
    <m/>
    <m/>
    <m/>
    <s v="Pending"/>
    <s v=""/>
    <m/>
    <m/>
    <n v="1450"/>
    <n v="0.47"/>
    <n v="6815"/>
    <s v=""/>
    <x v="2"/>
    <x v="4"/>
    <x v="8"/>
  </r>
  <r>
    <s v="CLM104107"/>
    <s v="PT11124"/>
    <s v="P04"/>
    <x v="2"/>
    <x v="9"/>
    <n v="1"/>
    <d v="2026-01-15T00:00:00"/>
    <d v="2026-05-06T00:00:00"/>
    <n v="58.74"/>
    <m/>
    <m/>
    <m/>
    <s v="Denied"/>
    <s v="CO-29"/>
    <d v="2026-05-16T00:00:00"/>
    <m/>
    <n v="58"/>
    <n v="0.36"/>
    <n v="20.88"/>
    <s v=""/>
    <x v="2"/>
    <x v="1"/>
    <x v="5"/>
  </r>
  <r>
    <s v="CLM104108"/>
    <s v="PT12251"/>
    <s v="P01"/>
    <x v="3"/>
    <x v="3"/>
    <n v="20"/>
    <d v="2026-03-28T00:00:00"/>
    <d v="2026-03-29T00:00:00"/>
    <n v="29497.37"/>
    <n v="13365.47"/>
    <n v="10692.38"/>
    <n v="2673.09"/>
    <s v="Paid"/>
    <s v=""/>
    <d v="2026-04-29T00:00:00"/>
    <d v="2026-04-29T00:00:00"/>
    <n v="1450"/>
    <n v="0.45"/>
    <n v="13050"/>
    <n v="-315.46999999999935"/>
    <x v="0"/>
    <x v="5"/>
    <x v="2"/>
  </r>
  <r>
    <s v="CLM104109"/>
    <s v="PT11360"/>
    <s v="P03"/>
    <x v="1"/>
    <x v="10"/>
    <n v="1"/>
    <d v="2026-05-09T00:00:00"/>
    <d v="2026-05-16T00:00:00"/>
    <n v="1046.53"/>
    <n v="458.68"/>
    <n v="458.68"/>
    <n v="0"/>
    <s v="Paid"/>
    <s v=""/>
    <d v="2026-06-29T00:00:00"/>
    <d v="2026-06-29T00:00:00"/>
    <n v="1050"/>
    <n v="0.47"/>
    <n v="493.5"/>
    <n v="34.819999999999993"/>
    <x v="1"/>
    <x v="4"/>
    <x v="7"/>
  </r>
  <r>
    <s v="CLM104110"/>
    <s v="PT12211"/>
    <s v="P01"/>
    <x v="0"/>
    <x v="8"/>
    <n v="1"/>
    <d v="2025-12-07T00:00:00"/>
    <d v="2025-12-10T00:00:00"/>
    <n v="266.73"/>
    <n v="103.79"/>
    <n v="103.79"/>
    <n v="0"/>
    <s v="Paid"/>
    <s v=""/>
    <d v="2026-01-13T00:00:00"/>
    <d v="2026-01-13T00:00:00"/>
    <n v="260"/>
    <n v="0.45"/>
    <n v="117"/>
    <n v="13.209999999999994"/>
    <x v="1"/>
    <x v="5"/>
    <x v="6"/>
  </r>
  <r>
    <s v="CLM104111"/>
    <s v="PT10851"/>
    <s v="P08"/>
    <x v="0"/>
    <x v="0"/>
    <n v="1"/>
    <d v="2025-12-02T00:00:00"/>
    <d v="2025-12-12T00:00:00"/>
    <n v="141.66999999999999"/>
    <m/>
    <m/>
    <m/>
    <s v="Pending"/>
    <s v=""/>
    <m/>
    <m/>
    <n v="145"/>
    <n v="1"/>
    <n v="145"/>
    <s v=""/>
    <x v="2"/>
    <x v="7"/>
    <x v="6"/>
  </r>
  <r>
    <s v="CLM104112"/>
    <s v="PT12587"/>
    <s v="P01"/>
    <x v="3"/>
    <x v="7"/>
    <n v="1"/>
    <d v="2025-11-27T00:00:00"/>
    <d v="2025-11-28T00:00:00"/>
    <n v="204.15"/>
    <n v="105.11"/>
    <n v="105.11"/>
    <n v="0"/>
    <s v="Paid"/>
    <s v=""/>
    <d v="2025-12-18T00:00:00"/>
    <d v="2025-12-18T00:00:00"/>
    <n v="210"/>
    <n v="0.45"/>
    <n v="94.5"/>
    <n v="-10.61"/>
    <x v="0"/>
    <x v="5"/>
    <x v="3"/>
  </r>
  <r>
    <s v="CLM104113"/>
    <s v="PT10596"/>
    <s v="P07"/>
    <x v="1"/>
    <x v="4"/>
    <n v="1"/>
    <d v="2026-01-04T00:00:00"/>
    <d v="2026-01-06T00:00:00"/>
    <n v="39.020000000000003"/>
    <m/>
    <m/>
    <m/>
    <s v="Denied"/>
    <s v="CO-11"/>
    <d v="2026-02-28T00:00:00"/>
    <m/>
    <n v="38"/>
    <n v="0.28000000000000003"/>
    <n v="10.64"/>
    <s v=""/>
    <x v="2"/>
    <x v="3"/>
    <x v="5"/>
  </r>
  <r>
    <s v="CLM104114"/>
    <s v="PT13029"/>
    <s v="P02"/>
    <x v="0"/>
    <x v="8"/>
    <n v="1"/>
    <d v="2025-12-30T00:00:00"/>
    <d v="2025-12-31T00:00:00"/>
    <n v="256.89"/>
    <n v="117.31"/>
    <n v="117.31"/>
    <n v="0"/>
    <s v="Paid"/>
    <s v=""/>
    <d v="2026-02-01T00:00:00"/>
    <d v="2026-02-01T00:00:00"/>
    <n v="260"/>
    <n v="0.43"/>
    <n v="111.8"/>
    <n v="-5.5100000000000051"/>
    <x v="0"/>
    <x v="6"/>
    <x v="6"/>
  </r>
  <r>
    <s v="CLM104115"/>
    <s v="PT10973"/>
    <s v="P02"/>
    <x v="0"/>
    <x v="7"/>
    <n v="1"/>
    <d v="2026-01-26T00:00:00"/>
    <d v="2026-01-29T00:00:00"/>
    <n v="213.94"/>
    <m/>
    <m/>
    <m/>
    <s v="Denied"/>
    <s v="CO-16"/>
    <d v="2026-02-28T00:00:00"/>
    <m/>
    <n v="210"/>
    <n v="0.43"/>
    <n v="90.3"/>
    <s v=""/>
    <x v="2"/>
    <x v="6"/>
    <x v="5"/>
  </r>
  <r>
    <s v="CLM104117"/>
    <s v="PT12114"/>
    <s v="P01"/>
    <x v="0"/>
    <x v="0"/>
    <n v="1"/>
    <d v="2026-08-16T00:00:00"/>
    <d v="2026-08-21T00:00:00"/>
    <n v="144.58000000000001"/>
    <n v="66.83"/>
    <n v="66.83"/>
    <n v="0"/>
    <s v="Paid"/>
    <s v=""/>
    <d v="2026-09-06T00:00:00"/>
    <d v="2026-09-06T00:00:00"/>
    <n v="145"/>
    <n v="0.45"/>
    <n v="65.25"/>
    <n v="-1.5799999999999983"/>
    <x v="0"/>
    <x v="5"/>
    <x v="4"/>
  </r>
  <r>
    <s v="CLM104118"/>
    <s v="PT12898"/>
    <s v="P05"/>
    <x v="0"/>
    <x v="8"/>
    <n v="1"/>
    <d v="2026-03-21T00:00:00"/>
    <d v="2026-03-29T00:00:00"/>
    <n v="263.27999999999997"/>
    <n v="89.74"/>
    <n v="80.77"/>
    <n v="8.9700000000000006"/>
    <s v="Paid"/>
    <s v=""/>
    <d v="2026-05-06T00:00:00"/>
    <d v="2026-05-06T00:00:00"/>
    <n v="260"/>
    <n v="0.38"/>
    <n v="98.8"/>
    <n v="9.0600000000000023"/>
    <x v="1"/>
    <x v="0"/>
    <x v="2"/>
  </r>
  <r>
    <s v="CLM104119"/>
    <s v="PT12561"/>
    <s v="P01"/>
    <x v="1"/>
    <x v="8"/>
    <n v="1"/>
    <d v="2026-05-07T00:00:00"/>
    <d v="2026-05-08T00:00:00"/>
    <n v="256.27"/>
    <n v="130.99"/>
    <n v="104.79"/>
    <n v="26.2"/>
    <s v="Paid"/>
    <s v=""/>
    <d v="2026-06-14T00:00:00"/>
    <d v="2026-06-14T00:00:00"/>
    <n v="260"/>
    <n v="0.45"/>
    <n v="117"/>
    <n v="-13.990000000000009"/>
    <x v="0"/>
    <x v="5"/>
    <x v="7"/>
  </r>
  <r>
    <s v="CLM104120"/>
    <s v="PT12862"/>
    <s v="P06"/>
    <x v="0"/>
    <x v="4"/>
    <n v="1"/>
    <d v="2026-02-20T00:00:00"/>
    <d v="2026-03-01T00:00:00"/>
    <n v="38.11"/>
    <m/>
    <m/>
    <m/>
    <s v="Denied"/>
    <s v="CO-16"/>
    <d v="2026-03-23T00:00:00"/>
    <m/>
    <n v="38"/>
    <n v="0.27"/>
    <n v="10.26"/>
    <s v=""/>
    <x v="2"/>
    <x v="2"/>
    <x v="0"/>
  </r>
  <r>
    <s v="CLM104121"/>
    <s v="PT11879"/>
    <s v="P01"/>
    <x v="1"/>
    <x v="11"/>
    <n v="1"/>
    <d v="2026-05-07T00:00:00"/>
    <d v="2026-05-10T00:00:00"/>
    <n v="1149.5"/>
    <n v="543.54"/>
    <n v="434.83"/>
    <n v="108.71"/>
    <s v="Paid"/>
    <s v=""/>
    <d v="2026-06-01T00:00:00"/>
    <d v="2026-06-01T00:00:00"/>
    <n v="1150"/>
    <n v="0.45"/>
    <n v="517.5"/>
    <n v="-26.039999999999964"/>
    <x v="0"/>
    <x v="5"/>
    <x v="7"/>
  </r>
  <r>
    <s v="CLM104122"/>
    <s v="PT12932"/>
    <s v="P03"/>
    <x v="0"/>
    <x v="0"/>
    <n v="1"/>
    <d v="2026-06-19T00:00:00"/>
    <d v="2026-06-20T00:00:00"/>
    <n v="146.66"/>
    <n v="69.37"/>
    <n v="69.37"/>
    <n v="0"/>
    <s v="Paid"/>
    <s v=""/>
    <d v="2026-08-09T00:00:00"/>
    <d v="2026-08-09T00:00:00"/>
    <n v="145"/>
    <n v="0.47"/>
    <n v="68.150000000000006"/>
    <n v="-1.2199999999999989"/>
    <x v="0"/>
    <x v="4"/>
    <x v="11"/>
  </r>
  <r>
    <s v="CLM104123"/>
    <s v="PT11578"/>
    <s v="P01"/>
    <x v="3"/>
    <x v="3"/>
    <n v="20"/>
    <d v="2025-11-19T00:00:00"/>
    <d v="2025-11-20T00:00:00"/>
    <n v="28920.67"/>
    <n v="13710.04"/>
    <n v="10968.03"/>
    <n v="2742.01"/>
    <s v="Paid"/>
    <s v=""/>
    <d v="2025-12-06T00:00:00"/>
    <d v="2025-12-06T00:00:00"/>
    <n v="1450"/>
    <n v="0.45"/>
    <n v="13050"/>
    <n v="-660.04000000000087"/>
    <x v="0"/>
    <x v="5"/>
    <x v="3"/>
  </r>
  <r>
    <s v="CLM104124"/>
    <s v="PT12782"/>
    <s v="P02"/>
    <x v="1"/>
    <x v="4"/>
    <n v="1"/>
    <d v="2025-12-23T00:00:00"/>
    <d v="2025-12-26T00:00:00"/>
    <n v="36.9"/>
    <n v="14.06"/>
    <n v="14.06"/>
    <n v="0"/>
    <s v="Paid"/>
    <s v=""/>
    <d v="2026-01-30T00:00:00"/>
    <d v="2026-01-30T00:00:00"/>
    <n v="38"/>
    <n v="0.43"/>
    <n v="16.34"/>
    <n v="2.2799999999999994"/>
    <x v="1"/>
    <x v="6"/>
    <x v="6"/>
  </r>
  <r>
    <s v="CLM104125"/>
    <s v="PT13178"/>
    <s v="P06"/>
    <x v="1"/>
    <x v="4"/>
    <n v="1"/>
    <d v="2026-04-24T00:00:00"/>
    <d v="2026-04-29T00:00:00"/>
    <n v="36.99"/>
    <n v="9.73"/>
    <n v="7.78"/>
    <n v="1.95"/>
    <s v="Paid"/>
    <s v=""/>
    <d v="2026-05-29T00:00:00"/>
    <d v="2026-05-29T00:00:00"/>
    <n v="38"/>
    <n v="0.27"/>
    <n v="10.26"/>
    <n v="0.52999999999999936"/>
    <x v="1"/>
    <x v="2"/>
    <x v="10"/>
  </r>
  <r>
    <s v="CLM104126"/>
    <s v="PT11601"/>
    <s v="P06"/>
    <x v="1"/>
    <x v="8"/>
    <n v="1"/>
    <d v="2025-10-11T00:00:00"/>
    <d v="2025-10-12T00:00:00"/>
    <n v="260.85000000000002"/>
    <n v="60.06"/>
    <n v="48.05"/>
    <n v="12.01"/>
    <s v="Paid"/>
    <s v=""/>
    <d v="2025-11-04T00:00:00"/>
    <d v="2025-11-04T00:00:00"/>
    <n v="260"/>
    <n v="0.27"/>
    <n v="70.2"/>
    <n v="10.14"/>
    <x v="1"/>
    <x v="2"/>
    <x v="9"/>
  </r>
  <r>
    <s v="CLM104127"/>
    <s v="PT10180"/>
    <s v="P05"/>
    <x v="2"/>
    <x v="2"/>
    <n v="3"/>
    <d v="2025-10-11T00:00:00"/>
    <d v="2025-10-20T00:00:00"/>
    <n v="185.08"/>
    <n v="72.900000000000006"/>
    <n v="65.61"/>
    <n v="7.29"/>
    <s v="Paid"/>
    <s v=""/>
    <d v="2025-12-01T00:00:00"/>
    <d v="2025-12-01T00:00:00"/>
    <n v="62"/>
    <n v="0.38"/>
    <n v="70.680000000000007"/>
    <n v="-2.2199999999999989"/>
    <x v="0"/>
    <x v="0"/>
    <x v="9"/>
  </r>
  <r>
    <s v="CLM104128"/>
    <s v="PT13405"/>
    <s v="P04"/>
    <x v="0"/>
    <x v="4"/>
    <n v="1"/>
    <d v="2026-06-10T00:00:00"/>
    <d v="2026-06-17T00:00:00"/>
    <n v="37.840000000000003"/>
    <n v="11.59"/>
    <n v="10.43"/>
    <n v="1.1599999999999999"/>
    <s v="Paid"/>
    <s v=""/>
    <d v="2026-06-30T00:00:00"/>
    <d v="2026-06-30T00:00:00"/>
    <n v="38"/>
    <n v="0.36"/>
    <n v="13.68"/>
    <n v="2.09"/>
    <x v="1"/>
    <x v="1"/>
    <x v="11"/>
  </r>
  <r>
    <s v="CLM104129"/>
    <s v="PT11439"/>
    <s v="P04"/>
    <x v="2"/>
    <x v="0"/>
    <n v="1"/>
    <d v="2026-07-08T00:00:00"/>
    <d v="2026-07-11T00:00:00"/>
    <n v="142.55000000000001"/>
    <n v="54.38"/>
    <n v="54.38"/>
    <n v="0"/>
    <s v="Paid"/>
    <s v=""/>
    <d v="2026-07-22T00:00:00"/>
    <d v="2026-07-22T00:00:00"/>
    <n v="145"/>
    <n v="0.36"/>
    <n v="52.2"/>
    <n v="-2.1799999999999997"/>
    <x v="0"/>
    <x v="1"/>
    <x v="1"/>
  </r>
  <r>
    <s v="CLM104130"/>
    <s v="PT10197"/>
    <s v="P07"/>
    <x v="2"/>
    <x v="9"/>
    <n v="1"/>
    <d v="2026-03-01T00:00:00"/>
    <d v="2026-03-05T00:00:00"/>
    <n v="59.04"/>
    <n v="18.239999999999998"/>
    <n v="14.59"/>
    <n v="3.65"/>
    <s v="Paid"/>
    <s v=""/>
    <d v="2026-05-03T00:00:00"/>
    <d v="2026-05-03T00:00:00"/>
    <n v="58"/>
    <n v="0.28000000000000003"/>
    <n v="16.239999999999998"/>
    <n v="-2"/>
    <x v="0"/>
    <x v="3"/>
    <x v="2"/>
  </r>
  <r>
    <s v="CLM104131"/>
    <s v="PT13039"/>
    <s v="P04"/>
    <x v="0"/>
    <x v="7"/>
    <n v="1"/>
    <d v="2026-07-27T00:00:00"/>
    <d v="2026-07-28T00:00:00"/>
    <n v="211.39"/>
    <n v="78.02"/>
    <n v="78.02"/>
    <n v="0"/>
    <s v="Paid"/>
    <s v=""/>
    <d v="2026-08-20T00:00:00"/>
    <d v="2026-08-20T00:00:00"/>
    <n v="210"/>
    <n v="0.36"/>
    <n v="75.599999999999994"/>
    <n v="-2.4200000000000017"/>
    <x v="0"/>
    <x v="1"/>
    <x v="1"/>
  </r>
  <r>
    <s v="CLM104132"/>
    <s v="PT10487"/>
    <s v="P04"/>
    <x v="2"/>
    <x v="9"/>
    <n v="1"/>
    <d v="2026-07-02T00:00:00"/>
    <d v="2026-07-05T00:00:00"/>
    <n v="57.7"/>
    <n v="22.95"/>
    <n v="22.95"/>
    <n v="0"/>
    <s v="Paid"/>
    <s v=""/>
    <d v="2026-07-27T00:00:00"/>
    <d v="2026-07-27T00:00:00"/>
    <n v="58"/>
    <n v="0.36"/>
    <n v="20.88"/>
    <n v="-2.0700000000000003"/>
    <x v="0"/>
    <x v="1"/>
    <x v="1"/>
  </r>
  <r>
    <s v="CLM104133"/>
    <s v="PT13382"/>
    <s v="P03"/>
    <x v="3"/>
    <x v="6"/>
    <n v="1"/>
    <d v="2026-04-09T00:00:00"/>
    <d v="2026-04-14T00:00:00"/>
    <n v="407.99"/>
    <n v="165.23"/>
    <n v="165.23"/>
    <n v="0"/>
    <s v="Paid"/>
    <s v=""/>
    <d v="2026-06-06T00:00:00"/>
    <d v="2026-06-06T00:00:00"/>
    <n v="420"/>
    <n v="0.47"/>
    <n v="197.4"/>
    <n v="32.170000000000016"/>
    <x v="1"/>
    <x v="4"/>
    <x v="10"/>
  </r>
  <r>
    <s v="CLM104134"/>
    <s v="PT10214"/>
    <s v="P05"/>
    <x v="0"/>
    <x v="7"/>
    <n v="1"/>
    <d v="2025-11-23T00:00:00"/>
    <d v="2025-11-26T00:00:00"/>
    <n v="207.89"/>
    <n v="83.6"/>
    <n v="75.239999999999995"/>
    <n v="8.36"/>
    <s v="Paid"/>
    <s v=""/>
    <d v="2026-01-23T00:00:00"/>
    <d v="2026-01-23T00:00:00"/>
    <n v="210"/>
    <n v="0.38"/>
    <n v="79.8"/>
    <n v="-3.7999999999999972"/>
    <x v="0"/>
    <x v="0"/>
    <x v="3"/>
  </r>
  <r>
    <s v="CLM104135"/>
    <s v="PT11758"/>
    <s v="P06"/>
    <x v="3"/>
    <x v="3"/>
    <n v="5"/>
    <d v="2026-04-20T00:00:00"/>
    <d v="2026-05-02T00:00:00"/>
    <n v="7427.13"/>
    <m/>
    <m/>
    <m/>
    <s v="Denied"/>
    <s v="CO-50"/>
    <d v="2026-06-16T00:00:00"/>
    <m/>
    <n v="1450"/>
    <n v="0.27"/>
    <n v="1957.5"/>
    <s v=""/>
    <x v="2"/>
    <x v="2"/>
    <x v="10"/>
  </r>
  <r>
    <s v="CLM104136"/>
    <s v="PT12451"/>
    <s v="P05"/>
    <x v="0"/>
    <x v="7"/>
    <n v="1"/>
    <d v="2026-03-16T00:00:00"/>
    <d v="2026-03-25T00:00:00"/>
    <n v="215.58"/>
    <n v="86.6"/>
    <n v="86.6"/>
    <n v="0"/>
    <s v="Paid"/>
    <s v=""/>
    <d v="2026-06-03T00:00:00"/>
    <d v="2026-06-03T00:00:00"/>
    <n v="210"/>
    <n v="0.38"/>
    <n v="79.8"/>
    <n v="-6.7999999999999972"/>
    <x v="0"/>
    <x v="0"/>
    <x v="2"/>
  </r>
  <r>
    <s v="CLM104137"/>
    <s v="PT10008"/>
    <s v="P01"/>
    <x v="2"/>
    <x v="9"/>
    <n v="1"/>
    <d v="2025-11-23T00:00:00"/>
    <d v="2025-11-27T00:00:00"/>
    <n v="56.46"/>
    <n v="23.09"/>
    <n v="23.09"/>
    <n v="0"/>
    <s v="Paid"/>
    <s v=""/>
    <d v="2025-12-23T00:00:00"/>
    <d v="2025-12-23T00:00:00"/>
    <n v="58"/>
    <n v="0.45"/>
    <n v="26.1"/>
    <n v="3.0100000000000016"/>
    <x v="1"/>
    <x v="5"/>
    <x v="3"/>
  </r>
  <r>
    <s v="CLM104138"/>
    <s v="PT12362"/>
    <s v="P04"/>
    <x v="1"/>
    <x v="7"/>
    <n v="1"/>
    <d v="2025-10-03T00:00:00"/>
    <d v="2025-10-11T00:00:00"/>
    <n v="210.04"/>
    <n v="66.13"/>
    <n v="66.13"/>
    <n v="0"/>
    <s v="Paid"/>
    <s v=""/>
    <d v="2025-10-29T00:00:00"/>
    <d v="2025-10-29T00:00:00"/>
    <n v="210"/>
    <n v="0.36"/>
    <n v="75.599999999999994"/>
    <n v="9.4699999999999989"/>
    <x v="1"/>
    <x v="1"/>
    <x v="9"/>
  </r>
  <r>
    <s v="CLM104139"/>
    <s v="PT12042"/>
    <s v="P05"/>
    <x v="0"/>
    <x v="4"/>
    <n v="1"/>
    <d v="2026-07-01T00:00:00"/>
    <d v="2026-07-03T00:00:00"/>
    <n v="38.700000000000003"/>
    <n v="14.34"/>
    <n v="14.34"/>
    <n v="0"/>
    <s v="Paid"/>
    <s v=""/>
    <d v="2026-08-21T00:00:00"/>
    <d v="2026-08-21T00:00:00"/>
    <n v="38"/>
    <n v="0.38"/>
    <n v="14.44"/>
    <n v="9.9999999999999645E-2"/>
    <x v="0"/>
    <x v="0"/>
    <x v="1"/>
  </r>
  <r>
    <s v="CLM104140"/>
    <s v="PT10512"/>
    <s v="P02"/>
    <x v="2"/>
    <x v="9"/>
    <n v="1"/>
    <d v="2026-08-03T00:00:00"/>
    <d v="2026-08-10T00:00:00"/>
    <n v="57.24"/>
    <n v="27.45"/>
    <n v="27.45"/>
    <n v="0"/>
    <s v="Paid"/>
    <s v=""/>
    <d v="2026-09-07T00:00:00"/>
    <d v="2026-09-07T00:00:00"/>
    <n v="58"/>
    <n v="0.43"/>
    <n v="24.94"/>
    <n v="-2.509999999999998"/>
    <x v="0"/>
    <x v="6"/>
    <x v="4"/>
  </r>
  <r>
    <s v="CLM104141"/>
    <s v="PT10693"/>
    <s v="P05"/>
    <x v="3"/>
    <x v="6"/>
    <n v="1"/>
    <d v="2026-05-16T00:00:00"/>
    <d v="2026-05-17T00:00:00"/>
    <n v="410.73"/>
    <n v="170.82"/>
    <n v="170.82"/>
    <n v="0"/>
    <s v="Paid"/>
    <s v=""/>
    <d v="2026-07-11T00:00:00"/>
    <d v="2026-07-11T00:00:00"/>
    <n v="420"/>
    <n v="0.38"/>
    <n v="159.6"/>
    <n v="-11.219999999999999"/>
    <x v="0"/>
    <x v="0"/>
    <x v="7"/>
  </r>
  <r>
    <s v="CLM104142"/>
    <s v="PT11569"/>
    <s v="P05"/>
    <x v="3"/>
    <x v="3"/>
    <n v="20"/>
    <d v="2026-01-01T00:00:00"/>
    <d v="2026-01-04T00:00:00"/>
    <n v="29611.48"/>
    <n v="11624.94"/>
    <n v="10462.450000000001"/>
    <n v="1162.49"/>
    <s v="Paid"/>
    <s v=""/>
    <d v="2026-03-17T00:00:00"/>
    <d v="2026-03-17T00:00:00"/>
    <n v="1450"/>
    <n v="0.38"/>
    <n v="11020"/>
    <n v="-604.94000000000051"/>
    <x v="0"/>
    <x v="0"/>
    <x v="5"/>
  </r>
  <r>
    <s v="CLM104143"/>
    <s v="PT11442"/>
    <s v="P07"/>
    <x v="0"/>
    <x v="4"/>
    <n v="1"/>
    <d v="2026-08-16T00:00:00"/>
    <d v="2026-08-17T00:00:00"/>
    <n v="38.17"/>
    <m/>
    <m/>
    <m/>
    <s v="Denied"/>
    <s v="CO-4"/>
    <d v="2026-09-30T00:00:00"/>
    <m/>
    <n v="38"/>
    <n v="0.28000000000000003"/>
    <n v="10.64"/>
    <s v=""/>
    <x v="2"/>
    <x v="3"/>
    <x v="4"/>
  </r>
  <r>
    <s v="CLM104144"/>
    <s v="PT12997"/>
    <s v="P04"/>
    <x v="0"/>
    <x v="0"/>
    <n v="1"/>
    <d v="2025-12-30T00:00:00"/>
    <d v="2026-01-01T00:00:00"/>
    <n v="142.68"/>
    <n v="44.72"/>
    <n v="44.72"/>
    <n v="0"/>
    <s v="Paid"/>
    <s v=""/>
    <d v="2026-01-16T00:00:00"/>
    <d v="2026-01-16T00:00:00"/>
    <n v="145"/>
    <n v="0.36"/>
    <n v="52.2"/>
    <n v="7.480000000000004"/>
    <x v="1"/>
    <x v="1"/>
    <x v="6"/>
  </r>
  <r>
    <s v="CLM104145"/>
    <s v="PT11348"/>
    <s v="P05"/>
    <x v="3"/>
    <x v="3"/>
    <n v="10"/>
    <d v="2026-05-14T00:00:00"/>
    <d v="2026-05-19T00:00:00"/>
    <n v="14393.64"/>
    <m/>
    <m/>
    <m/>
    <s v="Denied"/>
    <s v="CO-27"/>
    <d v="2026-06-29T00:00:00"/>
    <m/>
    <n v="1450"/>
    <n v="0.38"/>
    <n v="5510"/>
    <s v=""/>
    <x v="2"/>
    <x v="0"/>
    <x v="7"/>
  </r>
  <r>
    <s v="CLM104146"/>
    <s v="PT12200"/>
    <s v="P01"/>
    <x v="0"/>
    <x v="7"/>
    <n v="1"/>
    <d v="2026-01-20T00:00:00"/>
    <d v="2026-01-21T00:00:00"/>
    <n v="211.94"/>
    <n v="80.92"/>
    <n v="64.739999999999995"/>
    <n v="16.18"/>
    <s v="Paid"/>
    <s v=""/>
    <d v="2026-02-15T00:00:00"/>
    <d v="2026-02-15T00:00:00"/>
    <n v="210"/>
    <n v="0.45"/>
    <n v="94.5"/>
    <n v="13.579999999999998"/>
    <x v="1"/>
    <x v="5"/>
    <x v="5"/>
  </r>
  <r>
    <s v="CLM104147"/>
    <s v="PT10653"/>
    <s v="P01"/>
    <x v="2"/>
    <x v="9"/>
    <n v="1"/>
    <d v="2026-01-12T00:00:00"/>
    <d v="2026-04-21T00:00:00"/>
    <n v="57.65"/>
    <m/>
    <m/>
    <m/>
    <s v="Denied"/>
    <s v="CO-29"/>
    <d v="2026-05-29T00:00:00"/>
    <m/>
    <n v="58"/>
    <n v="0.45"/>
    <n v="26.1"/>
    <s v=""/>
    <x v="2"/>
    <x v="5"/>
    <x v="5"/>
  </r>
  <r>
    <s v="CLM104148"/>
    <s v="PT11299"/>
    <s v="P03"/>
    <x v="1"/>
    <x v="5"/>
    <n v="1"/>
    <d v="2026-04-25T00:00:00"/>
    <d v="2026-05-02T00:00:00"/>
    <n v="4867.72"/>
    <n v="2234.81"/>
    <n v="1787.85"/>
    <n v="446.96"/>
    <s v="Paid"/>
    <s v=""/>
    <d v="2026-06-27T00:00:00"/>
    <d v="2026-06-27T00:00:00"/>
    <n v="4800"/>
    <n v="0.47"/>
    <n v="2256"/>
    <n v="21.190000000000055"/>
    <x v="0"/>
    <x v="4"/>
    <x v="10"/>
  </r>
  <r>
    <s v="CLM104149"/>
    <s v="PT13094"/>
    <s v="P03"/>
    <x v="0"/>
    <x v="4"/>
    <n v="1"/>
    <d v="2025-12-21T00:00:00"/>
    <d v="2025-12-22T00:00:00"/>
    <n v="38.47"/>
    <n v="17.73"/>
    <n v="17.73"/>
    <n v="0"/>
    <s v="Paid"/>
    <s v=""/>
    <d v="2026-02-11T00:00:00"/>
    <d v="2026-02-11T00:00:00"/>
    <n v="38"/>
    <n v="0.47"/>
    <n v="17.86"/>
    <n v="0.12999999999999901"/>
    <x v="0"/>
    <x v="4"/>
    <x v="6"/>
  </r>
  <r>
    <s v="CLM104150"/>
    <s v="PT10793"/>
    <s v="P02"/>
    <x v="0"/>
    <x v="8"/>
    <n v="1"/>
    <d v="2026-08-23T00:00:00"/>
    <d v="2026-08-27T00:00:00"/>
    <n v="266.5"/>
    <n v="106.65"/>
    <n v="85.32"/>
    <n v="21.33"/>
    <s v="Paid"/>
    <s v=""/>
    <d v="2026-09-20T00:00:00"/>
    <d v="2026-09-20T00:00:00"/>
    <n v="260"/>
    <n v="0.43"/>
    <n v="111.8"/>
    <n v="5.1499999999999915"/>
    <x v="0"/>
    <x v="6"/>
    <x v="4"/>
  </r>
  <r>
    <s v="CLM104151"/>
    <s v="PT11054"/>
    <s v="P05"/>
    <x v="0"/>
    <x v="7"/>
    <n v="1"/>
    <d v="2026-04-12T00:00:00"/>
    <d v="2026-05-01T00:00:00"/>
    <n v="216.05"/>
    <n v="70.37"/>
    <n v="70.37"/>
    <n v="0"/>
    <s v="Paid"/>
    <s v=""/>
    <d v="2026-07-12T00:00:00"/>
    <d v="2026-07-12T00:00:00"/>
    <n v="210"/>
    <n v="0.38"/>
    <n v="79.8"/>
    <n v="9.4299999999999926"/>
    <x v="1"/>
    <x v="0"/>
    <x v="10"/>
  </r>
  <r>
    <s v="CLM104152"/>
    <s v="PT10314"/>
    <s v="P02"/>
    <x v="1"/>
    <x v="1"/>
    <n v="1"/>
    <d v="2025-10-23T00:00:00"/>
    <d v="2025-10-28T00:00:00"/>
    <n v="234.78"/>
    <n v="115.61"/>
    <n v="115.61"/>
    <n v="0"/>
    <s v="Paid"/>
    <s v=""/>
    <d v="2025-12-03T00:00:00"/>
    <d v="2025-12-03T00:00:00"/>
    <n v="240"/>
    <n v="0.43"/>
    <n v="103.2"/>
    <n v="-12.409999999999997"/>
    <x v="0"/>
    <x v="6"/>
    <x v="9"/>
  </r>
  <r>
    <s v="CLM104153"/>
    <s v="PT12889"/>
    <s v="P01"/>
    <x v="0"/>
    <x v="7"/>
    <n v="1"/>
    <d v="2025-10-09T00:00:00"/>
    <d v="2025-10-13T00:00:00"/>
    <n v="209.58"/>
    <n v="97.77"/>
    <n v="87.99"/>
    <n v="9.7799999999999994"/>
    <s v="Paid"/>
    <s v=""/>
    <d v="2025-11-19T00:00:00"/>
    <d v="2025-11-19T00:00:00"/>
    <n v="210"/>
    <n v="0.45"/>
    <n v="94.5"/>
    <n v="-3.269999999999996"/>
    <x v="0"/>
    <x v="5"/>
    <x v="9"/>
  </r>
  <r>
    <s v="CLM104154"/>
    <s v="PT13315"/>
    <s v="P03"/>
    <x v="0"/>
    <x v="4"/>
    <n v="1"/>
    <d v="2025-10-12T00:00:00"/>
    <d v="2025-10-13T00:00:00"/>
    <n v="37.03"/>
    <n v="18.239999999999998"/>
    <n v="16.420000000000002"/>
    <n v="1.82"/>
    <s v="Paid"/>
    <s v=""/>
    <d v="2025-12-02T00:00:00"/>
    <d v="2025-12-02T00:00:00"/>
    <n v="38"/>
    <n v="0.47"/>
    <n v="17.86"/>
    <n v="-0.37999999999999901"/>
    <x v="0"/>
    <x v="4"/>
    <x v="9"/>
  </r>
  <r>
    <s v="CLM104155"/>
    <s v="PT12080"/>
    <s v="P04"/>
    <x v="1"/>
    <x v="7"/>
    <n v="1"/>
    <d v="2025-12-16T00:00:00"/>
    <d v="2025-12-21T00:00:00"/>
    <n v="211.3"/>
    <n v="70.7"/>
    <n v="70.7"/>
    <n v="0"/>
    <s v="Paid"/>
    <s v=""/>
    <d v="2026-01-21T00:00:00"/>
    <d v="2026-01-21T00:00:00"/>
    <n v="210"/>
    <n v="0.36"/>
    <n v="75.599999999999994"/>
    <n v="4.8999999999999915"/>
    <x v="1"/>
    <x v="1"/>
    <x v="6"/>
  </r>
  <r>
    <s v="CLM104156"/>
    <s v="PT13288"/>
    <s v="P03"/>
    <x v="1"/>
    <x v="5"/>
    <n v="1"/>
    <d v="2026-06-24T00:00:00"/>
    <d v="2026-06-29T00:00:00"/>
    <n v="4687.12"/>
    <n v="2358.31"/>
    <n v="1886.65"/>
    <n v="471.66"/>
    <s v="Paid"/>
    <s v=""/>
    <d v="2026-08-20T00:00:00"/>
    <d v="2026-08-20T00:00:00"/>
    <n v="4800"/>
    <n v="0.47"/>
    <n v="2256"/>
    <n v="-102.30999999999995"/>
    <x v="0"/>
    <x v="4"/>
    <x v="11"/>
  </r>
  <r>
    <s v="CLM104157"/>
    <s v="PT12082"/>
    <s v="P04"/>
    <x v="2"/>
    <x v="2"/>
    <n v="1"/>
    <d v="2025-12-08T00:00:00"/>
    <d v="2025-12-12T00:00:00"/>
    <n v="63.19"/>
    <m/>
    <m/>
    <m/>
    <s v="Denied"/>
    <s v="CO-11"/>
    <d v="2026-01-02T00:00:00"/>
    <m/>
    <n v="62"/>
    <n v="0.36"/>
    <n v="22.32"/>
    <s v=""/>
    <x v="2"/>
    <x v="1"/>
    <x v="6"/>
  </r>
  <r>
    <s v="CLM104158"/>
    <s v="PT11593"/>
    <s v="P02"/>
    <x v="1"/>
    <x v="4"/>
    <n v="1"/>
    <d v="2026-08-23T00:00:00"/>
    <d v="2026-08-30T00:00:00"/>
    <n v="38.299999999999997"/>
    <n v="17.149999999999999"/>
    <n v="17.149999999999999"/>
    <n v="0"/>
    <s v="Paid"/>
    <s v=""/>
    <d v="2026-09-22T00:00:00"/>
    <d v="2026-09-22T00:00:00"/>
    <n v="38"/>
    <n v="0.43"/>
    <n v="16.34"/>
    <n v="-0.80999999999999872"/>
    <x v="0"/>
    <x v="6"/>
    <x v="4"/>
  </r>
  <r>
    <s v="CLM104159"/>
    <s v="PT11779"/>
    <s v="P08"/>
    <x v="1"/>
    <x v="7"/>
    <n v="1"/>
    <d v="2026-05-30T00:00:00"/>
    <d v="2026-06-21T00:00:00"/>
    <n v="207.24"/>
    <m/>
    <m/>
    <m/>
    <s v="Pending"/>
    <s v=""/>
    <m/>
    <m/>
    <n v="210"/>
    <n v="1"/>
    <n v="210"/>
    <s v=""/>
    <x v="2"/>
    <x v="7"/>
    <x v="7"/>
  </r>
  <r>
    <s v="CLM104160"/>
    <s v="PT12672"/>
    <s v="P04"/>
    <x v="3"/>
    <x v="3"/>
    <n v="30"/>
    <d v="2026-05-12T00:00:00"/>
    <d v="2026-05-17T00:00:00"/>
    <n v="44044.92"/>
    <n v="17184.849999999999"/>
    <n v="15466.37"/>
    <n v="1718.48"/>
    <s v="Paid"/>
    <s v=""/>
    <d v="2026-06-04T00:00:00"/>
    <d v="2026-06-04T00:00:00"/>
    <n v="1450"/>
    <n v="0.36"/>
    <n v="15660"/>
    <n v="-1524.8499999999985"/>
    <x v="0"/>
    <x v="1"/>
    <x v="7"/>
  </r>
  <r>
    <s v="CLM104161"/>
    <s v="PT11941"/>
    <s v="P04"/>
    <x v="1"/>
    <x v="11"/>
    <n v="1"/>
    <d v="2025-11-08T00:00:00"/>
    <d v="2025-11-09T00:00:00"/>
    <n v="1146.1099999999999"/>
    <n v="394.84"/>
    <n v="315.87"/>
    <n v="78.97"/>
    <s v="Paid"/>
    <s v=""/>
    <d v="2025-11-23T00:00:00"/>
    <d v="2025-11-23T00:00:00"/>
    <n v="1150"/>
    <n v="0.36"/>
    <n v="414"/>
    <n v="19.160000000000025"/>
    <x v="0"/>
    <x v="1"/>
    <x v="3"/>
  </r>
  <r>
    <s v="CLM104162"/>
    <s v="PT12972"/>
    <s v="P02"/>
    <x v="1"/>
    <x v="5"/>
    <n v="1"/>
    <d v="2026-02-11T00:00:00"/>
    <d v="2026-02-13T00:00:00"/>
    <n v="4906.68"/>
    <m/>
    <m/>
    <m/>
    <s v="Denied"/>
    <s v="CO-16"/>
    <d v="2026-03-10T00:00:00"/>
    <m/>
    <n v="4800"/>
    <n v="0.43"/>
    <n v="2064"/>
    <s v=""/>
    <x v="2"/>
    <x v="6"/>
    <x v="0"/>
  </r>
  <r>
    <s v="CLM104163"/>
    <s v="PT12280"/>
    <s v="P05"/>
    <x v="1"/>
    <x v="5"/>
    <n v="1"/>
    <d v="2026-08-04T00:00:00"/>
    <d v="2026-08-07T00:00:00"/>
    <n v="4844.58"/>
    <m/>
    <m/>
    <m/>
    <s v="Denied"/>
    <s v="CO-50"/>
    <d v="2026-09-20T00:00:00"/>
    <m/>
    <n v="4800"/>
    <n v="0.38"/>
    <n v="1824"/>
    <s v=""/>
    <x v="2"/>
    <x v="0"/>
    <x v="4"/>
  </r>
  <r>
    <s v="CLM104164"/>
    <s v="PT12698"/>
    <s v="P01"/>
    <x v="0"/>
    <x v="8"/>
    <n v="1"/>
    <d v="2026-01-23T00:00:00"/>
    <d v="2026-02-16T00:00:00"/>
    <n v="256.83999999999997"/>
    <n v="107.78"/>
    <n v="97"/>
    <n v="10.78"/>
    <s v="Paid"/>
    <s v=""/>
    <d v="2026-03-20T00:00:00"/>
    <d v="2026-03-20T00:00:00"/>
    <n v="260"/>
    <n v="0.45"/>
    <n v="117"/>
    <n v="9.2199999999999989"/>
    <x v="1"/>
    <x v="5"/>
    <x v="5"/>
  </r>
  <r>
    <s v="CLM104165"/>
    <s v="PT12734"/>
    <s v="P04"/>
    <x v="2"/>
    <x v="2"/>
    <n v="2"/>
    <d v="2025-12-23T00:00:00"/>
    <d v="2025-12-30T00:00:00"/>
    <n v="126.37"/>
    <n v="43.25"/>
    <n v="43.25"/>
    <n v="0"/>
    <s v="Paid"/>
    <s v=""/>
    <d v="2026-01-19T00:00:00"/>
    <d v="2026-01-19T00:00:00"/>
    <n v="62"/>
    <n v="0.36"/>
    <n v="44.64"/>
    <n v="1.3900000000000006"/>
    <x v="0"/>
    <x v="1"/>
    <x v="6"/>
  </r>
  <r>
    <s v="CLM104166"/>
    <s v="PT12478"/>
    <s v="P02"/>
    <x v="0"/>
    <x v="8"/>
    <n v="1"/>
    <d v="2026-05-21T00:00:00"/>
    <d v="2026-05-23T00:00:00"/>
    <n v="257.97000000000003"/>
    <n v="101.99"/>
    <n v="101.99"/>
    <n v="0"/>
    <s v="Paid"/>
    <s v=""/>
    <d v="2026-06-24T00:00:00"/>
    <d v="2026-06-24T00:00:00"/>
    <n v="260"/>
    <n v="0.43"/>
    <n v="111.8"/>
    <n v="9.8100000000000023"/>
    <x v="1"/>
    <x v="6"/>
    <x v="7"/>
  </r>
  <r>
    <s v="CLM104167"/>
    <s v="PT11794"/>
    <s v="P02"/>
    <x v="0"/>
    <x v="8"/>
    <n v="1"/>
    <d v="2026-04-23T00:00:00"/>
    <d v="2026-04-27T00:00:00"/>
    <n v="262.44"/>
    <n v="118.68"/>
    <n v="106.81"/>
    <n v="11.87"/>
    <s v="Paid"/>
    <s v=""/>
    <d v="2026-06-06T00:00:00"/>
    <d v="2026-06-06T00:00:00"/>
    <n v="260"/>
    <n v="0.43"/>
    <n v="111.8"/>
    <n v="-6.8800000000000097"/>
    <x v="0"/>
    <x v="6"/>
    <x v="10"/>
  </r>
  <r>
    <s v="CLM104168"/>
    <s v="PT10278"/>
    <s v="P07"/>
    <x v="1"/>
    <x v="11"/>
    <n v="1"/>
    <d v="2026-06-11T00:00:00"/>
    <d v="2026-06-13T00:00:00"/>
    <n v="1175.23"/>
    <n v="348.12"/>
    <n v="348.12"/>
    <n v="0"/>
    <s v="Paid"/>
    <s v=""/>
    <d v="2026-07-05T00:00:00"/>
    <d v="2026-07-05T00:00:00"/>
    <n v="1150"/>
    <n v="0.28000000000000003"/>
    <n v="322"/>
    <n v="-26.120000000000005"/>
    <x v="0"/>
    <x v="3"/>
    <x v="11"/>
  </r>
  <r>
    <s v="CLM104169"/>
    <s v="PT12094"/>
    <s v="P04"/>
    <x v="2"/>
    <x v="0"/>
    <n v="1"/>
    <d v="2026-04-16T00:00:00"/>
    <d v="2026-04-25T00:00:00"/>
    <n v="147.37"/>
    <n v="49.3"/>
    <n v="49.3"/>
    <n v="0"/>
    <s v="Paid"/>
    <s v=""/>
    <d v="2026-05-03T00:00:00"/>
    <d v="2026-05-03T00:00:00"/>
    <n v="145"/>
    <n v="0.36"/>
    <n v="52.2"/>
    <n v="2.9000000000000057"/>
    <x v="1"/>
    <x v="1"/>
    <x v="10"/>
  </r>
  <r>
    <s v="CLM104170"/>
    <s v="PT10920"/>
    <s v="P07"/>
    <x v="0"/>
    <x v="7"/>
    <n v="1"/>
    <d v="2026-06-23T00:00:00"/>
    <d v="2026-07-01T00:00:00"/>
    <n v="209.38"/>
    <n v="61.86"/>
    <n v="55.67"/>
    <n v="6.19"/>
    <s v="Paid"/>
    <s v=""/>
    <d v="2026-09-02T00:00:00"/>
    <d v="2026-09-02T00:00:00"/>
    <n v="210"/>
    <n v="0.28000000000000003"/>
    <n v="58.8"/>
    <n v="-3.0600000000000023"/>
    <x v="0"/>
    <x v="3"/>
    <x v="11"/>
  </r>
  <r>
    <s v="CLM104171"/>
    <s v="PT11107"/>
    <s v="P04"/>
    <x v="1"/>
    <x v="5"/>
    <n v="1"/>
    <d v="2026-09-18T00:00:00"/>
    <d v="2026-09-28T00:00:00"/>
    <n v="4846.7299999999996"/>
    <m/>
    <m/>
    <m/>
    <s v="Pending"/>
    <s v=""/>
    <m/>
    <m/>
    <n v="4800"/>
    <n v="0.36"/>
    <n v="1728"/>
    <s v=""/>
    <x v="2"/>
    <x v="1"/>
    <x v="8"/>
  </r>
  <r>
    <s v="CLM104172"/>
    <s v="PT12877"/>
    <s v="P06"/>
    <x v="2"/>
    <x v="2"/>
    <n v="1"/>
    <d v="2025-11-01T00:00:00"/>
    <d v="2025-11-23T00:00:00"/>
    <n v="62.43"/>
    <n v="18.239999999999998"/>
    <n v="14.59"/>
    <n v="3.65"/>
    <s v="Paid"/>
    <s v=""/>
    <d v="2025-12-28T00:00:00"/>
    <d v="2025-12-28T00:00:00"/>
    <n v="62"/>
    <n v="0.27"/>
    <n v="16.739999999999998"/>
    <n v="-1.5"/>
    <x v="0"/>
    <x v="2"/>
    <x v="3"/>
  </r>
  <r>
    <s v="CLM104173"/>
    <s v="PT12691"/>
    <s v="P04"/>
    <x v="3"/>
    <x v="7"/>
    <n v="1"/>
    <d v="2026-07-13T00:00:00"/>
    <d v="2026-07-14T00:00:00"/>
    <n v="211.72"/>
    <n v="73.86"/>
    <n v="66.47"/>
    <n v="7.39"/>
    <s v="Paid"/>
    <s v=""/>
    <d v="2026-08-06T00:00:00"/>
    <d v="2026-08-06T00:00:00"/>
    <n v="210"/>
    <n v="0.36"/>
    <n v="75.599999999999994"/>
    <n v="1.7399999999999949"/>
    <x v="0"/>
    <x v="1"/>
    <x v="1"/>
  </r>
  <r>
    <s v="CLM104174"/>
    <s v="PT11665"/>
    <s v="P02"/>
    <x v="1"/>
    <x v="7"/>
    <n v="1"/>
    <d v="2026-05-27T00:00:00"/>
    <d v="2026-05-29T00:00:00"/>
    <n v="205.01"/>
    <n v="79.290000000000006"/>
    <n v="71.36"/>
    <n v="7.93"/>
    <s v="Paid"/>
    <s v=""/>
    <d v="2026-07-02T00:00:00"/>
    <d v="2026-07-02T00:00:00"/>
    <n v="210"/>
    <n v="0.43"/>
    <n v="90.3"/>
    <n v="11.009999999999991"/>
    <x v="1"/>
    <x v="6"/>
    <x v="7"/>
  </r>
  <r>
    <s v="CLM104175"/>
    <s v="PT10808"/>
    <s v="P01"/>
    <x v="1"/>
    <x v="10"/>
    <n v="1"/>
    <d v="2026-06-08T00:00:00"/>
    <d v="2026-06-19T00:00:00"/>
    <n v="1031.83"/>
    <n v="425.98"/>
    <n v="340.78"/>
    <n v="85.2"/>
    <s v="Paid"/>
    <s v=""/>
    <d v="2026-07-06T00:00:00"/>
    <d v="2026-07-06T00:00:00"/>
    <n v="1050"/>
    <n v="0.45"/>
    <n v="472.5"/>
    <n v="46.519999999999982"/>
    <x v="1"/>
    <x v="5"/>
    <x v="11"/>
  </r>
  <r>
    <s v="CLM104176"/>
    <s v="PT11737"/>
    <s v="P05"/>
    <x v="1"/>
    <x v="8"/>
    <n v="1"/>
    <d v="2026-01-19T00:00:00"/>
    <d v="2026-01-23T00:00:00"/>
    <n v="266.33"/>
    <n v="98.63"/>
    <n v="98.63"/>
    <n v="0"/>
    <s v="Paid"/>
    <s v=""/>
    <d v="2026-02-20T00:00:00"/>
    <d v="2026-02-20T00:00:00"/>
    <n v="260"/>
    <n v="0.38"/>
    <n v="98.8"/>
    <n v="0.17000000000000171"/>
    <x v="0"/>
    <x v="0"/>
    <x v="5"/>
  </r>
  <r>
    <s v="CLM104177"/>
    <s v="PT11964"/>
    <s v="P05"/>
    <x v="1"/>
    <x v="4"/>
    <n v="1"/>
    <d v="2026-04-22T00:00:00"/>
    <d v="2026-04-26T00:00:00"/>
    <n v="38.270000000000003"/>
    <n v="15.29"/>
    <n v="12.23"/>
    <n v="3.06"/>
    <s v="Paid"/>
    <s v=""/>
    <d v="2026-06-30T00:00:00"/>
    <d v="2026-06-30T00:00:00"/>
    <n v="38"/>
    <n v="0.38"/>
    <n v="14.44"/>
    <n v="-0.84999999999999964"/>
    <x v="0"/>
    <x v="0"/>
    <x v="10"/>
  </r>
  <r>
    <s v="CLM104178"/>
    <s v="PT11802"/>
    <s v="P01"/>
    <x v="2"/>
    <x v="9"/>
    <n v="3"/>
    <d v="2025-11-08T00:00:00"/>
    <d v="2025-11-10T00:00:00"/>
    <n v="170.23"/>
    <n v="69.010000000000005"/>
    <n v="55.21"/>
    <n v="13.8"/>
    <s v="Paid"/>
    <s v=""/>
    <d v="2025-12-07T00:00:00"/>
    <d v="2025-12-07T00:00:00"/>
    <n v="58"/>
    <n v="0.45"/>
    <n v="78.3"/>
    <n v="9.289999999999992"/>
    <x v="1"/>
    <x v="5"/>
    <x v="3"/>
  </r>
  <r>
    <s v="CLM104179"/>
    <s v="PT11885"/>
    <s v="P03"/>
    <x v="1"/>
    <x v="4"/>
    <n v="1"/>
    <d v="2026-04-19T00:00:00"/>
    <d v="2026-04-20T00:00:00"/>
    <n v="38.78"/>
    <n v="19.27"/>
    <n v="17.34"/>
    <n v="1.93"/>
    <s v="Paid"/>
    <s v=""/>
    <d v="2026-06-17T00:00:00"/>
    <d v="2026-06-17T00:00:00"/>
    <n v="38"/>
    <n v="0.47"/>
    <n v="17.86"/>
    <n v="-1.4100000000000001"/>
    <x v="0"/>
    <x v="4"/>
    <x v="10"/>
  </r>
  <r>
    <s v="CLM104180"/>
    <s v="PT13215"/>
    <s v="P03"/>
    <x v="0"/>
    <x v="8"/>
    <n v="1"/>
    <d v="2026-04-08T00:00:00"/>
    <d v="2026-04-09T00:00:00"/>
    <n v="262.99"/>
    <n v="110.78"/>
    <n v="110.78"/>
    <n v="0"/>
    <s v="Paid"/>
    <s v=""/>
    <d v="2026-04-15T00:00:00"/>
    <d v="2026-04-15T00:00:00"/>
    <n v="260"/>
    <n v="0.47"/>
    <n v="122.2"/>
    <n v="11.420000000000002"/>
    <x v="1"/>
    <x v="4"/>
    <x v="10"/>
  </r>
  <r>
    <s v="CLM104181"/>
    <s v="PT11959"/>
    <s v="P05"/>
    <x v="0"/>
    <x v="8"/>
    <n v="1"/>
    <d v="2026-01-23T00:00:00"/>
    <d v="2026-01-25T00:00:00"/>
    <n v="264.33"/>
    <n v="89.42"/>
    <n v="80.48"/>
    <n v="8.94"/>
    <s v="Paid"/>
    <s v=""/>
    <d v="2026-03-17T00:00:00"/>
    <d v="2026-03-17T00:00:00"/>
    <n v="260"/>
    <n v="0.38"/>
    <n v="98.8"/>
    <n v="9.3799999999999955"/>
    <x v="1"/>
    <x v="0"/>
    <x v="5"/>
  </r>
  <r>
    <s v="CLM104182"/>
    <s v="PT10377"/>
    <s v="P08"/>
    <x v="2"/>
    <x v="2"/>
    <n v="1"/>
    <d v="2026-03-27T00:00:00"/>
    <d v="2026-03-28T00:00:00"/>
    <n v="62.07"/>
    <m/>
    <m/>
    <m/>
    <s v="Pending"/>
    <s v=""/>
    <m/>
    <m/>
    <n v="62"/>
    <n v="1"/>
    <n v="62"/>
    <s v=""/>
    <x v="2"/>
    <x v="7"/>
    <x v="2"/>
  </r>
  <r>
    <s v="CLM104183"/>
    <s v="PT10858"/>
    <s v="P03"/>
    <x v="3"/>
    <x v="3"/>
    <n v="30"/>
    <d v="2025-10-14T00:00:00"/>
    <d v="2025-10-19T00:00:00"/>
    <n v="43385.71"/>
    <n v="21174.01"/>
    <n v="21174.01"/>
    <n v="0"/>
    <s v="Paid"/>
    <s v=""/>
    <d v="2025-12-14T00:00:00"/>
    <d v="2025-12-14T00:00:00"/>
    <n v="1450"/>
    <n v="0.47"/>
    <n v="20445"/>
    <n v="-729.0099999999984"/>
    <x v="0"/>
    <x v="4"/>
    <x v="9"/>
  </r>
  <r>
    <s v="CLM104184"/>
    <s v="PT10913"/>
    <s v="P02"/>
    <x v="1"/>
    <x v="5"/>
    <n v="1"/>
    <d v="2026-03-02T00:00:00"/>
    <d v="2026-03-06T00:00:00"/>
    <n v="4746.0600000000004"/>
    <m/>
    <m/>
    <m/>
    <s v="Denied"/>
    <s v="CO-11"/>
    <d v="2026-04-06T00:00:00"/>
    <m/>
    <n v="4800"/>
    <n v="0.43"/>
    <n v="2064"/>
    <s v=""/>
    <x v="2"/>
    <x v="6"/>
    <x v="2"/>
  </r>
  <r>
    <s v="CLM104185"/>
    <s v="PT11652"/>
    <s v="P07"/>
    <x v="1"/>
    <x v="4"/>
    <n v="1"/>
    <d v="2025-12-29T00:00:00"/>
    <d v="2025-12-30T00:00:00"/>
    <n v="38.72"/>
    <m/>
    <m/>
    <m/>
    <s v="Denied"/>
    <s v="CO-27"/>
    <d v="2026-03-03T00:00:00"/>
    <m/>
    <n v="38"/>
    <n v="0.28000000000000003"/>
    <n v="10.64"/>
    <s v=""/>
    <x v="2"/>
    <x v="3"/>
    <x v="6"/>
  </r>
  <r>
    <s v="CLM104186"/>
    <s v="PT11514"/>
    <s v="P06"/>
    <x v="3"/>
    <x v="6"/>
    <n v="1"/>
    <d v="2026-05-18T00:00:00"/>
    <d v="2026-05-20T00:00:00"/>
    <n v="419.27"/>
    <n v="112.5"/>
    <n v="112.5"/>
    <n v="0"/>
    <s v="Paid"/>
    <s v=""/>
    <d v="2026-06-19T00:00:00"/>
    <d v="2026-06-19T00:00:00"/>
    <n v="420"/>
    <n v="0.27"/>
    <n v="113.4"/>
    <n v="0.90000000000000568"/>
    <x v="0"/>
    <x v="2"/>
    <x v="7"/>
  </r>
  <r>
    <s v="CLM104187"/>
    <s v="PT13217"/>
    <s v="P01"/>
    <x v="0"/>
    <x v="7"/>
    <n v="1"/>
    <d v="2026-02-14T00:00:00"/>
    <d v="2026-02-15T00:00:00"/>
    <n v="213.8"/>
    <n v="92.87"/>
    <n v="92.87"/>
    <n v="0"/>
    <s v="Paid"/>
    <s v=""/>
    <d v="2026-03-22T00:00:00"/>
    <d v="2026-03-22T00:00:00"/>
    <n v="210"/>
    <n v="0.45"/>
    <n v="94.5"/>
    <n v="1.6299999999999955"/>
    <x v="0"/>
    <x v="5"/>
    <x v="0"/>
  </r>
  <r>
    <s v="CLM104188"/>
    <s v="PT12740"/>
    <s v="P04"/>
    <x v="0"/>
    <x v="4"/>
    <n v="1"/>
    <d v="2026-06-21T00:00:00"/>
    <d v="2026-07-08T00:00:00"/>
    <n v="38.43"/>
    <n v="13.84"/>
    <n v="12.46"/>
    <n v="1.38"/>
    <s v="Paid"/>
    <s v=""/>
    <d v="2026-07-26T00:00:00"/>
    <d v="2026-07-26T00:00:00"/>
    <n v="38"/>
    <n v="0.36"/>
    <n v="13.68"/>
    <n v="-0.16000000000000014"/>
    <x v="0"/>
    <x v="1"/>
    <x v="11"/>
  </r>
  <r>
    <s v="CLM104189"/>
    <s v="PT13211"/>
    <s v="P07"/>
    <x v="1"/>
    <x v="11"/>
    <n v="1"/>
    <d v="2026-06-17T00:00:00"/>
    <d v="2026-06-18T00:00:00"/>
    <n v="1175.97"/>
    <n v="374.5"/>
    <n v="374.5"/>
    <n v="0"/>
    <s v="Paid"/>
    <s v=""/>
    <d v="2026-09-12T00:00:00"/>
    <d v="2026-09-12T00:00:00"/>
    <n v="1150"/>
    <n v="0.28000000000000003"/>
    <n v="322"/>
    <n v="-52.5"/>
    <x v="0"/>
    <x v="3"/>
    <x v="11"/>
  </r>
  <r>
    <s v="CLM104190"/>
    <s v="PT10601"/>
    <s v="P05"/>
    <x v="0"/>
    <x v="4"/>
    <n v="1"/>
    <d v="2026-07-17T00:00:00"/>
    <d v="2026-07-18T00:00:00"/>
    <n v="37.18"/>
    <n v="15.48"/>
    <n v="13.93"/>
    <n v="1.55"/>
    <s v="Paid"/>
    <s v=""/>
    <d v="2026-09-03T00:00:00"/>
    <d v="2026-09-03T00:00:00"/>
    <n v="38"/>
    <n v="0.38"/>
    <n v="14.44"/>
    <n v="-1.0400000000000009"/>
    <x v="0"/>
    <x v="0"/>
    <x v="1"/>
  </r>
  <r>
    <s v="CLM104191"/>
    <s v="PT10205"/>
    <s v="P05"/>
    <x v="0"/>
    <x v="7"/>
    <n v="1"/>
    <d v="2025-11-15T00:00:00"/>
    <d v="2025-11-16T00:00:00"/>
    <n v="211.44"/>
    <n v="92.37"/>
    <n v="83.13"/>
    <n v="9.24"/>
    <s v="Paid"/>
    <s v=""/>
    <d v="2026-02-06T00:00:00"/>
    <d v="2026-02-06T00:00:00"/>
    <n v="210"/>
    <n v="0.38"/>
    <n v="79.8"/>
    <n v="-12.570000000000007"/>
    <x v="0"/>
    <x v="0"/>
    <x v="3"/>
  </r>
  <r>
    <s v="CLM104192"/>
    <s v="PT10882"/>
    <s v="P04"/>
    <x v="0"/>
    <x v="4"/>
    <n v="1"/>
    <d v="2025-12-26T00:00:00"/>
    <d v="2025-12-30T00:00:00"/>
    <n v="37"/>
    <n v="13.24"/>
    <n v="13.24"/>
    <n v="0"/>
    <s v="Paid"/>
    <s v=""/>
    <d v="2026-01-18T00:00:00"/>
    <d v="2026-01-18T00:00:00"/>
    <n v="38"/>
    <n v="0.36"/>
    <n v="13.68"/>
    <n v="0.4399999999999995"/>
    <x v="0"/>
    <x v="1"/>
    <x v="6"/>
  </r>
  <r>
    <s v="CLM104193"/>
    <s v="PT12546"/>
    <s v="P04"/>
    <x v="0"/>
    <x v="7"/>
    <n v="1"/>
    <d v="2026-08-02T00:00:00"/>
    <d v="2026-08-12T00:00:00"/>
    <n v="214.79"/>
    <n v="86.68"/>
    <n v="78.010000000000005"/>
    <n v="8.67"/>
    <s v="Paid"/>
    <s v=""/>
    <d v="2026-08-28T00:00:00"/>
    <d v="2026-08-28T00:00:00"/>
    <n v="210"/>
    <n v="0.36"/>
    <n v="75.599999999999994"/>
    <n v="-11.080000000000013"/>
    <x v="0"/>
    <x v="1"/>
    <x v="4"/>
  </r>
  <r>
    <s v="CLM104194"/>
    <s v="PT10156"/>
    <s v="P03"/>
    <x v="0"/>
    <x v="8"/>
    <n v="1"/>
    <d v="2026-05-07T00:00:00"/>
    <d v="2026-05-11T00:00:00"/>
    <n v="253.43"/>
    <n v="128.06"/>
    <n v="128.06"/>
    <n v="0"/>
    <s v="Paid"/>
    <s v=""/>
    <d v="2026-07-11T00:00:00"/>
    <d v="2026-07-11T00:00:00"/>
    <n v="260"/>
    <n v="0.47"/>
    <n v="122.2"/>
    <n v="-5.8599999999999994"/>
    <x v="0"/>
    <x v="4"/>
    <x v="7"/>
  </r>
  <r>
    <s v="CLM104195"/>
    <s v="PT13292"/>
    <s v="P01"/>
    <x v="1"/>
    <x v="5"/>
    <n v="1"/>
    <d v="2026-03-17T00:00:00"/>
    <d v="2026-03-22T00:00:00"/>
    <n v="4852.46"/>
    <n v="2197.7399999999998"/>
    <n v="2197.7399999999998"/>
    <n v="0"/>
    <s v="Paid"/>
    <s v=""/>
    <d v="2026-04-17T00:00:00"/>
    <d v="2026-04-17T00:00:00"/>
    <n v="4800"/>
    <n v="0.45"/>
    <n v="2160"/>
    <n v="-37.739999999999782"/>
    <x v="0"/>
    <x v="5"/>
    <x v="2"/>
  </r>
  <r>
    <s v="CLM104196"/>
    <s v="PT10490"/>
    <s v="P01"/>
    <x v="3"/>
    <x v="3"/>
    <n v="10"/>
    <d v="2026-02-18T00:00:00"/>
    <d v="2026-02-21T00:00:00"/>
    <n v="14863.36"/>
    <n v="6675.2"/>
    <n v="6675.2"/>
    <n v="0"/>
    <s v="Paid"/>
    <s v=""/>
    <d v="2026-03-22T00:00:00"/>
    <d v="2026-03-22T00:00:00"/>
    <n v="1450"/>
    <n v="0.45"/>
    <n v="6525"/>
    <n v="-150.19999999999982"/>
    <x v="0"/>
    <x v="5"/>
    <x v="0"/>
  </r>
  <r>
    <s v="CLM104197"/>
    <s v="PT12438"/>
    <s v="P02"/>
    <x v="2"/>
    <x v="9"/>
    <n v="3"/>
    <d v="2026-03-20T00:00:00"/>
    <d v="2026-03-25T00:00:00"/>
    <n v="175.37"/>
    <n v="81"/>
    <n v="64.8"/>
    <n v="16.2"/>
    <s v="Paid"/>
    <s v=""/>
    <d v="2026-04-30T00:00:00"/>
    <d v="2026-04-30T00:00:00"/>
    <n v="58"/>
    <n v="0.43"/>
    <n v="74.819999999999993"/>
    <n v="-6.1800000000000068"/>
    <x v="0"/>
    <x v="6"/>
    <x v="2"/>
  </r>
  <r>
    <s v="CLM104198"/>
    <s v="PT10074"/>
    <s v="P04"/>
    <x v="3"/>
    <x v="3"/>
    <n v="5"/>
    <d v="2026-08-15T00:00:00"/>
    <d v="2026-08-16T00:00:00"/>
    <n v="7294.49"/>
    <n v="2271.25"/>
    <n v="2271.25"/>
    <n v="0"/>
    <s v="Paid"/>
    <s v=""/>
    <d v="2026-08-31T00:00:00"/>
    <d v="2026-08-31T00:00:00"/>
    <n v="1450"/>
    <n v="0.36"/>
    <n v="2610"/>
    <n v="338.75"/>
    <x v="1"/>
    <x v="1"/>
    <x v="4"/>
  </r>
  <r>
    <s v="CLM104199"/>
    <s v="PT10305"/>
    <s v="P08"/>
    <x v="2"/>
    <x v="9"/>
    <n v="3"/>
    <d v="2026-03-04T00:00:00"/>
    <d v="2026-07-13T00:00:00"/>
    <n v="175.4"/>
    <n v="175.4"/>
    <n v="175.4"/>
    <n v="0"/>
    <s v="Paid"/>
    <s v=""/>
    <d v="2026-09-10T00:00:00"/>
    <d v="2026-09-10T00:00:00"/>
    <n v="58"/>
    <n v="1"/>
    <n v="174"/>
    <n v="-1.4000000000000057"/>
    <x v="0"/>
    <x v="7"/>
    <x v="2"/>
  </r>
  <r>
    <s v="CLM104200"/>
    <s v="PT10861"/>
    <s v="P01"/>
    <x v="0"/>
    <x v="0"/>
    <n v="1"/>
    <d v="2025-11-12T00:00:00"/>
    <d v="2025-11-29T00:00:00"/>
    <n v="143.61000000000001"/>
    <n v="74.48"/>
    <n v="67.03"/>
    <n v="7.45"/>
    <s v="Paid"/>
    <s v=""/>
    <d v="2025-12-16T00:00:00"/>
    <d v="2025-12-16T00:00:00"/>
    <n v="145"/>
    <n v="0.45"/>
    <n v="65.25"/>
    <n v="-9.230000000000004"/>
    <x v="0"/>
    <x v="5"/>
    <x v="3"/>
  </r>
  <r>
    <s v="CLM104201"/>
    <s v="PT13482"/>
    <s v="P04"/>
    <x v="0"/>
    <x v="8"/>
    <n v="1"/>
    <d v="2026-01-09T00:00:00"/>
    <d v="2026-01-19T00:00:00"/>
    <n v="262.42"/>
    <n v="83.48"/>
    <n v="83.48"/>
    <n v="0"/>
    <s v="Paid"/>
    <s v=""/>
    <d v="2026-02-09T00:00:00"/>
    <d v="2026-02-09T00:00:00"/>
    <n v="260"/>
    <n v="0.36"/>
    <n v="93.6"/>
    <n v="10.11999999999999"/>
    <x v="1"/>
    <x v="1"/>
    <x v="5"/>
  </r>
  <r>
    <s v="CLM104202"/>
    <s v="PT11769"/>
    <s v="P07"/>
    <x v="0"/>
    <x v="0"/>
    <n v="1"/>
    <d v="2026-04-09T00:00:00"/>
    <d v="2026-04-10T00:00:00"/>
    <n v="142.36000000000001"/>
    <n v="45.58"/>
    <n v="41.02"/>
    <n v="4.5599999999999996"/>
    <s v="Paid"/>
    <s v=""/>
    <d v="2026-06-22T00:00:00"/>
    <d v="2026-06-22T00:00:00"/>
    <n v="145"/>
    <n v="0.28000000000000003"/>
    <n v="40.6"/>
    <n v="-4.9799999999999969"/>
    <x v="0"/>
    <x v="3"/>
    <x v="10"/>
  </r>
  <r>
    <s v="CLM104203"/>
    <s v="PT13274"/>
    <s v="P05"/>
    <x v="3"/>
    <x v="6"/>
    <n v="1"/>
    <d v="2026-07-15T00:00:00"/>
    <d v="2026-07-23T00:00:00"/>
    <n v="421.18"/>
    <n v="170.55"/>
    <n v="170.55"/>
    <n v="0"/>
    <s v="Paid"/>
    <s v=""/>
    <d v="2026-09-14T00:00:00"/>
    <d v="2026-09-14T00:00:00"/>
    <n v="420"/>
    <n v="0.38"/>
    <n v="159.6"/>
    <n v="-10.950000000000017"/>
    <x v="0"/>
    <x v="0"/>
    <x v="1"/>
  </r>
  <r>
    <s v="CLM104204"/>
    <s v="PT12335"/>
    <s v="P03"/>
    <x v="1"/>
    <x v="1"/>
    <n v="1"/>
    <d v="2026-02-13T00:00:00"/>
    <d v="2026-02-17T00:00:00"/>
    <n v="238.73"/>
    <n v="106.58"/>
    <n v="85.26"/>
    <n v="21.32"/>
    <s v="Paid"/>
    <s v=""/>
    <d v="2026-04-09T00:00:00"/>
    <d v="2026-04-09T00:00:00"/>
    <n v="240"/>
    <n v="0.47"/>
    <n v="112.8"/>
    <n v="6.2199999999999989"/>
    <x v="1"/>
    <x v="4"/>
    <x v="0"/>
  </r>
  <r>
    <s v="CLM104205"/>
    <s v="PT10408"/>
    <s v="P05"/>
    <x v="3"/>
    <x v="3"/>
    <n v="20"/>
    <d v="2025-10-17T00:00:00"/>
    <d v="2025-10-22T00:00:00"/>
    <n v="29682.53"/>
    <n v="12387.91"/>
    <n v="11149.12"/>
    <n v="1238.79"/>
    <s v="Paid"/>
    <s v=""/>
    <d v="2025-12-12T00:00:00"/>
    <d v="2025-12-12T00:00:00"/>
    <n v="1450"/>
    <n v="0.38"/>
    <n v="11020"/>
    <n v="-1367.9099999999999"/>
    <x v="0"/>
    <x v="0"/>
    <x v="9"/>
  </r>
  <r>
    <s v="CLM104206"/>
    <s v="PT13150"/>
    <s v="P04"/>
    <x v="1"/>
    <x v="4"/>
    <n v="1"/>
    <d v="2026-04-08T00:00:00"/>
    <d v="2026-04-09T00:00:00"/>
    <n v="37.31"/>
    <m/>
    <m/>
    <m/>
    <s v="Denied"/>
    <s v="CO-27"/>
    <d v="2026-05-01T00:00:00"/>
    <m/>
    <n v="38"/>
    <n v="0.36"/>
    <n v="13.68"/>
    <s v=""/>
    <x v="2"/>
    <x v="1"/>
    <x v="10"/>
  </r>
  <r>
    <s v="CLM104207"/>
    <s v="PT11069"/>
    <s v="P01"/>
    <x v="3"/>
    <x v="6"/>
    <n v="1"/>
    <d v="2026-06-17T00:00:00"/>
    <d v="2026-06-19T00:00:00"/>
    <n v="430.43"/>
    <n v="222.39"/>
    <n v="222.39"/>
    <n v="0"/>
    <s v="Paid"/>
    <s v=""/>
    <d v="2026-07-20T00:00:00"/>
    <d v="2026-07-20T00:00:00"/>
    <n v="420"/>
    <n v="0.45"/>
    <n v="189"/>
    <n v="-33.389999999999986"/>
    <x v="0"/>
    <x v="5"/>
    <x v="11"/>
  </r>
  <r>
    <s v="CLM104208"/>
    <s v="PT11982"/>
    <s v="P04"/>
    <x v="3"/>
    <x v="3"/>
    <n v="5"/>
    <d v="2025-12-13T00:00:00"/>
    <d v="2025-12-20T00:00:00"/>
    <n v="7046.73"/>
    <n v="2561.36"/>
    <n v="2305.2199999999998"/>
    <n v="256.14"/>
    <s v="Paid"/>
    <s v=""/>
    <d v="2026-01-11T00:00:00"/>
    <d v="2026-01-11T00:00:00"/>
    <n v="1450"/>
    <n v="0.36"/>
    <n v="2610"/>
    <n v="48.639999999999873"/>
    <x v="0"/>
    <x v="1"/>
    <x v="6"/>
  </r>
  <r>
    <s v="CLM104209"/>
    <s v="PT10628"/>
    <s v="P04"/>
    <x v="0"/>
    <x v="7"/>
    <n v="1"/>
    <d v="2026-07-06T00:00:00"/>
    <d v="2026-07-09T00:00:00"/>
    <n v="204.27"/>
    <n v="72.88"/>
    <n v="72.88"/>
    <n v="0"/>
    <s v="Paid"/>
    <s v=""/>
    <d v="2026-07-26T00:00:00"/>
    <d v="2026-07-26T00:00:00"/>
    <n v="210"/>
    <n v="0.36"/>
    <n v="75.599999999999994"/>
    <n v="2.7199999999999989"/>
    <x v="0"/>
    <x v="1"/>
    <x v="1"/>
  </r>
  <r>
    <s v="CLM104210"/>
    <s v="PT12257"/>
    <s v="P06"/>
    <x v="1"/>
    <x v="1"/>
    <n v="1"/>
    <d v="2026-04-28T00:00:00"/>
    <d v="2026-05-03T00:00:00"/>
    <n v="240.96"/>
    <n v="59.09"/>
    <n v="47.27"/>
    <n v="11.82"/>
    <s v="Paid"/>
    <s v=""/>
    <d v="2026-06-20T00:00:00"/>
    <d v="2026-06-20T00:00:00"/>
    <n v="240"/>
    <n v="0.27"/>
    <n v="64.8"/>
    <n v="5.7099999999999937"/>
    <x v="1"/>
    <x v="2"/>
    <x v="10"/>
  </r>
  <r>
    <s v="CLM104211"/>
    <s v="PT11308"/>
    <s v="P02"/>
    <x v="1"/>
    <x v="7"/>
    <n v="1"/>
    <d v="2025-10-12T00:00:00"/>
    <d v="2025-10-14T00:00:00"/>
    <n v="212.81"/>
    <n v="102.98"/>
    <n v="102.98"/>
    <n v="0"/>
    <s v="Paid"/>
    <s v=""/>
    <d v="2025-11-17T00:00:00"/>
    <d v="2025-11-17T00:00:00"/>
    <n v="210"/>
    <n v="0.43"/>
    <n v="90.3"/>
    <n v="-12.680000000000007"/>
    <x v="0"/>
    <x v="6"/>
    <x v="9"/>
  </r>
  <r>
    <s v="CLM104212"/>
    <s v="PT11465"/>
    <s v="P04"/>
    <x v="1"/>
    <x v="8"/>
    <n v="1"/>
    <d v="2026-02-02T00:00:00"/>
    <d v="2026-02-07T00:00:00"/>
    <n v="263.27999999999997"/>
    <m/>
    <m/>
    <m/>
    <s v="Denied"/>
    <s v="CO-18"/>
    <d v="2026-03-03T00:00:00"/>
    <m/>
    <n v="260"/>
    <n v="0.36"/>
    <n v="93.6"/>
    <s v=""/>
    <x v="2"/>
    <x v="1"/>
    <x v="0"/>
  </r>
  <r>
    <s v="CLM104213"/>
    <s v="PT11019"/>
    <s v="P07"/>
    <x v="3"/>
    <x v="7"/>
    <n v="1"/>
    <d v="2025-10-05T00:00:00"/>
    <d v="2025-10-09T00:00:00"/>
    <n v="214.72"/>
    <n v="53.67"/>
    <n v="48.3"/>
    <n v="5.37"/>
    <s v="Paid"/>
    <s v=""/>
    <d v="2025-12-04T00:00:00"/>
    <d v="2025-12-04T00:00:00"/>
    <n v="210"/>
    <n v="0.28000000000000003"/>
    <n v="58.8"/>
    <n v="5.1299999999999955"/>
    <x v="1"/>
    <x v="3"/>
    <x v="9"/>
  </r>
  <r>
    <s v="CLM104214"/>
    <s v="PT12310"/>
    <s v="P01"/>
    <x v="3"/>
    <x v="6"/>
    <n v="1"/>
    <d v="2026-04-03T00:00:00"/>
    <d v="2026-04-05T00:00:00"/>
    <n v="418.27"/>
    <m/>
    <m/>
    <m/>
    <s v="Denied"/>
    <s v="CO-197"/>
    <d v="2026-05-04T00:00:00"/>
    <m/>
    <n v="420"/>
    <n v="0.45"/>
    <n v="189"/>
    <s v=""/>
    <x v="2"/>
    <x v="5"/>
    <x v="10"/>
  </r>
  <r>
    <s v="CLM104215"/>
    <s v="PT10453"/>
    <s v="P04"/>
    <x v="1"/>
    <x v="7"/>
    <n v="1"/>
    <d v="2025-12-02T00:00:00"/>
    <d v="2025-12-06T00:00:00"/>
    <n v="207.9"/>
    <n v="81.98"/>
    <n v="81.98"/>
    <n v="0"/>
    <s v="Paid"/>
    <s v=""/>
    <d v="2025-12-14T00:00:00"/>
    <d v="2025-12-14T00:00:00"/>
    <n v="210"/>
    <n v="0.36"/>
    <n v="75.599999999999994"/>
    <n v="-6.3800000000000097"/>
    <x v="0"/>
    <x v="1"/>
    <x v="6"/>
  </r>
  <r>
    <s v="CLM104216"/>
    <s v="PT11684"/>
    <s v="P02"/>
    <x v="1"/>
    <x v="5"/>
    <n v="1"/>
    <d v="2026-01-28T00:00:00"/>
    <d v="2026-02-03T00:00:00"/>
    <n v="4701.37"/>
    <m/>
    <m/>
    <m/>
    <s v="Denied"/>
    <s v="CO-50"/>
    <d v="2026-03-07T00:00:00"/>
    <m/>
    <n v="4800"/>
    <n v="0.43"/>
    <n v="2064"/>
    <s v=""/>
    <x v="2"/>
    <x v="6"/>
    <x v="5"/>
  </r>
  <r>
    <s v="CLM104217"/>
    <s v="PT10007"/>
    <s v="P06"/>
    <x v="1"/>
    <x v="10"/>
    <n v="1"/>
    <d v="2026-04-30T00:00:00"/>
    <d v="2026-05-04T00:00:00"/>
    <n v="1081.26"/>
    <n v="329.8"/>
    <n v="329.8"/>
    <n v="0"/>
    <s v="Paid"/>
    <s v=""/>
    <d v="2026-05-16T00:00:00"/>
    <d v="2026-05-16T00:00:00"/>
    <n v="1050"/>
    <n v="0.27"/>
    <n v="283.5"/>
    <n v="-46.300000000000011"/>
    <x v="0"/>
    <x v="2"/>
    <x v="10"/>
  </r>
  <r>
    <s v="CLM104218"/>
    <s v="PT12664"/>
    <s v="P05"/>
    <x v="1"/>
    <x v="7"/>
    <n v="1"/>
    <d v="2026-01-21T00:00:00"/>
    <d v="2026-01-22T00:00:00"/>
    <n v="216.01"/>
    <n v="84.67"/>
    <n v="67.739999999999995"/>
    <n v="16.93"/>
    <s v="Paid"/>
    <s v=""/>
    <d v="2026-02-10T00:00:00"/>
    <d v="2026-02-10T00:00:00"/>
    <n v="210"/>
    <n v="0.38"/>
    <n v="79.8"/>
    <n v="-4.8700000000000045"/>
    <x v="0"/>
    <x v="0"/>
    <x v="5"/>
  </r>
  <r>
    <s v="CLM104219"/>
    <s v="PT10407"/>
    <s v="P01"/>
    <x v="0"/>
    <x v="7"/>
    <n v="1"/>
    <d v="2026-07-08T00:00:00"/>
    <d v="2026-07-15T00:00:00"/>
    <n v="212.86"/>
    <n v="92.46"/>
    <n v="83.21"/>
    <n v="9.25"/>
    <s v="Paid"/>
    <s v=""/>
    <d v="2026-08-28T00:00:00"/>
    <d v="2026-08-28T00:00:00"/>
    <n v="210"/>
    <n v="0.45"/>
    <n v="94.5"/>
    <n v="2.0400000000000063"/>
    <x v="0"/>
    <x v="5"/>
    <x v="1"/>
  </r>
  <r>
    <s v="CLM104220"/>
    <s v="PT12098"/>
    <s v="P02"/>
    <x v="1"/>
    <x v="11"/>
    <n v="1"/>
    <d v="2025-12-26T00:00:00"/>
    <d v="2025-12-29T00:00:00"/>
    <n v="1127.5899999999999"/>
    <n v="446.63"/>
    <n v="446.63"/>
    <n v="0"/>
    <s v="Paid"/>
    <s v=""/>
    <d v="2026-01-27T00:00:00"/>
    <d v="2026-01-27T00:00:00"/>
    <n v="1150"/>
    <n v="0.43"/>
    <n v="494.5"/>
    <n v="47.870000000000005"/>
    <x v="1"/>
    <x v="6"/>
    <x v="6"/>
  </r>
  <r>
    <s v="CLM104221"/>
    <s v="PT10662"/>
    <s v="P04"/>
    <x v="3"/>
    <x v="7"/>
    <n v="1"/>
    <d v="2026-08-25T00:00:00"/>
    <d v="2026-08-31T00:00:00"/>
    <n v="203.87"/>
    <n v="76.010000000000005"/>
    <n v="68.41"/>
    <n v="7.6"/>
    <s v="Paid"/>
    <s v=""/>
    <d v="2026-09-16T00:00:00"/>
    <d v="2026-09-16T00:00:00"/>
    <n v="210"/>
    <n v="0.36"/>
    <n v="75.599999999999994"/>
    <n v="-0.4100000000000108"/>
    <x v="0"/>
    <x v="1"/>
    <x v="4"/>
  </r>
  <r>
    <s v="CLM104222"/>
    <s v="PT11912"/>
    <s v="P03"/>
    <x v="0"/>
    <x v="0"/>
    <n v="1"/>
    <d v="2026-01-27T00:00:00"/>
    <d v="2026-01-29T00:00:00"/>
    <n v="144.11000000000001"/>
    <n v="61.29"/>
    <n v="61.29"/>
    <n v="0"/>
    <s v="Paid"/>
    <s v=""/>
    <d v="2026-03-30T00:00:00"/>
    <d v="2026-03-30T00:00:00"/>
    <n v="145"/>
    <n v="0.47"/>
    <n v="68.150000000000006"/>
    <n v="6.8600000000000065"/>
    <x v="1"/>
    <x v="4"/>
    <x v="5"/>
  </r>
  <r>
    <s v="CLM104223"/>
    <s v="PT12345"/>
    <s v="P08"/>
    <x v="1"/>
    <x v="8"/>
    <n v="1"/>
    <d v="2026-04-09T00:00:00"/>
    <d v="2026-04-19T00:00:00"/>
    <n v="261.29000000000002"/>
    <n v="261.29000000000002"/>
    <n v="261.29000000000002"/>
    <n v="0"/>
    <s v="Paid"/>
    <s v=""/>
    <d v="2026-07-07T00:00:00"/>
    <d v="2026-07-07T00:00:00"/>
    <n v="260"/>
    <n v="1"/>
    <n v="260"/>
    <n v="-1.2900000000000205"/>
    <x v="0"/>
    <x v="7"/>
    <x v="10"/>
  </r>
  <r>
    <s v="CLM104224"/>
    <s v="PT11010"/>
    <s v="P02"/>
    <x v="0"/>
    <x v="0"/>
    <n v="1"/>
    <d v="2026-03-22T00:00:00"/>
    <d v="2026-03-24T00:00:00"/>
    <n v="141.44"/>
    <n v="69.39"/>
    <n v="62.45"/>
    <n v="6.94"/>
    <s v="Paid"/>
    <s v=""/>
    <d v="2026-04-15T00:00:00"/>
    <d v="2026-04-15T00:00:00"/>
    <n v="145"/>
    <n v="0.43"/>
    <n v="62.35"/>
    <n v="-7.0399999999999991"/>
    <x v="0"/>
    <x v="6"/>
    <x v="2"/>
  </r>
  <r>
    <s v="CLM104225"/>
    <s v="PT12634"/>
    <s v="P01"/>
    <x v="0"/>
    <x v="7"/>
    <n v="1"/>
    <d v="2026-06-05T00:00:00"/>
    <d v="2026-06-09T00:00:00"/>
    <n v="206.2"/>
    <n v="100.78"/>
    <n v="80.62"/>
    <n v="20.16"/>
    <s v="Paid"/>
    <s v=""/>
    <d v="2026-07-15T00:00:00"/>
    <d v="2026-07-15T00:00:00"/>
    <n v="210"/>
    <n v="0.45"/>
    <n v="94.5"/>
    <n v="-6.2800000000000011"/>
    <x v="0"/>
    <x v="5"/>
    <x v="11"/>
  </r>
  <r>
    <s v="CLM104226"/>
    <s v="PT13174"/>
    <s v="P04"/>
    <x v="3"/>
    <x v="7"/>
    <n v="1"/>
    <d v="2026-09-05T00:00:00"/>
    <d v="2026-09-14T00:00:00"/>
    <n v="205.74"/>
    <n v="77.37"/>
    <n v="69.63"/>
    <n v="7.74"/>
    <s v="Paid"/>
    <s v=""/>
    <d v="2026-09-28T00:00:00"/>
    <d v="2026-09-28T00:00:00"/>
    <n v="210"/>
    <n v="0.36"/>
    <n v="75.599999999999994"/>
    <n v="-1.7700000000000102"/>
    <x v="0"/>
    <x v="1"/>
    <x v="8"/>
  </r>
  <r>
    <s v="CLM104227"/>
    <s v="PT11000"/>
    <s v="P02"/>
    <x v="1"/>
    <x v="4"/>
    <n v="1"/>
    <d v="2026-02-12T00:00:00"/>
    <d v="2026-02-14T00:00:00"/>
    <n v="37.19"/>
    <n v="15.85"/>
    <n v="15.85"/>
    <n v="0"/>
    <s v="Paid"/>
    <s v=""/>
    <d v="2026-03-19T00:00:00"/>
    <d v="2026-03-19T00:00:00"/>
    <n v="38"/>
    <n v="0.43"/>
    <n v="16.34"/>
    <n v="0.49000000000000021"/>
    <x v="0"/>
    <x v="6"/>
    <x v="0"/>
  </r>
  <r>
    <s v="CLM104228"/>
    <s v="PT10899"/>
    <s v="P08"/>
    <x v="1"/>
    <x v="11"/>
    <n v="1"/>
    <d v="2026-04-13T00:00:00"/>
    <d v="2026-04-15T00:00:00"/>
    <n v="1124.97"/>
    <m/>
    <m/>
    <m/>
    <s v="Denied"/>
    <s v="CO-197"/>
    <d v="2026-07-27T00:00:00"/>
    <m/>
    <n v="1150"/>
    <n v="1"/>
    <n v="1150"/>
    <s v=""/>
    <x v="2"/>
    <x v="7"/>
    <x v="10"/>
  </r>
  <r>
    <s v="CLM104229"/>
    <s v="PT13475"/>
    <s v="P01"/>
    <x v="1"/>
    <x v="11"/>
    <n v="1"/>
    <d v="2026-02-22T00:00:00"/>
    <d v="2026-02-27T00:00:00"/>
    <n v="1132.6400000000001"/>
    <n v="569.14"/>
    <n v="569.14"/>
    <n v="0"/>
    <s v="Paid"/>
    <s v=""/>
    <d v="2026-04-08T00:00:00"/>
    <d v="2026-04-08T00:00:00"/>
    <n v="1150"/>
    <n v="0.45"/>
    <n v="517.5"/>
    <n v="-51.639999999999986"/>
    <x v="0"/>
    <x v="5"/>
    <x v="0"/>
  </r>
  <r>
    <s v="CLM104230"/>
    <s v="PT12551"/>
    <s v="P05"/>
    <x v="0"/>
    <x v="7"/>
    <n v="1"/>
    <d v="2026-06-02T00:00:00"/>
    <d v="2026-06-03T00:00:00"/>
    <n v="215.87"/>
    <n v="80.709999999999994"/>
    <n v="64.569999999999993"/>
    <n v="16.14"/>
    <s v="Paid"/>
    <s v=""/>
    <d v="2026-07-23T00:00:00"/>
    <d v="2026-07-23T00:00:00"/>
    <n v="210"/>
    <n v="0.38"/>
    <n v="79.8"/>
    <n v="-0.90999999999999659"/>
    <x v="0"/>
    <x v="0"/>
    <x v="11"/>
  </r>
  <r>
    <s v="CLM104231"/>
    <s v="PT10260"/>
    <s v="P04"/>
    <x v="2"/>
    <x v="9"/>
    <n v="2"/>
    <d v="2026-06-23T00:00:00"/>
    <d v="2026-06-25T00:00:00"/>
    <n v="117.36"/>
    <n v="45.93"/>
    <n v="45.93"/>
    <n v="0"/>
    <s v="Paid"/>
    <s v=""/>
    <d v="2026-07-06T00:00:00"/>
    <d v="2026-07-06T00:00:00"/>
    <n v="58"/>
    <n v="0.36"/>
    <n v="41.76"/>
    <n v="-4.1700000000000017"/>
    <x v="0"/>
    <x v="1"/>
    <x v="11"/>
  </r>
  <r>
    <s v="CLM104232"/>
    <s v="PT10778"/>
    <s v="P06"/>
    <x v="1"/>
    <x v="8"/>
    <n v="1"/>
    <d v="2026-09-19T00:00:00"/>
    <d v="2026-09-21T00:00:00"/>
    <n v="258.98"/>
    <m/>
    <m/>
    <m/>
    <s v="Pending"/>
    <s v=""/>
    <m/>
    <m/>
    <n v="260"/>
    <n v="0.27"/>
    <n v="70.2"/>
    <s v=""/>
    <x v="2"/>
    <x v="2"/>
    <x v="8"/>
  </r>
  <r>
    <s v="CLM104233"/>
    <s v="PT10195"/>
    <s v="P03"/>
    <x v="1"/>
    <x v="10"/>
    <n v="1"/>
    <d v="2025-10-21T00:00:00"/>
    <d v="2025-10-31T00:00:00"/>
    <n v="1046.4000000000001"/>
    <n v="461"/>
    <n v="414.9"/>
    <n v="46.1"/>
    <s v="Paid"/>
    <s v=""/>
    <d v="2025-11-24T00:00:00"/>
    <d v="2025-11-24T00:00:00"/>
    <n v="1050"/>
    <n v="0.47"/>
    <n v="493.5"/>
    <n v="32.5"/>
    <x v="1"/>
    <x v="4"/>
    <x v="9"/>
  </r>
  <r>
    <s v="CLM104234"/>
    <s v="PT12999"/>
    <s v="P04"/>
    <x v="3"/>
    <x v="6"/>
    <n v="1"/>
    <d v="2025-12-05T00:00:00"/>
    <d v="2025-12-06T00:00:00"/>
    <n v="408.55"/>
    <n v="160.27000000000001"/>
    <n v="160.27000000000001"/>
    <n v="0"/>
    <s v="Paid"/>
    <s v=""/>
    <d v="2025-12-14T00:00:00"/>
    <d v="2025-12-14T00:00:00"/>
    <n v="420"/>
    <n v="0.36"/>
    <n v="151.19999999999999"/>
    <n v="-9.0700000000000216"/>
    <x v="0"/>
    <x v="1"/>
    <x v="6"/>
  </r>
  <r>
    <s v="CLM104235"/>
    <s v="PT10566"/>
    <s v="P08"/>
    <x v="1"/>
    <x v="7"/>
    <n v="1"/>
    <d v="2026-04-08T00:00:00"/>
    <d v="2026-04-14T00:00:00"/>
    <n v="215.44"/>
    <n v="215.44"/>
    <n v="215.44"/>
    <n v="0"/>
    <s v="Paid"/>
    <s v=""/>
    <d v="2026-07-02T00:00:00"/>
    <d v="2026-07-02T00:00:00"/>
    <n v="210"/>
    <n v="1"/>
    <n v="210"/>
    <n v="-5.4399999999999977"/>
    <x v="0"/>
    <x v="7"/>
    <x v="10"/>
  </r>
  <r>
    <s v="CLM104236"/>
    <s v="PT11259"/>
    <s v="P01"/>
    <x v="1"/>
    <x v="1"/>
    <n v="1"/>
    <d v="2026-03-05T00:00:00"/>
    <d v="2026-03-06T00:00:00"/>
    <n v="236.15"/>
    <n v="121.14"/>
    <n v="96.91"/>
    <n v="24.23"/>
    <s v="Paid"/>
    <s v=""/>
    <d v="2026-03-26T00:00:00"/>
    <d v="2026-03-26T00:00:00"/>
    <n v="240"/>
    <n v="0.45"/>
    <n v="108"/>
    <n v="-13.14"/>
    <x v="0"/>
    <x v="5"/>
    <x v="2"/>
  </r>
  <r>
    <s v="CLM104237"/>
    <s v="PT10278"/>
    <s v="P04"/>
    <x v="3"/>
    <x v="6"/>
    <n v="1"/>
    <d v="2025-10-21T00:00:00"/>
    <d v="2025-10-22T00:00:00"/>
    <n v="419.69"/>
    <n v="165.52"/>
    <n v="148.97"/>
    <n v="16.55"/>
    <s v="Paid"/>
    <s v=""/>
    <d v="2025-11-11T00:00:00"/>
    <d v="2025-11-11T00:00:00"/>
    <n v="420"/>
    <n v="0.36"/>
    <n v="151.19999999999999"/>
    <n v="-14.320000000000022"/>
    <x v="0"/>
    <x v="1"/>
    <x v="9"/>
  </r>
  <r>
    <s v="CLM104238"/>
    <s v="PT10042"/>
    <s v="P02"/>
    <x v="3"/>
    <x v="3"/>
    <n v="30"/>
    <d v="2026-07-07T00:00:00"/>
    <d v="2026-07-11T00:00:00"/>
    <n v="42530.080000000002"/>
    <n v="18151.740000000002"/>
    <n v="14521.39"/>
    <n v="3630.35"/>
    <s v="Paid"/>
    <s v=""/>
    <d v="2026-08-07T00:00:00"/>
    <d v="2026-08-07T00:00:00"/>
    <n v="1450"/>
    <n v="0.43"/>
    <n v="18705"/>
    <n v="553.2599999999984"/>
    <x v="0"/>
    <x v="6"/>
    <x v="1"/>
  </r>
  <r>
    <s v="CLM104239"/>
    <s v="PT12913"/>
    <s v="P01"/>
    <x v="1"/>
    <x v="11"/>
    <n v="1"/>
    <d v="2026-04-25T00:00:00"/>
    <d v="2026-05-01T00:00:00"/>
    <n v="1175.54"/>
    <n v="577.87"/>
    <n v="520.08000000000004"/>
    <n v="57.79"/>
    <s v="Paid"/>
    <s v=""/>
    <d v="2026-06-05T00:00:00"/>
    <d v="2026-06-05T00:00:00"/>
    <n v="1150"/>
    <n v="0.45"/>
    <n v="517.5"/>
    <n v="-60.370000000000005"/>
    <x v="0"/>
    <x v="5"/>
    <x v="10"/>
  </r>
  <r>
    <s v="CLM104240"/>
    <s v="PT12568"/>
    <s v="P03"/>
    <x v="0"/>
    <x v="7"/>
    <n v="1"/>
    <d v="2026-02-21T00:00:00"/>
    <d v="2026-02-25T00:00:00"/>
    <n v="209.52"/>
    <n v="84.39"/>
    <n v="67.510000000000005"/>
    <n v="16.88"/>
    <s v="Paid"/>
    <s v=""/>
    <d v="2026-04-04T00:00:00"/>
    <d v="2026-04-04T00:00:00"/>
    <n v="210"/>
    <n v="0.47"/>
    <n v="98.7"/>
    <n v="14.310000000000002"/>
    <x v="1"/>
    <x v="4"/>
    <x v="0"/>
  </r>
  <r>
    <s v="CLM104241"/>
    <s v="PT11066"/>
    <s v="P06"/>
    <x v="1"/>
    <x v="5"/>
    <n v="1"/>
    <d v="2026-06-28T00:00:00"/>
    <d v="2026-06-30T00:00:00"/>
    <n v="4730.3500000000004"/>
    <m/>
    <m/>
    <m/>
    <s v="Denied"/>
    <s v="CO-197"/>
    <d v="2026-07-30T00:00:00"/>
    <m/>
    <n v="4800"/>
    <n v="0.27"/>
    <n v="1296"/>
    <s v=""/>
    <x v="2"/>
    <x v="2"/>
    <x v="11"/>
  </r>
  <r>
    <s v="CLM104242"/>
    <s v="PT13218"/>
    <s v="P02"/>
    <x v="0"/>
    <x v="7"/>
    <n v="1"/>
    <d v="2026-01-27T00:00:00"/>
    <d v="2026-02-03T00:00:00"/>
    <n v="209.26"/>
    <n v="87.45"/>
    <n v="69.959999999999994"/>
    <n v="17.489999999999998"/>
    <s v="Paid"/>
    <s v=""/>
    <d v="2026-03-14T00:00:00"/>
    <d v="2026-03-14T00:00:00"/>
    <n v="210"/>
    <n v="0.43"/>
    <n v="90.3"/>
    <n v="2.8499999999999943"/>
    <x v="0"/>
    <x v="6"/>
    <x v="5"/>
  </r>
  <r>
    <s v="CLM104243"/>
    <s v="PT11211"/>
    <s v="P01"/>
    <x v="2"/>
    <x v="9"/>
    <n v="3"/>
    <d v="2026-07-03T00:00:00"/>
    <d v="2026-07-04T00:00:00"/>
    <n v="169.57"/>
    <n v="74.89"/>
    <n v="74.89"/>
    <n v="0"/>
    <s v="Paid"/>
    <s v=""/>
    <d v="2026-08-03T00:00:00"/>
    <d v="2026-08-03T00:00:00"/>
    <n v="58"/>
    <n v="0.45"/>
    <n v="78.3"/>
    <n v="3.4099999999999966"/>
    <x v="0"/>
    <x v="5"/>
    <x v="1"/>
  </r>
  <r>
    <s v="CLM104244"/>
    <s v="PT10419"/>
    <s v="P02"/>
    <x v="2"/>
    <x v="9"/>
    <n v="2"/>
    <d v="2026-05-02T00:00:00"/>
    <d v="2026-05-08T00:00:00"/>
    <n v="119.29"/>
    <m/>
    <m/>
    <m/>
    <s v="Denied"/>
    <s v="CO-18"/>
    <d v="2026-06-09T00:00:00"/>
    <m/>
    <n v="58"/>
    <n v="0.43"/>
    <n v="49.88"/>
    <s v=""/>
    <x v="2"/>
    <x v="6"/>
    <x v="7"/>
  </r>
  <r>
    <s v="CLM104245"/>
    <s v="PT11407"/>
    <s v="P01"/>
    <x v="2"/>
    <x v="0"/>
    <n v="1"/>
    <d v="2026-05-01T00:00:00"/>
    <d v="2026-05-09T00:00:00"/>
    <n v="144.96"/>
    <n v="61.89"/>
    <n v="55.7"/>
    <n v="6.19"/>
    <s v="Paid"/>
    <s v=""/>
    <d v="2026-06-17T00:00:00"/>
    <d v="2026-06-17T00:00:00"/>
    <n v="145"/>
    <n v="0.45"/>
    <n v="65.25"/>
    <n v="3.3599999999999994"/>
    <x v="1"/>
    <x v="5"/>
    <x v="7"/>
  </r>
  <r>
    <s v="CLM104246"/>
    <s v="PT12584"/>
    <s v="P03"/>
    <x v="3"/>
    <x v="7"/>
    <n v="1"/>
    <d v="2025-10-16T00:00:00"/>
    <d v="2025-10-20T00:00:00"/>
    <n v="212.82"/>
    <n v="99.81"/>
    <n v="89.83"/>
    <n v="9.98"/>
    <s v="Paid"/>
    <s v=""/>
    <d v="2025-11-29T00:00:00"/>
    <d v="2025-11-29T00:00:00"/>
    <n v="210"/>
    <n v="0.47"/>
    <n v="98.7"/>
    <n v="-1.1099999999999994"/>
    <x v="0"/>
    <x v="4"/>
    <x v="9"/>
  </r>
  <r>
    <s v="CLM104247"/>
    <s v="PT11073"/>
    <s v="P08"/>
    <x v="0"/>
    <x v="8"/>
    <n v="1"/>
    <d v="2025-10-14T00:00:00"/>
    <d v="2025-10-15T00:00:00"/>
    <n v="267.66000000000003"/>
    <n v="267.66000000000003"/>
    <n v="267.66000000000003"/>
    <n v="0"/>
    <s v="Paid"/>
    <s v=""/>
    <d v="2025-12-31T00:00:00"/>
    <d v="2025-12-31T00:00:00"/>
    <n v="260"/>
    <n v="1"/>
    <n v="260"/>
    <n v="-7.660000000000025"/>
    <x v="0"/>
    <x v="7"/>
    <x v="9"/>
  </r>
  <r>
    <s v="CLM104248"/>
    <s v="PT10214"/>
    <s v="P01"/>
    <x v="1"/>
    <x v="10"/>
    <n v="1"/>
    <d v="2026-03-29T00:00:00"/>
    <d v="2026-03-30T00:00:00"/>
    <n v="1055.53"/>
    <m/>
    <m/>
    <m/>
    <s v="Denied"/>
    <s v="CO-16"/>
    <d v="2026-04-22T00:00:00"/>
    <m/>
    <n v="1050"/>
    <n v="0.45"/>
    <n v="472.5"/>
    <s v=""/>
    <x v="2"/>
    <x v="5"/>
    <x v="2"/>
  </r>
  <r>
    <s v="CLM104249"/>
    <s v="PT13110"/>
    <s v="P02"/>
    <x v="1"/>
    <x v="10"/>
    <n v="1"/>
    <d v="2026-06-30T00:00:00"/>
    <d v="2026-07-02T00:00:00"/>
    <n v="1040.8800000000001"/>
    <n v="431.62"/>
    <n v="431.62"/>
    <n v="0"/>
    <s v="Paid"/>
    <s v=""/>
    <d v="2026-08-04T00:00:00"/>
    <d v="2026-08-04T00:00:00"/>
    <n v="1050"/>
    <n v="0.43"/>
    <n v="451.5"/>
    <n v="19.879999999999995"/>
    <x v="0"/>
    <x v="6"/>
    <x v="11"/>
  </r>
  <r>
    <s v="CLM104250"/>
    <s v="PT10171"/>
    <s v="P01"/>
    <x v="2"/>
    <x v="9"/>
    <n v="1"/>
    <d v="2026-03-07T00:00:00"/>
    <d v="2026-03-08T00:00:00"/>
    <n v="58.02"/>
    <n v="22.46"/>
    <n v="17.97"/>
    <n v="4.49"/>
    <s v="Paid"/>
    <s v=""/>
    <d v="2026-04-12T00:00:00"/>
    <d v="2026-04-12T00:00:00"/>
    <n v="58"/>
    <n v="0.45"/>
    <n v="26.1"/>
    <n v="3.6400000000000006"/>
    <x v="1"/>
    <x v="5"/>
    <x v="2"/>
  </r>
  <r>
    <s v="CLM104251"/>
    <s v="PT10192"/>
    <s v="P02"/>
    <x v="0"/>
    <x v="4"/>
    <n v="1"/>
    <d v="2025-11-01T00:00:00"/>
    <d v="2025-11-10T00:00:00"/>
    <n v="39.04"/>
    <m/>
    <m/>
    <m/>
    <s v="Denied"/>
    <s v="CO-16"/>
    <d v="2025-12-16T00:00:00"/>
    <m/>
    <n v="38"/>
    <n v="0.43"/>
    <n v="16.34"/>
    <s v=""/>
    <x v="2"/>
    <x v="6"/>
    <x v="3"/>
  </r>
  <r>
    <s v="CLM104252"/>
    <s v="PT13232"/>
    <s v="P03"/>
    <x v="0"/>
    <x v="7"/>
    <n v="1"/>
    <d v="2026-04-10T00:00:00"/>
    <d v="2026-04-14T00:00:00"/>
    <n v="204.12"/>
    <n v="110.68"/>
    <n v="110.68"/>
    <n v="0"/>
    <s v="Paid"/>
    <s v=""/>
    <d v="2026-05-27T00:00:00"/>
    <d v="2026-05-27T00:00:00"/>
    <n v="210"/>
    <n v="0.47"/>
    <n v="98.7"/>
    <n v="-11.980000000000004"/>
    <x v="0"/>
    <x v="4"/>
    <x v="10"/>
  </r>
  <r>
    <s v="CLM104253"/>
    <s v="PT12756"/>
    <s v="P05"/>
    <x v="1"/>
    <x v="11"/>
    <n v="1"/>
    <d v="2026-05-05T00:00:00"/>
    <d v="2026-05-06T00:00:00"/>
    <n v="1165.75"/>
    <n v="430.4"/>
    <n v="430.4"/>
    <n v="0"/>
    <s v="Paid"/>
    <s v=""/>
    <d v="2026-06-12T00:00:00"/>
    <d v="2026-06-12T00:00:00"/>
    <n v="1150"/>
    <n v="0.38"/>
    <n v="437"/>
    <n v="6.6000000000000227"/>
    <x v="0"/>
    <x v="0"/>
    <x v="7"/>
  </r>
  <r>
    <s v="CLM104254"/>
    <s v="PT13042"/>
    <s v="P07"/>
    <x v="3"/>
    <x v="6"/>
    <n v="1"/>
    <d v="2026-06-24T00:00:00"/>
    <d v="2026-06-29T00:00:00"/>
    <n v="413.79"/>
    <m/>
    <m/>
    <m/>
    <s v="Denied"/>
    <s v="CO-50"/>
    <d v="2026-08-28T00:00:00"/>
    <m/>
    <n v="420"/>
    <n v="0.28000000000000003"/>
    <n v="117.6"/>
    <s v=""/>
    <x v="2"/>
    <x v="3"/>
    <x v="11"/>
  </r>
  <r>
    <s v="CLM104255"/>
    <s v="PT10763"/>
    <s v="P02"/>
    <x v="1"/>
    <x v="1"/>
    <n v="1"/>
    <d v="2026-04-25T00:00:00"/>
    <d v="2026-04-27T00:00:00"/>
    <n v="243.55"/>
    <n v="101.26"/>
    <n v="101.26"/>
    <n v="0"/>
    <s v="Paid"/>
    <s v=""/>
    <d v="2026-06-02T00:00:00"/>
    <d v="2026-06-02T00:00:00"/>
    <n v="240"/>
    <n v="0.43"/>
    <n v="103.2"/>
    <n v="1.9399999999999977"/>
    <x v="0"/>
    <x v="6"/>
    <x v="10"/>
  </r>
  <r>
    <s v="CLM104256"/>
    <s v="PT12142"/>
    <s v="P01"/>
    <x v="1"/>
    <x v="11"/>
    <n v="1"/>
    <d v="2026-05-27T00:00:00"/>
    <d v="2026-05-31T00:00:00"/>
    <n v="1137.24"/>
    <n v="558.36"/>
    <n v="502.52"/>
    <n v="55.84"/>
    <s v="Paid"/>
    <s v=""/>
    <d v="2026-07-04T00:00:00"/>
    <d v="2026-07-04T00:00:00"/>
    <n v="1150"/>
    <n v="0.45"/>
    <n v="517.5"/>
    <n v="-40.860000000000014"/>
    <x v="0"/>
    <x v="5"/>
    <x v="7"/>
  </r>
  <r>
    <s v="CLM104257"/>
    <s v="PT13386"/>
    <s v="P01"/>
    <x v="0"/>
    <x v="7"/>
    <n v="1"/>
    <d v="2026-02-16T00:00:00"/>
    <d v="2026-02-17T00:00:00"/>
    <n v="212.25"/>
    <n v="85.99"/>
    <n v="68.790000000000006"/>
    <n v="17.2"/>
    <s v="Paid"/>
    <s v=""/>
    <d v="2026-03-11T00:00:00"/>
    <d v="2026-03-11T00:00:00"/>
    <n v="210"/>
    <n v="0.45"/>
    <n v="94.5"/>
    <n v="8.5100000000000051"/>
    <x v="1"/>
    <x v="5"/>
    <x v="0"/>
  </r>
  <r>
    <s v="CLM104258"/>
    <s v="PT11361"/>
    <s v="P01"/>
    <x v="1"/>
    <x v="11"/>
    <n v="1"/>
    <d v="2026-09-16T00:00:00"/>
    <d v="2026-09-19T00:00:00"/>
    <n v="1118.6199999999999"/>
    <m/>
    <m/>
    <m/>
    <s v="Pending"/>
    <s v=""/>
    <m/>
    <m/>
    <n v="1150"/>
    <n v="0.45"/>
    <n v="517.5"/>
    <s v=""/>
    <x v="2"/>
    <x v="5"/>
    <x v="8"/>
  </r>
  <r>
    <s v="CLM104259"/>
    <s v="PT12830"/>
    <s v="P01"/>
    <x v="2"/>
    <x v="0"/>
    <n v="1"/>
    <d v="2026-04-23T00:00:00"/>
    <d v="2026-04-25T00:00:00"/>
    <n v="144.88"/>
    <n v="56.72"/>
    <n v="45.38"/>
    <n v="11.34"/>
    <s v="Paid"/>
    <s v=""/>
    <d v="2026-05-09T00:00:00"/>
    <d v="2026-05-09T00:00:00"/>
    <n v="145"/>
    <n v="0.45"/>
    <n v="65.25"/>
    <n v="8.5300000000000011"/>
    <x v="1"/>
    <x v="5"/>
    <x v="10"/>
  </r>
  <r>
    <s v="CLM104260"/>
    <s v="PT10135"/>
    <s v="P07"/>
    <x v="3"/>
    <x v="7"/>
    <n v="1"/>
    <d v="2026-05-19T00:00:00"/>
    <d v="2026-05-29T00:00:00"/>
    <n v="215.74"/>
    <n v="60.49"/>
    <n v="60.49"/>
    <n v="0"/>
    <s v="Paid"/>
    <s v=""/>
    <d v="2026-08-02T00:00:00"/>
    <d v="2026-08-02T00:00:00"/>
    <n v="210"/>
    <n v="0.28000000000000003"/>
    <n v="58.8"/>
    <n v="-1.6900000000000048"/>
    <x v="0"/>
    <x v="3"/>
    <x v="7"/>
  </r>
  <r>
    <s v="CLM104261"/>
    <s v="PT10861"/>
    <s v="P05"/>
    <x v="3"/>
    <x v="3"/>
    <n v="10"/>
    <d v="2026-07-25T00:00:00"/>
    <d v="2026-07-29T00:00:00"/>
    <n v="14887.13"/>
    <n v="6518.2"/>
    <n v="6518.2"/>
    <n v="0"/>
    <s v="Paid"/>
    <s v=""/>
    <d v="2026-09-22T00:00:00"/>
    <d v="2026-09-22T00:00:00"/>
    <n v="1450"/>
    <n v="0.38"/>
    <n v="5510"/>
    <n v="-1008.1999999999998"/>
    <x v="0"/>
    <x v="0"/>
    <x v="1"/>
  </r>
  <r>
    <s v="CLM104262"/>
    <s v="PT12248"/>
    <s v="P01"/>
    <x v="0"/>
    <x v="8"/>
    <n v="1"/>
    <d v="2026-02-24T00:00:00"/>
    <d v="2026-03-03T00:00:00"/>
    <n v="264.61"/>
    <n v="109.52"/>
    <n v="87.62"/>
    <n v="21.9"/>
    <s v="Paid"/>
    <s v=""/>
    <d v="2026-04-02T00:00:00"/>
    <d v="2026-04-02T00:00:00"/>
    <n v="260"/>
    <n v="0.45"/>
    <n v="117"/>
    <n v="7.480000000000004"/>
    <x v="1"/>
    <x v="5"/>
    <x v="0"/>
  </r>
  <r>
    <s v="CLM104263"/>
    <s v="PT11330"/>
    <s v="P02"/>
    <x v="1"/>
    <x v="8"/>
    <n v="1"/>
    <d v="2025-11-26T00:00:00"/>
    <d v="2025-12-01T00:00:00"/>
    <n v="266.64999999999998"/>
    <n v="110.31"/>
    <n v="99.28"/>
    <n v="11.03"/>
    <s v="Paid"/>
    <s v=""/>
    <d v="2026-01-09T00:00:00"/>
    <d v="2026-01-09T00:00:00"/>
    <n v="260"/>
    <n v="0.43"/>
    <n v="111.8"/>
    <n v="1.4899999999999949"/>
    <x v="0"/>
    <x v="6"/>
    <x v="3"/>
  </r>
  <r>
    <s v="CLM104264"/>
    <s v="PT10317"/>
    <s v="P03"/>
    <x v="0"/>
    <x v="7"/>
    <n v="1"/>
    <d v="2026-02-04T00:00:00"/>
    <d v="2026-02-08T00:00:00"/>
    <n v="206.17"/>
    <n v="86.27"/>
    <n v="69.02"/>
    <n v="17.25"/>
    <s v="Paid"/>
    <s v=""/>
    <d v="2026-04-02T00:00:00"/>
    <d v="2026-04-02T00:00:00"/>
    <n v="210"/>
    <n v="0.47"/>
    <n v="98.7"/>
    <n v="12.430000000000007"/>
    <x v="1"/>
    <x v="4"/>
    <x v="0"/>
  </r>
  <r>
    <s v="CLM104265"/>
    <s v="PT11750"/>
    <s v="P06"/>
    <x v="3"/>
    <x v="7"/>
    <n v="1"/>
    <d v="2025-10-18T00:00:00"/>
    <d v="2025-10-23T00:00:00"/>
    <n v="207.63"/>
    <m/>
    <m/>
    <m/>
    <s v="Denied"/>
    <s v="CO-16"/>
    <d v="2025-11-25T00:00:00"/>
    <m/>
    <n v="210"/>
    <n v="0.27"/>
    <n v="56.7"/>
    <s v=""/>
    <x v="2"/>
    <x v="2"/>
    <x v="9"/>
  </r>
  <r>
    <s v="CLM104266"/>
    <s v="PT11877"/>
    <s v="P02"/>
    <x v="3"/>
    <x v="6"/>
    <n v="1"/>
    <d v="2025-11-12T00:00:00"/>
    <d v="2025-11-13T00:00:00"/>
    <n v="422.19"/>
    <n v="163.55000000000001"/>
    <n v="130.84"/>
    <n v="32.71"/>
    <s v="Paid"/>
    <s v=""/>
    <d v="2025-12-12T00:00:00"/>
    <d v="2025-12-12T00:00:00"/>
    <n v="420"/>
    <n v="0.43"/>
    <n v="180.6"/>
    <n v="17.049999999999983"/>
    <x v="1"/>
    <x v="6"/>
    <x v="3"/>
  </r>
  <r>
    <s v="CLM104267"/>
    <s v="PT11626"/>
    <s v="P02"/>
    <x v="2"/>
    <x v="2"/>
    <n v="1"/>
    <d v="2026-01-14T00:00:00"/>
    <d v="2026-01-22T00:00:00"/>
    <n v="61.68"/>
    <n v="28.97"/>
    <n v="26.07"/>
    <n v="2.9"/>
    <s v="Paid"/>
    <s v=""/>
    <d v="2026-02-23T00:00:00"/>
    <d v="2026-02-23T00:00:00"/>
    <n v="62"/>
    <n v="0.43"/>
    <n v="26.66"/>
    <n v="-2.3099999999999987"/>
    <x v="0"/>
    <x v="6"/>
    <x v="5"/>
  </r>
  <r>
    <s v="CLM104268"/>
    <s v="PT11657"/>
    <s v="P01"/>
    <x v="3"/>
    <x v="6"/>
    <n v="1"/>
    <d v="2026-04-22T00:00:00"/>
    <d v="2026-04-26T00:00:00"/>
    <n v="407.64"/>
    <n v="175.29"/>
    <n v="175.29"/>
    <n v="0"/>
    <s v="Paid"/>
    <s v=""/>
    <d v="2026-06-02T00:00:00"/>
    <d v="2026-06-02T00:00:00"/>
    <n v="420"/>
    <n v="0.45"/>
    <n v="189"/>
    <n v="13.710000000000008"/>
    <x v="1"/>
    <x v="5"/>
    <x v="10"/>
  </r>
  <r>
    <s v="CLM104269"/>
    <s v="PT10315"/>
    <s v="P05"/>
    <x v="1"/>
    <x v="10"/>
    <n v="1"/>
    <d v="2025-12-30T00:00:00"/>
    <d v="2026-01-04T00:00:00"/>
    <n v="1072.77"/>
    <n v="355.6"/>
    <n v="355.6"/>
    <n v="0"/>
    <s v="Paid"/>
    <s v=""/>
    <d v="2026-03-07T00:00:00"/>
    <d v="2026-03-07T00:00:00"/>
    <n v="1050"/>
    <n v="0.38"/>
    <n v="399"/>
    <n v="43.399999999999977"/>
    <x v="1"/>
    <x v="0"/>
    <x v="6"/>
  </r>
  <r>
    <s v="CLM104270"/>
    <s v="PT13124"/>
    <s v="P02"/>
    <x v="2"/>
    <x v="0"/>
    <n v="1"/>
    <d v="2026-01-01T00:00:00"/>
    <d v="2026-01-06T00:00:00"/>
    <n v="143.66999999999999"/>
    <n v="70.349999999999994"/>
    <n v="70.349999999999994"/>
    <n v="0"/>
    <s v="Paid"/>
    <s v=""/>
    <d v="2026-02-18T00:00:00"/>
    <d v="2026-02-18T00:00:00"/>
    <n v="145"/>
    <n v="0.43"/>
    <n v="62.35"/>
    <n v="-7.9999999999999929"/>
    <x v="0"/>
    <x v="6"/>
    <x v="5"/>
  </r>
  <r>
    <s v="CLM104271"/>
    <s v="PT11598"/>
    <s v="P04"/>
    <x v="1"/>
    <x v="5"/>
    <n v="1"/>
    <d v="2026-03-28T00:00:00"/>
    <d v="2026-03-30T00:00:00"/>
    <n v="4727.07"/>
    <n v="1611.93"/>
    <n v="1289.54"/>
    <n v="322.39"/>
    <s v="Paid"/>
    <s v=""/>
    <d v="2026-04-20T00:00:00"/>
    <d v="2026-04-20T00:00:00"/>
    <n v="4800"/>
    <n v="0.36"/>
    <n v="1728"/>
    <n v="116.06999999999994"/>
    <x v="1"/>
    <x v="1"/>
    <x v="2"/>
  </r>
  <r>
    <s v="CLM104272"/>
    <s v="PT11785"/>
    <s v="P02"/>
    <x v="1"/>
    <x v="10"/>
    <n v="1"/>
    <d v="2026-06-06T00:00:00"/>
    <d v="2026-06-11T00:00:00"/>
    <n v="1028.69"/>
    <n v="498.47"/>
    <n v="498.47"/>
    <n v="0"/>
    <s v="Paid"/>
    <s v=""/>
    <d v="2026-07-24T00:00:00"/>
    <d v="2026-07-24T00:00:00"/>
    <n v="1050"/>
    <n v="0.43"/>
    <n v="451.5"/>
    <n v="-46.970000000000027"/>
    <x v="0"/>
    <x v="6"/>
    <x v="11"/>
  </r>
  <r>
    <s v="CLM104273"/>
    <s v="PT10796"/>
    <s v="P04"/>
    <x v="0"/>
    <x v="4"/>
    <n v="1"/>
    <d v="2026-01-19T00:00:00"/>
    <d v="2026-01-24T00:00:00"/>
    <n v="37.4"/>
    <m/>
    <m/>
    <m/>
    <s v="Denied"/>
    <s v="CO-16"/>
    <d v="2026-02-01T00:00:00"/>
    <m/>
    <n v="38"/>
    <n v="0.36"/>
    <n v="13.68"/>
    <s v=""/>
    <x v="2"/>
    <x v="1"/>
    <x v="5"/>
  </r>
  <r>
    <s v="CLM104274"/>
    <s v="PT12411"/>
    <s v="P04"/>
    <x v="1"/>
    <x v="5"/>
    <n v="1"/>
    <d v="2026-01-02T00:00:00"/>
    <d v="2026-01-05T00:00:00"/>
    <n v="4901.3500000000004"/>
    <n v="1843.78"/>
    <n v="1475.02"/>
    <n v="368.76"/>
    <s v="Paid"/>
    <s v=""/>
    <d v="2026-02-04T00:00:00"/>
    <d v="2026-02-04T00:00:00"/>
    <n v="4800"/>
    <n v="0.36"/>
    <n v="1728"/>
    <n v="-115.77999999999997"/>
    <x v="0"/>
    <x v="1"/>
    <x v="5"/>
  </r>
  <r>
    <s v="CLM104275"/>
    <s v="PT12834"/>
    <s v="P02"/>
    <x v="0"/>
    <x v="8"/>
    <n v="1"/>
    <d v="2025-10-13T00:00:00"/>
    <d v="2025-10-20T00:00:00"/>
    <n v="252.97"/>
    <n v="103.59"/>
    <n v="103.59"/>
    <n v="0"/>
    <s v="Paid"/>
    <s v=""/>
    <d v="2025-11-24T00:00:00"/>
    <d v="2025-11-24T00:00:00"/>
    <n v="260"/>
    <n v="0.43"/>
    <n v="111.8"/>
    <n v="8.2099999999999937"/>
    <x v="1"/>
    <x v="6"/>
    <x v="9"/>
  </r>
  <r>
    <s v="CLM104276"/>
    <s v="PT10884"/>
    <s v="P02"/>
    <x v="0"/>
    <x v="0"/>
    <n v="1"/>
    <d v="2025-10-03T00:00:00"/>
    <d v="2025-10-07T00:00:00"/>
    <n v="146.03"/>
    <n v="57.03"/>
    <n v="57.03"/>
    <n v="0"/>
    <s v="Paid"/>
    <s v=""/>
    <d v="2025-11-10T00:00:00"/>
    <d v="2025-11-10T00:00:00"/>
    <n v="145"/>
    <n v="0.43"/>
    <n v="62.35"/>
    <n v="5.32"/>
    <x v="1"/>
    <x v="6"/>
    <x v="9"/>
  </r>
  <r>
    <s v="CLM104277"/>
    <s v="PT12061"/>
    <s v="P03"/>
    <x v="2"/>
    <x v="9"/>
    <n v="2"/>
    <d v="2025-12-30T00:00:00"/>
    <d v="2026-01-01T00:00:00"/>
    <n v="118.28"/>
    <m/>
    <m/>
    <m/>
    <s v="Denied"/>
    <s v="CO-27"/>
    <d v="2026-02-04T00:00:00"/>
    <m/>
    <n v="58"/>
    <n v="0.47"/>
    <n v="54.52"/>
    <s v=""/>
    <x v="2"/>
    <x v="4"/>
    <x v="6"/>
  </r>
  <r>
    <s v="CLM104278"/>
    <s v="PT10578"/>
    <s v="P02"/>
    <x v="2"/>
    <x v="9"/>
    <n v="2"/>
    <d v="2026-06-13T00:00:00"/>
    <d v="2026-06-14T00:00:00"/>
    <n v="117.68"/>
    <n v="46.34"/>
    <n v="46.34"/>
    <n v="0"/>
    <s v="Paid"/>
    <s v=""/>
    <d v="2026-07-06T00:00:00"/>
    <d v="2026-07-06T00:00:00"/>
    <n v="58"/>
    <n v="0.43"/>
    <n v="49.88"/>
    <n v="3.5399999999999991"/>
    <x v="1"/>
    <x v="6"/>
    <x v="11"/>
  </r>
  <r>
    <s v="CLM104279"/>
    <s v="PT10308"/>
    <s v="P05"/>
    <x v="3"/>
    <x v="3"/>
    <n v="5"/>
    <d v="2025-12-29T00:00:00"/>
    <d v="2026-01-02T00:00:00"/>
    <n v="7372.66"/>
    <n v="2822.1"/>
    <n v="2257.6799999999998"/>
    <n v="564.41999999999996"/>
    <s v="Paid"/>
    <s v=""/>
    <d v="2026-03-07T00:00:00"/>
    <d v="2026-03-07T00:00:00"/>
    <n v="1450"/>
    <n v="0.38"/>
    <n v="2755"/>
    <n v="-67.099999999999909"/>
    <x v="0"/>
    <x v="0"/>
    <x v="6"/>
  </r>
  <r>
    <s v="CLM104280"/>
    <s v="PT10600"/>
    <s v="P04"/>
    <x v="3"/>
    <x v="3"/>
    <n v="5"/>
    <d v="2026-06-17T00:00:00"/>
    <d v="2026-06-21T00:00:00"/>
    <n v="7293.41"/>
    <m/>
    <m/>
    <m/>
    <s v="Denied"/>
    <s v="CO-197"/>
    <d v="2026-07-06T00:00:00"/>
    <m/>
    <n v="1450"/>
    <n v="0.36"/>
    <n v="2610"/>
    <s v=""/>
    <x v="2"/>
    <x v="1"/>
    <x v="11"/>
  </r>
  <r>
    <s v="CLM104281"/>
    <s v="PT12824"/>
    <s v="P06"/>
    <x v="3"/>
    <x v="6"/>
    <n v="1"/>
    <d v="2026-01-04T00:00:00"/>
    <d v="2026-01-08T00:00:00"/>
    <n v="419.59"/>
    <m/>
    <m/>
    <m/>
    <s v="Denied"/>
    <s v="CO-50"/>
    <d v="2026-02-21T00:00:00"/>
    <m/>
    <n v="420"/>
    <n v="0.27"/>
    <n v="113.4"/>
    <s v=""/>
    <x v="2"/>
    <x v="2"/>
    <x v="5"/>
  </r>
  <r>
    <s v="CLM104282"/>
    <s v="PT13183"/>
    <s v="P01"/>
    <x v="3"/>
    <x v="3"/>
    <n v="5"/>
    <d v="2025-12-15T00:00:00"/>
    <d v="2026-01-07T00:00:00"/>
    <n v="7380.7"/>
    <n v="3135.41"/>
    <n v="3135.41"/>
    <n v="0"/>
    <s v="Paid"/>
    <s v=""/>
    <d v="2026-02-05T00:00:00"/>
    <d v="2026-02-05T00:00:00"/>
    <n v="1450"/>
    <n v="0.45"/>
    <n v="3262.5"/>
    <n v="127.09000000000015"/>
    <x v="0"/>
    <x v="5"/>
    <x v="6"/>
  </r>
  <r>
    <s v="CLM104283"/>
    <s v="PT11728"/>
    <s v="P07"/>
    <x v="2"/>
    <x v="0"/>
    <n v="1"/>
    <d v="2026-05-15T00:00:00"/>
    <d v="2026-05-16T00:00:00"/>
    <n v="142.86000000000001"/>
    <n v="43.76"/>
    <n v="43.76"/>
    <n v="0"/>
    <s v="Paid"/>
    <s v=""/>
    <d v="2026-06-27T00:00:00"/>
    <d v="2026-06-27T00:00:00"/>
    <n v="145"/>
    <n v="0.28000000000000003"/>
    <n v="40.6"/>
    <n v="-3.1599999999999966"/>
    <x v="0"/>
    <x v="3"/>
    <x v="7"/>
  </r>
  <r>
    <s v="CLM104284"/>
    <s v="PT13012"/>
    <s v="P01"/>
    <x v="1"/>
    <x v="10"/>
    <n v="1"/>
    <d v="2026-03-01T00:00:00"/>
    <d v="2026-03-08T00:00:00"/>
    <n v="1070.99"/>
    <n v="440.67"/>
    <n v="440.67"/>
    <n v="0"/>
    <s v="Paid"/>
    <s v=""/>
    <d v="2026-03-28T00:00:00"/>
    <d v="2026-03-28T00:00:00"/>
    <n v="1050"/>
    <n v="0.45"/>
    <n v="472.5"/>
    <n v="31.829999999999984"/>
    <x v="1"/>
    <x v="5"/>
    <x v="2"/>
  </r>
  <r>
    <s v="CLM104285"/>
    <s v="PT12097"/>
    <s v="P02"/>
    <x v="2"/>
    <x v="9"/>
    <n v="4"/>
    <d v="2025-12-16T00:00:00"/>
    <d v="2025-12-19T00:00:00"/>
    <n v="233.04"/>
    <n v="86.16"/>
    <n v="86.16"/>
    <n v="0"/>
    <s v="Paid"/>
    <s v=""/>
    <d v="2026-01-15T00:00:00"/>
    <d v="2026-01-15T00:00:00"/>
    <n v="58"/>
    <n v="0.43"/>
    <n v="99.76"/>
    <n v="13.600000000000009"/>
    <x v="1"/>
    <x v="6"/>
    <x v="6"/>
  </r>
  <r>
    <s v="CLM104286"/>
    <s v="PT11494"/>
    <s v="P04"/>
    <x v="1"/>
    <x v="7"/>
    <n v="1"/>
    <d v="2026-05-21T00:00:00"/>
    <d v="2026-05-27T00:00:00"/>
    <n v="205.65"/>
    <n v="78.87"/>
    <n v="70.98"/>
    <n v="7.89"/>
    <s v="Paid"/>
    <s v=""/>
    <d v="2026-06-01T00:00:00"/>
    <d v="2026-06-01T00:00:00"/>
    <n v="210"/>
    <n v="0.36"/>
    <n v="75.599999999999994"/>
    <n v="-3.2700000000000102"/>
    <x v="0"/>
    <x v="1"/>
    <x v="7"/>
  </r>
  <r>
    <s v="CLM104287"/>
    <s v="PT11876"/>
    <s v="P07"/>
    <x v="2"/>
    <x v="9"/>
    <n v="3"/>
    <d v="2026-05-10T00:00:00"/>
    <d v="2026-05-18T00:00:00"/>
    <n v="176.04"/>
    <n v="42.44"/>
    <n v="33.950000000000003"/>
    <n v="8.49"/>
    <s v="Paid"/>
    <s v=""/>
    <d v="2026-07-06T00:00:00"/>
    <d v="2026-07-06T00:00:00"/>
    <n v="58"/>
    <n v="0.28000000000000003"/>
    <n v="48.72"/>
    <n v="6.2800000000000011"/>
    <x v="1"/>
    <x v="3"/>
    <x v="7"/>
  </r>
  <r>
    <s v="CLM104288"/>
    <s v="PT11662"/>
    <s v="P04"/>
    <x v="2"/>
    <x v="9"/>
    <n v="1"/>
    <d v="2026-04-03T00:00:00"/>
    <d v="2026-04-15T00:00:00"/>
    <n v="58.42"/>
    <n v="21.67"/>
    <n v="17.34"/>
    <n v="4.33"/>
    <s v="Paid"/>
    <s v=""/>
    <d v="2026-05-08T00:00:00"/>
    <d v="2026-05-08T00:00:00"/>
    <n v="58"/>
    <n v="0.36"/>
    <n v="20.88"/>
    <n v="-0.7900000000000027"/>
    <x v="0"/>
    <x v="1"/>
    <x v="10"/>
  </r>
  <r>
    <s v="CLM104289"/>
    <s v="PT12811"/>
    <s v="P01"/>
    <x v="1"/>
    <x v="7"/>
    <n v="1"/>
    <d v="2026-04-12T00:00:00"/>
    <d v="2026-04-14T00:00:00"/>
    <n v="207.16"/>
    <n v="101.72"/>
    <n v="91.55"/>
    <n v="10.17"/>
    <s v="Paid"/>
    <s v=""/>
    <d v="2026-05-11T00:00:00"/>
    <d v="2026-05-11T00:00:00"/>
    <n v="210"/>
    <n v="0.45"/>
    <n v="94.5"/>
    <n v="-7.2199999999999989"/>
    <x v="0"/>
    <x v="5"/>
    <x v="10"/>
  </r>
  <r>
    <s v="CLM104290"/>
    <s v="PT13488"/>
    <s v="P01"/>
    <x v="1"/>
    <x v="11"/>
    <n v="1"/>
    <d v="2026-09-07T00:00:00"/>
    <d v="2026-09-09T00:00:00"/>
    <n v="1115.81"/>
    <m/>
    <m/>
    <m/>
    <s v="Pending"/>
    <s v=""/>
    <m/>
    <m/>
    <n v="1150"/>
    <n v="0.45"/>
    <n v="517.5"/>
    <s v=""/>
    <x v="2"/>
    <x v="5"/>
    <x v="8"/>
  </r>
  <r>
    <s v="CLM104291"/>
    <s v="PT10594"/>
    <s v="P01"/>
    <x v="0"/>
    <x v="4"/>
    <n v="1"/>
    <d v="2026-06-12T00:00:00"/>
    <d v="2026-06-18T00:00:00"/>
    <n v="37.93"/>
    <n v="15.87"/>
    <n v="15.87"/>
    <n v="0"/>
    <s v="Paid"/>
    <s v=""/>
    <d v="2026-07-25T00:00:00"/>
    <d v="2026-07-25T00:00:00"/>
    <n v="38"/>
    <n v="0.45"/>
    <n v="17.100000000000001"/>
    <n v="1.2300000000000022"/>
    <x v="1"/>
    <x v="5"/>
    <x v="11"/>
  </r>
  <r>
    <s v="CLM104292"/>
    <s v="PT12736"/>
    <s v="P05"/>
    <x v="1"/>
    <x v="7"/>
    <n v="1"/>
    <d v="2025-12-07T00:00:00"/>
    <d v="2025-12-08T00:00:00"/>
    <n v="215.88"/>
    <n v="84.9"/>
    <n v="84.9"/>
    <n v="0"/>
    <s v="Paid"/>
    <s v=""/>
    <d v="2025-12-18T00:00:00"/>
    <d v="2025-12-18T00:00:00"/>
    <n v="210"/>
    <n v="0.38"/>
    <n v="79.8"/>
    <n v="-5.1000000000000085"/>
    <x v="0"/>
    <x v="0"/>
    <x v="6"/>
  </r>
  <r>
    <s v="CLM104293"/>
    <s v="PT12420"/>
    <s v="P04"/>
    <x v="3"/>
    <x v="7"/>
    <n v="1"/>
    <d v="2026-01-28T00:00:00"/>
    <d v="2026-01-29T00:00:00"/>
    <n v="206.94"/>
    <n v="65.25"/>
    <n v="65.25"/>
    <n v="0"/>
    <s v="Paid"/>
    <s v=""/>
    <d v="2026-02-17T00:00:00"/>
    <d v="2026-02-17T00:00:00"/>
    <n v="210"/>
    <n v="0.36"/>
    <n v="75.599999999999994"/>
    <n v="10.349999999999994"/>
    <x v="1"/>
    <x v="1"/>
    <x v="5"/>
  </r>
  <r>
    <s v="CLM104294"/>
    <s v="PT10358"/>
    <s v="P01"/>
    <x v="2"/>
    <x v="0"/>
    <n v="1"/>
    <d v="2026-07-14T00:00:00"/>
    <d v="2026-07-17T00:00:00"/>
    <n v="143.49"/>
    <n v="56.56"/>
    <n v="50.9"/>
    <n v="5.66"/>
    <s v="Paid"/>
    <s v=""/>
    <d v="2026-08-12T00:00:00"/>
    <d v="2026-08-12T00:00:00"/>
    <n v="145"/>
    <n v="0.45"/>
    <n v="65.25"/>
    <n v="8.6899999999999977"/>
    <x v="1"/>
    <x v="5"/>
    <x v="1"/>
  </r>
  <r>
    <s v="CLM104295"/>
    <s v="PT12591"/>
    <s v="P04"/>
    <x v="2"/>
    <x v="9"/>
    <n v="4"/>
    <d v="2026-01-12T00:00:00"/>
    <d v="2026-05-15T00:00:00"/>
    <n v="234.91"/>
    <m/>
    <m/>
    <m/>
    <s v="Denied"/>
    <s v="CO-29"/>
    <d v="2026-06-05T00:00:00"/>
    <m/>
    <n v="58"/>
    <n v="0.36"/>
    <n v="83.52"/>
    <s v=""/>
    <x v="2"/>
    <x v="1"/>
    <x v="5"/>
  </r>
  <r>
    <s v="CLM104296"/>
    <s v="PT11325"/>
    <s v="P01"/>
    <x v="2"/>
    <x v="9"/>
    <n v="1"/>
    <d v="2026-01-09T00:00:00"/>
    <d v="2026-01-13T00:00:00"/>
    <n v="57.17"/>
    <n v="28.65"/>
    <n v="28.65"/>
    <n v="0"/>
    <s v="Paid"/>
    <s v=""/>
    <d v="2026-02-14T00:00:00"/>
    <d v="2026-02-14T00:00:00"/>
    <n v="58"/>
    <n v="0.45"/>
    <n v="26.1"/>
    <n v="-2.5499999999999972"/>
    <x v="0"/>
    <x v="5"/>
    <x v="5"/>
  </r>
  <r>
    <s v="CLM104297"/>
    <s v="PT12333"/>
    <s v="P06"/>
    <x v="1"/>
    <x v="10"/>
    <n v="1"/>
    <d v="2026-07-06T00:00:00"/>
    <d v="2026-07-07T00:00:00"/>
    <n v="1054.5"/>
    <n v="243.31"/>
    <n v="243.31"/>
    <n v="0"/>
    <s v="Paid"/>
    <s v=""/>
    <d v="2026-09-12T00:00:00"/>
    <d v="2026-09-12T00:00:00"/>
    <n v="1050"/>
    <n v="0.27"/>
    <n v="283.5"/>
    <n v="40.19"/>
    <x v="1"/>
    <x v="2"/>
    <x v="1"/>
  </r>
  <r>
    <s v="CLM104298"/>
    <s v="PT12346"/>
    <s v="P07"/>
    <x v="2"/>
    <x v="0"/>
    <n v="1"/>
    <d v="2026-02-08T00:00:00"/>
    <d v="2026-06-15T00:00:00"/>
    <n v="143.62"/>
    <m/>
    <m/>
    <m/>
    <s v="Denied"/>
    <s v="CO-29"/>
    <d v="2026-09-01T00:00:00"/>
    <m/>
    <n v="145"/>
    <n v="0.28000000000000003"/>
    <n v="40.6"/>
    <s v=""/>
    <x v="2"/>
    <x v="3"/>
    <x v="0"/>
  </r>
  <r>
    <s v="CLM104299"/>
    <s v="PT12478"/>
    <s v="P05"/>
    <x v="2"/>
    <x v="2"/>
    <n v="4"/>
    <d v="2026-09-05T00:00:00"/>
    <d v="2026-09-06T00:00:00"/>
    <n v="248.21"/>
    <m/>
    <m/>
    <m/>
    <s v="Pending"/>
    <s v=""/>
    <m/>
    <m/>
    <n v="62"/>
    <n v="0.38"/>
    <n v="94.24"/>
    <s v=""/>
    <x v="2"/>
    <x v="0"/>
    <x v="8"/>
  </r>
  <r>
    <s v="CLM104300"/>
    <s v="PT12835"/>
    <s v="P02"/>
    <x v="1"/>
    <x v="11"/>
    <n v="1"/>
    <d v="2026-05-03T00:00:00"/>
    <d v="2026-05-04T00:00:00"/>
    <n v="1138.8699999999999"/>
    <n v="557.5"/>
    <n v="446"/>
    <n v="111.5"/>
    <s v="Paid"/>
    <s v=""/>
    <d v="2026-06-10T00:00:00"/>
    <d v="2026-06-10T00:00:00"/>
    <n v="1150"/>
    <n v="0.43"/>
    <n v="494.5"/>
    <n v="-63"/>
    <x v="0"/>
    <x v="6"/>
    <x v="7"/>
  </r>
  <r>
    <s v="CLM104301"/>
    <s v="PT11982"/>
    <s v="P01"/>
    <x v="1"/>
    <x v="10"/>
    <n v="1"/>
    <d v="2025-11-21T00:00:00"/>
    <d v="2025-11-22T00:00:00"/>
    <n v="1045.55"/>
    <n v="430.47"/>
    <n v="430.47"/>
    <n v="0"/>
    <s v="Paid"/>
    <s v=""/>
    <d v="2025-12-23T00:00:00"/>
    <d v="2025-12-23T00:00:00"/>
    <n v="1050"/>
    <n v="0.45"/>
    <n v="472.5"/>
    <n v="42.029999999999973"/>
    <x v="1"/>
    <x v="5"/>
    <x v="3"/>
  </r>
  <r>
    <s v="CLM104302"/>
    <s v="PT10980"/>
    <s v="P06"/>
    <x v="3"/>
    <x v="7"/>
    <n v="1"/>
    <d v="2026-04-14T00:00:00"/>
    <d v="2026-04-15T00:00:00"/>
    <n v="209.62"/>
    <n v="56.31"/>
    <n v="50.68"/>
    <n v="5.63"/>
    <s v="Paid"/>
    <s v=""/>
    <d v="2026-05-07T00:00:00"/>
    <d v="2026-05-07T00:00:00"/>
    <n v="210"/>
    <n v="0.27"/>
    <n v="56.7"/>
    <n v="0.39000000000000057"/>
    <x v="0"/>
    <x v="2"/>
    <x v="10"/>
  </r>
  <r>
    <s v="CLM104303"/>
    <s v="PT11828"/>
    <s v="P01"/>
    <x v="2"/>
    <x v="2"/>
    <n v="3"/>
    <d v="2026-06-28T00:00:00"/>
    <d v="2026-06-29T00:00:00"/>
    <n v="183.8"/>
    <n v="81.45"/>
    <n v="65.16"/>
    <n v="16.29"/>
    <s v="Paid"/>
    <s v=""/>
    <d v="2026-08-02T00:00:00"/>
    <d v="2026-08-02T00:00:00"/>
    <n v="62"/>
    <n v="0.45"/>
    <n v="83.7"/>
    <n v="2.25"/>
    <x v="0"/>
    <x v="5"/>
    <x v="11"/>
  </r>
  <r>
    <s v="CLM104304"/>
    <s v="PT11284"/>
    <s v="P02"/>
    <x v="2"/>
    <x v="2"/>
    <n v="2"/>
    <d v="2026-07-11T00:00:00"/>
    <d v="2026-07-12T00:00:00"/>
    <n v="121.54"/>
    <n v="54.3"/>
    <n v="43.44"/>
    <n v="10.86"/>
    <s v="Paid"/>
    <s v=""/>
    <d v="2026-08-22T00:00:00"/>
    <d v="2026-08-22T00:00:00"/>
    <n v="62"/>
    <n v="0.43"/>
    <n v="53.32"/>
    <n v="-0.97999999999999687"/>
    <x v="0"/>
    <x v="6"/>
    <x v="1"/>
  </r>
  <r>
    <s v="CLM104305"/>
    <s v="PT12614"/>
    <s v="P02"/>
    <x v="3"/>
    <x v="7"/>
    <n v="1"/>
    <d v="2026-02-10T00:00:00"/>
    <d v="2026-02-12T00:00:00"/>
    <n v="209.89"/>
    <n v="100.43"/>
    <n v="100.43"/>
    <n v="0"/>
    <s v="Paid"/>
    <s v=""/>
    <d v="2026-03-08T00:00:00"/>
    <d v="2026-03-08T00:00:00"/>
    <n v="210"/>
    <n v="0.43"/>
    <n v="90.3"/>
    <n v="-10.13000000000001"/>
    <x v="0"/>
    <x v="6"/>
    <x v="0"/>
  </r>
  <r>
    <s v="CLM104306"/>
    <s v="PT12217"/>
    <s v="P07"/>
    <x v="0"/>
    <x v="7"/>
    <n v="1"/>
    <d v="2026-05-20T00:00:00"/>
    <d v="2026-05-22T00:00:00"/>
    <n v="215.98"/>
    <m/>
    <m/>
    <m/>
    <s v="Denied"/>
    <s v="CO-27"/>
    <d v="2026-08-12T00:00:00"/>
    <m/>
    <n v="210"/>
    <n v="0.28000000000000003"/>
    <n v="58.8"/>
    <s v=""/>
    <x v="2"/>
    <x v="3"/>
    <x v="7"/>
  </r>
  <r>
    <s v="CLM104307"/>
    <s v="PT12383"/>
    <s v="P01"/>
    <x v="2"/>
    <x v="9"/>
    <n v="2"/>
    <d v="2026-08-05T00:00:00"/>
    <d v="2026-08-07T00:00:00"/>
    <n v="113.39"/>
    <n v="49.73"/>
    <n v="49.73"/>
    <n v="0"/>
    <s v="Paid"/>
    <s v=""/>
    <d v="2026-09-12T00:00:00"/>
    <d v="2026-09-12T00:00:00"/>
    <n v="58"/>
    <n v="0.45"/>
    <n v="52.2"/>
    <n v="2.470000000000006"/>
    <x v="0"/>
    <x v="5"/>
    <x v="4"/>
  </r>
  <r>
    <s v="CLM104308"/>
    <s v="PT11352"/>
    <s v="P01"/>
    <x v="1"/>
    <x v="11"/>
    <n v="1"/>
    <d v="2026-09-03T00:00:00"/>
    <d v="2026-09-07T00:00:00"/>
    <n v="1167.42"/>
    <m/>
    <m/>
    <m/>
    <s v="Pending"/>
    <s v=""/>
    <m/>
    <m/>
    <n v="1150"/>
    <n v="0.45"/>
    <n v="517.5"/>
    <s v=""/>
    <x v="2"/>
    <x v="5"/>
    <x v="8"/>
  </r>
  <r>
    <s v="CLM104309"/>
    <s v="PT12096"/>
    <s v="P03"/>
    <x v="3"/>
    <x v="3"/>
    <n v="10"/>
    <d v="2026-06-25T00:00:00"/>
    <d v="2026-07-07T00:00:00"/>
    <n v="14230.15"/>
    <m/>
    <m/>
    <m/>
    <s v="Denied"/>
    <s v="CO-16"/>
    <d v="2026-08-11T00:00:00"/>
    <m/>
    <n v="1450"/>
    <n v="0.47"/>
    <n v="6815"/>
    <s v=""/>
    <x v="2"/>
    <x v="4"/>
    <x v="11"/>
  </r>
  <r>
    <s v="CLM104310"/>
    <s v="PT12096"/>
    <s v="P05"/>
    <x v="2"/>
    <x v="0"/>
    <n v="1"/>
    <d v="2026-09-09T00:00:00"/>
    <d v="2026-09-13T00:00:00"/>
    <n v="143.82"/>
    <m/>
    <m/>
    <m/>
    <s v="Pending"/>
    <s v=""/>
    <m/>
    <m/>
    <n v="145"/>
    <n v="0.38"/>
    <n v="55.1"/>
    <s v=""/>
    <x v="2"/>
    <x v="0"/>
    <x v="8"/>
  </r>
  <r>
    <s v="CLM104311"/>
    <s v="PT10803"/>
    <s v="P06"/>
    <x v="2"/>
    <x v="0"/>
    <n v="1"/>
    <d v="2026-07-22T00:00:00"/>
    <d v="2026-07-24T00:00:00"/>
    <n v="141.94"/>
    <n v="35.06"/>
    <n v="28.05"/>
    <n v="7.01"/>
    <s v="Paid"/>
    <s v=""/>
    <d v="2026-09-09T00:00:00"/>
    <d v="2026-09-09T00:00:00"/>
    <n v="145"/>
    <n v="0.27"/>
    <n v="39.15"/>
    <n v="4.0899999999999963"/>
    <x v="1"/>
    <x v="2"/>
    <x v="1"/>
  </r>
  <r>
    <s v="CLM104312"/>
    <s v="PT12445"/>
    <s v="P03"/>
    <x v="0"/>
    <x v="7"/>
    <n v="1"/>
    <d v="2025-11-19T00:00:00"/>
    <d v="2025-11-26T00:00:00"/>
    <n v="204.67"/>
    <n v="94.82"/>
    <n v="85.34"/>
    <n v="9.48"/>
    <s v="Paid"/>
    <s v=""/>
    <d v="2026-02-01T00:00:00"/>
    <d v="2026-02-01T00:00:00"/>
    <n v="210"/>
    <n v="0.47"/>
    <n v="98.7"/>
    <n v="3.8800000000000097"/>
    <x v="0"/>
    <x v="4"/>
    <x v="3"/>
  </r>
  <r>
    <s v="CLM104313"/>
    <s v="PT11379"/>
    <s v="P01"/>
    <x v="3"/>
    <x v="6"/>
    <n v="1"/>
    <d v="2026-08-07T00:00:00"/>
    <d v="2026-08-09T00:00:00"/>
    <n v="414.19"/>
    <m/>
    <m/>
    <m/>
    <s v="Denied"/>
    <s v="CO-16"/>
    <d v="2026-08-20T00:00:00"/>
    <m/>
    <n v="420"/>
    <n v="0.45"/>
    <n v="189"/>
    <s v=""/>
    <x v="2"/>
    <x v="5"/>
    <x v="4"/>
  </r>
  <r>
    <s v="CLM104314"/>
    <s v="PT11829"/>
    <s v="P01"/>
    <x v="1"/>
    <x v="10"/>
    <n v="1"/>
    <d v="2025-11-01T00:00:00"/>
    <d v="2025-11-07T00:00:00"/>
    <n v="1056.72"/>
    <n v="478.56"/>
    <n v="478.56"/>
    <n v="0"/>
    <s v="Paid"/>
    <s v=""/>
    <d v="2025-11-29T00:00:00"/>
    <d v="2025-11-29T00:00:00"/>
    <n v="1050"/>
    <n v="0.45"/>
    <n v="472.5"/>
    <n v="-6.0600000000000023"/>
    <x v="0"/>
    <x v="5"/>
    <x v="3"/>
  </r>
  <r>
    <s v="CLM104315"/>
    <s v="PT11033"/>
    <s v="P07"/>
    <x v="0"/>
    <x v="8"/>
    <n v="1"/>
    <d v="2025-11-13T00:00:00"/>
    <d v="2025-11-17T00:00:00"/>
    <n v="257.07"/>
    <m/>
    <m/>
    <m/>
    <s v="Denied"/>
    <s v="CO-16"/>
    <d v="2026-02-08T00:00:00"/>
    <m/>
    <n v="260"/>
    <n v="0.28000000000000003"/>
    <n v="72.8"/>
    <s v=""/>
    <x v="2"/>
    <x v="3"/>
    <x v="3"/>
  </r>
  <r>
    <s v="CLM104316"/>
    <s v="PT12829"/>
    <s v="P04"/>
    <x v="1"/>
    <x v="7"/>
    <n v="1"/>
    <d v="2026-04-03T00:00:00"/>
    <d v="2026-04-04T00:00:00"/>
    <n v="209.93"/>
    <m/>
    <m/>
    <m/>
    <s v="Denied"/>
    <s v="CO-11"/>
    <d v="2026-04-18T00:00:00"/>
    <m/>
    <n v="210"/>
    <n v="0.36"/>
    <n v="75.599999999999994"/>
    <s v=""/>
    <x v="2"/>
    <x v="1"/>
    <x v="10"/>
  </r>
  <r>
    <s v="CLM104317"/>
    <s v="PT11312"/>
    <s v="P01"/>
    <x v="0"/>
    <x v="7"/>
    <n v="1"/>
    <d v="2026-05-20T00:00:00"/>
    <d v="2026-05-25T00:00:00"/>
    <n v="213.65"/>
    <n v="105.47"/>
    <n v="84.38"/>
    <n v="21.09"/>
    <s v="Paid"/>
    <s v=""/>
    <d v="2026-06-13T00:00:00"/>
    <d v="2026-06-13T00:00:00"/>
    <n v="210"/>
    <n v="0.45"/>
    <n v="94.5"/>
    <n v="-10.969999999999999"/>
    <x v="0"/>
    <x v="5"/>
    <x v="7"/>
  </r>
  <r>
    <s v="CLM104318"/>
    <s v="PT11997"/>
    <s v="P01"/>
    <x v="1"/>
    <x v="4"/>
    <n v="1"/>
    <d v="2025-10-15T00:00:00"/>
    <d v="2025-10-20T00:00:00"/>
    <n v="37.76"/>
    <n v="19.46"/>
    <n v="19.46"/>
    <n v="0"/>
    <s v="Paid"/>
    <s v=""/>
    <d v="2025-11-30T00:00:00"/>
    <d v="2025-11-30T00:00:00"/>
    <n v="38"/>
    <n v="0.45"/>
    <n v="17.100000000000001"/>
    <n v="-2.3599999999999994"/>
    <x v="0"/>
    <x v="5"/>
    <x v="9"/>
  </r>
  <r>
    <s v="CLM104319"/>
    <s v="PT10484"/>
    <s v="P08"/>
    <x v="1"/>
    <x v="5"/>
    <n v="1"/>
    <d v="2026-02-21T00:00:00"/>
    <d v="2026-02-24T00:00:00"/>
    <n v="4929.78"/>
    <m/>
    <m/>
    <m/>
    <s v="Pending"/>
    <s v=""/>
    <m/>
    <m/>
    <n v="4800"/>
    <n v="1"/>
    <n v="4800"/>
    <s v=""/>
    <x v="2"/>
    <x v="7"/>
    <x v="0"/>
  </r>
  <r>
    <s v="CLM104320"/>
    <s v="PT10017"/>
    <s v="P03"/>
    <x v="3"/>
    <x v="3"/>
    <n v="10"/>
    <d v="2026-06-20T00:00:00"/>
    <d v="2026-06-21T00:00:00"/>
    <n v="14555.32"/>
    <n v="7568.33"/>
    <n v="7568.33"/>
    <n v="0"/>
    <s v="Paid"/>
    <s v=""/>
    <d v="2026-08-22T00:00:00"/>
    <d v="2026-08-22T00:00:00"/>
    <n v="1450"/>
    <n v="0.47"/>
    <n v="6815"/>
    <n v="-753.32999999999993"/>
    <x v="0"/>
    <x v="4"/>
    <x v="11"/>
  </r>
  <r>
    <s v="CLM104321"/>
    <s v="PT10722"/>
    <s v="P02"/>
    <x v="1"/>
    <x v="4"/>
    <n v="1"/>
    <d v="2025-11-02T00:00:00"/>
    <d v="2025-11-03T00:00:00"/>
    <n v="38.65"/>
    <n v="18.59"/>
    <n v="14.87"/>
    <n v="3.72"/>
    <s v="Paid"/>
    <s v=""/>
    <d v="2025-12-12T00:00:00"/>
    <d v="2025-12-12T00:00:00"/>
    <n v="38"/>
    <n v="0.43"/>
    <n v="16.34"/>
    <n v="-2.25"/>
    <x v="0"/>
    <x v="6"/>
    <x v="3"/>
  </r>
  <r>
    <s v="CLM104322"/>
    <s v="PT11412"/>
    <s v="P05"/>
    <x v="0"/>
    <x v="0"/>
    <n v="1"/>
    <d v="2026-04-08T00:00:00"/>
    <d v="2026-04-10T00:00:00"/>
    <n v="143.44999999999999"/>
    <n v="58.19"/>
    <n v="46.55"/>
    <n v="11.64"/>
    <s v="Paid"/>
    <s v=""/>
    <d v="2026-06-22T00:00:00"/>
    <d v="2026-06-22T00:00:00"/>
    <n v="145"/>
    <n v="0.38"/>
    <n v="55.1"/>
    <n v="-3.0899999999999963"/>
    <x v="0"/>
    <x v="0"/>
    <x v="10"/>
  </r>
  <r>
    <s v="CLM104323"/>
    <s v="PT13181"/>
    <s v="P02"/>
    <x v="0"/>
    <x v="8"/>
    <n v="1"/>
    <d v="2026-07-06T00:00:00"/>
    <d v="2026-07-07T00:00:00"/>
    <n v="256.62"/>
    <n v="99.32"/>
    <n v="99.32"/>
    <n v="0"/>
    <s v="Paid"/>
    <s v=""/>
    <d v="2026-08-10T00:00:00"/>
    <d v="2026-08-10T00:00:00"/>
    <n v="260"/>
    <n v="0.43"/>
    <n v="111.8"/>
    <n v="12.480000000000004"/>
    <x v="1"/>
    <x v="6"/>
    <x v="1"/>
  </r>
  <r>
    <s v="CLM104324"/>
    <s v="PT12290"/>
    <s v="P04"/>
    <x v="2"/>
    <x v="0"/>
    <n v="1"/>
    <d v="2026-03-07T00:00:00"/>
    <d v="2026-03-16T00:00:00"/>
    <n v="148.34"/>
    <n v="45.79"/>
    <n v="45.79"/>
    <n v="0"/>
    <s v="Paid"/>
    <s v=""/>
    <d v="2026-04-01T00:00:00"/>
    <d v="2026-04-01T00:00:00"/>
    <n v="145"/>
    <n v="0.36"/>
    <n v="52.2"/>
    <n v="6.4100000000000037"/>
    <x v="1"/>
    <x v="1"/>
    <x v="2"/>
  </r>
  <r>
    <s v="CLM104325"/>
    <s v="PT13295"/>
    <s v="P01"/>
    <x v="1"/>
    <x v="8"/>
    <n v="1"/>
    <d v="2025-11-30T00:00:00"/>
    <d v="2025-12-01T00:00:00"/>
    <n v="258.79000000000002"/>
    <n v="126.96"/>
    <n v="114.26"/>
    <n v="12.7"/>
    <s v="Paid"/>
    <s v=""/>
    <d v="2025-12-18T00:00:00"/>
    <d v="2025-12-18T00:00:00"/>
    <n v="260"/>
    <n v="0.45"/>
    <n v="117"/>
    <n v="-9.9599999999999937"/>
    <x v="0"/>
    <x v="5"/>
    <x v="3"/>
  </r>
  <r>
    <s v="CLM104326"/>
    <s v="PT10835"/>
    <s v="P02"/>
    <x v="0"/>
    <x v="7"/>
    <n v="1"/>
    <d v="2026-07-17T00:00:00"/>
    <d v="2026-08-08T00:00:00"/>
    <n v="206.76"/>
    <n v="77.91"/>
    <n v="77.91"/>
    <n v="0"/>
    <s v="Paid"/>
    <s v=""/>
    <d v="2026-08-29T00:00:00"/>
    <d v="2026-08-29T00:00:00"/>
    <n v="210"/>
    <n v="0.43"/>
    <n v="90.3"/>
    <n v="12.39"/>
    <x v="1"/>
    <x v="6"/>
    <x v="1"/>
  </r>
  <r>
    <s v="CLM104328"/>
    <s v="PT12746"/>
    <s v="P01"/>
    <x v="3"/>
    <x v="6"/>
    <n v="1"/>
    <d v="2025-12-17T00:00:00"/>
    <d v="2025-12-18T00:00:00"/>
    <n v="428.37"/>
    <n v="172.35"/>
    <n v="137.88"/>
    <n v="34.47"/>
    <s v="Paid"/>
    <s v=""/>
    <d v="2026-01-15T00:00:00"/>
    <d v="2026-01-15T00:00:00"/>
    <n v="420"/>
    <n v="0.45"/>
    <n v="189"/>
    <n v="16.650000000000006"/>
    <x v="1"/>
    <x v="5"/>
    <x v="6"/>
  </r>
  <r>
    <s v="CLM104329"/>
    <s v="PT12765"/>
    <s v="P04"/>
    <x v="1"/>
    <x v="10"/>
    <n v="1"/>
    <d v="2026-07-19T00:00:00"/>
    <d v="2026-07-20T00:00:00"/>
    <n v="1028.8900000000001"/>
    <n v="356.14"/>
    <n v="356.14"/>
    <n v="0"/>
    <s v="Paid"/>
    <s v=""/>
    <d v="2026-08-14T00:00:00"/>
    <d v="2026-08-14T00:00:00"/>
    <n v="1050"/>
    <n v="0.36"/>
    <n v="378"/>
    <n v="21.860000000000014"/>
    <x v="1"/>
    <x v="1"/>
    <x v="1"/>
  </r>
  <r>
    <s v="CLM104330"/>
    <s v="PT12281"/>
    <s v="P06"/>
    <x v="1"/>
    <x v="5"/>
    <n v="1"/>
    <d v="2026-07-06T00:00:00"/>
    <d v="2026-07-17T00:00:00"/>
    <n v="4887.1000000000004"/>
    <m/>
    <m/>
    <m/>
    <s v="Denied"/>
    <s v="CO-11"/>
    <d v="2026-08-25T00:00:00"/>
    <m/>
    <n v="4800"/>
    <n v="0.27"/>
    <n v="1296"/>
    <s v=""/>
    <x v="2"/>
    <x v="2"/>
    <x v="1"/>
  </r>
  <r>
    <s v="CLM104331"/>
    <s v="PT12481"/>
    <s v="P05"/>
    <x v="3"/>
    <x v="3"/>
    <n v="20"/>
    <d v="2025-12-11T00:00:00"/>
    <d v="2025-12-20T00:00:00"/>
    <n v="28912.53"/>
    <m/>
    <m/>
    <m/>
    <s v="Denied"/>
    <s v="CO-197"/>
    <d v="2026-01-22T00:00:00"/>
    <m/>
    <n v="1450"/>
    <n v="0.38"/>
    <n v="11020"/>
    <s v=""/>
    <x v="2"/>
    <x v="0"/>
    <x v="6"/>
  </r>
  <r>
    <s v="CLM104332"/>
    <s v="PT10665"/>
    <s v="P07"/>
    <x v="1"/>
    <x v="11"/>
    <n v="1"/>
    <d v="2026-05-20T00:00:00"/>
    <d v="2026-05-23T00:00:00"/>
    <n v="1163.3800000000001"/>
    <m/>
    <m/>
    <m/>
    <s v="Denied"/>
    <s v="CO-27"/>
    <d v="2026-06-19T00:00:00"/>
    <m/>
    <n v="1150"/>
    <n v="0.28000000000000003"/>
    <n v="322"/>
    <s v=""/>
    <x v="2"/>
    <x v="3"/>
    <x v="7"/>
  </r>
  <r>
    <s v="CLM104333"/>
    <s v="PT11495"/>
    <s v="P01"/>
    <x v="2"/>
    <x v="2"/>
    <n v="2"/>
    <d v="2025-11-06T00:00:00"/>
    <d v="2025-11-10T00:00:00"/>
    <n v="124.99"/>
    <m/>
    <m/>
    <m/>
    <s v="Denied"/>
    <s v="CO-16"/>
    <d v="2025-12-01T00:00:00"/>
    <m/>
    <n v="62"/>
    <n v="0.45"/>
    <n v="55.8"/>
    <s v=""/>
    <x v="2"/>
    <x v="5"/>
    <x v="3"/>
  </r>
  <r>
    <s v="CLM104334"/>
    <s v="PT10100"/>
    <s v="P04"/>
    <x v="1"/>
    <x v="10"/>
    <n v="1"/>
    <d v="2026-08-11T00:00:00"/>
    <d v="2026-08-15T00:00:00"/>
    <n v="1039.92"/>
    <n v="425.65"/>
    <n v="425.65"/>
    <n v="0"/>
    <s v="Paid"/>
    <s v=""/>
    <d v="2026-08-26T00:00:00"/>
    <d v="2026-08-26T00:00:00"/>
    <n v="1050"/>
    <n v="0.36"/>
    <n v="378"/>
    <n v="-47.649999999999977"/>
    <x v="0"/>
    <x v="1"/>
    <x v="4"/>
  </r>
  <r>
    <s v="CLM104335"/>
    <s v="PT12212"/>
    <s v="P01"/>
    <x v="0"/>
    <x v="4"/>
    <n v="1"/>
    <d v="2026-01-18T00:00:00"/>
    <d v="2026-01-19T00:00:00"/>
    <n v="38.96"/>
    <n v="20.18"/>
    <n v="18.16"/>
    <n v="2.02"/>
    <s v="Paid"/>
    <s v=""/>
    <d v="2026-02-24T00:00:00"/>
    <d v="2026-02-24T00:00:00"/>
    <n v="38"/>
    <n v="0.45"/>
    <n v="17.100000000000001"/>
    <n v="-3.0799999999999983"/>
    <x v="0"/>
    <x v="5"/>
    <x v="5"/>
  </r>
  <r>
    <s v="CLM104336"/>
    <s v="PT12243"/>
    <s v="P05"/>
    <x v="3"/>
    <x v="3"/>
    <n v="30"/>
    <d v="2026-07-23T00:00:00"/>
    <d v="2026-07-27T00:00:00"/>
    <n v="43216.06"/>
    <n v="15169.74"/>
    <n v="13652.77"/>
    <n v="1516.97"/>
    <s v="Paid"/>
    <s v=""/>
    <d v="2026-08-13T00:00:00"/>
    <d v="2026-08-13T00:00:00"/>
    <n v="1450"/>
    <n v="0.38"/>
    <n v="16530"/>
    <n v="1360.2600000000002"/>
    <x v="1"/>
    <x v="0"/>
    <x v="1"/>
  </r>
  <r>
    <s v="CLM104337"/>
    <s v="PT11491"/>
    <s v="P05"/>
    <x v="0"/>
    <x v="8"/>
    <n v="1"/>
    <d v="2025-10-14T00:00:00"/>
    <d v="2025-10-19T00:00:00"/>
    <n v="253.35"/>
    <m/>
    <m/>
    <m/>
    <s v="Denied"/>
    <s v="CO-4"/>
    <d v="2025-11-29T00:00:00"/>
    <m/>
    <n v="260"/>
    <n v="0.38"/>
    <n v="98.8"/>
    <s v=""/>
    <x v="2"/>
    <x v="0"/>
    <x v="9"/>
  </r>
  <r>
    <s v="CLM104338"/>
    <s v="PT13270"/>
    <s v="P04"/>
    <x v="1"/>
    <x v="11"/>
    <n v="1"/>
    <d v="2026-03-08T00:00:00"/>
    <d v="2026-03-09T00:00:00"/>
    <n v="1149.4000000000001"/>
    <n v="356.75"/>
    <n v="356.75"/>
    <n v="0"/>
    <s v="Paid"/>
    <s v=""/>
    <d v="2026-03-17T00:00:00"/>
    <d v="2026-03-17T00:00:00"/>
    <n v="1150"/>
    <n v="0.36"/>
    <n v="414"/>
    <n v="57.25"/>
    <x v="1"/>
    <x v="1"/>
    <x v="2"/>
  </r>
  <r>
    <s v="CLM104339"/>
    <s v="PT10548"/>
    <s v="P04"/>
    <x v="3"/>
    <x v="7"/>
    <n v="1"/>
    <d v="2026-05-27T00:00:00"/>
    <d v="2026-05-28T00:00:00"/>
    <n v="203.88"/>
    <n v="64.319999999999993"/>
    <n v="64.319999999999993"/>
    <n v="0"/>
    <s v="Paid"/>
    <s v=""/>
    <d v="2026-06-11T00:00:00"/>
    <d v="2026-06-11T00:00:00"/>
    <n v="210"/>
    <n v="0.36"/>
    <n v="75.599999999999994"/>
    <n v="11.280000000000001"/>
    <x v="1"/>
    <x v="1"/>
    <x v="7"/>
  </r>
  <r>
    <s v="CLM104340"/>
    <s v="PT10855"/>
    <s v="P05"/>
    <x v="0"/>
    <x v="8"/>
    <n v="1"/>
    <d v="2026-08-18T00:00:00"/>
    <d v="2026-09-10T00:00:00"/>
    <n v="261.51"/>
    <m/>
    <m/>
    <m/>
    <s v="Pending"/>
    <s v=""/>
    <m/>
    <m/>
    <n v="260"/>
    <n v="0.38"/>
    <n v="98.8"/>
    <s v=""/>
    <x v="2"/>
    <x v="0"/>
    <x v="4"/>
  </r>
  <r>
    <s v="CLM104341"/>
    <s v="PT10705"/>
    <s v="P02"/>
    <x v="1"/>
    <x v="4"/>
    <n v="1"/>
    <d v="2025-10-27T00:00:00"/>
    <d v="2025-10-30T00:00:00"/>
    <n v="37.380000000000003"/>
    <n v="13.83"/>
    <n v="11.06"/>
    <n v="2.77"/>
    <s v="Paid"/>
    <s v=""/>
    <d v="2025-12-21T00:00:00"/>
    <d v="2025-12-21T00:00:00"/>
    <n v="38"/>
    <n v="0.43"/>
    <n v="16.34"/>
    <n v="2.5099999999999998"/>
    <x v="1"/>
    <x v="6"/>
    <x v="9"/>
  </r>
  <r>
    <s v="CLM104342"/>
    <s v="PT12022"/>
    <s v="P02"/>
    <x v="0"/>
    <x v="4"/>
    <n v="1"/>
    <d v="2026-04-01T00:00:00"/>
    <d v="2026-04-02T00:00:00"/>
    <n v="38.880000000000003"/>
    <n v="16.43"/>
    <n v="16.43"/>
    <n v="0"/>
    <s v="Paid"/>
    <s v=""/>
    <d v="2026-05-02T00:00:00"/>
    <d v="2026-05-02T00:00:00"/>
    <n v="38"/>
    <n v="0.43"/>
    <n v="16.34"/>
    <n v="-8.9999999999999858E-2"/>
    <x v="0"/>
    <x v="6"/>
    <x v="10"/>
  </r>
  <r>
    <s v="CLM104343"/>
    <s v="PT13422"/>
    <s v="P05"/>
    <x v="3"/>
    <x v="6"/>
    <n v="1"/>
    <d v="2026-09-01T00:00:00"/>
    <d v="2026-09-02T00:00:00"/>
    <n v="426.17"/>
    <m/>
    <m/>
    <m/>
    <s v="Pending"/>
    <s v=""/>
    <m/>
    <m/>
    <n v="420"/>
    <n v="0.38"/>
    <n v="159.6"/>
    <s v=""/>
    <x v="2"/>
    <x v="0"/>
    <x v="8"/>
  </r>
  <r>
    <s v="CLM104344"/>
    <s v="PT12363"/>
    <s v="P01"/>
    <x v="0"/>
    <x v="7"/>
    <n v="1"/>
    <d v="2025-12-24T00:00:00"/>
    <d v="2025-12-27T00:00:00"/>
    <n v="209.86"/>
    <m/>
    <m/>
    <m/>
    <s v="Denied"/>
    <s v="CO-16"/>
    <d v="2026-01-25T00:00:00"/>
    <m/>
    <n v="210"/>
    <n v="0.45"/>
    <n v="94.5"/>
    <s v=""/>
    <x v="2"/>
    <x v="5"/>
    <x v="6"/>
  </r>
  <r>
    <s v="CLM104345"/>
    <s v="PT13461"/>
    <s v="P04"/>
    <x v="0"/>
    <x v="7"/>
    <n v="1"/>
    <d v="2026-04-07T00:00:00"/>
    <d v="2026-04-19T00:00:00"/>
    <n v="215.82"/>
    <n v="67.150000000000006"/>
    <n v="60.43"/>
    <n v="6.72"/>
    <s v="Paid"/>
    <s v=""/>
    <d v="2026-05-13T00:00:00"/>
    <d v="2026-05-13T00:00:00"/>
    <n v="210"/>
    <n v="0.36"/>
    <n v="75.599999999999994"/>
    <n v="8.4499999999999886"/>
    <x v="1"/>
    <x v="1"/>
    <x v="10"/>
  </r>
  <r>
    <s v="CLM104346"/>
    <s v="PT13465"/>
    <s v="P07"/>
    <x v="0"/>
    <x v="8"/>
    <n v="1"/>
    <d v="2025-11-08T00:00:00"/>
    <d v="2025-11-11T00:00:00"/>
    <n v="263.91000000000003"/>
    <n v="79.61"/>
    <n v="63.69"/>
    <n v="15.92"/>
    <s v="Paid"/>
    <s v=""/>
    <d v="2026-01-04T00:00:00"/>
    <d v="2026-01-04T00:00:00"/>
    <n v="260"/>
    <n v="0.28000000000000003"/>
    <n v="72.8"/>
    <n v="-6.8100000000000023"/>
    <x v="0"/>
    <x v="3"/>
    <x v="3"/>
  </r>
  <r>
    <s v="CLM104347"/>
    <s v="PT11754"/>
    <s v="P05"/>
    <x v="1"/>
    <x v="10"/>
    <n v="1"/>
    <d v="2026-09-29T00:00:00"/>
    <d v="2026-09-30T00:00:00"/>
    <n v="1080.18"/>
    <m/>
    <m/>
    <m/>
    <s v="Pending"/>
    <s v=""/>
    <m/>
    <m/>
    <n v="1050"/>
    <n v="0.38"/>
    <n v="399"/>
    <s v=""/>
    <x v="2"/>
    <x v="0"/>
    <x v="8"/>
  </r>
  <r>
    <s v="CLM104348"/>
    <s v="PT11496"/>
    <s v="P03"/>
    <x v="2"/>
    <x v="9"/>
    <n v="1"/>
    <d v="2026-07-26T00:00:00"/>
    <d v="2026-07-28T00:00:00"/>
    <n v="59.39"/>
    <n v="26.5"/>
    <n v="21.2"/>
    <n v="5.3"/>
    <s v="Paid"/>
    <s v=""/>
    <d v="2026-08-29T00:00:00"/>
    <d v="2026-08-29T00:00:00"/>
    <n v="58"/>
    <n v="0.47"/>
    <n v="27.26"/>
    <n v="0.76000000000000156"/>
    <x v="0"/>
    <x v="4"/>
    <x v="1"/>
  </r>
  <r>
    <s v="CLM104349"/>
    <s v="PT13454"/>
    <s v="P02"/>
    <x v="2"/>
    <x v="2"/>
    <n v="4"/>
    <d v="2026-08-03T00:00:00"/>
    <d v="2026-08-06T00:00:00"/>
    <n v="252.08"/>
    <n v="94.33"/>
    <n v="94.33"/>
    <n v="0"/>
    <s v="Paid"/>
    <s v=""/>
    <d v="2026-09-06T00:00:00"/>
    <d v="2026-09-06T00:00:00"/>
    <n v="62"/>
    <n v="0.43"/>
    <n v="106.64"/>
    <n v="12.310000000000002"/>
    <x v="1"/>
    <x v="6"/>
    <x v="4"/>
  </r>
  <r>
    <s v="CLM104350"/>
    <s v="PT10189"/>
    <s v="P03"/>
    <x v="1"/>
    <x v="1"/>
    <n v="1"/>
    <d v="2026-03-08T00:00:00"/>
    <d v="2026-03-11T00:00:00"/>
    <n v="245.37"/>
    <n v="119.92"/>
    <n v="107.93"/>
    <n v="11.99"/>
    <s v="Paid"/>
    <s v=""/>
    <d v="2026-04-24T00:00:00"/>
    <d v="2026-04-24T00:00:00"/>
    <n v="240"/>
    <n v="0.47"/>
    <n v="112.8"/>
    <n v="-7.1200000000000045"/>
    <x v="0"/>
    <x v="4"/>
    <x v="2"/>
  </r>
  <r>
    <s v="CLM104351"/>
    <s v="PT12066"/>
    <s v="P01"/>
    <x v="2"/>
    <x v="0"/>
    <n v="1"/>
    <d v="2026-03-03T00:00:00"/>
    <d v="2026-07-16T00:00:00"/>
    <n v="146.63999999999999"/>
    <m/>
    <m/>
    <m/>
    <s v="Denied"/>
    <s v="CO-29"/>
    <d v="2026-08-16T00:00:00"/>
    <m/>
    <n v="145"/>
    <n v="0.45"/>
    <n v="65.25"/>
    <s v=""/>
    <x v="2"/>
    <x v="5"/>
    <x v="2"/>
  </r>
  <r>
    <s v="CLM104352"/>
    <s v="PT10113"/>
    <s v="P01"/>
    <x v="0"/>
    <x v="8"/>
    <n v="1"/>
    <d v="2025-12-12T00:00:00"/>
    <d v="2025-12-14T00:00:00"/>
    <n v="264.10000000000002"/>
    <n v="123.64"/>
    <n v="123.64"/>
    <n v="0"/>
    <s v="Paid"/>
    <s v=""/>
    <d v="2025-12-26T00:00:00"/>
    <d v="2025-12-26T00:00:00"/>
    <n v="260"/>
    <n v="0.45"/>
    <n v="117"/>
    <n v="-6.6400000000000006"/>
    <x v="0"/>
    <x v="5"/>
    <x v="6"/>
  </r>
  <r>
    <s v="CLM104353"/>
    <s v="PT11087"/>
    <s v="P01"/>
    <x v="0"/>
    <x v="7"/>
    <n v="1"/>
    <d v="2025-12-29T00:00:00"/>
    <d v="2026-01-04T00:00:00"/>
    <n v="205.08"/>
    <n v="94.04"/>
    <n v="84.64"/>
    <n v="9.4"/>
    <s v="Paid"/>
    <s v=""/>
    <d v="2026-02-08T00:00:00"/>
    <d v="2026-02-08T00:00:00"/>
    <n v="210"/>
    <n v="0.45"/>
    <n v="94.5"/>
    <n v="0.45999999999999375"/>
    <x v="0"/>
    <x v="5"/>
    <x v="6"/>
  </r>
  <r>
    <s v="CLM104354"/>
    <s v="PT12095"/>
    <s v="P01"/>
    <x v="3"/>
    <x v="6"/>
    <n v="1"/>
    <d v="2025-12-08T00:00:00"/>
    <d v="2025-12-10T00:00:00"/>
    <n v="430.03"/>
    <n v="206.69"/>
    <n v="186.02"/>
    <n v="20.67"/>
    <s v="Paid"/>
    <s v=""/>
    <d v="2026-01-20T00:00:00"/>
    <d v="2026-01-20T00:00:00"/>
    <n v="420"/>
    <n v="0.45"/>
    <n v="189"/>
    <n v="-17.689999999999998"/>
    <x v="0"/>
    <x v="5"/>
    <x v="6"/>
  </r>
  <r>
    <s v="CLM104355"/>
    <s v="PT12990"/>
    <s v="P04"/>
    <x v="0"/>
    <x v="4"/>
    <n v="1"/>
    <d v="2026-03-11T00:00:00"/>
    <d v="2026-03-12T00:00:00"/>
    <n v="38.39"/>
    <n v="13.08"/>
    <n v="13.08"/>
    <n v="0"/>
    <s v="Paid"/>
    <s v=""/>
    <d v="2026-03-23T00:00:00"/>
    <d v="2026-03-23T00:00:00"/>
    <n v="38"/>
    <n v="0.36"/>
    <n v="13.68"/>
    <n v="0.59999999999999964"/>
    <x v="0"/>
    <x v="1"/>
    <x v="2"/>
  </r>
  <r>
    <s v="CLM104356"/>
    <s v="PT12795"/>
    <s v="P01"/>
    <x v="2"/>
    <x v="9"/>
    <n v="1"/>
    <d v="2026-08-20T00:00:00"/>
    <d v="2026-08-28T00:00:00"/>
    <n v="57.41"/>
    <m/>
    <m/>
    <m/>
    <s v="Pending"/>
    <s v=""/>
    <m/>
    <m/>
    <n v="58"/>
    <n v="0.45"/>
    <n v="26.1"/>
    <s v=""/>
    <x v="2"/>
    <x v="5"/>
    <x v="4"/>
  </r>
  <r>
    <s v="CLM104357"/>
    <s v="PT12671"/>
    <s v="P03"/>
    <x v="0"/>
    <x v="0"/>
    <n v="1"/>
    <d v="2026-03-27T00:00:00"/>
    <d v="2026-03-29T00:00:00"/>
    <n v="142.59"/>
    <n v="70.47"/>
    <n v="56.38"/>
    <n v="14.09"/>
    <s v="Paid"/>
    <s v=""/>
    <d v="2026-05-11T00:00:00"/>
    <d v="2026-05-11T00:00:00"/>
    <n v="145"/>
    <n v="0.47"/>
    <n v="68.150000000000006"/>
    <n v="-2.3199999999999932"/>
    <x v="0"/>
    <x v="4"/>
    <x v="2"/>
  </r>
  <r>
    <s v="CLM104358"/>
    <s v="PT11021"/>
    <s v="P01"/>
    <x v="3"/>
    <x v="3"/>
    <n v="5"/>
    <d v="2025-10-04T00:00:00"/>
    <d v="2025-10-05T00:00:00"/>
    <n v="7061.1"/>
    <n v="3428.65"/>
    <n v="2742.92"/>
    <n v="685.73"/>
    <s v="Paid"/>
    <s v=""/>
    <d v="2025-10-28T00:00:00"/>
    <d v="2025-10-28T00:00:00"/>
    <n v="1450"/>
    <n v="0.45"/>
    <n v="3262.5"/>
    <n v="-166.15000000000009"/>
    <x v="0"/>
    <x v="5"/>
    <x v="9"/>
  </r>
  <r>
    <s v="CLM104359"/>
    <s v="PT12742"/>
    <s v="P01"/>
    <x v="3"/>
    <x v="3"/>
    <n v="30"/>
    <d v="2026-08-07T00:00:00"/>
    <d v="2026-08-10T00:00:00"/>
    <n v="42818.31"/>
    <m/>
    <m/>
    <m/>
    <s v="Denied"/>
    <s v="CO-50"/>
    <d v="2026-09-09T00:00:00"/>
    <m/>
    <n v="1450"/>
    <n v="0.45"/>
    <n v="19575"/>
    <s v=""/>
    <x v="2"/>
    <x v="5"/>
    <x v="4"/>
  </r>
  <r>
    <s v="CLM104360"/>
    <s v="PT13468"/>
    <s v="P04"/>
    <x v="0"/>
    <x v="4"/>
    <n v="1"/>
    <d v="2025-11-22T00:00:00"/>
    <d v="2025-11-25T00:00:00"/>
    <n v="38.270000000000003"/>
    <n v="12.79"/>
    <n v="12.79"/>
    <n v="0"/>
    <s v="Paid"/>
    <s v=""/>
    <d v="2025-12-12T00:00:00"/>
    <d v="2025-12-12T00:00:00"/>
    <n v="38"/>
    <n v="0.36"/>
    <n v="13.68"/>
    <n v="0.89000000000000057"/>
    <x v="1"/>
    <x v="1"/>
    <x v="3"/>
  </r>
  <r>
    <s v="CLM104361"/>
    <s v="PT12933"/>
    <s v="P03"/>
    <x v="3"/>
    <x v="7"/>
    <n v="1"/>
    <d v="2026-06-24T00:00:00"/>
    <d v="2026-07-04T00:00:00"/>
    <n v="206.32"/>
    <n v="93.17"/>
    <n v="93.17"/>
    <n v="0"/>
    <s v="Paid"/>
    <s v=""/>
    <d v="2026-08-17T00:00:00"/>
    <d v="2026-08-17T00:00:00"/>
    <n v="210"/>
    <n v="0.47"/>
    <n v="98.7"/>
    <n v="5.5300000000000011"/>
    <x v="1"/>
    <x v="4"/>
    <x v="11"/>
  </r>
  <r>
    <s v="CLM104362"/>
    <s v="PT11312"/>
    <s v="P05"/>
    <x v="1"/>
    <x v="8"/>
    <n v="1"/>
    <d v="2026-02-28T00:00:00"/>
    <d v="2026-03-09T00:00:00"/>
    <n v="264.89"/>
    <m/>
    <m/>
    <m/>
    <s v="Denied"/>
    <s v="CO-4"/>
    <d v="2026-04-20T00:00:00"/>
    <m/>
    <n v="260"/>
    <n v="0.38"/>
    <n v="98.8"/>
    <s v=""/>
    <x v="2"/>
    <x v="0"/>
    <x v="0"/>
  </r>
  <r>
    <s v="CLM104363"/>
    <s v="PT10009"/>
    <s v="P02"/>
    <x v="1"/>
    <x v="4"/>
    <n v="1"/>
    <d v="2025-12-01T00:00:00"/>
    <d v="2025-12-10T00:00:00"/>
    <n v="37.619999999999997"/>
    <n v="16.45"/>
    <n v="13.16"/>
    <n v="3.29"/>
    <s v="Paid"/>
    <s v=""/>
    <d v="2025-12-24T00:00:00"/>
    <d v="2025-12-24T00:00:00"/>
    <n v="38"/>
    <n v="0.43"/>
    <n v="16.34"/>
    <n v="-0.10999999999999943"/>
    <x v="0"/>
    <x v="6"/>
    <x v="6"/>
  </r>
  <r>
    <s v="CLM104364"/>
    <s v="PT12404"/>
    <s v="P06"/>
    <x v="2"/>
    <x v="9"/>
    <n v="2"/>
    <d v="2026-07-24T00:00:00"/>
    <d v="2026-07-25T00:00:00"/>
    <n v="117.1"/>
    <n v="35.630000000000003"/>
    <n v="28.5"/>
    <n v="7.13"/>
    <s v="Paid"/>
    <s v=""/>
    <d v="2026-09-08T00:00:00"/>
    <d v="2026-09-08T00:00:00"/>
    <n v="58"/>
    <n v="0.27"/>
    <n v="31.32"/>
    <n v="-4.3100000000000023"/>
    <x v="0"/>
    <x v="2"/>
    <x v="1"/>
  </r>
  <r>
    <s v="CLM104365"/>
    <s v="PT12408"/>
    <s v="P05"/>
    <x v="1"/>
    <x v="7"/>
    <n v="1"/>
    <d v="2025-11-21T00:00:00"/>
    <d v="2025-11-25T00:00:00"/>
    <n v="205.87"/>
    <n v="80.13"/>
    <n v="72.12"/>
    <n v="8.01"/>
    <s v="Paid"/>
    <s v=""/>
    <d v="2025-12-31T00:00:00"/>
    <d v="2025-12-31T00:00:00"/>
    <n v="210"/>
    <n v="0.38"/>
    <n v="79.8"/>
    <n v="-0.32999999999999829"/>
    <x v="0"/>
    <x v="0"/>
    <x v="3"/>
  </r>
  <r>
    <s v="CLM104366"/>
    <s v="PT10558"/>
    <s v="P08"/>
    <x v="2"/>
    <x v="0"/>
    <n v="1"/>
    <d v="2026-06-06T00:00:00"/>
    <d v="2026-06-07T00:00:00"/>
    <n v="144.68"/>
    <m/>
    <m/>
    <m/>
    <s v="Pending"/>
    <s v=""/>
    <m/>
    <m/>
    <n v="145"/>
    <n v="1"/>
    <n v="145"/>
    <s v=""/>
    <x v="2"/>
    <x v="7"/>
    <x v="11"/>
  </r>
  <r>
    <s v="CLM104367"/>
    <s v="PT12037"/>
    <s v="P06"/>
    <x v="0"/>
    <x v="0"/>
    <n v="1"/>
    <d v="2026-04-17T00:00:00"/>
    <d v="2026-04-22T00:00:00"/>
    <n v="145.55000000000001"/>
    <n v="33.54"/>
    <n v="33.54"/>
    <n v="0"/>
    <s v="Paid"/>
    <s v=""/>
    <d v="2026-06-18T00:00:00"/>
    <d v="2026-06-18T00:00:00"/>
    <n v="145"/>
    <n v="0.27"/>
    <n v="39.15"/>
    <n v="5.6099999999999994"/>
    <x v="1"/>
    <x v="2"/>
    <x v="10"/>
  </r>
  <r>
    <s v="CLM104369"/>
    <s v="PT11922"/>
    <s v="P07"/>
    <x v="3"/>
    <x v="3"/>
    <n v="20"/>
    <d v="2026-02-10T00:00:00"/>
    <d v="2026-02-15T00:00:00"/>
    <n v="29857.29"/>
    <m/>
    <m/>
    <m/>
    <s v="Denied"/>
    <s v="CO-197"/>
    <d v="2026-03-24T00:00:00"/>
    <m/>
    <n v="1450"/>
    <n v="0.28000000000000003"/>
    <n v="8120"/>
    <s v=""/>
    <x v="2"/>
    <x v="3"/>
    <x v="0"/>
  </r>
  <r>
    <s v="CLM104370"/>
    <s v="PT12894"/>
    <s v="P01"/>
    <x v="0"/>
    <x v="4"/>
    <n v="1"/>
    <d v="2026-06-02T00:00:00"/>
    <d v="2026-06-11T00:00:00"/>
    <n v="37.68"/>
    <n v="15.74"/>
    <n v="12.59"/>
    <n v="3.15"/>
    <s v="Paid"/>
    <s v=""/>
    <d v="2026-07-06T00:00:00"/>
    <d v="2026-07-06T00:00:00"/>
    <n v="38"/>
    <n v="0.45"/>
    <n v="17.100000000000001"/>
    <n v="1.3600000000000012"/>
    <x v="1"/>
    <x v="5"/>
    <x v="11"/>
  </r>
  <r>
    <s v="CLM104371"/>
    <s v="PT10491"/>
    <s v="P01"/>
    <x v="0"/>
    <x v="0"/>
    <n v="1"/>
    <d v="2026-06-22T00:00:00"/>
    <d v="2026-06-29T00:00:00"/>
    <n v="141.41999999999999"/>
    <n v="67.7"/>
    <n v="67.7"/>
    <n v="0"/>
    <s v="Paid"/>
    <s v=""/>
    <d v="2026-07-21T00:00:00"/>
    <d v="2026-07-21T00:00:00"/>
    <n v="145"/>
    <n v="0.45"/>
    <n v="65.25"/>
    <n v="-2.4500000000000028"/>
    <x v="0"/>
    <x v="5"/>
    <x v="11"/>
  </r>
  <r>
    <s v="CLM104372"/>
    <s v="PT11811"/>
    <s v="P06"/>
    <x v="3"/>
    <x v="3"/>
    <n v="20"/>
    <d v="2026-08-09T00:00:00"/>
    <d v="2026-08-21T00:00:00"/>
    <n v="29656.7"/>
    <m/>
    <m/>
    <m/>
    <s v="Denied"/>
    <s v="CO-197"/>
    <d v="2026-09-27T00:00:00"/>
    <m/>
    <n v="1450"/>
    <n v="0.27"/>
    <n v="7830"/>
    <s v=""/>
    <x v="2"/>
    <x v="2"/>
    <x v="4"/>
  </r>
  <r>
    <s v="CLM104373"/>
    <s v="PT13110"/>
    <s v="P01"/>
    <x v="0"/>
    <x v="0"/>
    <n v="1"/>
    <d v="2026-06-15T00:00:00"/>
    <d v="2026-06-19T00:00:00"/>
    <n v="144.87"/>
    <n v="70.17"/>
    <n v="56.14"/>
    <n v="14.03"/>
    <s v="Paid"/>
    <s v=""/>
    <d v="2026-07-28T00:00:00"/>
    <d v="2026-07-28T00:00:00"/>
    <n v="145"/>
    <n v="0.45"/>
    <n v="65.25"/>
    <n v="-4.9200000000000017"/>
    <x v="0"/>
    <x v="5"/>
    <x v="11"/>
  </r>
  <r>
    <s v="CLM104374"/>
    <s v="PT11250"/>
    <s v="P01"/>
    <x v="2"/>
    <x v="0"/>
    <n v="1"/>
    <d v="2026-06-20T00:00:00"/>
    <d v="2026-06-21T00:00:00"/>
    <n v="146.94999999999999"/>
    <n v="56.88"/>
    <n v="56.88"/>
    <n v="0"/>
    <s v="Paid"/>
    <s v=""/>
    <d v="2026-07-14T00:00:00"/>
    <d v="2026-07-14T00:00:00"/>
    <n v="145"/>
    <n v="0.45"/>
    <n v="65.25"/>
    <n v="8.3699999999999974"/>
    <x v="1"/>
    <x v="5"/>
    <x v="11"/>
  </r>
  <r>
    <s v="CLM104375"/>
    <s v="PT11701"/>
    <s v="P04"/>
    <x v="1"/>
    <x v="11"/>
    <n v="1"/>
    <d v="2026-01-31T00:00:00"/>
    <d v="2026-02-01T00:00:00"/>
    <n v="1174.95"/>
    <n v="459.34"/>
    <n v="459.34"/>
    <n v="0"/>
    <s v="Paid"/>
    <s v=""/>
    <d v="2026-02-18T00:00:00"/>
    <d v="2026-02-18T00:00:00"/>
    <n v="1150"/>
    <n v="0.36"/>
    <n v="414"/>
    <n v="-45.339999999999975"/>
    <x v="0"/>
    <x v="1"/>
    <x v="5"/>
  </r>
  <r>
    <s v="CLM104376"/>
    <s v="PT12880"/>
    <s v="P02"/>
    <x v="2"/>
    <x v="0"/>
    <n v="1"/>
    <d v="2025-11-27T00:00:00"/>
    <d v="2025-11-28T00:00:00"/>
    <n v="147.63999999999999"/>
    <n v="70.39"/>
    <n v="70.39"/>
    <n v="0"/>
    <s v="Paid"/>
    <s v=""/>
    <d v="2026-01-11T00:00:00"/>
    <d v="2026-01-11T00:00:00"/>
    <n v="145"/>
    <n v="0.43"/>
    <n v="62.35"/>
    <n v="-8.0399999999999991"/>
    <x v="0"/>
    <x v="6"/>
    <x v="3"/>
  </r>
  <r>
    <s v="CLM104377"/>
    <s v="PT13279"/>
    <s v="P01"/>
    <x v="3"/>
    <x v="7"/>
    <n v="1"/>
    <d v="2026-02-28T00:00:00"/>
    <d v="2026-03-02T00:00:00"/>
    <n v="205.77"/>
    <m/>
    <m/>
    <m/>
    <s v="Denied"/>
    <s v="CO-16"/>
    <d v="2026-03-29T00:00:00"/>
    <m/>
    <n v="210"/>
    <n v="0.45"/>
    <n v="94.5"/>
    <s v=""/>
    <x v="2"/>
    <x v="5"/>
    <x v="0"/>
  </r>
  <r>
    <s v="CLM104378"/>
    <s v="PT11937"/>
    <s v="P06"/>
    <x v="2"/>
    <x v="2"/>
    <n v="1"/>
    <d v="2025-11-18T00:00:00"/>
    <d v="2025-11-23T00:00:00"/>
    <n v="61.98"/>
    <m/>
    <m/>
    <m/>
    <s v="Denied"/>
    <s v="CO-50"/>
    <d v="2026-01-12T00:00:00"/>
    <m/>
    <n v="62"/>
    <n v="0.27"/>
    <n v="16.739999999999998"/>
    <s v=""/>
    <x v="2"/>
    <x v="2"/>
    <x v="3"/>
  </r>
  <r>
    <s v="CLM104379"/>
    <s v="PT12051"/>
    <s v="P04"/>
    <x v="1"/>
    <x v="5"/>
    <n v="1"/>
    <d v="2026-06-12T00:00:00"/>
    <d v="2026-06-14T00:00:00"/>
    <n v="4720.29"/>
    <n v="1495.88"/>
    <n v="1196.7"/>
    <n v="299.18"/>
    <s v="Paid"/>
    <s v=""/>
    <d v="2026-06-24T00:00:00"/>
    <d v="2026-06-24T00:00:00"/>
    <n v="4800"/>
    <n v="0.36"/>
    <n v="1728"/>
    <n v="232.11999999999989"/>
    <x v="1"/>
    <x v="1"/>
    <x v="11"/>
  </r>
  <r>
    <s v="CLM104380"/>
    <s v="PT11178"/>
    <s v="P01"/>
    <x v="1"/>
    <x v="7"/>
    <n v="1"/>
    <d v="2026-08-18T00:00:00"/>
    <d v="2026-08-26T00:00:00"/>
    <n v="214.77"/>
    <n v="109.5"/>
    <n v="98.55"/>
    <n v="10.95"/>
    <s v="Paid"/>
    <s v=""/>
    <d v="2026-09-14T00:00:00"/>
    <d v="2026-09-14T00:00:00"/>
    <n v="210"/>
    <n v="0.45"/>
    <n v="94.5"/>
    <n v="-15"/>
    <x v="0"/>
    <x v="5"/>
    <x v="4"/>
  </r>
  <r>
    <s v="CLM104381"/>
    <s v="PT13372"/>
    <s v="P01"/>
    <x v="0"/>
    <x v="0"/>
    <n v="1"/>
    <d v="2026-05-20T00:00:00"/>
    <d v="2026-05-21T00:00:00"/>
    <n v="140.72999999999999"/>
    <n v="63.61"/>
    <n v="63.61"/>
    <n v="0"/>
    <s v="Paid"/>
    <s v=""/>
    <d v="2026-06-18T00:00:00"/>
    <d v="2026-06-18T00:00:00"/>
    <n v="145"/>
    <n v="0.45"/>
    <n v="65.25"/>
    <n v="1.6400000000000006"/>
    <x v="0"/>
    <x v="5"/>
    <x v="7"/>
  </r>
  <r>
    <s v="CLM104382"/>
    <s v="PT13392"/>
    <s v="P03"/>
    <x v="1"/>
    <x v="8"/>
    <n v="1"/>
    <d v="2026-09-02T00:00:00"/>
    <d v="2026-09-04T00:00:00"/>
    <n v="258.08999999999997"/>
    <m/>
    <m/>
    <m/>
    <s v="Pending"/>
    <s v=""/>
    <m/>
    <m/>
    <n v="260"/>
    <n v="0.47"/>
    <n v="122.2"/>
    <s v=""/>
    <x v="2"/>
    <x v="4"/>
    <x v="8"/>
  </r>
  <r>
    <s v="CLM104383"/>
    <s v="PT11109"/>
    <s v="P05"/>
    <x v="0"/>
    <x v="0"/>
    <n v="1"/>
    <d v="2026-02-03T00:00:00"/>
    <d v="2026-02-05T00:00:00"/>
    <n v="148.38"/>
    <n v="49.7"/>
    <n v="49.7"/>
    <n v="0"/>
    <s v="Paid"/>
    <s v=""/>
    <d v="2026-03-14T00:00:00"/>
    <d v="2026-03-14T00:00:00"/>
    <n v="145"/>
    <n v="0.38"/>
    <n v="55.1"/>
    <n v="5.3999999999999986"/>
    <x v="1"/>
    <x v="0"/>
    <x v="0"/>
  </r>
  <r>
    <s v="CLM104384"/>
    <s v="PT13448"/>
    <s v="P02"/>
    <x v="1"/>
    <x v="1"/>
    <n v="1"/>
    <d v="2026-09-18T00:00:00"/>
    <d v="2026-09-27T00:00:00"/>
    <n v="246.89"/>
    <m/>
    <m/>
    <m/>
    <s v="Pending"/>
    <s v=""/>
    <m/>
    <m/>
    <n v="240"/>
    <n v="0.43"/>
    <n v="103.2"/>
    <s v=""/>
    <x v="2"/>
    <x v="6"/>
    <x v="8"/>
  </r>
  <r>
    <s v="CLM104385"/>
    <s v="PT10576"/>
    <s v="P03"/>
    <x v="2"/>
    <x v="9"/>
    <n v="3"/>
    <d v="2026-07-27T00:00:00"/>
    <d v="2026-07-29T00:00:00"/>
    <n v="171.46"/>
    <n v="86.95"/>
    <n v="69.56"/>
    <n v="17.39"/>
    <s v="Paid"/>
    <s v=""/>
    <d v="2026-09-24T00:00:00"/>
    <d v="2026-09-24T00:00:00"/>
    <n v="58"/>
    <n v="0.47"/>
    <n v="81.78"/>
    <n v="-5.1700000000000017"/>
    <x v="0"/>
    <x v="4"/>
    <x v="1"/>
  </r>
  <r>
    <s v="CLM104386"/>
    <s v="PT10441"/>
    <s v="P06"/>
    <x v="0"/>
    <x v="4"/>
    <n v="1"/>
    <d v="2026-09-03T00:00:00"/>
    <d v="2026-09-04T00:00:00"/>
    <n v="38.909999999999997"/>
    <m/>
    <m/>
    <m/>
    <s v="Pending"/>
    <s v=""/>
    <m/>
    <m/>
    <n v="38"/>
    <n v="0.27"/>
    <n v="10.26"/>
    <s v=""/>
    <x v="2"/>
    <x v="2"/>
    <x v="8"/>
  </r>
  <r>
    <s v="CLM104387"/>
    <s v="PT11161"/>
    <s v="P02"/>
    <x v="0"/>
    <x v="8"/>
    <n v="1"/>
    <d v="2026-07-19T00:00:00"/>
    <d v="2026-07-20T00:00:00"/>
    <n v="256.20999999999998"/>
    <n v="105.59"/>
    <n v="105.59"/>
    <n v="0"/>
    <s v="Paid"/>
    <s v=""/>
    <d v="2026-08-25T00:00:00"/>
    <d v="2026-08-25T00:00:00"/>
    <n v="260"/>
    <n v="0.43"/>
    <n v="111.8"/>
    <n v="6.2099999999999937"/>
    <x v="1"/>
    <x v="6"/>
    <x v="1"/>
  </r>
  <r>
    <s v="CLM104388"/>
    <s v="PT11220"/>
    <s v="P03"/>
    <x v="1"/>
    <x v="11"/>
    <n v="1"/>
    <d v="2026-04-04T00:00:00"/>
    <d v="2026-04-07T00:00:00"/>
    <n v="1148.96"/>
    <n v="583.29"/>
    <n v="466.63"/>
    <n v="116.66"/>
    <s v="Paid"/>
    <s v=""/>
    <d v="2026-05-25T00:00:00"/>
    <d v="2026-05-25T00:00:00"/>
    <n v="1150"/>
    <n v="0.47"/>
    <n v="540.5"/>
    <n v="-42.789999999999964"/>
    <x v="0"/>
    <x v="4"/>
    <x v="10"/>
  </r>
  <r>
    <s v="CLM104389"/>
    <s v="PT11203"/>
    <s v="P07"/>
    <x v="0"/>
    <x v="0"/>
    <n v="1"/>
    <d v="2026-08-09T00:00:00"/>
    <d v="2026-08-10T00:00:00"/>
    <n v="142.65"/>
    <m/>
    <m/>
    <m/>
    <s v="Pending"/>
    <s v=""/>
    <m/>
    <m/>
    <n v="145"/>
    <n v="0.28000000000000003"/>
    <n v="40.6"/>
    <s v=""/>
    <x v="2"/>
    <x v="3"/>
    <x v="4"/>
  </r>
  <r>
    <s v="CLM104390"/>
    <s v="PT11997"/>
    <s v="P07"/>
    <x v="1"/>
    <x v="7"/>
    <n v="1"/>
    <d v="2025-11-20T00:00:00"/>
    <d v="2025-11-23T00:00:00"/>
    <n v="206.52"/>
    <n v="65.66"/>
    <n v="65.66"/>
    <n v="0"/>
    <s v="Paid"/>
    <s v=""/>
    <d v="2026-01-10T00:00:00"/>
    <d v="2026-01-10T00:00:00"/>
    <n v="210"/>
    <n v="0.28000000000000003"/>
    <n v="58.8"/>
    <n v="-6.8599999999999994"/>
    <x v="0"/>
    <x v="3"/>
    <x v="3"/>
  </r>
  <r>
    <s v="CLM104391"/>
    <s v="PT10473"/>
    <s v="P05"/>
    <x v="0"/>
    <x v="7"/>
    <n v="1"/>
    <d v="2026-05-14T00:00:00"/>
    <d v="2026-06-10T00:00:00"/>
    <n v="213"/>
    <n v="72.64"/>
    <n v="65.38"/>
    <n v="7.26"/>
    <s v="Paid"/>
    <s v=""/>
    <d v="2026-08-17T00:00:00"/>
    <d v="2026-08-17T00:00:00"/>
    <n v="210"/>
    <n v="0.38"/>
    <n v="79.8"/>
    <n v="7.1599999999999966"/>
    <x v="1"/>
    <x v="0"/>
    <x v="7"/>
  </r>
  <r>
    <s v="CLM104392"/>
    <s v="PT10562"/>
    <s v="P08"/>
    <x v="1"/>
    <x v="11"/>
    <n v="1"/>
    <d v="2025-10-01T00:00:00"/>
    <d v="2025-10-09T00:00:00"/>
    <n v="1164.94"/>
    <m/>
    <m/>
    <m/>
    <s v="Pending"/>
    <s v=""/>
    <m/>
    <m/>
    <n v="1150"/>
    <n v="1"/>
    <n v="1150"/>
    <s v=""/>
    <x v="2"/>
    <x v="7"/>
    <x v="9"/>
  </r>
  <r>
    <s v="CLM104393"/>
    <s v="PT11955"/>
    <s v="P06"/>
    <x v="1"/>
    <x v="5"/>
    <n v="1"/>
    <d v="2025-12-14T00:00:00"/>
    <d v="2025-12-16T00:00:00"/>
    <n v="4668.55"/>
    <m/>
    <m/>
    <m/>
    <s v="Denied"/>
    <s v="CO-50"/>
    <d v="2026-01-30T00:00:00"/>
    <m/>
    <n v="4800"/>
    <n v="0.27"/>
    <n v="1296"/>
    <s v=""/>
    <x v="2"/>
    <x v="2"/>
    <x v="6"/>
  </r>
  <r>
    <s v="CLM104394"/>
    <s v="PT12168"/>
    <s v="P04"/>
    <x v="2"/>
    <x v="0"/>
    <n v="1"/>
    <d v="2026-08-18T00:00:00"/>
    <d v="2026-08-21T00:00:00"/>
    <n v="145.47999999999999"/>
    <n v="50.3"/>
    <n v="45.27"/>
    <n v="5.03"/>
    <s v="Paid"/>
    <s v=""/>
    <d v="2026-09-08T00:00:00"/>
    <d v="2026-09-08T00:00:00"/>
    <n v="145"/>
    <n v="0.36"/>
    <n v="52.2"/>
    <n v="1.9000000000000057"/>
    <x v="0"/>
    <x v="1"/>
    <x v="4"/>
  </r>
  <r>
    <s v="CLM104395"/>
    <s v="PT10927"/>
    <s v="P03"/>
    <x v="1"/>
    <x v="4"/>
    <n v="1"/>
    <d v="2026-04-01T00:00:00"/>
    <d v="2026-04-05T00:00:00"/>
    <n v="38.42"/>
    <n v="16.34"/>
    <n v="13.07"/>
    <n v="3.27"/>
    <s v="Paid"/>
    <s v=""/>
    <d v="2026-05-20T00:00:00"/>
    <d v="2026-05-20T00:00:00"/>
    <n v="38"/>
    <n v="0.47"/>
    <n v="17.86"/>
    <n v="1.5199999999999996"/>
    <x v="1"/>
    <x v="4"/>
    <x v="10"/>
  </r>
  <r>
    <s v="CLM104396"/>
    <s v="PT12161"/>
    <s v="P04"/>
    <x v="1"/>
    <x v="8"/>
    <n v="1"/>
    <d v="2026-02-21T00:00:00"/>
    <d v="2026-02-27T00:00:00"/>
    <n v="264.68"/>
    <n v="83.43"/>
    <n v="83.43"/>
    <n v="0"/>
    <s v="Paid"/>
    <s v=""/>
    <d v="2026-03-23T00:00:00"/>
    <d v="2026-03-23T00:00:00"/>
    <n v="260"/>
    <n v="0.36"/>
    <n v="93.6"/>
    <n v="10.169999999999987"/>
    <x v="1"/>
    <x v="1"/>
    <x v="0"/>
  </r>
  <r>
    <s v="CLM104397"/>
    <s v="PT10963"/>
    <s v="P06"/>
    <x v="1"/>
    <x v="8"/>
    <n v="1"/>
    <d v="2026-08-05T00:00:00"/>
    <d v="2026-08-06T00:00:00"/>
    <n v="261.88"/>
    <m/>
    <m/>
    <m/>
    <s v="Denied"/>
    <s v="CO-11"/>
    <d v="2026-09-20T00:00:00"/>
    <m/>
    <n v="260"/>
    <n v="0.27"/>
    <n v="70.2"/>
    <s v=""/>
    <x v="2"/>
    <x v="2"/>
    <x v="4"/>
  </r>
  <r>
    <s v="CLM104398"/>
    <s v="PT12917"/>
    <s v="P04"/>
    <x v="1"/>
    <x v="7"/>
    <n v="1"/>
    <d v="2026-07-29T00:00:00"/>
    <d v="2026-08-07T00:00:00"/>
    <n v="213.09"/>
    <n v="69.27"/>
    <n v="55.42"/>
    <n v="13.85"/>
    <s v="Paid"/>
    <s v=""/>
    <d v="2026-08-23T00:00:00"/>
    <d v="2026-08-23T00:00:00"/>
    <n v="210"/>
    <n v="0.36"/>
    <n v="75.599999999999994"/>
    <n v="6.3299999999999983"/>
    <x v="1"/>
    <x v="1"/>
    <x v="1"/>
  </r>
  <r>
    <s v="CLM104399"/>
    <s v="PT10883"/>
    <s v="P03"/>
    <x v="1"/>
    <x v="1"/>
    <n v="1"/>
    <d v="2026-08-17T00:00:00"/>
    <d v="2026-08-18T00:00:00"/>
    <n v="232.98"/>
    <m/>
    <m/>
    <m/>
    <s v="Pending"/>
    <s v=""/>
    <m/>
    <m/>
    <n v="240"/>
    <n v="0.47"/>
    <n v="112.8"/>
    <s v=""/>
    <x v="2"/>
    <x v="4"/>
    <x v="4"/>
  </r>
  <r>
    <s v="CLM104400"/>
    <s v="PT10921"/>
    <s v="P02"/>
    <x v="1"/>
    <x v="7"/>
    <n v="1"/>
    <d v="2026-01-09T00:00:00"/>
    <d v="2026-01-24T00:00:00"/>
    <n v="214.13"/>
    <n v="78.209999999999994"/>
    <n v="62.57"/>
    <n v="15.64"/>
    <s v="Paid"/>
    <s v=""/>
    <d v="2026-03-10T00:00:00"/>
    <d v="2026-03-10T00:00:00"/>
    <n v="210"/>
    <n v="0.43"/>
    <n v="90.3"/>
    <n v="12.090000000000003"/>
    <x v="1"/>
    <x v="6"/>
    <x v="5"/>
  </r>
  <r>
    <s v="CLM104401"/>
    <s v="PT13133"/>
    <s v="P01"/>
    <x v="1"/>
    <x v="7"/>
    <n v="1"/>
    <d v="2026-02-28T00:00:00"/>
    <d v="2026-03-01T00:00:00"/>
    <n v="211.86"/>
    <n v="104.13"/>
    <n v="83.3"/>
    <n v="20.83"/>
    <s v="Paid"/>
    <s v=""/>
    <d v="2026-03-30T00:00:00"/>
    <d v="2026-03-30T00:00:00"/>
    <n v="210"/>
    <n v="0.45"/>
    <n v="94.5"/>
    <n v="-9.6299999999999955"/>
    <x v="0"/>
    <x v="5"/>
    <x v="0"/>
  </r>
  <r>
    <s v="CLM104402"/>
    <s v="PT13322"/>
    <s v="P02"/>
    <x v="2"/>
    <x v="9"/>
    <n v="1"/>
    <d v="2026-06-15T00:00:00"/>
    <d v="2026-06-21T00:00:00"/>
    <n v="59.18"/>
    <m/>
    <m/>
    <m/>
    <s v="Denied"/>
    <s v="CO-16"/>
    <d v="2026-07-28T00:00:00"/>
    <m/>
    <n v="58"/>
    <n v="0.43"/>
    <n v="24.94"/>
    <s v=""/>
    <x v="2"/>
    <x v="6"/>
    <x v="11"/>
  </r>
  <r>
    <s v="CLM104403"/>
    <s v="PT11191"/>
    <s v="P01"/>
    <x v="2"/>
    <x v="2"/>
    <n v="3"/>
    <d v="2025-11-27T00:00:00"/>
    <d v="2025-12-05T00:00:00"/>
    <n v="191.46"/>
    <n v="77.12"/>
    <n v="69.41"/>
    <n v="7.71"/>
    <s v="Paid"/>
    <s v=""/>
    <d v="2026-01-10T00:00:00"/>
    <d v="2026-01-10T00:00:00"/>
    <n v="62"/>
    <n v="0.45"/>
    <n v="83.7"/>
    <n v="6.5799999999999983"/>
    <x v="1"/>
    <x v="5"/>
    <x v="3"/>
  </r>
  <r>
    <s v="CLM104404"/>
    <s v="PT10349"/>
    <s v="P01"/>
    <x v="3"/>
    <x v="6"/>
    <n v="1"/>
    <d v="2025-10-20T00:00:00"/>
    <d v="2025-10-24T00:00:00"/>
    <n v="418.5"/>
    <n v="163.55000000000001"/>
    <n v="163.55000000000001"/>
    <n v="0"/>
    <s v="Paid"/>
    <s v=""/>
    <d v="2025-12-02T00:00:00"/>
    <d v="2025-12-02T00:00:00"/>
    <n v="420"/>
    <n v="0.45"/>
    <n v="189"/>
    <n v="25.449999999999989"/>
    <x v="1"/>
    <x v="5"/>
    <x v="9"/>
  </r>
  <r>
    <s v="CLM104405"/>
    <s v="PT10436"/>
    <s v="P04"/>
    <x v="1"/>
    <x v="5"/>
    <n v="1"/>
    <d v="2026-06-10T00:00:00"/>
    <d v="2026-06-12T00:00:00"/>
    <n v="4801.9399999999996"/>
    <n v="1652.48"/>
    <n v="1652.48"/>
    <n v="0"/>
    <s v="Paid"/>
    <s v=""/>
    <d v="2026-07-09T00:00:00"/>
    <d v="2026-07-09T00:00:00"/>
    <n v="4800"/>
    <n v="0.36"/>
    <n v="1728"/>
    <n v="75.519999999999982"/>
    <x v="0"/>
    <x v="1"/>
    <x v="11"/>
  </r>
  <r>
    <s v="CLM104406"/>
    <s v="PT10563"/>
    <s v="P01"/>
    <x v="2"/>
    <x v="2"/>
    <n v="1"/>
    <d v="2026-02-19T00:00:00"/>
    <d v="2026-02-25T00:00:00"/>
    <n v="63.76"/>
    <n v="25.27"/>
    <n v="20.22"/>
    <n v="5.05"/>
    <s v="Paid"/>
    <s v=""/>
    <d v="2026-03-28T00:00:00"/>
    <d v="2026-03-28T00:00:00"/>
    <n v="62"/>
    <n v="0.45"/>
    <n v="27.9"/>
    <n v="2.629999999999999"/>
    <x v="1"/>
    <x v="5"/>
    <x v="0"/>
  </r>
  <r>
    <s v="CLM104407"/>
    <s v="PT11931"/>
    <s v="P02"/>
    <x v="1"/>
    <x v="10"/>
    <n v="1"/>
    <d v="2025-10-13T00:00:00"/>
    <d v="2025-10-14T00:00:00"/>
    <n v="1080.42"/>
    <n v="449.09"/>
    <n v="404.18"/>
    <n v="44.91"/>
    <s v="Paid"/>
    <s v=""/>
    <d v="2025-11-09T00:00:00"/>
    <d v="2025-11-09T00:00:00"/>
    <n v="1050"/>
    <n v="0.43"/>
    <n v="451.5"/>
    <n v="2.410000000000025"/>
    <x v="0"/>
    <x v="6"/>
    <x v="9"/>
  </r>
  <r>
    <s v="CLM104408"/>
    <s v="PT13284"/>
    <s v="P04"/>
    <x v="2"/>
    <x v="2"/>
    <n v="4"/>
    <d v="2026-06-01T00:00:00"/>
    <d v="2026-06-03T00:00:00"/>
    <n v="244.08"/>
    <n v="96.54"/>
    <n v="86.89"/>
    <n v="9.65"/>
    <s v="Paid"/>
    <s v=""/>
    <d v="2026-06-27T00:00:00"/>
    <d v="2026-06-27T00:00:00"/>
    <n v="62"/>
    <n v="0.36"/>
    <n v="89.28"/>
    <n v="-7.2600000000000051"/>
    <x v="0"/>
    <x v="1"/>
    <x v="11"/>
  </r>
  <r>
    <s v="CLM104409"/>
    <s v="PT10786"/>
    <s v="P01"/>
    <x v="2"/>
    <x v="0"/>
    <n v="1"/>
    <d v="2026-04-17T00:00:00"/>
    <d v="2026-04-18T00:00:00"/>
    <n v="142.62"/>
    <n v="70.27"/>
    <n v="70.27"/>
    <n v="0"/>
    <s v="Paid"/>
    <s v=""/>
    <d v="2026-05-22T00:00:00"/>
    <d v="2026-05-22T00:00:00"/>
    <n v="145"/>
    <n v="0.45"/>
    <n v="65.25"/>
    <n v="-5.019999999999996"/>
    <x v="0"/>
    <x v="5"/>
    <x v="10"/>
  </r>
  <r>
    <s v="CLM104410"/>
    <s v="PT13090"/>
    <s v="P08"/>
    <x v="0"/>
    <x v="4"/>
    <n v="1"/>
    <d v="2026-03-19T00:00:00"/>
    <d v="2026-03-20T00:00:00"/>
    <n v="38.74"/>
    <n v="38.74"/>
    <n v="38.74"/>
    <n v="0"/>
    <s v="Paid"/>
    <s v=""/>
    <d v="2026-05-28T00:00:00"/>
    <d v="2026-05-28T00:00:00"/>
    <n v="38"/>
    <n v="1"/>
    <n v="38"/>
    <n v="-0.74000000000000199"/>
    <x v="0"/>
    <x v="7"/>
    <x v="2"/>
  </r>
  <r>
    <s v="CLM104411"/>
    <s v="PT12281"/>
    <s v="P01"/>
    <x v="3"/>
    <x v="3"/>
    <n v="10"/>
    <d v="2025-12-18T00:00:00"/>
    <d v="2025-12-20T00:00:00"/>
    <n v="14448.38"/>
    <n v="6409.45"/>
    <n v="5768.5"/>
    <n v="640.95000000000005"/>
    <s v="Paid"/>
    <s v=""/>
    <d v="2026-01-16T00:00:00"/>
    <d v="2026-01-16T00:00:00"/>
    <n v="1450"/>
    <n v="0.45"/>
    <n v="6525"/>
    <n v="115.55000000000018"/>
    <x v="0"/>
    <x v="5"/>
    <x v="6"/>
  </r>
  <r>
    <s v="CLM104412"/>
    <s v="PT12024"/>
    <s v="P05"/>
    <x v="3"/>
    <x v="3"/>
    <n v="10"/>
    <d v="2025-12-21T00:00:00"/>
    <d v="2025-12-23T00:00:00"/>
    <n v="14565.91"/>
    <n v="6094.1"/>
    <n v="5484.69"/>
    <n v="609.41"/>
    <s v="Paid"/>
    <s v=""/>
    <d v="2026-01-29T00:00:00"/>
    <d v="2026-01-29T00:00:00"/>
    <n v="1450"/>
    <n v="0.38"/>
    <n v="5510"/>
    <n v="-584.10000000000036"/>
    <x v="0"/>
    <x v="0"/>
    <x v="6"/>
  </r>
  <r>
    <s v="CLM104413"/>
    <s v="PT11576"/>
    <s v="P03"/>
    <x v="0"/>
    <x v="0"/>
    <n v="1"/>
    <d v="2025-11-17T00:00:00"/>
    <d v="2025-11-19T00:00:00"/>
    <n v="143.22999999999999"/>
    <n v="74.88"/>
    <n v="74.88"/>
    <n v="0"/>
    <s v="Paid"/>
    <s v=""/>
    <d v="2026-01-24T00:00:00"/>
    <d v="2026-01-24T00:00:00"/>
    <n v="145"/>
    <n v="0.47"/>
    <n v="68.150000000000006"/>
    <n v="-6.7299999999999898"/>
    <x v="0"/>
    <x v="4"/>
    <x v="3"/>
  </r>
  <r>
    <s v="CLM104414"/>
    <s v="PT11572"/>
    <s v="P08"/>
    <x v="1"/>
    <x v="11"/>
    <n v="1"/>
    <d v="2026-02-22T00:00:00"/>
    <d v="2026-03-05T00:00:00"/>
    <n v="1126.44"/>
    <m/>
    <m/>
    <m/>
    <s v="Pending"/>
    <s v=""/>
    <m/>
    <m/>
    <n v="1150"/>
    <n v="1"/>
    <n v="1150"/>
    <s v=""/>
    <x v="2"/>
    <x v="7"/>
    <x v="0"/>
  </r>
  <r>
    <s v="CLM104415"/>
    <s v="PT11136"/>
    <s v="P01"/>
    <x v="3"/>
    <x v="3"/>
    <n v="30"/>
    <d v="2026-09-23T00:00:00"/>
    <d v="2026-09-26T00:00:00"/>
    <n v="43212.480000000003"/>
    <m/>
    <m/>
    <m/>
    <s v="Pending"/>
    <s v=""/>
    <m/>
    <m/>
    <n v="1450"/>
    <n v="0.45"/>
    <n v="19575"/>
    <s v=""/>
    <x v="2"/>
    <x v="5"/>
    <x v="8"/>
  </r>
  <r>
    <s v="CLM104416"/>
    <s v="PT12475"/>
    <s v="P07"/>
    <x v="2"/>
    <x v="9"/>
    <n v="1"/>
    <d v="2025-12-13T00:00:00"/>
    <d v="2026-04-25T00:00:00"/>
    <n v="58.78"/>
    <m/>
    <m/>
    <m/>
    <s v="Denied"/>
    <s v="CO-29"/>
    <d v="2026-07-12T00:00:00"/>
    <m/>
    <n v="58"/>
    <n v="0.28000000000000003"/>
    <n v="16.239999999999998"/>
    <s v=""/>
    <x v="2"/>
    <x v="3"/>
    <x v="6"/>
  </r>
  <r>
    <s v="CLM104417"/>
    <s v="PT10163"/>
    <s v="P02"/>
    <x v="0"/>
    <x v="0"/>
    <n v="1"/>
    <d v="2026-01-26T00:00:00"/>
    <d v="2026-01-30T00:00:00"/>
    <n v="144.85"/>
    <n v="64.91"/>
    <n v="51.93"/>
    <n v="12.98"/>
    <s v="Paid"/>
    <s v=""/>
    <d v="2026-03-02T00:00:00"/>
    <d v="2026-03-02T00:00:00"/>
    <n v="145"/>
    <n v="0.43"/>
    <n v="62.35"/>
    <n v="-2.5599999999999952"/>
    <x v="0"/>
    <x v="6"/>
    <x v="5"/>
  </r>
  <r>
    <s v="CLM104418"/>
    <s v="PT12318"/>
    <s v="P02"/>
    <x v="3"/>
    <x v="3"/>
    <n v="30"/>
    <d v="2026-06-19T00:00:00"/>
    <d v="2026-06-21T00:00:00"/>
    <n v="44576.71"/>
    <m/>
    <m/>
    <m/>
    <s v="Denied"/>
    <s v="CO-197"/>
    <d v="2026-07-26T00:00:00"/>
    <m/>
    <n v="1450"/>
    <n v="0.43"/>
    <n v="18705"/>
    <s v=""/>
    <x v="2"/>
    <x v="6"/>
    <x v="11"/>
  </r>
  <r>
    <s v="CLM104419"/>
    <s v="PT10382"/>
    <s v="P01"/>
    <x v="1"/>
    <x v="8"/>
    <n v="1"/>
    <d v="2026-08-24T00:00:00"/>
    <d v="2026-08-29T00:00:00"/>
    <n v="263.60000000000002"/>
    <n v="106.94"/>
    <n v="106.94"/>
    <n v="0"/>
    <s v="Paid"/>
    <s v=""/>
    <d v="2026-09-20T00:00:00"/>
    <d v="2026-09-20T00:00:00"/>
    <n v="260"/>
    <n v="0.45"/>
    <n v="117"/>
    <n v="10.060000000000002"/>
    <x v="1"/>
    <x v="5"/>
    <x v="4"/>
  </r>
  <r>
    <s v="CLM104420"/>
    <s v="PT10986"/>
    <s v="P01"/>
    <x v="0"/>
    <x v="8"/>
    <n v="1"/>
    <d v="2026-08-24T00:00:00"/>
    <d v="2026-09-08T00:00:00"/>
    <n v="259.45999999999998"/>
    <m/>
    <m/>
    <m/>
    <s v="Pending"/>
    <s v=""/>
    <m/>
    <m/>
    <n v="260"/>
    <n v="0.45"/>
    <n v="117"/>
    <s v=""/>
    <x v="2"/>
    <x v="5"/>
    <x v="4"/>
  </r>
  <r>
    <s v="CLM104421"/>
    <s v="PT11076"/>
    <s v="P05"/>
    <x v="1"/>
    <x v="4"/>
    <n v="1"/>
    <d v="2026-03-30T00:00:00"/>
    <d v="2026-04-04T00:00:00"/>
    <n v="39.11"/>
    <n v="14.62"/>
    <n v="13.16"/>
    <n v="1.46"/>
    <s v="Paid"/>
    <s v=""/>
    <d v="2026-05-30T00:00:00"/>
    <d v="2026-05-30T00:00:00"/>
    <n v="38"/>
    <n v="0.38"/>
    <n v="14.44"/>
    <n v="-0.17999999999999972"/>
    <x v="0"/>
    <x v="0"/>
    <x v="2"/>
  </r>
  <r>
    <s v="CLM104422"/>
    <s v="PT12588"/>
    <s v="P02"/>
    <x v="0"/>
    <x v="4"/>
    <n v="1"/>
    <d v="2026-08-10T00:00:00"/>
    <d v="2026-08-14T00:00:00"/>
    <n v="37.880000000000003"/>
    <n v="16.11"/>
    <n v="16.11"/>
    <n v="0"/>
    <s v="Paid"/>
    <s v=""/>
    <d v="2026-09-25T00:00:00"/>
    <d v="2026-09-25T00:00:00"/>
    <n v="38"/>
    <n v="0.43"/>
    <n v="16.34"/>
    <n v="0.23000000000000043"/>
    <x v="0"/>
    <x v="6"/>
    <x v="4"/>
  </r>
  <r>
    <s v="CLM104423"/>
    <s v="PT12396"/>
    <s v="P05"/>
    <x v="0"/>
    <x v="0"/>
    <n v="1"/>
    <d v="2026-03-05T00:00:00"/>
    <d v="2026-03-09T00:00:00"/>
    <n v="142.5"/>
    <n v="51.57"/>
    <n v="46.41"/>
    <n v="5.16"/>
    <s v="Paid"/>
    <s v=""/>
    <d v="2026-05-18T00:00:00"/>
    <d v="2026-05-18T00:00:00"/>
    <n v="145"/>
    <n v="0.38"/>
    <n v="55.1"/>
    <n v="3.5300000000000011"/>
    <x v="1"/>
    <x v="0"/>
    <x v="2"/>
  </r>
  <r>
    <s v="CLM104424"/>
    <s v="PT13125"/>
    <s v="P04"/>
    <x v="2"/>
    <x v="0"/>
    <n v="1"/>
    <d v="2025-11-01T00:00:00"/>
    <d v="2025-11-10T00:00:00"/>
    <n v="147.66999999999999"/>
    <n v="59.35"/>
    <n v="59.35"/>
    <n v="0"/>
    <s v="Paid"/>
    <s v=""/>
    <d v="2025-12-03T00:00:00"/>
    <d v="2025-12-03T00:00:00"/>
    <n v="145"/>
    <n v="0.36"/>
    <n v="52.2"/>
    <n v="-7.1499999999999986"/>
    <x v="0"/>
    <x v="1"/>
    <x v="3"/>
  </r>
  <r>
    <s v="CLM104425"/>
    <s v="PT11528"/>
    <s v="P05"/>
    <x v="1"/>
    <x v="8"/>
    <n v="1"/>
    <d v="2025-11-24T00:00:00"/>
    <d v="2025-11-25T00:00:00"/>
    <n v="257.39999999999998"/>
    <n v="112.65"/>
    <n v="101.38"/>
    <n v="11.27"/>
    <s v="Paid"/>
    <s v=""/>
    <d v="2026-01-06T00:00:00"/>
    <d v="2026-01-06T00:00:00"/>
    <n v="260"/>
    <n v="0.38"/>
    <n v="98.8"/>
    <n v="-13.850000000000009"/>
    <x v="0"/>
    <x v="0"/>
    <x v="3"/>
  </r>
  <r>
    <s v="CLM104426"/>
    <s v="PT10290"/>
    <s v="P08"/>
    <x v="1"/>
    <x v="5"/>
    <n v="1"/>
    <d v="2026-08-05T00:00:00"/>
    <d v="2026-08-10T00:00:00"/>
    <n v="4916.0600000000004"/>
    <m/>
    <m/>
    <m/>
    <s v="Pending"/>
    <s v=""/>
    <m/>
    <m/>
    <n v="4800"/>
    <n v="1"/>
    <n v="4800"/>
    <s v=""/>
    <x v="2"/>
    <x v="7"/>
    <x v="4"/>
  </r>
  <r>
    <s v="CLM104427"/>
    <s v="PT10034"/>
    <s v="P04"/>
    <x v="3"/>
    <x v="7"/>
    <n v="1"/>
    <d v="2026-07-31T00:00:00"/>
    <d v="2026-08-02T00:00:00"/>
    <n v="205.64"/>
    <n v="83.24"/>
    <n v="83.24"/>
    <n v="0"/>
    <s v="Paid"/>
    <s v=""/>
    <d v="2026-08-14T00:00:00"/>
    <d v="2026-08-14T00:00:00"/>
    <n v="210"/>
    <n v="0.36"/>
    <n v="75.599999999999994"/>
    <n v="-7.6400000000000006"/>
    <x v="0"/>
    <x v="1"/>
    <x v="1"/>
  </r>
  <r>
    <s v="CLM104428"/>
    <s v="PT11853"/>
    <s v="P06"/>
    <x v="3"/>
    <x v="7"/>
    <n v="1"/>
    <d v="2026-04-07T00:00:00"/>
    <d v="2026-04-12T00:00:00"/>
    <n v="214.64"/>
    <n v="50.27"/>
    <n v="45.24"/>
    <n v="5.03"/>
    <s v="Paid"/>
    <s v=""/>
    <d v="2026-05-24T00:00:00"/>
    <d v="2026-05-24T00:00:00"/>
    <n v="210"/>
    <n v="0.27"/>
    <n v="56.7"/>
    <n v="6.43"/>
    <x v="1"/>
    <x v="2"/>
    <x v="10"/>
  </r>
  <r>
    <s v="CLM104429"/>
    <s v="PT11181"/>
    <s v="P06"/>
    <x v="1"/>
    <x v="7"/>
    <n v="1"/>
    <d v="2025-10-22T00:00:00"/>
    <d v="2025-10-24T00:00:00"/>
    <n v="210.79"/>
    <m/>
    <m/>
    <m/>
    <s v="Denied"/>
    <s v="CO-11"/>
    <d v="2025-11-09T00:00:00"/>
    <m/>
    <n v="210"/>
    <n v="0.27"/>
    <n v="56.7"/>
    <s v=""/>
    <x v="2"/>
    <x v="2"/>
    <x v="9"/>
  </r>
  <r>
    <s v="CLM104430"/>
    <s v="PT11587"/>
    <s v="P01"/>
    <x v="1"/>
    <x v="10"/>
    <n v="1"/>
    <d v="2026-07-16T00:00:00"/>
    <d v="2026-07-21T00:00:00"/>
    <n v="1070.8699999999999"/>
    <m/>
    <m/>
    <m/>
    <s v="Denied"/>
    <s v="CO-197"/>
    <d v="2026-08-08T00:00:00"/>
    <m/>
    <n v="1050"/>
    <n v="0.45"/>
    <n v="472.5"/>
    <s v=""/>
    <x v="2"/>
    <x v="5"/>
    <x v="1"/>
  </r>
  <r>
    <s v="CLM104431"/>
    <s v="PT10138"/>
    <s v="P05"/>
    <x v="3"/>
    <x v="3"/>
    <n v="20"/>
    <d v="2026-06-26T00:00:00"/>
    <d v="2026-07-09T00:00:00"/>
    <n v="28199.26"/>
    <m/>
    <m/>
    <m/>
    <s v="Pending"/>
    <s v=""/>
    <m/>
    <m/>
    <n v="1450"/>
    <n v="0.38"/>
    <n v="11020"/>
    <s v=""/>
    <x v="2"/>
    <x v="0"/>
    <x v="11"/>
  </r>
  <r>
    <s v="CLM104432"/>
    <s v="PT13275"/>
    <s v="P03"/>
    <x v="3"/>
    <x v="7"/>
    <n v="1"/>
    <d v="2026-08-13T00:00:00"/>
    <d v="2026-08-17T00:00:00"/>
    <n v="209.49"/>
    <m/>
    <m/>
    <m/>
    <s v="Pending"/>
    <s v=""/>
    <m/>
    <m/>
    <n v="210"/>
    <n v="0.47"/>
    <n v="98.7"/>
    <s v=""/>
    <x v="2"/>
    <x v="4"/>
    <x v="4"/>
  </r>
  <r>
    <s v="CLM104433"/>
    <s v="PT12496"/>
    <s v="P01"/>
    <x v="3"/>
    <x v="6"/>
    <n v="1"/>
    <d v="2026-08-23T00:00:00"/>
    <d v="2026-08-26T00:00:00"/>
    <n v="410.06"/>
    <n v="164.04"/>
    <n v="147.63999999999999"/>
    <n v="16.399999999999999"/>
    <s v="Paid"/>
    <s v=""/>
    <d v="2026-09-26T00:00:00"/>
    <d v="2026-09-26T00:00:00"/>
    <n v="420"/>
    <n v="0.45"/>
    <n v="189"/>
    <n v="24.960000000000008"/>
    <x v="1"/>
    <x v="5"/>
    <x v="4"/>
  </r>
  <r>
    <s v="CLM104434"/>
    <s v="PT10211"/>
    <s v="P03"/>
    <x v="1"/>
    <x v="11"/>
    <n v="1"/>
    <d v="2025-10-25T00:00:00"/>
    <d v="2025-10-26T00:00:00"/>
    <n v="1121.32"/>
    <n v="547.83000000000004"/>
    <n v="493.05"/>
    <n v="54.78"/>
    <s v="Paid"/>
    <s v=""/>
    <d v="2025-12-01T00:00:00"/>
    <d v="2025-12-01T00:00:00"/>
    <n v="1150"/>
    <n v="0.47"/>
    <n v="540.5"/>
    <n v="-7.3300000000000409"/>
    <x v="0"/>
    <x v="4"/>
    <x v="9"/>
  </r>
  <r>
    <s v="CLM104435"/>
    <s v="PT11561"/>
    <s v="P03"/>
    <x v="1"/>
    <x v="4"/>
    <n v="1"/>
    <d v="2025-11-02T00:00:00"/>
    <d v="2025-11-03T00:00:00"/>
    <n v="38.03"/>
    <n v="19.03"/>
    <n v="15.22"/>
    <n v="3.81"/>
    <s v="Paid"/>
    <s v=""/>
    <d v="2025-12-06T00:00:00"/>
    <d v="2025-12-06T00:00:00"/>
    <n v="38"/>
    <n v="0.47"/>
    <n v="17.86"/>
    <n v="-1.1700000000000017"/>
    <x v="0"/>
    <x v="4"/>
    <x v="3"/>
  </r>
  <r>
    <s v="CLM104436"/>
    <s v="PT10410"/>
    <s v="P04"/>
    <x v="3"/>
    <x v="3"/>
    <n v="5"/>
    <d v="2026-04-12T00:00:00"/>
    <d v="2026-04-22T00:00:00"/>
    <n v="7033.91"/>
    <n v="2777.03"/>
    <n v="2777.03"/>
    <n v="0"/>
    <s v="Paid"/>
    <s v=""/>
    <d v="2026-05-16T00:00:00"/>
    <d v="2026-05-16T00:00:00"/>
    <n v="1450"/>
    <n v="0.36"/>
    <n v="2610"/>
    <n v="-167.0300000000002"/>
    <x v="0"/>
    <x v="1"/>
    <x v="10"/>
  </r>
  <r>
    <s v="CLM104437"/>
    <s v="PT11305"/>
    <s v="P05"/>
    <x v="1"/>
    <x v="7"/>
    <n v="1"/>
    <d v="2025-12-07T00:00:00"/>
    <d v="2025-12-08T00:00:00"/>
    <n v="212.83"/>
    <n v="89.73"/>
    <n v="89.73"/>
    <n v="0"/>
    <s v="Paid"/>
    <s v=""/>
    <d v="2026-02-02T00:00:00"/>
    <d v="2026-02-02T00:00:00"/>
    <n v="210"/>
    <n v="0.38"/>
    <n v="79.8"/>
    <n v="-9.9300000000000068"/>
    <x v="0"/>
    <x v="0"/>
    <x v="6"/>
  </r>
  <r>
    <s v="CLM104438"/>
    <s v="PT10021"/>
    <s v="P01"/>
    <x v="1"/>
    <x v="4"/>
    <n v="1"/>
    <d v="2025-11-09T00:00:00"/>
    <d v="2025-11-18T00:00:00"/>
    <n v="38.6"/>
    <n v="18.63"/>
    <n v="18.63"/>
    <n v="0"/>
    <s v="Paid"/>
    <s v=""/>
    <d v="2025-12-02T00:00:00"/>
    <d v="2025-12-02T00:00:00"/>
    <n v="38"/>
    <n v="0.45"/>
    <n v="17.100000000000001"/>
    <n v="-1.5299999999999976"/>
    <x v="0"/>
    <x v="5"/>
    <x v="3"/>
  </r>
  <r>
    <s v="CLM104439"/>
    <s v="PT11248"/>
    <s v="P03"/>
    <x v="3"/>
    <x v="6"/>
    <n v="1"/>
    <d v="2026-06-23T00:00:00"/>
    <d v="2026-07-01T00:00:00"/>
    <n v="430.11"/>
    <m/>
    <m/>
    <m/>
    <s v="Denied"/>
    <s v="CO-27"/>
    <d v="2026-08-05T00:00:00"/>
    <m/>
    <n v="420"/>
    <n v="0.47"/>
    <n v="197.4"/>
    <s v=""/>
    <x v="2"/>
    <x v="4"/>
    <x v="11"/>
  </r>
  <r>
    <s v="CLM104440"/>
    <s v="PT10497"/>
    <s v="P01"/>
    <x v="2"/>
    <x v="0"/>
    <n v="1"/>
    <d v="2025-12-17T00:00:00"/>
    <d v="2025-12-21T00:00:00"/>
    <n v="143.81"/>
    <n v="74.180000000000007"/>
    <n v="59.34"/>
    <n v="14.84"/>
    <s v="Paid"/>
    <s v=""/>
    <d v="2026-01-11T00:00:00"/>
    <d v="2026-01-11T00:00:00"/>
    <n v="145"/>
    <n v="0.45"/>
    <n v="65.25"/>
    <n v="-8.9300000000000068"/>
    <x v="0"/>
    <x v="5"/>
    <x v="6"/>
  </r>
  <r>
    <s v="CLM104441"/>
    <s v="PT13222"/>
    <s v="P01"/>
    <x v="0"/>
    <x v="7"/>
    <n v="1"/>
    <d v="2026-06-06T00:00:00"/>
    <d v="2026-06-13T00:00:00"/>
    <n v="203.95"/>
    <n v="84.73"/>
    <n v="76.260000000000005"/>
    <n v="8.4700000000000006"/>
    <s v="Paid"/>
    <s v=""/>
    <d v="2026-07-06T00:00:00"/>
    <d v="2026-07-06T00:00:00"/>
    <n v="210"/>
    <n v="0.45"/>
    <n v="94.5"/>
    <n v="9.769999999999996"/>
    <x v="1"/>
    <x v="5"/>
    <x v="11"/>
  </r>
  <r>
    <s v="CLM104442"/>
    <s v="PT13415"/>
    <s v="P02"/>
    <x v="2"/>
    <x v="9"/>
    <n v="1"/>
    <d v="2025-10-19T00:00:00"/>
    <d v="2025-10-30T00:00:00"/>
    <n v="58.72"/>
    <n v="27.79"/>
    <n v="25.01"/>
    <n v="2.78"/>
    <s v="Paid"/>
    <s v=""/>
    <d v="2025-11-22T00:00:00"/>
    <d v="2025-11-22T00:00:00"/>
    <n v="58"/>
    <n v="0.43"/>
    <n v="24.94"/>
    <n v="-2.8499999999999979"/>
    <x v="0"/>
    <x v="6"/>
    <x v="9"/>
  </r>
  <r>
    <s v="CLM104443"/>
    <s v="PT10698"/>
    <s v="P04"/>
    <x v="3"/>
    <x v="7"/>
    <n v="1"/>
    <d v="2026-03-19T00:00:00"/>
    <d v="2026-03-31T00:00:00"/>
    <n v="212.46"/>
    <n v="87.69"/>
    <n v="87.69"/>
    <n v="0"/>
    <s v="Paid"/>
    <s v=""/>
    <d v="2026-04-09T00:00:00"/>
    <d v="2026-04-09T00:00:00"/>
    <n v="210"/>
    <n v="0.36"/>
    <n v="75.599999999999994"/>
    <n v="-12.090000000000003"/>
    <x v="0"/>
    <x v="1"/>
    <x v="2"/>
  </r>
  <r>
    <s v="CLM104444"/>
    <s v="PT12061"/>
    <s v="P04"/>
    <x v="1"/>
    <x v="11"/>
    <n v="1"/>
    <d v="2025-12-10T00:00:00"/>
    <d v="2025-12-12T00:00:00"/>
    <n v="1144.4100000000001"/>
    <n v="377.01"/>
    <n v="339.31"/>
    <n v="37.700000000000003"/>
    <s v="Paid"/>
    <s v=""/>
    <d v="2025-12-25T00:00:00"/>
    <d v="2025-12-25T00:00:00"/>
    <n v="1150"/>
    <n v="0.36"/>
    <n v="414"/>
    <n v="36.990000000000009"/>
    <x v="1"/>
    <x v="1"/>
    <x v="6"/>
  </r>
  <r>
    <s v="CLM104445"/>
    <s v="PT10058"/>
    <s v="P06"/>
    <x v="0"/>
    <x v="0"/>
    <n v="1"/>
    <d v="2026-01-08T00:00:00"/>
    <d v="2026-01-09T00:00:00"/>
    <n v="141.99"/>
    <n v="40.61"/>
    <n v="40.61"/>
    <n v="0"/>
    <s v="Paid"/>
    <s v=""/>
    <d v="2026-02-03T00:00:00"/>
    <d v="2026-02-03T00:00:00"/>
    <n v="145"/>
    <n v="0.27"/>
    <n v="39.15"/>
    <n v="-1.4600000000000009"/>
    <x v="0"/>
    <x v="2"/>
    <x v="5"/>
  </r>
  <r>
    <s v="CLM104446"/>
    <s v="PT12271"/>
    <s v="P04"/>
    <x v="1"/>
    <x v="5"/>
    <n v="1"/>
    <d v="2026-05-19T00:00:00"/>
    <d v="2026-05-25T00:00:00"/>
    <n v="4778.49"/>
    <n v="1602.55"/>
    <n v="1282.04"/>
    <n v="320.51"/>
    <s v="Paid"/>
    <s v=""/>
    <d v="2026-06-08T00:00:00"/>
    <d v="2026-06-08T00:00:00"/>
    <n v="4800"/>
    <n v="0.36"/>
    <n v="1728"/>
    <n v="125.45000000000005"/>
    <x v="1"/>
    <x v="1"/>
    <x v="7"/>
  </r>
  <r>
    <s v="CLM104447"/>
    <s v="PT11709"/>
    <s v="P04"/>
    <x v="1"/>
    <x v="7"/>
    <n v="1"/>
    <d v="2025-10-23T00:00:00"/>
    <d v="2025-11-02T00:00:00"/>
    <n v="215.31"/>
    <n v="71.010000000000005"/>
    <n v="56.81"/>
    <n v="14.2"/>
    <s v="Paid"/>
    <s v=""/>
    <d v="2025-11-19T00:00:00"/>
    <d v="2025-11-19T00:00:00"/>
    <n v="210"/>
    <n v="0.36"/>
    <n v="75.599999999999994"/>
    <n v="4.5899999999999892"/>
    <x v="1"/>
    <x v="1"/>
    <x v="9"/>
  </r>
  <r>
    <s v="CLM104448"/>
    <s v="PT13458"/>
    <s v="P05"/>
    <x v="0"/>
    <x v="4"/>
    <n v="1"/>
    <d v="2026-05-12T00:00:00"/>
    <d v="2026-05-14T00:00:00"/>
    <n v="37.26"/>
    <n v="16.239999999999998"/>
    <n v="14.62"/>
    <n v="1.62"/>
    <s v="Paid"/>
    <s v=""/>
    <d v="2026-06-27T00:00:00"/>
    <d v="2026-06-27T00:00:00"/>
    <n v="38"/>
    <n v="0.38"/>
    <n v="14.44"/>
    <n v="-1.7999999999999989"/>
    <x v="0"/>
    <x v="0"/>
    <x v="7"/>
  </r>
  <r>
    <s v="CLM104449"/>
    <s v="PT13365"/>
    <s v="P07"/>
    <x v="0"/>
    <x v="0"/>
    <n v="1"/>
    <d v="2026-08-23T00:00:00"/>
    <d v="2026-08-30T00:00:00"/>
    <n v="141.01"/>
    <n v="45.27"/>
    <n v="40.74"/>
    <n v="4.53"/>
    <s v="Paid"/>
    <s v=""/>
    <d v="2026-09-25T00:00:00"/>
    <d v="2026-09-25T00:00:00"/>
    <n v="145"/>
    <n v="0.28000000000000003"/>
    <n v="40.6"/>
    <n v="-4.6700000000000017"/>
    <x v="0"/>
    <x v="3"/>
    <x v="4"/>
  </r>
  <r>
    <s v="CLM104450"/>
    <s v="PT10455"/>
    <s v="P07"/>
    <x v="2"/>
    <x v="9"/>
    <n v="4"/>
    <d v="2026-03-14T00:00:00"/>
    <d v="2026-03-16T00:00:00"/>
    <n v="232.03"/>
    <n v="64.09"/>
    <n v="51.27"/>
    <n v="12.82"/>
    <s v="Paid"/>
    <s v=""/>
    <d v="2026-05-14T00:00:00"/>
    <d v="2026-05-14T00:00:00"/>
    <n v="58"/>
    <n v="0.28000000000000003"/>
    <n v="64.959999999999994"/>
    <n v="0.86999999999999034"/>
    <x v="0"/>
    <x v="3"/>
    <x v="2"/>
  </r>
  <r>
    <s v="CLM104451"/>
    <s v="PT13152"/>
    <s v="P01"/>
    <x v="0"/>
    <x v="8"/>
    <n v="1"/>
    <d v="2026-06-15T00:00:00"/>
    <d v="2026-06-16T00:00:00"/>
    <n v="263.83999999999997"/>
    <n v="119.51"/>
    <n v="95.61"/>
    <n v="23.9"/>
    <s v="Paid"/>
    <s v=""/>
    <d v="2026-07-09T00:00:00"/>
    <d v="2026-07-09T00:00:00"/>
    <n v="260"/>
    <n v="0.45"/>
    <n v="117"/>
    <n v="-2.5100000000000051"/>
    <x v="0"/>
    <x v="5"/>
    <x v="11"/>
  </r>
  <r>
    <s v="CLM104452"/>
    <s v="PT11249"/>
    <s v="P05"/>
    <x v="1"/>
    <x v="5"/>
    <n v="1"/>
    <d v="2026-05-28T00:00:00"/>
    <d v="2026-05-31T00:00:00"/>
    <n v="4877.04"/>
    <m/>
    <m/>
    <m/>
    <s v="Denied"/>
    <s v="CO-16"/>
    <d v="2026-07-17T00:00:00"/>
    <m/>
    <n v="4800"/>
    <n v="0.38"/>
    <n v="1824"/>
    <s v=""/>
    <x v="2"/>
    <x v="0"/>
    <x v="7"/>
  </r>
  <r>
    <s v="CLM104453"/>
    <s v="PT12988"/>
    <s v="P01"/>
    <x v="3"/>
    <x v="6"/>
    <n v="1"/>
    <d v="2026-09-18T00:00:00"/>
    <d v="2026-09-22T00:00:00"/>
    <n v="415.09"/>
    <m/>
    <m/>
    <m/>
    <s v="Pending"/>
    <s v=""/>
    <m/>
    <m/>
    <n v="420"/>
    <n v="0.45"/>
    <n v="189"/>
    <s v=""/>
    <x v="2"/>
    <x v="5"/>
    <x v="8"/>
  </r>
  <r>
    <s v="CLM104454"/>
    <s v="PT10824"/>
    <s v="P01"/>
    <x v="1"/>
    <x v="8"/>
    <n v="1"/>
    <d v="2025-11-21T00:00:00"/>
    <d v="2025-11-23T00:00:00"/>
    <n v="265.45999999999998"/>
    <n v="129"/>
    <n v="116.1"/>
    <n v="12.9"/>
    <s v="Paid"/>
    <s v=""/>
    <d v="2025-12-29T00:00:00"/>
    <d v="2025-12-29T00:00:00"/>
    <n v="260"/>
    <n v="0.45"/>
    <n v="117"/>
    <n v="-12"/>
    <x v="0"/>
    <x v="5"/>
    <x v="3"/>
  </r>
  <r>
    <s v="CLM104455"/>
    <s v="PT11002"/>
    <s v="P08"/>
    <x v="0"/>
    <x v="7"/>
    <n v="1"/>
    <d v="2026-01-19T00:00:00"/>
    <d v="2026-01-21T00:00:00"/>
    <n v="205.42"/>
    <m/>
    <m/>
    <m/>
    <s v="Pending"/>
    <s v=""/>
    <m/>
    <m/>
    <n v="210"/>
    <n v="1"/>
    <n v="210"/>
    <s v=""/>
    <x v="2"/>
    <x v="7"/>
    <x v="5"/>
  </r>
  <r>
    <s v="CLM104456"/>
    <s v="PT12747"/>
    <s v="P03"/>
    <x v="1"/>
    <x v="10"/>
    <n v="1"/>
    <d v="2025-12-22T00:00:00"/>
    <d v="2025-12-28T00:00:00"/>
    <n v="1080.6099999999999"/>
    <n v="584.17999999999995"/>
    <n v="467.34"/>
    <n v="116.84"/>
    <s v="Paid"/>
    <s v=""/>
    <d v="2026-02-13T00:00:00"/>
    <d v="2026-02-13T00:00:00"/>
    <n v="1050"/>
    <n v="0.47"/>
    <n v="493.5"/>
    <n v="-90.67999999999995"/>
    <x v="0"/>
    <x v="4"/>
    <x v="6"/>
  </r>
  <r>
    <s v="CLM104457"/>
    <s v="PT11911"/>
    <s v="P04"/>
    <x v="0"/>
    <x v="7"/>
    <n v="1"/>
    <d v="2026-01-22T00:00:00"/>
    <d v="2026-01-26T00:00:00"/>
    <n v="214.3"/>
    <m/>
    <m/>
    <m/>
    <s v="Denied"/>
    <s v="CO-16"/>
    <d v="2026-02-03T00:00:00"/>
    <m/>
    <n v="210"/>
    <n v="0.36"/>
    <n v="75.599999999999994"/>
    <s v=""/>
    <x v="2"/>
    <x v="1"/>
    <x v="5"/>
  </r>
  <r>
    <s v="CLM104458"/>
    <s v="PT13066"/>
    <s v="P01"/>
    <x v="1"/>
    <x v="1"/>
    <n v="1"/>
    <d v="2026-04-06T00:00:00"/>
    <d v="2026-04-09T00:00:00"/>
    <n v="242.48"/>
    <m/>
    <m/>
    <m/>
    <s v="Denied"/>
    <s v="CO-18"/>
    <d v="2026-05-09T00:00:00"/>
    <m/>
    <n v="240"/>
    <n v="0.45"/>
    <n v="108"/>
    <s v=""/>
    <x v="2"/>
    <x v="5"/>
    <x v="10"/>
  </r>
  <r>
    <s v="CLM104459"/>
    <s v="PT11467"/>
    <s v="P06"/>
    <x v="1"/>
    <x v="10"/>
    <n v="1"/>
    <d v="2026-01-17T00:00:00"/>
    <d v="2026-01-19T00:00:00"/>
    <n v="1022.86"/>
    <n v="280.37"/>
    <n v="280.37"/>
    <n v="0"/>
    <s v="Paid"/>
    <s v=""/>
    <d v="2026-03-03T00:00:00"/>
    <d v="2026-03-03T00:00:00"/>
    <n v="1050"/>
    <n v="0.27"/>
    <n v="283.5"/>
    <n v="3.1299999999999955"/>
    <x v="0"/>
    <x v="2"/>
    <x v="5"/>
  </r>
  <r>
    <s v="CLM104460"/>
    <s v="PT13359"/>
    <s v="P02"/>
    <x v="0"/>
    <x v="4"/>
    <n v="1"/>
    <d v="2026-07-23T00:00:00"/>
    <d v="2026-07-25T00:00:00"/>
    <n v="38.630000000000003"/>
    <n v="16.25"/>
    <n v="13"/>
    <n v="3.25"/>
    <s v="Paid"/>
    <s v=""/>
    <d v="2026-08-24T00:00:00"/>
    <d v="2026-08-24T00:00:00"/>
    <n v="38"/>
    <n v="0.43"/>
    <n v="16.34"/>
    <n v="8.9999999999999858E-2"/>
    <x v="0"/>
    <x v="6"/>
    <x v="1"/>
  </r>
  <r>
    <s v="CLM104461"/>
    <s v="PT12639"/>
    <s v="P01"/>
    <x v="3"/>
    <x v="3"/>
    <n v="5"/>
    <d v="2026-04-08T00:00:00"/>
    <d v="2026-04-20T00:00:00"/>
    <n v="7049.24"/>
    <n v="2769.98"/>
    <n v="2769.98"/>
    <n v="0"/>
    <s v="Paid"/>
    <s v=""/>
    <d v="2026-05-16T00:00:00"/>
    <d v="2026-05-16T00:00:00"/>
    <n v="1450"/>
    <n v="0.45"/>
    <n v="3262.5"/>
    <n v="492.52"/>
    <x v="1"/>
    <x v="5"/>
    <x v="10"/>
  </r>
  <r>
    <s v="CLM104462"/>
    <s v="PT10598"/>
    <s v="P02"/>
    <x v="0"/>
    <x v="8"/>
    <n v="1"/>
    <d v="2025-10-08T00:00:00"/>
    <d v="2025-10-11T00:00:00"/>
    <n v="252.75"/>
    <n v="116.46"/>
    <n v="104.81"/>
    <n v="11.65"/>
    <s v="Paid"/>
    <s v=""/>
    <d v="2025-11-08T00:00:00"/>
    <d v="2025-11-08T00:00:00"/>
    <n v="260"/>
    <n v="0.43"/>
    <n v="111.8"/>
    <n v="-4.6599999999999966"/>
    <x v="0"/>
    <x v="6"/>
    <x v="9"/>
  </r>
  <r>
    <s v="CLM104463"/>
    <s v="PT11612"/>
    <s v="P04"/>
    <x v="0"/>
    <x v="4"/>
    <n v="1"/>
    <d v="2026-07-11T00:00:00"/>
    <d v="2026-07-16T00:00:00"/>
    <n v="36.880000000000003"/>
    <n v="14.78"/>
    <n v="14.78"/>
    <n v="0"/>
    <s v="Paid"/>
    <s v=""/>
    <d v="2026-07-29T00:00:00"/>
    <d v="2026-07-29T00:00:00"/>
    <n v="38"/>
    <n v="0.36"/>
    <n v="13.68"/>
    <n v="-1.0999999999999996"/>
    <x v="0"/>
    <x v="1"/>
    <x v="1"/>
  </r>
  <r>
    <s v="CLM104465"/>
    <s v="PT11768"/>
    <s v="P07"/>
    <x v="0"/>
    <x v="7"/>
    <n v="1"/>
    <d v="2026-06-15T00:00:00"/>
    <d v="2026-06-24T00:00:00"/>
    <n v="214.59"/>
    <n v="52.02"/>
    <n v="52.02"/>
    <n v="0"/>
    <s v="Paid"/>
    <s v=""/>
    <d v="2026-09-20T00:00:00"/>
    <d v="2026-09-20T00:00:00"/>
    <n v="210"/>
    <n v="0.28000000000000003"/>
    <n v="58.8"/>
    <n v="6.779999999999994"/>
    <x v="1"/>
    <x v="3"/>
    <x v="11"/>
  </r>
  <r>
    <s v="CLM104466"/>
    <s v="PT10458"/>
    <s v="P01"/>
    <x v="3"/>
    <x v="6"/>
    <n v="1"/>
    <d v="2026-01-22T00:00:00"/>
    <d v="2026-01-24T00:00:00"/>
    <n v="408.17"/>
    <n v="169.81"/>
    <n v="135.85"/>
    <n v="33.96"/>
    <s v="Paid"/>
    <s v=""/>
    <d v="2026-03-03T00:00:00"/>
    <d v="2026-03-03T00:00:00"/>
    <n v="420"/>
    <n v="0.45"/>
    <n v="189"/>
    <n v="19.189999999999998"/>
    <x v="1"/>
    <x v="5"/>
    <x v="5"/>
  </r>
  <r>
    <s v="CLM104467"/>
    <s v="PT12828"/>
    <s v="P03"/>
    <x v="1"/>
    <x v="7"/>
    <n v="1"/>
    <d v="2026-01-12T00:00:00"/>
    <d v="2026-01-18T00:00:00"/>
    <n v="214.2"/>
    <n v="87.46"/>
    <n v="87.46"/>
    <n v="0"/>
    <s v="Paid"/>
    <s v=""/>
    <d v="2026-02-10T00:00:00"/>
    <d v="2026-02-10T00:00:00"/>
    <n v="210"/>
    <n v="0.47"/>
    <n v="98.7"/>
    <n v="11.240000000000009"/>
    <x v="1"/>
    <x v="4"/>
    <x v="5"/>
  </r>
  <r>
    <s v="CLM104468"/>
    <s v="PT12001"/>
    <s v="P07"/>
    <x v="0"/>
    <x v="8"/>
    <n v="1"/>
    <d v="2025-10-27T00:00:00"/>
    <d v="2025-10-29T00:00:00"/>
    <n v="257.75"/>
    <n v="66.23"/>
    <n v="59.61"/>
    <n v="6.62"/>
    <s v="Paid"/>
    <s v=""/>
    <d v="2025-12-29T00:00:00"/>
    <d v="2025-12-29T00:00:00"/>
    <n v="260"/>
    <n v="0.28000000000000003"/>
    <n v="72.8"/>
    <n v="6.5699999999999932"/>
    <x v="1"/>
    <x v="3"/>
    <x v="9"/>
  </r>
  <r>
    <s v="CLM104469"/>
    <s v="PT10766"/>
    <s v="P06"/>
    <x v="2"/>
    <x v="2"/>
    <n v="2"/>
    <d v="2026-07-29T00:00:00"/>
    <d v="2026-07-30T00:00:00"/>
    <n v="126.24"/>
    <n v="33.64"/>
    <n v="33.64"/>
    <n v="0"/>
    <s v="Paid"/>
    <s v=""/>
    <d v="2026-08-12T00:00:00"/>
    <d v="2026-08-12T00:00:00"/>
    <n v="62"/>
    <n v="0.27"/>
    <n v="33.479999999999997"/>
    <n v="-0.16000000000000369"/>
    <x v="0"/>
    <x v="2"/>
    <x v="1"/>
  </r>
  <r>
    <s v="CLM104470"/>
    <s v="PT12422"/>
    <s v="P02"/>
    <x v="2"/>
    <x v="9"/>
    <n v="1"/>
    <d v="2026-09-20T00:00:00"/>
    <d v="2026-09-25T00:00:00"/>
    <n v="56.35"/>
    <m/>
    <m/>
    <m/>
    <s v="Pending"/>
    <s v=""/>
    <m/>
    <m/>
    <n v="58"/>
    <n v="0.43"/>
    <n v="24.94"/>
    <s v=""/>
    <x v="2"/>
    <x v="6"/>
    <x v="8"/>
  </r>
  <r>
    <s v="CLM104471"/>
    <s v="PT11802"/>
    <s v="P01"/>
    <x v="0"/>
    <x v="0"/>
    <n v="1"/>
    <d v="2026-05-31T00:00:00"/>
    <d v="2026-06-02T00:00:00"/>
    <n v="144.53"/>
    <n v="59.15"/>
    <n v="53.23"/>
    <n v="5.92"/>
    <s v="Paid"/>
    <s v=""/>
    <d v="2026-06-29T00:00:00"/>
    <d v="2026-06-29T00:00:00"/>
    <n v="145"/>
    <n v="0.45"/>
    <n v="65.25"/>
    <n v="6.1000000000000014"/>
    <x v="1"/>
    <x v="5"/>
    <x v="7"/>
  </r>
  <r>
    <s v="CLM104472"/>
    <s v="PT12320"/>
    <s v="P02"/>
    <x v="3"/>
    <x v="7"/>
    <n v="1"/>
    <d v="2025-12-05T00:00:00"/>
    <d v="2025-12-08T00:00:00"/>
    <n v="216"/>
    <n v="100.53"/>
    <n v="100.53"/>
    <n v="0"/>
    <s v="Paid"/>
    <s v=""/>
    <d v="2025-12-26T00:00:00"/>
    <d v="2025-12-26T00:00:00"/>
    <n v="210"/>
    <n v="0.43"/>
    <n v="90.3"/>
    <n v="-10.230000000000004"/>
    <x v="0"/>
    <x v="6"/>
    <x v="6"/>
  </r>
  <r>
    <s v="CLM104473"/>
    <s v="PT12698"/>
    <s v="P07"/>
    <x v="1"/>
    <x v="7"/>
    <n v="1"/>
    <d v="2025-10-05T00:00:00"/>
    <d v="2025-10-10T00:00:00"/>
    <n v="204.11"/>
    <n v="59.68"/>
    <n v="53.71"/>
    <n v="5.97"/>
    <s v="Paid"/>
    <s v=""/>
    <d v="2025-12-06T00:00:00"/>
    <d v="2025-12-06T00:00:00"/>
    <n v="210"/>
    <n v="0.28000000000000003"/>
    <n v="58.8"/>
    <n v="-0.88000000000000256"/>
    <x v="0"/>
    <x v="3"/>
    <x v="9"/>
  </r>
  <r>
    <s v="CLM104474"/>
    <s v="PT10432"/>
    <s v="P02"/>
    <x v="1"/>
    <x v="4"/>
    <n v="1"/>
    <d v="2026-09-20T00:00:00"/>
    <d v="2026-09-28T00:00:00"/>
    <n v="37.33"/>
    <m/>
    <m/>
    <m/>
    <s v="Pending"/>
    <s v=""/>
    <m/>
    <m/>
    <n v="38"/>
    <n v="0.43"/>
    <n v="16.34"/>
    <s v=""/>
    <x v="2"/>
    <x v="6"/>
    <x v="8"/>
  </r>
  <r>
    <s v="CLM104475"/>
    <s v="PT10256"/>
    <s v="P01"/>
    <x v="1"/>
    <x v="11"/>
    <n v="1"/>
    <d v="2026-04-04T00:00:00"/>
    <d v="2026-04-12T00:00:00"/>
    <n v="1152.1300000000001"/>
    <n v="457.65"/>
    <n v="457.65"/>
    <n v="0"/>
    <s v="Paid"/>
    <s v=""/>
    <d v="2026-05-23T00:00:00"/>
    <d v="2026-05-23T00:00:00"/>
    <n v="1150"/>
    <n v="0.45"/>
    <n v="517.5"/>
    <n v="59.850000000000023"/>
    <x v="1"/>
    <x v="5"/>
    <x v="10"/>
  </r>
  <r>
    <s v="CLM104476"/>
    <s v="PT13409"/>
    <s v="P03"/>
    <x v="0"/>
    <x v="0"/>
    <n v="1"/>
    <d v="2026-09-07T00:00:00"/>
    <d v="2026-09-11T00:00:00"/>
    <n v="142.44"/>
    <m/>
    <m/>
    <m/>
    <s v="Pending"/>
    <s v=""/>
    <m/>
    <m/>
    <n v="145"/>
    <n v="0.47"/>
    <n v="68.150000000000006"/>
    <s v=""/>
    <x v="2"/>
    <x v="4"/>
    <x v="8"/>
  </r>
  <r>
    <s v="CLM104477"/>
    <s v="PT10280"/>
    <s v="P01"/>
    <x v="0"/>
    <x v="7"/>
    <n v="1"/>
    <d v="2025-11-14T00:00:00"/>
    <d v="2025-11-18T00:00:00"/>
    <n v="207.98"/>
    <n v="95.14"/>
    <n v="76.11"/>
    <n v="19.03"/>
    <s v="Paid"/>
    <s v=""/>
    <d v="2025-12-23T00:00:00"/>
    <d v="2025-12-23T00:00:00"/>
    <n v="210"/>
    <n v="0.45"/>
    <n v="94.5"/>
    <n v="-0.64000000000000057"/>
    <x v="0"/>
    <x v="5"/>
    <x v="3"/>
  </r>
  <r>
    <s v="CLM104478"/>
    <s v="PT11432"/>
    <s v="P07"/>
    <x v="1"/>
    <x v="4"/>
    <n v="1"/>
    <d v="2026-01-19T00:00:00"/>
    <d v="2026-01-24T00:00:00"/>
    <n v="37.65"/>
    <n v="10.78"/>
    <n v="10.78"/>
    <n v="0"/>
    <s v="Paid"/>
    <s v=""/>
    <d v="2026-03-12T00:00:00"/>
    <d v="2026-03-12T00:00:00"/>
    <n v="38"/>
    <n v="0.28000000000000003"/>
    <n v="10.64"/>
    <n v="-0.13999999999999879"/>
    <x v="0"/>
    <x v="3"/>
    <x v="5"/>
  </r>
  <r>
    <s v="CLM104479"/>
    <s v="PT10510"/>
    <s v="P04"/>
    <x v="3"/>
    <x v="6"/>
    <n v="1"/>
    <d v="2025-12-29T00:00:00"/>
    <d v="2025-12-30T00:00:00"/>
    <n v="415.74"/>
    <n v="136.30000000000001"/>
    <n v="136.30000000000001"/>
    <n v="0"/>
    <s v="Paid"/>
    <s v=""/>
    <d v="2026-01-13T00:00:00"/>
    <d v="2026-01-13T00:00:00"/>
    <n v="420"/>
    <n v="0.36"/>
    <n v="151.19999999999999"/>
    <n v="14.899999999999977"/>
    <x v="1"/>
    <x v="1"/>
    <x v="6"/>
  </r>
  <r>
    <s v="CLM104480"/>
    <s v="PT12287"/>
    <s v="P01"/>
    <x v="0"/>
    <x v="7"/>
    <n v="1"/>
    <d v="2026-08-03T00:00:00"/>
    <d v="2026-08-14T00:00:00"/>
    <n v="211.47"/>
    <n v="96.15"/>
    <n v="76.92"/>
    <n v="19.23"/>
    <s v="Paid"/>
    <s v=""/>
    <d v="2026-09-14T00:00:00"/>
    <d v="2026-09-14T00:00:00"/>
    <n v="210"/>
    <n v="0.45"/>
    <n v="94.5"/>
    <n v="-1.6500000000000057"/>
    <x v="0"/>
    <x v="5"/>
    <x v="4"/>
  </r>
  <r>
    <s v="CLM104481"/>
    <s v="PT13066"/>
    <s v="P05"/>
    <x v="1"/>
    <x v="4"/>
    <n v="1"/>
    <d v="2026-06-04T00:00:00"/>
    <d v="2026-06-06T00:00:00"/>
    <n v="37.61"/>
    <n v="14.12"/>
    <n v="11.3"/>
    <n v="2.82"/>
    <s v="Paid"/>
    <s v=""/>
    <d v="2026-08-12T00:00:00"/>
    <d v="2026-08-12T00:00:00"/>
    <n v="38"/>
    <n v="0.38"/>
    <n v="14.44"/>
    <n v="0.32000000000000028"/>
    <x v="0"/>
    <x v="0"/>
    <x v="11"/>
  </r>
  <r>
    <s v="CLM104482"/>
    <s v="PT12121"/>
    <s v="P06"/>
    <x v="2"/>
    <x v="2"/>
    <n v="3"/>
    <d v="2026-04-11T00:00:00"/>
    <d v="2026-04-16T00:00:00"/>
    <n v="187.04"/>
    <n v="51.23"/>
    <n v="40.98"/>
    <n v="10.25"/>
    <s v="Paid"/>
    <s v=""/>
    <d v="2026-06-08T00:00:00"/>
    <d v="2026-06-08T00:00:00"/>
    <n v="62"/>
    <n v="0.27"/>
    <n v="50.22"/>
    <n v="-1.009999999999998"/>
    <x v="0"/>
    <x v="2"/>
    <x v="10"/>
  </r>
  <r>
    <s v="CLM104483"/>
    <s v="PT12610"/>
    <s v="P02"/>
    <x v="1"/>
    <x v="5"/>
    <n v="1"/>
    <d v="2025-11-10T00:00:00"/>
    <d v="2025-11-17T00:00:00"/>
    <n v="4777.07"/>
    <m/>
    <m/>
    <m/>
    <s v="Denied"/>
    <s v="CO-197"/>
    <d v="2025-12-27T00:00:00"/>
    <m/>
    <n v="4800"/>
    <n v="0.43"/>
    <n v="2064"/>
    <s v=""/>
    <x v="2"/>
    <x v="6"/>
    <x v="3"/>
  </r>
  <r>
    <s v="CLM104484"/>
    <s v="PT12931"/>
    <s v="P01"/>
    <x v="1"/>
    <x v="8"/>
    <n v="1"/>
    <d v="2025-12-04T00:00:00"/>
    <d v="2025-12-05T00:00:00"/>
    <n v="253.75"/>
    <n v="119.74"/>
    <n v="119.74"/>
    <n v="0"/>
    <s v="Paid"/>
    <s v=""/>
    <d v="2026-01-06T00:00:00"/>
    <d v="2026-01-06T00:00:00"/>
    <n v="260"/>
    <n v="0.45"/>
    <n v="117"/>
    <n v="-2.7399999999999949"/>
    <x v="0"/>
    <x v="5"/>
    <x v="6"/>
  </r>
  <r>
    <s v="CLM104485"/>
    <s v="PT13355"/>
    <s v="P02"/>
    <x v="1"/>
    <x v="10"/>
    <n v="1"/>
    <d v="2026-01-27T00:00:00"/>
    <d v="2026-02-02T00:00:00"/>
    <n v="1061.6400000000001"/>
    <n v="505.67"/>
    <n v="404.54"/>
    <n v="101.13"/>
    <s v="Paid"/>
    <s v=""/>
    <d v="2026-03-14T00:00:00"/>
    <d v="2026-03-14T00:00:00"/>
    <n v="1050"/>
    <n v="0.43"/>
    <n v="451.5"/>
    <n v="-54.170000000000016"/>
    <x v="0"/>
    <x v="6"/>
    <x v="5"/>
  </r>
  <r>
    <s v="CLM104486"/>
    <s v="PT10321"/>
    <s v="P01"/>
    <x v="0"/>
    <x v="0"/>
    <n v="1"/>
    <d v="2025-11-01T00:00:00"/>
    <d v="2025-11-07T00:00:00"/>
    <n v="147.93"/>
    <n v="69.06"/>
    <n v="55.25"/>
    <n v="13.81"/>
    <s v="Paid"/>
    <s v=""/>
    <d v="2025-12-14T00:00:00"/>
    <d v="2025-12-14T00:00:00"/>
    <n v="145"/>
    <n v="0.45"/>
    <n v="65.25"/>
    <n v="-3.8100000000000023"/>
    <x v="0"/>
    <x v="5"/>
    <x v="3"/>
  </r>
  <r>
    <s v="CLM104487"/>
    <s v="PT13205"/>
    <s v="P03"/>
    <x v="3"/>
    <x v="6"/>
    <n v="1"/>
    <d v="2026-09-14T00:00:00"/>
    <d v="2026-09-16T00:00:00"/>
    <n v="415.5"/>
    <m/>
    <m/>
    <m/>
    <s v="Pending"/>
    <s v=""/>
    <m/>
    <m/>
    <n v="420"/>
    <n v="0.47"/>
    <n v="197.4"/>
    <s v=""/>
    <x v="2"/>
    <x v="4"/>
    <x v="8"/>
  </r>
  <r>
    <s v="CLM104488"/>
    <s v="PT11720"/>
    <s v="P05"/>
    <x v="1"/>
    <x v="4"/>
    <n v="1"/>
    <d v="2026-05-19T00:00:00"/>
    <d v="2026-05-22T00:00:00"/>
    <n v="38.54"/>
    <n v="15.42"/>
    <n v="13.88"/>
    <n v="1.54"/>
    <s v="Paid"/>
    <s v=""/>
    <d v="2026-07-13T00:00:00"/>
    <d v="2026-07-13T00:00:00"/>
    <n v="38"/>
    <n v="0.38"/>
    <n v="14.44"/>
    <n v="-0.98000000000000043"/>
    <x v="0"/>
    <x v="0"/>
    <x v="7"/>
  </r>
  <r>
    <s v="CLM104489"/>
    <s v="PT10992"/>
    <s v="P06"/>
    <x v="2"/>
    <x v="0"/>
    <n v="1"/>
    <d v="2026-03-27T00:00:00"/>
    <d v="2026-07-15T00:00:00"/>
    <n v="148.19999999999999"/>
    <m/>
    <m/>
    <m/>
    <s v="Denied"/>
    <s v="CO-29"/>
    <d v="2026-08-08T00:00:00"/>
    <m/>
    <n v="145"/>
    <n v="0.27"/>
    <n v="39.15"/>
    <s v=""/>
    <x v="2"/>
    <x v="2"/>
    <x v="2"/>
  </r>
  <r>
    <s v="CLM104490"/>
    <s v="PT10239"/>
    <s v="P01"/>
    <x v="3"/>
    <x v="3"/>
    <n v="20"/>
    <d v="2026-05-22T00:00:00"/>
    <d v="2026-05-25T00:00:00"/>
    <n v="28936.2"/>
    <n v="14539.47"/>
    <n v="11631.58"/>
    <n v="2907.89"/>
    <s v="Paid"/>
    <s v=""/>
    <d v="2026-07-04T00:00:00"/>
    <d v="2026-07-04T00:00:00"/>
    <n v="1450"/>
    <n v="0.45"/>
    <n v="13050"/>
    <n v="-1489.4699999999993"/>
    <x v="0"/>
    <x v="5"/>
    <x v="7"/>
  </r>
  <r>
    <s v="CLM104491"/>
    <s v="PT12111"/>
    <s v="P02"/>
    <x v="1"/>
    <x v="5"/>
    <n v="1"/>
    <d v="2026-05-22T00:00:00"/>
    <d v="2026-05-24T00:00:00"/>
    <n v="4863.09"/>
    <n v="2361.19"/>
    <n v="2361.19"/>
    <n v="0"/>
    <s v="Paid"/>
    <s v=""/>
    <d v="2026-06-12T00:00:00"/>
    <d v="2026-06-12T00:00:00"/>
    <n v="4800"/>
    <n v="0.43"/>
    <n v="2064"/>
    <n v="-297.19000000000005"/>
    <x v="0"/>
    <x v="6"/>
    <x v="7"/>
  </r>
  <r>
    <s v="CLM104492"/>
    <s v="PT10556"/>
    <s v="P01"/>
    <x v="2"/>
    <x v="0"/>
    <n v="1"/>
    <d v="2025-11-11T00:00:00"/>
    <d v="2025-11-14T00:00:00"/>
    <n v="148.9"/>
    <n v="74.5"/>
    <n v="74.5"/>
    <n v="0"/>
    <s v="Paid"/>
    <s v=""/>
    <d v="2025-12-06T00:00:00"/>
    <d v="2025-12-06T00:00:00"/>
    <n v="145"/>
    <n v="0.45"/>
    <n v="65.25"/>
    <n v="-9.25"/>
    <x v="0"/>
    <x v="5"/>
    <x v="3"/>
  </r>
  <r>
    <s v="CLM104493"/>
    <s v="PT11785"/>
    <s v="P03"/>
    <x v="0"/>
    <x v="8"/>
    <n v="1"/>
    <d v="2025-11-24T00:00:00"/>
    <d v="2025-11-26T00:00:00"/>
    <n v="262.32"/>
    <m/>
    <m/>
    <m/>
    <s v="Denied"/>
    <s v="CO-16"/>
    <d v="2026-01-14T00:00:00"/>
    <m/>
    <n v="260"/>
    <n v="0.47"/>
    <n v="122.2"/>
    <s v=""/>
    <x v="2"/>
    <x v="4"/>
    <x v="3"/>
  </r>
  <r>
    <s v="CLM104494"/>
    <s v="PT12589"/>
    <s v="P01"/>
    <x v="0"/>
    <x v="0"/>
    <n v="1"/>
    <d v="2025-11-04T00:00:00"/>
    <d v="2025-11-09T00:00:00"/>
    <n v="145.44999999999999"/>
    <m/>
    <m/>
    <m/>
    <s v="Denied"/>
    <s v="CO-27"/>
    <d v="2025-12-02T00:00:00"/>
    <m/>
    <n v="145"/>
    <n v="0.45"/>
    <n v="65.25"/>
    <s v=""/>
    <x v="2"/>
    <x v="5"/>
    <x v="3"/>
  </r>
  <r>
    <s v="CLM104495"/>
    <s v="PT12500"/>
    <s v="P04"/>
    <x v="3"/>
    <x v="7"/>
    <n v="1"/>
    <d v="2025-12-14T00:00:00"/>
    <d v="2025-12-18T00:00:00"/>
    <n v="209.71"/>
    <n v="77.27"/>
    <n v="77.27"/>
    <n v="0"/>
    <s v="Paid"/>
    <s v=""/>
    <d v="2026-01-06T00:00:00"/>
    <d v="2026-01-06T00:00:00"/>
    <n v="210"/>
    <n v="0.36"/>
    <n v="75.599999999999994"/>
    <n v="-1.6700000000000017"/>
    <x v="0"/>
    <x v="1"/>
    <x v="6"/>
  </r>
  <r>
    <s v="CLM104496"/>
    <s v="PT11870"/>
    <s v="P01"/>
    <x v="0"/>
    <x v="7"/>
    <n v="1"/>
    <d v="2026-03-20T00:00:00"/>
    <d v="2026-03-28T00:00:00"/>
    <n v="203.73"/>
    <n v="90.69"/>
    <n v="81.62"/>
    <n v="9.07"/>
    <s v="Paid"/>
    <s v=""/>
    <d v="2026-05-10T00:00:00"/>
    <d v="2026-05-10T00:00:00"/>
    <n v="210"/>
    <n v="0.45"/>
    <n v="94.5"/>
    <n v="3.8100000000000023"/>
    <x v="0"/>
    <x v="5"/>
    <x v="2"/>
  </r>
  <r>
    <s v="CLM104497"/>
    <s v="PT11254"/>
    <s v="P01"/>
    <x v="0"/>
    <x v="0"/>
    <n v="1"/>
    <d v="2025-10-17T00:00:00"/>
    <d v="2025-10-20T00:00:00"/>
    <n v="149.05000000000001"/>
    <n v="74.209999999999994"/>
    <n v="74.209999999999994"/>
    <n v="0"/>
    <s v="Paid"/>
    <s v=""/>
    <d v="2025-11-16T00:00:00"/>
    <d v="2025-11-16T00:00:00"/>
    <n v="145"/>
    <n v="0.45"/>
    <n v="65.25"/>
    <n v="-8.9599999999999937"/>
    <x v="0"/>
    <x v="5"/>
    <x v="9"/>
  </r>
  <r>
    <s v="CLM104498"/>
    <s v="PT13415"/>
    <s v="P02"/>
    <x v="0"/>
    <x v="0"/>
    <n v="1"/>
    <d v="2026-09-17T00:00:00"/>
    <d v="2026-09-19T00:00:00"/>
    <n v="145.16"/>
    <m/>
    <m/>
    <m/>
    <s v="Pending"/>
    <s v=""/>
    <m/>
    <m/>
    <n v="145"/>
    <n v="0.43"/>
    <n v="62.35"/>
    <s v=""/>
    <x v="2"/>
    <x v="6"/>
    <x v="8"/>
  </r>
  <r>
    <s v="CLM104499"/>
    <s v="PT12332"/>
    <s v="P02"/>
    <x v="0"/>
    <x v="4"/>
    <n v="1"/>
    <d v="2025-11-11T00:00:00"/>
    <d v="2025-11-14T00:00:00"/>
    <n v="37.97"/>
    <m/>
    <m/>
    <m/>
    <s v="Denied"/>
    <s v="CO-16"/>
    <d v="2025-12-22T00:00:00"/>
    <m/>
    <n v="38"/>
    <n v="0.43"/>
    <n v="16.34"/>
    <s v=""/>
    <x v="2"/>
    <x v="6"/>
    <x v="3"/>
  </r>
  <r>
    <s v="CLM104500"/>
    <s v="PT12700"/>
    <s v="P07"/>
    <x v="3"/>
    <x v="7"/>
    <n v="1"/>
    <d v="2026-01-02T00:00:00"/>
    <d v="2026-01-04T00:00:00"/>
    <n v="213.57"/>
    <n v="67.97"/>
    <n v="54.38"/>
    <n v="13.59"/>
    <s v="Paid"/>
    <s v=""/>
    <d v="2026-01-27T00:00:00"/>
    <d v="2026-01-27T00:00:00"/>
    <n v="210"/>
    <n v="0.28000000000000003"/>
    <n v="58.8"/>
    <n v="-9.1700000000000017"/>
    <x v="0"/>
    <x v="3"/>
    <x v="5"/>
  </r>
  <r>
    <s v="CLM104501"/>
    <s v="PT11866"/>
    <s v="P07"/>
    <x v="0"/>
    <x v="0"/>
    <n v="1"/>
    <d v="2025-12-05T00:00:00"/>
    <d v="2025-12-11T00:00:00"/>
    <n v="143.44"/>
    <n v="43.43"/>
    <n v="43.43"/>
    <n v="0"/>
    <s v="Paid"/>
    <s v=""/>
    <d v="2026-02-19T00:00:00"/>
    <d v="2026-02-19T00:00:00"/>
    <n v="145"/>
    <n v="0.28000000000000003"/>
    <n v="40.6"/>
    <n v="-2.8299999999999983"/>
    <x v="0"/>
    <x v="3"/>
    <x v="6"/>
  </r>
  <r>
    <s v="CLM104502"/>
    <s v="PT10799"/>
    <s v="P05"/>
    <x v="1"/>
    <x v="8"/>
    <n v="1"/>
    <d v="2026-02-06T00:00:00"/>
    <d v="2026-02-07T00:00:00"/>
    <n v="260.54000000000002"/>
    <m/>
    <m/>
    <m/>
    <s v="Denied"/>
    <s v="CO-16"/>
    <d v="2026-04-06T00:00:00"/>
    <m/>
    <n v="260"/>
    <n v="0.38"/>
    <n v="98.8"/>
    <s v=""/>
    <x v="2"/>
    <x v="0"/>
    <x v="0"/>
  </r>
  <r>
    <s v="CLM104503"/>
    <s v="PT12866"/>
    <s v="P02"/>
    <x v="0"/>
    <x v="4"/>
    <n v="1"/>
    <d v="2026-07-31T00:00:00"/>
    <d v="2026-08-05T00:00:00"/>
    <n v="37.81"/>
    <n v="15.29"/>
    <n v="12.23"/>
    <n v="3.06"/>
    <s v="Paid"/>
    <s v=""/>
    <d v="2026-08-31T00:00:00"/>
    <d v="2026-08-31T00:00:00"/>
    <n v="38"/>
    <n v="0.43"/>
    <n v="16.34"/>
    <n v="1.0500000000000007"/>
    <x v="1"/>
    <x v="6"/>
    <x v="1"/>
  </r>
  <r>
    <s v="CLM104504"/>
    <s v="PT10433"/>
    <s v="P02"/>
    <x v="1"/>
    <x v="4"/>
    <n v="1"/>
    <d v="2025-12-12T00:00:00"/>
    <d v="2025-12-20T00:00:00"/>
    <n v="37.119999999999997"/>
    <n v="15.81"/>
    <n v="15.81"/>
    <n v="0"/>
    <s v="Paid"/>
    <s v=""/>
    <d v="2026-02-05T00:00:00"/>
    <d v="2026-02-05T00:00:00"/>
    <n v="38"/>
    <n v="0.43"/>
    <n v="16.34"/>
    <n v="0.52999999999999936"/>
    <x v="0"/>
    <x v="6"/>
    <x v="6"/>
  </r>
  <r>
    <s v="CLM104505"/>
    <s v="PT13151"/>
    <s v="P07"/>
    <x v="3"/>
    <x v="6"/>
    <n v="1"/>
    <d v="2026-06-19T00:00:00"/>
    <d v="2026-06-22T00:00:00"/>
    <n v="421.09"/>
    <n v="129.22999999999999"/>
    <n v="129.22999999999999"/>
    <n v="0"/>
    <s v="Paid"/>
    <s v=""/>
    <d v="2026-09-04T00:00:00"/>
    <d v="2026-09-04T00:00:00"/>
    <n v="420"/>
    <n v="0.28000000000000003"/>
    <n v="117.6"/>
    <n v="-11.629999999999995"/>
    <x v="0"/>
    <x v="3"/>
    <x v="11"/>
  </r>
  <r>
    <s v="CLM104506"/>
    <s v="PT12538"/>
    <s v="P01"/>
    <x v="1"/>
    <x v="8"/>
    <n v="1"/>
    <d v="2026-09-06T00:00:00"/>
    <d v="2026-09-07T00:00:00"/>
    <n v="258.12"/>
    <n v="113.11"/>
    <n v="90.49"/>
    <n v="22.62"/>
    <s v="Paid"/>
    <s v=""/>
    <d v="2026-09-30T00:00:00"/>
    <d v="2026-09-30T00:00:00"/>
    <n v="260"/>
    <n v="0.45"/>
    <n v="117"/>
    <n v="3.8900000000000006"/>
    <x v="0"/>
    <x v="5"/>
    <x v="8"/>
  </r>
  <r>
    <s v="CLM104507"/>
    <s v="PT11390"/>
    <s v="P05"/>
    <x v="0"/>
    <x v="4"/>
    <n v="1"/>
    <d v="2026-01-21T00:00:00"/>
    <d v="2026-01-28T00:00:00"/>
    <n v="38.1"/>
    <n v="16.32"/>
    <n v="16.32"/>
    <n v="0"/>
    <s v="Paid"/>
    <s v=""/>
    <d v="2026-04-01T00:00:00"/>
    <d v="2026-04-01T00:00:00"/>
    <n v="38"/>
    <n v="0.38"/>
    <n v="14.44"/>
    <n v="-1.8800000000000008"/>
    <x v="0"/>
    <x v="0"/>
    <x v="5"/>
  </r>
  <r>
    <s v="CLM104508"/>
    <s v="PT10357"/>
    <s v="P06"/>
    <x v="3"/>
    <x v="7"/>
    <n v="1"/>
    <d v="2026-09-22T00:00:00"/>
    <d v="2026-09-28T00:00:00"/>
    <n v="215.32"/>
    <m/>
    <m/>
    <m/>
    <s v="Pending"/>
    <s v=""/>
    <m/>
    <m/>
    <n v="210"/>
    <n v="0.27"/>
    <n v="56.7"/>
    <s v=""/>
    <x v="2"/>
    <x v="2"/>
    <x v="8"/>
  </r>
  <r>
    <s v="CLM104509"/>
    <s v="PT13131"/>
    <s v="P05"/>
    <x v="1"/>
    <x v="11"/>
    <n v="1"/>
    <d v="2025-12-09T00:00:00"/>
    <d v="2025-12-15T00:00:00"/>
    <n v="1157.6500000000001"/>
    <n v="504.01"/>
    <n v="403.21"/>
    <n v="100.8"/>
    <s v="Paid"/>
    <s v=""/>
    <d v="2026-01-22T00:00:00"/>
    <d v="2026-01-22T00:00:00"/>
    <n v="1150"/>
    <n v="0.38"/>
    <n v="437"/>
    <n v="-67.009999999999991"/>
    <x v="0"/>
    <x v="0"/>
    <x v="6"/>
  </r>
  <r>
    <s v="CLM104510"/>
    <s v="PT10876"/>
    <s v="P05"/>
    <x v="1"/>
    <x v="4"/>
    <n v="1"/>
    <d v="2026-05-04T00:00:00"/>
    <d v="2026-05-08T00:00:00"/>
    <n v="38.729999999999997"/>
    <n v="16.62"/>
    <n v="16.62"/>
    <n v="0"/>
    <s v="Paid"/>
    <s v=""/>
    <d v="2026-07-06T00:00:00"/>
    <d v="2026-07-06T00:00:00"/>
    <n v="38"/>
    <n v="0.38"/>
    <n v="14.44"/>
    <n v="-2.1800000000000015"/>
    <x v="0"/>
    <x v="0"/>
    <x v="7"/>
  </r>
  <r>
    <s v="CLM104512"/>
    <s v="PT10144"/>
    <s v="P04"/>
    <x v="0"/>
    <x v="7"/>
    <n v="1"/>
    <d v="2025-12-02T00:00:00"/>
    <d v="2025-12-08T00:00:00"/>
    <n v="213.14"/>
    <n v="88.34"/>
    <n v="79.510000000000005"/>
    <n v="8.83"/>
    <s v="Paid"/>
    <s v=""/>
    <d v="2025-12-26T00:00:00"/>
    <d v="2025-12-26T00:00:00"/>
    <n v="210"/>
    <n v="0.36"/>
    <n v="75.599999999999994"/>
    <n v="-12.740000000000009"/>
    <x v="0"/>
    <x v="1"/>
    <x v="6"/>
  </r>
  <r>
    <s v="CLM104513"/>
    <s v="PT12989"/>
    <s v="P02"/>
    <x v="0"/>
    <x v="7"/>
    <n v="1"/>
    <d v="2026-06-19T00:00:00"/>
    <d v="2026-06-25T00:00:00"/>
    <n v="206.01"/>
    <m/>
    <m/>
    <m/>
    <s v="Denied"/>
    <s v="CO-18"/>
    <d v="2026-07-27T00:00:00"/>
    <m/>
    <n v="210"/>
    <n v="0.43"/>
    <n v="90.3"/>
    <s v=""/>
    <x v="2"/>
    <x v="6"/>
    <x v="11"/>
  </r>
  <r>
    <s v="CLM104514"/>
    <s v="PT11945"/>
    <s v="P01"/>
    <x v="2"/>
    <x v="2"/>
    <n v="1"/>
    <d v="2026-09-06T00:00:00"/>
    <d v="2026-09-09T00:00:00"/>
    <n v="61.77"/>
    <m/>
    <m/>
    <m/>
    <s v="Pending"/>
    <s v=""/>
    <m/>
    <m/>
    <n v="62"/>
    <n v="0.45"/>
    <n v="27.9"/>
    <s v=""/>
    <x v="2"/>
    <x v="5"/>
    <x v="8"/>
  </r>
  <r>
    <s v="CLM104515"/>
    <s v="PT13496"/>
    <s v="P05"/>
    <x v="0"/>
    <x v="4"/>
    <n v="1"/>
    <d v="2026-08-25T00:00:00"/>
    <d v="2026-08-28T00:00:00"/>
    <n v="38.28"/>
    <m/>
    <m/>
    <m/>
    <s v="Pending"/>
    <s v=""/>
    <m/>
    <m/>
    <n v="38"/>
    <n v="0.38"/>
    <n v="14.44"/>
    <s v=""/>
    <x v="2"/>
    <x v="0"/>
    <x v="4"/>
  </r>
  <r>
    <s v="CLM104516"/>
    <s v="PT11706"/>
    <s v="P04"/>
    <x v="0"/>
    <x v="4"/>
    <n v="1"/>
    <d v="2026-04-01T00:00:00"/>
    <d v="2026-04-05T00:00:00"/>
    <n v="37.92"/>
    <n v="12.77"/>
    <n v="11.49"/>
    <n v="1.28"/>
    <s v="Paid"/>
    <s v=""/>
    <d v="2026-04-18T00:00:00"/>
    <d v="2026-04-18T00:00:00"/>
    <n v="38"/>
    <n v="0.36"/>
    <n v="13.68"/>
    <n v="0.91000000000000014"/>
    <x v="1"/>
    <x v="1"/>
    <x v="10"/>
  </r>
  <r>
    <s v="CLM104517"/>
    <s v="PT13289"/>
    <s v="P04"/>
    <x v="1"/>
    <x v="5"/>
    <n v="1"/>
    <d v="2026-04-11T00:00:00"/>
    <d v="2026-04-21T00:00:00"/>
    <n v="4825.6000000000004"/>
    <m/>
    <m/>
    <m/>
    <s v="Denied"/>
    <s v="CO-197"/>
    <d v="2026-05-05T00:00:00"/>
    <m/>
    <n v="4800"/>
    <n v="0.36"/>
    <n v="1728"/>
    <s v=""/>
    <x v="2"/>
    <x v="1"/>
    <x v="10"/>
  </r>
  <r>
    <s v="CLM104518"/>
    <s v="PT10598"/>
    <s v="P06"/>
    <x v="2"/>
    <x v="0"/>
    <n v="1"/>
    <d v="2026-01-13T00:00:00"/>
    <d v="2026-01-19T00:00:00"/>
    <n v="148.9"/>
    <n v="38.86"/>
    <n v="34.97"/>
    <n v="3.89"/>
    <s v="Paid"/>
    <s v=""/>
    <d v="2026-03-09T00:00:00"/>
    <d v="2026-03-09T00:00:00"/>
    <n v="145"/>
    <n v="0.27"/>
    <n v="39.15"/>
    <n v="0.28999999999999915"/>
    <x v="0"/>
    <x v="2"/>
    <x v="5"/>
  </r>
  <r>
    <s v="CLM104519"/>
    <s v="PT10572"/>
    <s v="P01"/>
    <x v="1"/>
    <x v="7"/>
    <n v="1"/>
    <d v="2026-04-16T00:00:00"/>
    <d v="2026-04-18T00:00:00"/>
    <n v="215.54"/>
    <n v="111.96"/>
    <n v="100.76"/>
    <n v="11.2"/>
    <s v="Paid"/>
    <s v=""/>
    <d v="2026-05-07T00:00:00"/>
    <d v="2026-05-07T00:00:00"/>
    <n v="210"/>
    <n v="0.45"/>
    <n v="94.5"/>
    <n v="-17.459999999999994"/>
    <x v="0"/>
    <x v="5"/>
    <x v="10"/>
  </r>
  <r>
    <s v="CLM104520"/>
    <s v="PT10728"/>
    <s v="P02"/>
    <x v="1"/>
    <x v="8"/>
    <n v="1"/>
    <d v="2025-12-26T00:00:00"/>
    <d v="2025-12-29T00:00:00"/>
    <n v="252.81"/>
    <n v="119.64"/>
    <n v="107.68"/>
    <n v="11.96"/>
    <s v="Paid"/>
    <s v=""/>
    <d v="2026-02-05T00:00:00"/>
    <d v="2026-02-05T00:00:00"/>
    <n v="260"/>
    <n v="0.43"/>
    <n v="111.8"/>
    <n v="-7.8400000000000034"/>
    <x v="0"/>
    <x v="6"/>
    <x v="6"/>
  </r>
  <r>
    <s v="CLM104521"/>
    <s v="PT10124"/>
    <s v="P04"/>
    <x v="2"/>
    <x v="9"/>
    <n v="2"/>
    <d v="2026-06-01T00:00:00"/>
    <d v="2026-06-06T00:00:00"/>
    <n v="112.89"/>
    <n v="45.23"/>
    <n v="45.23"/>
    <n v="0"/>
    <s v="Paid"/>
    <s v=""/>
    <d v="2026-06-23T00:00:00"/>
    <d v="2026-06-23T00:00:00"/>
    <n v="58"/>
    <n v="0.36"/>
    <n v="41.76"/>
    <n v="-3.4699999999999989"/>
    <x v="0"/>
    <x v="1"/>
    <x v="11"/>
  </r>
  <r>
    <s v="CLM104522"/>
    <s v="PT10587"/>
    <s v="P05"/>
    <x v="0"/>
    <x v="7"/>
    <n v="1"/>
    <d v="2026-07-30T00:00:00"/>
    <d v="2026-08-01T00:00:00"/>
    <n v="209.72"/>
    <n v="80.75"/>
    <n v="80.75"/>
    <n v="0"/>
    <s v="Paid"/>
    <s v=""/>
    <d v="2026-09-06T00:00:00"/>
    <d v="2026-09-06T00:00:00"/>
    <n v="210"/>
    <n v="0.38"/>
    <n v="79.8"/>
    <n v="-0.95000000000000284"/>
    <x v="0"/>
    <x v="0"/>
    <x v="1"/>
  </r>
  <r>
    <s v="CLM104523"/>
    <s v="PT11228"/>
    <s v="P03"/>
    <x v="3"/>
    <x v="7"/>
    <n v="1"/>
    <d v="2026-06-09T00:00:00"/>
    <d v="2026-06-10T00:00:00"/>
    <n v="208.45"/>
    <n v="109.44"/>
    <n v="98.5"/>
    <n v="10.94"/>
    <s v="Paid"/>
    <s v=""/>
    <d v="2026-07-31T00:00:00"/>
    <d v="2026-07-31T00:00:00"/>
    <n v="210"/>
    <n v="0.47"/>
    <n v="98.7"/>
    <n v="-10.739999999999995"/>
    <x v="0"/>
    <x v="4"/>
    <x v="11"/>
  </r>
  <r>
    <s v="CLM104524"/>
    <s v="PT12801"/>
    <s v="P05"/>
    <x v="0"/>
    <x v="4"/>
    <n v="1"/>
    <d v="2026-02-21T00:00:00"/>
    <d v="2026-03-11T00:00:00"/>
    <n v="38.5"/>
    <m/>
    <m/>
    <m/>
    <s v="Denied"/>
    <s v="CO-11"/>
    <d v="2026-05-20T00:00:00"/>
    <m/>
    <n v="38"/>
    <n v="0.38"/>
    <n v="14.44"/>
    <s v=""/>
    <x v="2"/>
    <x v="0"/>
    <x v="0"/>
  </r>
  <r>
    <s v="CLM104525"/>
    <s v="PT10174"/>
    <s v="P02"/>
    <x v="0"/>
    <x v="8"/>
    <n v="1"/>
    <d v="2025-11-03T00:00:00"/>
    <d v="2025-11-20T00:00:00"/>
    <n v="254.98"/>
    <m/>
    <m/>
    <m/>
    <s v="Denied"/>
    <s v="CO-27"/>
    <d v="2025-12-15T00:00:00"/>
    <m/>
    <n v="260"/>
    <n v="0.43"/>
    <n v="111.8"/>
    <s v=""/>
    <x v="2"/>
    <x v="6"/>
    <x v="3"/>
  </r>
  <r>
    <s v="CLM104526"/>
    <s v="PT11275"/>
    <s v="P01"/>
    <x v="2"/>
    <x v="9"/>
    <n v="4"/>
    <d v="2026-04-26T00:00:00"/>
    <d v="2026-05-05T00:00:00"/>
    <n v="228.54"/>
    <n v="93.81"/>
    <n v="93.81"/>
    <n v="0"/>
    <s v="Paid"/>
    <s v=""/>
    <d v="2026-06-06T00:00:00"/>
    <d v="2026-06-06T00:00:00"/>
    <n v="58"/>
    <n v="0.45"/>
    <n v="104.4"/>
    <n v="10.590000000000003"/>
    <x v="1"/>
    <x v="5"/>
    <x v="10"/>
  </r>
  <r>
    <s v="CLM104527"/>
    <s v="PT13111"/>
    <s v="P03"/>
    <x v="1"/>
    <x v="4"/>
    <n v="1"/>
    <d v="2026-06-20T00:00:00"/>
    <d v="2026-06-23T00:00:00"/>
    <n v="38.159999999999997"/>
    <n v="16.14"/>
    <n v="16.14"/>
    <n v="0"/>
    <s v="Paid"/>
    <s v=""/>
    <d v="2026-08-30T00:00:00"/>
    <d v="2026-08-30T00:00:00"/>
    <n v="38"/>
    <n v="0.47"/>
    <n v="17.86"/>
    <n v="1.7199999999999989"/>
    <x v="1"/>
    <x v="4"/>
    <x v="11"/>
  </r>
  <r>
    <s v="CLM104528"/>
    <s v="PT10403"/>
    <s v="P04"/>
    <x v="0"/>
    <x v="4"/>
    <n v="1"/>
    <d v="2026-09-03T00:00:00"/>
    <d v="2026-09-09T00:00:00"/>
    <n v="38.72"/>
    <m/>
    <m/>
    <m/>
    <s v="Pending"/>
    <s v=""/>
    <m/>
    <m/>
    <n v="38"/>
    <n v="0.36"/>
    <n v="13.68"/>
    <s v=""/>
    <x v="2"/>
    <x v="1"/>
    <x v="8"/>
  </r>
  <r>
    <s v="CLM104529"/>
    <s v="PT11966"/>
    <s v="P03"/>
    <x v="1"/>
    <x v="8"/>
    <n v="1"/>
    <d v="2026-06-11T00:00:00"/>
    <d v="2026-06-15T00:00:00"/>
    <n v="266.12"/>
    <m/>
    <m/>
    <m/>
    <s v="Denied"/>
    <s v="CO-11"/>
    <d v="2026-07-23T00:00:00"/>
    <m/>
    <n v="260"/>
    <n v="0.47"/>
    <n v="122.2"/>
    <s v=""/>
    <x v="2"/>
    <x v="4"/>
    <x v="11"/>
  </r>
  <r>
    <s v="CLM104530"/>
    <s v="PT12403"/>
    <s v="P07"/>
    <x v="2"/>
    <x v="0"/>
    <n v="1"/>
    <d v="2026-09-16T00:00:00"/>
    <d v="2026-09-18T00:00:00"/>
    <n v="145.59"/>
    <m/>
    <m/>
    <m/>
    <s v="Pending"/>
    <s v=""/>
    <m/>
    <m/>
    <n v="145"/>
    <n v="0.28000000000000003"/>
    <n v="40.6"/>
    <s v=""/>
    <x v="2"/>
    <x v="3"/>
    <x v="8"/>
  </r>
  <r>
    <s v="CLM104531"/>
    <s v="PT10703"/>
    <s v="P04"/>
    <x v="0"/>
    <x v="0"/>
    <n v="1"/>
    <d v="2026-05-03T00:00:00"/>
    <d v="2026-05-18T00:00:00"/>
    <n v="146.72999999999999"/>
    <n v="54.64"/>
    <n v="43.71"/>
    <n v="10.93"/>
    <s v="Paid"/>
    <s v=""/>
    <d v="2026-05-26T00:00:00"/>
    <d v="2026-05-26T00:00:00"/>
    <n v="145"/>
    <n v="0.36"/>
    <n v="52.2"/>
    <n v="-2.4399999999999977"/>
    <x v="0"/>
    <x v="1"/>
    <x v="7"/>
  </r>
  <r>
    <s v="CLM104532"/>
    <s v="PT13423"/>
    <s v="P02"/>
    <x v="0"/>
    <x v="8"/>
    <n v="1"/>
    <d v="2025-10-27T00:00:00"/>
    <d v="2025-10-29T00:00:00"/>
    <n v="267.63"/>
    <n v="128.71"/>
    <n v="128.71"/>
    <n v="0"/>
    <s v="Paid"/>
    <s v=""/>
    <d v="2025-11-19T00:00:00"/>
    <d v="2025-11-19T00:00:00"/>
    <n v="260"/>
    <n v="0.43"/>
    <n v="111.8"/>
    <n v="-16.910000000000011"/>
    <x v="0"/>
    <x v="6"/>
    <x v="9"/>
  </r>
  <r>
    <s v="CLM104533"/>
    <s v="PT12356"/>
    <s v="P03"/>
    <x v="3"/>
    <x v="3"/>
    <n v="30"/>
    <d v="2026-04-09T00:00:00"/>
    <d v="2026-04-14T00:00:00"/>
    <n v="43402.1"/>
    <n v="18102.05"/>
    <n v="18102.05"/>
    <n v="0"/>
    <s v="Paid"/>
    <s v=""/>
    <d v="2026-06-04T00:00:00"/>
    <d v="2026-06-04T00:00:00"/>
    <n v="1450"/>
    <n v="0.47"/>
    <n v="20445"/>
    <n v="2342.9500000000007"/>
    <x v="1"/>
    <x v="4"/>
    <x v="10"/>
  </r>
  <r>
    <s v="CLM104534"/>
    <s v="PT12608"/>
    <s v="P06"/>
    <x v="0"/>
    <x v="7"/>
    <n v="1"/>
    <d v="2026-09-01T00:00:00"/>
    <d v="2026-09-08T00:00:00"/>
    <n v="214.68"/>
    <n v="61.95"/>
    <n v="49.56"/>
    <n v="12.39"/>
    <s v="Paid"/>
    <s v=""/>
    <d v="2026-09-30T00:00:00"/>
    <d v="2026-09-30T00:00:00"/>
    <n v="210"/>
    <n v="0.27"/>
    <n v="56.7"/>
    <n v="-5.25"/>
    <x v="0"/>
    <x v="2"/>
    <x v="8"/>
  </r>
  <r>
    <s v="CLM104535"/>
    <s v="PT10749"/>
    <s v="P01"/>
    <x v="1"/>
    <x v="7"/>
    <n v="1"/>
    <d v="2026-05-13T00:00:00"/>
    <d v="2026-05-16T00:00:00"/>
    <n v="210.98"/>
    <n v="88.34"/>
    <n v="79.510000000000005"/>
    <n v="8.83"/>
    <s v="Paid"/>
    <s v=""/>
    <d v="2026-06-14T00:00:00"/>
    <d v="2026-06-14T00:00:00"/>
    <n v="210"/>
    <n v="0.45"/>
    <n v="94.5"/>
    <n v="6.1599999999999966"/>
    <x v="1"/>
    <x v="5"/>
    <x v="7"/>
  </r>
  <r>
    <s v="CLM104536"/>
    <s v="PT11735"/>
    <s v="P07"/>
    <x v="0"/>
    <x v="8"/>
    <n v="1"/>
    <d v="2025-10-01T00:00:00"/>
    <d v="2025-10-02T00:00:00"/>
    <n v="263.11"/>
    <n v="73.34"/>
    <n v="66.010000000000005"/>
    <n v="7.33"/>
    <s v="Paid"/>
    <s v=""/>
    <d v="2025-11-28T00:00:00"/>
    <d v="2025-11-28T00:00:00"/>
    <n v="260"/>
    <n v="0.28000000000000003"/>
    <n v="72.8"/>
    <n v="-0.54000000000000625"/>
    <x v="0"/>
    <x v="3"/>
    <x v="9"/>
  </r>
  <r>
    <s v="CLM104537"/>
    <s v="PT12461"/>
    <s v="P06"/>
    <x v="2"/>
    <x v="9"/>
    <n v="4"/>
    <d v="2026-03-07T00:00:00"/>
    <d v="2026-03-12T00:00:00"/>
    <n v="233.35"/>
    <n v="65.86"/>
    <n v="59.27"/>
    <n v="6.59"/>
    <s v="Paid"/>
    <s v=""/>
    <d v="2026-04-18T00:00:00"/>
    <d v="2026-04-18T00:00:00"/>
    <n v="58"/>
    <n v="0.27"/>
    <n v="62.64"/>
    <n v="-3.2199999999999989"/>
    <x v="0"/>
    <x v="2"/>
    <x v="2"/>
  </r>
  <r>
    <s v="CLM104538"/>
    <s v="PT11649"/>
    <s v="P05"/>
    <x v="3"/>
    <x v="6"/>
    <n v="1"/>
    <d v="2026-08-05T00:00:00"/>
    <d v="2026-08-10T00:00:00"/>
    <n v="425.3"/>
    <m/>
    <m/>
    <m/>
    <s v="Denied"/>
    <s v="CO-16"/>
    <d v="2026-09-08T00:00:00"/>
    <m/>
    <n v="420"/>
    <n v="0.38"/>
    <n v="159.6"/>
    <s v=""/>
    <x v="2"/>
    <x v="0"/>
    <x v="4"/>
  </r>
  <r>
    <s v="CLM104539"/>
    <s v="PT12841"/>
    <s v="P08"/>
    <x v="0"/>
    <x v="8"/>
    <n v="1"/>
    <d v="2026-06-09T00:00:00"/>
    <d v="2026-06-16T00:00:00"/>
    <n v="260.49"/>
    <m/>
    <m/>
    <m/>
    <s v="Pending"/>
    <s v=""/>
    <m/>
    <m/>
    <n v="260"/>
    <n v="1"/>
    <n v="260"/>
    <s v=""/>
    <x v="2"/>
    <x v="7"/>
    <x v="11"/>
  </r>
  <r>
    <s v="CLM104540"/>
    <s v="PT11886"/>
    <s v="P01"/>
    <x v="2"/>
    <x v="9"/>
    <n v="1"/>
    <d v="2026-07-24T00:00:00"/>
    <d v="2026-08-06T00:00:00"/>
    <n v="57.17"/>
    <m/>
    <m/>
    <m/>
    <s v="Denied"/>
    <s v="CO-27"/>
    <d v="2026-09-07T00:00:00"/>
    <m/>
    <n v="58"/>
    <n v="0.45"/>
    <n v="26.1"/>
    <s v=""/>
    <x v="2"/>
    <x v="5"/>
    <x v="1"/>
  </r>
  <r>
    <s v="CLM104541"/>
    <s v="PT11514"/>
    <s v="P02"/>
    <x v="1"/>
    <x v="10"/>
    <n v="1"/>
    <d v="2026-01-31T00:00:00"/>
    <d v="2026-02-02T00:00:00"/>
    <n v="1062.1099999999999"/>
    <n v="464.22"/>
    <n v="417.8"/>
    <n v="46.42"/>
    <s v="Paid"/>
    <s v=""/>
    <d v="2026-03-13T00:00:00"/>
    <d v="2026-03-13T00:00:00"/>
    <n v="1050"/>
    <n v="0.43"/>
    <n v="451.5"/>
    <n v="-12.720000000000027"/>
    <x v="0"/>
    <x v="6"/>
    <x v="5"/>
  </r>
  <r>
    <s v="CLM104542"/>
    <s v="PT11795"/>
    <s v="P04"/>
    <x v="2"/>
    <x v="0"/>
    <n v="1"/>
    <d v="2026-01-27T00:00:00"/>
    <d v="2026-02-02T00:00:00"/>
    <n v="141.5"/>
    <n v="49.7"/>
    <n v="39.76"/>
    <n v="9.94"/>
    <s v="Paid"/>
    <s v=""/>
    <d v="2026-02-24T00:00:00"/>
    <d v="2026-02-24T00:00:00"/>
    <n v="145"/>
    <n v="0.36"/>
    <n v="52.2"/>
    <n v="2.5"/>
    <x v="0"/>
    <x v="1"/>
    <x v="5"/>
  </r>
  <r>
    <s v="CLM104543"/>
    <s v="PT10249"/>
    <s v="P08"/>
    <x v="0"/>
    <x v="7"/>
    <n v="1"/>
    <d v="2025-12-17T00:00:00"/>
    <d v="2025-12-31T00:00:00"/>
    <n v="213.85"/>
    <n v="213.85"/>
    <n v="213.85"/>
    <n v="0"/>
    <s v="Paid"/>
    <s v=""/>
    <d v="2026-04-11T00:00:00"/>
    <d v="2026-04-11T00:00:00"/>
    <n v="210"/>
    <n v="1"/>
    <n v="210"/>
    <n v="-3.8499999999999943"/>
    <x v="0"/>
    <x v="7"/>
    <x v="6"/>
  </r>
  <r>
    <s v="CLM104544"/>
    <s v="PT12509"/>
    <s v="P02"/>
    <x v="1"/>
    <x v="11"/>
    <n v="1"/>
    <d v="2026-06-28T00:00:00"/>
    <d v="2026-07-01T00:00:00"/>
    <n v="1162.21"/>
    <m/>
    <m/>
    <m/>
    <s v="Denied"/>
    <s v="CO-50"/>
    <d v="2026-07-18T00:00:00"/>
    <m/>
    <n v="1150"/>
    <n v="0.43"/>
    <n v="494.5"/>
    <s v=""/>
    <x v="2"/>
    <x v="6"/>
    <x v="11"/>
  </r>
  <r>
    <s v="CLM104545"/>
    <s v="PT12268"/>
    <s v="P04"/>
    <x v="1"/>
    <x v="5"/>
    <n v="1"/>
    <d v="2026-01-12T00:00:00"/>
    <d v="2026-01-13T00:00:00"/>
    <n v="4726.78"/>
    <n v="1673.11"/>
    <n v="1338.49"/>
    <n v="334.62"/>
    <s v="Paid"/>
    <s v=""/>
    <d v="2026-01-25T00:00:00"/>
    <d v="2026-01-25T00:00:00"/>
    <n v="4800"/>
    <n v="0.36"/>
    <n v="1728"/>
    <n v="54.8900000000001"/>
    <x v="0"/>
    <x v="1"/>
    <x v="5"/>
  </r>
  <r>
    <s v="CLM104546"/>
    <s v="PT11551"/>
    <s v="P03"/>
    <x v="0"/>
    <x v="4"/>
    <n v="1"/>
    <d v="2026-06-29T00:00:00"/>
    <d v="2026-07-02T00:00:00"/>
    <n v="37.200000000000003"/>
    <n v="15.99"/>
    <n v="15.99"/>
    <n v="0"/>
    <s v="Paid"/>
    <s v=""/>
    <d v="2026-08-25T00:00:00"/>
    <d v="2026-08-25T00:00:00"/>
    <n v="38"/>
    <n v="0.47"/>
    <n v="17.86"/>
    <n v="1.8699999999999992"/>
    <x v="1"/>
    <x v="4"/>
    <x v="11"/>
  </r>
  <r>
    <s v="CLM104547"/>
    <s v="PT11965"/>
    <s v="P02"/>
    <x v="0"/>
    <x v="7"/>
    <n v="1"/>
    <d v="2025-10-20T00:00:00"/>
    <d v="2025-10-28T00:00:00"/>
    <n v="209.89"/>
    <n v="95.61"/>
    <n v="95.61"/>
    <n v="0"/>
    <s v="Paid"/>
    <s v=""/>
    <d v="2025-11-21T00:00:00"/>
    <d v="2025-11-21T00:00:00"/>
    <n v="210"/>
    <n v="0.43"/>
    <n v="90.3"/>
    <n v="-5.3100000000000023"/>
    <x v="0"/>
    <x v="6"/>
    <x v="9"/>
  </r>
  <r>
    <s v="CLM104548"/>
    <s v="PT10124"/>
    <s v="P01"/>
    <x v="0"/>
    <x v="4"/>
    <n v="1"/>
    <d v="2026-08-20T00:00:00"/>
    <d v="2026-08-21T00:00:00"/>
    <n v="37.68"/>
    <n v="14.45"/>
    <n v="11.56"/>
    <n v="2.89"/>
    <s v="Paid"/>
    <s v=""/>
    <d v="2026-09-24T00:00:00"/>
    <d v="2026-09-24T00:00:00"/>
    <n v="38"/>
    <n v="0.45"/>
    <n v="17.100000000000001"/>
    <n v="2.6500000000000021"/>
    <x v="1"/>
    <x v="5"/>
    <x v="4"/>
  </r>
  <r>
    <s v="CLM104549"/>
    <s v="PT12585"/>
    <s v="P07"/>
    <x v="3"/>
    <x v="3"/>
    <n v="20"/>
    <d v="2025-12-30T00:00:00"/>
    <d v="2026-01-02T00:00:00"/>
    <n v="28230.07"/>
    <m/>
    <m/>
    <m/>
    <s v="Denied"/>
    <s v="CO-16"/>
    <d v="2026-02-26T00:00:00"/>
    <m/>
    <n v="1450"/>
    <n v="0.28000000000000003"/>
    <n v="8120"/>
    <s v=""/>
    <x v="2"/>
    <x v="3"/>
    <x v="6"/>
  </r>
  <r>
    <s v="CLM104550"/>
    <s v="PT10308"/>
    <s v="P03"/>
    <x v="0"/>
    <x v="4"/>
    <n v="1"/>
    <d v="2026-05-16T00:00:00"/>
    <d v="2026-05-20T00:00:00"/>
    <n v="38.700000000000003"/>
    <n v="17.96"/>
    <n v="14.37"/>
    <n v="3.59"/>
    <s v="Paid"/>
    <s v=""/>
    <d v="2026-06-29T00:00:00"/>
    <d v="2026-06-29T00:00:00"/>
    <n v="38"/>
    <n v="0.47"/>
    <n v="17.86"/>
    <n v="-0.10000000000000142"/>
    <x v="0"/>
    <x v="4"/>
    <x v="7"/>
  </r>
  <r>
    <s v="CLM104551"/>
    <s v="PT13224"/>
    <s v="P08"/>
    <x v="0"/>
    <x v="0"/>
    <n v="1"/>
    <d v="2025-10-24T00:00:00"/>
    <d v="2025-10-28T00:00:00"/>
    <n v="143.77000000000001"/>
    <m/>
    <m/>
    <m/>
    <s v="Pending"/>
    <s v=""/>
    <m/>
    <m/>
    <n v="145"/>
    <n v="1"/>
    <n v="145"/>
    <s v=""/>
    <x v="2"/>
    <x v="7"/>
    <x v="9"/>
  </r>
  <r>
    <s v="CLM104552"/>
    <s v="PT12904"/>
    <s v="P01"/>
    <x v="0"/>
    <x v="7"/>
    <n v="1"/>
    <d v="2026-04-04T00:00:00"/>
    <d v="2026-04-07T00:00:00"/>
    <n v="206.42"/>
    <m/>
    <m/>
    <m/>
    <s v="Denied"/>
    <s v="CO-27"/>
    <d v="2026-05-07T00:00:00"/>
    <m/>
    <n v="210"/>
    <n v="0.45"/>
    <n v="94.5"/>
    <s v=""/>
    <x v="2"/>
    <x v="5"/>
    <x v="10"/>
  </r>
  <r>
    <s v="CLM104553"/>
    <s v="PT13089"/>
    <s v="P01"/>
    <x v="3"/>
    <x v="6"/>
    <n v="1"/>
    <d v="2026-03-29T00:00:00"/>
    <d v="2026-04-02T00:00:00"/>
    <n v="410.14"/>
    <n v="162.22999999999999"/>
    <n v="129.78"/>
    <n v="32.450000000000003"/>
    <s v="Paid"/>
    <s v=""/>
    <d v="2026-05-03T00:00:00"/>
    <d v="2026-05-03T00:00:00"/>
    <n v="420"/>
    <n v="0.45"/>
    <n v="189"/>
    <n v="26.77000000000001"/>
    <x v="1"/>
    <x v="5"/>
    <x v="2"/>
  </r>
  <r>
    <s v="CLM104554"/>
    <s v="PT12455"/>
    <s v="P01"/>
    <x v="0"/>
    <x v="7"/>
    <n v="1"/>
    <d v="2026-03-04T00:00:00"/>
    <d v="2026-03-06T00:00:00"/>
    <n v="203.97"/>
    <n v="91"/>
    <n v="91"/>
    <n v="0"/>
    <s v="Paid"/>
    <s v=""/>
    <d v="2026-04-02T00:00:00"/>
    <d v="2026-04-02T00:00:00"/>
    <n v="210"/>
    <n v="0.45"/>
    <n v="94.5"/>
    <n v="3.5"/>
    <x v="0"/>
    <x v="5"/>
    <x v="2"/>
  </r>
  <r>
    <s v="CLM104555"/>
    <s v="PT12772"/>
    <s v="P05"/>
    <x v="0"/>
    <x v="4"/>
    <n v="1"/>
    <d v="2026-04-22T00:00:00"/>
    <d v="2026-04-25T00:00:00"/>
    <n v="38.369999999999997"/>
    <m/>
    <m/>
    <m/>
    <s v="Denied"/>
    <s v="CO-27"/>
    <d v="2026-07-01T00:00:00"/>
    <m/>
    <n v="38"/>
    <n v="0.38"/>
    <n v="14.44"/>
    <s v=""/>
    <x v="2"/>
    <x v="0"/>
    <x v="10"/>
  </r>
  <r>
    <s v="CLM104556"/>
    <s v="PT12812"/>
    <s v="P04"/>
    <x v="2"/>
    <x v="0"/>
    <n v="1"/>
    <d v="2026-09-21T00:00:00"/>
    <d v="2026-09-27T00:00:00"/>
    <n v="143.74"/>
    <m/>
    <m/>
    <m/>
    <s v="Pending"/>
    <s v=""/>
    <m/>
    <m/>
    <n v="145"/>
    <n v="0.36"/>
    <n v="52.2"/>
    <s v=""/>
    <x v="2"/>
    <x v="1"/>
    <x v="8"/>
  </r>
  <r>
    <s v="CLM104557"/>
    <s v="PT11338"/>
    <s v="P01"/>
    <x v="2"/>
    <x v="0"/>
    <n v="1"/>
    <d v="2026-09-23T00:00:00"/>
    <d v="2026-09-28T00:00:00"/>
    <n v="149.13999999999999"/>
    <m/>
    <m/>
    <m/>
    <s v="Pending"/>
    <s v=""/>
    <m/>
    <m/>
    <n v="145"/>
    <n v="0.45"/>
    <n v="65.25"/>
    <s v=""/>
    <x v="2"/>
    <x v="5"/>
    <x v="8"/>
  </r>
  <r>
    <s v="CLM104558"/>
    <s v="PT13255"/>
    <s v="P04"/>
    <x v="1"/>
    <x v="11"/>
    <n v="1"/>
    <d v="2026-03-08T00:00:00"/>
    <d v="2026-03-11T00:00:00"/>
    <n v="1150.22"/>
    <n v="442.53"/>
    <n v="398.28"/>
    <n v="44.25"/>
    <s v="Paid"/>
    <s v=""/>
    <d v="2026-03-24T00:00:00"/>
    <d v="2026-03-24T00:00:00"/>
    <n v="1150"/>
    <n v="0.36"/>
    <n v="414"/>
    <n v="-28.529999999999973"/>
    <x v="0"/>
    <x v="1"/>
    <x v="2"/>
  </r>
  <r>
    <s v="CLM104559"/>
    <s v="PT12478"/>
    <s v="P06"/>
    <x v="1"/>
    <x v="10"/>
    <n v="1"/>
    <d v="2026-08-13T00:00:00"/>
    <d v="2026-08-14T00:00:00"/>
    <n v="1054.1199999999999"/>
    <m/>
    <m/>
    <m/>
    <s v="Denied"/>
    <s v="CO-50"/>
    <d v="2026-09-23T00:00:00"/>
    <m/>
    <n v="1050"/>
    <n v="0.27"/>
    <n v="283.5"/>
    <s v=""/>
    <x v="2"/>
    <x v="2"/>
    <x v="4"/>
  </r>
  <r>
    <s v="CLM104561"/>
    <s v="PT10245"/>
    <s v="P05"/>
    <x v="0"/>
    <x v="0"/>
    <n v="1"/>
    <d v="2026-03-15T00:00:00"/>
    <d v="2026-03-17T00:00:00"/>
    <n v="148.78"/>
    <m/>
    <m/>
    <m/>
    <s v="Denied"/>
    <s v="CO-16"/>
    <d v="2026-04-23T00:00:00"/>
    <m/>
    <n v="145"/>
    <n v="0.38"/>
    <n v="55.1"/>
    <s v=""/>
    <x v="2"/>
    <x v="0"/>
    <x v="2"/>
  </r>
  <r>
    <s v="CLM104562"/>
    <s v="PT11307"/>
    <s v="P06"/>
    <x v="0"/>
    <x v="4"/>
    <n v="1"/>
    <d v="2026-08-10T00:00:00"/>
    <d v="2026-08-19T00:00:00"/>
    <n v="37.93"/>
    <n v="10.44"/>
    <n v="10.44"/>
    <n v="0"/>
    <s v="Paid"/>
    <s v=""/>
    <d v="2026-09-30T00:00:00"/>
    <d v="2026-09-30T00:00:00"/>
    <n v="38"/>
    <n v="0.27"/>
    <n v="10.26"/>
    <n v="-0.17999999999999972"/>
    <x v="0"/>
    <x v="2"/>
    <x v="4"/>
  </r>
  <r>
    <s v="CLM104563"/>
    <s v="PT10153"/>
    <s v="P02"/>
    <x v="1"/>
    <x v="11"/>
    <n v="1"/>
    <d v="2026-07-11T00:00:00"/>
    <d v="2026-07-15T00:00:00"/>
    <n v="1141.54"/>
    <m/>
    <m/>
    <m/>
    <s v="Denied"/>
    <s v="CO-27"/>
    <d v="2026-08-19T00:00:00"/>
    <m/>
    <n v="1150"/>
    <n v="0.43"/>
    <n v="494.5"/>
    <s v=""/>
    <x v="2"/>
    <x v="6"/>
    <x v="1"/>
  </r>
  <r>
    <s v="CLM104564"/>
    <s v="PT10588"/>
    <s v="P05"/>
    <x v="3"/>
    <x v="7"/>
    <n v="1"/>
    <d v="2026-03-28T00:00:00"/>
    <d v="2026-04-06T00:00:00"/>
    <n v="208.31"/>
    <n v="81.37"/>
    <n v="81.37"/>
    <n v="0"/>
    <s v="Paid"/>
    <s v=""/>
    <d v="2026-05-21T00:00:00"/>
    <d v="2026-05-21T00:00:00"/>
    <n v="210"/>
    <n v="0.38"/>
    <n v="79.8"/>
    <n v="-1.5700000000000074"/>
    <x v="0"/>
    <x v="0"/>
    <x v="2"/>
  </r>
  <r>
    <s v="CLM104565"/>
    <s v="PT13283"/>
    <s v="P02"/>
    <x v="2"/>
    <x v="9"/>
    <n v="1"/>
    <d v="2026-05-12T00:00:00"/>
    <d v="2026-09-18T00:00:00"/>
    <n v="56.9"/>
    <m/>
    <m/>
    <m/>
    <s v="Pending"/>
    <s v=""/>
    <m/>
    <m/>
    <n v="58"/>
    <n v="0.43"/>
    <n v="24.94"/>
    <s v=""/>
    <x v="2"/>
    <x v="6"/>
    <x v="7"/>
  </r>
  <r>
    <s v="CLM104566"/>
    <s v="PT10976"/>
    <s v="P02"/>
    <x v="3"/>
    <x v="7"/>
    <n v="1"/>
    <d v="2025-11-13T00:00:00"/>
    <d v="2025-11-16T00:00:00"/>
    <n v="215.17"/>
    <n v="83.65"/>
    <n v="83.65"/>
    <n v="0"/>
    <s v="Paid"/>
    <s v=""/>
    <d v="2025-12-11T00:00:00"/>
    <d v="2025-12-11T00:00:00"/>
    <n v="210"/>
    <n v="0.43"/>
    <n v="90.3"/>
    <n v="6.6499999999999915"/>
    <x v="1"/>
    <x v="6"/>
    <x v="3"/>
  </r>
  <r>
    <s v="CLM104567"/>
    <s v="PT10266"/>
    <s v="P03"/>
    <x v="0"/>
    <x v="8"/>
    <n v="1"/>
    <d v="2026-03-17T00:00:00"/>
    <d v="2026-03-18T00:00:00"/>
    <n v="261.36"/>
    <m/>
    <m/>
    <m/>
    <s v="Denied"/>
    <s v="CO-11"/>
    <d v="2026-04-20T00:00:00"/>
    <m/>
    <n v="260"/>
    <n v="0.47"/>
    <n v="122.2"/>
    <s v=""/>
    <x v="2"/>
    <x v="4"/>
    <x v="2"/>
  </r>
  <r>
    <s v="CLM104568"/>
    <s v="PT10101"/>
    <s v="P03"/>
    <x v="3"/>
    <x v="3"/>
    <n v="20"/>
    <d v="2026-06-06T00:00:00"/>
    <d v="2026-06-13T00:00:00"/>
    <n v="28201.4"/>
    <n v="11517.04"/>
    <n v="11517.04"/>
    <n v="0"/>
    <s v="Paid"/>
    <s v=""/>
    <d v="2026-08-02T00:00:00"/>
    <d v="2026-08-02T00:00:00"/>
    <n v="1450"/>
    <n v="0.47"/>
    <n v="13630"/>
    <n v="2112.9599999999991"/>
    <x v="1"/>
    <x v="4"/>
    <x v="11"/>
  </r>
  <r>
    <s v="CLM104569"/>
    <s v="PT10552"/>
    <s v="P06"/>
    <x v="3"/>
    <x v="7"/>
    <n v="1"/>
    <d v="2026-01-26T00:00:00"/>
    <d v="2026-01-27T00:00:00"/>
    <n v="214.19"/>
    <n v="51.22"/>
    <n v="40.98"/>
    <n v="10.24"/>
    <s v="Paid"/>
    <s v=""/>
    <d v="2026-02-01T00:00:00"/>
    <d v="2026-02-01T00:00:00"/>
    <n v="210"/>
    <n v="0.27"/>
    <n v="56.7"/>
    <n v="5.480000000000004"/>
    <x v="1"/>
    <x v="2"/>
    <x v="5"/>
  </r>
  <r>
    <s v="CLM104570"/>
    <s v="PT11471"/>
    <s v="P01"/>
    <x v="0"/>
    <x v="7"/>
    <n v="1"/>
    <d v="2026-08-25T00:00:00"/>
    <d v="2026-08-27T00:00:00"/>
    <n v="206.06"/>
    <m/>
    <m/>
    <m/>
    <s v="Pending"/>
    <s v=""/>
    <m/>
    <m/>
    <n v="210"/>
    <n v="0.45"/>
    <n v="94.5"/>
    <s v=""/>
    <x v="2"/>
    <x v="5"/>
    <x v="4"/>
  </r>
  <r>
    <s v="CLM104571"/>
    <s v="PT13048"/>
    <s v="P07"/>
    <x v="1"/>
    <x v="10"/>
    <n v="1"/>
    <d v="2026-07-14T00:00:00"/>
    <d v="2026-07-20T00:00:00"/>
    <n v="1077.45"/>
    <n v="267.85000000000002"/>
    <n v="241.06"/>
    <n v="26.79"/>
    <s v="Paid"/>
    <s v=""/>
    <d v="2026-09-07T00:00:00"/>
    <d v="2026-09-07T00:00:00"/>
    <n v="1050"/>
    <n v="0.28000000000000003"/>
    <n v="294"/>
    <n v="26.149999999999977"/>
    <x v="1"/>
    <x v="3"/>
    <x v="1"/>
  </r>
  <r>
    <s v="CLM104572"/>
    <s v="PT12226"/>
    <s v="P03"/>
    <x v="2"/>
    <x v="0"/>
    <n v="1"/>
    <d v="2026-02-12T00:00:00"/>
    <d v="2026-02-16T00:00:00"/>
    <n v="145.99"/>
    <n v="78.88"/>
    <n v="78.88"/>
    <n v="0"/>
    <s v="Paid"/>
    <s v=""/>
    <d v="2026-04-07T00:00:00"/>
    <d v="2026-04-07T00:00:00"/>
    <n v="145"/>
    <n v="0.47"/>
    <n v="68.150000000000006"/>
    <n v="-10.72999999999999"/>
    <x v="0"/>
    <x v="4"/>
    <x v="0"/>
  </r>
  <r>
    <s v="CLM104573"/>
    <s v="PT11253"/>
    <s v="P02"/>
    <x v="2"/>
    <x v="9"/>
    <n v="2"/>
    <d v="2026-03-07T00:00:00"/>
    <d v="2026-03-13T00:00:00"/>
    <n v="113"/>
    <n v="54.95"/>
    <n v="43.96"/>
    <n v="10.99"/>
    <s v="Paid"/>
    <s v=""/>
    <d v="2026-04-10T00:00:00"/>
    <d v="2026-04-10T00:00:00"/>
    <n v="58"/>
    <n v="0.43"/>
    <n v="49.88"/>
    <n v="-5.07"/>
    <x v="0"/>
    <x v="6"/>
    <x v="2"/>
  </r>
  <r>
    <s v="CLM104574"/>
    <s v="PT11607"/>
    <s v="P02"/>
    <x v="0"/>
    <x v="0"/>
    <n v="1"/>
    <d v="2026-04-13T00:00:00"/>
    <d v="2026-04-14T00:00:00"/>
    <n v="141.97999999999999"/>
    <n v="64.98"/>
    <n v="58.48"/>
    <n v="6.5"/>
    <s v="Paid"/>
    <s v=""/>
    <d v="2026-05-07T00:00:00"/>
    <d v="2026-05-07T00:00:00"/>
    <n v="145"/>
    <n v="0.43"/>
    <n v="62.35"/>
    <n v="-2.6300000000000026"/>
    <x v="0"/>
    <x v="6"/>
    <x v="10"/>
  </r>
  <r>
    <s v="CLM104575"/>
    <s v="PT12972"/>
    <s v="P04"/>
    <x v="2"/>
    <x v="0"/>
    <n v="1"/>
    <d v="2026-03-08T00:00:00"/>
    <d v="2026-03-10T00:00:00"/>
    <n v="143.02000000000001"/>
    <m/>
    <m/>
    <m/>
    <s v="Denied"/>
    <s v="CO-16"/>
    <d v="2026-04-03T00:00:00"/>
    <m/>
    <n v="145"/>
    <n v="0.36"/>
    <n v="52.2"/>
    <s v=""/>
    <x v="2"/>
    <x v="1"/>
    <x v="2"/>
  </r>
  <r>
    <s v="CLM104576"/>
    <s v="PT11753"/>
    <s v="P06"/>
    <x v="2"/>
    <x v="9"/>
    <n v="1"/>
    <d v="2026-04-03T00:00:00"/>
    <d v="2026-04-07T00:00:00"/>
    <n v="59.69"/>
    <n v="16.84"/>
    <n v="13.47"/>
    <n v="3.37"/>
    <s v="Paid"/>
    <s v=""/>
    <d v="2026-05-07T00:00:00"/>
    <d v="2026-05-07T00:00:00"/>
    <n v="58"/>
    <n v="0.27"/>
    <n v="15.66"/>
    <n v="-1.1799999999999997"/>
    <x v="0"/>
    <x v="2"/>
    <x v="10"/>
  </r>
  <r>
    <s v="CLM104577"/>
    <s v="PT11091"/>
    <s v="P07"/>
    <x v="1"/>
    <x v="1"/>
    <n v="1"/>
    <d v="2026-01-17T00:00:00"/>
    <d v="2026-01-20T00:00:00"/>
    <n v="244.7"/>
    <n v="62.93"/>
    <n v="50.34"/>
    <n v="12.59"/>
    <s v="Paid"/>
    <s v=""/>
    <d v="2026-04-11T00:00:00"/>
    <d v="2026-04-11T00:00:00"/>
    <n v="240"/>
    <n v="0.28000000000000003"/>
    <n v="67.2"/>
    <n v="4.2700000000000031"/>
    <x v="1"/>
    <x v="3"/>
    <x v="5"/>
  </r>
  <r>
    <s v="CLM104578"/>
    <s v="PT13238"/>
    <s v="P07"/>
    <x v="1"/>
    <x v="7"/>
    <n v="1"/>
    <d v="2026-07-31T00:00:00"/>
    <d v="2026-08-01T00:00:00"/>
    <n v="204.23"/>
    <m/>
    <m/>
    <m/>
    <s v="Pending"/>
    <s v=""/>
    <m/>
    <m/>
    <n v="210"/>
    <n v="0.28000000000000003"/>
    <n v="58.8"/>
    <s v=""/>
    <x v="2"/>
    <x v="3"/>
    <x v="1"/>
  </r>
  <r>
    <s v="CLM104579"/>
    <s v="PT13130"/>
    <s v="P05"/>
    <x v="3"/>
    <x v="7"/>
    <n v="1"/>
    <d v="2026-04-17T00:00:00"/>
    <d v="2026-04-18T00:00:00"/>
    <n v="213.88"/>
    <m/>
    <m/>
    <m/>
    <s v="Denied"/>
    <s v="CO-16"/>
    <d v="2026-06-12T00:00:00"/>
    <m/>
    <n v="210"/>
    <n v="0.38"/>
    <n v="79.8"/>
    <s v=""/>
    <x v="2"/>
    <x v="0"/>
    <x v="10"/>
  </r>
  <r>
    <s v="CLM104580"/>
    <s v="PT11789"/>
    <s v="P05"/>
    <x v="1"/>
    <x v="11"/>
    <n v="1"/>
    <d v="2026-01-25T00:00:00"/>
    <d v="2026-01-26T00:00:00"/>
    <n v="1127.1199999999999"/>
    <n v="441.97"/>
    <n v="441.97"/>
    <n v="0"/>
    <s v="Paid"/>
    <s v=""/>
    <d v="2026-03-01T00:00:00"/>
    <d v="2026-03-01T00:00:00"/>
    <n v="1150"/>
    <n v="0.38"/>
    <n v="437"/>
    <n v="-4.9700000000000273"/>
    <x v="0"/>
    <x v="0"/>
    <x v="5"/>
  </r>
  <r>
    <s v="CLM104581"/>
    <s v="PT10030"/>
    <s v="P01"/>
    <x v="3"/>
    <x v="7"/>
    <n v="1"/>
    <d v="2026-06-06T00:00:00"/>
    <d v="2026-06-26T00:00:00"/>
    <n v="209.37"/>
    <n v="82.76"/>
    <n v="82.76"/>
    <n v="0"/>
    <s v="Paid"/>
    <s v=""/>
    <d v="2026-07-27T00:00:00"/>
    <d v="2026-07-27T00:00:00"/>
    <n v="210"/>
    <n v="0.45"/>
    <n v="94.5"/>
    <n v="11.739999999999995"/>
    <x v="1"/>
    <x v="5"/>
    <x v="11"/>
  </r>
  <r>
    <s v="CLM104582"/>
    <s v="PT10849"/>
    <s v="P01"/>
    <x v="0"/>
    <x v="7"/>
    <n v="1"/>
    <d v="2026-02-12T00:00:00"/>
    <d v="2026-02-13T00:00:00"/>
    <n v="208.36"/>
    <n v="106.05"/>
    <n v="106.05"/>
    <n v="0"/>
    <s v="Paid"/>
    <s v=""/>
    <d v="2026-03-29T00:00:00"/>
    <d v="2026-03-29T00:00:00"/>
    <n v="210"/>
    <n v="0.45"/>
    <n v="94.5"/>
    <n v="-11.549999999999997"/>
    <x v="0"/>
    <x v="5"/>
    <x v="0"/>
  </r>
  <r>
    <s v="CLM104583"/>
    <s v="PT11608"/>
    <s v="P06"/>
    <x v="1"/>
    <x v="7"/>
    <n v="1"/>
    <d v="2026-01-01T00:00:00"/>
    <d v="2026-01-03T00:00:00"/>
    <n v="210.19"/>
    <m/>
    <m/>
    <m/>
    <s v="Denied"/>
    <s v="CO-27"/>
    <d v="2026-03-09T00:00:00"/>
    <m/>
    <n v="210"/>
    <n v="0.27"/>
    <n v="56.7"/>
    <s v=""/>
    <x v="2"/>
    <x v="2"/>
    <x v="5"/>
  </r>
  <r>
    <s v="CLM104584"/>
    <s v="PT12230"/>
    <s v="P01"/>
    <x v="2"/>
    <x v="0"/>
    <n v="1"/>
    <d v="2025-10-26T00:00:00"/>
    <d v="2025-11-05T00:00:00"/>
    <n v="146.88"/>
    <n v="73.92"/>
    <n v="73.92"/>
    <n v="0"/>
    <s v="Paid"/>
    <s v=""/>
    <d v="2025-11-28T00:00:00"/>
    <d v="2025-11-28T00:00:00"/>
    <n v="145"/>
    <n v="0.45"/>
    <n v="65.25"/>
    <n v="-8.6700000000000017"/>
    <x v="0"/>
    <x v="5"/>
    <x v="9"/>
  </r>
  <r>
    <s v="CLM104585"/>
    <s v="PT11859"/>
    <s v="P06"/>
    <x v="1"/>
    <x v="10"/>
    <n v="1"/>
    <d v="2025-10-28T00:00:00"/>
    <d v="2025-11-05T00:00:00"/>
    <n v="1076.01"/>
    <n v="307.20999999999998"/>
    <n v="276.49"/>
    <n v="30.72"/>
    <s v="Paid"/>
    <s v=""/>
    <d v="2026-01-03T00:00:00"/>
    <d v="2026-01-03T00:00:00"/>
    <n v="1050"/>
    <n v="0.27"/>
    <n v="283.5"/>
    <n v="-23.70999999999998"/>
    <x v="0"/>
    <x v="2"/>
    <x v="9"/>
  </r>
  <r>
    <s v="CLM104586"/>
    <s v="PT12965"/>
    <s v="P08"/>
    <x v="0"/>
    <x v="0"/>
    <n v="1"/>
    <d v="2026-05-21T00:00:00"/>
    <d v="2026-05-31T00:00:00"/>
    <n v="146.05000000000001"/>
    <n v="146.05000000000001"/>
    <n v="146.05000000000001"/>
    <n v="0"/>
    <s v="Paid"/>
    <s v=""/>
    <d v="2026-08-11T00:00:00"/>
    <d v="2026-08-11T00:00:00"/>
    <n v="145"/>
    <n v="1"/>
    <n v="145"/>
    <n v="-1.0500000000000114"/>
    <x v="0"/>
    <x v="7"/>
    <x v="7"/>
  </r>
  <r>
    <s v="CLM104587"/>
    <s v="PT12443"/>
    <s v="P07"/>
    <x v="2"/>
    <x v="9"/>
    <n v="1"/>
    <d v="2026-06-24T00:00:00"/>
    <d v="2026-06-30T00:00:00"/>
    <n v="57.47"/>
    <n v="14.11"/>
    <n v="14.11"/>
    <n v="0"/>
    <s v="Paid"/>
    <s v=""/>
    <d v="2026-08-24T00:00:00"/>
    <d v="2026-08-24T00:00:00"/>
    <n v="58"/>
    <n v="0.28000000000000003"/>
    <n v="16.239999999999998"/>
    <n v="2.129999999999999"/>
    <x v="1"/>
    <x v="3"/>
    <x v="11"/>
  </r>
  <r>
    <s v="CLM104588"/>
    <s v="PT13454"/>
    <s v="P02"/>
    <x v="3"/>
    <x v="6"/>
    <n v="1"/>
    <d v="2026-05-21T00:00:00"/>
    <d v="2026-05-22T00:00:00"/>
    <n v="409.75"/>
    <n v="197.99"/>
    <n v="158.38999999999999"/>
    <n v="39.6"/>
    <s v="Paid"/>
    <s v=""/>
    <d v="2026-07-02T00:00:00"/>
    <d v="2026-07-02T00:00:00"/>
    <n v="420"/>
    <n v="0.43"/>
    <n v="180.6"/>
    <n v="-17.390000000000015"/>
    <x v="0"/>
    <x v="6"/>
    <x v="7"/>
  </r>
  <r>
    <s v="CLM104589"/>
    <s v="PT10900"/>
    <s v="P02"/>
    <x v="1"/>
    <x v="10"/>
    <n v="1"/>
    <d v="2026-07-02T00:00:00"/>
    <d v="2026-07-04T00:00:00"/>
    <n v="1053.3599999999999"/>
    <n v="473.71"/>
    <n v="378.97"/>
    <n v="94.74"/>
    <s v="Paid"/>
    <s v=""/>
    <d v="2026-08-06T00:00:00"/>
    <d v="2026-08-06T00:00:00"/>
    <n v="1050"/>
    <n v="0.43"/>
    <n v="451.5"/>
    <n v="-22.20999999999998"/>
    <x v="0"/>
    <x v="6"/>
    <x v="1"/>
  </r>
  <r>
    <s v="CLM104590"/>
    <s v="PT11128"/>
    <s v="P03"/>
    <x v="0"/>
    <x v="4"/>
    <n v="1"/>
    <d v="2026-04-03T00:00:00"/>
    <d v="2026-04-12T00:00:00"/>
    <n v="38.24"/>
    <n v="15.51"/>
    <n v="15.51"/>
    <n v="0"/>
    <s v="Paid"/>
    <s v=""/>
    <d v="2026-06-23T00:00:00"/>
    <d v="2026-06-23T00:00:00"/>
    <n v="38"/>
    <n v="0.47"/>
    <n v="17.86"/>
    <n v="2.3499999999999996"/>
    <x v="1"/>
    <x v="4"/>
    <x v="10"/>
  </r>
  <r>
    <s v="CLM104591"/>
    <s v="PT12514"/>
    <s v="P06"/>
    <x v="1"/>
    <x v="5"/>
    <n v="1"/>
    <d v="2026-01-28T00:00:00"/>
    <d v="2026-02-01T00:00:00"/>
    <n v="4913.49"/>
    <n v="1194.98"/>
    <n v="1075.48"/>
    <n v="119.5"/>
    <s v="Paid"/>
    <s v=""/>
    <d v="2026-02-17T00:00:00"/>
    <d v="2026-02-17T00:00:00"/>
    <n v="4800"/>
    <n v="0.27"/>
    <n v="1296"/>
    <n v="101.01999999999998"/>
    <x v="1"/>
    <x v="2"/>
    <x v="5"/>
  </r>
  <r>
    <s v="CLM104592"/>
    <s v="PT12917"/>
    <s v="P04"/>
    <x v="3"/>
    <x v="7"/>
    <n v="1"/>
    <d v="2025-11-19T00:00:00"/>
    <d v="2025-11-28T00:00:00"/>
    <n v="207.63"/>
    <n v="68.55"/>
    <n v="68.55"/>
    <n v="0"/>
    <s v="Paid"/>
    <s v=""/>
    <d v="2025-12-25T00:00:00"/>
    <d v="2025-12-25T00:00:00"/>
    <n v="210"/>
    <n v="0.36"/>
    <n v="75.599999999999994"/>
    <n v="7.0499999999999972"/>
    <x v="1"/>
    <x v="1"/>
    <x v="3"/>
  </r>
  <r>
    <s v="CLM104593"/>
    <s v="PT10465"/>
    <s v="P04"/>
    <x v="1"/>
    <x v="8"/>
    <n v="1"/>
    <d v="2026-01-14T00:00:00"/>
    <d v="2026-01-19T00:00:00"/>
    <n v="255.33"/>
    <n v="83.33"/>
    <n v="66.66"/>
    <n v="16.670000000000002"/>
    <s v="Paid"/>
    <s v=""/>
    <d v="2026-02-04T00:00:00"/>
    <d v="2026-02-04T00:00:00"/>
    <n v="260"/>
    <n v="0.36"/>
    <n v="93.6"/>
    <n v="10.269999999999996"/>
    <x v="1"/>
    <x v="1"/>
    <x v="5"/>
  </r>
  <r>
    <s v="CLM104594"/>
    <s v="PT11825"/>
    <s v="P07"/>
    <x v="2"/>
    <x v="9"/>
    <n v="2"/>
    <d v="2025-12-23T00:00:00"/>
    <d v="2025-12-26T00:00:00"/>
    <n v="116.05"/>
    <n v="35.71"/>
    <n v="35.71"/>
    <n v="0"/>
    <s v="Paid"/>
    <s v=""/>
    <d v="2026-02-14T00:00:00"/>
    <d v="2026-02-14T00:00:00"/>
    <n v="58"/>
    <n v="0.28000000000000003"/>
    <n v="32.479999999999997"/>
    <n v="-3.230000000000004"/>
    <x v="0"/>
    <x v="3"/>
    <x v="6"/>
  </r>
  <r>
    <s v="CLM104595"/>
    <s v="PT12283"/>
    <s v="P01"/>
    <x v="1"/>
    <x v="7"/>
    <n v="1"/>
    <d v="2026-08-14T00:00:00"/>
    <d v="2026-08-20T00:00:00"/>
    <n v="214.9"/>
    <n v="93.1"/>
    <n v="74.48"/>
    <n v="18.62"/>
    <s v="Paid"/>
    <s v=""/>
    <d v="2026-08-30T00:00:00"/>
    <d v="2026-08-30T00:00:00"/>
    <n v="210"/>
    <n v="0.45"/>
    <n v="94.5"/>
    <n v="1.4000000000000057"/>
    <x v="0"/>
    <x v="5"/>
    <x v="4"/>
  </r>
  <r>
    <s v="CLM104596"/>
    <s v="PT12709"/>
    <s v="P02"/>
    <x v="1"/>
    <x v="7"/>
    <n v="1"/>
    <d v="2026-07-07T00:00:00"/>
    <d v="2026-07-19T00:00:00"/>
    <n v="208"/>
    <n v="100.9"/>
    <n v="90.81"/>
    <n v="10.09"/>
    <s v="Paid"/>
    <s v=""/>
    <d v="2026-08-03T00:00:00"/>
    <d v="2026-08-03T00:00:00"/>
    <n v="210"/>
    <n v="0.43"/>
    <n v="90.3"/>
    <n v="-10.600000000000009"/>
    <x v="0"/>
    <x v="6"/>
    <x v="1"/>
  </r>
  <r>
    <s v="CLM104597"/>
    <s v="PT10799"/>
    <s v="P04"/>
    <x v="1"/>
    <x v="7"/>
    <n v="1"/>
    <d v="2026-03-10T00:00:00"/>
    <d v="2026-03-15T00:00:00"/>
    <n v="212.47"/>
    <n v="77.150000000000006"/>
    <n v="61.72"/>
    <n v="15.43"/>
    <s v="Paid"/>
    <s v=""/>
    <d v="2026-03-31T00:00:00"/>
    <d v="2026-03-31T00:00:00"/>
    <n v="210"/>
    <n v="0.36"/>
    <n v="75.599999999999994"/>
    <n v="-1.5500000000000114"/>
    <x v="0"/>
    <x v="1"/>
    <x v="2"/>
  </r>
  <r>
    <s v="CLM104598"/>
    <s v="PT11576"/>
    <s v="P04"/>
    <x v="0"/>
    <x v="7"/>
    <n v="1"/>
    <d v="2026-05-03T00:00:00"/>
    <d v="2026-05-06T00:00:00"/>
    <n v="205.01"/>
    <n v="72.41"/>
    <n v="72.41"/>
    <n v="0"/>
    <s v="Paid"/>
    <s v=""/>
    <d v="2026-05-28T00:00:00"/>
    <d v="2026-05-28T00:00:00"/>
    <n v="210"/>
    <n v="0.36"/>
    <n v="75.599999999999994"/>
    <n v="3.1899999999999977"/>
    <x v="0"/>
    <x v="1"/>
    <x v="7"/>
  </r>
  <r>
    <s v="CLM104599"/>
    <s v="PT11185"/>
    <s v="P05"/>
    <x v="1"/>
    <x v="7"/>
    <n v="1"/>
    <d v="2026-02-12T00:00:00"/>
    <d v="2026-02-13T00:00:00"/>
    <n v="205.58"/>
    <n v="81.02"/>
    <n v="81.02"/>
    <n v="0"/>
    <s v="Paid"/>
    <s v=""/>
    <d v="2026-04-05T00:00:00"/>
    <d v="2026-04-05T00:00:00"/>
    <n v="210"/>
    <n v="0.38"/>
    <n v="79.8"/>
    <n v="-1.2199999999999989"/>
    <x v="0"/>
    <x v="0"/>
    <x v="0"/>
  </r>
  <r>
    <s v="CLM104600"/>
    <s v="PT10356"/>
    <s v="P03"/>
    <x v="1"/>
    <x v="7"/>
    <n v="1"/>
    <d v="2026-05-10T00:00:00"/>
    <d v="2026-05-14T00:00:00"/>
    <n v="206.68"/>
    <m/>
    <m/>
    <m/>
    <s v="Denied"/>
    <s v="CO-50"/>
    <d v="2026-07-09T00:00:00"/>
    <m/>
    <n v="210"/>
    <n v="0.47"/>
    <n v="98.7"/>
    <s v=""/>
    <x v="2"/>
    <x v="4"/>
    <x v="7"/>
  </r>
  <r>
    <s v="CLM104601"/>
    <s v="PT13453"/>
    <s v="P04"/>
    <x v="1"/>
    <x v="5"/>
    <n v="1"/>
    <d v="2026-04-13T00:00:00"/>
    <d v="2026-04-23T00:00:00"/>
    <n v="4728.55"/>
    <n v="1609.82"/>
    <n v="1448.84"/>
    <n v="160.97999999999999"/>
    <s v="Paid"/>
    <s v=""/>
    <d v="2026-05-17T00:00:00"/>
    <d v="2026-05-17T00:00:00"/>
    <n v="4800"/>
    <n v="0.36"/>
    <n v="1728"/>
    <n v="118.18000000000006"/>
    <x v="1"/>
    <x v="1"/>
    <x v="10"/>
  </r>
  <r>
    <s v="CLM104602"/>
    <s v="PT10313"/>
    <s v="P06"/>
    <x v="1"/>
    <x v="8"/>
    <n v="1"/>
    <d v="2026-04-14T00:00:00"/>
    <d v="2026-04-16T00:00:00"/>
    <n v="261.76"/>
    <n v="62.08"/>
    <n v="55.87"/>
    <n v="6.21"/>
    <s v="Paid"/>
    <s v=""/>
    <d v="2026-05-25T00:00:00"/>
    <d v="2026-05-25T00:00:00"/>
    <n v="260"/>
    <n v="0.27"/>
    <n v="70.2"/>
    <n v="8.1200000000000045"/>
    <x v="1"/>
    <x v="2"/>
    <x v="10"/>
  </r>
  <r>
    <s v="CLM104603"/>
    <s v="PT12075"/>
    <s v="P01"/>
    <x v="0"/>
    <x v="4"/>
    <n v="1"/>
    <d v="2026-06-01T00:00:00"/>
    <d v="2026-06-16T00:00:00"/>
    <n v="37.83"/>
    <n v="18.21"/>
    <n v="14.57"/>
    <n v="3.64"/>
    <s v="Paid"/>
    <s v=""/>
    <d v="2026-07-19T00:00:00"/>
    <d v="2026-07-19T00:00:00"/>
    <n v="38"/>
    <n v="0.45"/>
    <n v="17.100000000000001"/>
    <n v="-1.1099999999999994"/>
    <x v="0"/>
    <x v="5"/>
    <x v="11"/>
  </r>
  <r>
    <s v="CLM104604"/>
    <s v="PT10416"/>
    <s v="P01"/>
    <x v="1"/>
    <x v="1"/>
    <n v="1"/>
    <d v="2025-11-26T00:00:00"/>
    <d v="2025-11-29T00:00:00"/>
    <n v="241.06"/>
    <m/>
    <m/>
    <m/>
    <s v="Denied"/>
    <s v="CO-50"/>
    <d v="2025-12-30T00:00:00"/>
    <m/>
    <n v="240"/>
    <n v="0.45"/>
    <n v="108"/>
    <s v=""/>
    <x v="2"/>
    <x v="5"/>
    <x v="3"/>
  </r>
  <r>
    <s v="CLM104605"/>
    <s v="PT11746"/>
    <s v="P04"/>
    <x v="3"/>
    <x v="6"/>
    <n v="1"/>
    <d v="2026-01-05T00:00:00"/>
    <d v="2026-01-13T00:00:00"/>
    <n v="421.07"/>
    <n v="129.72"/>
    <n v="103.78"/>
    <n v="25.94"/>
    <s v="Paid"/>
    <s v=""/>
    <d v="2026-02-02T00:00:00"/>
    <d v="2026-02-02T00:00:00"/>
    <n v="420"/>
    <n v="0.36"/>
    <n v="151.19999999999999"/>
    <n v="21.47999999999999"/>
    <x v="1"/>
    <x v="1"/>
    <x v="5"/>
  </r>
  <r>
    <s v="CLM104606"/>
    <s v="PT12168"/>
    <s v="P01"/>
    <x v="3"/>
    <x v="7"/>
    <n v="1"/>
    <d v="2026-02-09T00:00:00"/>
    <d v="2026-02-12T00:00:00"/>
    <n v="206.74"/>
    <n v="89.64"/>
    <n v="80.680000000000007"/>
    <n v="8.9600000000000009"/>
    <s v="Paid"/>
    <s v=""/>
    <d v="2026-03-08T00:00:00"/>
    <d v="2026-03-08T00:00:00"/>
    <n v="210"/>
    <n v="0.45"/>
    <n v="94.5"/>
    <n v="4.8599999999999994"/>
    <x v="1"/>
    <x v="5"/>
    <x v="0"/>
  </r>
  <r>
    <s v="CLM104607"/>
    <s v="PT11128"/>
    <s v="P05"/>
    <x v="1"/>
    <x v="10"/>
    <n v="1"/>
    <d v="2026-01-09T00:00:00"/>
    <d v="2026-01-10T00:00:00"/>
    <n v="1059.58"/>
    <n v="346.21"/>
    <n v="276.97000000000003"/>
    <n v="69.239999999999995"/>
    <s v="Paid"/>
    <s v=""/>
    <d v="2026-03-27T00:00:00"/>
    <d v="2026-03-27T00:00:00"/>
    <n v="1050"/>
    <n v="0.38"/>
    <n v="399"/>
    <n v="52.79000000000002"/>
    <x v="1"/>
    <x v="0"/>
    <x v="5"/>
  </r>
  <r>
    <s v="CLM104608"/>
    <s v="PT10509"/>
    <s v="P01"/>
    <x v="1"/>
    <x v="8"/>
    <n v="1"/>
    <d v="2026-09-05T00:00:00"/>
    <d v="2026-09-10T00:00:00"/>
    <n v="252.31"/>
    <m/>
    <m/>
    <m/>
    <s v="Pending"/>
    <s v=""/>
    <m/>
    <m/>
    <n v="260"/>
    <n v="0.45"/>
    <n v="117"/>
    <s v=""/>
    <x v="2"/>
    <x v="5"/>
    <x v="8"/>
  </r>
  <r>
    <s v="CLM104609"/>
    <s v="PT12926"/>
    <s v="P01"/>
    <x v="3"/>
    <x v="7"/>
    <n v="1"/>
    <d v="2025-11-12T00:00:00"/>
    <d v="2025-11-15T00:00:00"/>
    <n v="214.27"/>
    <n v="82.28"/>
    <n v="82.28"/>
    <n v="0"/>
    <s v="Paid"/>
    <s v=""/>
    <d v="2025-11-27T00:00:00"/>
    <d v="2025-11-27T00:00:00"/>
    <n v="210"/>
    <n v="0.45"/>
    <n v="94.5"/>
    <n v="12.219999999999999"/>
    <x v="1"/>
    <x v="5"/>
    <x v="3"/>
  </r>
  <r>
    <s v="CLM104610"/>
    <s v="PT12658"/>
    <s v="P01"/>
    <x v="2"/>
    <x v="9"/>
    <n v="2"/>
    <d v="2026-01-14T00:00:00"/>
    <d v="2026-01-17T00:00:00"/>
    <n v="114.07"/>
    <m/>
    <m/>
    <m/>
    <s v="Denied"/>
    <s v="CO-18"/>
    <d v="2026-02-14T00:00:00"/>
    <m/>
    <n v="58"/>
    <n v="0.45"/>
    <n v="52.2"/>
    <s v=""/>
    <x v="2"/>
    <x v="5"/>
    <x v="5"/>
  </r>
  <r>
    <s v="CLM104611"/>
    <s v="PT13251"/>
    <s v="P02"/>
    <x v="1"/>
    <x v="7"/>
    <n v="1"/>
    <d v="2026-03-17T00:00:00"/>
    <d v="2026-03-18T00:00:00"/>
    <n v="214.33"/>
    <n v="96.1"/>
    <n v="96.1"/>
    <n v="0"/>
    <s v="Paid"/>
    <s v=""/>
    <d v="2026-04-10T00:00:00"/>
    <d v="2026-04-10T00:00:00"/>
    <n v="210"/>
    <n v="0.43"/>
    <n v="90.3"/>
    <n v="-5.7999999999999972"/>
    <x v="0"/>
    <x v="6"/>
    <x v="2"/>
  </r>
  <r>
    <s v="CLM104612"/>
    <s v="PT12517"/>
    <s v="P07"/>
    <x v="2"/>
    <x v="9"/>
    <n v="2"/>
    <d v="2026-07-16T00:00:00"/>
    <d v="2026-07-22T00:00:00"/>
    <n v="118.7"/>
    <m/>
    <m/>
    <m/>
    <s v="Pending"/>
    <s v=""/>
    <m/>
    <m/>
    <n v="58"/>
    <n v="0.28000000000000003"/>
    <n v="32.479999999999997"/>
    <s v=""/>
    <x v="2"/>
    <x v="3"/>
    <x v="1"/>
  </r>
  <r>
    <s v="CLM104613"/>
    <s v="PT11045"/>
    <s v="P01"/>
    <x v="0"/>
    <x v="8"/>
    <n v="1"/>
    <d v="2025-10-31T00:00:00"/>
    <d v="2025-11-07T00:00:00"/>
    <n v="262.08"/>
    <n v="121.97"/>
    <n v="97.58"/>
    <n v="24.39"/>
    <s v="Paid"/>
    <s v=""/>
    <d v="2025-11-28T00:00:00"/>
    <d v="2025-11-28T00:00:00"/>
    <n v="260"/>
    <n v="0.45"/>
    <n v="117"/>
    <n v="-4.9699999999999989"/>
    <x v="0"/>
    <x v="5"/>
    <x v="9"/>
  </r>
  <r>
    <s v="CLM104614"/>
    <s v="PT12490"/>
    <s v="P02"/>
    <x v="2"/>
    <x v="0"/>
    <n v="1"/>
    <d v="2026-02-10T00:00:00"/>
    <d v="2026-02-12T00:00:00"/>
    <n v="146.35"/>
    <n v="54.61"/>
    <n v="54.61"/>
    <n v="0"/>
    <s v="Paid"/>
    <s v=""/>
    <d v="2026-03-08T00:00:00"/>
    <d v="2026-03-08T00:00:00"/>
    <n v="145"/>
    <n v="0.43"/>
    <n v="62.35"/>
    <n v="7.740000000000002"/>
    <x v="1"/>
    <x v="6"/>
    <x v="0"/>
  </r>
  <r>
    <s v="CLM104615"/>
    <s v="PT13385"/>
    <s v="P05"/>
    <x v="0"/>
    <x v="0"/>
    <n v="1"/>
    <d v="2026-05-11T00:00:00"/>
    <d v="2026-05-13T00:00:00"/>
    <n v="143.84"/>
    <m/>
    <m/>
    <m/>
    <s v="Denied"/>
    <s v="CO-4"/>
    <d v="2026-06-22T00:00:00"/>
    <m/>
    <n v="145"/>
    <n v="0.38"/>
    <n v="55.1"/>
    <s v=""/>
    <x v="2"/>
    <x v="0"/>
    <x v="7"/>
  </r>
  <r>
    <s v="CLM104616"/>
    <s v="PT12202"/>
    <s v="P01"/>
    <x v="3"/>
    <x v="7"/>
    <n v="1"/>
    <d v="2026-01-05T00:00:00"/>
    <d v="2026-01-06T00:00:00"/>
    <n v="210.26"/>
    <n v="97.83"/>
    <n v="97.83"/>
    <n v="0"/>
    <s v="Paid"/>
    <s v=""/>
    <d v="2026-01-15T00:00:00"/>
    <d v="2026-01-15T00:00:00"/>
    <n v="210"/>
    <n v="0.45"/>
    <n v="94.5"/>
    <n v="-3.3299999999999983"/>
    <x v="0"/>
    <x v="5"/>
    <x v="5"/>
  </r>
  <r>
    <s v="CLM104617"/>
    <s v="PT11319"/>
    <s v="P07"/>
    <x v="3"/>
    <x v="6"/>
    <n v="1"/>
    <d v="2026-03-03T00:00:00"/>
    <d v="2026-03-13T00:00:00"/>
    <n v="416.66"/>
    <n v="103.79"/>
    <n v="83.03"/>
    <n v="20.76"/>
    <s v="Paid"/>
    <s v=""/>
    <d v="2026-06-01T00:00:00"/>
    <d v="2026-06-01T00:00:00"/>
    <n v="420"/>
    <n v="0.28000000000000003"/>
    <n v="117.6"/>
    <n v="13.809999999999988"/>
    <x v="1"/>
    <x v="3"/>
    <x v="2"/>
  </r>
  <r>
    <s v="CLM104618"/>
    <s v="PT12101"/>
    <s v="P04"/>
    <x v="1"/>
    <x v="11"/>
    <n v="1"/>
    <d v="2026-05-23T00:00:00"/>
    <d v="2026-05-25T00:00:00"/>
    <n v="1140.02"/>
    <m/>
    <m/>
    <m/>
    <s v="Denied"/>
    <s v="CO-50"/>
    <d v="2026-06-14T00:00:00"/>
    <m/>
    <n v="1150"/>
    <n v="0.36"/>
    <n v="414"/>
    <s v=""/>
    <x v="2"/>
    <x v="1"/>
    <x v="7"/>
  </r>
  <r>
    <s v="CLM104619"/>
    <s v="PT13011"/>
    <s v="P08"/>
    <x v="0"/>
    <x v="8"/>
    <n v="1"/>
    <d v="2026-01-12T00:00:00"/>
    <d v="2026-01-15T00:00:00"/>
    <n v="260.56"/>
    <m/>
    <m/>
    <m/>
    <s v="Pending"/>
    <s v=""/>
    <m/>
    <m/>
    <n v="260"/>
    <n v="1"/>
    <n v="260"/>
    <s v=""/>
    <x v="2"/>
    <x v="7"/>
    <x v="5"/>
  </r>
  <r>
    <s v="CLM104620"/>
    <s v="PT11459"/>
    <s v="P01"/>
    <x v="1"/>
    <x v="7"/>
    <n v="1"/>
    <d v="2025-11-06T00:00:00"/>
    <d v="2025-11-11T00:00:00"/>
    <n v="206.79"/>
    <n v="106.54"/>
    <n v="85.23"/>
    <n v="21.31"/>
    <s v="Paid"/>
    <s v=""/>
    <d v="2025-12-16T00:00:00"/>
    <d v="2025-12-16T00:00:00"/>
    <n v="210"/>
    <n v="0.45"/>
    <n v="94.5"/>
    <n v="-12.040000000000006"/>
    <x v="0"/>
    <x v="5"/>
    <x v="3"/>
  </r>
  <r>
    <s v="CLM104621"/>
    <s v="PT13090"/>
    <s v="P05"/>
    <x v="3"/>
    <x v="7"/>
    <n v="1"/>
    <d v="2026-02-12T00:00:00"/>
    <d v="2026-02-14T00:00:00"/>
    <n v="205.95"/>
    <n v="71.78"/>
    <n v="64.599999999999994"/>
    <n v="7.18"/>
    <s v="Paid"/>
    <s v=""/>
    <d v="2026-04-10T00:00:00"/>
    <d v="2026-04-10T00:00:00"/>
    <n v="210"/>
    <n v="0.38"/>
    <n v="79.8"/>
    <n v="8.019999999999996"/>
    <x v="1"/>
    <x v="0"/>
    <x v="0"/>
  </r>
  <r>
    <s v="CLM104622"/>
    <s v="PT12301"/>
    <s v="P04"/>
    <x v="3"/>
    <x v="6"/>
    <n v="1"/>
    <d v="2026-06-27T00:00:00"/>
    <d v="2026-06-29T00:00:00"/>
    <n v="425.35"/>
    <n v="154.1"/>
    <n v="154.1"/>
    <n v="0"/>
    <s v="Paid"/>
    <s v=""/>
    <d v="2026-07-12T00:00:00"/>
    <d v="2026-07-12T00:00:00"/>
    <n v="420"/>
    <n v="0.36"/>
    <n v="151.19999999999999"/>
    <n v="-2.9000000000000057"/>
    <x v="0"/>
    <x v="1"/>
    <x v="11"/>
  </r>
  <r>
    <s v="CLM104623"/>
    <s v="PT10262"/>
    <s v="P01"/>
    <x v="3"/>
    <x v="6"/>
    <n v="1"/>
    <d v="2026-02-24T00:00:00"/>
    <d v="2026-02-28T00:00:00"/>
    <n v="412.82"/>
    <n v="176.61"/>
    <n v="176.61"/>
    <n v="0"/>
    <s v="Paid"/>
    <s v=""/>
    <d v="2026-03-28T00:00:00"/>
    <d v="2026-03-28T00:00:00"/>
    <n v="420"/>
    <n v="0.45"/>
    <n v="189"/>
    <n v="12.389999999999986"/>
    <x v="1"/>
    <x v="5"/>
    <x v="0"/>
  </r>
  <r>
    <s v="CLM104624"/>
    <s v="PT12181"/>
    <s v="P01"/>
    <x v="0"/>
    <x v="4"/>
    <n v="1"/>
    <d v="2026-02-24T00:00:00"/>
    <d v="2026-02-27T00:00:00"/>
    <n v="38.659999999999997"/>
    <n v="19.78"/>
    <n v="15.82"/>
    <n v="3.96"/>
    <s v="Paid"/>
    <s v=""/>
    <d v="2026-04-10T00:00:00"/>
    <d v="2026-04-10T00:00:00"/>
    <n v="38"/>
    <n v="0.45"/>
    <n v="17.100000000000001"/>
    <n v="-2.6799999999999997"/>
    <x v="0"/>
    <x v="5"/>
    <x v="0"/>
  </r>
  <r>
    <s v="CLM104626"/>
    <s v="PT13280"/>
    <s v="P01"/>
    <x v="3"/>
    <x v="6"/>
    <n v="1"/>
    <d v="2026-04-02T00:00:00"/>
    <d v="2026-04-04T00:00:00"/>
    <n v="419.39"/>
    <n v="160.38"/>
    <n v="160.38"/>
    <n v="0"/>
    <s v="Paid"/>
    <s v=""/>
    <d v="2026-05-19T00:00:00"/>
    <d v="2026-05-19T00:00:00"/>
    <n v="420"/>
    <n v="0.45"/>
    <n v="189"/>
    <n v="28.620000000000005"/>
    <x v="1"/>
    <x v="5"/>
    <x v="10"/>
  </r>
  <r>
    <s v="CLM104627"/>
    <s v="PT10395"/>
    <s v="P01"/>
    <x v="1"/>
    <x v="8"/>
    <n v="1"/>
    <d v="2025-11-22T00:00:00"/>
    <d v="2025-11-23T00:00:00"/>
    <n v="263.37"/>
    <n v="113.48"/>
    <n v="113.48"/>
    <n v="0"/>
    <s v="Paid"/>
    <s v=""/>
    <d v="2025-12-26T00:00:00"/>
    <d v="2025-12-26T00:00:00"/>
    <n v="260"/>
    <n v="0.45"/>
    <n v="117"/>
    <n v="3.519999999999996"/>
    <x v="0"/>
    <x v="5"/>
    <x v="3"/>
  </r>
  <r>
    <s v="CLM104628"/>
    <s v="PT12571"/>
    <s v="P04"/>
    <x v="2"/>
    <x v="9"/>
    <n v="1"/>
    <d v="2026-01-23T00:00:00"/>
    <d v="2026-01-27T00:00:00"/>
    <n v="56.92"/>
    <n v="23.53"/>
    <n v="23.53"/>
    <n v="0"/>
    <s v="Paid"/>
    <s v=""/>
    <d v="2026-02-19T00:00:00"/>
    <d v="2026-02-19T00:00:00"/>
    <n v="58"/>
    <n v="0.36"/>
    <n v="20.88"/>
    <n v="-2.6500000000000021"/>
    <x v="0"/>
    <x v="1"/>
    <x v="5"/>
  </r>
  <r>
    <s v="CLM104629"/>
    <s v="PT11376"/>
    <s v="P08"/>
    <x v="1"/>
    <x v="4"/>
    <n v="1"/>
    <d v="2025-12-05T00:00:00"/>
    <d v="2025-12-07T00:00:00"/>
    <n v="37.119999999999997"/>
    <m/>
    <m/>
    <m/>
    <s v="Pending"/>
    <s v=""/>
    <m/>
    <m/>
    <n v="38"/>
    <n v="1"/>
    <n v="38"/>
    <s v=""/>
    <x v="2"/>
    <x v="7"/>
    <x v="6"/>
  </r>
  <r>
    <s v="CLM104630"/>
    <s v="PT12781"/>
    <s v="P02"/>
    <x v="3"/>
    <x v="6"/>
    <n v="1"/>
    <d v="2026-08-13T00:00:00"/>
    <d v="2026-08-17T00:00:00"/>
    <n v="417.3"/>
    <n v="181.2"/>
    <n v="181.2"/>
    <n v="0"/>
    <s v="Paid"/>
    <s v=""/>
    <d v="2026-09-24T00:00:00"/>
    <d v="2026-09-24T00:00:00"/>
    <n v="420"/>
    <n v="0.43"/>
    <n v="180.6"/>
    <n v="-0.59999999999999432"/>
    <x v="0"/>
    <x v="6"/>
    <x v="4"/>
  </r>
  <r>
    <s v="CLM104631"/>
    <s v="PT12810"/>
    <s v="P05"/>
    <x v="1"/>
    <x v="11"/>
    <n v="1"/>
    <d v="2025-11-21T00:00:00"/>
    <d v="2025-11-24T00:00:00"/>
    <n v="1129.8599999999999"/>
    <m/>
    <m/>
    <m/>
    <s v="Denied"/>
    <s v="CO-197"/>
    <d v="2025-12-21T00:00:00"/>
    <m/>
    <n v="1150"/>
    <n v="0.38"/>
    <n v="437"/>
    <s v=""/>
    <x v="2"/>
    <x v="0"/>
    <x v="3"/>
  </r>
  <r>
    <s v="CLM104632"/>
    <s v="PT12324"/>
    <s v="P01"/>
    <x v="0"/>
    <x v="0"/>
    <n v="1"/>
    <d v="2026-04-17T00:00:00"/>
    <d v="2026-04-21T00:00:00"/>
    <n v="147.81"/>
    <n v="56.89"/>
    <n v="56.89"/>
    <n v="0"/>
    <s v="Paid"/>
    <s v=""/>
    <d v="2026-05-24T00:00:00"/>
    <d v="2026-05-24T00:00:00"/>
    <n v="145"/>
    <n v="0.45"/>
    <n v="65.25"/>
    <n v="8.36"/>
    <x v="1"/>
    <x v="5"/>
    <x v="10"/>
  </r>
  <r>
    <s v="CLM104633"/>
    <s v="PT11790"/>
    <s v="P01"/>
    <x v="0"/>
    <x v="7"/>
    <n v="1"/>
    <d v="2026-07-08T00:00:00"/>
    <d v="2026-07-10T00:00:00"/>
    <n v="204.96"/>
    <n v="90.91"/>
    <n v="72.73"/>
    <n v="18.18"/>
    <s v="Paid"/>
    <s v=""/>
    <d v="2026-08-01T00:00:00"/>
    <d v="2026-08-01T00:00:00"/>
    <n v="210"/>
    <n v="0.45"/>
    <n v="94.5"/>
    <n v="3.5900000000000034"/>
    <x v="0"/>
    <x v="5"/>
    <x v="1"/>
  </r>
  <r>
    <s v="CLM104634"/>
    <s v="PT12549"/>
    <s v="P04"/>
    <x v="0"/>
    <x v="7"/>
    <n v="1"/>
    <d v="2025-10-04T00:00:00"/>
    <d v="2025-10-13T00:00:00"/>
    <n v="214.78"/>
    <n v="72.13"/>
    <n v="72.13"/>
    <n v="0"/>
    <s v="Paid"/>
    <s v=""/>
    <d v="2025-11-07T00:00:00"/>
    <d v="2025-11-07T00:00:00"/>
    <n v="210"/>
    <n v="0.36"/>
    <n v="75.599999999999994"/>
    <n v="3.4699999999999989"/>
    <x v="0"/>
    <x v="1"/>
    <x v="9"/>
  </r>
  <r>
    <s v="CLM104635"/>
    <s v="PT12330"/>
    <s v="P03"/>
    <x v="0"/>
    <x v="4"/>
    <n v="1"/>
    <d v="2025-11-10T00:00:00"/>
    <d v="2025-11-12T00:00:00"/>
    <n v="38.229999999999997"/>
    <n v="18.399999999999999"/>
    <n v="14.72"/>
    <n v="3.68"/>
    <s v="Paid"/>
    <s v=""/>
    <d v="2025-12-25T00:00:00"/>
    <d v="2025-12-25T00:00:00"/>
    <n v="38"/>
    <n v="0.47"/>
    <n v="17.86"/>
    <n v="-0.53999999999999915"/>
    <x v="0"/>
    <x v="4"/>
    <x v="3"/>
  </r>
  <r>
    <s v="CLM104636"/>
    <s v="PT12301"/>
    <s v="P04"/>
    <x v="2"/>
    <x v="0"/>
    <n v="1"/>
    <d v="2026-07-17T00:00:00"/>
    <d v="2026-07-20T00:00:00"/>
    <n v="142.54"/>
    <n v="53.65"/>
    <n v="48.28"/>
    <n v="5.37"/>
    <s v="Paid"/>
    <s v=""/>
    <d v="2026-08-12T00:00:00"/>
    <d v="2026-08-12T00:00:00"/>
    <n v="145"/>
    <n v="0.36"/>
    <n v="52.2"/>
    <n v="-1.4499999999999957"/>
    <x v="0"/>
    <x v="1"/>
    <x v="1"/>
  </r>
  <r>
    <s v="CLM104637"/>
    <s v="PT10581"/>
    <s v="P03"/>
    <x v="2"/>
    <x v="0"/>
    <n v="1"/>
    <d v="2026-04-18T00:00:00"/>
    <d v="2026-04-20T00:00:00"/>
    <n v="141.66999999999999"/>
    <n v="70.319999999999993"/>
    <n v="70.319999999999993"/>
    <n v="0"/>
    <s v="Paid"/>
    <s v=""/>
    <d v="2026-05-22T00:00:00"/>
    <d v="2026-05-22T00:00:00"/>
    <n v="145"/>
    <n v="0.47"/>
    <n v="68.150000000000006"/>
    <n v="-2.1699999999999875"/>
    <x v="0"/>
    <x v="4"/>
    <x v="10"/>
  </r>
  <r>
    <s v="CLM104638"/>
    <s v="PT11364"/>
    <s v="P02"/>
    <x v="1"/>
    <x v="11"/>
    <n v="1"/>
    <d v="2026-06-11T00:00:00"/>
    <d v="2026-06-13T00:00:00"/>
    <n v="1174.02"/>
    <n v="565.29"/>
    <n v="565.29"/>
    <n v="0"/>
    <s v="Paid"/>
    <s v=""/>
    <d v="2026-08-01T00:00:00"/>
    <d v="2026-08-01T00:00:00"/>
    <n v="1150"/>
    <n v="0.43"/>
    <n v="494.5"/>
    <n v="-70.789999999999964"/>
    <x v="0"/>
    <x v="6"/>
    <x v="11"/>
  </r>
  <r>
    <s v="CLM104639"/>
    <s v="PT12054"/>
    <s v="P07"/>
    <x v="1"/>
    <x v="7"/>
    <n v="1"/>
    <d v="2025-10-18T00:00:00"/>
    <d v="2025-10-24T00:00:00"/>
    <n v="205.35"/>
    <n v="55.54"/>
    <n v="44.43"/>
    <n v="11.11"/>
    <s v="Paid"/>
    <s v=""/>
    <d v="2025-11-29T00:00:00"/>
    <d v="2025-11-29T00:00:00"/>
    <n v="210"/>
    <n v="0.28000000000000003"/>
    <n v="58.8"/>
    <n v="3.259999999999998"/>
    <x v="1"/>
    <x v="3"/>
    <x v="9"/>
  </r>
  <r>
    <s v="CLM104640"/>
    <s v="PT13474"/>
    <s v="P06"/>
    <x v="0"/>
    <x v="8"/>
    <n v="1"/>
    <d v="2026-02-15T00:00:00"/>
    <d v="2026-02-16T00:00:00"/>
    <n v="255.52"/>
    <n v="59.7"/>
    <n v="53.73"/>
    <n v="5.97"/>
    <s v="Paid"/>
    <s v=""/>
    <d v="2026-03-23T00:00:00"/>
    <d v="2026-03-23T00:00:00"/>
    <n v="260"/>
    <n v="0.27"/>
    <n v="70.2"/>
    <n v="10.5"/>
    <x v="1"/>
    <x v="2"/>
    <x v="0"/>
  </r>
  <r>
    <s v="CLM104641"/>
    <s v="PT12803"/>
    <s v="P05"/>
    <x v="3"/>
    <x v="6"/>
    <n v="1"/>
    <d v="2026-02-07T00:00:00"/>
    <d v="2026-02-08T00:00:00"/>
    <n v="428.63"/>
    <n v="158.97999999999999"/>
    <n v="143.08000000000001"/>
    <n v="15.9"/>
    <s v="Paid"/>
    <s v=""/>
    <d v="2026-03-08T00:00:00"/>
    <d v="2026-03-08T00:00:00"/>
    <n v="420"/>
    <n v="0.38"/>
    <n v="159.6"/>
    <n v="0.62000000000000455"/>
    <x v="0"/>
    <x v="0"/>
    <x v="0"/>
  </r>
  <r>
    <s v="CLM104642"/>
    <s v="PT10589"/>
    <s v="P01"/>
    <x v="3"/>
    <x v="7"/>
    <n v="1"/>
    <d v="2025-10-10T00:00:00"/>
    <d v="2025-10-13T00:00:00"/>
    <n v="207.98"/>
    <m/>
    <m/>
    <m/>
    <s v="Denied"/>
    <s v="CO-16"/>
    <d v="2025-11-21T00:00:00"/>
    <m/>
    <n v="210"/>
    <n v="0.45"/>
    <n v="94.5"/>
    <s v=""/>
    <x v="2"/>
    <x v="5"/>
    <x v="9"/>
  </r>
  <r>
    <s v="CLM104643"/>
    <s v="PT10771"/>
    <s v="P04"/>
    <x v="2"/>
    <x v="9"/>
    <n v="2"/>
    <d v="2026-08-09T00:00:00"/>
    <d v="2026-08-27T00:00:00"/>
    <n v="116.75"/>
    <n v="38.840000000000003"/>
    <n v="38.840000000000003"/>
    <n v="0"/>
    <s v="Paid"/>
    <s v=""/>
    <d v="2026-09-16T00:00:00"/>
    <d v="2026-09-16T00:00:00"/>
    <n v="58"/>
    <n v="0.36"/>
    <n v="41.76"/>
    <n v="2.9199999999999946"/>
    <x v="1"/>
    <x v="1"/>
    <x v="4"/>
  </r>
  <r>
    <s v="CLM104644"/>
    <s v="PT10569"/>
    <s v="P02"/>
    <x v="1"/>
    <x v="1"/>
    <n v="1"/>
    <d v="2026-03-20T00:00:00"/>
    <d v="2026-03-21T00:00:00"/>
    <n v="235.21"/>
    <n v="112.12"/>
    <n v="89.7"/>
    <n v="22.42"/>
    <s v="Paid"/>
    <s v=""/>
    <d v="2026-05-01T00:00:00"/>
    <d v="2026-05-01T00:00:00"/>
    <n v="240"/>
    <n v="0.43"/>
    <n v="103.2"/>
    <n v="-8.9200000000000017"/>
    <x v="0"/>
    <x v="6"/>
    <x v="2"/>
  </r>
  <r>
    <s v="CLM104645"/>
    <s v="PT12985"/>
    <s v="P05"/>
    <x v="3"/>
    <x v="3"/>
    <n v="5"/>
    <d v="2026-06-20T00:00:00"/>
    <d v="2026-06-25T00:00:00"/>
    <n v="7272.43"/>
    <m/>
    <m/>
    <m/>
    <s v="Denied"/>
    <s v="CO-50"/>
    <d v="2026-08-09T00:00:00"/>
    <m/>
    <n v="1450"/>
    <n v="0.38"/>
    <n v="2755"/>
    <s v=""/>
    <x v="2"/>
    <x v="0"/>
    <x v="11"/>
  </r>
  <r>
    <s v="CLM104646"/>
    <s v="PT12762"/>
    <s v="P02"/>
    <x v="0"/>
    <x v="0"/>
    <n v="1"/>
    <d v="2026-03-04T00:00:00"/>
    <d v="2026-03-06T00:00:00"/>
    <n v="147.13"/>
    <n v="54.28"/>
    <n v="54.28"/>
    <n v="0"/>
    <s v="Paid"/>
    <s v=""/>
    <d v="2026-03-29T00:00:00"/>
    <d v="2026-03-29T00:00:00"/>
    <n v="145"/>
    <n v="0.43"/>
    <n v="62.35"/>
    <n v="8.07"/>
    <x v="1"/>
    <x v="6"/>
    <x v="2"/>
  </r>
  <r>
    <s v="CLM104647"/>
    <s v="PT10295"/>
    <s v="P02"/>
    <x v="1"/>
    <x v="4"/>
    <n v="1"/>
    <d v="2025-12-22T00:00:00"/>
    <d v="2025-12-27T00:00:00"/>
    <n v="39.07"/>
    <n v="18.18"/>
    <n v="16.36"/>
    <n v="1.82"/>
    <s v="Paid"/>
    <s v=""/>
    <d v="2026-02-08T00:00:00"/>
    <d v="2026-02-08T00:00:00"/>
    <n v="38"/>
    <n v="0.43"/>
    <n v="16.34"/>
    <n v="-1.8399999999999999"/>
    <x v="0"/>
    <x v="6"/>
    <x v="6"/>
  </r>
  <r>
    <s v="CLM104648"/>
    <s v="PT10053"/>
    <s v="P06"/>
    <x v="2"/>
    <x v="2"/>
    <n v="2"/>
    <d v="2026-03-05T00:00:00"/>
    <d v="2026-03-10T00:00:00"/>
    <n v="121.29"/>
    <n v="35.19"/>
    <n v="28.15"/>
    <n v="7.04"/>
    <s v="Paid"/>
    <s v=""/>
    <d v="2026-04-23T00:00:00"/>
    <d v="2026-04-23T00:00:00"/>
    <n v="62"/>
    <n v="0.27"/>
    <n v="33.479999999999997"/>
    <n v="-1.7100000000000009"/>
    <x v="0"/>
    <x v="2"/>
    <x v="2"/>
  </r>
  <r>
    <s v="CLM104649"/>
    <s v="PT12162"/>
    <s v="P02"/>
    <x v="2"/>
    <x v="2"/>
    <n v="1"/>
    <d v="2026-07-02T00:00:00"/>
    <d v="2026-07-07T00:00:00"/>
    <n v="61.83"/>
    <n v="24.27"/>
    <n v="19.420000000000002"/>
    <n v="4.8499999999999996"/>
    <s v="Paid"/>
    <s v=""/>
    <d v="2026-08-15T00:00:00"/>
    <d v="2026-08-15T00:00:00"/>
    <n v="62"/>
    <n v="0.43"/>
    <n v="26.66"/>
    <n v="2.3900000000000006"/>
    <x v="1"/>
    <x v="6"/>
    <x v="1"/>
  </r>
  <r>
    <s v="CLM104650"/>
    <s v="PT13208"/>
    <s v="P01"/>
    <x v="3"/>
    <x v="7"/>
    <n v="1"/>
    <d v="2026-05-10T00:00:00"/>
    <d v="2026-05-11T00:00:00"/>
    <n v="210.04"/>
    <n v="95.93"/>
    <n v="86.34"/>
    <n v="9.59"/>
    <s v="Paid"/>
    <s v=""/>
    <d v="2026-06-03T00:00:00"/>
    <d v="2026-06-03T00:00:00"/>
    <n v="210"/>
    <n v="0.45"/>
    <n v="94.5"/>
    <n v="-1.4300000000000068"/>
    <x v="0"/>
    <x v="5"/>
    <x v="7"/>
  </r>
  <r>
    <s v="CLM104651"/>
    <s v="PT12404"/>
    <s v="P02"/>
    <x v="2"/>
    <x v="9"/>
    <n v="1"/>
    <d v="2026-02-10T00:00:00"/>
    <d v="2026-02-14T00:00:00"/>
    <n v="58.97"/>
    <n v="22.55"/>
    <n v="18.04"/>
    <n v="4.51"/>
    <s v="Paid"/>
    <s v=""/>
    <d v="2026-03-16T00:00:00"/>
    <d v="2026-03-16T00:00:00"/>
    <n v="58"/>
    <n v="0.43"/>
    <n v="24.94"/>
    <n v="2.3900000000000006"/>
    <x v="1"/>
    <x v="6"/>
    <x v="0"/>
  </r>
  <r>
    <s v="CLM104652"/>
    <s v="PT12659"/>
    <s v="P03"/>
    <x v="3"/>
    <x v="7"/>
    <n v="1"/>
    <d v="2026-02-04T00:00:00"/>
    <d v="2026-02-14T00:00:00"/>
    <n v="208.21"/>
    <n v="104.08"/>
    <n v="93.67"/>
    <n v="10.41"/>
    <s v="Paid"/>
    <s v=""/>
    <d v="2026-03-27T00:00:00"/>
    <d v="2026-03-27T00:00:00"/>
    <n v="210"/>
    <n v="0.47"/>
    <n v="98.7"/>
    <n v="-5.3799999999999955"/>
    <x v="0"/>
    <x v="4"/>
    <x v="0"/>
  </r>
  <r>
    <s v="CLM104653"/>
    <s v="PT10006"/>
    <s v="P03"/>
    <x v="1"/>
    <x v="8"/>
    <n v="1"/>
    <d v="2025-12-09T00:00:00"/>
    <d v="2025-12-11T00:00:00"/>
    <n v="262.66000000000003"/>
    <n v="124.06"/>
    <n v="99.25"/>
    <n v="24.81"/>
    <s v="Paid"/>
    <s v=""/>
    <d v="2026-01-21T00:00:00"/>
    <d v="2026-01-21T00:00:00"/>
    <n v="260"/>
    <n v="0.47"/>
    <n v="122.2"/>
    <n v="-1.8599999999999994"/>
    <x v="0"/>
    <x v="4"/>
    <x v="6"/>
  </r>
  <r>
    <s v="CLM104654"/>
    <s v="PT11913"/>
    <s v="P02"/>
    <x v="0"/>
    <x v="0"/>
    <n v="1"/>
    <d v="2026-08-28T00:00:00"/>
    <d v="2026-09-03T00:00:00"/>
    <n v="142.69999999999999"/>
    <m/>
    <m/>
    <m/>
    <s v="Pending"/>
    <s v=""/>
    <m/>
    <m/>
    <n v="145"/>
    <n v="0.43"/>
    <n v="62.35"/>
    <s v=""/>
    <x v="2"/>
    <x v="6"/>
    <x v="4"/>
  </r>
  <r>
    <s v="CLM104655"/>
    <s v="PT11378"/>
    <s v="P01"/>
    <x v="1"/>
    <x v="7"/>
    <n v="1"/>
    <d v="2025-11-28T00:00:00"/>
    <d v="2025-11-30T00:00:00"/>
    <n v="207.77"/>
    <m/>
    <m/>
    <m/>
    <s v="Denied"/>
    <s v="CO-16"/>
    <d v="2026-01-04T00:00:00"/>
    <m/>
    <n v="210"/>
    <n v="0.45"/>
    <n v="94.5"/>
    <s v=""/>
    <x v="2"/>
    <x v="5"/>
    <x v="3"/>
  </r>
  <r>
    <s v="CLM104656"/>
    <s v="PT12060"/>
    <s v="P02"/>
    <x v="0"/>
    <x v="4"/>
    <n v="1"/>
    <d v="2026-02-06T00:00:00"/>
    <d v="2026-02-07T00:00:00"/>
    <n v="38.950000000000003"/>
    <n v="15.28"/>
    <n v="12.22"/>
    <n v="3.06"/>
    <s v="Paid"/>
    <s v=""/>
    <d v="2026-03-18T00:00:00"/>
    <d v="2026-03-18T00:00:00"/>
    <n v="38"/>
    <n v="0.43"/>
    <n v="16.34"/>
    <n v="1.0600000000000005"/>
    <x v="1"/>
    <x v="6"/>
    <x v="0"/>
  </r>
  <r>
    <s v="CLM104657"/>
    <s v="PT10808"/>
    <s v="P08"/>
    <x v="1"/>
    <x v="11"/>
    <n v="1"/>
    <d v="2026-09-20T00:00:00"/>
    <d v="2026-09-21T00:00:00"/>
    <n v="1136.28"/>
    <m/>
    <m/>
    <m/>
    <s v="Pending"/>
    <s v=""/>
    <m/>
    <m/>
    <n v="1150"/>
    <n v="1"/>
    <n v="1150"/>
    <s v=""/>
    <x v="2"/>
    <x v="7"/>
    <x v="8"/>
  </r>
  <r>
    <s v="CLM104658"/>
    <s v="PT10481"/>
    <s v="P07"/>
    <x v="1"/>
    <x v="11"/>
    <n v="1"/>
    <d v="2025-10-10T00:00:00"/>
    <d v="2025-10-18T00:00:00"/>
    <n v="1156.42"/>
    <m/>
    <m/>
    <m/>
    <s v="Denied"/>
    <s v="CO-197"/>
    <d v="2026-01-13T00:00:00"/>
    <m/>
    <n v="1150"/>
    <n v="0.28000000000000003"/>
    <n v="322"/>
    <s v=""/>
    <x v="2"/>
    <x v="3"/>
    <x v="9"/>
  </r>
  <r>
    <s v="CLM104659"/>
    <s v="PT11346"/>
    <s v="P05"/>
    <x v="1"/>
    <x v="5"/>
    <n v="1"/>
    <d v="2026-05-10T00:00:00"/>
    <d v="2026-05-11T00:00:00"/>
    <n v="4798.8900000000003"/>
    <m/>
    <m/>
    <m/>
    <s v="Denied"/>
    <s v="CO-11"/>
    <d v="2026-06-23T00:00:00"/>
    <m/>
    <n v="4800"/>
    <n v="0.38"/>
    <n v="1824"/>
    <s v=""/>
    <x v="2"/>
    <x v="0"/>
    <x v="7"/>
  </r>
  <r>
    <s v="CLM104660"/>
    <s v="PT13122"/>
    <s v="P01"/>
    <x v="0"/>
    <x v="7"/>
    <n v="1"/>
    <d v="2026-03-16T00:00:00"/>
    <d v="2026-03-24T00:00:00"/>
    <n v="212.36"/>
    <n v="90.24"/>
    <n v="72.19"/>
    <n v="18.05"/>
    <s v="Paid"/>
    <s v=""/>
    <d v="2026-04-26T00:00:00"/>
    <d v="2026-04-26T00:00:00"/>
    <n v="210"/>
    <n v="0.45"/>
    <n v="94.5"/>
    <n v="4.2600000000000051"/>
    <x v="0"/>
    <x v="5"/>
    <x v="2"/>
  </r>
  <r>
    <s v="CLM104661"/>
    <s v="PT10982"/>
    <s v="P05"/>
    <x v="0"/>
    <x v="7"/>
    <n v="1"/>
    <d v="2026-08-02T00:00:00"/>
    <d v="2026-08-04T00:00:00"/>
    <n v="214.4"/>
    <m/>
    <m/>
    <m/>
    <s v="Pending"/>
    <s v=""/>
    <m/>
    <m/>
    <n v="210"/>
    <n v="0.38"/>
    <n v="79.8"/>
    <s v=""/>
    <x v="2"/>
    <x v="0"/>
    <x v="4"/>
  </r>
  <r>
    <s v="CLM104662"/>
    <s v="PT11324"/>
    <s v="P02"/>
    <x v="2"/>
    <x v="2"/>
    <n v="4"/>
    <d v="2025-12-01T00:00:00"/>
    <d v="2025-12-02T00:00:00"/>
    <n v="249.6"/>
    <n v="121.8"/>
    <n v="121.8"/>
    <n v="0"/>
    <s v="Paid"/>
    <s v=""/>
    <d v="2026-01-01T00:00:00"/>
    <d v="2026-01-01T00:00:00"/>
    <n v="62"/>
    <n v="0.43"/>
    <n v="106.64"/>
    <n v="-15.159999999999997"/>
    <x v="0"/>
    <x v="6"/>
    <x v="6"/>
  </r>
  <r>
    <s v="CLM104663"/>
    <s v="PT10438"/>
    <s v="P02"/>
    <x v="1"/>
    <x v="7"/>
    <n v="1"/>
    <d v="2026-05-24T00:00:00"/>
    <d v="2026-05-25T00:00:00"/>
    <n v="210.04"/>
    <n v="100.69"/>
    <n v="100.69"/>
    <n v="0"/>
    <s v="Paid"/>
    <s v=""/>
    <d v="2026-07-01T00:00:00"/>
    <d v="2026-07-01T00:00:00"/>
    <n v="210"/>
    <n v="0.43"/>
    <n v="90.3"/>
    <n v="-10.39"/>
    <x v="0"/>
    <x v="6"/>
    <x v="7"/>
  </r>
  <r>
    <s v="CLM104664"/>
    <s v="PT11558"/>
    <s v="P03"/>
    <x v="0"/>
    <x v="7"/>
    <n v="1"/>
    <d v="2025-10-11T00:00:00"/>
    <d v="2025-10-16T00:00:00"/>
    <n v="215.78"/>
    <n v="94.11"/>
    <n v="94.11"/>
    <n v="0"/>
    <s v="Paid"/>
    <s v=""/>
    <d v="2025-12-13T00:00:00"/>
    <d v="2025-12-13T00:00:00"/>
    <n v="210"/>
    <n v="0.47"/>
    <n v="98.7"/>
    <n v="4.5900000000000034"/>
    <x v="0"/>
    <x v="4"/>
    <x v="9"/>
  </r>
  <r>
    <s v="CLM104665"/>
    <s v="PT11071"/>
    <s v="P02"/>
    <x v="2"/>
    <x v="0"/>
    <n v="1"/>
    <d v="2026-04-30T00:00:00"/>
    <d v="2026-05-01T00:00:00"/>
    <n v="148.78"/>
    <n v="57.42"/>
    <n v="45.94"/>
    <n v="11.48"/>
    <s v="Paid"/>
    <s v=""/>
    <d v="2026-05-22T00:00:00"/>
    <d v="2026-05-22T00:00:00"/>
    <n v="145"/>
    <n v="0.43"/>
    <n v="62.35"/>
    <n v="4.93"/>
    <x v="1"/>
    <x v="6"/>
    <x v="10"/>
  </r>
  <r>
    <s v="CLM104666"/>
    <s v="PT11963"/>
    <s v="P01"/>
    <x v="3"/>
    <x v="6"/>
    <n v="1"/>
    <d v="2026-06-07T00:00:00"/>
    <d v="2026-06-12T00:00:00"/>
    <n v="417.94"/>
    <n v="194.58"/>
    <n v="155.66"/>
    <n v="38.92"/>
    <s v="Paid"/>
    <s v=""/>
    <d v="2026-06-28T00:00:00"/>
    <d v="2026-06-28T00:00:00"/>
    <n v="420"/>
    <n v="0.45"/>
    <n v="189"/>
    <n v="-5.5800000000000125"/>
    <x v="0"/>
    <x v="5"/>
    <x v="11"/>
  </r>
  <r>
    <s v="CLM104667"/>
    <s v="PT10844"/>
    <s v="P02"/>
    <x v="0"/>
    <x v="7"/>
    <n v="1"/>
    <d v="2026-06-21T00:00:00"/>
    <d v="2026-06-22T00:00:00"/>
    <n v="208.85"/>
    <n v="77.87"/>
    <n v="77.87"/>
    <n v="0"/>
    <s v="Paid"/>
    <s v=""/>
    <d v="2026-07-29T00:00:00"/>
    <d v="2026-07-29T00:00:00"/>
    <n v="210"/>
    <n v="0.43"/>
    <n v="90.3"/>
    <n v="12.429999999999993"/>
    <x v="1"/>
    <x v="6"/>
    <x v="11"/>
  </r>
  <r>
    <s v="CLM104668"/>
    <s v="PT12625"/>
    <s v="P04"/>
    <x v="1"/>
    <x v="10"/>
    <n v="1"/>
    <d v="2026-07-15T00:00:00"/>
    <d v="2026-07-27T00:00:00"/>
    <n v="1064.9100000000001"/>
    <n v="339.81"/>
    <n v="339.81"/>
    <n v="0"/>
    <s v="Paid"/>
    <s v=""/>
    <d v="2026-08-18T00:00:00"/>
    <d v="2026-08-18T00:00:00"/>
    <n v="1050"/>
    <n v="0.36"/>
    <n v="378"/>
    <n v="38.19"/>
    <x v="1"/>
    <x v="1"/>
    <x v="1"/>
  </r>
  <r>
    <s v="CLM104669"/>
    <s v="PT10489"/>
    <s v="P07"/>
    <x v="2"/>
    <x v="0"/>
    <n v="1"/>
    <d v="2025-12-01T00:00:00"/>
    <d v="2025-12-03T00:00:00"/>
    <n v="145.9"/>
    <n v="42.26"/>
    <n v="38.03"/>
    <n v="4.2300000000000004"/>
    <s v="Paid"/>
    <s v=""/>
    <d v="2026-02-13T00:00:00"/>
    <d v="2026-02-13T00:00:00"/>
    <n v="145"/>
    <n v="0.28000000000000003"/>
    <n v="40.6"/>
    <n v="-1.6599999999999966"/>
    <x v="0"/>
    <x v="3"/>
    <x v="6"/>
  </r>
  <r>
    <s v="CLM104670"/>
    <s v="PT11631"/>
    <s v="P02"/>
    <x v="1"/>
    <x v="10"/>
    <n v="1"/>
    <d v="2025-12-03T00:00:00"/>
    <d v="2025-12-09T00:00:00"/>
    <n v="1079.9000000000001"/>
    <n v="468.08"/>
    <n v="468.08"/>
    <n v="0"/>
    <s v="Paid"/>
    <s v=""/>
    <d v="2026-01-02T00:00:00"/>
    <d v="2026-01-02T00:00:00"/>
    <n v="1050"/>
    <n v="0.43"/>
    <n v="451.5"/>
    <n v="-16.579999999999984"/>
    <x v="0"/>
    <x v="6"/>
    <x v="6"/>
  </r>
  <r>
    <s v="CLM104671"/>
    <s v="PT10293"/>
    <s v="P03"/>
    <x v="1"/>
    <x v="10"/>
    <n v="1"/>
    <d v="2026-01-03T00:00:00"/>
    <d v="2026-01-18T00:00:00"/>
    <n v="1071.46"/>
    <n v="476.87"/>
    <n v="381.5"/>
    <n v="95.37"/>
    <s v="Paid"/>
    <s v=""/>
    <d v="2026-02-26T00:00:00"/>
    <d v="2026-02-26T00:00:00"/>
    <n v="1050"/>
    <n v="0.47"/>
    <n v="493.5"/>
    <n v="16.629999999999995"/>
    <x v="0"/>
    <x v="4"/>
    <x v="5"/>
  </r>
  <r>
    <s v="CLM104672"/>
    <s v="PT12997"/>
    <s v="P05"/>
    <x v="1"/>
    <x v="8"/>
    <n v="1"/>
    <d v="2026-07-17T00:00:00"/>
    <d v="2026-07-19T00:00:00"/>
    <n v="266.45"/>
    <n v="97.75"/>
    <n v="97.75"/>
    <n v="0"/>
    <s v="Paid"/>
    <s v=""/>
    <d v="2026-09-24T00:00:00"/>
    <d v="2026-09-24T00:00:00"/>
    <n v="260"/>
    <n v="0.38"/>
    <n v="98.8"/>
    <n v="1.0499999999999972"/>
    <x v="0"/>
    <x v="0"/>
    <x v="1"/>
  </r>
  <r>
    <s v="CLM104673"/>
    <s v="PT10783"/>
    <s v="P04"/>
    <x v="1"/>
    <x v="10"/>
    <n v="1"/>
    <d v="2025-10-24T00:00:00"/>
    <d v="2025-10-27T00:00:00"/>
    <n v="1075.9000000000001"/>
    <n v="332.29"/>
    <n v="332.29"/>
    <n v="0"/>
    <s v="Paid"/>
    <s v=""/>
    <d v="2025-11-23T00:00:00"/>
    <d v="2025-11-23T00:00:00"/>
    <n v="1050"/>
    <n v="0.36"/>
    <n v="378"/>
    <n v="45.70999999999998"/>
    <x v="1"/>
    <x v="1"/>
    <x v="9"/>
  </r>
  <r>
    <s v="CLM104674"/>
    <s v="PT10320"/>
    <s v="P07"/>
    <x v="1"/>
    <x v="4"/>
    <n v="1"/>
    <d v="2026-01-22T00:00:00"/>
    <d v="2026-01-28T00:00:00"/>
    <n v="37.51"/>
    <n v="11.56"/>
    <n v="11.56"/>
    <n v="0"/>
    <s v="Paid"/>
    <s v=""/>
    <d v="2026-03-25T00:00:00"/>
    <d v="2026-03-25T00:00:00"/>
    <n v="38"/>
    <n v="0.28000000000000003"/>
    <n v="10.64"/>
    <n v="-0.91999999999999993"/>
    <x v="0"/>
    <x v="3"/>
    <x v="5"/>
  </r>
  <r>
    <s v="CLM104675"/>
    <s v="PT12615"/>
    <s v="P03"/>
    <x v="1"/>
    <x v="7"/>
    <n v="1"/>
    <d v="2025-10-13T00:00:00"/>
    <d v="2025-10-18T00:00:00"/>
    <n v="214.18"/>
    <n v="112.95"/>
    <n v="101.65"/>
    <n v="11.3"/>
    <s v="Paid"/>
    <s v=""/>
    <d v="2025-11-09T00:00:00"/>
    <d v="2025-11-09T00:00:00"/>
    <n v="210"/>
    <n v="0.47"/>
    <n v="98.7"/>
    <n v="-14.25"/>
    <x v="0"/>
    <x v="4"/>
    <x v="9"/>
  </r>
  <r>
    <s v="CLM104676"/>
    <s v="PT10187"/>
    <s v="P05"/>
    <x v="0"/>
    <x v="8"/>
    <n v="1"/>
    <d v="2025-11-19T00:00:00"/>
    <d v="2025-11-20T00:00:00"/>
    <n v="263.02999999999997"/>
    <n v="115.68"/>
    <n v="115.68"/>
    <n v="0"/>
    <s v="Paid"/>
    <s v=""/>
    <d v="2026-01-19T00:00:00"/>
    <d v="2026-01-19T00:00:00"/>
    <n v="260"/>
    <n v="0.38"/>
    <n v="98.8"/>
    <n v="-16.88000000000001"/>
    <x v="0"/>
    <x v="0"/>
    <x v="3"/>
  </r>
  <r>
    <s v="CLM104677"/>
    <s v="PT12862"/>
    <s v="P02"/>
    <x v="3"/>
    <x v="3"/>
    <n v="10"/>
    <d v="2026-07-11T00:00:00"/>
    <d v="2026-07-15T00:00:00"/>
    <n v="14258.65"/>
    <n v="5828.89"/>
    <n v="5828.89"/>
    <n v="0"/>
    <s v="Paid"/>
    <s v=""/>
    <d v="2026-08-17T00:00:00"/>
    <d v="2026-08-17T00:00:00"/>
    <n v="1450"/>
    <n v="0.43"/>
    <n v="6235"/>
    <n v="406.10999999999967"/>
    <x v="1"/>
    <x v="6"/>
    <x v="1"/>
  </r>
  <r>
    <s v="CLM104678"/>
    <s v="PT11798"/>
    <s v="P04"/>
    <x v="1"/>
    <x v="7"/>
    <n v="1"/>
    <d v="2026-08-14T00:00:00"/>
    <d v="2026-08-20T00:00:00"/>
    <n v="211.04"/>
    <n v="82.96"/>
    <n v="82.96"/>
    <n v="0"/>
    <s v="Paid"/>
    <s v=""/>
    <d v="2026-08-30T00:00:00"/>
    <d v="2026-08-30T00:00:00"/>
    <n v="210"/>
    <n v="0.36"/>
    <n v="75.599999999999994"/>
    <n v="-7.3599999999999994"/>
    <x v="0"/>
    <x v="1"/>
    <x v="4"/>
  </r>
  <r>
    <s v="CLM104679"/>
    <s v="PT10746"/>
    <s v="P02"/>
    <x v="0"/>
    <x v="4"/>
    <n v="1"/>
    <d v="2026-05-13T00:00:00"/>
    <d v="2026-05-20T00:00:00"/>
    <n v="39.01"/>
    <n v="14.12"/>
    <n v="12.71"/>
    <n v="1.41"/>
    <s v="Paid"/>
    <s v=""/>
    <d v="2026-06-17T00:00:00"/>
    <d v="2026-06-17T00:00:00"/>
    <n v="38"/>
    <n v="0.43"/>
    <n v="16.34"/>
    <n v="2.2200000000000006"/>
    <x v="1"/>
    <x v="6"/>
    <x v="7"/>
  </r>
  <r>
    <s v="CLM104680"/>
    <s v="PT10096"/>
    <s v="P02"/>
    <x v="1"/>
    <x v="5"/>
    <n v="1"/>
    <d v="2026-04-27T00:00:00"/>
    <d v="2026-04-29T00:00:00"/>
    <n v="4750.76"/>
    <n v="2218.13"/>
    <n v="2218.13"/>
    <n v="0"/>
    <s v="Paid"/>
    <s v=""/>
    <d v="2026-05-23T00:00:00"/>
    <d v="2026-05-23T00:00:00"/>
    <n v="4800"/>
    <n v="0.43"/>
    <n v="2064"/>
    <n v="-154.13000000000011"/>
    <x v="0"/>
    <x v="6"/>
    <x v="10"/>
  </r>
  <r>
    <s v="CLM104681"/>
    <s v="PT12406"/>
    <s v="P06"/>
    <x v="2"/>
    <x v="2"/>
    <n v="3"/>
    <d v="2026-04-14T00:00:00"/>
    <d v="2026-04-19T00:00:00"/>
    <n v="181.14"/>
    <n v="45.85"/>
    <n v="45.85"/>
    <n v="0"/>
    <s v="Paid"/>
    <s v=""/>
    <d v="2026-06-07T00:00:00"/>
    <d v="2026-06-07T00:00:00"/>
    <n v="62"/>
    <n v="0.27"/>
    <n v="50.22"/>
    <n v="4.3699999999999974"/>
    <x v="1"/>
    <x v="2"/>
    <x v="10"/>
  </r>
  <r>
    <s v="CLM104682"/>
    <s v="PT10894"/>
    <s v="P01"/>
    <x v="0"/>
    <x v="4"/>
    <n v="1"/>
    <d v="2025-12-28T00:00:00"/>
    <d v="2025-12-31T00:00:00"/>
    <n v="38.78"/>
    <m/>
    <m/>
    <m/>
    <s v="Denied"/>
    <s v="CO-16"/>
    <d v="2026-01-25T00:00:00"/>
    <m/>
    <n v="38"/>
    <n v="0.45"/>
    <n v="17.100000000000001"/>
    <s v=""/>
    <x v="2"/>
    <x v="5"/>
    <x v="6"/>
  </r>
  <r>
    <s v="CLM104683"/>
    <s v="PT10086"/>
    <s v="P04"/>
    <x v="2"/>
    <x v="2"/>
    <n v="1"/>
    <d v="2026-07-09T00:00:00"/>
    <d v="2026-07-10T00:00:00"/>
    <n v="62.95"/>
    <n v="22.03"/>
    <n v="22.03"/>
    <n v="0"/>
    <s v="Paid"/>
    <s v=""/>
    <d v="2026-08-09T00:00:00"/>
    <d v="2026-08-09T00:00:00"/>
    <n v="62"/>
    <n v="0.36"/>
    <n v="22.32"/>
    <n v="0.28999999999999915"/>
    <x v="0"/>
    <x v="1"/>
    <x v="1"/>
  </r>
  <r>
    <s v="CLM104684"/>
    <s v="PT10396"/>
    <s v="P08"/>
    <x v="0"/>
    <x v="0"/>
    <n v="1"/>
    <d v="2026-02-21T00:00:00"/>
    <d v="2026-02-23T00:00:00"/>
    <n v="145.62"/>
    <m/>
    <m/>
    <m/>
    <s v="Pending"/>
    <s v=""/>
    <m/>
    <m/>
    <n v="145"/>
    <n v="1"/>
    <n v="145"/>
    <s v=""/>
    <x v="2"/>
    <x v="7"/>
    <x v="0"/>
  </r>
  <r>
    <s v="CLM104685"/>
    <s v="PT13121"/>
    <s v="P01"/>
    <x v="2"/>
    <x v="0"/>
    <n v="1"/>
    <d v="2026-07-13T00:00:00"/>
    <d v="2026-07-27T00:00:00"/>
    <n v="148.37"/>
    <n v="76.66"/>
    <n v="68.989999999999995"/>
    <n v="7.67"/>
    <s v="Paid"/>
    <s v=""/>
    <d v="2026-09-08T00:00:00"/>
    <d v="2026-09-08T00:00:00"/>
    <n v="145"/>
    <n v="0.45"/>
    <n v="65.25"/>
    <n v="-11.409999999999997"/>
    <x v="0"/>
    <x v="5"/>
    <x v="1"/>
  </r>
  <r>
    <s v="CLM104686"/>
    <s v="PT10469"/>
    <s v="P01"/>
    <x v="2"/>
    <x v="9"/>
    <n v="3"/>
    <d v="2026-04-12T00:00:00"/>
    <d v="2026-04-17T00:00:00"/>
    <n v="171"/>
    <n v="84.87"/>
    <n v="76.38"/>
    <n v="8.49"/>
    <s v="Paid"/>
    <s v=""/>
    <d v="2026-05-04T00:00:00"/>
    <d v="2026-05-04T00:00:00"/>
    <n v="58"/>
    <n v="0.45"/>
    <n v="78.3"/>
    <n v="-6.5700000000000074"/>
    <x v="0"/>
    <x v="5"/>
    <x v="10"/>
  </r>
  <r>
    <s v="CLM104687"/>
    <s v="PT12916"/>
    <s v="P04"/>
    <x v="2"/>
    <x v="0"/>
    <n v="1"/>
    <d v="2026-01-28T00:00:00"/>
    <d v="2026-01-31T00:00:00"/>
    <n v="141.80000000000001"/>
    <m/>
    <m/>
    <m/>
    <s v="Denied"/>
    <s v="CO-18"/>
    <d v="2026-02-17T00:00:00"/>
    <m/>
    <n v="145"/>
    <n v="0.36"/>
    <n v="52.2"/>
    <s v=""/>
    <x v="2"/>
    <x v="1"/>
    <x v="5"/>
  </r>
  <r>
    <s v="CLM104688"/>
    <s v="PT12156"/>
    <s v="P03"/>
    <x v="1"/>
    <x v="7"/>
    <n v="1"/>
    <d v="2025-12-21T00:00:00"/>
    <d v="2025-12-29T00:00:00"/>
    <n v="205.91"/>
    <n v="90.26"/>
    <n v="90.26"/>
    <n v="0"/>
    <s v="Paid"/>
    <s v=""/>
    <d v="2026-02-10T00:00:00"/>
    <d v="2026-02-10T00:00:00"/>
    <n v="210"/>
    <n v="0.47"/>
    <n v="98.7"/>
    <n v="8.4399999999999977"/>
    <x v="1"/>
    <x v="4"/>
    <x v="6"/>
  </r>
  <r>
    <s v="CLM104689"/>
    <s v="PT12926"/>
    <s v="P01"/>
    <x v="0"/>
    <x v="4"/>
    <n v="1"/>
    <d v="2026-06-10T00:00:00"/>
    <d v="2026-07-01T00:00:00"/>
    <n v="38.04"/>
    <n v="15.96"/>
    <n v="14.36"/>
    <n v="1.6"/>
    <s v="Paid"/>
    <s v=""/>
    <d v="2026-07-24T00:00:00"/>
    <d v="2026-07-24T00:00:00"/>
    <n v="38"/>
    <n v="0.45"/>
    <n v="17.100000000000001"/>
    <n v="1.1400000000000006"/>
    <x v="1"/>
    <x v="5"/>
    <x v="11"/>
  </r>
  <r>
    <s v="CLM104690"/>
    <s v="PT13408"/>
    <s v="P06"/>
    <x v="0"/>
    <x v="8"/>
    <n v="1"/>
    <d v="2025-11-24T00:00:00"/>
    <d v="2025-11-25T00:00:00"/>
    <n v="265.04000000000002"/>
    <n v="61.74"/>
    <n v="61.74"/>
    <n v="0"/>
    <s v="Paid"/>
    <s v=""/>
    <d v="2026-01-20T00:00:00"/>
    <d v="2026-01-20T00:00:00"/>
    <n v="260"/>
    <n v="0.27"/>
    <n v="70.2"/>
    <n v="8.4600000000000009"/>
    <x v="1"/>
    <x v="2"/>
    <x v="3"/>
  </r>
  <r>
    <s v="CLM104691"/>
    <s v="PT13436"/>
    <s v="P07"/>
    <x v="0"/>
    <x v="0"/>
    <n v="1"/>
    <d v="2026-06-24T00:00:00"/>
    <d v="2026-07-05T00:00:00"/>
    <n v="147.37"/>
    <n v="39.08"/>
    <n v="39.08"/>
    <n v="0"/>
    <s v="Paid"/>
    <s v=""/>
    <d v="2026-08-16T00:00:00"/>
    <d v="2026-08-16T00:00:00"/>
    <n v="145"/>
    <n v="0.28000000000000003"/>
    <n v="40.6"/>
    <n v="1.5200000000000031"/>
    <x v="0"/>
    <x v="3"/>
    <x v="11"/>
  </r>
  <r>
    <s v="CLM104692"/>
    <s v="PT11383"/>
    <s v="P04"/>
    <x v="1"/>
    <x v="11"/>
    <n v="1"/>
    <d v="2025-12-01T00:00:00"/>
    <d v="2025-12-02T00:00:00"/>
    <n v="1172.54"/>
    <n v="362.45"/>
    <n v="362.45"/>
    <n v="0"/>
    <s v="Paid"/>
    <s v=""/>
    <d v="2025-12-23T00:00:00"/>
    <d v="2025-12-23T00:00:00"/>
    <n v="1150"/>
    <n v="0.36"/>
    <n v="414"/>
    <n v="51.550000000000011"/>
    <x v="1"/>
    <x v="1"/>
    <x v="6"/>
  </r>
  <r>
    <s v="CLM104693"/>
    <s v="PT13477"/>
    <s v="P03"/>
    <x v="0"/>
    <x v="4"/>
    <n v="1"/>
    <d v="2026-06-19T00:00:00"/>
    <d v="2026-06-20T00:00:00"/>
    <n v="38.21"/>
    <n v="15.52"/>
    <n v="15.52"/>
    <n v="0"/>
    <s v="Paid"/>
    <s v=""/>
    <d v="2026-08-24T00:00:00"/>
    <d v="2026-08-24T00:00:00"/>
    <n v="38"/>
    <n v="0.47"/>
    <n v="17.86"/>
    <n v="2.34"/>
    <x v="1"/>
    <x v="4"/>
    <x v="11"/>
  </r>
  <r>
    <s v="CLM104694"/>
    <s v="PT11897"/>
    <s v="P02"/>
    <x v="1"/>
    <x v="7"/>
    <n v="1"/>
    <d v="2026-01-25T00:00:00"/>
    <d v="2026-01-28T00:00:00"/>
    <n v="213.93"/>
    <n v="88.47"/>
    <n v="88.47"/>
    <n v="0"/>
    <s v="Paid"/>
    <s v=""/>
    <d v="2026-03-03T00:00:00"/>
    <d v="2026-03-03T00:00:00"/>
    <n v="210"/>
    <n v="0.43"/>
    <n v="90.3"/>
    <n v="1.8299999999999983"/>
    <x v="0"/>
    <x v="6"/>
    <x v="5"/>
  </r>
  <r>
    <s v="CLM104695"/>
    <s v="PT13456"/>
    <s v="P07"/>
    <x v="0"/>
    <x v="8"/>
    <n v="1"/>
    <d v="2026-06-20T00:00:00"/>
    <d v="2026-06-27T00:00:00"/>
    <n v="264.23"/>
    <n v="74.760000000000005"/>
    <n v="74.760000000000005"/>
    <n v="0"/>
    <s v="Paid"/>
    <s v=""/>
    <d v="2026-09-02T00:00:00"/>
    <d v="2026-09-02T00:00:00"/>
    <n v="260"/>
    <n v="0.28000000000000003"/>
    <n v="72.8"/>
    <n v="-1.960000000000008"/>
    <x v="0"/>
    <x v="3"/>
    <x v="11"/>
  </r>
  <r>
    <s v="CLM104697"/>
    <s v="PT10322"/>
    <s v="P05"/>
    <x v="2"/>
    <x v="0"/>
    <n v="1"/>
    <d v="2026-05-31T00:00:00"/>
    <d v="2026-06-01T00:00:00"/>
    <n v="142.66999999999999"/>
    <m/>
    <m/>
    <m/>
    <s v="Denied"/>
    <s v="CO-50"/>
    <d v="2026-07-29T00:00:00"/>
    <m/>
    <n v="145"/>
    <n v="0.38"/>
    <n v="55.1"/>
    <s v=""/>
    <x v="2"/>
    <x v="0"/>
    <x v="7"/>
  </r>
  <r>
    <s v="CLM104698"/>
    <s v="PT12181"/>
    <s v="P02"/>
    <x v="2"/>
    <x v="2"/>
    <n v="4"/>
    <d v="2025-11-17T00:00:00"/>
    <d v="2025-11-19T00:00:00"/>
    <n v="245.04"/>
    <n v="100.9"/>
    <n v="80.72"/>
    <n v="20.18"/>
    <s v="Paid"/>
    <s v=""/>
    <d v="2025-12-23T00:00:00"/>
    <d v="2025-12-23T00:00:00"/>
    <n v="62"/>
    <n v="0.43"/>
    <n v="106.64"/>
    <n v="5.7399999999999949"/>
    <x v="1"/>
    <x v="6"/>
    <x v="3"/>
  </r>
  <r>
    <s v="CLM104699"/>
    <s v="PT12419"/>
    <s v="P01"/>
    <x v="0"/>
    <x v="8"/>
    <n v="1"/>
    <d v="2026-03-17T00:00:00"/>
    <d v="2026-03-18T00:00:00"/>
    <n v="260.98"/>
    <n v="129.72999999999999"/>
    <n v="129.72999999999999"/>
    <n v="0"/>
    <s v="Paid"/>
    <s v=""/>
    <d v="2026-04-16T00:00:00"/>
    <d v="2026-04-16T00:00:00"/>
    <n v="260"/>
    <n v="0.45"/>
    <n v="117"/>
    <n v="-12.72999999999999"/>
    <x v="0"/>
    <x v="5"/>
    <x v="2"/>
  </r>
  <r>
    <s v="CLM104700"/>
    <s v="PT10811"/>
    <s v="P02"/>
    <x v="0"/>
    <x v="7"/>
    <n v="1"/>
    <d v="2026-04-03T00:00:00"/>
    <d v="2026-04-05T00:00:00"/>
    <n v="203.79"/>
    <n v="75.989999999999995"/>
    <n v="75.989999999999995"/>
    <n v="0"/>
    <s v="Paid"/>
    <s v=""/>
    <d v="2026-05-07T00:00:00"/>
    <d v="2026-05-07T00:00:00"/>
    <n v="210"/>
    <n v="0.43"/>
    <n v="90.3"/>
    <n v="14.310000000000002"/>
    <x v="1"/>
    <x v="6"/>
    <x v="10"/>
  </r>
  <r>
    <s v="CLM104701"/>
    <s v="PT13005"/>
    <s v="P01"/>
    <x v="0"/>
    <x v="7"/>
    <n v="1"/>
    <d v="2026-04-18T00:00:00"/>
    <d v="2026-04-19T00:00:00"/>
    <n v="214.52"/>
    <m/>
    <m/>
    <m/>
    <s v="Denied"/>
    <s v="CO-11"/>
    <d v="2026-05-13T00:00:00"/>
    <m/>
    <n v="210"/>
    <n v="0.45"/>
    <n v="94.5"/>
    <s v=""/>
    <x v="2"/>
    <x v="5"/>
    <x v="10"/>
  </r>
  <r>
    <s v="CLM104702"/>
    <s v="PT13413"/>
    <s v="P06"/>
    <x v="0"/>
    <x v="7"/>
    <n v="1"/>
    <d v="2025-10-16T00:00:00"/>
    <d v="2025-10-19T00:00:00"/>
    <n v="215.43"/>
    <m/>
    <m/>
    <m/>
    <s v="Denied"/>
    <s v="CO-16"/>
    <d v="2025-11-16T00:00:00"/>
    <m/>
    <n v="210"/>
    <n v="0.27"/>
    <n v="56.7"/>
    <s v=""/>
    <x v="2"/>
    <x v="2"/>
    <x v="9"/>
  </r>
  <r>
    <s v="CLM104703"/>
    <s v="PT12041"/>
    <s v="P04"/>
    <x v="0"/>
    <x v="4"/>
    <n v="1"/>
    <d v="2026-08-06T00:00:00"/>
    <d v="2026-08-13T00:00:00"/>
    <n v="37.18"/>
    <n v="12.37"/>
    <n v="11.13"/>
    <n v="1.24"/>
    <s v="Paid"/>
    <s v=""/>
    <d v="2026-08-28T00:00:00"/>
    <d v="2026-08-28T00:00:00"/>
    <n v="38"/>
    <n v="0.36"/>
    <n v="13.68"/>
    <n v="1.3100000000000005"/>
    <x v="1"/>
    <x v="1"/>
    <x v="4"/>
  </r>
  <r>
    <s v="CLM104704"/>
    <s v="PT11671"/>
    <s v="P01"/>
    <x v="3"/>
    <x v="3"/>
    <n v="30"/>
    <d v="2026-01-22T00:00:00"/>
    <d v="2026-01-27T00:00:00"/>
    <n v="44422.52"/>
    <n v="17039.78"/>
    <n v="17039.78"/>
    <n v="0"/>
    <s v="Paid"/>
    <s v=""/>
    <d v="2026-03-04T00:00:00"/>
    <d v="2026-03-04T00:00:00"/>
    <n v="1450"/>
    <n v="0.45"/>
    <n v="19575"/>
    <n v="2535.2200000000012"/>
    <x v="1"/>
    <x v="5"/>
    <x v="5"/>
  </r>
  <r>
    <s v="CLM104705"/>
    <s v="PT10793"/>
    <s v="P08"/>
    <x v="1"/>
    <x v="4"/>
    <n v="1"/>
    <d v="2026-07-27T00:00:00"/>
    <d v="2026-07-29T00:00:00"/>
    <n v="38.4"/>
    <m/>
    <m/>
    <m/>
    <s v="Pending"/>
    <s v=""/>
    <m/>
    <m/>
    <n v="38"/>
    <n v="1"/>
    <n v="38"/>
    <s v=""/>
    <x v="2"/>
    <x v="7"/>
    <x v="1"/>
  </r>
  <r>
    <s v="CLM104706"/>
    <s v="PT10994"/>
    <s v="P01"/>
    <x v="1"/>
    <x v="1"/>
    <n v="1"/>
    <d v="2026-05-13T00:00:00"/>
    <d v="2026-05-20T00:00:00"/>
    <n v="233.6"/>
    <n v="115.71"/>
    <n v="92.57"/>
    <n v="23.14"/>
    <s v="Paid"/>
    <s v=""/>
    <d v="2026-06-12T00:00:00"/>
    <d v="2026-06-12T00:00:00"/>
    <n v="240"/>
    <n v="0.45"/>
    <n v="108"/>
    <n v="-7.7099999999999937"/>
    <x v="0"/>
    <x v="5"/>
    <x v="7"/>
  </r>
  <r>
    <s v="CLM104707"/>
    <s v="PT13304"/>
    <s v="P01"/>
    <x v="2"/>
    <x v="2"/>
    <n v="1"/>
    <d v="2026-07-07T00:00:00"/>
    <d v="2026-07-11T00:00:00"/>
    <n v="63.07"/>
    <n v="26.18"/>
    <n v="26.18"/>
    <n v="0"/>
    <s v="Paid"/>
    <s v=""/>
    <d v="2026-08-05T00:00:00"/>
    <d v="2026-08-05T00:00:00"/>
    <n v="62"/>
    <n v="0.45"/>
    <n v="27.9"/>
    <n v="1.7199999999999989"/>
    <x v="1"/>
    <x v="5"/>
    <x v="1"/>
  </r>
  <r>
    <s v="CLM104708"/>
    <s v="PT11573"/>
    <s v="P01"/>
    <x v="2"/>
    <x v="9"/>
    <n v="4"/>
    <d v="2026-04-06T00:00:00"/>
    <d v="2026-04-14T00:00:00"/>
    <n v="231.4"/>
    <n v="98.22"/>
    <n v="88.4"/>
    <n v="9.82"/>
    <s v="Paid"/>
    <s v=""/>
    <d v="2026-04-28T00:00:00"/>
    <d v="2026-04-28T00:00:00"/>
    <n v="58"/>
    <n v="0.45"/>
    <n v="104.4"/>
    <n v="6.1800000000000068"/>
    <x v="1"/>
    <x v="5"/>
    <x v="10"/>
  </r>
  <r>
    <s v="CLM104709"/>
    <s v="PT10486"/>
    <s v="P02"/>
    <x v="2"/>
    <x v="0"/>
    <n v="1"/>
    <d v="2026-09-14T00:00:00"/>
    <d v="2026-09-17T00:00:00"/>
    <n v="144.38"/>
    <m/>
    <m/>
    <m/>
    <s v="Pending"/>
    <s v=""/>
    <m/>
    <m/>
    <n v="145"/>
    <n v="0.43"/>
    <n v="62.35"/>
    <s v=""/>
    <x v="2"/>
    <x v="6"/>
    <x v="8"/>
  </r>
  <r>
    <s v="CLM104710"/>
    <s v="PT13134"/>
    <s v="P01"/>
    <x v="1"/>
    <x v="10"/>
    <n v="1"/>
    <d v="2026-06-25T00:00:00"/>
    <d v="2026-06-26T00:00:00"/>
    <n v="1061.8900000000001"/>
    <n v="481.79"/>
    <n v="481.79"/>
    <n v="0"/>
    <s v="Paid"/>
    <s v=""/>
    <d v="2026-07-26T00:00:00"/>
    <d v="2026-07-26T00:00:00"/>
    <n v="1050"/>
    <n v="0.45"/>
    <n v="472.5"/>
    <n v="-9.2900000000000205"/>
    <x v="0"/>
    <x v="5"/>
    <x v="11"/>
  </r>
  <r>
    <s v="CLM104711"/>
    <s v="PT11885"/>
    <s v="P03"/>
    <x v="0"/>
    <x v="4"/>
    <n v="1"/>
    <d v="2026-07-29T00:00:00"/>
    <d v="2026-08-05T00:00:00"/>
    <n v="38.700000000000003"/>
    <n v="16.48"/>
    <n v="14.83"/>
    <n v="1.65"/>
    <s v="Paid"/>
    <s v=""/>
    <d v="2026-09-16T00:00:00"/>
    <d v="2026-09-16T00:00:00"/>
    <n v="38"/>
    <n v="0.47"/>
    <n v="17.86"/>
    <n v="1.379999999999999"/>
    <x v="1"/>
    <x v="4"/>
    <x v="1"/>
  </r>
  <r>
    <s v="CLM104713"/>
    <s v="PT10268"/>
    <s v="P07"/>
    <x v="1"/>
    <x v="11"/>
    <n v="1"/>
    <d v="2026-08-07T00:00:00"/>
    <d v="2026-08-10T00:00:00"/>
    <n v="1170.57"/>
    <m/>
    <m/>
    <m/>
    <s v="Denied"/>
    <s v="CO-197"/>
    <d v="2026-09-23T00:00:00"/>
    <m/>
    <n v="1150"/>
    <n v="0.28000000000000003"/>
    <n v="322"/>
    <s v=""/>
    <x v="2"/>
    <x v="3"/>
    <x v="4"/>
  </r>
  <r>
    <s v="CLM104714"/>
    <s v="PT12725"/>
    <s v="P05"/>
    <x v="3"/>
    <x v="7"/>
    <n v="1"/>
    <d v="2026-06-22T00:00:00"/>
    <d v="2026-06-23T00:00:00"/>
    <n v="213.03"/>
    <m/>
    <m/>
    <m/>
    <s v="Denied"/>
    <s v="CO-16"/>
    <d v="2026-08-26T00:00:00"/>
    <m/>
    <n v="210"/>
    <n v="0.38"/>
    <n v="79.8"/>
    <s v=""/>
    <x v="2"/>
    <x v="0"/>
    <x v="11"/>
  </r>
  <r>
    <s v="CLM104715"/>
    <s v="PT10039"/>
    <s v="P01"/>
    <x v="0"/>
    <x v="7"/>
    <n v="1"/>
    <d v="2025-12-03T00:00:00"/>
    <d v="2025-12-04T00:00:00"/>
    <n v="212.41"/>
    <n v="87.23"/>
    <n v="87.23"/>
    <n v="0"/>
    <s v="Paid"/>
    <s v=""/>
    <d v="2026-01-09T00:00:00"/>
    <d v="2026-01-09T00:00:00"/>
    <n v="210"/>
    <n v="0.45"/>
    <n v="94.5"/>
    <n v="7.269999999999996"/>
    <x v="1"/>
    <x v="5"/>
    <x v="6"/>
  </r>
  <r>
    <s v="CLM104716"/>
    <s v="PT10434"/>
    <s v="P01"/>
    <x v="0"/>
    <x v="8"/>
    <n v="1"/>
    <d v="2026-02-04T00:00:00"/>
    <d v="2026-02-11T00:00:00"/>
    <n v="259.83999999999997"/>
    <n v="118.9"/>
    <n v="118.9"/>
    <n v="0"/>
    <s v="Paid"/>
    <s v=""/>
    <d v="2026-03-20T00:00:00"/>
    <d v="2026-03-20T00:00:00"/>
    <n v="260"/>
    <n v="0.45"/>
    <n v="117"/>
    <n v="-1.9000000000000057"/>
    <x v="0"/>
    <x v="5"/>
    <x v="0"/>
  </r>
  <r>
    <s v="CLM104717"/>
    <s v="PT12501"/>
    <s v="P07"/>
    <x v="2"/>
    <x v="2"/>
    <n v="1"/>
    <d v="2026-05-10T00:00:00"/>
    <d v="2026-05-11T00:00:00"/>
    <n v="62.88"/>
    <n v="15.02"/>
    <n v="15.02"/>
    <n v="0"/>
    <s v="Paid"/>
    <s v=""/>
    <d v="2026-06-05T00:00:00"/>
    <d v="2026-06-05T00:00:00"/>
    <n v="62"/>
    <n v="0.28000000000000003"/>
    <n v="17.36"/>
    <n v="2.34"/>
    <x v="1"/>
    <x v="3"/>
    <x v="7"/>
  </r>
  <r>
    <s v="CLM104718"/>
    <s v="PT12114"/>
    <s v="P01"/>
    <x v="1"/>
    <x v="8"/>
    <n v="1"/>
    <d v="2026-05-25T00:00:00"/>
    <d v="2026-05-29T00:00:00"/>
    <n v="263.67"/>
    <n v="107.32"/>
    <n v="107.32"/>
    <n v="0"/>
    <s v="Paid"/>
    <s v=""/>
    <d v="2026-06-23T00:00:00"/>
    <d v="2026-06-23T00:00:00"/>
    <n v="260"/>
    <n v="0.45"/>
    <n v="117"/>
    <n v="9.6800000000000068"/>
    <x v="1"/>
    <x v="5"/>
    <x v="7"/>
  </r>
  <r>
    <s v="CLM104719"/>
    <s v="PT10325"/>
    <s v="P03"/>
    <x v="3"/>
    <x v="7"/>
    <n v="1"/>
    <d v="2026-02-14T00:00:00"/>
    <d v="2026-02-18T00:00:00"/>
    <n v="210.39"/>
    <n v="96.58"/>
    <n v="77.260000000000005"/>
    <n v="19.32"/>
    <s v="Paid"/>
    <s v=""/>
    <d v="2026-03-31T00:00:00"/>
    <d v="2026-03-31T00:00:00"/>
    <n v="210"/>
    <n v="0.47"/>
    <n v="98.7"/>
    <n v="2.1200000000000045"/>
    <x v="0"/>
    <x v="4"/>
    <x v="0"/>
  </r>
  <r>
    <s v="CLM104720"/>
    <s v="PT12789"/>
    <s v="P02"/>
    <x v="0"/>
    <x v="7"/>
    <n v="1"/>
    <d v="2026-05-16T00:00:00"/>
    <d v="2026-05-19T00:00:00"/>
    <n v="212.16"/>
    <m/>
    <m/>
    <m/>
    <s v="Denied"/>
    <s v="CO-18"/>
    <d v="2026-06-23T00:00:00"/>
    <m/>
    <n v="210"/>
    <n v="0.43"/>
    <n v="90.3"/>
    <s v=""/>
    <x v="2"/>
    <x v="6"/>
    <x v="7"/>
  </r>
  <r>
    <s v="CLM104721"/>
    <s v="PT12590"/>
    <s v="P06"/>
    <x v="1"/>
    <x v="4"/>
    <n v="1"/>
    <d v="2026-09-18T00:00:00"/>
    <d v="2026-09-19T00:00:00"/>
    <n v="37.74"/>
    <m/>
    <m/>
    <m/>
    <s v="Pending"/>
    <s v=""/>
    <m/>
    <m/>
    <n v="38"/>
    <n v="0.27"/>
    <n v="10.26"/>
    <s v=""/>
    <x v="2"/>
    <x v="2"/>
    <x v="8"/>
  </r>
  <r>
    <s v="CLM104722"/>
    <s v="PT11481"/>
    <s v="P05"/>
    <x v="0"/>
    <x v="0"/>
    <n v="1"/>
    <d v="2026-02-13T00:00:00"/>
    <d v="2026-02-14T00:00:00"/>
    <n v="141.49"/>
    <n v="48.46"/>
    <n v="48.46"/>
    <n v="0"/>
    <s v="Paid"/>
    <s v=""/>
    <d v="2026-03-10T00:00:00"/>
    <d v="2026-03-10T00:00:00"/>
    <n v="145"/>
    <n v="0.38"/>
    <n v="55.1"/>
    <n v="6.6400000000000006"/>
    <x v="1"/>
    <x v="0"/>
    <x v="0"/>
  </r>
  <r>
    <s v="CLM104723"/>
    <s v="PT13451"/>
    <s v="P06"/>
    <x v="1"/>
    <x v="1"/>
    <n v="1"/>
    <d v="2026-05-30T00:00:00"/>
    <d v="2026-06-01T00:00:00"/>
    <n v="237.66"/>
    <n v="57.44"/>
    <n v="51.7"/>
    <n v="5.74"/>
    <s v="Paid"/>
    <s v=""/>
    <d v="2026-07-18T00:00:00"/>
    <d v="2026-07-18T00:00:00"/>
    <n v="240"/>
    <n v="0.27"/>
    <n v="64.8"/>
    <n v="7.3599999999999994"/>
    <x v="1"/>
    <x v="2"/>
    <x v="7"/>
  </r>
  <r>
    <s v="CLM104724"/>
    <s v="PT12363"/>
    <s v="P04"/>
    <x v="2"/>
    <x v="2"/>
    <n v="3"/>
    <d v="2026-07-02T00:00:00"/>
    <d v="2026-07-12T00:00:00"/>
    <n v="187.78"/>
    <n v="72.14"/>
    <n v="72.14"/>
    <n v="0"/>
    <s v="Paid"/>
    <s v=""/>
    <d v="2026-07-31T00:00:00"/>
    <d v="2026-07-31T00:00:00"/>
    <n v="62"/>
    <n v="0.36"/>
    <n v="66.959999999999994"/>
    <n v="-5.1800000000000068"/>
    <x v="0"/>
    <x v="1"/>
    <x v="1"/>
  </r>
  <r>
    <s v="CLM104725"/>
    <s v="PT11132"/>
    <s v="P01"/>
    <x v="1"/>
    <x v="10"/>
    <n v="1"/>
    <d v="2026-02-20T00:00:00"/>
    <d v="2026-02-21T00:00:00"/>
    <n v="1071.29"/>
    <n v="410.38"/>
    <n v="410.38"/>
    <n v="0"/>
    <s v="Paid"/>
    <s v=""/>
    <d v="2026-03-18T00:00:00"/>
    <d v="2026-03-18T00:00:00"/>
    <n v="1050"/>
    <n v="0.45"/>
    <n v="472.5"/>
    <n v="62.120000000000005"/>
    <x v="1"/>
    <x v="5"/>
    <x v="0"/>
  </r>
  <r>
    <s v="CLM104726"/>
    <s v="PT11199"/>
    <s v="P06"/>
    <x v="2"/>
    <x v="0"/>
    <n v="1"/>
    <d v="2026-03-08T00:00:00"/>
    <d v="2026-03-25T00:00:00"/>
    <n v="142.49"/>
    <n v="41.64"/>
    <n v="41.64"/>
    <n v="0"/>
    <s v="Paid"/>
    <s v=""/>
    <d v="2026-05-26T00:00:00"/>
    <d v="2026-05-26T00:00:00"/>
    <n v="145"/>
    <n v="0.27"/>
    <n v="39.15"/>
    <n v="-2.490000000000002"/>
    <x v="0"/>
    <x v="2"/>
    <x v="2"/>
  </r>
  <r>
    <s v="CLM104727"/>
    <s v="PT10883"/>
    <s v="P03"/>
    <x v="0"/>
    <x v="8"/>
    <n v="1"/>
    <d v="2026-05-12T00:00:00"/>
    <d v="2026-05-13T00:00:00"/>
    <n v="262.92"/>
    <n v="121.91"/>
    <n v="121.91"/>
    <n v="0"/>
    <s v="Paid"/>
    <s v=""/>
    <d v="2026-07-10T00:00:00"/>
    <d v="2026-07-10T00:00:00"/>
    <n v="260"/>
    <n v="0.47"/>
    <n v="122.2"/>
    <n v="0.29000000000000625"/>
    <x v="0"/>
    <x v="4"/>
    <x v="7"/>
  </r>
  <r>
    <s v="CLM104728"/>
    <s v="PT12684"/>
    <s v="P03"/>
    <x v="0"/>
    <x v="7"/>
    <n v="1"/>
    <d v="2026-01-25T00:00:00"/>
    <d v="2026-01-28T00:00:00"/>
    <n v="206.63"/>
    <n v="89.79"/>
    <n v="71.83"/>
    <n v="17.96"/>
    <s v="Paid"/>
    <s v=""/>
    <d v="2026-03-09T00:00:00"/>
    <d v="2026-03-09T00:00:00"/>
    <n v="210"/>
    <n v="0.47"/>
    <n v="98.7"/>
    <n v="8.9099999999999966"/>
    <x v="1"/>
    <x v="4"/>
    <x v="5"/>
  </r>
  <r>
    <s v="CLM104729"/>
    <s v="PT12432"/>
    <s v="P08"/>
    <x v="0"/>
    <x v="7"/>
    <n v="1"/>
    <d v="2025-12-31T00:00:00"/>
    <d v="2026-01-16T00:00:00"/>
    <n v="214.22"/>
    <m/>
    <m/>
    <m/>
    <s v="Pending"/>
    <s v=""/>
    <m/>
    <m/>
    <n v="210"/>
    <n v="1"/>
    <n v="210"/>
    <s v=""/>
    <x v="2"/>
    <x v="7"/>
    <x v="6"/>
  </r>
  <r>
    <s v="CLM104730"/>
    <s v="PT12346"/>
    <s v="P02"/>
    <x v="1"/>
    <x v="1"/>
    <n v="1"/>
    <d v="2026-05-03T00:00:00"/>
    <d v="2026-05-06T00:00:00"/>
    <n v="234.26"/>
    <n v="90.43"/>
    <n v="90.43"/>
    <n v="0"/>
    <s v="Paid"/>
    <s v=""/>
    <d v="2026-06-09T00:00:00"/>
    <d v="2026-06-09T00:00:00"/>
    <n v="240"/>
    <n v="0.43"/>
    <n v="103.2"/>
    <n v="12.769999999999996"/>
    <x v="1"/>
    <x v="6"/>
    <x v="7"/>
  </r>
  <r>
    <s v="CLM104731"/>
    <s v="PT10882"/>
    <s v="P02"/>
    <x v="0"/>
    <x v="8"/>
    <n v="1"/>
    <d v="2026-05-03T00:00:00"/>
    <d v="2026-05-04T00:00:00"/>
    <n v="253.26"/>
    <n v="95.4"/>
    <n v="95.4"/>
    <n v="0"/>
    <s v="Paid"/>
    <s v=""/>
    <d v="2026-05-25T00:00:00"/>
    <d v="2026-05-25T00:00:00"/>
    <n v="260"/>
    <n v="0.43"/>
    <n v="111.8"/>
    <n v="16.399999999999991"/>
    <x v="1"/>
    <x v="6"/>
    <x v="7"/>
  </r>
  <r>
    <s v="CLM104732"/>
    <s v="PT12157"/>
    <s v="P02"/>
    <x v="3"/>
    <x v="6"/>
    <n v="1"/>
    <d v="2025-12-23T00:00:00"/>
    <d v="2025-12-28T00:00:00"/>
    <n v="415.43"/>
    <m/>
    <m/>
    <m/>
    <s v="Denied"/>
    <s v="CO-197"/>
    <d v="2026-01-27T00:00:00"/>
    <m/>
    <n v="420"/>
    <n v="0.43"/>
    <n v="180.6"/>
    <s v=""/>
    <x v="2"/>
    <x v="6"/>
    <x v="6"/>
  </r>
  <r>
    <s v="CLM104733"/>
    <s v="PT13147"/>
    <s v="P01"/>
    <x v="0"/>
    <x v="0"/>
    <n v="1"/>
    <d v="2025-10-29T00:00:00"/>
    <d v="2025-10-31T00:00:00"/>
    <n v="147.31"/>
    <m/>
    <m/>
    <m/>
    <s v="Denied"/>
    <s v="CO-27"/>
    <d v="2025-11-26T00:00:00"/>
    <m/>
    <n v="145"/>
    <n v="0.45"/>
    <n v="65.25"/>
    <s v=""/>
    <x v="2"/>
    <x v="5"/>
    <x v="9"/>
  </r>
  <r>
    <s v="CLM104734"/>
    <s v="PT12214"/>
    <s v="P07"/>
    <x v="0"/>
    <x v="4"/>
    <n v="1"/>
    <d v="2026-06-12T00:00:00"/>
    <d v="2026-06-13T00:00:00"/>
    <n v="37.71"/>
    <n v="11.73"/>
    <n v="10.56"/>
    <n v="1.17"/>
    <s v="Paid"/>
    <s v=""/>
    <d v="2026-08-21T00:00:00"/>
    <d v="2026-08-21T00:00:00"/>
    <n v="38"/>
    <n v="0.28000000000000003"/>
    <n v="10.64"/>
    <n v="-1.0899999999999999"/>
    <x v="0"/>
    <x v="3"/>
    <x v="11"/>
  </r>
  <r>
    <s v="CLM104735"/>
    <s v="PT12903"/>
    <s v="P04"/>
    <x v="0"/>
    <x v="7"/>
    <n v="1"/>
    <d v="2025-10-12T00:00:00"/>
    <d v="2025-10-15T00:00:00"/>
    <n v="207.74"/>
    <n v="68.430000000000007"/>
    <n v="54.74"/>
    <n v="13.69"/>
    <s v="Paid"/>
    <s v=""/>
    <d v="2025-11-02T00:00:00"/>
    <d v="2025-11-02T00:00:00"/>
    <n v="210"/>
    <n v="0.36"/>
    <n v="75.599999999999994"/>
    <n v="7.1699999999999875"/>
    <x v="1"/>
    <x v="1"/>
    <x v="9"/>
  </r>
  <r>
    <s v="CLM104736"/>
    <s v="PT12127"/>
    <s v="P08"/>
    <x v="0"/>
    <x v="0"/>
    <n v="1"/>
    <d v="2026-09-06T00:00:00"/>
    <d v="2026-09-07T00:00:00"/>
    <n v="144.62"/>
    <m/>
    <m/>
    <m/>
    <s v="Pending"/>
    <s v=""/>
    <m/>
    <m/>
    <n v="145"/>
    <n v="1"/>
    <n v="145"/>
    <s v=""/>
    <x v="2"/>
    <x v="7"/>
    <x v="8"/>
  </r>
  <r>
    <s v="CLM104737"/>
    <s v="PT11539"/>
    <s v="P06"/>
    <x v="2"/>
    <x v="2"/>
    <n v="1"/>
    <d v="2025-12-12T00:00:00"/>
    <d v="2025-12-21T00:00:00"/>
    <n v="62.55"/>
    <n v="16.84"/>
    <n v="15.16"/>
    <n v="1.68"/>
    <s v="Paid"/>
    <s v=""/>
    <d v="2026-02-14T00:00:00"/>
    <d v="2026-02-14T00:00:00"/>
    <n v="62"/>
    <n v="0.27"/>
    <n v="16.739999999999998"/>
    <n v="-0.10000000000000142"/>
    <x v="0"/>
    <x v="2"/>
    <x v="6"/>
  </r>
  <r>
    <s v="CLM104738"/>
    <s v="PT11993"/>
    <s v="P01"/>
    <x v="0"/>
    <x v="8"/>
    <n v="1"/>
    <d v="2026-01-04T00:00:00"/>
    <d v="2026-01-18T00:00:00"/>
    <n v="256.52999999999997"/>
    <n v="107.64"/>
    <n v="107.64"/>
    <n v="0"/>
    <s v="Paid"/>
    <s v=""/>
    <d v="2026-01-25T00:00:00"/>
    <d v="2026-01-25T00:00:00"/>
    <n v="260"/>
    <n v="0.45"/>
    <n v="117"/>
    <n v="9.36"/>
    <x v="1"/>
    <x v="5"/>
    <x v="5"/>
  </r>
  <r>
    <s v="CLM104739"/>
    <s v="PT11615"/>
    <s v="P07"/>
    <x v="0"/>
    <x v="4"/>
    <n v="1"/>
    <d v="2026-02-24T00:00:00"/>
    <d v="2026-02-26T00:00:00"/>
    <n v="37.86"/>
    <m/>
    <m/>
    <m/>
    <s v="Denied"/>
    <s v="CO-11"/>
    <d v="2026-05-22T00:00:00"/>
    <m/>
    <n v="38"/>
    <n v="0.28000000000000003"/>
    <n v="10.64"/>
    <s v=""/>
    <x v="2"/>
    <x v="3"/>
    <x v="0"/>
  </r>
  <r>
    <s v="CLM104740"/>
    <s v="PT10373"/>
    <s v="P02"/>
    <x v="0"/>
    <x v="7"/>
    <n v="1"/>
    <d v="2026-05-18T00:00:00"/>
    <d v="2026-05-20T00:00:00"/>
    <n v="210.85"/>
    <n v="79.69"/>
    <n v="71.72"/>
    <n v="7.97"/>
    <s v="Paid"/>
    <s v=""/>
    <d v="2026-06-12T00:00:00"/>
    <d v="2026-06-12T00:00:00"/>
    <n v="210"/>
    <n v="0.43"/>
    <n v="90.3"/>
    <n v="10.61"/>
    <x v="1"/>
    <x v="6"/>
    <x v="7"/>
  </r>
  <r>
    <s v="CLM104741"/>
    <s v="PT11968"/>
    <s v="P01"/>
    <x v="0"/>
    <x v="7"/>
    <n v="1"/>
    <d v="2026-06-24T00:00:00"/>
    <d v="2026-07-03T00:00:00"/>
    <n v="209.88"/>
    <n v="82.3"/>
    <n v="65.84"/>
    <n v="16.46"/>
    <s v="Paid"/>
    <s v=""/>
    <d v="2026-07-20T00:00:00"/>
    <d v="2026-07-20T00:00:00"/>
    <n v="210"/>
    <n v="0.45"/>
    <n v="94.5"/>
    <n v="12.200000000000003"/>
    <x v="1"/>
    <x v="5"/>
    <x v="11"/>
  </r>
  <r>
    <s v="CLM104742"/>
    <s v="PT13184"/>
    <s v="P02"/>
    <x v="0"/>
    <x v="7"/>
    <n v="1"/>
    <d v="2026-08-18T00:00:00"/>
    <d v="2026-08-20T00:00:00"/>
    <n v="204.56"/>
    <n v="91.94"/>
    <n v="73.55"/>
    <n v="18.39"/>
    <s v="Paid"/>
    <s v=""/>
    <d v="2026-09-11T00:00:00"/>
    <d v="2026-09-11T00:00:00"/>
    <n v="210"/>
    <n v="0.43"/>
    <n v="90.3"/>
    <n v="-1.6400000000000006"/>
    <x v="0"/>
    <x v="6"/>
    <x v="4"/>
  </r>
  <r>
    <s v="CLM104743"/>
    <s v="PT13492"/>
    <s v="P04"/>
    <x v="1"/>
    <x v="10"/>
    <n v="1"/>
    <d v="2025-11-09T00:00:00"/>
    <d v="2025-12-04T00:00:00"/>
    <n v="1078.5999999999999"/>
    <n v="391.18"/>
    <n v="312.94"/>
    <n v="78.239999999999995"/>
    <s v="Paid"/>
    <s v=""/>
    <d v="2025-12-24T00:00:00"/>
    <d v="2025-12-24T00:00:00"/>
    <n v="1050"/>
    <n v="0.36"/>
    <n v="378"/>
    <n v="-13.180000000000007"/>
    <x v="0"/>
    <x v="1"/>
    <x v="3"/>
  </r>
  <r>
    <s v="CLM104744"/>
    <s v="PT12991"/>
    <s v="P03"/>
    <x v="3"/>
    <x v="3"/>
    <n v="30"/>
    <d v="2026-07-19T00:00:00"/>
    <d v="2026-07-28T00:00:00"/>
    <n v="44723.13"/>
    <n v="21167.94"/>
    <n v="19051.150000000001"/>
    <n v="2116.79"/>
    <s v="Paid"/>
    <s v=""/>
    <d v="2026-08-28T00:00:00"/>
    <d v="2026-08-28T00:00:00"/>
    <n v="1450"/>
    <n v="0.47"/>
    <n v="20445"/>
    <n v="-722.93999999999869"/>
    <x v="0"/>
    <x v="4"/>
    <x v="1"/>
  </r>
  <r>
    <s v="CLM104746"/>
    <s v="PT13161"/>
    <s v="P01"/>
    <x v="2"/>
    <x v="9"/>
    <n v="2"/>
    <d v="2025-11-05T00:00:00"/>
    <d v="2025-11-11T00:00:00"/>
    <n v="113.98"/>
    <n v="49.77"/>
    <n v="44.79"/>
    <n v="4.9800000000000004"/>
    <s v="Paid"/>
    <s v=""/>
    <d v="2025-12-07T00:00:00"/>
    <d v="2025-12-07T00:00:00"/>
    <n v="58"/>
    <n v="0.45"/>
    <n v="52.2"/>
    <n v="2.4299999999999997"/>
    <x v="0"/>
    <x v="5"/>
    <x v="3"/>
  </r>
  <r>
    <s v="CLM104747"/>
    <s v="PT12553"/>
    <s v="P01"/>
    <x v="1"/>
    <x v="7"/>
    <n v="1"/>
    <d v="2025-11-02T00:00:00"/>
    <d v="2025-11-03T00:00:00"/>
    <n v="207.39"/>
    <n v="99.49"/>
    <n v="79.59"/>
    <n v="19.899999999999999"/>
    <s v="Paid"/>
    <s v=""/>
    <d v="2025-12-09T00:00:00"/>
    <d v="2025-12-09T00:00:00"/>
    <n v="210"/>
    <n v="0.45"/>
    <n v="94.5"/>
    <n v="-4.9899999999999949"/>
    <x v="0"/>
    <x v="5"/>
    <x v="3"/>
  </r>
  <r>
    <s v="CLM104748"/>
    <s v="PT11788"/>
    <s v="P06"/>
    <x v="1"/>
    <x v="4"/>
    <n v="1"/>
    <d v="2026-05-09T00:00:00"/>
    <d v="2026-05-12T00:00:00"/>
    <n v="38.369999999999997"/>
    <n v="11.72"/>
    <n v="10.55"/>
    <n v="1.17"/>
    <s v="Paid"/>
    <s v=""/>
    <d v="2026-07-02T00:00:00"/>
    <d v="2026-07-02T00:00:00"/>
    <n v="38"/>
    <n v="0.27"/>
    <n v="10.26"/>
    <n v="-1.4600000000000009"/>
    <x v="0"/>
    <x v="2"/>
    <x v="7"/>
  </r>
  <r>
    <s v="CLM104749"/>
    <s v="PT11513"/>
    <s v="P06"/>
    <x v="2"/>
    <x v="2"/>
    <n v="2"/>
    <d v="2025-11-22T00:00:00"/>
    <d v="2025-11-28T00:00:00"/>
    <n v="120.38"/>
    <n v="31.64"/>
    <n v="28.48"/>
    <n v="3.16"/>
    <s v="Paid"/>
    <s v=""/>
    <d v="2026-02-14T00:00:00"/>
    <d v="2026-02-14T00:00:00"/>
    <n v="62"/>
    <n v="0.27"/>
    <n v="33.479999999999997"/>
    <n v="1.8399999999999963"/>
    <x v="1"/>
    <x v="2"/>
    <x v="3"/>
  </r>
  <r>
    <s v="CLM104750"/>
    <s v="PT10631"/>
    <s v="P01"/>
    <x v="3"/>
    <x v="3"/>
    <n v="5"/>
    <d v="2026-03-07T00:00:00"/>
    <d v="2026-03-09T00:00:00"/>
    <n v="7353.51"/>
    <n v="3721.45"/>
    <n v="3349.31"/>
    <n v="372.14"/>
    <s v="Paid"/>
    <s v=""/>
    <d v="2026-04-12T00:00:00"/>
    <d v="2026-04-12T00:00:00"/>
    <n v="1450"/>
    <n v="0.45"/>
    <n v="3262.5"/>
    <n v="-458.94999999999982"/>
    <x v="0"/>
    <x v="5"/>
    <x v="2"/>
  </r>
  <r>
    <s v="CLM104751"/>
    <s v="PT10571"/>
    <s v="P04"/>
    <x v="3"/>
    <x v="7"/>
    <n v="1"/>
    <d v="2026-06-06T00:00:00"/>
    <d v="2026-06-20T00:00:00"/>
    <n v="210.77"/>
    <n v="68.69"/>
    <n v="68.69"/>
    <n v="0"/>
    <s v="Paid"/>
    <s v=""/>
    <d v="2026-07-05T00:00:00"/>
    <d v="2026-07-05T00:00:00"/>
    <n v="210"/>
    <n v="0.36"/>
    <n v="75.599999999999994"/>
    <n v="6.9099999999999966"/>
    <x v="1"/>
    <x v="1"/>
    <x v="11"/>
  </r>
  <r>
    <s v="CLM104752"/>
    <s v="PT10586"/>
    <s v="P01"/>
    <x v="1"/>
    <x v="5"/>
    <n v="1"/>
    <d v="2026-05-26T00:00:00"/>
    <d v="2026-05-27T00:00:00"/>
    <n v="4862.38"/>
    <n v="2188.4"/>
    <n v="2188.4"/>
    <n v="0"/>
    <s v="Paid"/>
    <s v=""/>
    <d v="2026-07-01T00:00:00"/>
    <d v="2026-07-01T00:00:00"/>
    <n v="4800"/>
    <n v="0.45"/>
    <n v="2160"/>
    <n v="-28.400000000000091"/>
    <x v="0"/>
    <x v="5"/>
    <x v="7"/>
  </r>
  <r>
    <s v="CLM104753"/>
    <s v="PT11474"/>
    <s v="P04"/>
    <x v="1"/>
    <x v="11"/>
    <n v="1"/>
    <d v="2025-10-27T00:00:00"/>
    <d v="2025-11-02T00:00:00"/>
    <n v="1117.7"/>
    <n v="395.22"/>
    <n v="355.7"/>
    <n v="39.520000000000003"/>
    <s v="Paid"/>
    <s v=""/>
    <d v="2025-11-16T00:00:00"/>
    <d v="2025-11-16T00:00:00"/>
    <n v="1150"/>
    <n v="0.36"/>
    <n v="414"/>
    <n v="18.779999999999973"/>
    <x v="0"/>
    <x v="1"/>
    <x v="9"/>
  </r>
  <r>
    <s v="CLM104754"/>
    <s v="PT10279"/>
    <s v="P02"/>
    <x v="0"/>
    <x v="4"/>
    <n v="1"/>
    <d v="2026-09-17T00:00:00"/>
    <d v="2026-09-18T00:00:00"/>
    <n v="38.33"/>
    <m/>
    <m/>
    <m/>
    <s v="Pending"/>
    <s v=""/>
    <m/>
    <m/>
    <n v="38"/>
    <n v="0.43"/>
    <n v="16.34"/>
    <s v=""/>
    <x v="2"/>
    <x v="6"/>
    <x v="8"/>
  </r>
  <r>
    <s v="CLM104755"/>
    <s v="PT11467"/>
    <s v="P05"/>
    <x v="1"/>
    <x v="4"/>
    <n v="1"/>
    <d v="2025-11-03T00:00:00"/>
    <d v="2025-11-10T00:00:00"/>
    <n v="38.11"/>
    <n v="14.08"/>
    <n v="14.08"/>
    <n v="0"/>
    <s v="Paid"/>
    <s v=""/>
    <d v="2026-01-19T00:00:00"/>
    <d v="2026-01-19T00:00:00"/>
    <n v="38"/>
    <n v="0.38"/>
    <n v="14.44"/>
    <n v="0.35999999999999943"/>
    <x v="0"/>
    <x v="0"/>
    <x v="3"/>
  </r>
  <r>
    <s v="CLM104756"/>
    <s v="PT11292"/>
    <s v="P04"/>
    <x v="0"/>
    <x v="0"/>
    <n v="1"/>
    <d v="2026-04-18T00:00:00"/>
    <d v="2026-04-25T00:00:00"/>
    <n v="145.87"/>
    <n v="46.6"/>
    <n v="37.28"/>
    <n v="9.32"/>
    <s v="Paid"/>
    <s v=""/>
    <d v="2026-04-30T00:00:00"/>
    <d v="2026-04-30T00:00:00"/>
    <n v="145"/>
    <n v="0.36"/>
    <n v="52.2"/>
    <n v="5.6000000000000014"/>
    <x v="1"/>
    <x v="1"/>
    <x v="10"/>
  </r>
  <r>
    <s v="CLM104757"/>
    <s v="PT11424"/>
    <s v="P03"/>
    <x v="0"/>
    <x v="8"/>
    <n v="1"/>
    <d v="2026-05-31T00:00:00"/>
    <d v="2026-06-05T00:00:00"/>
    <n v="253.87"/>
    <n v="124.62"/>
    <n v="112.16"/>
    <n v="12.46"/>
    <s v="Paid"/>
    <s v=""/>
    <d v="2026-07-19T00:00:00"/>
    <d v="2026-07-19T00:00:00"/>
    <n v="260"/>
    <n v="0.47"/>
    <n v="122.2"/>
    <n v="-2.4200000000000017"/>
    <x v="0"/>
    <x v="4"/>
    <x v="7"/>
  </r>
  <r>
    <s v="CLM104758"/>
    <s v="PT10223"/>
    <s v="P04"/>
    <x v="0"/>
    <x v="0"/>
    <n v="1"/>
    <d v="2026-04-13T00:00:00"/>
    <d v="2026-04-20T00:00:00"/>
    <n v="144.12"/>
    <n v="51.36"/>
    <n v="51.36"/>
    <n v="0"/>
    <s v="Paid"/>
    <s v=""/>
    <d v="2026-05-12T00:00:00"/>
    <d v="2026-05-12T00:00:00"/>
    <n v="145"/>
    <n v="0.36"/>
    <n v="52.2"/>
    <n v="0.84000000000000341"/>
    <x v="0"/>
    <x v="1"/>
    <x v="10"/>
  </r>
  <r>
    <s v="CLM104759"/>
    <s v="PT11097"/>
    <s v="P07"/>
    <x v="2"/>
    <x v="2"/>
    <n v="1"/>
    <d v="2026-05-06T00:00:00"/>
    <d v="2026-05-23T00:00:00"/>
    <n v="61.65"/>
    <n v="17.55"/>
    <n v="15.79"/>
    <n v="1.76"/>
    <s v="Paid"/>
    <s v=""/>
    <d v="2026-07-12T00:00:00"/>
    <d v="2026-07-12T00:00:00"/>
    <n v="62"/>
    <n v="0.28000000000000003"/>
    <n v="17.36"/>
    <n v="-0.19000000000000128"/>
    <x v="0"/>
    <x v="3"/>
    <x v="7"/>
  </r>
  <r>
    <s v="CLM104760"/>
    <s v="PT12372"/>
    <s v="P07"/>
    <x v="3"/>
    <x v="6"/>
    <n v="1"/>
    <d v="2026-02-02T00:00:00"/>
    <d v="2026-02-08T00:00:00"/>
    <n v="409.47"/>
    <n v="124.79"/>
    <n v="124.79"/>
    <n v="0"/>
    <s v="Paid"/>
    <s v=""/>
    <d v="2026-04-06T00:00:00"/>
    <d v="2026-04-06T00:00:00"/>
    <n v="420"/>
    <n v="0.28000000000000003"/>
    <n v="117.6"/>
    <n v="-7.1900000000000119"/>
    <x v="0"/>
    <x v="3"/>
    <x v="0"/>
  </r>
  <r>
    <s v="CLM104761"/>
    <s v="PT11397"/>
    <s v="P02"/>
    <x v="2"/>
    <x v="9"/>
    <n v="4"/>
    <d v="2026-02-03T00:00:00"/>
    <d v="2026-02-04T00:00:00"/>
    <n v="232.93"/>
    <n v="88.53"/>
    <n v="88.53"/>
    <n v="0"/>
    <s v="Paid"/>
    <s v=""/>
    <d v="2026-03-31T00:00:00"/>
    <d v="2026-03-31T00:00:00"/>
    <n v="58"/>
    <n v="0.43"/>
    <n v="99.76"/>
    <n v="11.230000000000004"/>
    <x v="1"/>
    <x v="6"/>
    <x v="0"/>
  </r>
  <r>
    <s v="CLM104762"/>
    <s v="PT12928"/>
    <s v="P04"/>
    <x v="3"/>
    <x v="3"/>
    <n v="20"/>
    <d v="2026-06-17T00:00:00"/>
    <d v="2026-06-19T00:00:00"/>
    <n v="28266.18"/>
    <n v="9620.8799999999992"/>
    <n v="9620.8799999999992"/>
    <n v="0"/>
    <s v="Paid"/>
    <s v=""/>
    <d v="2026-07-10T00:00:00"/>
    <d v="2026-07-10T00:00:00"/>
    <n v="1450"/>
    <n v="0.36"/>
    <n v="10440"/>
    <n v="819.1200000000008"/>
    <x v="1"/>
    <x v="1"/>
    <x v="11"/>
  </r>
  <r>
    <s v="CLM104763"/>
    <s v="PT13075"/>
    <s v="P01"/>
    <x v="0"/>
    <x v="8"/>
    <n v="1"/>
    <d v="2026-01-26T00:00:00"/>
    <d v="2026-01-27T00:00:00"/>
    <n v="259.82"/>
    <n v="131.69"/>
    <n v="131.69"/>
    <n v="0"/>
    <s v="Paid"/>
    <s v=""/>
    <d v="2026-02-15T00:00:00"/>
    <d v="2026-02-15T00:00:00"/>
    <n v="260"/>
    <n v="0.45"/>
    <n v="117"/>
    <n v="-14.689999999999998"/>
    <x v="0"/>
    <x v="5"/>
    <x v="5"/>
  </r>
  <r>
    <s v="CLM104764"/>
    <s v="PT10982"/>
    <s v="P01"/>
    <x v="1"/>
    <x v="7"/>
    <n v="1"/>
    <d v="2026-05-09T00:00:00"/>
    <d v="2026-05-11T00:00:00"/>
    <n v="204.03"/>
    <n v="90.79"/>
    <n v="81.709999999999994"/>
    <n v="9.08"/>
    <s v="Paid"/>
    <s v=""/>
    <d v="2026-06-08T00:00:00"/>
    <d v="2026-06-08T00:00:00"/>
    <n v="210"/>
    <n v="0.45"/>
    <n v="94.5"/>
    <n v="3.7099999999999937"/>
    <x v="0"/>
    <x v="5"/>
    <x v="7"/>
  </r>
  <r>
    <s v="CLM104765"/>
    <s v="PT10855"/>
    <s v="P08"/>
    <x v="1"/>
    <x v="10"/>
    <n v="1"/>
    <d v="2026-06-30T00:00:00"/>
    <d v="2026-07-02T00:00:00"/>
    <n v="1038"/>
    <n v="1038"/>
    <n v="1038"/>
    <n v="0"/>
    <s v="Paid"/>
    <s v=""/>
    <d v="2026-09-22T00:00:00"/>
    <d v="2026-09-22T00:00:00"/>
    <n v="1050"/>
    <n v="1"/>
    <n v="1050"/>
    <n v="12"/>
    <x v="0"/>
    <x v="7"/>
    <x v="11"/>
  </r>
  <r>
    <s v="CLM104766"/>
    <s v="PT10967"/>
    <s v="P04"/>
    <x v="1"/>
    <x v="7"/>
    <n v="1"/>
    <d v="2026-09-05T00:00:00"/>
    <d v="2026-09-12T00:00:00"/>
    <n v="213.88"/>
    <n v="82.15"/>
    <n v="65.72"/>
    <n v="16.43"/>
    <s v="Paid"/>
    <s v=""/>
    <d v="2026-09-30T00:00:00"/>
    <d v="2026-09-30T00:00:00"/>
    <n v="210"/>
    <n v="0.36"/>
    <n v="75.599999999999994"/>
    <n v="-6.5500000000000114"/>
    <x v="0"/>
    <x v="1"/>
    <x v="8"/>
  </r>
  <r>
    <s v="CLM104767"/>
    <s v="PT12234"/>
    <s v="P04"/>
    <x v="1"/>
    <x v="11"/>
    <n v="1"/>
    <d v="2026-07-03T00:00:00"/>
    <d v="2026-07-07T00:00:00"/>
    <n v="1127.51"/>
    <n v="377.82"/>
    <n v="302.26"/>
    <n v="75.56"/>
    <s v="Paid"/>
    <s v=""/>
    <d v="2026-07-17T00:00:00"/>
    <d v="2026-07-17T00:00:00"/>
    <n v="1150"/>
    <n v="0.36"/>
    <n v="414"/>
    <n v="36.180000000000007"/>
    <x v="1"/>
    <x v="1"/>
    <x v="1"/>
  </r>
  <r>
    <s v="CLM104768"/>
    <s v="PT12053"/>
    <s v="P01"/>
    <x v="1"/>
    <x v="11"/>
    <n v="1"/>
    <d v="2025-12-09T00:00:00"/>
    <d v="2025-12-18T00:00:00"/>
    <n v="1162.44"/>
    <m/>
    <m/>
    <m/>
    <s v="Denied"/>
    <s v="CO-27"/>
    <d v="2026-02-01T00:00:00"/>
    <m/>
    <n v="1150"/>
    <n v="0.45"/>
    <n v="517.5"/>
    <s v=""/>
    <x v="2"/>
    <x v="5"/>
    <x v="6"/>
  </r>
  <r>
    <s v="CLM104769"/>
    <s v="PT10239"/>
    <s v="P01"/>
    <x v="1"/>
    <x v="7"/>
    <n v="1"/>
    <d v="2026-07-06T00:00:00"/>
    <d v="2026-07-07T00:00:00"/>
    <n v="205.21"/>
    <n v="100.05"/>
    <n v="80.040000000000006"/>
    <n v="20.010000000000002"/>
    <s v="Paid"/>
    <s v=""/>
    <d v="2026-07-22T00:00:00"/>
    <d v="2026-07-22T00:00:00"/>
    <n v="210"/>
    <n v="0.45"/>
    <n v="94.5"/>
    <n v="-5.5499999999999972"/>
    <x v="0"/>
    <x v="5"/>
    <x v="1"/>
  </r>
  <r>
    <s v="CLM104770"/>
    <s v="PT11334"/>
    <s v="P06"/>
    <x v="0"/>
    <x v="7"/>
    <n v="1"/>
    <d v="2026-03-03T00:00:00"/>
    <d v="2026-03-08T00:00:00"/>
    <n v="206.9"/>
    <n v="59.97"/>
    <n v="47.98"/>
    <n v="11.99"/>
    <s v="Paid"/>
    <s v=""/>
    <d v="2026-04-20T00:00:00"/>
    <d v="2026-04-20T00:00:00"/>
    <n v="210"/>
    <n v="0.27"/>
    <n v="56.7"/>
    <n v="-3.269999999999996"/>
    <x v="0"/>
    <x v="2"/>
    <x v="2"/>
  </r>
  <r>
    <s v="CLM104771"/>
    <s v="PT10479"/>
    <s v="P01"/>
    <x v="3"/>
    <x v="6"/>
    <n v="1"/>
    <d v="2026-01-27T00:00:00"/>
    <d v="2026-01-29T00:00:00"/>
    <n v="428.56"/>
    <n v="222.55"/>
    <n v="222.55"/>
    <n v="0"/>
    <s v="Paid"/>
    <s v=""/>
    <d v="2026-03-02T00:00:00"/>
    <d v="2026-03-02T00:00:00"/>
    <n v="420"/>
    <n v="0.45"/>
    <n v="189"/>
    <n v="-33.550000000000011"/>
    <x v="0"/>
    <x v="5"/>
    <x v="5"/>
  </r>
  <r>
    <s v="CLM104772"/>
    <s v="PT11750"/>
    <s v="P02"/>
    <x v="3"/>
    <x v="3"/>
    <n v="20"/>
    <d v="2026-04-17T00:00:00"/>
    <d v="2026-04-23T00:00:00"/>
    <n v="28682.09"/>
    <n v="11234.8"/>
    <n v="10111.32"/>
    <n v="1123.48"/>
    <s v="Paid"/>
    <s v=""/>
    <d v="2026-05-07T00:00:00"/>
    <d v="2026-05-07T00:00:00"/>
    <n v="1450"/>
    <n v="0.43"/>
    <n v="12470"/>
    <n v="1235.2000000000007"/>
    <x v="1"/>
    <x v="6"/>
    <x v="10"/>
  </r>
  <r>
    <s v="CLM104773"/>
    <s v="PT12062"/>
    <s v="P03"/>
    <x v="0"/>
    <x v="8"/>
    <n v="1"/>
    <d v="2026-09-28T00:00:00"/>
    <d v="2026-09-29T00:00:00"/>
    <n v="253.75"/>
    <m/>
    <m/>
    <m/>
    <s v="Pending"/>
    <s v=""/>
    <m/>
    <m/>
    <n v="260"/>
    <n v="0.47"/>
    <n v="122.2"/>
    <s v=""/>
    <x v="2"/>
    <x v="4"/>
    <x v="8"/>
  </r>
  <r>
    <s v="CLM104774"/>
    <s v="PT12481"/>
    <s v="P02"/>
    <x v="3"/>
    <x v="3"/>
    <n v="10"/>
    <d v="2026-09-14T00:00:00"/>
    <d v="2026-09-17T00:00:00"/>
    <n v="14669.7"/>
    <m/>
    <m/>
    <m/>
    <s v="Pending"/>
    <s v=""/>
    <m/>
    <m/>
    <n v="1450"/>
    <n v="0.43"/>
    <n v="6235"/>
    <s v=""/>
    <x v="2"/>
    <x v="6"/>
    <x v="8"/>
  </r>
  <r>
    <s v="CLM104775"/>
    <s v="PT12001"/>
    <s v="P01"/>
    <x v="1"/>
    <x v="11"/>
    <n v="1"/>
    <d v="2025-10-04T00:00:00"/>
    <d v="2025-10-08T00:00:00"/>
    <n v="1127.44"/>
    <n v="454.06"/>
    <n v="454.06"/>
    <n v="0"/>
    <s v="Paid"/>
    <s v=""/>
    <d v="2025-11-17T00:00:00"/>
    <d v="2025-11-17T00:00:00"/>
    <n v="1150"/>
    <n v="0.45"/>
    <n v="517.5"/>
    <n v="63.44"/>
    <x v="1"/>
    <x v="5"/>
    <x v="9"/>
  </r>
  <r>
    <s v="CLM104776"/>
    <s v="PT12370"/>
    <s v="P07"/>
    <x v="1"/>
    <x v="10"/>
    <n v="1"/>
    <d v="2026-08-23T00:00:00"/>
    <d v="2026-09-06T00:00:00"/>
    <n v="1037.8800000000001"/>
    <m/>
    <m/>
    <m/>
    <s v="Denied"/>
    <s v="CO-16"/>
    <d v="2026-09-30T00:00:00"/>
    <m/>
    <n v="1050"/>
    <n v="0.28000000000000003"/>
    <n v="294"/>
    <s v=""/>
    <x v="2"/>
    <x v="3"/>
    <x v="4"/>
  </r>
  <r>
    <s v="CLM104777"/>
    <s v="PT11415"/>
    <s v="P05"/>
    <x v="1"/>
    <x v="4"/>
    <n v="1"/>
    <d v="2025-11-29T00:00:00"/>
    <d v="2025-12-02T00:00:00"/>
    <n v="38.14"/>
    <n v="13.53"/>
    <n v="13.53"/>
    <n v="0"/>
    <s v="Paid"/>
    <s v=""/>
    <d v="2026-01-21T00:00:00"/>
    <d v="2026-01-21T00:00:00"/>
    <n v="38"/>
    <n v="0.38"/>
    <n v="14.44"/>
    <n v="0.91000000000000014"/>
    <x v="1"/>
    <x v="0"/>
    <x v="3"/>
  </r>
  <r>
    <s v="CLM104778"/>
    <s v="PT10021"/>
    <s v="P04"/>
    <x v="0"/>
    <x v="7"/>
    <n v="1"/>
    <d v="2025-10-14T00:00:00"/>
    <d v="2025-10-23T00:00:00"/>
    <n v="205.87"/>
    <n v="82.94"/>
    <n v="66.349999999999994"/>
    <n v="16.59"/>
    <s v="Paid"/>
    <s v=""/>
    <d v="2025-10-28T00:00:00"/>
    <d v="2025-10-28T00:00:00"/>
    <n v="210"/>
    <n v="0.36"/>
    <n v="75.599999999999994"/>
    <n v="-7.3400000000000034"/>
    <x v="0"/>
    <x v="1"/>
    <x v="9"/>
  </r>
  <r>
    <s v="CLM104779"/>
    <s v="PT11570"/>
    <s v="P01"/>
    <x v="3"/>
    <x v="3"/>
    <n v="10"/>
    <d v="2025-12-11T00:00:00"/>
    <d v="2025-12-12T00:00:00"/>
    <n v="14176.21"/>
    <n v="6875.06"/>
    <n v="6187.55"/>
    <n v="687.51"/>
    <s v="Paid"/>
    <s v=""/>
    <d v="2026-01-19T00:00:00"/>
    <d v="2026-01-19T00:00:00"/>
    <n v="1450"/>
    <n v="0.45"/>
    <n v="6525"/>
    <n v="-350.0600000000004"/>
    <x v="0"/>
    <x v="5"/>
    <x v="6"/>
  </r>
  <r>
    <s v="CLM104780"/>
    <s v="PT11171"/>
    <s v="P04"/>
    <x v="2"/>
    <x v="2"/>
    <n v="1"/>
    <d v="2026-06-28T00:00:00"/>
    <d v="2026-06-30T00:00:00"/>
    <n v="61.22"/>
    <n v="24.43"/>
    <n v="24.43"/>
    <n v="0"/>
    <s v="Paid"/>
    <s v=""/>
    <d v="2026-07-19T00:00:00"/>
    <d v="2026-07-19T00:00:00"/>
    <n v="62"/>
    <n v="0.36"/>
    <n v="22.32"/>
    <n v="-2.1099999999999994"/>
    <x v="0"/>
    <x v="1"/>
    <x v="11"/>
  </r>
  <r>
    <s v="CLM104781"/>
    <s v="PT13238"/>
    <s v="P02"/>
    <x v="0"/>
    <x v="7"/>
    <n v="1"/>
    <d v="2026-05-27T00:00:00"/>
    <d v="2026-06-06T00:00:00"/>
    <n v="214.09"/>
    <n v="80.12"/>
    <n v="80.12"/>
    <n v="0"/>
    <s v="Paid"/>
    <s v=""/>
    <d v="2026-07-16T00:00:00"/>
    <d v="2026-07-16T00:00:00"/>
    <n v="210"/>
    <n v="0.43"/>
    <n v="90.3"/>
    <n v="10.179999999999993"/>
    <x v="1"/>
    <x v="6"/>
    <x v="7"/>
  </r>
  <r>
    <s v="CLM104782"/>
    <s v="PT13190"/>
    <s v="P01"/>
    <x v="0"/>
    <x v="8"/>
    <n v="1"/>
    <d v="2026-04-25T00:00:00"/>
    <d v="2026-04-29T00:00:00"/>
    <n v="260.23"/>
    <n v="115.72"/>
    <n v="92.58"/>
    <n v="23.14"/>
    <s v="Paid"/>
    <s v=""/>
    <d v="2026-06-02T00:00:00"/>
    <d v="2026-06-02T00:00:00"/>
    <n v="260"/>
    <n v="0.45"/>
    <n v="117"/>
    <n v="1.2800000000000011"/>
    <x v="0"/>
    <x v="5"/>
    <x v="10"/>
  </r>
  <r>
    <s v="CLM104783"/>
    <s v="PT10063"/>
    <s v="P07"/>
    <x v="1"/>
    <x v="10"/>
    <n v="1"/>
    <d v="2026-01-09T00:00:00"/>
    <d v="2026-01-10T00:00:00"/>
    <n v="1026.1300000000001"/>
    <n v="272.79000000000002"/>
    <n v="245.51"/>
    <n v="27.28"/>
    <s v="Paid"/>
    <s v=""/>
    <d v="2026-03-20T00:00:00"/>
    <d v="2026-03-20T00:00:00"/>
    <n v="1050"/>
    <n v="0.28000000000000003"/>
    <n v="294"/>
    <n v="21.20999999999998"/>
    <x v="1"/>
    <x v="3"/>
    <x v="5"/>
  </r>
  <r>
    <s v="CLM104784"/>
    <s v="PT10632"/>
    <s v="P01"/>
    <x v="0"/>
    <x v="7"/>
    <n v="1"/>
    <d v="2026-05-26T00:00:00"/>
    <d v="2026-06-08T00:00:00"/>
    <n v="213.59"/>
    <n v="101.95"/>
    <n v="91.75"/>
    <n v="10.199999999999999"/>
    <s v="Paid"/>
    <s v=""/>
    <d v="2026-07-11T00:00:00"/>
    <d v="2026-07-11T00:00:00"/>
    <n v="210"/>
    <n v="0.45"/>
    <n v="94.5"/>
    <n v="-7.4500000000000028"/>
    <x v="0"/>
    <x v="5"/>
    <x v="7"/>
  </r>
  <r>
    <s v="CLM104785"/>
    <s v="PT11551"/>
    <s v="P07"/>
    <x v="2"/>
    <x v="9"/>
    <n v="2"/>
    <d v="2026-09-04T00:00:00"/>
    <d v="2026-09-06T00:00:00"/>
    <n v="116.75"/>
    <m/>
    <m/>
    <m/>
    <s v="Pending"/>
    <s v=""/>
    <m/>
    <m/>
    <n v="58"/>
    <n v="0.28000000000000003"/>
    <n v="32.479999999999997"/>
    <s v=""/>
    <x v="2"/>
    <x v="3"/>
    <x v="8"/>
  </r>
  <r>
    <s v="CLM104786"/>
    <s v="PT13427"/>
    <s v="P02"/>
    <x v="0"/>
    <x v="8"/>
    <n v="1"/>
    <d v="2025-12-01T00:00:00"/>
    <d v="2025-12-07T00:00:00"/>
    <n v="256.54000000000002"/>
    <n v="93.2"/>
    <n v="93.2"/>
    <n v="0"/>
    <s v="Paid"/>
    <s v=""/>
    <d v="2026-01-19T00:00:00"/>
    <d v="2026-01-19T00:00:00"/>
    <n v="260"/>
    <n v="0.43"/>
    <n v="111.8"/>
    <n v="18.599999999999994"/>
    <x v="1"/>
    <x v="6"/>
    <x v="6"/>
  </r>
  <r>
    <s v="CLM104787"/>
    <s v="PT10780"/>
    <s v="P05"/>
    <x v="3"/>
    <x v="3"/>
    <n v="20"/>
    <d v="2026-05-16T00:00:00"/>
    <d v="2026-05-19T00:00:00"/>
    <n v="28462.97"/>
    <n v="9524.19"/>
    <n v="9524.19"/>
    <n v="0"/>
    <s v="Paid"/>
    <s v=""/>
    <d v="2026-07-10T00:00:00"/>
    <d v="2026-07-10T00:00:00"/>
    <n v="1450"/>
    <n v="0.38"/>
    <n v="11020"/>
    <n v="1495.8099999999995"/>
    <x v="1"/>
    <x v="0"/>
    <x v="7"/>
  </r>
  <r>
    <s v="CLM104788"/>
    <s v="PT12630"/>
    <s v="P02"/>
    <x v="2"/>
    <x v="2"/>
    <n v="4"/>
    <d v="2026-09-05T00:00:00"/>
    <d v="2026-09-07T00:00:00"/>
    <n v="248.63"/>
    <m/>
    <m/>
    <m/>
    <s v="Pending"/>
    <s v=""/>
    <m/>
    <m/>
    <n v="62"/>
    <n v="0.43"/>
    <n v="106.64"/>
    <s v=""/>
    <x v="2"/>
    <x v="6"/>
    <x v="8"/>
  </r>
  <r>
    <s v="CLM104789"/>
    <s v="PT13336"/>
    <s v="P05"/>
    <x v="3"/>
    <x v="3"/>
    <n v="20"/>
    <d v="2026-02-15T00:00:00"/>
    <d v="2026-02-17T00:00:00"/>
    <n v="28207.26"/>
    <m/>
    <m/>
    <m/>
    <s v="Denied"/>
    <s v="CO-50"/>
    <d v="2026-03-25T00:00:00"/>
    <m/>
    <n v="1450"/>
    <n v="0.38"/>
    <n v="11020"/>
    <s v=""/>
    <x v="2"/>
    <x v="0"/>
    <x v="0"/>
  </r>
  <r>
    <s v="CLM104790"/>
    <s v="PT12562"/>
    <s v="P04"/>
    <x v="0"/>
    <x v="0"/>
    <n v="1"/>
    <d v="2026-04-14T00:00:00"/>
    <d v="2026-04-20T00:00:00"/>
    <n v="142.07"/>
    <n v="55.16"/>
    <n v="55.16"/>
    <n v="0"/>
    <s v="Paid"/>
    <s v=""/>
    <d v="2026-05-06T00:00:00"/>
    <d v="2026-05-06T00:00:00"/>
    <n v="145"/>
    <n v="0.36"/>
    <n v="52.2"/>
    <n v="-2.9599999999999937"/>
    <x v="0"/>
    <x v="1"/>
    <x v="10"/>
  </r>
  <r>
    <s v="CLM104791"/>
    <s v="PT12864"/>
    <s v="P03"/>
    <x v="2"/>
    <x v="9"/>
    <n v="1"/>
    <d v="2026-07-23T00:00:00"/>
    <d v="2026-07-24T00:00:00"/>
    <n v="57.25"/>
    <n v="26.12"/>
    <n v="23.51"/>
    <n v="2.61"/>
    <s v="Paid"/>
    <s v=""/>
    <d v="2026-09-15T00:00:00"/>
    <d v="2026-09-15T00:00:00"/>
    <n v="58"/>
    <n v="0.47"/>
    <n v="27.26"/>
    <n v="1.1400000000000006"/>
    <x v="0"/>
    <x v="4"/>
    <x v="1"/>
  </r>
  <r>
    <s v="CLM104792"/>
    <s v="PT11345"/>
    <s v="P05"/>
    <x v="0"/>
    <x v="8"/>
    <n v="1"/>
    <d v="2025-10-25T00:00:00"/>
    <d v="2025-10-28T00:00:00"/>
    <n v="262.32"/>
    <n v="108.84"/>
    <n v="87.07"/>
    <n v="21.77"/>
    <s v="Paid"/>
    <s v=""/>
    <d v="2025-12-13T00:00:00"/>
    <d v="2025-12-13T00:00:00"/>
    <n v="260"/>
    <n v="0.38"/>
    <n v="98.8"/>
    <n v="-10.040000000000006"/>
    <x v="0"/>
    <x v="0"/>
    <x v="9"/>
  </r>
  <r>
    <s v="CLM104793"/>
    <s v="PT11124"/>
    <s v="P01"/>
    <x v="1"/>
    <x v="4"/>
    <n v="1"/>
    <d v="2026-06-18T00:00:00"/>
    <d v="2026-06-20T00:00:00"/>
    <n v="38.979999999999997"/>
    <n v="15.55"/>
    <n v="13.99"/>
    <n v="1.56"/>
    <s v="Paid"/>
    <s v=""/>
    <d v="2026-07-18T00:00:00"/>
    <d v="2026-07-18T00:00:00"/>
    <n v="38"/>
    <n v="0.45"/>
    <n v="17.100000000000001"/>
    <n v="1.5500000000000007"/>
    <x v="1"/>
    <x v="5"/>
    <x v="11"/>
  </r>
  <r>
    <s v="CLM104794"/>
    <s v="PT12928"/>
    <s v="P07"/>
    <x v="1"/>
    <x v="1"/>
    <n v="1"/>
    <d v="2026-03-13T00:00:00"/>
    <d v="2026-03-18T00:00:00"/>
    <n v="233.04"/>
    <n v="56.68"/>
    <n v="51.01"/>
    <n v="5.67"/>
    <s v="Paid"/>
    <s v=""/>
    <d v="2026-05-23T00:00:00"/>
    <d v="2026-05-23T00:00:00"/>
    <n v="240"/>
    <n v="0.28000000000000003"/>
    <n v="67.2"/>
    <n v="10.520000000000003"/>
    <x v="1"/>
    <x v="3"/>
    <x v="2"/>
  </r>
  <r>
    <s v="CLM104795"/>
    <s v="PT10269"/>
    <s v="P02"/>
    <x v="2"/>
    <x v="0"/>
    <n v="1"/>
    <d v="2025-11-25T00:00:00"/>
    <d v="2025-11-27T00:00:00"/>
    <n v="145.43"/>
    <n v="60.29"/>
    <n v="60.29"/>
    <n v="0"/>
    <s v="Paid"/>
    <s v=""/>
    <d v="2025-12-27T00:00:00"/>
    <d v="2025-12-27T00:00:00"/>
    <n v="145"/>
    <n v="0.43"/>
    <n v="62.35"/>
    <n v="2.0600000000000023"/>
    <x v="0"/>
    <x v="6"/>
    <x v="3"/>
  </r>
  <r>
    <s v="CLM104796"/>
    <s v="PT11417"/>
    <s v="P02"/>
    <x v="0"/>
    <x v="4"/>
    <n v="1"/>
    <d v="2026-06-07T00:00:00"/>
    <d v="2026-06-08T00:00:00"/>
    <n v="38.369999999999997"/>
    <n v="14.83"/>
    <n v="14.83"/>
    <n v="0"/>
    <s v="Paid"/>
    <s v=""/>
    <d v="2026-07-18T00:00:00"/>
    <d v="2026-07-18T00:00:00"/>
    <n v="38"/>
    <n v="0.43"/>
    <n v="16.34"/>
    <n v="1.5099999999999998"/>
    <x v="1"/>
    <x v="6"/>
    <x v="11"/>
  </r>
  <r>
    <s v="CLM104797"/>
    <s v="PT12651"/>
    <s v="P06"/>
    <x v="1"/>
    <x v="4"/>
    <n v="1"/>
    <d v="2026-06-07T00:00:00"/>
    <d v="2026-06-10T00:00:00"/>
    <n v="37.049999999999997"/>
    <n v="10.4"/>
    <n v="10.4"/>
    <n v="0"/>
    <s v="Paid"/>
    <s v=""/>
    <d v="2026-06-25T00:00:00"/>
    <d v="2026-06-25T00:00:00"/>
    <n v="38"/>
    <n v="0.27"/>
    <n v="10.26"/>
    <n v="-0.14000000000000057"/>
    <x v="0"/>
    <x v="2"/>
    <x v="11"/>
  </r>
  <r>
    <s v="CLM104798"/>
    <s v="PT12070"/>
    <s v="P02"/>
    <x v="3"/>
    <x v="6"/>
    <n v="1"/>
    <d v="2026-08-03T00:00:00"/>
    <d v="2026-08-07T00:00:00"/>
    <n v="422.66"/>
    <m/>
    <m/>
    <m/>
    <s v="Denied"/>
    <s v="CO-16"/>
    <d v="2026-09-03T00:00:00"/>
    <m/>
    <n v="420"/>
    <n v="0.43"/>
    <n v="180.6"/>
    <s v=""/>
    <x v="2"/>
    <x v="6"/>
    <x v="4"/>
  </r>
  <r>
    <s v="CLM104799"/>
    <s v="PT11969"/>
    <s v="P02"/>
    <x v="1"/>
    <x v="11"/>
    <n v="1"/>
    <d v="2025-11-21T00:00:00"/>
    <d v="2025-11-27T00:00:00"/>
    <n v="1121.3599999999999"/>
    <n v="486.94"/>
    <n v="486.94"/>
    <n v="0"/>
    <s v="Paid"/>
    <s v=""/>
    <d v="2025-12-31T00:00:00"/>
    <d v="2025-12-31T00:00:00"/>
    <n v="1150"/>
    <n v="0.43"/>
    <n v="494.5"/>
    <n v="7.5600000000000023"/>
    <x v="0"/>
    <x v="6"/>
    <x v="3"/>
  </r>
  <r>
    <s v="CLM104800"/>
    <s v="PT12830"/>
    <s v="P02"/>
    <x v="1"/>
    <x v="10"/>
    <n v="1"/>
    <d v="2026-04-03T00:00:00"/>
    <d v="2026-04-05T00:00:00"/>
    <n v="1053.9100000000001"/>
    <n v="425.56"/>
    <n v="425.56"/>
    <n v="0"/>
    <s v="Paid"/>
    <s v=""/>
    <d v="2026-05-09T00:00:00"/>
    <d v="2026-05-09T00:00:00"/>
    <n v="1050"/>
    <n v="0.43"/>
    <n v="451.5"/>
    <n v="25.939999999999998"/>
    <x v="1"/>
    <x v="6"/>
    <x v="10"/>
  </r>
  <r>
    <s v="CLM104801"/>
    <s v="PT12810"/>
    <s v="P08"/>
    <x v="0"/>
    <x v="0"/>
    <n v="1"/>
    <d v="2026-07-24T00:00:00"/>
    <d v="2026-08-05T00:00:00"/>
    <n v="148.16999999999999"/>
    <m/>
    <m/>
    <m/>
    <s v="Pending"/>
    <s v=""/>
    <m/>
    <m/>
    <n v="145"/>
    <n v="1"/>
    <n v="145"/>
    <s v=""/>
    <x v="2"/>
    <x v="7"/>
    <x v="1"/>
  </r>
  <r>
    <s v="CLM104802"/>
    <s v="PT11145"/>
    <s v="P02"/>
    <x v="0"/>
    <x v="4"/>
    <n v="1"/>
    <d v="2026-04-21T00:00:00"/>
    <d v="2026-04-22T00:00:00"/>
    <n v="38.1"/>
    <n v="17.100000000000001"/>
    <n v="13.68"/>
    <n v="3.42"/>
    <s v="Paid"/>
    <s v=""/>
    <d v="2026-05-08T00:00:00"/>
    <d v="2026-05-08T00:00:00"/>
    <n v="38"/>
    <n v="0.43"/>
    <n v="16.34"/>
    <n v="-0.76000000000000156"/>
    <x v="0"/>
    <x v="6"/>
    <x v="10"/>
  </r>
  <r>
    <s v="CLM104803"/>
    <s v="PT12719"/>
    <s v="P01"/>
    <x v="3"/>
    <x v="3"/>
    <n v="10"/>
    <d v="2026-05-02T00:00:00"/>
    <d v="2026-05-04T00:00:00"/>
    <n v="14359.35"/>
    <n v="5566.06"/>
    <n v="5566.06"/>
    <n v="0"/>
    <s v="Paid"/>
    <s v=""/>
    <d v="2026-06-06T00:00:00"/>
    <d v="2026-06-06T00:00:00"/>
    <n v="1450"/>
    <n v="0.45"/>
    <n v="6525"/>
    <n v="958.9399999999996"/>
    <x v="1"/>
    <x v="5"/>
    <x v="7"/>
  </r>
  <r>
    <s v="CLM104804"/>
    <s v="PT12945"/>
    <s v="P05"/>
    <x v="3"/>
    <x v="7"/>
    <n v="1"/>
    <d v="2026-04-07T00:00:00"/>
    <d v="2026-04-25T00:00:00"/>
    <n v="208.81"/>
    <n v="85.95"/>
    <n v="85.95"/>
    <n v="0"/>
    <s v="Paid"/>
    <s v=""/>
    <d v="2026-07-13T00:00:00"/>
    <d v="2026-07-13T00:00:00"/>
    <n v="210"/>
    <n v="0.38"/>
    <n v="79.8"/>
    <n v="-6.1500000000000057"/>
    <x v="0"/>
    <x v="0"/>
    <x v="10"/>
  </r>
  <r>
    <s v="CLM104805"/>
    <s v="PT12968"/>
    <s v="P03"/>
    <x v="2"/>
    <x v="2"/>
    <n v="1"/>
    <d v="2026-03-28T00:00:00"/>
    <d v="2026-04-01T00:00:00"/>
    <n v="61.22"/>
    <n v="32.47"/>
    <n v="25.98"/>
    <n v="6.49"/>
    <s v="Paid"/>
    <s v=""/>
    <d v="2026-05-30T00:00:00"/>
    <d v="2026-05-30T00:00:00"/>
    <n v="62"/>
    <n v="0.47"/>
    <n v="29.14"/>
    <n v="-3.3299999999999983"/>
    <x v="0"/>
    <x v="4"/>
    <x v="2"/>
  </r>
  <r>
    <s v="CLM104806"/>
    <s v="PT10563"/>
    <s v="P06"/>
    <x v="2"/>
    <x v="9"/>
    <n v="3"/>
    <d v="2026-05-15T00:00:00"/>
    <d v="2026-05-17T00:00:00"/>
    <n v="176.96"/>
    <n v="49.66"/>
    <n v="49.66"/>
    <n v="0"/>
    <s v="Paid"/>
    <s v=""/>
    <d v="2026-06-03T00:00:00"/>
    <d v="2026-06-03T00:00:00"/>
    <n v="58"/>
    <n v="0.27"/>
    <n v="46.98"/>
    <n v="-2.6799999999999997"/>
    <x v="0"/>
    <x v="2"/>
    <x v="7"/>
  </r>
  <r>
    <s v="CLM104808"/>
    <s v="PT11308"/>
    <s v="P01"/>
    <x v="0"/>
    <x v="0"/>
    <n v="1"/>
    <d v="2026-01-24T00:00:00"/>
    <d v="2026-01-25T00:00:00"/>
    <n v="143.13"/>
    <n v="64.239999999999995"/>
    <n v="57.82"/>
    <n v="6.42"/>
    <s v="Paid"/>
    <s v=""/>
    <d v="2026-02-22T00:00:00"/>
    <d v="2026-02-22T00:00:00"/>
    <n v="145"/>
    <n v="0.45"/>
    <n v="65.25"/>
    <n v="1.0100000000000051"/>
    <x v="0"/>
    <x v="5"/>
    <x v="5"/>
  </r>
  <r>
    <s v="CLM104809"/>
    <s v="PT10115"/>
    <s v="P01"/>
    <x v="0"/>
    <x v="8"/>
    <n v="1"/>
    <d v="2026-08-17T00:00:00"/>
    <d v="2026-08-20T00:00:00"/>
    <n v="261.77"/>
    <n v="99.68"/>
    <n v="99.68"/>
    <n v="0"/>
    <s v="Paid"/>
    <s v=""/>
    <d v="2026-09-20T00:00:00"/>
    <d v="2026-09-20T00:00:00"/>
    <n v="260"/>
    <n v="0.45"/>
    <n v="117"/>
    <n v="17.319999999999993"/>
    <x v="1"/>
    <x v="5"/>
    <x v="4"/>
  </r>
  <r>
    <s v="CLM104810"/>
    <s v="PT13418"/>
    <s v="P01"/>
    <x v="3"/>
    <x v="3"/>
    <n v="10"/>
    <d v="2025-10-31T00:00:00"/>
    <d v="2025-11-02T00:00:00"/>
    <n v="14692.65"/>
    <n v="5621.12"/>
    <n v="5621.12"/>
    <n v="0"/>
    <s v="Paid"/>
    <s v=""/>
    <d v="2025-12-02T00:00:00"/>
    <d v="2025-12-02T00:00:00"/>
    <n v="1450"/>
    <n v="0.45"/>
    <n v="6525"/>
    <n v="903.88000000000011"/>
    <x v="1"/>
    <x v="5"/>
    <x v="9"/>
  </r>
  <r>
    <s v="CLM104811"/>
    <s v="PT11909"/>
    <s v="P04"/>
    <x v="3"/>
    <x v="7"/>
    <n v="1"/>
    <d v="2025-11-25T00:00:00"/>
    <d v="2025-11-30T00:00:00"/>
    <n v="208.18"/>
    <n v="83.8"/>
    <n v="83.8"/>
    <n v="0"/>
    <s v="Paid"/>
    <s v=""/>
    <d v="2025-12-16T00:00:00"/>
    <d v="2025-12-16T00:00:00"/>
    <n v="210"/>
    <n v="0.36"/>
    <n v="75.599999999999994"/>
    <n v="-8.2000000000000028"/>
    <x v="0"/>
    <x v="1"/>
    <x v="3"/>
  </r>
  <r>
    <s v="CLM104812"/>
    <s v="PT11746"/>
    <s v="P02"/>
    <x v="3"/>
    <x v="3"/>
    <n v="30"/>
    <d v="2026-02-05T00:00:00"/>
    <d v="2026-02-18T00:00:00"/>
    <n v="44049.87"/>
    <n v="16344.33"/>
    <n v="14709.9"/>
    <n v="1634.43"/>
    <s v="Paid"/>
    <s v=""/>
    <d v="2026-03-20T00:00:00"/>
    <d v="2026-03-20T00:00:00"/>
    <n v="1450"/>
    <n v="0.43"/>
    <n v="18705"/>
    <n v="2360.67"/>
    <x v="1"/>
    <x v="6"/>
    <x v="0"/>
  </r>
  <r>
    <s v="CLM104813"/>
    <s v="PT11344"/>
    <s v="P02"/>
    <x v="0"/>
    <x v="0"/>
    <n v="1"/>
    <d v="2026-09-18T00:00:00"/>
    <d v="2026-09-24T00:00:00"/>
    <n v="146.18"/>
    <m/>
    <m/>
    <m/>
    <s v="Pending"/>
    <s v=""/>
    <m/>
    <m/>
    <n v="145"/>
    <n v="0.43"/>
    <n v="62.35"/>
    <s v=""/>
    <x v="2"/>
    <x v="6"/>
    <x v="8"/>
  </r>
  <r>
    <s v="CLM104814"/>
    <s v="PT12470"/>
    <s v="P02"/>
    <x v="0"/>
    <x v="4"/>
    <n v="1"/>
    <d v="2025-10-23T00:00:00"/>
    <d v="2025-10-27T00:00:00"/>
    <n v="38.979999999999997"/>
    <n v="15.58"/>
    <n v="15.58"/>
    <n v="0"/>
    <s v="Paid"/>
    <s v=""/>
    <d v="2025-11-01T00:00:00"/>
    <d v="2025-11-01T00:00:00"/>
    <n v="38"/>
    <n v="0.43"/>
    <n v="16.34"/>
    <n v="0.75999999999999979"/>
    <x v="0"/>
    <x v="6"/>
    <x v="9"/>
  </r>
  <r>
    <s v="CLM104815"/>
    <s v="PT13452"/>
    <s v="P04"/>
    <x v="1"/>
    <x v="4"/>
    <n v="1"/>
    <d v="2025-10-08T00:00:00"/>
    <d v="2025-10-15T00:00:00"/>
    <n v="38.83"/>
    <n v="14.08"/>
    <n v="14.08"/>
    <n v="0"/>
    <s v="Paid"/>
    <s v=""/>
    <d v="2025-11-06T00:00:00"/>
    <d v="2025-11-06T00:00:00"/>
    <n v="38"/>
    <n v="0.36"/>
    <n v="13.68"/>
    <n v="-0.40000000000000036"/>
    <x v="0"/>
    <x v="1"/>
    <x v="9"/>
  </r>
  <r>
    <s v="CLM104816"/>
    <s v="PT11685"/>
    <s v="P03"/>
    <x v="3"/>
    <x v="6"/>
    <n v="1"/>
    <d v="2026-07-18T00:00:00"/>
    <d v="2026-07-23T00:00:00"/>
    <n v="419.25"/>
    <n v="190.61"/>
    <n v="152.49"/>
    <n v="38.119999999999997"/>
    <s v="Paid"/>
    <s v=""/>
    <d v="2026-09-11T00:00:00"/>
    <d v="2026-09-11T00:00:00"/>
    <n v="420"/>
    <n v="0.47"/>
    <n v="197.4"/>
    <n v="6.789999999999992"/>
    <x v="0"/>
    <x v="4"/>
    <x v="1"/>
  </r>
  <r>
    <s v="CLM104817"/>
    <s v="PT12760"/>
    <s v="P01"/>
    <x v="3"/>
    <x v="7"/>
    <n v="1"/>
    <d v="2026-07-21T00:00:00"/>
    <d v="2026-07-30T00:00:00"/>
    <n v="214.33"/>
    <n v="110.79"/>
    <n v="88.63"/>
    <n v="22.16"/>
    <s v="Paid"/>
    <s v=""/>
    <d v="2026-08-24T00:00:00"/>
    <d v="2026-08-24T00:00:00"/>
    <n v="210"/>
    <n v="0.45"/>
    <n v="94.5"/>
    <n v="-16.290000000000006"/>
    <x v="0"/>
    <x v="5"/>
    <x v="1"/>
  </r>
  <r>
    <s v="CLM104818"/>
    <s v="PT13003"/>
    <s v="P03"/>
    <x v="1"/>
    <x v="5"/>
    <n v="1"/>
    <d v="2026-08-21T00:00:00"/>
    <d v="2026-08-28T00:00:00"/>
    <n v="4778.21"/>
    <m/>
    <m/>
    <m/>
    <s v="Pending"/>
    <s v=""/>
    <m/>
    <m/>
    <n v="4800"/>
    <n v="0.47"/>
    <n v="2256"/>
    <s v=""/>
    <x v="2"/>
    <x v="4"/>
    <x v="4"/>
  </r>
  <r>
    <s v="CLM104819"/>
    <s v="PT10160"/>
    <s v="P03"/>
    <x v="0"/>
    <x v="4"/>
    <n v="1"/>
    <d v="2026-03-13T00:00:00"/>
    <d v="2026-03-23T00:00:00"/>
    <n v="38.229999999999997"/>
    <n v="17.96"/>
    <n v="17.96"/>
    <n v="0"/>
    <s v="Paid"/>
    <s v=""/>
    <d v="2026-04-07T00:00:00"/>
    <d v="2026-04-07T00:00:00"/>
    <n v="38"/>
    <n v="0.47"/>
    <n v="17.86"/>
    <n v="-0.10000000000000142"/>
    <x v="0"/>
    <x v="4"/>
    <x v="2"/>
  </r>
  <r>
    <s v="CLM104820"/>
    <s v="PT13163"/>
    <s v="P01"/>
    <x v="2"/>
    <x v="9"/>
    <n v="3"/>
    <d v="2026-04-29T00:00:00"/>
    <d v="2026-05-04T00:00:00"/>
    <n v="170.17"/>
    <n v="84.63"/>
    <n v="67.7"/>
    <n v="16.93"/>
    <s v="Paid"/>
    <s v=""/>
    <d v="2026-06-02T00:00:00"/>
    <d v="2026-06-02T00:00:00"/>
    <n v="58"/>
    <n v="0.45"/>
    <n v="78.3"/>
    <n v="-6.3299999999999983"/>
    <x v="0"/>
    <x v="5"/>
    <x v="10"/>
  </r>
  <r>
    <s v="CLM104821"/>
    <s v="PT11829"/>
    <s v="P07"/>
    <x v="1"/>
    <x v="8"/>
    <n v="1"/>
    <d v="2025-12-29T00:00:00"/>
    <d v="2026-01-02T00:00:00"/>
    <n v="258.97000000000003"/>
    <n v="68.61"/>
    <n v="68.61"/>
    <n v="0"/>
    <s v="Paid"/>
    <s v=""/>
    <d v="2026-03-17T00:00:00"/>
    <d v="2026-03-17T00:00:00"/>
    <n v="260"/>
    <n v="0.28000000000000003"/>
    <n v="72.8"/>
    <n v="4.1899999999999977"/>
    <x v="1"/>
    <x v="3"/>
    <x v="6"/>
  </r>
  <r>
    <s v="CLM104822"/>
    <s v="PT10554"/>
    <s v="P04"/>
    <x v="1"/>
    <x v="5"/>
    <n v="1"/>
    <d v="2026-04-07T00:00:00"/>
    <d v="2026-04-10T00:00:00"/>
    <n v="4731.32"/>
    <n v="1838.55"/>
    <n v="1838.55"/>
    <n v="0"/>
    <s v="Paid"/>
    <s v=""/>
    <d v="2026-05-06T00:00:00"/>
    <d v="2026-05-06T00:00:00"/>
    <n v="4800"/>
    <n v="0.36"/>
    <n v="1728"/>
    <n v="-110.54999999999995"/>
    <x v="0"/>
    <x v="1"/>
    <x v="10"/>
  </r>
  <r>
    <s v="CLM104823"/>
    <s v="PT10673"/>
    <s v="P01"/>
    <x v="1"/>
    <x v="7"/>
    <n v="1"/>
    <d v="2026-03-20T00:00:00"/>
    <d v="2026-03-23T00:00:00"/>
    <n v="210.18"/>
    <n v="84.8"/>
    <n v="84.8"/>
    <n v="0"/>
    <s v="Paid"/>
    <s v=""/>
    <d v="2026-05-08T00:00:00"/>
    <d v="2026-05-08T00:00:00"/>
    <n v="210"/>
    <n v="0.45"/>
    <n v="94.5"/>
    <n v="9.7000000000000028"/>
    <x v="1"/>
    <x v="5"/>
    <x v="2"/>
  </r>
  <r>
    <s v="CLM104824"/>
    <s v="PT12040"/>
    <s v="P07"/>
    <x v="2"/>
    <x v="0"/>
    <n v="1"/>
    <d v="2026-07-29T00:00:00"/>
    <d v="2026-07-31T00:00:00"/>
    <n v="146.36000000000001"/>
    <n v="40.83"/>
    <n v="40.83"/>
    <n v="0"/>
    <s v="Paid"/>
    <s v=""/>
    <d v="2026-09-20T00:00:00"/>
    <d v="2026-09-20T00:00:00"/>
    <n v="145"/>
    <n v="0.28000000000000003"/>
    <n v="40.6"/>
    <n v="-0.22999999999999687"/>
    <x v="0"/>
    <x v="3"/>
    <x v="1"/>
  </r>
  <r>
    <s v="CLM104825"/>
    <s v="PT12805"/>
    <s v="P03"/>
    <x v="2"/>
    <x v="2"/>
    <n v="4"/>
    <d v="2026-07-26T00:00:00"/>
    <d v="2026-07-31T00:00:00"/>
    <n v="241.58"/>
    <n v="111.21"/>
    <n v="111.21"/>
    <n v="0"/>
    <s v="Paid"/>
    <s v=""/>
    <d v="2026-09-07T00:00:00"/>
    <d v="2026-09-07T00:00:00"/>
    <n v="62"/>
    <n v="0.47"/>
    <n v="116.56"/>
    <n v="5.3500000000000085"/>
    <x v="0"/>
    <x v="4"/>
    <x v="1"/>
  </r>
  <r>
    <s v="CLM104826"/>
    <s v="PT12236"/>
    <s v="P02"/>
    <x v="3"/>
    <x v="3"/>
    <n v="10"/>
    <d v="2026-02-22T00:00:00"/>
    <d v="2026-02-24T00:00:00"/>
    <n v="14737.45"/>
    <m/>
    <m/>
    <m/>
    <s v="Denied"/>
    <s v="CO-11"/>
    <d v="2026-03-28T00:00:00"/>
    <m/>
    <n v="1450"/>
    <n v="0.43"/>
    <n v="6235"/>
    <s v=""/>
    <x v="2"/>
    <x v="6"/>
    <x v="0"/>
  </r>
  <r>
    <s v="CLM104827"/>
    <s v="PT13394"/>
    <s v="P02"/>
    <x v="1"/>
    <x v="4"/>
    <n v="1"/>
    <d v="2025-12-03T00:00:00"/>
    <d v="2025-12-06T00:00:00"/>
    <n v="37.11"/>
    <n v="14.84"/>
    <n v="13.36"/>
    <n v="1.48"/>
    <s v="Paid"/>
    <s v=""/>
    <d v="2026-01-06T00:00:00"/>
    <d v="2026-01-06T00:00:00"/>
    <n v="38"/>
    <n v="0.43"/>
    <n v="16.34"/>
    <n v="1.5"/>
    <x v="1"/>
    <x v="6"/>
    <x v="6"/>
  </r>
  <r>
    <s v="CLM104828"/>
    <s v="PT12585"/>
    <s v="P02"/>
    <x v="0"/>
    <x v="7"/>
    <n v="1"/>
    <d v="2026-05-05T00:00:00"/>
    <d v="2026-05-12T00:00:00"/>
    <n v="208.41"/>
    <n v="76.540000000000006"/>
    <n v="76.540000000000006"/>
    <n v="0"/>
    <s v="Paid"/>
    <s v=""/>
    <d v="2026-06-09T00:00:00"/>
    <d v="2026-06-09T00:00:00"/>
    <n v="210"/>
    <n v="0.43"/>
    <n v="90.3"/>
    <n v="13.759999999999991"/>
    <x v="1"/>
    <x v="6"/>
    <x v="7"/>
  </r>
  <r>
    <s v="CLM104829"/>
    <s v="PT10232"/>
    <s v="P05"/>
    <x v="3"/>
    <x v="7"/>
    <n v="1"/>
    <d v="2026-05-22T00:00:00"/>
    <d v="2026-05-23T00:00:00"/>
    <n v="205.95"/>
    <n v="70.540000000000006"/>
    <n v="56.43"/>
    <n v="14.11"/>
    <s v="Paid"/>
    <s v=""/>
    <d v="2026-07-09T00:00:00"/>
    <d v="2026-07-09T00:00:00"/>
    <n v="210"/>
    <n v="0.38"/>
    <n v="79.8"/>
    <n v="9.2599999999999909"/>
    <x v="1"/>
    <x v="0"/>
    <x v="7"/>
  </r>
  <r>
    <s v="CLM104830"/>
    <s v="PT10486"/>
    <s v="P02"/>
    <x v="1"/>
    <x v="4"/>
    <n v="1"/>
    <d v="2025-11-21T00:00:00"/>
    <d v="2025-11-29T00:00:00"/>
    <n v="37.71"/>
    <n v="13.92"/>
    <n v="11.14"/>
    <n v="2.78"/>
    <s v="Paid"/>
    <s v=""/>
    <d v="2025-12-25T00:00:00"/>
    <d v="2025-12-25T00:00:00"/>
    <n v="38"/>
    <n v="0.43"/>
    <n v="16.34"/>
    <n v="2.42"/>
    <x v="1"/>
    <x v="6"/>
    <x v="3"/>
  </r>
  <r>
    <s v="CLM104831"/>
    <s v="PT11951"/>
    <s v="P02"/>
    <x v="0"/>
    <x v="0"/>
    <n v="1"/>
    <d v="2026-03-20T00:00:00"/>
    <d v="2026-03-24T00:00:00"/>
    <n v="146.88"/>
    <n v="67.02"/>
    <n v="67.02"/>
    <n v="0"/>
    <s v="Paid"/>
    <s v=""/>
    <d v="2026-04-13T00:00:00"/>
    <d v="2026-04-13T00:00:00"/>
    <n v="145"/>
    <n v="0.43"/>
    <n v="62.35"/>
    <n v="-4.6699999999999946"/>
    <x v="0"/>
    <x v="6"/>
    <x v="2"/>
  </r>
  <r>
    <s v="CLM104832"/>
    <s v="PT10143"/>
    <s v="P07"/>
    <x v="2"/>
    <x v="0"/>
    <n v="1"/>
    <d v="2026-07-09T00:00:00"/>
    <d v="2026-07-25T00:00:00"/>
    <n v="148.77000000000001"/>
    <m/>
    <m/>
    <m/>
    <s v="Denied"/>
    <s v="CO-16"/>
    <d v="2026-09-21T00:00:00"/>
    <m/>
    <n v="145"/>
    <n v="0.28000000000000003"/>
    <n v="40.6"/>
    <s v=""/>
    <x v="2"/>
    <x v="3"/>
    <x v="1"/>
  </r>
  <r>
    <s v="CLM104833"/>
    <s v="PT11051"/>
    <s v="P07"/>
    <x v="1"/>
    <x v="8"/>
    <n v="1"/>
    <d v="2026-08-21T00:00:00"/>
    <d v="2026-08-23T00:00:00"/>
    <n v="253.6"/>
    <m/>
    <m/>
    <m/>
    <s v="Pending"/>
    <s v=""/>
    <m/>
    <m/>
    <n v="260"/>
    <n v="0.28000000000000003"/>
    <n v="72.8"/>
    <s v=""/>
    <x v="2"/>
    <x v="3"/>
    <x v="4"/>
  </r>
  <r>
    <s v="CLM104834"/>
    <s v="PT11699"/>
    <s v="P02"/>
    <x v="2"/>
    <x v="9"/>
    <n v="1"/>
    <d v="2026-03-26T00:00:00"/>
    <d v="2026-03-27T00:00:00"/>
    <n v="57.3"/>
    <n v="27.23"/>
    <n v="27.23"/>
    <n v="0"/>
    <s v="Paid"/>
    <s v=""/>
    <d v="2026-05-06T00:00:00"/>
    <d v="2026-05-06T00:00:00"/>
    <n v="58"/>
    <n v="0.43"/>
    <n v="24.94"/>
    <n v="-2.2899999999999991"/>
    <x v="0"/>
    <x v="6"/>
    <x v="2"/>
  </r>
  <r>
    <s v="CLM104835"/>
    <s v="PT10953"/>
    <s v="P05"/>
    <x v="3"/>
    <x v="6"/>
    <n v="1"/>
    <d v="2025-11-14T00:00:00"/>
    <d v="2025-11-17T00:00:00"/>
    <n v="416.19"/>
    <m/>
    <m/>
    <m/>
    <s v="Denied"/>
    <s v="CO-16"/>
    <d v="2026-01-02T00:00:00"/>
    <m/>
    <n v="420"/>
    <n v="0.38"/>
    <n v="159.6"/>
    <s v=""/>
    <x v="2"/>
    <x v="0"/>
    <x v="3"/>
  </r>
  <r>
    <s v="CLM104836"/>
    <s v="PT10946"/>
    <s v="P02"/>
    <x v="0"/>
    <x v="8"/>
    <n v="1"/>
    <d v="2026-03-16T00:00:00"/>
    <d v="2026-03-23T00:00:00"/>
    <n v="255"/>
    <n v="92.1"/>
    <n v="82.89"/>
    <n v="9.2100000000000009"/>
    <s v="Paid"/>
    <s v=""/>
    <d v="2026-04-28T00:00:00"/>
    <d v="2026-04-28T00:00:00"/>
    <n v="260"/>
    <n v="0.43"/>
    <n v="111.8"/>
    <n v="19.700000000000003"/>
    <x v="1"/>
    <x v="6"/>
    <x v="2"/>
  </r>
  <r>
    <s v="CLM104837"/>
    <s v="PT11988"/>
    <s v="P01"/>
    <x v="0"/>
    <x v="4"/>
    <n v="1"/>
    <d v="2026-04-20T00:00:00"/>
    <d v="2026-04-24T00:00:00"/>
    <n v="38.340000000000003"/>
    <n v="17.93"/>
    <n v="14.34"/>
    <n v="3.59"/>
    <s v="Paid"/>
    <s v=""/>
    <d v="2026-05-21T00:00:00"/>
    <d v="2026-05-21T00:00:00"/>
    <n v="38"/>
    <n v="0.45"/>
    <n v="17.100000000000001"/>
    <n v="-0.82999999999999829"/>
    <x v="0"/>
    <x v="5"/>
    <x v="10"/>
  </r>
  <r>
    <s v="CLM104838"/>
    <s v="PT11125"/>
    <s v="P06"/>
    <x v="0"/>
    <x v="0"/>
    <n v="1"/>
    <d v="2026-01-15T00:00:00"/>
    <d v="2026-01-17T00:00:00"/>
    <n v="142.94999999999999"/>
    <n v="35.880000000000003"/>
    <n v="28.7"/>
    <n v="7.18"/>
    <s v="Paid"/>
    <s v=""/>
    <d v="2026-03-07T00:00:00"/>
    <d v="2026-03-07T00:00:00"/>
    <n v="145"/>
    <n v="0.27"/>
    <n v="39.15"/>
    <n v="3.269999999999996"/>
    <x v="1"/>
    <x v="2"/>
    <x v="5"/>
  </r>
  <r>
    <s v="CLM104839"/>
    <s v="PT13010"/>
    <s v="P05"/>
    <x v="3"/>
    <x v="3"/>
    <n v="10"/>
    <d v="2026-03-11T00:00:00"/>
    <d v="2026-03-12T00:00:00"/>
    <n v="14366.11"/>
    <m/>
    <m/>
    <m/>
    <s v="Denied"/>
    <s v="CO-197"/>
    <d v="2026-04-17T00:00:00"/>
    <m/>
    <n v="1450"/>
    <n v="0.38"/>
    <n v="5510"/>
    <s v=""/>
    <x v="2"/>
    <x v="0"/>
    <x v="2"/>
  </r>
  <r>
    <s v="CLM104840"/>
    <s v="PT10351"/>
    <s v="P01"/>
    <x v="2"/>
    <x v="9"/>
    <n v="1"/>
    <d v="2026-04-12T00:00:00"/>
    <d v="2026-04-16T00:00:00"/>
    <n v="58.34"/>
    <n v="25.14"/>
    <n v="20.11"/>
    <n v="5.03"/>
    <s v="Paid"/>
    <s v=""/>
    <d v="2026-05-15T00:00:00"/>
    <d v="2026-05-15T00:00:00"/>
    <n v="58"/>
    <n v="0.45"/>
    <n v="26.1"/>
    <n v="0.96000000000000085"/>
    <x v="0"/>
    <x v="5"/>
    <x v="10"/>
  </r>
  <r>
    <s v="CLM104841"/>
    <s v="PT13083"/>
    <s v="P04"/>
    <x v="1"/>
    <x v="11"/>
    <n v="1"/>
    <d v="2026-07-26T00:00:00"/>
    <d v="2026-07-27T00:00:00"/>
    <n v="1122.6600000000001"/>
    <n v="466.17"/>
    <n v="419.55"/>
    <n v="46.62"/>
    <s v="Paid"/>
    <s v=""/>
    <d v="2026-08-10T00:00:00"/>
    <d v="2026-08-10T00:00:00"/>
    <n v="1150"/>
    <n v="0.36"/>
    <n v="414"/>
    <n v="-52.170000000000016"/>
    <x v="0"/>
    <x v="1"/>
    <x v="1"/>
  </r>
  <r>
    <s v="CLM104842"/>
    <s v="PT12480"/>
    <s v="P02"/>
    <x v="1"/>
    <x v="1"/>
    <n v="1"/>
    <d v="2026-05-30T00:00:00"/>
    <d v="2026-06-05T00:00:00"/>
    <n v="243.04"/>
    <n v="106.35"/>
    <n v="106.35"/>
    <n v="0"/>
    <s v="Paid"/>
    <s v=""/>
    <d v="2026-07-07T00:00:00"/>
    <d v="2026-07-07T00:00:00"/>
    <n v="240"/>
    <n v="0.43"/>
    <n v="103.2"/>
    <n v="-3.1499999999999915"/>
    <x v="0"/>
    <x v="6"/>
    <x v="7"/>
  </r>
  <r>
    <s v="CLM104843"/>
    <s v="PT11601"/>
    <s v="P07"/>
    <x v="1"/>
    <x v="10"/>
    <n v="1"/>
    <d v="2026-01-31T00:00:00"/>
    <d v="2026-02-06T00:00:00"/>
    <n v="1054.19"/>
    <m/>
    <m/>
    <m/>
    <s v="Denied"/>
    <s v="CO-197"/>
    <d v="2026-04-10T00:00:00"/>
    <m/>
    <n v="1050"/>
    <n v="0.28000000000000003"/>
    <n v="294"/>
    <s v=""/>
    <x v="2"/>
    <x v="3"/>
    <x v="5"/>
  </r>
  <r>
    <s v="CLM104844"/>
    <s v="PT10573"/>
    <s v="P05"/>
    <x v="0"/>
    <x v="4"/>
    <n v="1"/>
    <d v="2025-12-01T00:00:00"/>
    <d v="2025-12-06T00:00:00"/>
    <n v="37.11"/>
    <n v="12.73"/>
    <n v="12.73"/>
    <n v="0"/>
    <s v="Paid"/>
    <s v=""/>
    <d v="2026-01-21T00:00:00"/>
    <d v="2026-01-21T00:00:00"/>
    <n v="38"/>
    <n v="0.38"/>
    <n v="14.44"/>
    <n v="1.7099999999999991"/>
    <x v="1"/>
    <x v="0"/>
    <x v="6"/>
  </r>
  <r>
    <s v="CLM104845"/>
    <s v="PT12685"/>
    <s v="P01"/>
    <x v="0"/>
    <x v="7"/>
    <n v="1"/>
    <d v="2025-10-14T00:00:00"/>
    <d v="2025-10-23T00:00:00"/>
    <n v="209.09"/>
    <n v="82.75"/>
    <n v="82.75"/>
    <n v="0"/>
    <s v="Paid"/>
    <s v=""/>
    <d v="2025-11-30T00:00:00"/>
    <d v="2025-11-30T00:00:00"/>
    <n v="210"/>
    <n v="0.45"/>
    <n v="94.5"/>
    <n v="11.75"/>
    <x v="1"/>
    <x v="5"/>
    <x v="9"/>
  </r>
  <r>
    <s v="CLM104846"/>
    <s v="PT12540"/>
    <s v="P02"/>
    <x v="0"/>
    <x v="8"/>
    <n v="1"/>
    <d v="2026-05-01T00:00:00"/>
    <d v="2026-05-02T00:00:00"/>
    <n v="259.89999999999998"/>
    <n v="98.05"/>
    <n v="78.44"/>
    <n v="19.61"/>
    <s v="Paid"/>
    <s v=""/>
    <d v="2026-05-31T00:00:00"/>
    <d v="2026-05-31T00:00:00"/>
    <n v="260"/>
    <n v="0.43"/>
    <n v="111.8"/>
    <n v="13.75"/>
    <x v="1"/>
    <x v="6"/>
    <x v="7"/>
  </r>
  <r>
    <s v="CLM104847"/>
    <s v="PT11480"/>
    <s v="P03"/>
    <x v="2"/>
    <x v="2"/>
    <n v="1"/>
    <d v="2026-08-10T00:00:00"/>
    <d v="2026-08-22T00:00:00"/>
    <n v="61.02"/>
    <n v="26.58"/>
    <n v="26.58"/>
    <n v="0"/>
    <s v="Paid"/>
    <s v=""/>
    <d v="2026-09-21T00:00:00"/>
    <d v="2026-09-21T00:00:00"/>
    <n v="62"/>
    <n v="0.47"/>
    <n v="29.14"/>
    <n v="2.5600000000000023"/>
    <x v="1"/>
    <x v="4"/>
    <x v="4"/>
  </r>
  <r>
    <s v="CLM104848"/>
    <s v="PT13159"/>
    <s v="P02"/>
    <x v="1"/>
    <x v="11"/>
    <n v="1"/>
    <d v="2026-05-10T00:00:00"/>
    <d v="2026-05-16T00:00:00"/>
    <n v="1127.06"/>
    <n v="514.73"/>
    <n v="514.73"/>
    <n v="0"/>
    <s v="Paid"/>
    <s v=""/>
    <d v="2026-06-11T00:00:00"/>
    <d v="2026-06-11T00:00:00"/>
    <n v="1150"/>
    <n v="0.43"/>
    <n v="494.5"/>
    <n v="-20.230000000000018"/>
    <x v="0"/>
    <x v="6"/>
    <x v="7"/>
  </r>
  <r>
    <s v="CLM104849"/>
    <s v="PT12255"/>
    <s v="P01"/>
    <x v="1"/>
    <x v="4"/>
    <n v="1"/>
    <d v="2026-02-07T00:00:00"/>
    <d v="2026-02-14T00:00:00"/>
    <n v="37.1"/>
    <n v="14.57"/>
    <n v="11.66"/>
    <n v="2.91"/>
    <s v="Paid"/>
    <s v=""/>
    <d v="2026-02-19T00:00:00"/>
    <d v="2026-02-19T00:00:00"/>
    <n v="38"/>
    <n v="0.45"/>
    <n v="17.100000000000001"/>
    <n v="2.5300000000000011"/>
    <x v="1"/>
    <x v="5"/>
    <x v="0"/>
  </r>
  <r>
    <s v="CLM104850"/>
    <s v="PT10797"/>
    <s v="P04"/>
    <x v="1"/>
    <x v="4"/>
    <n v="1"/>
    <d v="2025-12-28T00:00:00"/>
    <d v="2026-01-02T00:00:00"/>
    <n v="37.04"/>
    <n v="12.86"/>
    <n v="10.29"/>
    <n v="2.57"/>
    <s v="Paid"/>
    <s v=""/>
    <d v="2026-01-26T00:00:00"/>
    <d v="2026-01-26T00:00:00"/>
    <n v="38"/>
    <n v="0.36"/>
    <n v="13.68"/>
    <n v="0.82000000000000028"/>
    <x v="1"/>
    <x v="1"/>
    <x v="6"/>
  </r>
  <r>
    <s v="CLM104851"/>
    <s v="PT10944"/>
    <s v="P01"/>
    <x v="0"/>
    <x v="4"/>
    <n v="1"/>
    <d v="2026-06-25T00:00:00"/>
    <d v="2026-06-30T00:00:00"/>
    <n v="37.840000000000003"/>
    <n v="18.07"/>
    <n v="14.46"/>
    <n v="3.61"/>
    <s v="Paid"/>
    <s v=""/>
    <d v="2026-08-12T00:00:00"/>
    <d v="2026-08-12T00:00:00"/>
    <n v="38"/>
    <n v="0.45"/>
    <n v="17.100000000000001"/>
    <n v="-0.96999999999999886"/>
    <x v="0"/>
    <x v="5"/>
    <x v="11"/>
  </r>
  <r>
    <s v="CLM104852"/>
    <s v="PT11608"/>
    <s v="P01"/>
    <x v="1"/>
    <x v="4"/>
    <n v="1"/>
    <d v="2025-12-11T00:00:00"/>
    <d v="2025-12-13T00:00:00"/>
    <n v="39.04"/>
    <n v="15.93"/>
    <n v="15.93"/>
    <n v="0"/>
    <s v="Paid"/>
    <s v=""/>
    <d v="2026-01-20T00:00:00"/>
    <d v="2026-01-20T00:00:00"/>
    <n v="38"/>
    <n v="0.45"/>
    <n v="17.100000000000001"/>
    <n v="1.1700000000000017"/>
    <x v="1"/>
    <x v="5"/>
    <x v="6"/>
  </r>
  <r>
    <s v="CLM104853"/>
    <s v="PT13331"/>
    <s v="P01"/>
    <x v="0"/>
    <x v="0"/>
    <n v="1"/>
    <d v="2026-02-06T00:00:00"/>
    <d v="2026-02-08T00:00:00"/>
    <n v="141.56"/>
    <n v="64.13"/>
    <n v="51.3"/>
    <n v="12.83"/>
    <s v="Paid"/>
    <s v=""/>
    <d v="2026-03-06T00:00:00"/>
    <d v="2026-03-06T00:00:00"/>
    <n v="145"/>
    <n v="0.45"/>
    <n v="65.25"/>
    <n v="1.1200000000000045"/>
    <x v="0"/>
    <x v="5"/>
    <x v="0"/>
  </r>
  <r>
    <s v="CLM104854"/>
    <s v="PT10014"/>
    <s v="P02"/>
    <x v="0"/>
    <x v="4"/>
    <n v="1"/>
    <d v="2025-10-04T00:00:00"/>
    <d v="2025-10-07T00:00:00"/>
    <n v="37.49"/>
    <n v="15.74"/>
    <n v="15.74"/>
    <n v="0"/>
    <s v="Paid"/>
    <s v=""/>
    <d v="2025-11-05T00:00:00"/>
    <d v="2025-11-05T00:00:00"/>
    <n v="38"/>
    <n v="0.43"/>
    <n v="16.34"/>
    <n v="0.59999999999999964"/>
    <x v="0"/>
    <x v="6"/>
    <x v="9"/>
  </r>
  <r>
    <s v="CLM104855"/>
    <s v="PT12588"/>
    <s v="P05"/>
    <x v="0"/>
    <x v="8"/>
    <n v="1"/>
    <d v="2025-10-18T00:00:00"/>
    <d v="2025-10-20T00:00:00"/>
    <n v="258.23"/>
    <n v="90.07"/>
    <n v="90.07"/>
    <n v="0"/>
    <s v="Paid"/>
    <s v=""/>
    <d v="2025-12-22T00:00:00"/>
    <d v="2025-12-22T00:00:00"/>
    <n v="260"/>
    <n v="0.38"/>
    <n v="98.8"/>
    <n v="8.730000000000004"/>
    <x v="1"/>
    <x v="0"/>
    <x v="9"/>
  </r>
  <r>
    <s v="CLM104856"/>
    <s v="PT10021"/>
    <s v="P06"/>
    <x v="1"/>
    <x v="11"/>
    <n v="1"/>
    <d v="2026-09-05T00:00:00"/>
    <d v="2026-09-07T00:00:00"/>
    <n v="1152.5899999999999"/>
    <m/>
    <m/>
    <m/>
    <s v="Pending"/>
    <s v=""/>
    <m/>
    <m/>
    <n v="1150"/>
    <n v="0.27"/>
    <n v="310.5"/>
    <s v=""/>
    <x v="2"/>
    <x v="2"/>
    <x v="8"/>
  </r>
  <r>
    <s v="CLM104857"/>
    <s v="PT13046"/>
    <s v="P05"/>
    <x v="3"/>
    <x v="7"/>
    <n v="1"/>
    <d v="2026-05-19T00:00:00"/>
    <d v="2026-05-30T00:00:00"/>
    <n v="209.78"/>
    <n v="71.16"/>
    <n v="71.16"/>
    <n v="0"/>
    <s v="Paid"/>
    <s v=""/>
    <d v="2026-07-16T00:00:00"/>
    <d v="2026-07-16T00:00:00"/>
    <n v="210"/>
    <n v="0.38"/>
    <n v="79.8"/>
    <n v="8.64"/>
    <x v="1"/>
    <x v="0"/>
    <x v="7"/>
  </r>
  <r>
    <s v="CLM104858"/>
    <s v="PT11231"/>
    <s v="P01"/>
    <x v="1"/>
    <x v="10"/>
    <n v="1"/>
    <d v="2026-05-08T00:00:00"/>
    <d v="2026-05-10T00:00:00"/>
    <n v="1045.18"/>
    <n v="412.32"/>
    <n v="412.32"/>
    <n v="0"/>
    <s v="Paid"/>
    <s v=""/>
    <d v="2026-06-02T00:00:00"/>
    <d v="2026-06-02T00:00:00"/>
    <n v="1050"/>
    <n v="0.45"/>
    <n v="472.5"/>
    <n v="60.180000000000007"/>
    <x v="1"/>
    <x v="5"/>
    <x v="7"/>
  </r>
  <r>
    <s v="CLM104859"/>
    <s v="PT12121"/>
    <s v="P03"/>
    <x v="1"/>
    <x v="5"/>
    <n v="1"/>
    <d v="2025-12-03T00:00:00"/>
    <d v="2025-12-12T00:00:00"/>
    <n v="4730.6099999999997"/>
    <n v="2218.4699999999998"/>
    <n v="1996.62"/>
    <n v="221.85"/>
    <s v="Paid"/>
    <s v=""/>
    <d v="2026-01-29T00:00:00"/>
    <d v="2026-01-29T00:00:00"/>
    <n v="4800"/>
    <n v="0.47"/>
    <n v="2256"/>
    <n v="37.5300000000002"/>
    <x v="0"/>
    <x v="4"/>
    <x v="6"/>
  </r>
  <r>
    <s v="CLM104860"/>
    <s v="PT12250"/>
    <s v="P03"/>
    <x v="1"/>
    <x v="7"/>
    <n v="1"/>
    <d v="2026-03-28T00:00:00"/>
    <d v="2026-03-31T00:00:00"/>
    <n v="205.87"/>
    <n v="111.74"/>
    <n v="89.39"/>
    <n v="22.35"/>
    <s v="Paid"/>
    <s v=""/>
    <d v="2026-05-15T00:00:00"/>
    <d v="2026-05-15T00:00:00"/>
    <n v="210"/>
    <n v="0.47"/>
    <n v="98.7"/>
    <n v="-13.039999999999992"/>
    <x v="0"/>
    <x v="4"/>
    <x v="2"/>
  </r>
  <r>
    <s v="CLM104861"/>
    <s v="PT10017"/>
    <s v="P07"/>
    <x v="1"/>
    <x v="8"/>
    <n v="1"/>
    <d v="2026-07-14T00:00:00"/>
    <d v="2026-07-17T00:00:00"/>
    <n v="265.54000000000002"/>
    <m/>
    <m/>
    <m/>
    <s v="Pending"/>
    <s v=""/>
    <m/>
    <m/>
    <n v="260"/>
    <n v="0.28000000000000003"/>
    <n v="72.8"/>
    <s v=""/>
    <x v="2"/>
    <x v="3"/>
    <x v="1"/>
  </r>
  <r>
    <s v="CLM104862"/>
    <s v="PT13142"/>
    <s v="P01"/>
    <x v="0"/>
    <x v="7"/>
    <n v="1"/>
    <d v="2025-10-19T00:00:00"/>
    <d v="2025-10-20T00:00:00"/>
    <n v="211.01"/>
    <n v="83.58"/>
    <n v="75.22"/>
    <n v="8.36"/>
    <s v="Paid"/>
    <s v=""/>
    <d v="2025-11-07T00:00:00"/>
    <d v="2025-11-07T00:00:00"/>
    <n v="210"/>
    <n v="0.45"/>
    <n v="94.5"/>
    <n v="10.920000000000002"/>
    <x v="1"/>
    <x v="5"/>
    <x v="9"/>
  </r>
  <r>
    <s v="CLM104863"/>
    <s v="PT12379"/>
    <s v="P02"/>
    <x v="1"/>
    <x v="4"/>
    <n v="1"/>
    <d v="2026-02-10T00:00:00"/>
    <d v="2026-02-11T00:00:00"/>
    <n v="37.979999999999997"/>
    <m/>
    <m/>
    <m/>
    <s v="Denied"/>
    <s v="CO-16"/>
    <d v="2026-03-01T00:00:00"/>
    <m/>
    <n v="38"/>
    <n v="0.43"/>
    <n v="16.34"/>
    <s v=""/>
    <x v="2"/>
    <x v="6"/>
    <x v="0"/>
  </r>
  <r>
    <s v="CLM104864"/>
    <s v="PT11363"/>
    <s v="P01"/>
    <x v="3"/>
    <x v="3"/>
    <n v="10"/>
    <d v="2026-08-03T00:00:00"/>
    <d v="2026-08-11T00:00:00"/>
    <n v="14799.23"/>
    <n v="7259.81"/>
    <n v="7259.81"/>
    <n v="0"/>
    <s v="Paid"/>
    <s v=""/>
    <d v="2026-09-16T00:00:00"/>
    <d v="2026-09-16T00:00:00"/>
    <n v="1450"/>
    <n v="0.45"/>
    <n v="6525"/>
    <n v="-734.8100000000004"/>
    <x v="0"/>
    <x v="5"/>
    <x v="4"/>
  </r>
  <r>
    <s v="CLM104865"/>
    <s v="PT13443"/>
    <s v="P06"/>
    <x v="3"/>
    <x v="7"/>
    <n v="1"/>
    <d v="2026-09-07T00:00:00"/>
    <d v="2026-09-08T00:00:00"/>
    <n v="206.86"/>
    <n v="47.75"/>
    <n v="47.75"/>
    <n v="0"/>
    <s v="Paid"/>
    <s v=""/>
    <d v="2026-09-25T00:00:00"/>
    <d v="2026-09-25T00:00:00"/>
    <n v="210"/>
    <n v="0.27"/>
    <n v="56.7"/>
    <n v="8.9500000000000028"/>
    <x v="1"/>
    <x v="2"/>
    <x v="8"/>
  </r>
  <r>
    <s v="CLM104866"/>
    <s v="PT10201"/>
    <s v="P04"/>
    <x v="1"/>
    <x v="8"/>
    <n v="1"/>
    <d v="2026-08-29T00:00:00"/>
    <d v="2026-09-03T00:00:00"/>
    <n v="259.5"/>
    <m/>
    <m/>
    <m/>
    <s v="Denied"/>
    <s v="CO-27"/>
    <d v="2026-09-11T00:00:00"/>
    <m/>
    <n v="260"/>
    <n v="0.36"/>
    <n v="93.6"/>
    <s v=""/>
    <x v="2"/>
    <x v="1"/>
    <x v="4"/>
  </r>
  <r>
    <s v="CLM104867"/>
    <s v="PT12763"/>
    <s v="P02"/>
    <x v="0"/>
    <x v="7"/>
    <n v="1"/>
    <d v="2025-10-07T00:00:00"/>
    <d v="2025-10-16T00:00:00"/>
    <n v="210.08"/>
    <n v="92.2"/>
    <n v="92.2"/>
    <n v="0"/>
    <s v="Paid"/>
    <s v=""/>
    <d v="2025-11-17T00:00:00"/>
    <d v="2025-11-17T00:00:00"/>
    <n v="210"/>
    <n v="0.43"/>
    <n v="90.3"/>
    <n v="-1.9000000000000057"/>
    <x v="0"/>
    <x v="6"/>
    <x v="9"/>
  </r>
  <r>
    <s v="CLM104868"/>
    <s v="PT12345"/>
    <s v="P01"/>
    <x v="1"/>
    <x v="11"/>
    <n v="1"/>
    <d v="2026-04-02T00:00:00"/>
    <d v="2026-04-03T00:00:00"/>
    <n v="1121.31"/>
    <n v="506.19"/>
    <n v="506.19"/>
    <n v="0"/>
    <s v="Paid"/>
    <s v=""/>
    <d v="2026-05-19T00:00:00"/>
    <d v="2026-05-19T00:00:00"/>
    <n v="1150"/>
    <n v="0.45"/>
    <n v="517.5"/>
    <n v="11.310000000000002"/>
    <x v="0"/>
    <x v="5"/>
    <x v="10"/>
  </r>
  <r>
    <s v="CLM104869"/>
    <s v="PT11528"/>
    <s v="P08"/>
    <x v="0"/>
    <x v="4"/>
    <n v="1"/>
    <d v="2026-02-26T00:00:00"/>
    <d v="2026-03-09T00:00:00"/>
    <n v="38.18"/>
    <m/>
    <m/>
    <m/>
    <s v="Pending"/>
    <s v=""/>
    <m/>
    <m/>
    <n v="38"/>
    <n v="1"/>
    <n v="38"/>
    <s v=""/>
    <x v="2"/>
    <x v="7"/>
    <x v="0"/>
  </r>
  <r>
    <s v="CLM104870"/>
    <s v="PT10597"/>
    <s v="P01"/>
    <x v="2"/>
    <x v="2"/>
    <n v="3"/>
    <d v="2026-03-01T00:00:00"/>
    <d v="2026-03-03T00:00:00"/>
    <n v="188.46"/>
    <n v="89.38"/>
    <n v="89.38"/>
    <n v="0"/>
    <s v="Paid"/>
    <s v=""/>
    <d v="2026-03-30T00:00:00"/>
    <d v="2026-03-30T00:00:00"/>
    <n v="62"/>
    <n v="0.45"/>
    <n v="83.7"/>
    <n v="-5.6799999999999926"/>
    <x v="0"/>
    <x v="5"/>
    <x v="2"/>
  </r>
  <r>
    <s v="CLM104871"/>
    <s v="PT12215"/>
    <s v="P03"/>
    <x v="1"/>
    <x v="1"/>
    <n v="1"/>
    <d v="2026-02-20T00:00:00"/>
    <d v="2026-02-21T00:00:00"/>
    <n v="240.3"/>
    <n v="120.56"/>
    <n v="96.45"/>
    <n v="24.11"/>
    <s v="Paid"/>
    <s v=""/>
    <d v="2026-04-04T00:00:00"/>
    <d v="2026-04-04T00:00:00"/>
    <n v="240"/>
    <n v="0.47"/>
    <n v="112.8"/>
    <n v="-7.7600000000000051"/>
    <x v="0"/>
    <x v="4"/>
    <x v="0"/>
  </r>
  <r>
    <s v="CLM104872"/>
    <s v="PT12757"/>
    <s v="P04"/>
    <x v="2"/>
    <x v="9"/>
    <n v="1"/>
    <d v="2025-11-08T00:00:00"/>
    <d v="2025-11-20T00:00:00"/>
    <n v="57.35"/>
    <n v="22.72"/>
    <n v="20.45"/>
    <n v="2.27"/>
    <s v="Paid"/>
    <s v=""/>
    <d v="2025-12-11T00:00:00"/>
    <d v="2025-12-11T00:00:00"/>
    <n v="58"/>
    <n v="0.36"/>
    <n v="20.88"/>
    <n v="-1.8399999999999999"/>
    <x v="0"/>
    <x v="1"/>
    <x v="3"/>
  </r>
  <r>
    <s v="CLM104873"/>
    <s v="PT10182"/>
    <s v="P06"/>
    <x v="0"/>
    <x v="8"/>
    <n v="1"/>
    <d v="2025-11-11T00:00:00"/>
    <d v="2025-11-13T00:00:00"/>
    <n v="264.49"/>
    <n v="74.86"/>
    <n v="74.86"/>
    <n v="0"/>
    <s v="Paid"/>
    <s v=""/>
    <d v="2025-12-06T00:00:00"/>
    <d v="2025-12-06T00:00:00"/>
    <n v="260"/>
    <n v="0.27"/>
    <n v="70.2"/>
    <n v="-4.6599999999999966"/>
    <x v="0"/>
    <x v="2"/>
    <x v="3"/>
  </r>
  <r>
    <s v="CLM104874"/>
    <s v="PT11430"/>
    <s v="P04"/>
    <x v="0"/>
    <x v="0"/>
    <n v="1"/>
    <d v="2025-11-12T00:00:00"/>
    <d v="2025-11-17T00:00:00"/>
    <n v="147.1"/>
    <n v="48.54"/>
    <n v="48.54"/>
    <n v="0"/>
    <s v="Paid"/>
    <s v=""/>
    <d v="2025-12-07T00:00:00"/>
    <d v="2025-12-07T00:00:00"/>
    <n v="145"/>
    <n v="0.36"/>
    <n v="52.2"/>
    <n v="3.6600000000000037"/>
    <x v="1"/>
    <x v="1"/>
    <x v="3"/>
  </r>
  <r>
    <s v="CLM104875"/>
    <s v="PT11527"/>
    <s v="P04"/>
    <x v="0"/>
    <x v="0"/>
    <n v="1"/>
    <d v="2026-05-29T00:00:00"/>
    <d v="2026-05-31T00:00:00"/>
    <n v="142.21"/>
    <n v="55.23"/>
    <n v="55.23"/>
    <n v="0"/>
    <s v="Paid"/>
    <s v=""/>
    <d v="2026-06-23T00:00:00"/>
    <d v="2026-06-23T00:00:00"/>
    <n v="145"/>
    <n v="0.36"/>
    <n v="52.2"/>
    <n v="-3.029999999999994"/>
    <x v="0"/>
    <x v="1"/>
    <x v="7"/>
  </r>
  <r>
    <s v="CLM104876"/>
    <s v="PT10906"/>
    <s v="P07"/>
    <x v="1"/>
    <x v="4"/>
    <n v="1"/>
    <d v="2026-08-27T00:00:00"/>
    <d v="2026-08-30T00:00:00"/>
    <n v="39.11"/>
    <m/>
    <m/>
    <m/>
    <s v="Pending"/>
    <s v=""/>
    <m/>
    <m/>
    <n v="38"/>
    <n v="0.28000000000000003"/>
    <n v="10.64"/>
    <s v=""/>
    <x v="2"/>
    <x v="3"/>
    <x v="4"/>
  </r>
  <r>
    <s v="CLM104877"/>
    <s v="PT12506"/>
    <s v="P02"/>
    <x v="0"/>
    <x v="0"/>
    <n v="1"/>
    <d v="2025-11-02T00:00:00"/>
    <d v="2025-11-03T00:00:00"/>
    <n v="143.63"/>
    <n v="54.06"/>
    <n v="48.65"/>
    <n v="5.41"/>
    <s v="Paid"/>
    <s v=""/>
    <d v="2025-11-28T00:00:00"/>
    <d v="2025-11-28T00:00:00"/>
    <n v="145"/>
    <n v="0.43"/>
    <n v="62.35"/>
    <n v="8.2899999999999991"/>
    <x v="1"/>
    <x v="6"/>
    <x v="3"/>
  </r>
  <r>
    <s v="CLM104878"/>
    <s v="PT11613"/>
    <s v="P07"/>
    <x v="1"/>
    <x v="4"/>
    <n v="1"/>
    <d v="2026-08-16T00:00:00"/>
    <d v="2026-08-21T00:00:00"/>
    <n v="37.200000000000003"/>
    <m/>
    <m/>
    <m/>
    <s v="Pending"/>
    <s v=""/>
    <m/>
    <m/>
    <n v="38"/>
    <n v="0.28000000000000003"/>
    <n v="10.64"/>
    <s v=""/>
    <x v="2"/>
    <x v="3"/>
    <x v="4"/>
  </r>
  <r>
    <s v="CLM104879"/>
    <s v="PT13131"/>
    <s v="P02"/>
    <x v="3"/>
    <x v="6"/>
    <n v="1"/>
    <d v="2025-12-01T00:00:00"/>
    <d v="2025-12-02T00:00:00"/>
    <n v="414.42"/>
    <n v="199.28"/>
    <n v="199.28"/>
    <n v="0"/>
    <s v="Paid"/>
    <s v=""/>
    <d v="2026-01-07T00:00:00"/>
    <d v="2026-01-07T00:00:00"/>
    <n v="420"/>
    <n v="0.43"/>
    <n v="180.6"/>
    <n v="-18.680000000000007"/>
    <x v="0"/>
    <x v="6"/>
    <x v="6"/>
  </r>
  <r>
    <s v="CLM104880"/>
    <s v="PT11111"/>
    <s v="P01"/>
    <x v="3"/>
    <x v="7"/>
    <n v="1"/>
    <d v="2026-07-07T00:00:00"/>
    <d v="2026-07-08T00:00:00"/>
    <n v="204.43"/>
    <m/>
    <m/>
    <m/>
    <s v="Denied"/>
    <s v="CO-18"/>
    <d v="2026-08-08T00:00:00"/>
    <m/>
    <n v="210"/>
    <n v="0.45"/>
    <n v="94.5"/>
    <s v=""/>
    <x v="2"/>
    <x v="5"/>
    <x v="1"/>
  </r>
  <r>
    <s v="CLM104881"/>
    <s v="PT12050"/>
    <s v="P06"/>
    <x v="3"/>
    <x v="7"/>
    <n v="1"/>
    <d v="2026-03-10T00:00:00"/>
    <d v="2026-03-13T00:00:00"/>
    <n v="204.71"/>
    <n v="55.29"/>
    <n v="44.23"/>
    <n v="11.06"/>
    <s v="Paid"/>
    <s v=""/>
    <d v="2026-04-30T00:00:00"/>
    <d v="2026-04-30T00:00:00"/>
    <n v="210"/>
    <n v="0.27"/>
    <n v="56.7"/>
    <n v="1.4100000000000037"/>
    <x v="0"/>
    <x v="2"/>
    <x v="2"/>
  </r>
  <r>
    <s v="CLM104882"/>
    <s v="PT12627"/>
    <s v="P07"/>
    <x v="3"/>
    <x v="6"/>
    <n v="1"/>
    <d v="2025-11-03T00:00:00"/>
    <d v="2025-11-07T00:00:00"/>
    <n v="432.37"/>
    <n v="134.61000000000001"/>
    <n v="134.61000000000001"/>
    <n v="0"/>
    <s v="Paid"/>
    <s v=""/>
    <d v="2025-12-19T00:00:00"/>
    <d v="2025-12-19T00:00:00"/>
    <n v="420"/>
    <n v="0.28000000000000003"/>
    <n v="117.6"/>
    <n v="-17.010000000000019"/>
    <x v="0"/>
    <x v="3"/>
    <x v="3"/>
  </r>
  <r>
    <s v="CLM104883"/>
    <s v="PT12491"/>
    <s v="P02"/>
    <x v="2"/>
    <x v="9"/>
    <n v="3"/>
    <d v="2026-02-09T00:00:00"/>
    <d v="2026-02-10T00:00:00"/>
    <n v="178.75"/>
    <n v="71.010000000000005"/>
    <n v="71.010000000000005"/>
    <n v="0"/>
    <s v="Paid"/>
    <s v=""/>
    <d v="2026-03-21T00:00:00"/>
    <d v="2026-03-21T00:00:00"/>
    <n v="58"/>
    <n v="0.43"/>
    <n v="74.819999999999993"/>
    <n v="3.8099999999999881"/>
    <x v="1"/>
    <x v="6"/>
    <x v="0"/>
  </r>
  <r>
    <s v="CLM104884"/>
    <s v="PT10780"/>
    <s v="P08"/>
    <x v="2"/>
    <x v="2"/>
    <n v="3"/>
    <d v="2026-05-02T00:00:00"/>
    <d v="2026-09-08T00:00:00"/>
    <n v="184.06"/>
    <m/>
    <m/>
    <m/>
    <s v="Pending"/>
    <s v=""/>
    <m/>
    <m/>
    <n v="62"/>
    <n v="1"/>
    <n v="186"/>
    <s v=""/>
    <x v="2"/>
    <x v="7"/>
    <x v="7"/>
  </r>
  <r>
    <s v="CLM104885"/>
    <s v="PT12898"/>
    <s v="P04"/>
    <x v="1"/>
    <x v="10"/>
    <n v="1"/>
    <d v="2025-12-26T00:00:00"/>
    <d v="2025-12-28T00:00:00"/>
    <n v="1043.03"/>
    <m/>
    <m/>
    <m/>
    <s v="Denied"/>
    <s v="CO-27"/>
    <d v="2026-01-28T00:00:00"/>
    <m/>
    <n v="1050"/>
    <n v="0.36"/>
    <n v="378"/>
    <s v=""/>
    <x v="2"/>
    <x v="1"/>
    <x v="6"/>
  </r>
  <r>
    <s v="CLM104886"/>
    <s v="PT10401"/>
    <s v="P01"/>
    <x v="2"/>
    <x v="0"/>
    <n v="1"/>
    <d v="2026-05-09T00:00:00"/>
    <d v="2026-09-09T00:00:00"/>
    <n v="143.07"/>
    <m/>
    <m/>
    <m/>
    <s v="Denied"/>
    <s v="CO-29"/>
    <d v="2026-09-29T00:00:00"/>
    <m/>
    <n v="145"/>
    <n v="0.45"/>
    <n v="65.25"/>
    <s v=""/>
    <x v="2"/>
    <x v="5"/>
    <x v="7"/>
  </r>
  <r>
    <s v="CLM104887"/>
    <s v="PT11344"/>
    <s v="P08"/>
    <x v="1"/>
    <x v="5"/>
    <n v="1"/>
    <d v="2026-08-06T00:00:00"/>
    <d v="2026-08-14T00:00:00"/>
    <n v="4702.72"/>
    <m/>
    <m/>
    <m/>
    <s v="Pending"/>
    <s v=""/>
    <m/>
    <m/>
    <n v="4800"/>
    <n v="1"/>
    <n v="4800"/>
    <s v=""/>
    <x v="2"/>
    <x v="7"/>
    <x v="4"/>
  </r>
  <r>
    <s v="CLM104888"/>
    <s v="PT11577"/>
    <s v="P02"/>
    <x v="1"/>
    <x v="10"/>
    <n v="1"/>
    <d v="2026-02-17T00:00:00"/>
    <d v="2026-02-19T00:00:00"/>
    <n v="1040.79"/>
    <n v="457.94"/>
    <n v="366.35"/>
    <n v="91.59"/>
    <s v="Paid"/>
    <s v=""/>
    <d v="2026-03-30T00:00:00"/>
    <d v="2026-03-30T00:00:00"/>
    <n v="1050"/>
    <n v="0.43"/>
    <n v="451.5"/>
    <n v="-6.4399999999999977"/>
    <x v="0"/>
    <x v="6"/>
    <x v="0"/>
  </r>
  <r>
    <s v="CLM104889"/>
    <s v="PT13149"/>
    <s v="P02"/>
    <x v="3"/>
    <x v="6"/>
    <n v="1"/>
    <d v="2026-07-17T00:00:00"/>
    <d v="2026-07-19T00:00:00"/>
    <n v="431.71"/>
    <n v="185.13"/>
    <n v="185.13"/>
    <n v="0"/>
    <s v="Paid"/>
    <s v=""/>
    <d v="2026-08-24T00:00:00"/>
    <d v="2026-08-24T00:00:00"/>
    <n v="420"/>
    <n v="0.43"/>
    <n v="180.6"/>
    <n v="-4.5300000000000011"/>
    <x v="0"/>
    <x v="6"/>
    <x v="1"/>
  </r>
  <r>
    <s v="CLM104890"/>
    <s v="PT10720"/>
    <s v="P04"/>
    <x v="2"/>
    <x v="0"/>
    <n v="1"/>
    <d v="2025-12-03T00:00:00"/>
    <d v="2025-12-07T00:00:00"/>
    <n v="140.71"/>
    <n v="56.54"/>
    <n v="56.54"/>
    <n v="0"/>
    <s v="Paid"/>
    <s v=""/>
    <d v="2026-01-02T00:00:00"/>
    <d v="2026-01-02T00:00:00"/>
    <n v="145"/>
    <n v="0.36"/>
    <n v="52.2"/>
    <n v="-4.3399999999999963"/>
    <x v="0"/>
    <x v="1"/>
    <x v="6"/>
  </r>
  <r>
    <s v="CLM104891"/>
    <s v="PT11901"/>
    <s v="P03"/>
    <x v="1"/>
    <x v="1"/>
    <n v="1"/>
    <d v="2026-08-18T00:00:00"/>
    <d v="2026-08-19T00:00:00"/>
    <n v="244.54"/>
    <m/>
    <m/>
    <m/>
    <s v="Pending"/>
    <s v=""/>
    <m/>
    <m/>
    <n v="240"/>
    <n v="0.47"/>
    <n v="112.8"/>
    <s v=""/>
    <x v="2"/>
    <x v="4"/>
    <x v="4"/>
  </r>
  <r>
    <s v="CLM104892"/>
    <s v="PT13021"/>
    <s v="P02"/>
    <x v="3"/>
    <x v="3"/>
    <n v="20"/>
    <d v="2025-12-28T00:00:00"/>
    <d v="2026-01-01T00:00:00"/>
    <n v="28713.63"/>
    <m/>
    <m/>
    <m/>
    <s v="Denied"/>
    <s v="CO-16"/>
    <d v="2026-01-29T00:00:00"/>
    <m/>
    <n v="1450"/>
    <n v="0.43"/>
    <n v="12470"/>
    <s v=""/>
    <x v="2"/>
    <x v="6"/>
    <x v="6"/>
  </r>
  <r>
    <s v="CLM104893"/>
    <s v="PT10250"/>
    <s v="P01"/>
    <x v="2"/>
    <x v="0"/>
    <n v="1"/>
    <d v="2026-06-15T00:00:00"/>
    <d v="2026-06-17T00:00:00"/>
    <n v="148.13"/>
    <n v="72.53"/>
    <n v="72.53"/>
    <n v="0"/>
    <s v="Paid"/>
    <s v=""/>
    <d v="2026-07-12T00:00:00"/>
    <d v="2026-07-12T00:00:00"/>
    <n v="145"/>
    <n v="0.45"/>
    <n v="65.25"/>
    <n v="-7.2800000000000011"/>
    <x v="0"/>
    <x v="5"/>
    <x v="11"/>
  </r>
  <r>
    <s v="CLM104894"/>
    <s v="PT11234"/>
    <s v="P07"/>
    <x v="1"/>
    <x v="4"/>
    <n v="1"/>
    <d v="2026-03-26T00:00:00"/>
    <d v="2026-04-04T00:00:00"/>
    <n v="38.25"/>
    <m/>
    <m/>
    <m/>
    <s v="Denied"/>
    <s v="CO-16"/>
    <d v="2026-05-29T00:00:00"/>
    <m/>
    <n v="38"/>
    <n v="0.28000000000000003"/>
    <n v="10.64"/>
    <s v=""/>
    <x v="2"/>
    <x v="3"/>
    <x v="2"/>
  </r>
  <r>
    <s v="CLM104895"/>
    <s v="PT13399"/>
    <s v="P01"/>
    <x v="0"/>
    <x v="8"/>
    <n v="1"/>
    <d v="2026-04-19T00:00:00"/>
    <d v="2026-04-23T00:00:00"/>
    <n v="253.19"/>
    <n v="96.84"/>
    <n v="96.84"/>
    <n v="0"/>
    <s v="Paid"/>
    <s v=""/>
    <d v="2026-05-28T00:00:00"/>
    <d v="2026-05-28T00:00:00"/>
    <n v="260"/>
    <n v="0.45"/>
    <n v="117"/>
    <n v="20.159999999999997"/>
    <x v="1"/>
    <x v="5"/>
    <x v="10"/>
  </r>
  <r>
    <s v="CLM104896"/>
    <s v="PT10592"/>
    <s v="P01"/>
    <x v="3"/>
    <x v="6"/>
    <n v="1"/>
    <d v="2026-07-28T00:00:00"/>
    <d v="2026-07-30T00:00:00"/>
    <n v="431.51"/>
    <n v="182.14"/>
    <n v="163.93"/>
    <n v="18.21"/>
    <s v="Paid"/>
    <s v=""/>
    <d v="2026-09-01T00:00:00"/>
    <d v="2026-09-01T00:00:00"/>
    <n v="420"/>
    <n v="0.45"/>
    <n v="189"/>
    <n v="6.8600000000000136"/>
    <x v="0"/>
    <x v="5"/>
    <x v="1"/>
  </r>
  <r>
    <s v="CLM104897"/>
    <s v="PT11873"/>
    <s v="P02"/>
    <x v="2"/>
    <x v="9"/>
    <n v="3"/>
    <d v="2026-07-10T00:00:00"/>
    <d v="2026-07-16T00:00:00"/>
    <n v="173.55"/>
    <n v="76.09"/>
    <n v="76.09"/>
    <n v="0"/>
    <s v="Paid"/>
    <s v=""/>
    <d v="2026-08-09T00:00:00"/>
    <d v="2026-08-09T00:00:00"/>
    <n v="58"/>
    <n v="0.43"/>
    <n v="74.819999999999993"/>
    <n v="-1.2700000000000102"/>
    <x v="0"/>
    <x v="6"/>
    <x v="1"/>
  </r>
  <r>
    <s v="CLM104898"/>
    <s v="PT11969"/>
    <s v="P05"/>
    <x v="2"/>
    <x v="9"/>
    <n v="1"/>
    <d v="2026-06-06T00:00:00"/>
    <d v="2026-06-14T00:00:00"/>
    <n v="58.7"/>
    <m/>
    <m/>
    <m/>
    <s v="Denied"/>
    <s v="CO-50"/>
    <d v="2026-08-18T00:00:00"/>
    <m/>
    <n v="58"/>
    <n v="0.38"/>
    <n v="22.04"/>
    <s v=""/>
    <x v="2"/>
    <x v="0"/>
    <x v="11"/>
  </r>
  <r>
    <s v="CLM104899"/>
    <s v="PT13259"/>
    <s v="P07"/>
    <x v="0"/>
    <x v="4"/>
    <n v="1"/>
    <d v="2026-03-27T00:00:00"/>
    <d v="2026-03-28T00:00:00"/>
    <n v="38.65"/>
    <n v="10.039999999999999"/>
    <n v="10.039999999999999"/>
    <n v="0"/>
    <s v="Paid"/>
    <s v=""/>
    <d v="2026-05-01T00:00:00"/>
    <d v="2026-05-01T00:00:00"/>
    <n v="38"/>
    <n v="0.28000000000000003"/>
    <n v="10.64"/>
    <n v="0.60000000000000142"/>
    <x v="1"/>
    <x v="3"/>
    <x v="2"/>
  </r>
  <r>
    <s v="CLM104900"/>
    <s v="PT11882"/>
    <s v="P03"/>
    <x v="0"/>
    <x v="7"/>
    <n v="1"/>
    <d v="2026-03-17T00:00:00"/>
    <d v="2026-03-24T00:00:00"/>
    <n v="204.24"/>
    <n v="96.85"/>
    <n v="96.85"/>
    <n v="0"/>
    <s v="Paid"/>
    <s v=""/>
    <d v="2026-05-20T00:00:00"/>
    <d v="2026-05-20T00:00:00"/>
    <n v="210"/>
    <n v="0.47"/>
    <n v="98.7"/>
    <n v="1.8500000000000085"/>
    <x v="0"/>
    <x v="4"/>
    <x v="2"/>
  </r>
  <r>
    <s v="CLM104901"/>
    <s v="PT10005"/>
    <s v="P03"/>
    <x v="1"/>
    <x v="5"/>
    <n v="1"/>
    <d v="2025-12-27T00:00:00"/>
    <d v="2026-01-06T00:00:00"/>
    <n v="4715.42"/>
    <n v="2129.69"/>
    <n v="1703.75"/>
    <n v="425.94"/>
    <s v="Paid"/>
    <s v=""/>
    <d v="2026-02-07T00:00:00"/>
    <d v="2026-02-07T00:00:00"/>
    <n v="4800"/>
    <n v="0.47"/>
    <n v="2256"/>
    <n v="126.30999999999995"/>
    <x v="1"/>
    <x v="4"/>
    <x v="6"/>
  </r>
  <r>
    <s v="CLM104902"/>
    <s v="PT11780"/>
    <s v="P08"/>
    <x v="1"/>
    <x v="4"/>
    <n v="1"/>
    <d v="2025-12-28T00:00:00"/>
    <d v="2025-12-30T00:00:00"/>
    <n v="38.82"/>
    <n v="38.82"/>
    <n v="38.82"/>
    <n v="0"/>
    <s v="Paid"/>
    <s v=""/>
    <d v="2026-03-22T00:00:00"/>
    <d v="2026-03-22T00:00:00"/>
    <n v="38"/>
    <n v="1"/>
    <n v="38"/>
    <n v="-0.82000000000000028"/>
    <x v="0"/>
    <x v="7"/>
    <x v="6"/>
  </r>
  <r>
    <s v="CLM104903"/>
    <s v="PT12750"/>
    <s v="P04"/>
    <x v="1"/>
    <x v="11"/>
    <n v="1"/>
    <d v="2026-02-11T00:00:00"/>
    <d v="2026-02-18T00:00:00"/>
    <n v="1180.21"/>
    <n v="475.4"/>
    <n v="475.4"/>
    <n v="0"/>
    <s v="Paid"/>
    <s v=""/>
    <d v="2026-03-04T00:00:00"/>
    <d v="2026-03-04T00:00:00"/>
    <n v="1150"/>
    <n v="0.36"/>
    <n v="414"/>
    <n v="-61.399999999999977"/>
    <x v="0"/>
    <x v="1"/>
    <x v="0"/>
  </r>
  <r>
    <s v="CLM104904"/>
    <s v="PT10176"/>
    <s v="P01"/>
    <x v="2"/>
    <x v="0"/>
    <n v="1"/>
    <d v="2026-01-12T00:00:00"/>
    <d v="2026-01-20T00:00:00"/>
    <n v="146.27000000000001"/>
    <n v="56.64"/>
    <n v="56.64"/>
    <n v="0"/>
    <s v="Paid"/>
    <s v=""/>
    <d v="2026-02-08T00:00:00"/>
    <d v="2026-02-08T00:00:00"/>
    <n v="145"/>
    <n v="0.45"/>
    <n v="65.25"/>
    <n v="8.61"/>
    <x v="1"/>
    <x v="5"/>
    <x v="5"/>
  </r>
  <r>
    <s v="CLM104905"/>
    <s v="PT10901"/>
    <s v="P05"/>
    <x v="1"/>
    <x v="5"/>
    <n v="1"/>
    <d v="2026-05-30T00:00:00"/>
    <d v="2026-05-31T00:00:00"/>
    <n v="4867.45"/>
    <n v="1887.6"/>
    <n v="1698.84"/>
    <n v="188.76"/>
    <s v="Paid"/>
    <s v=""/>
    <d v="2026-08-22T00:00:00"/>
    <d v="2026-08-22T00:00:00"/>
    <n v="4800"/>
    <n v="0.38"/>
    <n v="1824"/>
    <n v="-63.599999999999909"/>
    <x v="0"/>
    <x v="0"/>
    <x v="7"/>
  </r>
  <r>
    <s v="CLM104906"/>
    <s v="PT11390"/>
    <s v="P01"/>
    <x v="1"/>
    <x v="5"/>
    <n v="1"/>
    <d v="2026-04-25T00:00:00"/>
    <d v="2026-04-28T00:00:00"/>
    <n v="4740.97"/>
    <n v="2076.83"/>
    <n v="1661.46"/>
    <n v="415.37"/>
    <s v="Paid"/>
    <s v=""/>
    <d v="2026-06-13T00:00:00"/>
    <d v="2026-06-13T00:00:00"/>
    <n v="4800"/>
    <n v="0.45"/>
    <n v="2160"/>
    <n v="83.170000000000073"/>
    <x v="0"/>
    <x v="5"/>
    <x v="10"/>
  </r>
  <r>
    <s v="CLM104907"/>
    <s v="PT10453"/>
    <s v="P05"/>
    <x v="1"/>
    <x v="8"/>
    <n v="1"/>
    <d v="2026-02-10T00:00:00"/>
    <d v="2026-02-21T00:00:00"/>
    <n v="260.67"/>
    <m/>
    <m/>
    <m/>
    <s v="Denied"/>
    <s v="CO-27"/>
    <d v="2026-04-02T00:00:00"/>
    <m/>
    <n v="260"/>
    <n v="0.38"/>
    <n v="98.8"/>
    <s v=""/>
    <x v="2"/>
    <x v="0"/>
    <x v="0"/>
  </r>
  <r>
    <s v="CLM104908"/>
    <s v="PT12920"/>
    <s v="P02"/>
    <x v="0"/>
    <x v="0"/>
    <n v="1"/>
    <d v="2026-01-08T00:00:00"/>
    <d v="2026-01-09T00:00:00"/>
    <n v="146.30000000000001"/>
    <m/>
    <m/>
    <m/>
    <s v="Denied"/>
    <s v="CO-50"/>
    <d v="2026-01-16T00:00:00"/>
    <m/>
    <n v="145"/>
    <n v="0.43"/>
    <n v="62.35"/>
    <s v=""/>
    <x v="2"/>
    <x v="6"/>
    <x v="5"/>
  </r>
  <r>
    <s v="CLM104909"/>
    <s v="PT11377"/>
    <s v="P01"/>
    <x v="1"/>
    <x v="8"/>
    <n v="1"/>
    <d v="2025-12-19T00:00:00"/>
    <d v="2025-12-20T00:00:00"/>
    <n v="265.76"/>
    <n v="134.4"/>
    <n v="120.96"/>
    <n v="13.44"/>
    <s v="Paid"/>
    <s v=""/>
    <d v="2026-01-26T00:00:00"/>
    <d v="2026-01-26T00:00:00"/>
    <n v="260"/>
    <n v="0.45"/>
    <n v="117"/>
    <n v="-17.400000000000006"/>
    <x v="0"/>
    <x v="5"/>
    <x v="6"/>
  </r>
  <r>
    <s v="CLM104910"/>
    <s v="PT11921"/>
    <s v="P07"/>
    <x v="0"/>
    <x v="0"/>
    <n v="1"/>
    <d v="2026-04-07T00:00:00"/>
    <d v="2026-04-08T00:00:00"/>
    <n v="141.52000000000001"/>
    <n v="45.17"/>
    <n v="45.17"/>
    <n v="0"/>
    <s v="Paid"/>
    <s v=""/>
    <d v="2026-06-02T00:00:00"/>
    <d v="2026-06-02T00:00:00"/>
    <n v="145"/>
    <n v="0.28000000000000003"/>
    <n v="40.6"/>
    <n v="-4.57"/>
    <x v="0"/>
    <x v="3"/>
    <x v="10"/>
  </r>
  <r>
    <s v="CLM104911"/>
    <s v="PT11789"/>
    <s v="P04"/>
    <x v="0"/>
    <x v="0"/>
    <n v="1"/>
    <d v="2026-03-05T00:00:00"/>
    <d v="2026-03-10T00:00:00"/>
    <n v="142.97"/>
    <n v="49.32"/>
    <n v="39.46"/>
    <n v="9.86"/>
    <s v="Paid"/>
    <s v=""/>
    <d v="2026-03-23T00:00:00"/>
    <d v="2026-03-23T00:00:00"/>
    <n v="145"/>
    <n v="0.36"/>
    <n v="52.2"/>
    <n v="2.8800000000000026"/>
    <x v="1"/>
    <x v="1"/>
    <x v="2"/>
  </r>
  <r>
    <s v="CLM104912"/>
    <s v="PT10934"/>
    <s v="P05"/>
    <x v="3"/>
    <x v="7"/>
    <n v="1"/>
    <d v="2026-04-11T00:00:00"/>
    <d v="2026-04-12T00:00:00"/>
    <n v="205.6"/>
    <n v="68.94"/>
    <n v="68.94"/>
    <n v="0"/>
    <s v="Paid"/>
    <s v=""/>
    <d v="2026-05-08T00:00:00"/>
    <d v="2026-05-08T00:00:00"/>
    <n v="210"/>
    <n v="0.38"/>
    <n v="79.8"/>
    <n v="10.86"/>
    <x v="1"/>
    <x v="0"/>
    <x v="10"/>
  </r>
  <r>
    <s v="CLM104913"/>
    <s v="PT11411"/>
    <s v="P05"/>
    <x v="1"/>
    <x v="11"/>
    <n v="1"/>
    <d v="2026-06-03T00:00:00"/>
    <d v="2026-06-04T00:00:00"/>
    <n v="1163.25"/>
    <n v="437.24"/>
    <n v="349.79"/>
    <n v="87.45"/>
    <s v="Paid"/>
    <s v=""/>
    <d v="2026-07-28T00:00:00"/>
    <d v="2026-07-28T00:00:00"/>
    <n v="1150"/>
    <n v="0.38"/>
    <n v="437"/>
    <n v="-0.24000000000000909"/>
    <x v="0"/>
    <x v="0"/>
    <x v="11"/>
  </r>
  <r>
    <s v="CLM104914"/>
    <s v="PT11648"/>
    <s v="P05"/>
    <x v="2"/>
    <x v="0"/>
    <n v="1"/>
    <d v="2025-12-28T00:00:00"/>
    <d v="2025-12-29T00:00:00"/>
    <n v="142.46"/>
    <m/>
    <m/>
    <m/>
    <s v="Denied"/>
    <s v="CO-50"/>
    <d v="2026-03-07T00:00:00"/>
    <m/>
    <n v="145"/>
    <n v="0.38"/>
    <n v="55.1"/>
    <s v=""/>
    <x v="2"/>
    <x v="0"/>
    <x v="6"/>
  </r>
  <r>
    <s v="CLM104915"/>
    <s v="PT12567"/>
    <s v="P04"/>
    <x v="1"/>
    <x v="7"/>
    <n v="1"/>
    <d v="2026-01-07T00:00:00"/>
    <d v="2026-01-15T00:00:00"/>
    <n v="212.97"/>
    <n v="86.59"/>
    <n v="69.27"/>
    <n v="17.32"/>
    <s v="Paid"/>
    <s v=""/>
    <d v="2026-01-31T00:00:00"/>
    <d v="2026-01-31T00:00:00"/>
    <n v="210"/>
    <n v="0.36"/>
    <n v="75.599999999999994"/>
    <n v="-10.990000000000009"/>
    <x v="0"/>
    <x v="1"/>
    <x v="5"/>
  </r>
  <r>
    <s v="CLM104916"/>
    <s v="PT12971"/>
    <s v="P01"/>
    <x v="3"/>
    <x v="3"/>
    <n v="10"/>
    <d v="2026-03-12T00:00:00"/>
    <d v="2026-03-16T00:00:00"/>
    <n v="14898.96"/>
    <n v="7423.33"/>
    <n v="7423.33"/>
    <n v="0"/>
    <s v="Paid"/>
    <s v=""/>
    <d v="2026-04-24T00:00:00"/>
    <d v="2026-04-24T00:00:00"/>
    <n v="1450"/>
    <n v="0.45"/>
    <n v="6525"/>
    <n v="-898.32999999999993"/>
    <x v="0"/>
    <x v="5"/>
    <x v="2"/>
  </r>
  <r>
    <s v="CLM104917"/>
    <s v="PT12980"/>
    <s v="P03"/>
    <x v="1"/>
    <x v="5"/>
    <n v="1"/>
    <d v="2026-08-19T00:00:00"/>
    <d v="2026-08-20T00:00:00"/>
    <n v="4729.92"/>
    <n v="2372.84"/>
    <n v="2372.84"/>
    <n v="0"/>
    <s v="Paid"/>
    <s v=""/>
    <d v="2026-09-03T00:00:00"/>
    <d v="2026-09-03T00:00:00"/>
    <n v="4800"/>
    <n v="0.47"/>
    <n v="2256"/>
    <n v="-116.84000000000015"/>
    <x v="0"/>
    <x v="4"/>
    <x v="4"/>
  </r>
  <r>
    <s v="CLM104918"/>
    <s v="PT11074"/>
    <s v="P07"/>
    <x v="3"/>
    <x v="6"/>
    <n v="1"/>
    <d v="2026-09-21T00:00:00"/>
    <d v="2026-09-23T00:00:00"/>
    <n v="429.15"/>
    <m/>
    <m/>
    <m/>
    <s v="Pending"/>
    <s v=""/>
    <m/>
    <m/>
    <n v="420"/>
    <n v="0.28000000000000003"/>
    <n v="117.6"/>
    <s v=""/>
    <x v="2"/>
    <x v="3"/>
    <x v="8"/>
  </r>
  <r>
    <s v="CLM104919"/>
    <s v="PT12190"/>
    <s v="P06"/>
    <x v="0"/>
    <x v="0"/>
    <n v="1"/>
    <d v="2026-01-04T00:00:00"/>
    <d v="2026-01-05T00:00:00"/>
    <n v="146.29"/>
    <n v="43.53"/>
    <n v="34.82"/>
    <n v="8.7100000000000009"/>
    <s v="Paid"/>
    <s v=""/>
    <d v="2026-02-17T00:00:00"/>
    <d v="2026-02-17T00:00:00"/>
    <n v="145"/>
    <n v="0.27"/>
    <n v="39.15"/>
    <n v="-4.3800000000000026"/>
    <x v="0"/>
    <x v="2"/>
    <x v="5"/>
  </r>
  <r>
    <s v="CLM104920"/>
    <s v="PT13383"/>
    <s v="P02"/>
    <x v="2"/>
    <x v="0"/>
    <n v="1"/>
    <d v="2025-10-11T00:00:00"/>
    <d v="2025-10-19T00:00:00"/>
    <n v="142.38999999999999"/>
    <n v="63.39"/>
    <n v="63.39"/>
    <n v="0"/>
    <s v="Paid"/>
    <s v=""/>
    <d v="2025-11-30T00:00:00"/>
    <d v="2025-11-30T00:00:00"/>
    <n v="145"/>
    <n v="0.43"/>
    <n v="62.35"/>
    <n v="-1.0399999999999991"/>
    <x v="0"/>
    <x v="6"/>
    <x v="9"/>
  </r>
  <r>
    <s v="CLM104921"/>
    <s v="PT10091"/>
    <s v="P05"/>
    <x v="0"/>
    <x v="7"/>
    <n v="1"/>
    <d v="2025-10-05T00:00:00"/>
    <d v="2025-10-12T00:00:00"/>
    <n v="205.8"/>
    <m/>
    <m/>
    <m/>
    <s v="Denied"/>
    <s v="CO-16"/>
    <d v="2025-12-23T00:00:00"/>
    <m/>
    <n v="210"/>
    <n v="0.38"/>
    <n v="79.8"/>
    <s v=""/>
    <x v="2"/>
    <x v="0"/>
    <x v="9"/>
  </r>
  <r>
    <s v="CLM104922"/>
    <s v="PT11735"/>
    <s v="P03"/>
    <x v="3"/>
    <x v="6"/>
    <n v="1"/>
    <d v="2026-04-23T00:00:00"/>
    <d v="2026-04-24T00:00:00"/>
    <n v="415.32"/>
    <n v="202.11"/>
    <n v="181.9"/>
    <n v="20.21"/>
    <s v="Paid"/>
    <s v=""/>
    <d v="2026-06-16T00:00:00"/>
    <d v="2026-06-16T00:00:00"/>
    <n v="420"/>
    <n v="0.47"/>
    <n v="197.4"/>
    <n v="-4.710000000000008"/>
    <x v="0"/>
    <x v="4"/>
    <x v="10"/>
  </r>
  <r>
    <s v="CLM104923"/>
    <s v="PT12383"/>
    <s v="P01"/>
    <x v="1"/>
    <x v="8"/>
    <n v="1"/>
    <d v="2026-09-01T00:00:00"/>
    <d v="2026-09-03T00:00:00"/>
    <n v="264.23"/>
    <m/>
    <m/>
    <m/>
    <s v="Pending"/>
    <s v=""/>
    <m/>
    <m/>
    <n v="260"/>
    <n v="0.45"/>
    <n v="117"/>
    <s v=""/>
    <x v="2"/>
    <x v="5"/>
    <x v="8"/>
  </r>
  <r>
    <s v="CLM104924"/>
    <s v="PT10669"/>
    <s v="P07"/>
    <x v="3"/>
    <x v="3"/>
    <n v="5"/>
    <d v="2026-04-26T00:00:00"/>
    <d v="2026-04-28T00:00:00"/>
    <n v="7348.78"/>
    <n v="2078.46"/>
    <n v="2078.46"/>
    <n v="0"/>
    <s v="Paid"/>
    <s v=""/>
    <d v="2026-07-20T00:00:00"/>
    <d v="2026-07-20T00:00:00"/>
    <n v="1450"/>
    <n v="0.28000000000000003"/>
    <n v="2030"/>
    <n v="-48.460000000000036"/>
    <x v="0"/>
    <x v="3"/>
    <x v="10"/>
  </r>
  <r>
    <s v="CLM104925"/>
    <s v="PT12194"/>
    <s v="P02"/>
    <x v="1"/>
    <x v="4"/>
    <n v="1"/>
    <d v="2026-02-16T00:00:00"/>
    <d v="2026-02-23T00:00:00"/>
    <n v="38.31"/>
    <n v="17.850000000000001"/>
    <n v="16.059999999999999"/>
    <n v="1.79"/>
    <s v="Paid"/>
    <s v=""/>
    <d v="2026-03-23T00:00:00"/>
    <d v="2026-03-23T00:00:00"/>
    <n v="38"/>
    <n v="0.43"/>
    <n v="16.34"/>
    <n v="-1.5100000000000016"/>
    <x v="0"/>
    <x v="6"/>
    <x v="0"/>
  </r>
  <r>
    <s v="CLM104926"/>
    <s v="PT10483"/>
    <s v="P06"/>
    <x v="1"/>
    <x v="11"/>
    <n v="1"/>
    <d v="2026-04-21T00:00:00"/>
    <d v="2026-04-28T00:00:00"/>
    <n v="1169.2"/>
    <n v="296.16000000000003"/>
    <n v="296.16000000000003"/>
    <n v="0"/>
    <s v="Paid"/>
    <s v=""/>
    <d v="2026-05-29T00:00:00"/>
    <d v="2026-05-29T00:00:00"/>
    <n v="1150"/>
    <n v="0.27"/>
    <n v="310.5"/>
    <n v="14.339999999999975"/>
    <x v="0"/>
    <x v="2"/>
    <x v="10"/>
  </r>
  <r>
    <s v="CLM104927"/>
    <s v="PT10831"/>
    <s v="P01"/>
    <x v="0"/>
    <x v="4"/>
    <n v="1"/>
    <d v="2026-07-28T00:00:00"/>
    <d v="2026-07-29T00:00:00"/>
    <n v="37.07"/>
    <n v="16.579999999999998"/>
    <n v="16.579999999999998"/>
    <n v="0"/>
    <s v="Paid"/>
    <s v=""/>
    <d v="2026-09-06T00:00:00"/>
    <d v="2026-09-06T00:00:00"/>
    <n v="38"/>
    <n v="0.45"/>
    <n v="17.100000000000001"/>
    <n v="0.52000000000000313"/>
    <x v="0"/>
    <x v="5"/>
    <x v="1"/>
  </r>
  <r>
    <s v="CLM104928"/>
    <s v="PT11321"/>
    <s v="P02"/>
    <x v="3"/>
    <x v="3"/>
    <n v="10"/>
    <d v="2026-07-01T00:00:00"/>
    <d v="2026-07-08T00:00:00"/>
    <n v="14448.39"/>
    <n v="5437.36"/>
    <n v="4893.62"/>
    <n v="543.74"/>
    <s v="Paid"/>
    <s v=""/>
    <d v="2026-08-09T00:00:00"/>
    <d v="2026-08-09T00:00:00"/>
    <n v="1450"/>
    <n v="0.43"/>
    <n v="6235"/>
    <n v="797.64000000000033"/>
    <x v="1"/>
    <x v="6"/>
    <x v="1"/>
  </r>
  <r>
    <s v="CLM104929"/>
    <s v="PT13424"/>
    <s v="P07"/>
    <x v="1"/>
    <x v="4"/>
    <n v="1"/>
    <d v="2026-08-23T00:00:00"/>
    <d v="2026-09-02T00:00:00"/>
    <n v="38.96"/>
    <m/>
    <m/>
    <m/>
    <s v="Pending"/>
    <s v=""/>
    <m/>
    <m/>
    <n v="38"/>
    <n v="0.28000000000000003"/>
    <n v="10.64"/>
    <s v=""/>
    <x v="2"/>
    <x v="3"/>
    <x v="4"/>
  </r>
  <r>
    <s v="CLM104930"/>
    <s v="PT12300"/>
    <s v="P06"/>
    <x v="1"/>
    <x v="7"/>
    <n v="1"/>
    <d v="2025-10-06T00:00:00"/>
    <d v="2025-10-13T00:00:00"/>
    <n v="214.08"/>
    <n v="64.290000000000006"/>
    <n v="51.43"/>
    <n v="12.86"/>
    <s v="Paid"/>
    <s v=""/>
    <d v="2025-11-27T00:00:00"/>
    <d v="2025-11-27T00:00:00"/>
    <n v="210"/>
    <n v="0.27"/>
    <n v="56.7"/>
    <n v="-7.5900000000000034"/>
    <x v="0"/>
    <x v="2"/>
    <x v="9"/>
  </r>
  <r>
    <s v="CLM104931"/>
    <s v="PT10868"/>
    <s v="P04"/>
    <x v="1"/>
    <x v="5"/>
    <n v="1"/>
    <d v="2026-01-18T00:00:00"/>
    <d v="2026-01-22T00:00:00"/>
    <n v="4729.53"/>
    <m/>
    <m/>
    <m/>
    <s v="Denied"/>
    <s v="CO-16"/>
    <d v="2026-02-21T00:00:00"/>
    <m/>
    <n v="4800"/>
    <n v="0.36"/>
    <n v="1728"/>
    <s v=""/>
    <x v="2"/>
    <x v="1"/>
    <x v="5"/>
  </r>
  <r>
    <s v="CLM104932"/>
    <s v="PT10863"/>
    <s v="P05"/>
    <x v="2"/>
    <x v="2"/>
    <n v="3"/>
    <d v="2026-08-24T00:00:00"/>
    <d v="2026-08-28T00:00:00"/>
    <n v="191.04"/>
    <m/>
    <m/>
    <m/>
    <s v="Pending"/>
    <s v=""/>
    <m/>
    <m/>
    <n v="62"/>
    <n v="0.38"/>
    <n v="70.680000000000007"/>
    <s v=""/>
    <x v="2"/>
    <x v="0"/>
    <x v="4"/>
  </r>
  <r>
    <s v="CLM104933"/>
    <s v="PT10150"/>
    <s v="P02"/>
    <x v="2"/>
    <x v="0"/>
    <n v="1"/>
    <d v="2026-05-15T00:00:00"/>
    <d v="2026-05-18T00:00:00"/>
    <n v="142.71"/>
    <n v="57.97"/>
    <n v="52.17"/>
    <n v="5.8"/>
    <s v="Paid"/>
    <s v=""/>
    <d v="2026-06-28T00:00:00"/>
    <d v="2026-06-28T00:00:00"/>
    <n v="145"/>
    <n v="0.43"/>
    <n v="62.35"/>
    <n v="4.3800000000000026"/>
    <x v="1"/>
    <x v="6"/>
    <x v="7"/>
  </r>
  <r>
    <s v="CLM104934"/>
    <s v="PT10659"/>
    <s v="P02"/>
    <x v="0"/>
    <x v="0"/>
    <n v="1"/>
    <d v="2026-09-16T00:00:00"/>
    <d v="2026-09-19T00:00:00"/>
    <n v="141.4"/>
    <n v="60.49"/>
    <n v="48.39"/>
    <n v="12.1"/>
    <s v="Paid"/>
    <s v=""/>
    <d v="2026-09-29T00:00:00"/>
    <d v="2026-09-29T00:00:00"/>
    <n v="145"/>
    <n v="0.43"/>
    <n v="62.35"/>
    <n v="1.8599999999999994"/>
    <x v="0"/>
    <x v="6"/>
    <x v="8"/>
  </r>
  <r>
    <s v="CLM104935"/>
    <s v="PT10504"/>
    <s v="P05"/>
    <x v="1"/>
    <x v="4"/>
    <n v="1"/>
    <d v="2025-12-22T00:00:00"/>
    <d v="2025-12-31T00:00:00"/>
    <n v="38.4"/>
    <m/>
    <m/>
    <m/>
    <s v="Denied"/>
    <s v="CO-16"/>
    <d v="2026-03-19T00:00:00"/>
    <m/>
    <n v="38"/>
    <n v="0.38"/>
    <n v="14.44"/>
    <s v=""/>
    <x v="2"/>
    <x v="0"/>
    <x v="6"/>
  </r>
  <r>
    <s v="CLM104936"/>
    <s v="PT11212"/>
    <s v="P02"/>
    <x v="1"/>
    <x v="5"/>
    <n v="1"/>
    <d v="2026-03-29T00:00:00"/>
    <d v="2026-04-06T00:00:00"/>
    <n v="4679.99"/>
    <n v="2064.52"/>
    <n v="2064.52"/>
    <n v="0"/>
    <s v="Paid"/>
    <s v=""/>
    <d v="2026-04-30T00:00:00"/>
    <d v="2026-04-30T00:00:00"/>
    <n v="4800"/>
    <n v="0.43"/>
    <n v="2064"/>
    <n v="-0.51999999999998181"/>
    <x v="0"/>
    <x v="6"/>
    <x v="2"/>
  </r>
  <r>
    <s v="CLM104937"/>
    <s v="PT12684"/>
    <s v="P01"/>
    <x v="1"/>
    <x v="4"/>
    <n v="1"/>
    <d v="2026-07-06T00:00:00"/>
    <d v="2026-07-08T00:00:00"/>
    <n v="37.46"/>
    <n v="14.25"/>
    <n v="14.25"/>
    <n v="0"/>
    <s v="Paid"/>
    <s v=""/>
    <d v="2026-08-15T00:00:00"/>
    <d v="2026-08-15T00:00:00"/>
    <n v="38"/>
    <n v="0.45"/>
    <n v="17.100000000000001"/>
    <n v="2.8500000000000014"/>
    <x v="1"/>
    <x v="5"/>
    <x v="1"/>
  </r>
  <r>
    <s v="CLM104938"/>
    <s v="PT10219"/>
    <s v="P07"/>
    <x v="1"/>
    <x v="8"/>
    <n v="1"/>
    <d v="2026-09-17T00:00:00"/>
    <d v="2026-09-22T00:00:00"/>
    <n v="264.68"/>
    <m/>
    <m/>
    <m/>
    <s v="Pending"/>
    <s v=""/>
    <m/>
    <m/>
    <n v="260"/>
    <n v="0.28000000000000003"/>
    <n v="72.8"/>
    <s v=""/>
    <x v="2"/>
    <x v="3"/>
    <x v="8"/>
  </r>
  <r>
    <s v="CLM104939"/>
    <s v="PT10620"/>
    <s v="P02"/>
    <x v="2"/>
    <x v="0"/>
    <n v="1"/>
    <d v="2026-07-11T00:00:00"/>
    <d v="2026-07-15T00:00:00"/>
    <n v="145.63999999999999"/>
    <n v="66.16"/>
    <n v="66.16"/>
    <n v="0"/>
    <s v="Paid"/>
    <s v=""/>
    <d v="2026-08-20T00:00:00"/>
    <d v="2026-08-20T00:00:00"/>
    <n v="145"/>
    <n v="0.43"/>
    <n v="62.35"/>
    <n v="-3.8099999999999952"/>
    <x v="0"/>
    <x v="6"/>
    <x v="1"/>
  </r>
  <r>
    <s v="CLM104940"/>
    <s v="PT12172"/>
    <s v="P05"/>
    <x v="3"/>
    <x v="3"/>
    <n v="5"/>
    <d v="2026-03-08T00:00:00"/>
    <d v="2026-03-11T00:00:00"/>
    <n v="7384.59"/>
    <n v="2905.56"/>
    <n v="2324.4499999999998"/>
    <n v="581.11"/>
    <s v="Paid"/>
    <s v=""/>
    <d v="2026-05-28T00:00:00"/>
    <d v="2026-05-28T00:00:00"/>
    <n v="1450"/>
    <n v="0.38"/>
    <n v="2755"/>
    <n v="-150.55999999999995"/>
    <x v="0"/>
    <x v="0"/>
    <x v="2"/>
  </r>
  <r>
    <s v="CLM104941"/>
    <s v="PT12728"/>
    <s v="P01"/>
    <x v="1"/>
    <x v="1"/>
    <n v="1"/>
    <d v="2025-12-24T00:00:00"/>
    <d v="2025-12-27T00:00:00"/>
    <n v="238.25"/>
    <n v="113.34"/>
    <n v="113.34"/>
    <n v="0"/>
    <s v="Paid"/>
    <s v=""/>
    <d v="2026-01-28T00:00:00"/>
    <d v="2026-01-28T00:00:00"/>
    <n v="240"/>
    <n v="0.45"/>
    <n v="108"/>
    <n v="-5.3400000000000034"/>
    <x v="0"/>
    <x v="5"/>
    <x v="6"/>
  </r>
  <r>
    <s v="CLM104942"/>
    <s v="PT12421"/>
    <s v="P03"/>
    <x v="1"/>
    <x v="4"/>
    <n v="1"/>
    <d v="2026-01-22T00:00:00"/>
    <d v="2026-01-30T00:00:00"/>
    <n v="37.61"/>
    <n v="17.27"/>
    <n v="15.54"/>
    <n v="1.73"/>
    <s v="Paid"/>
    <s v=""/>
    <d v="2026-02-27T00:00:00"/>
    <d v="2026-02-27T00:00:00"/>
    <n v="38"/>
    <n v="0.47"/>
    <n v="17.86"/>
    <n v="0.58999999999999986"/>
    <x v="0"/>
    <x v="4"/>
    <x v="5"/>
  </r>
  <r>
    <s v="CLM104943"/>
    <s v="PT12804"/>
    <s v="P01"/>
    <x v="1"/>
    <x v="8"/>
    <n v="1"/>
    <d v="2026-01-20T00:00:00"/>
    <d v="2026-01-30T00:00:00"/>
    <n v="257.88"/>
    <m/>
    <m/>
    <m/>
    <s v="Denied"/>
    <s v="CO-16"/>
    <d v="2026-03-10T00:00:00"/>
    <m/>
    <n v="260"/>
    <n v="0.45"/>
    <n v="117"/>
    <s v=""/>
    <x v="2"/>
    <x v="5"/>
    <x v="5"/>
  </r>
  <r>
    <s v="CLM104944"/>
    <s v="PT12579"/>
    <s v="P02"/>
    <x v="0"/>
    <x v="8"/>
    <n v="1"/>
    <d v="2026-07-25T00:00:00"/>
    <d v="2026-07-26T00:00:00"/>
    <n v="255.67"/>
    <n v="103.46"/>
    <n v="103.46"/>
    <n v="0"/>
    <s v="Paid"/>
    <s v=""/>
    <d v="2026-08-19T00:00:00"/>
    <d v="2026-08-19T00:00:00"/>
    <n v="260"/>
    <n v="0.43"/>
    <n v="111.8"/>
    <n v="8.3400000000000034"/>
    <x v="1"/>
    <x v="6"/>
    <x v="1"/>
  </r>
  <r>
    <s v="CLM104945"/>
    <s v="PT10739"/>
    <s v="P01"/>
    <x v="1"/>
    <x v="1"/>
    <n v="1"/>
    <d v="2025-12-01T00:00:00"/>
    <d v="2025-12-07T00:00:00"/>
    <n v="233.87"/>
    <n v="99.69"/>
    <n v="79.75"/>
    <n v="19.940000000000001"/>
    <s v="Paid"/>
    <s v=""/>
    <d v="2026-01-06T00:00:00"/>
    <d v="2026-01-06T00:00:00"/>
    <n v="240"/>
    <n v="0.45"/>
    <n v="108"/>
    <n v="8.3100000000000023"/>
    <x v="1"/>
    <x v="5"/>
    <x v="6"/>
  </r>
  <r>
    <s v="CLM104946"/>
    <s v="PT13384"/>
    <s v="P02"/>
    <x v="1"/>
    <x v="5"/>
    <n v="1"/>
    <d v="2026-03-13T00:00:00"/>
    <d v="2026-03-14T00:00:00"/>
    <n v="4938.4399999999996"/>
    <n v="2419.29"/>
    <n v="2177.36"/>
    <n v="241.93"/>
    <s v="Paid"/>
    <s v=""/>
    <d v="2026-04-13T00:00:00"/>
    <d v="2026-04-13T00:00:00"/>
    <n v="4800"/>
    <n v="0.43"/>
    <n v="2064"/>
    <n v="-355.28999999999996"/>
    <x v="0"/>
    <x v="6"/>
    <x v="2"/>
  </r>
  <r>
    <s v="CLM104947"/>
    <s v="PT12978"/>
    <s v="P01"/>
    <x v="0"/>
    <x v="0"/>
    <n v="1"/>
    <d v="2026-08-02T00:00:00"/>
    <d v="2026-08-04T00:00:00"/>
    <n v="143.13"/>
    <n v="64.87"/>
    <n v="64.87"/>
    <n v="0"/>
    <s v="Paid"/>
    <s v=""/>
    <d v="2026-08-19T00:00:00"/>
    <d v="2026-08-19T00:00:00"/>
    <n v="145"/>
    <n v="0.45"/>
    <n v="65.25"/>
    <n v="0.37999999999999545"/>
    <x v="0"/>
    <x v="5"/>
    <x v="4"/>
  </r>
  <r>
    <s v="CLM104948"/>
    <s v="PT11589"/>
    <s v="P01"/>
    <x v="0"/>
    <x v="4"/>
    <n v="1"/>
    <d v="2026-07-14T00:00:00"/>
    <d v="2026-07-21T00:00:00"/>
    <n v="38.01"/>
    <n v="19.559999999999999"/>
    <n v="15.65"/>
    <n v="3.91"/>
    <s v="Paid"/>
    <s v=""/>
    <d v="2026-08-04T00:00:00"/>
    <d v="2026-08-04T00:00:00"/>
    <n v="38"/>
    <n v="0.45"/>
    <n v="17.100000000000001"/>
    <n v="-2.4599999999999973"/>
    <x v="0"/>
    <x v="5"/>
    <x v="1"/>
  </r>
  <r>
    <s v="CLM104949"/>
    <s v="PT12171"/>
    <s v="P01"/>
    <x v="0"/>
    <x v="0"/>
    <n v="1"/>
    <d v="2026-04-23T00:00:00"/>
    <d v="2026-04-25T00:00:00"/>
    <n v="146.15"/>
    <n v="73.69"/>
    <n v="73.69"/>
    <n v="0"/>
    <s v="Paid"/>
    <s v=""/>
    <d v="2026-05-15T00:00:00"/>
    <d v="2026-05-15T00:00:00"/>
    <n v="145"/>
    <n v="0.45"/>
    <n v="65.25"/>
    <n v="-8.4399999999999977"/>
    <x v="0"/>
    <x v="5"/>
    <x v="10"/>
  </r>
  <r>
    <s v="CLM104950"/>
    <s v="PT11770"/>
    <s v="P05"/>
    <x v="0"/>
    <x v="8"/>
    <n v="1"/>
    <d v="2025-10-17T00:00:00"/>
    <d v="2025-10-22T00:00:00"/>
    <n v="257.10000000000002"/>
    <n v="96.05"/>
    <n v="96.05"/>
    <n v="0"/>
    <s v="Paid"/>
    <s v=""/>
    <d v="2026-01-11T00:00:00"/>
    <d v="2026-01-11T00:00:00"/>
    <n v="260"/>
    <n v="0.38"/>
    <n v="98.8"/>
    <n v="2.75"/>
    <x v="0"/>
    <x v="0"/>
    <x v="9"/>
  </r>
  <r>
    <s v="CLM104951"/>
    <s v="PT10216"/>
    <s v="P04"/>
    <x v="2"/>
    <x v="2"/>
    <n v="2"/>
    <d v="2025-10-10T00:00:00"/>
    <d v="2025-10-13T00:00:00"/>
    <n v="125.03"/>
    <n v="38.42"/>
    <n v="34.58"/>
    <n v="3.84"/>
    <s v="Paid"/>
    <s v=""/>
    <d v="2025-10-27T00:00:00"/>
    <d v="2025-10-27T00:00:00"/>
    <n v="62"/>
    <n v="0.36"/>
    <n v="44.64"/>
    <n v="6.2199999999999989"/>
    <x v="1"/>
    <x v="1"/>
    <x v="9"/>
  </r>
  <r>
    <s v="CLM104952"/>
    <s v="PT10193"/>
    <s v="P02"/>
    <x v="1"/>
    <x v="1"/>
    <n v="1"/>
    <d v="2025-10-03T00:00:00"/>
    <d v="2025-10-06T00:00:00"/>
    <n v="245.57"/>
    <n v="96.06"/>
    <n v="96.06"/>
    <n v="0"/>
    <s v="Paid"/>
    <s v=""/>
    <d v="2025-11-16T00:00:00"/>
    <d v="2025-11-16T00:00:00"/>
    <n v="240"/>
    <n v="0.43"/>
    <n v="103.2"/>
    <n v="7.1400000000000006"/>
    <x v="1"/>
    <x v="6"/>
    <x v="9"/>
  </r>
  <r>
    <s v="CLM104953"/>
    <s v="PT13376"/>
    <s v="P02"/>
    <x v="2"/>
    <x v="0"/>
    <n v="1"/>
    <d v="2025-11-21T00:00:00"/>
    <d v="2026-03-18T00:00:00"/>
    <n v="148.81"/>
    <m/>
    <m/>
    <m/>
    <s v="Denied"/>
    <s v="CO-29"/>
    <d v="2026-04-13T00:00:00"/>
    <m/>
    <n v="145"/>
    <n v="0.43"/>
    <n v="62.35"/>
    <s v=""/>
    <x v="2"/>
    <x v="6"/>
    <x v="3"/>
  </r>
  <r>
    <s v="CLM104954"/>
    <s v="PT11998"/>
    <s v="P03"/>
    <x v="1"/>
    <x v="5"/>
    <n v="1"/>
    <d v="2026-02-22T00:00:00"/>
    <d v="2026-02-24T00:00:00"/>
    <n v="4838.3"/>
    <n v="2285.69"/>
    <n v="1828.55"/>
    <n v="457.14"/>
    <s v="Paid"/>
    <s v=""/>
    <d v="2026-04-11T00:00:00"/>
    <d v="2026-04-11T00:00:00"/>
    <n v="4800"/>
    <n v="0.47"/>
    <n v="2256"/>
    <n v="-29.690000000000055"/>
    <x v="0"/>
    <x v="4"/>
    <x v="0"/>
  </r>
  <r>
    <s v="CLM104955"/>
    <s v="PT11868"/>
    <s v="P06"/>
    <x v="2"/>
    <x v="9"/>
    <n v="1"/>
    <d v="2025-11-09T00:00:00"/>
    <d v="2025-11-12T00:00:00"/>
    <n v="58.69"/>
    <n v="16.3"/>
    <n v="16.3"/>
    <n v="0"/>
    <s v="Paid"/>
    <s v=""/>
    <d v="2025-12-22T00:00:00"/>
    <d v="2025-12-22T00:00:00"/>
    <n v="58"/>
    <n v="0.27"/>
    <n v="15.66"/>
    <n v="-0.64000000000000057"/>
    <x v="0"/>
    <x v="2"/>
    <x v="3"/>
  </r>
  <r>
    <s v="CLM104956"/>
    <s v="PT13197"/>
    <s v="P04"/>
    <x v="0"/>
    <x v="0"/>
    <n v="1"/>
    <d v="2026-04-22T00:00:00"/>
    <d v="2026-04-24T00:00:00"/>
    <n v="145.47999999999999"/>
    <m/>
    <m/>
    <m/>
    <s v="Denied"/>
    <s v="CO-11"/>
    <d v="2026-05-10T00:00:00"/>
    <m/>
    <n v="145"/>
    <n v="0.36"/>
    <n v="52.2"/>
    <s v=""/>
    <x v="2"/>
    <x v="1"/>
    <x v="10"/>
  </r>
  <r>
    <s v="CLM104957"/>
    <s v="PT13142"/>
    <s v="P02"/>
    <x v="2"/>
    <x v="0"/>
    <n v="1"/>
    <d v="2026-08-25T00:00:00"/>
    <d v="2026-08-27T00:00:00"/>
    <n v="145.84"/>
    <n v="68.37"/>
    <n v="68.37"/>
    <n v="0"/>
    <s v="Paid"/>
    <s v=""/>
    <d v="2026-09-21T00:00:00"/>
    <d v="2026-09-21T00:00:00"/>
    <n v="145"/>
    <n v="0.43"/>
    <n v="62.35"/>
    <n v="-6.0200000000000031"/>
    <x v="0"/>
    <x v="6"/>
    <x v="4"/>
  </r>
  <r>
    <s v="CLM104958"/>
    <s v="PT11146"/>
    <s v="P02"/>
    <x v="2"/>
    <x v="0"/>
    <n v="1"/>
    <d v="2026-05-28T00:00:00"/>
    <d v="2026-07-04T00:00:00"/>
    <n v="148.30000000000001"/>
    <n v="59.02"/>
    <n v="47.22"/>
    <n v="11.8"/>
    <s v="Paid"/>
    <s v=""/>
    <d v="2026-07-29T00:00:00"/>
    <d v="2026-07-29T00:00:00"/>
    <n v="145"/>
    <n v="0.43"/>
    <n v="62.35"/>
    <n v="3.3299999999999983"/>
    <x v="1"/>
    <x v="6"/>
    <x v="7"/>
  </r>
  <r>
    <s v="CLM104959"/>
    <s v="PT11626"/>
    <s v="P02"/>
    <x v="2"/>
    <x v="0"/>
    <n v="1"/>
    <d v="2026-05-14T00:00:00"/>
    <d v="2026-05-22T00:00:00"/>
    <n v="145.49"/>
    <n v="59.83"/>
    <n v="59.83"/>
    <n v="0"/>
    <s v="Paid"/>
    <s v=""/>
    <d v="2026-06-25T00:00:00"/>
    <d v="2026-06-25T00:00:00"/>
    <n v="145"/>
    <n v="0.43"/>
    <n v="62.35"/>
    <n v="2.5200000000000031"/>
    <x v="0"/>
    <x v="6"/>
    <x v="7"/>
  </r>
  <r>
    <s v="CLM104960"/>
    <s v="PT10481"/>
    <s v="P01"/>
    <x v="1"/>
    <x v="4"/>
    <n v="1"/>
    <d v="2026-04-26T00:00:00"/>
    <d v="2026-04-28T00:00:00"/>
    <n v="38.700000000000003"/>
    <n v="20.07"/>
    <n v="16.059999999999999"/>
    <n v="4.01"/>
    <s v="Paid"/>
    <s v=""/>
    <d v="2026-05-28T00:00:00"/>
    <d v="2026-05-28T00:00:00"/>
    <n v="38"/>
    <n v="0.45"/>
    <n v="17.100000000000001"/>
    <n v="-2.9699999999999989"/>
    <x v="0"/>
    <x v="5"/>
    <x v="10"/>
  </r>
  <r>
    <s v="CLM104961"/>
    <s v="PT10709"/>
    <s v="P02"/>
    <x v="0"/>
    <x v="4"/>
    <n v="1"/>
    <d v="2026-07-08T00:00:00"/>
    <d v="2026-07-11T00:00:00"/>
    <n v="37.229999999999997"/>
    <n v="17.07"/>
    <n v="17.07"/>
    <n v="0"/>
    <s v="Paid"/>
    <s v=""/>
    <d v="2026-08-14T00:00:00"/>
    <d v="2026-08-14T00:00:00"/>
    <n v="38"/>
    <n v="0.43"/>
    <n v="16.34"/>
    <n v="-0.73000000000000043"/>
    <x v="0"/>
    <x v="6"/>
    <x v="1"/>
  </r>
  <r>
    <s v="CLM104962"/>
    <s v="PT12341"/>
    <s v="P01"/>
    <x v="1"/>
    <x v="8"/>
    <n v="1"/>
    <d v="2025-11-11T00:00:00"/>
    <d v="2025-11-16T00:00:00"/>
    <n v="252.62"/>
    <n v="115.68"/>
    <n v="104.11"/>
    <n v="11.57"/>
    <s v="Paid"/>
    <s v=""/>
    <d v="2025-12-15T00:00:00"/>
    <d v="2025-12-15T00:00:00"/>
    <n v="260"/>
    <n v="0.45"/>
    <n v="117"/>
    <n v="1.3199999999999932"/>
    <x v="0"/>
    <x v="5"/>
    <x v="3"/>
  </r>
  <r>
    <s v="CLM104963"/>
    <s v="PT11914"/>
    <s v="P02"/>
    <x v="3"/>
    <x v="3"/>
    <n v="5"/>
    <d v="2025-10-28T00:00:00"/>
    <d v="2025-10-29T00:00:00"/>
    <n v="7071.54"/>
    <n v="3161.29"/>
    <n v="2845.16"/>
    <n v="316.13"/>
    <s v="Paid"/>
    <s v=""/>
    <d v="2025-12-04T00:00:00"/>
    <d v="2025-12-04T00:00:00"/>
    <n v="1450"/>
    <n v="0.43"/>
    <n v="3117.5"/>
    <n v="-43.789999999999964"/>
    <x v="0"/>
    <x v="6"/>
    <x v="9"/>
  </r>
  <r>
    <s v="CLM104964"/>
    <s v="PT12050"/>
    <s v="P01"/>
    <x v="1"/>
    <x v="1"/>
    <n v="1"/>
    <d v="2026-03-10T00:00:00"/>
    <d v="2026-03-14T00:00:00"/>
    <n v="242.69"/>
    <m/>
    <m/>
    <m/>
    <s v="Denied"/>
    <s v="CO-4"/>
    <d v="2026-04-15T00:00:00"/>
    <m/>
    <n v="240"/>
    <n v="0.45"/>
    <n v="108"/>
    <s v=""/>
    <x v="2"/>
    <x v="5"/>
    <x v="2"/>
  </r>
  <r>
    <s v="CLM104965"/>
    <s v="PT11889"/>
    <s v="P06"/>
    <x v="0"/>
    <x v="8"/>
    <n v="1"/>
    <d v="2026-06-02T00:00:00"/>
    <d v="2026-06-05T00:00:00"/>
    <n v="263.89"/>
    <m/>
    <m/>
    <m/>
    <s v="Denied"/>
    <s v="CO-27"/>
    <d v="2026-07-09T00:00:00"/>
    <m/>
    <n v="260"/>
    <n v="0.27"/>
    <n v="70.2"/>
    <s v=""/>
    <x v="2"/>
    <x v="2"/>
    <x v="11"/>
  </r>
  <r>
    <s v="CLM104966"/>
    <s v="PT12577"/>
    <s v="P02"/>
    <x v="1"/>
    <x v="4"/>
    <n v="1"/>
    <d v="2026-03-18T00:00:00"/>
    <d v="2026-03-23T00:00:00"/>
    <n v="37.49"/>
    <n v="13.84"/>
    <n v="13.84"/>
    <n v="0"/>
    <s v="Paid"/>
    <s v=""/>
    <d v="2026-04-30T00:00:00"/>
    <d v="2026-04-30T00:00:00"/>
    <n v="38"/>
    <n v="0.43"/>
    <n v="16.34"/>
    <n v="2.5"/>
    <x v="1"/>
    <x v="6"/>
    <x v="2"/>
  </r>
  <r>
    <s v="CLM104967"/>
    <s v="PT12863"/>
    <s v="P04"/>
    <x v="1"/>
    <x v="5"/>
    <n v="1"/>
    <d v="2026-04-23T00:00:00"/>
    <d v="2026-04-27T00:00:00"/>
    <n v="4772.84"/>
    <m/>
    <m/>
    <m/>
    <s v="Denied"/>
    <s v="CO-11"/>
    <d v="2026-05-21T00:00:00"/>
    <m/>
    <n v="4800"/>
    <n v="0.36"/>
    <n v="1728"/>
    <s v=""/>
    <x v="2"/>
    <x v="1"/>
    <x v="10"/>
  </r>
  <r>
    <s v="CLM104968"/>
    <s v="PT13092"/>
    <s v="P05"/>
    <x v="1"/>
    <x v="8"/>
    <n v="1"/>
    <d v="2026-06-25T00:00:00"/>
    <d v="2026-07-10T00:00:00"/>
    <n v="262.31"/>
    <n v="97.53"/>
    <n v="87.78"/>
    <n v="9.75"/>
    <s v="Paid"/>
    <s v=""/>
    <d v="2026-08-27T00:00:00"/>
    <d v="2026-08-27T00:00:00"/>
    <n v="260"/>
    <n v="0.38"/>
    <n v="98.8"/>
    <n v="1.269999999999996"/>
    <x v="0"/>
    <x v="0"/>
    <x v="11"/>
  </r>
  <r>
    <s v="CLM104969"/>
    <s v="PT10083"/>
    <s v="P01"/>
    <x v="3"/>
    <x v="6"/>
    <n v="1"/>
    <d v="2026-05-14T00:00:00"/>
    <d v="2026-05-23T00:00:00"/>
    <n v="431.24"/>
    <m/>
    <m/>
    <m/>
    <s v="Denied"/>
    <s v="CO-197"/>
    <d v="2026-06-14T00:00:00"/>
    <m/>
    <n v="420"/>
    <n v="0.45"/>
    <n v="189"/>
    <s v=""/>
    <x v="2"/>
    <x v="5"/>
    <x v="7"/>
  </r>
  <r>
    <s v="CLM104970"/>
    <s v="PT10629"/>
    <s v="P08"/>
    <x v="2"/>
    <x v="0"/>
    <n v="1"/>
    <d v="2026-04-18T00:00:00"/>
    <d v="2026-07-30T00:00:00"/>
    <n v="146.74"/>
    <m/>
    <m/>
    <m/>
    <s v="Pending"/>
    <s v=""/>
    <m/>
    <m/>
    <n v="145"/>
    <n v="1"/>
    <n v="145"/>
    <s v=""/>
    <x v="2"/>
    <x v="7"/>
    <x v="10"/>
  </r>
  <r>
    <s v="CLM104971"/>
    <s v="PT10445"/>
    <s v="P03"/>
    <x v="0"/>
    <x v="7"/>
    <n v="1"/>
    <d v="2025-12-07T00:00:00"/>
    <d v="2025-12-11T00:00:00"/>
    <n v="212"/>
    <n v="112.89"/>
    <n v="101.6"/>
    <n v="11.29"/>
    <s v="Paid"/>
    <s v=""/>
    <d v="2026-02-24T00:00:00"/>
    <d v="2026-02-24T00:00:00"/>
    <n v="210"/>
    <n v="0.47"/>
    <n v="98.7"/>
    <n v="-14.189999999999998"/>
    <x v="0"/>
    <x v="4"/>
    <x v="6"/>
  </r>
  <r>
    <s v="CLM104972"/>
    <s v="PT11641"/>
    <s v="P07"/>
    <x v="3"/>
    <x v="7"/>
    <n v="1"/>
    <d v="2026-05-23T00:00:00"/>
    <d v="2026-05-25T00:00:00"/>
    <n v="211.25"/>
    <n v="51.27"/>
    <n v="51.27"/>
    <n v="0"/>
    <s v="Paid"/>
    <s v=""/>
    <d v="2026-07-27T00:00:00"/>
    <d v="2026-07-27T00:00:00"/>
    <n v="210"/>
    <n v="0.28000000000000003"/>
    <n v="58.8"/>
    <n v="7.529999999999994"/>
    <x v="1"/>
    <x v="3"/>
    <x v="7"/>
  </r>
  <r>
    <s v="CLM104973"/>
    <s v="PT12797"/>
    <s v="P06"/>
    <x v="2"/>
    <x v="2"/>
    <n v="1"/>
    <d v="2026-05-09T00:00:00"/>
    <d v="2026-05-15T00:00:00"/>
    <n v="63.47"/>
    <n v="17.23"/>
    <n v="17.23"/>
    <n v="0"/>
    <s v="Paid"/>
    <s v=""/>
    <d v="2026-07-07T00:00:00"/>
    <d v="2026-07-07T00:00:00"/>
    <n v="62"/>
    <n v="0.27"/>
    <n v="16.739999999999998"/>
    <n v="-0.49000000000000199"/>
    <x v="0"/>
    <x v="2"/>
    <x v="7"/>
  </r>
  <r>
    <s v="CLM104974"/>
    <s v="PT11286"/>
    <s v="P04"/>
    <x v="1"/>
    <x v="4"/>
    <n v="1"/>
    <d v="2026-08-01T00:00:00"/>
    <d v="2026-08-02T00:00:00"/>
    <n v="37.94"/>
    <n v="14.64"/>
    <n v="11.71"/>
    <n v="2.93"/>
    <s v="Paid"/>
    <s v=""/>
    <d v="2026-08-12T00:00:00"/>
    <d v="2026-08-12T00:00:00"/>
    <n v="38"/>
    <n v="0.36"/>
    <n v="13.68"/>
    <n v="-0.96000000000000085"/>
    <x v="0"/>
    <x v="1"/>
    <x v="4"/>
  </r>
  <r>
    <s v="CLM104975"/>
    <s v="PT11633"/>
    <s v="P01"/>
    <x v="0"/>
    <x v="7"/>
    <n v="1"/>
    <d v="2025-12-15T00:00:00"/>
    <d v="2025-12-28T00:00:00"/>
    <n v="205.58"/>
    <n v="92.91"/>
    <n v="92.91"/>
    <n v="0"/>
    <s v="Paid"/>
    <s v=""/>
    <d v="2026-01-21T00:00:00"/>
    <d v="2026-01-21T00:00:00"/>
    <n v="210"/>
    <n v="0.45"/>
    <n v="94.5"/>
    <n v="1.5900000000000034"/>
    <x v="0"/>
    <x v="5"/>
    <x v="6"/>
  </r>
  <r>
    <s v="CLM104976"/>
    <s v="PT12027"/>
    <s v="P06"/>
    <x v="0"/>
    <x v="7"/>
    <n v="1"/>
    <d v="2026-03-13T00:00:00"/>
    <d v="2026-03-20T00:00:00"/>
    <n v="214.03"/>
    <n v="65.069999999999993"/>
    <n v="65.069999999999993"/>
    <n v="0"/>
    <s v="Paid"/>
    <s v=""/>
    <d v="2026-04-27T00:00:00"/>
    <d v="2026-04-27T00:00:00"/>
    <n v="210"/>
    <n v="0.27"/>
    <n v="56.7"/>
    <n v="-8.3699999999999903"/>
    <x v="0"/>
    <x v="2"/>
    <x v="2"/>
  </r>
  <r>
    <s v="CLM104977"/>
    <s v="PT12278"/>
    <s v="P02"/>
    <x v="1"/>
    <x v="11"/>
    <n v="1"/>
    <d v="2026-02-15T00:00:00"/>
    <d v="2026-02-21T00:00:00"/>
    <n v="1120.43"/>
    <n v="413.1"/>
    <n v="413.1"/>
    <n v="0"/>
    <s v="Paid"/>
    <s v=""/>
    <d v="2026-03-19T00:00:00"/>
    <d v="2026-03-19T00:00:00"/>
    <n v="1150"/>
    <n v="0.43"/>
    <n v="494.5"/>
    <n v="81.399999999999977"/>
    <x v="1"/>
    <x v="6"/>
    <x v="0"/>
  </r>
  <r>
    <s v="CLM104978"/>
    <s v="PT10519"/>
    <s v="P02"/>
    <x v="0"/>
    <x v="0"/>
    <n v="1"/>
    <d v="2026-07-06T00:00:00"/>
    <d v="2026-07-10T00:00:00"/>
    <n v="145.72999999999999"/>
    <n v="65.58"/>
    <n v="65.58"/>
    <n v="0"/>
    <s v="Paid"/>
    <s v=""/>
    <d v="2026-08-16T00:00:00"/>
    <d v="2026-08-16T00:00:00"/>
    <n v="145"/>
    <n v="0.43"/>
    <n v="62.35"/>
    <n v="-3.2299999999999969"/>
    <x v="0"/>
    <x v="6"/>
    <x v="1"/>
  </r>
  <r>
    <s v="CLM104979"/>
    <s v="PT13137"/>
    <s v="P02"/>
    <x v="1"/>
    <x v="4"/>
    <n v="1"/>
    <d v="2026-04-21T00:00:00"/>
    <d v="2026-04-25T00:00:00"/>
    <n v="37.130000000000003"/>
    <n v="13.63"/>
    <n v="13.63"/>
    <n v="0"/>
    <s v="Paid"/>
    <s v=""/>
    <d v="2026-05-26T00:00:00"/>
    <d v="2026-05-26T00:00:00"/>
    <n v="38"/>
    <n v="0.43"/>
    <n v="16.34"/>
    <n v="2.7099999999999991"/>
    <x v="1"/>
    <x v="6"/>
    <x v="10"/>
  </r>
  <r>
    <s v="CLM104980"/>
    <s v="PT10330"/>
    <s v="P01"/>
    <x v="0"/>
    <x v="7"/>
    <n v="1"/>
    <d v="2025-11-26T00:00:00"/>
    <d v="2025-11-28T00:00:00"/>
    <n v="206.72"/>
    <n v="98.61"/>
    <n v="98.61"/>
    <n v="0"/>
    <s v="Paid"/>
    <s v=""/>
    <d v="2025-12-23T00:00:00"/>
    <d v="2025-12-23T00:00:00"/>
    <n v="210"/>
    <n v="0.45"/>
    <n v="94.5"/>
    <n v="-4.1099999999999994"/>
    <x v="0"/>
    <x v="5"/>
    <x v="3"/>
  </r>
  <r>
    <s v="CLM104981"/>
    <s v="PT12113"/>
    <s v="P04"/>
    <x v="3"/>
    <x v="6"/>
    <n v="1"/>
    <d v="2026-03-04T00:00:00"/>
    <d v="2026-03-05T00:00:00"/>
    <n v="413.89"/>
    <n v="158.94"/>
    <n v="143.05000000000001"/>
    <n v="15.89"/>
    <s v="Paid"/>
    <s v=""/>
    <d v="2026-03-15T00:00:00"/>
    <d v="2026-03-15T00:00:00"/>
    <n v="420"/>
    <n v="0.36"/>
    <n v="151.19999999999999"/>
    <n v="-7.7400000000000091"/>
    <x v="0"/>
    <x v="1"/>
    <x v="2"/>
  </r>
  <r>
    <s v="CLM104982"/>
    <s v="PT10894"/>
    <s v="P04"/>
    <x v="2"/>
    <x v="0"/>
    <n v="1"/>
    <d v="2026-06-10T00:00:00"/>
    <d v="2026-06-16T00:00:00"/>
    <n v="147.63"/>
    <n v="50.55"/>
    <n v="50.55"/>
    <n v="0"/>
    <s v="Paid"/>
    <s v=""/>
    <d v="2026-07-01T00:00:00"/>
    <d v="2026-07-01T00:00:00"/>
    <n v="145"/>
    <n v="0.36"/>
    <n v="52.2"/>
    <n v="1.6500000000000057"/>
    <x v="0"/>
    <x v="1"/>
    <x v="11"/>
  </r>
  <r>
    <s v="CLM104983"/>
    <s v="PT13007"/>
    <s v="P04"/>
    <x v="0"/>
    <x v="8"/>
    <n v="1"/>
    <d v="2026-06-26T00:00:00"/>
    <d v="2026-07-12T00:00:00"/>
    <n v="255.51"/>
    <n v="101.9"/>
    <n v="101.9"/>
    <n v="0"/>
    <s v="Paid"/>
    <s v=""/>
    <d v="2026-07-24T00:00:00"/>
    <d v="2026-07-24T00:00:00"/>
    <n v="260"/>
    <n v="0.36"/>
    <n v="93.6"/>
    <n v="-8.3000000000000114"/>
    <x v="0"/>
    <x v="1"/>
    <x v="11"/>
  </r>
  <r>
    <s v="CLM104984"/>
    <s v="PT13058"/>
    <s v="P02"/>
    <x v="1"/>
    <x v="8"/>
    <n v="1"/>
    <d v="2025-10-03T00:00:00"/>
    <d v="2025-10-10T00:00:00"/>
    <n v="265.16000000000003"/>
    <n v="118.26"/>
    <n v="94.61"/>
    <n v="23.65"/>
    <s v="Paid"/>
    <s v=""/>
    <d v="2025-11-04T00:00:00"/>
    <d v="2025-11-04T00:00:00"/>
    <n v="260"/>
    <n v="0.43"/>
    <n v="111.8"/>
    <n v="-6.460000000000008"/>
    <x v="0"/>
    <x v="6"/>
    <x v="9"/>
  </r>
  <r>
    <s v="CLM104985"/>
    <s v="PT11916"/>
    <s v="P05"/>
    <x v="3"/>
    <x v="6"/>
    <n v="1"/>
    <d v="2026-06-17T00:00:00"/>
    <d v="2026-06-20T00:00:00"/>
    <n v="416.36"/>
    <n v="181.8"/>
    <n v="163.62"/>
    <n v="18.18"/>
    <s v="Paid"/>
    <s v=""/>
    <d v="2026-08-14T00:00:00"/>
    <d v="2026-08-14T00:00:00"/>
    <n v="420"/>
    <n v="0.38"/>
    <n v="159.6"/>
    <n v="-22.200000000000017"/>
    <x v="0"/>
    <x v="0"/>
    <x v="11"/>
  </r>
  <r>
    <s v="CLM104986"/>
    <s v="PT11192"/>
    <s v="P01"/>
    <x v="2"/>
    <x v="2"/>
    <n v="3"/>
    <d v="2026-01-22T00:00:00"/>
    <d v="2026-01-28T00:00:00"/>
    <n v="182.78"/>
    <m/>
    <m/>
    <m/>
    <s v="Denied"/>
    <s v="CO-16"/>
    <d v="2026-03-08T00:00:00"/>
    <m/>
    <n v="62"/>
    <n v="0.45"/>
    <n v="83.7"/>
    <s v=""/>
    <x v="2"/>
    <x v="5"/>
    <x v="5"/>
  </r>
  <r>
    <s v="CLM104987"/>
    <s v="PT11897"/>
    <s v="P04"/>
    <x v="1"/>
    <x v="10"/>
    <n v="1"/>
    <d v="2026-02-26T00:00:00"/>
    <d v="2026-03-01T00:00:00"/>
    <n v="1061.28"/>
    <n v="435.78"/>
    <n v="435.78"/>
    <n v="0"/>
    <s v="Paid"/>
    <s v=""/>
    <d v="2026-03-18T00:00:00"/>
    <d v="2026-03-18T00:00:00"/>
    <n v="1050"/>
    <n v="0.36"/>
    <n v="378"/>
    <n v="-57.779999999999973"/>
    <x v="0"/>
    <x v="1"/>
    <x v="0"/>
  </r>
  <r>
    <s v="CLM104988"/>
    <s v="PT11446"/>
    <s v="P01"/>
    <x v="2"/>
    <x v="0"/>
    <n v="1"/>
    <d v="2026-09-12T00:00:00"/>
    <d v="2026-09-15T00:00:00"/>
    <n v="148.49"/>
    <m/>
    <m/>
    <m/>
    <s v="Pending"/>
    <s v=""/>
    <m/>
    <m/>
    <n v="145"/>
    <n v="0.45"/>
    <n v="65.25"/>
    <s v=""/>
    <x v="2"/>
    <x v="5"/>
    <x v="8"/>
  </r>
  <r>
    <s v="CLM104989"/>
    <s v="PT10619"/>
    <s v="P04"/>
    <x v="1"/>
    <x v="11"/>
    <n v="1"/>
    <d v="2026-05-21T00:00:00"/>
    <d v="2026-05-22T00:00:00"/>
    <n v="1138.1099999999999"/>
    <n v="377.27"/>
    <n v="301.82"/>
    <n v="75.45"/>
    <s v="Paid"/>
    <s v=""/>
    <d v="2026-06-02T00:00:00"/>
    <d v="2026-06-02T00:00:00"/>
    <n v="1150"/>
    <n v="0.36"/>
    <n v="414"/>
    <n v="36.730000000000018"/>
    <x v="1"/>
    <x v="1"/>
    <x v="7"/>
  </r>
  <r>
    <s v="CLM104990"/>
    <s v="PT11205"/>
    <s v="P06"/>
    <x v="1"/>
    <x v="10"/>
    <n v="1"/>
    <d v="2026-09-20T00:00:00"/>
    <d v="2026-09-21T00:00:00"/>
    <n v="1070.81"/>
    <m/>
    <m/>
    <m/>
    <s v="Pending"/>
    <s v=""/>
    <m/>
    <m/>
    <n v="1050"/>
    <n v="0.27"/>
    <n v="283.5"/>
    <s v=""/>
    <x v="2"/>
    <x v="2"/>
    <x v="8"/>
  </r>
  <r>
    <s v="CLM104991"/>
    <s v="PT13217"/>
    <s v="P01"/>
    <x v="0"/>
    <x v="8"/>
    <n v="1"/>
    <d v="2026-05-03T00:00:00"/>
    <d v="2026-05-05T00:00:00"/>
    <n v="259.27"/>
    <n v="123.63"/>
    <n v="123.63"/>
    <n v="0"/>
    <s v="Paid"/>
    <s v=""/>
    <d v="2026-05-24T00:00:00"/>
    <d v="2026-05-24T00:00:00"/>
    <n v="260"/>
    <n v="0.45"/>
    <n v="117"/>
    <n v="-6.6299999999999955"/>
    <x v="0"/>
    <x v="5"/>
    <x v="7"/>
  </r>
  <r>
    <s v="CLM104992"/>
    <s v="PT13077"/>
    <s v="P05"/>
    <x v="3"/>
    <x v="3"/>
    <n v="30"/>
    <d v="2026-06-07T00:00:00"/>
    <d v="2026-06-15T00:00:00"/>
    <n v="43550.55"/>
    <n v="14337.94"/>
    <n v="12904.15"/>
    <n v="1433.79"/>
    <s v="Paid"/>
    <s v=""/>
    <d v="2026-08-15T00:00:00"/>
    <d v="2026-08-15T00:00:00"/>
    <n v="1450"/>
    <n v="0.38"/>
    <n v="16530"/>
    <n v="2192.0599999999995"/>
    <x v="1"/>
    <x v="0"/>
    <x v="11"/>
  </r>
  <r>
    <s v="CLM104993"/>
    <s v="PT12184"/>
    <s v="P01"/>
    <x v="0"/>
    <x v="7"/>
    <n v="1"/>
    <d v="2026-09-12T00:00:00"/>
    <d v="2026-09-28T00:00:00"/>
    <n v="212.9"/>
    <m/>
    <m/>
    <m/>
    <s v="Pending"/>
    <s v=""/>
    <m/>
    <m/>
    <n v="210"/>
    <n v="0.45"/>
    <n v="94.5"/>
    <s v=""/>
    <x v="2"/>
    <x v="5"/>
    <x v="8"/>
  </r>
  <r>
    <s v="CLM104995"/>
    <s v="PT11806"/>
    <s v="P04"/>
    <x v="2"/>
    <x v="2"/>
    <n v="1"/>
    <d v="2026-01-08T00:00:00"/>
    <d v="2026-01-10T00:00:00"/>
    <n v="63.03"/>
    <n v="20.51"/>
    <n v="20.51"/>
    <n v="0"/>
    <s v="Paid"/>
    <s v=""/>
    <d v="2026-01-25T00:00:00"/>
    <d v="2026-01-25T00:00:00"/>
    <n v="62"/>
    <n v="0.36"/>
    <n v="22.32"/>
    <n v="1.8099999999999987"/>
    <x v="1"/>
    <x v="1"/>
    <x v="5"/>
  </r>
  <r>
    <s v="CLM104997"/>
    <s v="PT12216"/>
    <s v="P07"/>
    <x v="3"/>
    <x v="7"/>
    <n v="1"/>
    <d v="2026-08-17T00:00:00"/>
    <d v="2026-08-27T00:00:00"/>
    <n v="214.51"/>
    <m/>
    <m/>
    <m/>
    <s v="Pending"/>
    <s v=""/>
    <m/>
    <m/>
    <n v="210"/>
    <n v="0.28000000000000003"/>
    <n v="58.8"/>
    <s v=""/>
    <x v="2"/>
    <x v="3"/>
    <x v="4"/>
  </r>
  <r>
    <s v="CLM104998"/>
    <s v="PT12547"/>
    <s v="P04"/>
    <x v="0"/>
    <x v="8"/>
    <n v="1"/>
    <d v="2026-07-17T00:00:00"/>
    <d v="2026-07-18T00:00:00"/>
    <n v="259.41000000000003"/>
    <n v="95.81"/>
    <n v="95.81"/>
    <n v="0"/>
    <s v="Paid"/>
    <s v=""/>
    <d v="2026-08-09T00:00:00"/>
    <d v="2026-08-09T00:00:00"/>
    <n v="260"/>
    <n v="0.36"/>
    <n v="93.6"/>
    <n v="-2.210000000000008"/>
    <x v="0"/>
    <x v="1"/>
    <x v="1"/>
  </r>
  <r>
    <s v="CLM105000"/>
    <s v="PT10804"/>
    <s v="P04"/>
    <x v="0"/>
    <x v="0"/>
    <n v="1"/>
    <d v="2026-05-03T00:00:00"/>
    <d v="2026-05-05T00:00:00"/>
    <n v="142.19999999999999"/>
    <n v="50.55"/>
    <n v="40.44"/>
    <n v="10.11"/>
    <s v="Paid"/>
    <s v=""/>
    <d v="2026-05-18T00:00:00"/>
    <d v="2026-05-18T00:00:00"/>
    <n v="145"/>
    <n v="0.36"/>
    <n v="52.2"/>
    <n v="1.6500000000000057"/>
    <x v="0"/>
    <x v="1"/>
    <x v="7"/>
  </r>
  <r>
    <s v="CLM105001"/>
    <s v="PT13468"/>
    <s v="P04"/>
    <x v="2"/>
    <x v="2"/>
    <n v="3"/>
    <d v="2026-04-17T00:00:00"/>
    <d v="2026-04-21T00:00:00"/>
    <n v="181.17"/>
    <n v="55.87"/>
    <n v="44.7"/>
    <n v="11.17"/>
    <s v="Paid"/>
    <s v=""/>
    <d v="2026-05-04T00:00:00"/>
    <d v="2026-05-04T00:00:00"/>
    <n v="62"/>
    <n v="0.36"/>
    <n v="66.959999999999994"/>
    <n v="11.089999999999996"/>
    <x v="1"/>
    <x v="1"/>
    <x v="10"/>
  </r>
  <r>
    <s v="CLM105002"/>
    <s v="PT11803"/>
    <s v="P02"/>
    <x v="2"/>
    <x v="9"/>
    <n v="3"/>
    <d v="2026-02-18T00:00:00"/>
    <d v="2026-05-30T00:00:00"/>
    <n v="169.45"/>
    <m/>
    <m/>
    <m/>
    <s v="Denied"/>
    <s v="CO-29"/>
    <d v="2026-06-19T00:00:00"/>
    <m/>
    <n v="58"/>
    <n v="0.43"/>
    <n v="74.819999999999993"/>
    <s v=""/>
    <x v="2"/>
    <x v="6"/>
    <x v="0"/>
  </r>
  <r>
    <s v="CLM105003"/>
    <s v="PT10718"/>
    <s v="P02"/>
    <x v="3"/>
    <x v="3"/>
    <n v="10"/>
    <d v="2026-05-24T00:00:00"/>
    <d v="2026-05-25T00:00:00"/>
    <n v="14077.82"/>
    <n v="5169.09"/>
    <n v="4652.18"/>
    <n v="516.91"/>
    <s v="Paid"/>
    <s v=""/>
    <d v="2026-06-17T00:00:00"/>
    <d v="2026-06-17T00:00:00"/>
    <n v="1450"/>
    <n v="0.43"/>
    <n v="6235"/>
    <n v="1065.9099999999999"/>
    <x v="1"/>
    <x v="6"/>
    <x v="7"/>
  </r>
  <r>
    <s v="CLM105004"/>
    <s v="PT11525"/>
    <s v="P01"/>
    <x v="2"/>
    <x v="2"/>
    <n v="4"/>
    <d v="2026-08-25T00:00:00"/>
    <d v="2026-09-09T00:00:00"/>
    <n v="247.63"/>
    <m/>
    <m/>
    <m/>
    <s v="Pending"/>
    <s v=""/>
    <m/>
    <m/>
    <n v="62"/>
    <n v="0.45"/>
    <n v="111.6"/>
    <s v=""/>
    <x v="2"/>
    <x v="5"/>
    <x v="4"/>
  </r>
  <r>
    <s v="CLM105005"/>
    <s v="PT12871"/>
    <s v="P02"/>
    <x v="1"/>
    <x v="4"/>
    <n v="1"/>
    <d v="2025-12-26T00:00:00"/>
    <d v="2026-01-08T00:00:00"/>
    <n v="37.97"/>
    <n v="18.21"/>
    <n v="18.21"/>
    <n v="0"/>
    <s v="Paid"/>
    <s v=""/>
    <d v="2026-02-11T00:00:00"/>
    <d v="2026-02-11T00:00:00"/>
    <n v="38"/>
    <n v="0.43"/>
    <n v="16.34"/>
    <n v="-1.870000000000001"/>
    <x v="0"/>
    <x v="6"/>
    <x v="6"/>
  </r>
  <r>
    <s v="CLM105006"/>
    <s v="PT13101"/>
    <s v="P01"/>
    <x v="1"/>
    <x v="11"/>
    <n v="1"/>
    <d v="2026-04-16T00:00:00"/>
    <d v="2026-04-24T00:00:00"/>
    <n v="1141.98"/>
    <n v="500.77"/>
    <n v="400.62"/>
    <n v="100.15"/>
    <s v="Paid"/>
    <s v=""/>
    <d v="2026-05-24T00:00:00"/>
    <d v="2026-05-24T00:00:00"/>
    <n v="1150"/>
    <n v="0.45"/>
    <n v="517.5"/>
    <n v="16.730000000000018"/>
    <x v="0"/>
    <x v="5"/>
    <x v="10"/>
  </r>
  <r>
    <s v="CLM105007"/>
    <s v="PT11614"/>
    <s v="P01"/>
    <x v="0"/>
    <x v="4"/>
    <n v="1"/>
    <d v="2026-05-14T00:00:00"/>
    <d v="2026-05-19T00:00:00"/>
    <n v="37.92"/>
    <n v="15.87"/>
    <n v="14.28"/>
    <n v="1.59"/>
    <s v="Paid"/>
    <s v=""/>
    <d v="2026-06-21T00:00:00"/>
    <d v="2026-06-21T00:00:00"/>
    <n v="38"/>
    <n v="0.45"/>
    <n v="17.100000000000001"/>
    <n v="1.2300000000000022"/>
    <x v="1"/>
    <x v="5"/>
    <x v="7"/>
  </r>
  <r>
    <s v="CLM105008"/>
    <s v="PT13200"/>
    <s v="P04"/>
    <x v="2"/>
    <x v="9"/>
    <n v="1"/>
    <d v="2026-05-14T00:00:00"/>
    <d v="2026-05-20T00:00:00"/>
    <n v="59.38"/>
    <n v="19.600000000000001"/>
    <n v="15.68"/>
    <n v="3.92"/>
    <s v="Paid"/>
    <s v=""/>
    <d v="2026-06-07T00:00:00"/>
    <d v="2026-06-07T00:00:00"/>
    <n v="58"/>
    <n v="0.36"/>
    <n v="20.88"/>
    <n v="1.2799999999999976"/>
    <x v="1"/>
    <x v="1"/>
    <x v="7"/>
  </r>
  <r>
    <s v="CLM105010"/>
    <s v="PT12227"/>
    <s v="P01"/>
    <x v="3"/>
    <x v="7"/>
    <n v="1"/>
    <d v="2025-11-17T00:00:00"/>
    <d v="2025-11-20T00:00:00"/>
    <n v="213.32"/>
    <n v="104.01"/>
    <n v="104.01"/>
    <n v="0"/>
    <s v="Paid"/>
    <s v=""/>
    <d v="2025-12-11T00:00:00"/>
    <d v="2025-12-11T00:00:00"/>
    <n v="210"/>
    <n v="0.45"/>
    <n v="94.5"/>
    <n v="-9.5100000000000051"/>
    <x v="0"/>
    <x v="5"/>
    <x v="3"/>
  </r>
  <r>
    <s v="CLM105011"/>
    <s v="PT13000"/>
    <s v="P06"/>
    <x v="2"/>
    <x v="2"/>
    <n v="1"/>
    <d v="2025-10-12T00:00:00"/>
    <d v="2025-10-17T00:00:00"/>
    <n v="61.93"/>
    <n v="14.73"/>
    <n v="14.73"/>
    <n v="0"/>
    <s v="Paid"/>
    <s v=""/>
    <d v="2025-12-13T00:00:00"/>
    <d v="2025-12-13T00:00:00"/>
    <n v="62"/>
    <n v="0.27"/>
    <n v="16.739999999999998"/>
    <n v="2.009999999999998"/>
    <x v="1"/>
    <x v="2"/>
    <x v="9"/>
  </r>
  <r>
    <s v="CLM105012"/>
    <s v="PT12557"/>
    <s v="P04"/>
    <x v="0"/>
    <x v="4"/>
    <n v="1"/>
    <d v="2025-11-06T00:00:00"/>
    <d v="2025-11-09T00:00:00"/>
    <n v="38.200000000000003"/>
    <n v="12.5"/>
    <n v="12.5"/>
    <n v="0"/>
    <s v="Paid"/>
    <s v=""/>
    <d v="2025-11-28T00:00:00"/>
    <d v="2025-11-28T00:00:00"/>
    <n v="38"/>
    <n v="0.36"/>
    <n v="13.68"/>
    <n v="1.1799999999999997"/>
    <x v="1"/>
    <x v="1"/>
    <x v="3"/>
  </r>
  <r>
    <s v="CLM105013"/>
    <s v="PT12702"/>
    <s v="P05"/>
    <x v="1"/>
    <x v="1"/>
    <n v="1"/>
    <d v="2025-12-22T00:00:00"/>
    <d v="2025-12-31T00:00:00"/>
    <n v="239.64"/>
    <n v="102.32"/>
    <n v="92.09"/>
    <n v="10.23"/>
    <s v="Paid"/>
    <s v=""/>
    <d v="2026-03-05T00:00:00"/>
    <d v="2026-03-05T00:00:00"/>
    <n v="240"/>
    <n v="0.38"/>
    <n v="91.2"/>
    <n v="-11.11999999999999"/>
    <x v="0"/>
    <x v="0"/>
    <x v="6"/>
  </r>
  <r>
    <s v="CLM105014"/>
    <s v="PT11188"/>
    <s v="P08"/>
    <x v="3"/>
    <x v="7"/>
    <n v="1"/>
    <d v="2026-02-22T00:00:00"/>
    <d v="2026-03-06T00:00:00"/>
    <n v="215.19"/>
    <n v="215.19"/>
    <n v="215.19"/>
    <n v="0"/>
    <s v="Paid"/>
    <s v=""/>
    <d v="2026-06-19T00:00:00"/>
    <d v="2026-06-19T00:00:00"/>
    <n v="210"/>
    <n v="1"/>
    <n v="210"/>
    <n v="-5.1899999999999977"/>
    <x v="0"/>
    <x v="7"/>
    <x v="0"/>
  </r>
  <r>
    <s v="CLM105015"/>
    <s v="PT11605"/>
    <s v="P06"/>
    <x v="1"/>
    <x v="10"/>
    <n v="1"/>
    <d v="2026-09-17T00:00:00"/>
    <d v="2026-09-24T00:00:00"/>
    <n v="1047.46"/>
    <m/>
    <m/>
    <m/>
    <s v="Pending"/>
    <s v=""/>
    <m/>
    <m/>
    <n v="1050"/>
    <n v="0.27"/>
    <n v="283.5"/>
    <s v=""/>
    <x v="2"/>
    <x v="2"/>
    <x v="8"/>
  </r>
  <r>
    <s v="CLM105016"/>
    <s v="PT12178"/>
    <s v="P04"/>
    <x v="0"/>
    <x v="4"/>
    <n v="1"/>
    <d v="2026-07-23T00:00:00"/>
    <d v="2026-07-24T00:00:00"/>
    <n v="38.56"/>
    <m/>
    <m/>
    <m/>
    <s v="Denied"/>
    <s v="CO-11"/>
    <d v="2026-08-03T00:00:00"/>
    <m/>
    <n v="38"/>
    <n v="0.36"/>
    <n v="13.68"/>
    <s v=""/>
    <x v="2"/>
    <x v="1"/>
    <x v="1"/>
  </r>
  <r>
    <s v="CLM105017"/>
    <s v="PT10121"/>
    <s v="P01"/>
    <x v="1"/>
    <x v="10"/>
    <n v="1"/>
    <d v="2026-07-15T00:00:00"/>
    <d v="2026-07-31T00:00:00"/>
    <n v="1026.75"/>
    <n v="519.21"/>
    <n v="519.21"/>
    <n v="0"/>
    <s v="Paid"/>
    <s v=""/>
    <d v="2026-08-29T00:00:00"/>
    <d v="2026-08-29T00:00:00"/>
    <n v="1050"/>
    <n v="0.45"/>
    <n v="472.5"/>
    <n v="-46.710000000000036"/>
    <x v="0"/>
    <x v="5"/>
    <x v="1"/>
  </r>
  <r>
    <s v="CLM105018"/>
    <s v="PT13268"/>
    <s v="P04"/>
    <x v="0"/>
    <x v="4"/>
    <n v="1"/>
    <d v="2026-08-04T00:00:00"/>
    <d v="2026-08-07T00:00:00"/>
    <n v="37.020000000000003"/>
    <m/>
    <m/>
    <m/>
    <s v="Denied"/>
    <s v="CO-50"/>
    <d v="2026-08-28T00:00:00"/>
    <m/>
    <n v="38"/>
    <n v="0.36"/>
    <n v="13.68"/>
    <s v=""/>
    <x v="2"/>
    <x v="1"/>
    <x v="4"/>
  </r>
  <r>
    <s v="CLM105019"/>
    <s v="PT12905"/>
    <s v="P01"/>
    <x v="3"/>
    <x v="7"/>
    <n v="1"/>
    <d v="2026-05-11T00:00:00"/>
    <d v="2026-05-12T00:00:00"/>
    <n v="209.73"/>
    <n v="91.11"/>
    <n v="91.11"/>
    <n v="0"/>
    <s v="Paid"/>
    <s v=""/>
    <d v="2026-06-05T00:00:00"/>
    <d v="2026-06-05T00:00:00"/>
    <n v="210"/>
    <n v="0.45"/>
    <n v="94.5"/>
    <n v="3.3900000000000006"/>
    <x v="0"/>
    <x v="5"/>
    <x v="7"/>
  </r>
  <r>
    <s v="CLM105020"/>
    <s v="PT12754"/>
    <s v="P05"/>
    <x v="1"/>
    <x v="5"/>
    <n v="1"/>
    <d v="2026-08-08T00:00:00"/>
    <d v="2026-08-10T00:00:00"/>
    <n v="4713.54"/>
    <m/>
    <m/>
    <m/>
    <s v="Denied"/>
    <s v="CO-27"/>
    <d v="2026-09-28T00:00:00"/>
    <m/>
    <n v="4800"/>
    <n v="0.38"/>
    <n v="1824"/>
    <s v=""/>
    <x v="2"/>
    <x v="0"/>
    <x v="4"/>
  </r>
  <r>
    <s v="CLM105021"/>
    <s v="PT11005"/>
    <s v="P01"/>
    <x v="0"/>
    <x v="8"/>
    <n v="1"/>
    <d v="2025-11-20T00:00:00"/>
    <d v="2025-11-22T00:00:00"/>
    <n v="265.72000000000003"/>
    <n v="103.15"/>
    <n v="92.83"/>
    <n v="10.32"/>
    <s v="Paid"/>
    <s v=""/>
    <d v="2025-12-25T00:00:00"/>
    <d v="2025-12-25T00:00:00"/>
    <n v="260"/>
    <n v="0.45"/>
    <n v="117"/>
    <n v="13.849999999999994"/>
    <x v="1"/>
    <x v="5"/>
    <x v="3"/>
  </r>
  <r>
    <s v="CLM105022"/>
    <s v="PT11715"/>
    <s v="P08"/>
    <x v="1"/>
    <x v="1"/>
    <n v="1"/>
    <d v="2026-07-04T00:00:00"/>
    <d v="2026-07-10T00:00:00"/>
    <n v="235.06"/>
    <m/>
    <m/>
    <m/>
    <s v="Pending"/>
    <s v=""/>
    <m/>
    <m/>
    <n v="240"/>
    <n v="1"/>
    <n v="240"/>
    <s v=""/>
    <x v="2"/>
    <x v="7"/>
    <x v="1"/>
  </r>
  <r>
    <s v="CLM105023"/>
    <s v="PT12496"/>
    <s v="P03"/>
    <x v="0"/>
    <x v="4"/>
    <n v="1"/>
    <d v="2025-10-14T00:00:00"/>
    <d v="2025-10-15T00:00:00"/>
    <n v="37.299999999999997"/>
    <m/>
    <m/>
    <m/>
    <s v="Denied"/>
    <s v="CO-11"/>
    <d v="2025-12-27T00:00:00"/>
    <m/>
    <n v="38"/>
    <n v="0.47"/>
    <n v="17.86"/>
    <s v=""/>
    <x v="2"/>
    <x v="4"/>
    <x v="9"/>
  </r>
  <r>
    <s v="CLM105024"/>
    <s v="PT12279"/>
    <s v="P04"/>
    <x v="2"/>
    <x v="0"/>
    <n v="1"/>
    <d v="2026-02-10T00:00:00"/>
    <d v="2026-02-12T00:00:00"/>
    <n v="145.26"/>
    <n v="56.14"/>
    <n v="56.14"/>
    <n v="0"/>
    <s v="Paid"/>
    <s v=""/>
    <d v="2026-02-22T00:00:00"/>
    <d v="2026-02-22T00:00:00"/>
    <n v="145"/>
    <n v="0.36"/>
    <n v="52.2"/>
    <n v="-3.9399999999999977"/>
    <x v="0"/>
    <x v="1"/>
    <x v="0"/>
  </r>
  <r>
    <s v="CLM105025"/>
    <s v="PT11434"/>
    <s v="P01"/>
    <x v="1"/>
    <x v="11"/>
    <n v="1"/>
    <d v="2025-12-18T00:00:00"/>
    <d v="2025-12-24T00:00:00"/>
    <n v="1115.7"/>
    <n v="521.04999999999995"/>
    <n v="416.84"/>
    <n v="104.21"/>
    <s v="Paid"/>
    <s v=""/>
    <d v="2026-01-21T00:00:00"/>
    <d v="2026-01-21T00:00:00"/>
    <n v="1150"/>
    <n v="0.45"/>
    <n v="517.5"/>
    <n v="-3.5499999999999545"/>
    <x v="0"/>
    <x v="5"/>
    <x v="6"/>
  </r>
  <r>
    <s v="CLM105026"/>
    <s v="PT12842"/>
    <s v="P02"/>
    <x v="1"/>
    <x v="1"/>
    <n v="1"/>
    <d v="2026-07-19T00:00:00"/>
    <d v="2026-07-21T00:00:00"/>
    <n v="236.58"/>
    <n v="94.53"/>
    <n v="94.53"/>
    <n v="0"/>
    <s v="Paid"/>
    <s v=""/>
    <d v="2026-08-16T00:00:00"/>
    <d v="2026-08-16T00:00:00"/>
    <n v="240"/>
    <n v="0.43"/>
    <n v="103.2"/>
    <n v="8.6700000000000017"/>
    <x v="1"/>
    <x v="6"/>
    <x v="1"/>
  </r>
  <r>
    <s v="CLM105027"/>
    <s v="PT10674"/>
    <s v="P01"/>
    <x v="1"/>
    <x v="8"/>
    <n v="1"/>
    <d v="2026-05-25T00:00:00"/>
    <d v="2026-05-26T00:00:00"/>
    <n v="257.87"/>
    <n v="127.38"/>
    <n v="101.9"/>
    <n v="25.48"/>
    <s v="Paid"/>
    <s v=""/>
    <d v="2026-06-12T00:00:00"/>
    <d v="2026-06-12T00:00:00"/>
    <n v="260"/>
    <n v="0.45"/>
    <n v="117"/>
    <n v="-10.379999999999995"/>
    <x v="0"/>
    <x v="5"/>
    <x v="7"/>
  </r>
  <r>
    <s v="CLM105028"/>
    <s v="PT10481"/>
    <s v="P03"/>
    <x v="1"/>
    <x v="11"/>
    <n v="1"/>
    <d v="2026-09-03T00:00:00"/>
    <d v="2026-09-04T00:00:00"/>
    <n v="1164.27"/>
    <m/>
    <m/>
    <m/>
    <s v="Pending"/>
    <s v=""/>
    <m/>
    <m/>
    <n v="1150"/>
    <n v="0.47"/>
    <n v="540.5"/>
    <s v=""/>
    <x v="2"/>
    <x v="4"/>
    <x v="8"/>
  </r>
  <r>
    <s v="CLM105029"/>
    <s v="PT12560"/>
    <s v="P01"/>
    <x v="3"/>
    <x v="3"/>
    <n v="20"/>
    <d v="2025-12-26T00:00:00"/>
    <d v="2025-12-28T00:00:00"/>
    <n v="28598.2"/>
    <n v="14106.92"/>
    <n v="12696.23"/>
    <n v="1410.69"/>
    <s v="Paid"/>
    <s v=""/>
    <d v="2026-02-07T00:00:00"/>
    <d v="2026-02-07T00:00:00"/>
    <n v="1450"/>
    <n v="0.45"/>
    <n v="13050"/>
    <n v="-1056.92"/>
    <x v="0"/>
    <x v="5"/>
    <x v="6"/>
  </r>
  <r>
    <s v="CLM105030"/>
    <s v="PT11809"/>
    <s v="P01"/>
    <x v="1"/>
    <x v="4"/>
    <n v="1"/>
    <d v="2026-07-23T00:00:00"/>
    <d v="2026-07-24T00:00:00"/>
    <n v="37.58"/>
    <n v="16.53"/>
    <n v="13.22"/>
    <n v="3.31"/>
    <s v="Paid"/>
    <s v=""/>
    <d v="2026-08-25T00:00:00"/>
    <d v="2026-08-25T00:00:00"/>
    <n v="38"/>
    <n v="0.45"/>
    <n v="17.100000000000001"/>
    <n v="0.57000000000000028"/>
    <x v="0"/>
    <x v="5"/>
    <x v="1"/>
  </r>
  <r>
    <s v="CLM105031"/>
    <s v="PT11745"/>
    <s v="P01"/>
    <x v="3"/>
    <x v="7"/>
    <n v="1"/>
    <d v="2025-10-06T00:00:00"/>
    <d v="2025-10-08T00:00:00"/>
    <n v="215.79"/>
    <m/>
    <m/>
    <m/>
    <s v="Denied"/>
    <s v="CO-16"/>
    <d v="2025-11-04T00:00:00"/>
    <m/>
    <n v="210"/>
    <n v="0.45"/>
    <n v="94.5"/>
    <s v=""/>
    <x v="2"/>
    <x v="5"/>
    <x v="9"/>
  </r>
  <r>
    <s v="CLM105032"/>
    <s v="PT12182"/>
    <s v="P04"/>
    <x v="1"/>
    <x v="4"/>
    <n v="1"/>
    <d v="2025-10-20T00:00:00"/>
    <d v="2025-10-23T00:00:00"/>
    <n v="37.909999999999997"/>
    <n v="14.15"/>
    <n v="12.73"/>
    <n v="1.42"/>
    <s v="Paid"/>
    <s v=""/>
    <d v="2025-11-08T00:00:00"/>
    <d v="2025-11-08T00:00:00"/>
    <n v="38"/>
    <n v="0.36"/>
    <n v="13.68"/>
    <n v="-0.47000000000000064"/>
    <x v="0"/>
    <x v="1"/>
    <x v="9"/>
  </r>
  <r>
    <s v="CLM105033"/>
    <s v="PT12437"/>
    <s v="P01"/>
    <x v="1"/>
    <x v="10"/>
    <n v="1"/>
    <d v="2026-08-21T00:00:00"/>
    <d v="2026-08-23T00:00:00"/>
    <n v="1060.57"/>
    <n v="503.81"/>
    <n v="503.81"/>
    <n v="0"/>
    <s v="Paid"/>
    <s v=""/>
    <d v="2026-09-10T00:00:00"/>
    <d v="2026-09-10T00:00:00"/>
    <n v="1050"/>
    <n v="0.45"/>
    <n v="472.5"/>
    <n v="-31.310000000000002"/>
    <x v="0"/>
    <x v="5"/>
    <x v="4"/>
  </r>
  <r>
    <s v="CLM105034"/>
    <s v="PT12337"/>
    <s v="P02"/>
    <x v="1"/>
    <x v="1"/>
    <n v="1"/>
    <d v="2026-03-20T00:00:00"/>
    <d v="2026-03-28T00:00:00"/>
    <n v="233.08"/>
    <n v="92.85"/>
    <n v="83.56"/>
    <n v="9.2899999999999991"/>
    <s v="Paid"/>
    <s v=""/>
    <d v="2026-04-20T00:00:00"/>
    <d v="2026-04-20T00:00:00"/>
    <n v="240"/>
    <n v="0.43"/>
    <n v="103.2"/>
    <n v="10.350000000000009"/>
    <x v="1"/>
    <x v="6"/>
    <x v="2"/>
  </r>
  <r>
    <s v="CLM105035"/>
    <s v="PT11460"/>
    <s v="P04"/>
    <x v="1"/>
    <x v="7"/>
    <n v="1"/>
    <d v="2026-03-17T00:00:00"/>
    <d v="2026-03-18T00:00:00"/>
    <n v="212.69"/>
    <n v="84.61"/>
    <n v="84.61"/>
    <n v="0"/>
    <s v="Paid"/>
    <s v=""/>
    <d v="2026-04-19T00:00:00"/>
    <d v="2026-04-19T00:00:00"/>
    <n v="210"/>
    <n v="0.36"/>
    <n v="75.599999999999994"/>
    <n v="-9.0100000000000051"/>
    <x v="0"/>
    <x v="1"/>
    <x v="2"/>
  </r>
  <r>
    <s v="CLM105036"/>
    <s v="PT11943"/>
    <s v="P04"/>
    <x v="2"/>
    <x v="2"/>
    <n v="3"/>
    <d v="2026-03-03T00:00:00"/>
    <d v="2026-03-04T00:00:00"/>
    <n v="187.5"/>
    <n v="72.44"/>
    <n v="72.44"/>
    <n v="0"/>
    <s v="Paid"/>
    <s v=""/>
    <d v="2026-03-19T00:00:00"/>
    <d v="2026-03-19T00:00:00"/>
    <n v="62"/>
    <n v="0.36"/>
    <n v="66.959999999999994"/>
    <n v="-5.480000000000004"/>
    <x v="0"/>
    <x v="1"/>
    <x v="2"/>
  </r>
  <r>
    <s v="CLM105037"/>
    <s v="PT11792"/>
    <s v="P06"/>
    <x v="1"/>
    <x v="5"/>
    <n v="1"/>
    <d v="2026-01-26T00:00:00"/>
    <d v="2026-01-31T00:00:00"/>
    <n v="4753.1400000000003"/>
    <n v="1325.76"/>
    <n v="1325.76"/>
    <n v="0"/>
    <s v="Paid"/>
    <s v=""/>
    <d v="2026-03-19T00:00:00"/>
    <d v="2026-03-19T00:00:00"/>
    <n v="4800"/>
    <n v="0.27"/>
    <n v="1296"/>
    <n v="-29.759999999999991"/>
    <x v="0"/>
    <x v="2"/>
    <x v="5"/>
  </r>
  <r>
    <s v="CLM105038"/>
    <s v="PT11830"/>
    <s v="P01"/>
    <x v="1"/>
    <x v="5"/>
    <n v="1"/>
    <d v="2025-10-18T00:00:00"/>
    <d v="2025-10-25T00:00:00"/>
    <n v="4811.84"/>
    <n v="1963.89"/>
    <n v="1767.5"/>
    <n v="196.39"/>
    <s v="Paid"/>
    <s v=""/>
    <d v="2025-11-13T00:00:00"/>
    <d v="2025-11-13T00:00:00"/>
    <n v="4800"/>
    <n v="0.45"/>
    <n v="2160"/>
    <n v="196.1099999999999"/>
    <x v="1"/>
    <x v="5"/>
    <x v="9"/>
  </r>
  <r>
    <s v="CLM105039"/>
    <s v="PT11475"/>
    <s v="P01"/>
    <x v="3"/>
    <x v="6"/>
    <n v="1"/>
    <d v="2025-12-31T00:00:00"/>
    <d v="2026-01-01T00:00:00"/>
    <n v="418.03"/>
    <n v="194.47"/>
    <n v="155.58000000000001"/>
    <n v="38.89"/>
    <s v="Paid"/>
    <s v=""/>
    <d v="2026-01-17T00:00:00"/>
    <d v="2026-01-17T00:00:00"/>
    <n v="420"/>
    <n v="0.45"/>
    <n v="189"/>
    <n v="-5.4699999999999989"/>
    <x v="0"/>
    <x v="5"/>
    <x v="6"/>
  </r>
  <r>
    <s v="CLM105040"/>
    <s v="PT12109"/>
    <s v="P06"/>
    <x v="2"/>
    <x v="0"/>
    <n v="1"/>
    <d v="2026-01-08T00:00:00"/>
    <d v="2026-01-12T00:00:00"/>
    <n v="148.37"/>
    <n v="45.46"/>
    <n v="36.369999999999997"/>
    <n v="9.09"/>
    <s v="Paid"/>
    <s v=""/>
    <d v="2026-02-27T00:00:00"/>
    <d v="2026-02-27T00:00:00"/>
    <n v="145"/>
    <n v="0.27"/>
    <n v="39.15"/>
    <n v="-6.3100000000000023"/>
    <x v="0"/>
    <x v="2"/>
    <x v="5"/>
  </r>
  <r>
    <s v="CLM105041"/>
    <s v="PT12637"/>
    <s v="P02"/>
    <x v="0"/>
    <x v="4"/>
    <n v="1"/>
    <d v="2025-11-23T00:00:00"/>
    <d v="2025-12-06T00:00:00"/>
    <n v="38.17"/>
    <n v="16.59"/>
    <n v="14.93"/>
    <n v="1.66"/>
    <s v="Paid"/>
    <s v=""/>
    <d v="2025-12-29T00:00:00"/>
    <d v="2025-12-29T00:00:00"/>
    <n v="38"/>
    <n v="0.43"/>
    <n v="16.34"/>
    <n v="-0.25"/>
    <x v="0"/>
    <x v="6"/>
    <x v="3"/>
  </r>
  <r>
    <s v="CLM105042"/>
    <s v="PT12792"/>
    <s v="P01"/>
    <x v="1"/>
    <x v="10"/>
    <n v="1"/>
    <d v="2026-01-01T00:00:00"/>
    <d v="2026-01-06T00:00:00"/>
    <n v="1023.76"/>
    <n v="498.63"/>
    <n v="398.9"/>
    <n v="99.73"/>
    <s v="Paid"/>
    <s v=""/>
    <d v="2026-01-31T00:00:00"/>
    <d v="2026-01-31T00:00:00"/>
    <n v="1050"/>
    <n v="0.45"/>
    <n v="472.5"/>
    <n v="-26.129999999999995"/>
    <x v="0"/>
    <x v="5"/>
    <x v="5"/>
  </r>
  <r>
    <s v="CLM105043"/>
    <s v="PT10781"/>
    <s v="P01"/>
    <x v="0"/>
    <x v="4"/>
    <n v="1"/>
    <d v="2026-08-23T00:00:00"/>
    <d v="2026-08-29T00:00:00"/>
    <n v="38.67"/>
    <m/>
    <m/>
    <m/>
    <s v="Pending"/>
    <s v=""/>
    <m/>
    <m/>
    <n v="38"/>
    <n v="0.45"/>
    <n v="17.100000000000001"/>
    <s v=""/>
    <x v="2"/>
    <x v="5"/>
    <x v="4"/>
  </r>
  <r>
    <s v="CLM105044"/>
    <s v="PT10290"/>
    <s v="P02"/>
    <x v="1"/>
    <x v="5"/>
    <n v="1"/>
    <d v="2026-05-01T00:00:00"/>
    <d v="2026-05-13T00:00:00"/>
    <n v="4737.67"/>
    <m/>
    <m/>
    <m/>
    <s v="Denied"/>
    <s v="CO-197"/>
    <d v="2026-06-11T00:00:00"/>
    <m/>
    <n v="4800"/>
    <n v="0.43"/>
    <n v="2064"/>
    <s v=""/>
    <x v="2"/>
    <x v="6"/>
    <x v="7"/>
  </r>
  <r>
    <s v="CLM105045"/>
    <s v="PT10662"/>
    <s v="P01"/>
    <x v="1"/>
    <x v="11"/>
    <n v="1"/>
    <d v="2026-05-21T00:00:00"/>
    <d v="2026-05-22T00:00:00"/>
    <n v="1119.04"/>
    <n v="553.17999999999995"/>
    <n v="442.54"/>
    <n v="110.64"/>
    <s v="Paid"/>
    <s v=""/>
    <d v="2026-06-21T00:00:00"/>
    <d v="2026-06-21T00:00:00"/>
    <n v="1150"/>
    <n v="0.45"/>
    <n v="517.5"/>
    <n v="-35.67999999999995"/>
    <x v="0"/>
    <x v="5"/>
    <x v="7"/>
  </r>
  <r>
    <s v="CLM105046"/>
    <s v="PT13344"/>
    <s v="P04"/>
    <x v="0"/>
    <x v="0"/>
    <n v="1"/>
    <d v="2026-04-07T00:00:00"/>
    <d v="2026-04-25T00:00:00"/>
    <n v="141.74"/>
    <n v="43.51"/>
    <n v="43.51"/>
    <n v="0"/>
    <s v="Paid"/>
    <s v=""/>
    <d v="2026-05-09T00:00:00"/>
    <d v="2026-05-09T00:00:00"/>
    <n v="145"/>
    <n v="0.36"/>
    <n v="52.2"/>
    <n v="8.6900000000000048"/>
    <x v="1"/>
    <x v="1"/>
    <x v="10"/>
  </r>
  <r>
    <s v="CLM105047"/>
    <s v="PT11265"/>
    <s v="P05"/>
    <x v="1"/>
    <x v="4"/>
    <n v="1"/>
    <d v="2026-02-20T00:00:00"/>
    <d v="2026-03-03T00:00:00"/>
    <n v="38.99"/>
    <m/>
    <m/>
    <m/>
    <s v="Denied"/>
    <s v="CO-50"/>
    <d v="2026-04-19T00:00:00"/>
    <m/>
    <n v="38"/>
    <n v="0.38"/>
    <n v="14.44"/>
    <s v=""/>
    <x v="2"/>
    <x v="0"/>
    <x v="0"/>
  </r>
  <r>
    <s v="CLM105048"/>
    <s v="PT11078"/>
    <s v="P02"/>
    <x v="1"/>
    <x v="7"/>
    <n v="1"/>
    <d v="2026-03-21T00:00:00"/>
    <d v="2026-03-28T00:00:00"/>
    <n v="207.84"/>
    <n v="89.42"/>
    <n v="89.42"/>
    <n v="0"/>
    <s v="Paid"/>
    <s v=""/>
    <d v="2026-04-27T00:00:00"/>
    <d v="2026-04-27T00:00:00"/>
    <n v="210"/>
    <n v="0.43"/>
    <n v="90.3"/>
    <n v="0.87999999999999545"/>
    <x v="0"/>
    <x v="6"/>
    <x v="2"/>
  </r>
  <r>
    <s v="CLM105049"/>
    <s v="PT13052"/>
    <s v="P02"/>
    <x v="0"/>
    <x v="7"/>
    <n v="1"/>
    <d v="2026-02-24T00:00:00"/>
    <d v="2026-03-07T00:00:00"/>
    <n v="210.14"/>
    <n v="89.88"/>
    <n v="89.88"/>
    <n v="0"/>
    <s v="Paid"/>
    <s v=""/>
    <d v="2026-04-01T00:00:00"/>
    <d v="2026-04-01T00:00:00"/>
    <n v="210"/>
    <n v="0.43"/>
    <n v="90.3"/>
    <n v="0.42000000000000171"/>
    <x v="0"/>
    <x v="6"/>
    <x v="0"/>
  </r>
  <r>
    <s v="CLM105050"/>
    <s v="PT10087"/>
    <s v="P02"/>
    <x v="1"/>
    <x v="5"/>
    <n v="1"/>
    <d v="2026-05-11T00:00:00"/>
    <d v="2026-05-13T00:00:00"/>
    <n v="4748.7"/>
    <n v="2292.88"/>
    <n v="2292.88"/>
    <n v="0"/>
    <s v="Paid"/>
    <s v=""/>
    <d v="2026-06-14T00:00:00"/>
    <d v="2026-06-14T00:00:00"/>
    <n v="4800"/>
    <n v="0.43"/>
    <n v="2064"/>
    <n v="-228.88000000000011"/>
    <x v="0"/>
    <x v="6"/>
    <x v="7"/>
  </r>
  <r>
    <s v="CLM105051"/>
    <s v="PT10368"/>
    <s v="P07"/>
    <x v="1"/>
    <x v="1"/>
    <n v="1"/>
    <d v="2025-10-01T00:00:00"/>
    <d v="2025-10-02T00:00:00"/>
    <n v="233.37"/>
    <m/>
    <m/>
    <m/>
    <s v="Denied"/>
    <s v="CO-27"/>
    <d v="2025-11-27T00:00:00"/>
    <m/>
    <n v="240"/>
    <n v="0.28000000000000003"/>
    <n v="67.2"/>
    <s v=""/>
    <x v="2"/>
    <x v="3"/>
    <x v="9"/>
  </r>
  <r>
    <s v="CLM105052"/>
    <s v="PT10605"/>
    <s v="P02"/>
    <x v="2"/>
    <x v="9"/>
    <n v="4"/>
    <d v="2026-08-16T00:00:00"/>
    <d v="2026-08-17T00:00:00"/>
    <n v="233.12"/>
    <n v="99.48"/>
    <n v="99.48"/>
    <n v="0"/>
    <s v="Paid"/>
    <s v=""/>
    <d v="2026-09-08T00:00:00"/>
    <d v="2026-09-08T00:00:00"/>
    <n v="58"/>
    <n v="0.43"/>
    <n v="99.76"/>
    <n v="0.28000000000000114"/>
    <x v="0"/>
    <x v="6"/>
    <x v="4"/>
  </r>
  <r>
    <s v="CLM105053"/>
    <s v="PT10824"/>
    <s v="P05"/>
    <x v="2"/>
    <x v="0"/>
    <n v="1"/>
    <d v="2025-12-22T00:00:00"/>
    <d v="2025-12-28T00:00:00"/>
    <n v="143.72999999999999"/>
    <n v="56.24"/>
    <n v="50.62"/>
    <n v="5.62"/>
    <s v="Paid"/>
    <s v=""/>
    <d v="2026-02-19T00:00:00"/>
    <d v="2026-02-19T00:00:00"/>
    <n v="145"/>
    <n v="0.38"/>
    <n v="55.1"/>
    <n v="-1.1400000000000006"/>
    <x v="0"/>
    <x v="0"/>
    <x v="6"/>
  </r>
  <r>
    <s v="CLM105054"/>
    <s v="PT10476"/>
    <s v="P02"/>
    <x v="0"/>
    <x v="4"/>
    <n v="1"/>
    <d v="2026-07-27T00:00:00"/>
    <d v="2026-07-28T00:00:00"/>
    <n v="39.090000000000003"/>
    <n v="19.100000000000001"/>
    <n v="15.28"/>
    <n v="3.82"/>
    <s v="Paid"/>
    <s v=""/>
    <d v="2026-08-19T00:00:00"/>
    <d v="2026-08-19T00:00:00"/>
    <n v="38"/>
    <n v="0.43"/>
    <n v="16.34"/>
    <n v="-2.7600000000000016"/>
    <x v="0"/>
    <x v="6"/>
    <x v="1"/>
  </r>
  <r>
    <s v="CLM105055"/>
    <s v="PT12794"/>
    <s v="P01"/>
    <x v="0"/>
    <x v="8"/>
    <n v="1"/>
    <d v="2026-01-06T00:00:00"/>
    <d v="2026-01-07T00:00:00"/>
    <n v="255.52"/>
    <n v="98.83"/>
    <n v="79.06"/>
    <n v="19.77"/>
    <s v="Paid"/>
    <s v=""/>
    <d v="2026-02-05T00:00:00"/>
    <d v="2026-02-05T00:00:00"/>
    <n v="260"/>
    <n v="0.45"/>
    <n v="117"/>
    <n v="18.170000000000002"/>
    <x v="1"/>
    <x v="5"/>
    <x v="5"/>
  </r>
  <r>
    <s v="CLM105056"/>
    <s v="PT13044"/>
    <s v="P03"/>
    <x v="1"/>
    <x v="10"/>
    <n v="1"/>
    <d v="2026-02-28T00:00:00"/>
    <d v="2026-03-01T00:00:00"/>
    <n v="1037.94"/>
    <m/>
    <m/>
    <m/>
    <s v="Denied"/>
    <s v="CO-27"/>
    <d v="2026-04-14T00:00:00"/>
    <m/>
    <n v="1050"/>
    <n v="0.47"/>
    <n v="493.5"/>
    <s v=""/>
    <x v="2"/>
    <x v="4"/>
    <x v="0"/>
  </r>
  <r>
    <s v="CLM105057"/>
    <s v="PT13428"/>
    <s v="P07"/>
    <x v="2"/>
    <x v="2"/>
    <n v="1"/>
    <d v="2026-01-13T00:00:00"/>
    <d v="2026-01-15T00:00:00"/>
    <n v="60.57"/>
    <m/>
    <m/>
    <m/>
    <s v="Denied"/>
    <s v="CO-27"/>
    <d v="2026-03-26T00:00:00"/>
    <m/>
    <n v="62"/>
    <n v="0.28000000000000003"/>
    <n v="17.36"/>
    <s v=""/>
    <x v="2"/>
    <x v="3"/>
    <x v="5"/>
  </r>
  <r>
    <s v="CLM105058"/>
    <s v="PT10776"/>
    <s v="P02"/>
    <x v="0"/>
    <x v="4"/>
    <n v="1"/>
    <d v="2026-03-02T00:00:00"/>
    <d v="2026-03-04T00:00:00"/>
    <n v="37.1"/>
    <n v="15.41"/>
    <n v="15.41"/>
    <n v="0"/>
    <s v="Paid"/>
    <s v=""/>
    <d v="2026-03-25T00:00:00"/>
    <d v="2026-03-25T00:00:00"/>
    <n v="38"/>
    <n v="0.43"/>
    <n v="16.34"/>
    <n v="0.92999999999999972"/>
    <x v="1"/>
    <x v="6"/>
    <x v="2"/>
  </r>
  <r>
    <s v="CLM105059"/>
    <s v="PT12849"/>
    <s v="P05"/>
    <x v="0"/>
    <x v="4"/>
    <n v="1"/>
    <d v="2026-01-07T00:00:00"/>
    <d v="2026-01-08T00:00:00"/>
    <n v="39.03"/>
    <n v="12.76"/>
    <n v="11.48"/>
    <n v="1.28"/>
    <s v="Paid"/>
    <s v=""/>
    <d v="2026-03-16T00:00:00"/>
    <d v="2026-03-16T00:00:00"/>
    <n v="38"/>
    <n v="0.38"/>
    <n v="14.44"/>
    <n v="1.6799999999999997"/>
    <x v="1"/>
    <x v="0"/>
    <x v="5"/>
  </r>
  <r>
    <s v="CLM105060"/>
    <s v="PT11075"/>
    <s v="P01"/>
    <x v="0"/>
    <x v="4"/>
    <n v="1"/>
    <d v="2026-04-03T00:00:00"/>
    <d v="2026-04-05T00:00:00"/>
    <n v="37.700000000000003"/>
    <n v="14.41"/>
    <n v="14.41"/>
    <n v="0"/>
    <s v="Paid"/>
    <s v=""/>
    <d v="2026-05-10T00:00:00"/>
    <d v="2026-05-10T00:00:00"/>
    <n v="38"/>
    <n v="0.45"/>
    <n v="17.100000000000001"/>
    <n v="2.6900000000000013"/>
    <x v="1"/>
    <x v="5"/>
    <x v="10"/>
  </r>
  <r>
    <s v="CLM105061"/>
    <s v="PT10343"/>
    <s v="P05"/>
    <x v="2"/>
    <x v="0"/>
    <n v="1"/>
    <d v="2026-03-28T00:00:00"/>
    <d v="2026-03-29T00:00:00"/>
    <n v="141.77000000000001"/>
    <n v="49.78"/>
    <n v="49.78"/>
    <n v="0"/>
    <s v="Paid"/>
    <s v=""/>
    <d v="2026-06-06T00:00:00"/>
    <d v="2026-06-06T00:00:00"/>
    <n v="145"/>
    <n v="0.38"/>
    <n v="55.1"/>
    <n v="5.32"/>
    <x v="1"/>
    <x v="0"/>
    <x v="2"/>
  </r>
  <r>
    <s v="CLM105062"/>
    <s v="PT11064"/>
    <s v="P02"/>
    <x v="3"/>
    <x v="6"/>
    <n v="1"/>
    <d v="2026-07-19T00:00:00"/>
    <d v="2026-07-20T00:00:00"/>
    <n v="425.81"/>
    <n v="189.03"/>
    <n v="189.03"/>
    <n v="0"/>
    <s v="Paid"/>
    <s v=""/>
    <d v="2026-08-19T00:00:00"/>
    <d v="2026-08-19T00:00:00"/>
    <n v="420"/>
    <n v="0.43"/>
    <n v="180.6"/>
    <n v="-8.4300000000000068"/>
    <x v="0"/>
    <x v="6"/>
    <x v="1"/>
  </r>
  <r>
    <s v="CLM105063"/>
    <s v="PT12586"/>
    <s v="P07"/>
    <x v="1"/>
    <x v="5"/>
    <n v="1"/>
    <d v="2025-10-03T00:00:00"/>
    <d v="2025-10-08T00:00:00"/>
    <n v="4695.41"/>
    <m/>
    <m/>
    <m/>
    <s v="Denied"/>
    <s v="CO-50"/>
    <d v="2025-12-21T00:00:00"/>
    <m/>
    <n v="4800"/>
    <n v="0.28000000000000003"/>
    <n v="1344"/>
    <s v=""/>
    <x v="2"/>
    <x v="3"/>
    <x v="9"/>
  </r>
  <r>
    <s v="CLM105064"/>
    <s v="PT12257"/>
    <s v="P01"/>
    <x v="2"/>
    <x v="2"/>
    <n v="1"/>
    <d v="2025-11-20T00:00:00"/>
    <d v="2025-11-23T00:00:00"/>
    <n v="60.27"/>
    <n v="24.12"/>
    <n v="21.71"/>
    <n v="2.41"/>
    <s v="Paid"/>
    <s v=""/>
    <d v="2025-12-23T00:00:00"/>
    <d v="2025-12-23T00:00:00"/>
    <n v="62"/>
    <n v="0.45"/>
    <n v="27.9"/>
    <n v="3.7799999999999976"/>
    <x v="1"/>
    <x v="5"/>
    <x v="3"/>
  </r>
  <r>
    <s v="CLM105065"/>
    <s v="PT13329"/>
    <s v="P01"/>
    <x v="0"/>
    <x v="8"/>
    <n v="1"/>
    <d v="2026-09-12T00:00:00"/>
    <d v="2026-09-17T00:00:00"/>
    <n v="266.89"/>
    <m/>
    <m/>
    <m/>
    <s v="Pending"/>
    <s v=""/>
    <m/>
    <m/>
    <n v="260"/>
    <n v="0.45"/>
    <n v="117"/>
    <s v=""/>
    <x v="2"/>
    <x v="5"/>
    <x v="8"/>
  </r>
  <r>
    <s v="CLM105066"/>
    <s v="PT12039"/>
    <s v="P04"/>
    <x v="1"/>
    <x v="7"/>
    <n v="1"/>
    <d v="2026-08-26T00:00:00"/>
    <d v="2026-08-28T00:00:00"/>
    <n v="207.76"/>
    <n v="73.86"/>
    <n v="59.09"/>
    <n v="14.77"/>
    <s v="Paid"/>
    <s v=""/>
    <d v="2026-09-28T00:00:00"/>
    <d v="2026-09-28T00:00:00"/>
    <n v="210"/>
    <n v="0.36"/>
    <n v="75.599999999999994"/>
    <n v="1.7399999999999949"/>
    <x v="0"/>
    <x v="1"/>
    <x v="4"/>
  </r>
  <r>
    <s v="CLM105067"/>
    <s v="PT11907"/>
    <s v="P01"/>
    <x v="1"/>
    <x v="4"/>
    <n v="1"/>
    <d v="2026-01-19T00:00:00"/>
    <d v="2026-01-26T00:00:00"/>
    <n v="38.450000000000003"/>
    <n v="17.7"/>
    <n v="17.7"/>
    <n v="0"/>
    <s v="Paid"/>
    <s v=""/>
    <d v="2026-02-25T00:00:00"/>
    <d v="2026-02-25T00:00:00"/>
    <n v="38"/>
    <n v="0.45"/>
    <n v="17.100000000000001"/>
    <n v="-0.59999999999999787"/>
    <x v="0"/>
    <x v="5"/>
    <x v="5"/>
  </r>
  <r>
    <s v="CLM105068"/>
    <s v="PT10338"/>
    <s v="P02"/>
    <x v="2"/>
    <x v="9"/>
    <n v="4"/>
    <d v="2026-06-22T00:00:00"/>
    <d v="2026-06-28T00:00:00"/>
    <n v="231.9"/>
    <n v="107.7"/>
    <n v="96.93"/>
    <n v="10.77"/>
    <s v="Paid"/>
    <s v=""/>
    <d v="2026-08-01T00:00:00"/>
    <d v="2026-08-01T00:00:00"/>
    <n v="58"/>
    <n v="0.43"/>
    <n v="99.76"/>
    <n v="-7.9399999999999977"/>
    <x v="0"/>
    <x v="6"/>
    <x v="11"/>
  </r>
  <r>
    <s v="CLM105069"/>
    <s v="PT12814"/>
    <s v="P04"/>
    <x v="0"/>
    <x v="8"/>
    <n v="1"/>
    <d v="2025-10-28T00:00:00"/>
    <d v="2025-10-31T00:00:00"/>
    <n v="256.94"/>
    <m/>
    <m/>
    <m/>
    <s v="Denied"/>
    <s v="CO-4"/>
    <d v="2025-11-09T00:00:00"/>
    <m/>
    <n v="260"/>
    <n v="0.36"/>
    <n v="93.6"/>
    <s v=""/>
    <x v="2"/>
    <x v="1"/>
    <x v="9"/>
  </r>
  <r>
    <s v="CLM105070"/>
    <s v="PT13354"/>
    <s v="P07"/>
    <x v="0"/>
    <x v="4"/>
    <n v="1"/>
    <d v="2025-12-27T00:00:00"/>
    <d v="2025-12-28T00:00:00"/>
    <n v="37.69"/>
    <m/>
    <m/>
    <m/>
    <s v="Denied"/>
    <s v="CO-18"/>
    <d v="2026-02-17T00:00:00"/>
    <m/>
    <n v="38"/>
    <n v="0.28000000000000003"/>
    <n v="10.64"/>
    <s v=""/>
    <x v="2"/>
    <x v="3"/>
    <x v="6"/>
  </r>
  <r>
    <s v="CLM105071"/>
    <s v="PT10011"/>
    <s v="P02"/>
    <x v="0"/>
    <x v="7"/>
    <n v="1"/>
    <d v="2026-01-16T00:00:00"/>
    <d v="2026-01-26T00:00:00"/>
    <n v="209.44"/>
    <n v="79.42"/>
    <n v="79.42"/>
    <n v="0"/>
    <s v="Paid"/>
    <s v=""/>
    <d v="2026-02-24T00:00:00"/>
    <d v="2026-02-24T00:00:00"/>
    <n v="210"/>
    <n v="0.43"/>
    <n v="90.3"/>
    <n v="10.879999999999995"/>
    <x v="1"/>
    <x v="6"/>
    <x v="5"/>
  </r>
  <r>
    <s v="CLM105072"/>
    <s v="PT10348"/>
    <s v="P02"/>
    <x v="1"/>
    <x v="10"/>
    <n v="1"/>
    <d v="2026-06-05T00:00:00"/>
    <d v="2026-06-12T00:00:00"/>
    <n v="1041.4000000000001"/>
    <m/>
    <m/>
    <m/>
    <s v="Denied"/>
    <s v="CO-50"/>
    <d v="2026-07-29T00:00:00"/>
    <m/>
    <n v="1050"/>
    <n v="0.43"/>
    <n v="451.5"/>
    <s v=""/>
    <x v="2"/>
    <x v="6"/>
    <x v="11"/>
  </r>
  <r>
    <s v="CLM105073"/>
    <s v="PT12379"/>
    <s v="P05"/>
    <x v="2"/>
    <x v="2"/>
    <n v="1"/>
    <d v="2025-10-11T00:00:00"/>
    <d v="2026-01-16T00:00:00"/>
    <n v="62.95"/>
    <m/>
    <m/>
    <m/>
    <s v="Denied"/>
    <s v="CO-29"/>
    <d v="2026-03-05T00:00:00"/>
    <m/>
    <n v="62"/>
    <n v="0.38"/>
    <n v="23.56"/>
    <s v=""/>
    <x v="2"/>
    <x v="0"/>
    <x v="9"/>
  </r>
  <r>
    <s v="CLM105074"/>
    <s v="PT12063"/>
    <s v="P06"/>
    <x v="0"/>
    <x v="7"/>
    <n v="1"/>
    <d v="2025-10-22T00:00:00"/>
    <d v="2025-10-30T00:00:00"/>
    <n v="212.06"/>
    <n v="49.33"/>
    <n v="39.46"/>
    <n v="9.8699999999999992"/>
    <s v="Paid"/>
    <s v=""/>
    <d v="2025-11-25T00:00:00"/>
    <d v="2025-11-25T00:00:00"/>
    <n v="210"/>
    <n v="0.27"/>
    <n v="56.7"/>
    <n v="7.3700000000000045"/>
    <x v="1"/>
    <x v="2"/>
    <x v="9"/>
  </r>
  <r>
    <s v="CLM105075"/>
    <s v="PT11801"/>
    <s v="P02"/>
    <x v="1"/>
    <x v="1"/>
    <n v="1"/>
    <d v="2026-03-17T00:00:00"/>
    <d v="2026-03-19T00:00:00"/>
    <n v="240.31"/>
    <n v="92.67"/>
    <n v="74.14"/>
    <n v="18.53"/>
    <s v="Paid"/>
    <s v=""/>
    <d v="2026-04-18T00:00:00"/>
    <d v="2026-04-18T00:00:00"/>
    <n v="240"/>
    <n v="0.43"/>
    <n v="103.2"/>
    <n v="10.530000000000001"/>
    <x v="1"/>
    <x v="6"/>
    <x v="2"/>
  </r>
  <r>
    <s v="CLM105076"/>
    <s v="PT11397"/>
    <s v="P03"/>
    <x v="0"/>
    <x v="8"/>
    <n v="1"/>
    <d v="2026-04-06T00:00:00"/>
    <d v="2026-04-14T00:00:00"/>
    <n v="263.01"/>
    <n v="116.99"/>
    <n v="93.59"/>
    <n v="23.4"/>
    <s v="Paid"/>
    <s v=""/>
    <d v="2026-06-03T00:00:00"/>
    <d v="2026-06-03T00:00:00"/>
    <n v="260"/>
    <n v="0.47"/>
    <n v="122.2"/>
    <n v="5.210000000000008"/>
    <x v="0"/>
    <x v="4"/>
    <x v="10"/>
  </r>
  <r>
    <s v="CLM105077"/>
    <s v="PT10766"/>
    <s v="P01"/>
    <x v="1"/>
    <x v="1"/>
    <n v="1"/>
    <d v="2026-04-03T00:00:00"/>
    <d v="2026-04-06T00:00:00"/>
    <n v="234.68"/>
    <n v="109.21"/>
    <n v="109.21"/>
    <n v="0"/>
    <s v="Paid"/>
    <s v=""/>
    <d v="2026-05-08T00:00:00"/>
    <d v="2026-05-08T00:00:00"/>
    <n v="240"/>
    <n v="0.45"/>
    <n v="108"/>
    <n v="-1.2099999999999937"/>
    <x v="0"/>
    <x v="5"/>
    <x v="10"/>
  </r>
  <r>
    <s v="CLM105078"/>
    <s v="PT10310"/>
    <s v="P01"/>
    <x v="3"/>
    <x v="3"/>
    <n v="5"/>
    <d v="2026-04-16T00:00:00"/>
    <d v="2026-04-25T00:00:00"/>
    <n v="7299.2"/>
    <m/>
    <m/>
    <m/>
    <s v="Denied"/>
    <s v="CO-50"/>
    <d v="2026-05-21T00:00:00"/>
    <m/>
    <n v="1450"/>
    <n v="0.45"/>
    <n v="3262.5"/>
    <s v=""/>
    <x v="2"/>
    <x v="5"/>
    <x v="10"/>
  </r>
  <r>
    <s v="CLM105079"/>
    <s v="PT10902"/>
    <s v="P05"/>
    <x v="1"/>
    <x v="8"/>
    <n v="1"/>
    <d v="2026-09-24T00:00:00"/>
    <d v="2026-09-26T00:00:00"/>
    <n v="255.67"/>
    <m/>
    <m/>
    <m/>
    <s v="Pending"/>
    <s v=""/>
    <m/>
    <m/>
    <n v="260"/>
    <n v="0.38"/>
    <n v="98.8"/>
    <s v=""/>
    <x v="2"/>
    <x v="0"/>
    <x v="8"/>
  </r>
  <r>
    <s v="CLM105080"/>
    <s v="PT11384"/>
    <s v="P01"/>
    <x v="1"/>
    <x v="11"/>
    <n v="1"/>
    <d v="2026-07-29T00:00:00"/>
    <d v="2026-07-31T00:00:00"/>
    <n v="1132.43"/>
    <n v="489.78"/>
    <n v="391.82"/>
    <n v="97.96"/>
    <s v="Paid"/>
    <s v=""/>
    <d v="2026-08-28T00:00:00"/>
    <d v="2026-08-28T00:00:00"/>
    <n v="1150"/>
    <n v="0.45"/>
    <n v="517.5"/>
    <n v="27.720000000000027"/>
    <x v="1"/>
    <x v="5"/>
    <x v="1"/>
  </r>
  <r>
    <s v="CLM105081"/>
    <s v="PT10891"/>
    <s v="P01"/>
    <x v="0"/>
    <x v="7"/>
    <n v="1"/>
    <d v="2026-05-28T00:00:00"/>
    <d v="2026-05-30T00:00:00"/>
    <n v="206.22"/>
    <n v="91.87"/>
    <n v="73.5"/>
    <n v="18.37"/>
    <s v="Paid"/>
    <s v=""/>
    <d v="2026-06-04T00:00:00"/>
    <d v="2026-06-04T00:00:00"/>
    <n v="210"/>
    <n v="0.45"/>
    <n v="94.5"/>
    <n v="2.6299999999999955"/>
    <x v="0"/>
    <x v="5"/>
    <x v="7"/>
  </r>
  <r>
    <s v="CLM105082"/>
    <s v="PT13320"/>
    <s v="P05"/>
    <x v="1"/>
    <x v="5"/>
    <n v="1"/>
    <d v="2026-05-11T00:00:00"/>
    <d v="2026-05-15T00:00:00"/>
    <n v="4748.24"/>
    <n v="1790.23"/>
    <n v="1611.21"/>
    <n v="179.02"/>
    <s v="Paid"/>
    <s v=""/>
    <d v="2026-07-21T00:00:00"/>
    <d v="2026-07-21T00:00:00"/>
    <n v="4800"/>
    <n v="0.38"/>
    <n v="1824"/>
    <n v="33.769999999999982"/>
    <x v="0"/>
    <x v="0"/>
    <x v="7"/>
  </r>
  <r>
    <s v="CLM105083"/>
    <s v="PT10897"/>
    <s v="P06"/>
    <x v="0"/>
    <x v="4"/>
    <n v="1"/>
    <d v="2026-08-15T00:00:00"/>
    <d v="2026-08-16T00:00:00"/>
    <n v="38.200000000000003"/>
    <n v="11.53"/>
    <n v="9.2200000000000006"/>
    <n v="2.31"/>
    <s v="Paid"/>
    <s v=""/>
    <d v="2026-08-21T00:00:00"/>
    <d v="2026-08-21T00:00:00"/>
    <n v="38"/>
    <n v="0.27"/>
    <n v="10.26"/>
    <n v="-1.2699999999999996"/>
    <x v="0"/>
    <x v="2"/>
    <x v="4"/>
  </r>
  <r>
    <s v="CLM105084"/>
    <s v="PT12611"/>
    <s v="P05"/>
    <x v="0"/>
    <x v="7"/>
    <n v="1"/>
    <d v="2026-06-19T00:00:00"/>
    <d v="2026-07-20T00:00:00"/>
    <n v="215.38"/>
    <n v="93.14"/>
    <n v="83.83"/>
    <n v="9.31"/>
    <s v="Paid"/>
    <s v=""/>
    <d v="2026-08-29T00:00:00"/>
    <d v="2026-08-29T00:00:00"/>
    <n v="210"/>
    <n v="0.38"/>
    <n v="79.8"/>
    <n v="-13.340000000000003"/>
    <x v="0"/>
    <x v="0"/>
    <x v="11"/>
  </r>
  <r>
    <s v="CLM105086"/>
    <s v="PT11490"/>
    <s v="P02"/>
    <x v="0"/>
    <x v="4"/>
    <n v="1"/>
    <d v="2026-03-12T00:00:00"/>
    <d v="2026-03-13T00:00:00"/>
    <n v="37.76"/>
    <n v="18.39"/>
    <n v="16.55"/>
    <n v="1.84"/>
    <s v="Paid"/>
    <s v=""/>
    <d v="2026-04-01T00:00:00"/>
    <d v="2026-04-01T00:00:00"/>
    <n v="38"/>
    <n v="0.43"/>
    <n v="16.34"/>
    <n v="-2.0500000000000007"/>
    <x v="0"/>
    <x v="6"/>
    <x v="2"/>
  </r>
  <r>
    <s v="CLM105087"/>
    <s v="PT12272"/>
    <s v="P03"/>
    <x v="2"/>
    <x v="2"/>
    <n v="3"/>
    <d v="2026-03-03T00:00:00"/>
    <d v="2026-03-04T00:00:00"/>
    <n v="187.4"/>
    <n v="91.46"/>
    <n v="82.31"/>
    <n v="9.15"/>
    <s v="Paid"/>
    <s v=""/>
    <d v="2026-04-13T00:00:00"/>
    <d v="2026-04-13T00:00:00"/>
    <n v="62"/>
    <n v="0.47"/>
    <n v="87.42"/>
    <n v="-4.039999999999992"/>
    <x v="0"/>
    <x v="4"/>
    <x v="2"/>
  </r>
  <r>
    <s v="CLM105088"/>
    <s v="PT13373"/>
    <s v="P01"/>
    <x v="0"/>
    <x v="0"/>
    <n v="1"/>
    <d v="2025-11-06T00:00:00"/>
    <d v="2025-11-09T00:00:00"/>
    <n v="147.04"/>
    <n v="65.27"/>
    <n v="65.27"/>
    <n v="0"/>
    <s v="Paid"/>
    <s v=""/>
    <d v="2025-12-09T00:00:00"/>
    <d v="2025-12-09T00:00:00"/>
    <n v="145"/>
    <n v="0.45"/>
    <n v="65.25"/>
    <n v="-1.9999999999996021E-2"/>
    <x v="0"/>
    <x v="5"/>
    <x v="3"/>
  </r>
  <r>
    <s v="CLM105089"/>
    <s v="PT10198"/>
    <s v="P07"/>
    <x v="1"/>
    <x v="7"/>
    <n v="1"/>
    <d v="2026-06-17T00:00:00"/>
    <d v="2026-06-18T00:00:00"/>
    <n v="206.39"/>
    <n v="51.65"/>
    <n v="41.32"/>
    <n v="10.33"/>
    <s v="Paid"/>
    <s v=""/>
    <d v="2026-08-26T00:00:00"/>
    <d v="2026-08-26T00:00:00"/>
    <n v="210"/>
    <n v="0.28000000000000003"/>
    <n v="58.8"/>
    <n v="7.1499999999999986"/>
    <x v="1"/>
    <x v="3"/>
    <x v="11"/>
  </r>
  <r>
    <s v="CLM105090"/>
    <s v="PT11010"/>
    <s v="P06"/>
    <x v="0"/>
    <x v="0"/>
    <n v="1"/>
    <d v="2026-04-25T00:00:00"/>
    <d v="2026-05-12T00:00:00"/>
    <n v="146.09"/>
    <n v="33.44"/>
    <n v="30.1"/>
    <n v="3.34"/>
    <s v="Paid"/>
    <s v=""/>
    <d v="2026-06-15T00:00:00"/>
    <d v="2026-06-15T00:00:00"/>
    <n v="145"/>
    <n v="0.27"/>
    <n v="39.15"/>
    <n v="5.7100000000000009"/>
    <x v="1"/>
    <x v="2"/>
    <x v="10"/>
  </r>
  <r>
    <s v="CLM105091"/>
    <s v="PT12383"/>
    <s v="P06"/>
    <x v="1"/>
    <x v="7"/>
    <n v="1"/>
    <d v="2026-07-10T00:00:00"/>
    <d v="2026-07-16T00:00:00"/>
    <n v="213.62"/>
    <n v="59.56"/>
    <n v="59.56"/>
    <n v="0"/>
    <s v="Paid"/>
    <s v=""/>
    <d v="2026-09-08T00:00:00"/>
    <d v="2026-09-08T00:00:00"/>
    <n v="210"/>
    <n v="0.27"/>
    <n v="56.7"/>
    <n v="-2.8599999999999994"/>
    <x v="0"/>
    <x v="2"/>
    <x v="1"/>
  </r>
  <r>
    <s v="CLM105092"/>
    <s v="PT11009"/>
    <s v="P01"/>
    <x v="3"/>
    <x v="7"/>
    <n v="1"/>
    <d v="2026-02-04T00:00:00"/>
    <d v="2026-02-09T00:00:00"/>
    <n v="205.88"/>
    <m/>
    <m/>
    <m/>
    <s v="Denied"/>
    <s v="CO-11"/>
    <d v="2026-02-28T00:00:00"/>
    <m/>
    <n v="210"/>
    <n v="0.45"/>
    <n v="94.5"/>
    <s v=""/>
    <x v="2"/>
    <x v="5"/>
    <x v="0"/>
  </r>
  <r>
    <s v="CLM105093"/>
    <s v="PT11678"/>
    <s v="P02"/>
    <x v="1"/>
    <x v="7"/>
    <n v="1"/>
    <d v="2025-10-19T00:00:00"/>
    <d v="2025-10-20T00:00:00"/>
    <n v="213.87"/>
    <n v="94.65"/>
    <n v="85.18"/>
    <n v="9.4700000000000006"/>
    <s v="Paid"/>
    <s v=""/>
    <d v="2025-11-22T00:00:00"/>
    <d v="2025-11-22T00:00:00"/>
    <n v="210"/>
    <n v="0.43"/>
    <n v="90.3"/>
    <n v="-4.3500000000000085"/>
    <x v="0"/>
    <x v="6"/>
    <x v="9"/>
  </r>
  <r>
    <s v="CLM105094"/>
    <s v="PT13442"/>
    <s v="P01"/>
    <x v="3"/>
    <x v="3"/>
    <n v="30"/>
    <d v="2025-11-11T00:00:00"/>
    <d v="2025-11-23T00:00:00"/>
    <n v="42554.33"/>
    <n v="20019.45"/>
    <n v="18017.5"/>
    <n v="2001.95"/>
    <s v="Paid"/>
    <s v=""/>
    <d v="2025-12-09T00:00:00"/>
    <d v="2025-12-09T00:00:00"/>
    <n v="1450"/>
    <n v="0.45"/>
    <n v="19575"/>
    <n v="-444.45000000000073"/>
    <x v="0"/>
    <x v="5"/>
    <x v="3"/>
  </r>
  <r>
    <s v="CLM105095"/>
    <s v="PT11432"/>
    <s v="P05"/>
    <x v="2"/>
    <x v="2"/>
    <n v="1"/>
    <d v="2025-11-04T00:00:00"/>
    <d v="2025-11-06T00:00:00"/>
    <n v="62.09"/>
    <n v="20.170000000000002"/>
    <n v="20.170000000000002"/>
    <n v="0"/>
    <s v="Paid"/>
    <s v=""/>
    <d v="2026-01-14T00:00:00"/>
    <d v="2026-01-14T00:00:00"/>
    <n v="62"/>
    <n v="0.38"/>
    <n v="23.56"/>
    <n v="3.389999999999997"/>
    <x v="1"/>
    <x v="0"/>
    <x v="3"/>
  </r>
  <r>
    <s v="CLM105096"/>
    <s v="PT10608"/>
    <s v="P02"/>
    <x v="1"/>
    <x v="11"/>
    <n v="1"/>
    <d v="2026-03-01T00:00:00"/>
    <d v="2026-03-02T00:00:00"/>
    <n v="1140.45"/>
    <n v="445.43"/>
    <n v="445.43"/>
    <n v="0"/>
    <s v="Paid"/>
    <s v=""/>
    <d v="2026-04-07T00:00:00"/>
    <d v="2026-04-07T00:00:00"/>
    <n v="1150"/>
    <n v="0.43"/>
    <n v="494.5"/>
    <n v="49.069999999999993"/>
    <x v="1"/>
    <x v="6"/>
    <x v="2"/>
  </r>
  <r>
    <s v="CLM105097"/>
    <s v="PT11139"/>
    <s v="P01"/>
    <x v="0"/>
    <x v="4"/>
    <n v="1"/>
    <d v="2026-07-23T00:00:00"/>
    <d v="2026-07-24T00:00:00"/>
    <n v="38.18"/>
    <n v="15.77"/>
    <n v="14.19"/>
    <n v="1.58"/>
    <s v="Paid"/>
    <s v=""/>
    <d v="2026-08-12T00:00:00"/>
    <d v="2026-08-12T00:00:00"/>
    <n v="38"/>
    <n v="0.45"/>
    <n v="17.100000000000001"/>
    <n v="1.3300000000000018"/>
    <x v="1"/>
    <x v="5"/>
    <x v="1"/>
  </r>
  <r>
    <s v="CLM105098"/>
    <s v="PT12833"/>
    <s v="P07"/>
    <x v="3"/>
    <x v="6"/>
    <n v="1"/>
    <d v="2026-04-29T00:00:00"/>
    <d v="2026-05-08T00:00:00"/>
    <n v="413.8"/>
    <m/>
    <m/>
    <m/>
    <s v="Denied"/>
    <s v="CO-50"/>
    <d v="2026-06-11T00:00:00"/>
    <m/>
    <n v="420"/>
    <n v="0.28000000000000003"/>
    <n v="117.6"/>
    <s v=""/>
    <x v="2"/>
    <x v="3"/>
    <x v="10"/>
  </r>
  <r>
    <s v="CLM105099"/>
    <s v="PT13131"/>
    <s v="P01"/>
    <x v="3"/>
    <x v="3"/>
    <n v="10"/>
    <d v="2026-03-20T00:00:00"/>
    <d v="2026-03-22T00:00:00"/>
    <n v="14720.71"/>
    <n v="7198.7"/>
    <n v="5758.96"/>
    <n v="1439.74"/>
    <s v="Paid"/>
    <s v=""/>
    <d v="2026-04-26T00:00:00"/>
    <d v="2026-04-26T00:00:00"/>
    <n v="1450"/>
    <n v="0.45"/>
    <n v="6525"/>
    <n v="-673.69999999999982"/>
    <x v="0"/>
    <x v="5"/>
    <x v="2"/>
  </r>
  <r>
    <s v="CLM105100"/>
    <s v="PT10541"/>
    <s v="P05"/>
    <x v="0"/>
    <x v="8"/>
    <n v="1"/>
    <d v="2026-03-27T00:00:00"/>
    <d v="2026-03-30T00:00:00"/>
    <n v="262.60000000000002"/>
    <n v="94.24"/>
    <n v="94.24"/>
    <n v="0"/>
    <s v="Paid"/>
    <s v=""/>
    <d v="2026-04-27T00:00:00"/>
    <d v="2026-04-27T00:00:00"/>
    <n v="260"/>
    <n v="0.38"/>
    <n v="98.8"/>
    <n v="4.5600000000000023"/>
    <x v="0"/>
    <x v="0"/>
    <x v="2"/>
  </r>
  <r>
    <s v="CLM105101"/>
    <s v="PT11375"/>
    <s v="P03"/>
    <x v="1"/>
    <x v="4"/>
    <n v="1"/>
    <d v="2026-04-12T00:00:00"/>
    <d v="2026-04-13T00:00:00"/>
    <n v="38.42"/>
    <n v="15.64"/>
    <n v="15.64"/>
    <n v="0"/>
    <s v="Paid"/>
    <s v=""/>
    <d v="2026-05-29T00:00:00"/>
    <d v="2026-05-29T00:00:00"/>
    <n v="38"/>
    <n v="0.47"/>
    <n v="17.86"/>
    <n v="2.2199999999999989"/>
    <x v="1"/>
    <x v="4"/>
    <x v="10"/>
  </r>
  <r>
    <s v="CLM105102"/>
    <s v="PT11661"/>
    <s v="P01"/>
    <x v="1"/>
    <x v="1"/>
    <n v="1"/>
    <d v="2026-02-23T00:00:00"/>
    <d v="2026-02-25T00:00:00"/>
    <n v="236.46"/>
    <n v="93.92"/>
    <n v="93.92"/>
    <n v="0"/>
    <s v="Paid"/>
    <s v=""/>
    <d v="2026-03-07T00:00:00"/>
    <d v="2026-03-07T00:00:00"/>
    <n v="240"/>
    <n v="0.45"/>
    <n v="108"/>
    <n v="14.079999999999998"/>
    <x v="1"/>
    <x v="5"/>
    <x v="0"/>
  </r>
  <r>
    <s v="CLM105103"/>
    <s v="PT11209"/>
    <s v="P04"/>
    <x v="0"/>
    <x v="8"/>
    <n v="1"/>
    <d v="2025-11-03T00:00:00"/>
    <d v="2025-11-04T00:00:00"/>
    <n v="263.63"/>
    <n v="96.58"/>
    <n v="86.92"/>
    <n v="9.66"/>
    <s v="Paid"/>
    <s v=""/>
    <d v="2025-11-25T00:00:00"/>
    <d v="2025-11-25T00:00:00"/>
    <n v="260"/>
    <n v="0.36"/>
    <n v="93.6"/>
    <n v="-2.980000000000004"/>
    <x v="0"/>
    <x v="1"/>
    <x v="3"/>
  </r>
  <r>
    <s v="CLM105104"/>
    <s v="PT11416"/>
    <s v="P03"/>
    <x v="1"/>
    <x v="4"/>
    <n v="1"/>
    <d v="2025-10-10T00:00:00"/>
    <d v="2025-10-13T00:00:00"/>
    <n v="38.42"/>
    <m/>
    <m/>
    <m/>
    <s v="Denied"/>
    <s v="CO-27"/>
    <d v="2025-11-27T00:00:00"/>
    <m/>
    <n v="38"/>
    <n v="0.47"/>
    <n v="17.86"/>
    <s v=""/>
    <x v="2"/>
    <x v="4"/>
    <x v="9"/>
  </r>
  <r>
    <s v="CLM105105"/>
    <s v="PT12130"/>
    <s v="P03"/>
    <x v="1"/>
    <x v="7"/>
    <n v="1"/>
    <d v="2026-01-31T00:00:00"/>
    <d v="2026-02-05T00:00:00"/>
    <n v="207.95"/>
    <n v="96.92"/>
    <n v="77.540000000000006"/>
    <n v="19.38"/>
    <s v="Paid"/>
    <s v=""/>
    <d v="2026-04-29T00:00:00"/>
    <d v="2026-04-29T00:00:00"/>
    <n v="210"/>
    <n v="0.47"/>
    <n v="98.7"/>
    <n v="1.7800000000000011"/>
    <x v="0"/>
    <x v="4"/>
    <x v="5"/>
  </r>
  <r>
    <s v="CLM105106"/>
    <s v="PT11832"/>
    <s v="P01"/>
    <x v="0"/>
    <x v="7"/>
    <n v="1"/>
    <d v="2026-03-20T00:00:00"/>
    <d v="2026-03-29T00:00:00"/>
    <n v="214.39"/>
    <n v="82.26"/>
    <n v="82.26"/>
    <n v="0"/>
    <s v="Paid"/>
    <s v=""/>
    <d v="2026-04-22T00:00:00"/>
    <d v="2026-04-22T00:00:00"/>
    <n v="210"/>
    <n v="0.45"/>
    <n v="94.5"/>
    <n v="12.239999999999995"/>
    <x v="1"/>
    <x v="5"/>
    <x v="2"/>
  </r>
  <r>
    <s v="CLM105107"/>
    <s v="PT12812"/>
    <s v="P04"/>
    <x v="2"/>
    <x v="9"/>
    <n v="3"/>
    <d v="2026-08-24T00:00:00"/>
    <d v="2026-08-26T00:00:00"/>
    <n v="168.86"/>
    <n v="55.49"/>
    <n v="44.39"/>
    <n v="11.1"/>
    <s v="Paid"/>
    <s v=""/>
    <d v="2026-09-12T00:00:00"/>
    <d v="2026-09-12T00:00:00"/>
    <n v="58"/>
    <n v="0.36"/>
    <n v="62.64"/>
    <n v="7.1499999999999986"/>
    <x v="1"/>
    <x v="1"/>
    <x v="4"/>
  </r>
  <r>
    <s v="CLM105108"/>
    <s v="PT12963"/>
    <s v="P02"/>
    <x v="3"/>
    <x v="7"/>
    <n v="1"/>
    <d v="2025-12-23T00:00:00"/>
    <d v="2025-12-24T00:00:00"/>
    <n v="206"/>
    <n v="91.53"/>
    <n v="91.53"/>
    <n v="0"/>
    <s v="Paid"/>
    <s v=""/>
    <d v="2026-01-25T00:00:00"/>
    <d v="2026-01-25T00:00:00"/>
    <n v="210"/>
    <n v="0.43"/>
    <n v="90.3"/>
    <n v="-1.230000000000004"/>
    <x v="0"/>
    <x v="6"/>
    <x v="6"/>
  </r>
  <r>
    <s v="CLM105109"/>
    <s v="PT12623"/>
    <s v="P05"/>
    <x v="2"/>
    <x v="2"/>
    <n v="4"/>
    <d v="2025-10-07T00:00:00"/>
    <d v="2025-10-12T00:00:00"/>
    <n v="242.8"/>
    <n v="107.31"/>
    <n v="85.85"/>
    <n v="21.46"/>
    <s v="Paid"/>
    <s v=""/>
    <d v="2025-12-11T00:00:00"/>
    <d v="2025-12-11T00:00:00"/>
    <n v="62"/>
    <n v="0.38"/>
    <n v="94.24"/>
    <n v="-13.070000000000007"/>
    <x v="0"/>
    <x v="0"/>
    <x v="9"/>
  </r>
  <r>
    <s v="CLM105110"/>
    <s v="PT11684"/>
    <s v="P02"/>
    <x v="1"/>
    <x v="11"/>
    <n v="1"/>
    <d v="2026-01-16T00:00:00"/>
    <d v="2026-01-17T00:00:00"/>
    <n v="1140.26"/>
    <m/>
    <m/>
    <m/>
    <s v="Denied"/>
    <s v="CO-197"/>
    <d v="2026-03-03T00:00:00"/>
    <m/>
    <n v="1150"/>
    <n v="0.43"/>
    <n v="494.5"/>
    <s v=""/>
    <x v="2"/>
    <x v="6"/>
    <x v="5"/>
  </r>
  <r>
    <s v="CLM105111"/>
    <s v="PT13489"/>
    <s v="P02"/>
    <x v="0"/>
    <x v="7"/>
    <n v="1"/>
    <d v="2026-03-23T00:00:00"/>
    <d v="2026-03-29T00:00:00"/>
    <n v="210.1"/>
    <n v="93.07"/>
    <n v="83.76"/>
    <n v="9.31"/>
    <s v="Paid"/>
    <s v=""/>
    <d v="2026-04-21T00:00:00"/>
    <d v="2026-04-21T00:00:00"/>
    <n v="210"/>
    <n v="0.43"/>
    <n v="90.3"/>
    <n v="-2.769999999999996"/>
    <x v="0"/>
    <x v="6"/>
    <x v="2"/>
  </r>
  <r>
    <s v="CLM105112"/>
    <s v="PT12037"/>
    <s v="P05"/>
    <x v="3"/>
    <x v="3"/>
    <n v="20"/>
    <d v="2026-03-08T00:00:00"/>
    <d v="2026-03-14T00:00:00"/>
    <n v="29524.29"/>
    <m/>
    <m/>
    <m/>
    <s v="Denied"/>
    <s v="CO-197"/>
    <d v="2026-04-24T00:00:00"/>
    <m/>
    <n v="1450"/>
    <n v="0.38"/>
    <n v="11020"/>
    <s v=""/>
    <x v="2"/>
    <x v="0"/>
    <x v="2"/>
  </r>
  <r>
    <s v="CLM105113"/>
    <s v="PT13247"/>
    <s v="P01"/>
    <x v="2"/>
    <x v="0"/>
    <n v="1"/>
    <d v="2026-06-15T00:00:00"/>
    <d v="2026-06-18T00:00:00"/>
    <n v="146.28"/>
    <n v="64.16"/>
    <n v="64.16"/>
    <n v="0"/>
    <s v="Paid"/>
    <s v=""/>
    <d v="2026-07-17T00:00:00"/>
    <d v="2026-07-17T00:00:00"/>
    <n v="145"/>
    <n v="0.45"/>
    <n v="65.25"/>
    <n v="1.0900000000000034"/>
    <x v="0"/>
    <x v="5"/>
    <x v="11"/>
  </r>
  <r>
    <s v="CLM105114"/>
    <s v="PT11869"/>
    <s v="P04"/>
    <x v="0"/>
    <x v="0"/>
    <n v="1"/>
    <d v="2025-11-19T00:00:00"/>
    <d v="2025-11-25T00:00:00"/>
    <n v="143.6"/>
    <n v="46.42"/>
    <n v="37.14"/>
    <n v="9.2799999999999994"/>
    <s v="Paid"/>
    <s v=""/>
    <d v="2025-12-22T00:00:00"/>
    <d v="2025-12-22T00:00:00"/>
    <n v="145"/>
    <n v="0.36"/>
    <n v="52.2"/>
    <n v="5.7800000000000011"/>
    <x v="1"/>
    <x v="1"/>
    <x v="3"/>
  </r>
  <r>
    <s v="CLM105115"/>
    <s v="PT11520"/>
    <s v="P05"/>
    <x v="1"/>
    <x v="11"/>
    <n v="1"/>
    <d v="2026-02-10T00:00:00"/>
    <d v="2026-02-11T00:00:00"/>
    <n v="1161.51"/>
    <n v="503.99"/>
    <n v="403.19"/>
    <n v="100.8"/>
    <s v="Paid"/>
    <s v=""/>
    <d v="2026-04-03T00:00:00"/>
    <d v="2026-04-03T00:00:00"/>
    <n v="1150"/>
    <n v="0.38"/>
    <n v="437"/>
    <n v="-66.990000000000009"/>
    <x v="0"/>
    <x v="0"/>
    <x v="0"/>
  </r>
  <r>
    <s v="CLM105116"/>
    <s v="PT12445"/>
    <s v="P02"/>
    <x v="3"/>
    <x v="6"/>
    <n v="1"/>
    <d v="2025-11-18T00:00:00"/>
    <d v="2025-11-29T00:00:00"/>
    <n v="432.03"/>
    <n v="195.28"/>
    <n v="175.75"/>
    <n v="19.53"/>
    <s v="Paid"/>
    <s v=""/>
    <d v="2026-01-02T00:00:00"/>
    <d v="2026-01-02T00:00:00"/>
    <n v="420"/>
    <n v="0.43"/>
    <n v="180.6"/>
    <n v="-14.680000000000007"/>
    <x v="0"/>
    <x v="6"/>
    <x v="3"/>
  </r>
  <r>
    <s v="CLM105117"/>
    <s v="PT11728"/>
    <s v="P02"/>
    <x v="2"/>
    <x v="9"/>
    <n v="1"/>
    <d v="2026-01-24T00:00:00"/>
    <d v="2026-01-27T00:00:00"/>
    <n v="56.61"/>
    <n v="21.67"/>
    <n v="19.5"/>
    <n v="2.17"/>
    <s v="Paid"/>
    <s v=""/>
    <d v="2026-02-21T00:00:00"/>
    <d v="2026-02-21T00:00:00"/>
    <n v="58"/>
    <n v="0.43"/>
    <n v="24.94"/>
    <n v="3.2699999999999996"/>
    <x v="1"/>
    <x v="6"/>
    <x v="5"/>
  </r>
  <r>
    <s v="CLM105118"/>
    <s v="PT11642"/>
    <s v="P02"/>
    <x v="2"/>
    <x v="2"/>
    <n v="1"/>
    <d v="2026-06-30T00:00:00"/>
    <d v="2026-07-13T00:00:00"/>
    <n v="60.72"/>
    <m/>
    <m/>
    <m/>
    <s v="Denied"/>
    <s v="CO-18"/>
    <d v="2026-08-11T00:00:00"/>
    <m/>
    <n v="62"/>
    <n v="0.43"/>
    <n v="26.66"/>
    <s v=""/>
    <x v="2"/>
    <x v="6"/>
    <x v="11"/>
  </r>
  <r>
    <s v="CLM105119"/>
    <s v="PT10399"/>
    <s v="P05"/>
    <x v="0"/>
    <x v="8"/>
    <n v="1"/>
    <d v="2026-05-10T00:00:00"/>
    <d v="2026-05-12T00:00:00"/>
    <n v="253.51"/>
    <n v="102.5"/>
    <n v="92.25"/>
    <n v="10.25"/>
    <s v="Paid"/>
    <s v=""/>
    <d v="2026-07-07T00:00:00"/>
    <d v="2026-07-07T00:00:00"/>
    <n v="260"/>
    <n v="0.38"/>
    <n v="98.8"/>
    <n v="-3.7000000000000028"/>
    <x v="0"/>
    <x v="0"/>
    <x v="7"/>
  </r>
  <r>
    <s v="CLM105120"/>
    <s v="PT10675"/>
    <s v="P06"/>
    <x v="1"/>
    <x v="10"/>
    <n v="1"/>
    <d v="2026-04-15T00:00:00"/>
    <d v="2026-04-21T00:00:00"/>
    <n v="1055.1300000000001"/>
    <m/>
    <m/>
    <m/>
    <s v="Denied"/>
    <s v="CO-50"/>
    <d v="2026-06-26T00:00:00"/>
    <m/>
    <n v="1050"/>
    <n v="0.27"/>
    <n v="283.5"/>
    <s v=""/>
    <x v="2"/>
    <x v="2"/>
    <x v="10"/>
  </r>
  <r>
    <s v="CLM105121"/>
    <s v="PT10344"/>
    <s v="P04"/>
    <x v="1"/>
    <x v="11"/>
    <n v="1"/>
    <d v="2026-01-23T00:00:00"/>
    <d v="2026-02-05T00:00:00"/>
    <n v="1179.3800000000001"/>
    <n v="442.96"/>
    <n v="442.96"/>
    <n v="0"/>
    <s v="Paid"/>
    <s v=""/>
    <d v="2026-02-18T00:00:00"/>
    <d v="2026-02-18T00:00:00"/>
    <n v="1150"/>
    <n v="0.36"/>
    <n v="414"/>
    <n v="-28.95999999999998"/>
    <x v="0"/>
    <x v="1"/>
    <x v="5"/>
  </r>
  <r>
    <s v="CLM105122"/>
    <s v="PT11835"/>
    <s v="P05"/>
    <x v="3"/>
    <x v="3"/>
    <n v="30"/>
    <d v="2026-09-18T00:00:00"/>
    <d v="2026-09-20T00:00:00"/>
    <n v="43363.45"/>
    <m/>
    <m/>
    <m/>
    <s v="Pending"/>
    <s v=""/>
    <m/>
    <m/>
    <n v="1450"/>
    <n v="0.38"/>
    <n v="16530"/>
    <s v=""/>
    <x v="2"/>
    <x v="0"/>
    <x v="8"/>
  </r>
  <r>
    <s v="CLM105123"/>
    <s v="PT10469"/>
    <s v="P06"/>
    <x v="0"/>
    <x v="4"/>
    <n v="1"/>
    <d v="2026-05-19T00:00:00"/>
    <d v="2026-05-20T00:00:00"/>
    <n v="37.31"/>
    <m/>
    <m/>
    <m/>
    <s v="Denied"/>
    <s v="CO-16"/>
    <d v="2026-06-22T00:00:00"/>
    <m/>
    <n v="38"/>
    <n v="0.27"/>
    <n v="10.26"/>
    <s v=""/>
    <x v="2"/>
    <x v="2"/>
    <x v="7"/>
  </r>
  <r>
    <s v="CLM105124"/>
    <s v="PT12340"/>
    <s v="P05"/>
    <x v="2"/>
    <x v="9"/>
    <n v="4"/>
    <d v="2026-06-13T00:00:00"/>
    <d v="2026-06-19T00:00:00"/>
    <n v="226.18"/>
    <m/>
    <m/>
    <m/>
    <s v="Denied"/>
    <s v="CO-16"/>
    <d v="2026-08-02T00:00:00"/>
    <m/>
    <n v="58"/>
    <n v="0.38"/>
    <n v="88.16"/>
    <s v=""/>
    <x v="2"/>
    <x v="0"/>
    <x v="11"/>
  </r>
  <r>
    <s v="CLM105125"/>
    <s v="PT12689"/>
    <s v="P02"/>
    <x v="0"/>
    <x v="0"/>
    <n v="1"/>
    <d v="2026-02-17T00:00:00"/>
    <d v="2026-02-18T00:00:00"/>
    <n v="141.32"/>
    <n v="65.34"/>
    <n v="58.81"/>
    <n v="6.53"/>
    <s v="Paid"/>
    <s v=""/>
    <d v="2026-03-08T00:00:00"/>
    <d v="2026-03-08T00:00:00"/>
    <n v="145"/>
    <n v="0.43"/>
    <n v="62.35"/>
    <n v="-2.990000000000002"/>
    <x v="0"/>
    <x v="6"/>
    <x v="0"/>
  </r>
  <r>
    <s v="CLM105126"/>
    <s v="PT11465"/>
    <s v="P07"/>
    <x v="3"/>
    <x v="3"/>
    <n v="10"/>
    <d v="2026-02-25T00:00:00"/>
    <d v="2026-02-27T00:00:00"/>
    <n v="14404.71"/>
    <m/>
    <m/>
    <m/>
    <s v="Denied"/>
    <s v="CO-50"/>
    <d v="2026-04-14T00:00:00"/>
    <m/>
    <n v="1450"/>
    <n v="0.28000000000000003"/>
    <n v="4060"/>
    <s v=""/>
    <x v="2"/>
    <x v="3"/>
    <x v="0"/>
  </r>
  <r>
    <s v="CLM105127"/>
    <s v="PT11855"/>
    <s v="P06"/>
    <x v="1"/>
    <x v="5"/>
    <n v="1"/>
    <d v="2026-06-14T00:00:00"/>
    <d v="2026-06-21T00:00:00"/>
    <n v="4818.92"/>
    <m/>
    <m/>
    <m/>
    <s v="Denied"/>
    <s v="CO-50"/>
    <d v="2026-08-08T00:00:00"/>
    <m/>
    <n v="4800"/>
    <n v="0.27"/>
    <n v="1296"/>
    <s v=""/>
    <x v="2"/>
    <x v="2"/>
    <x v="11"/>
  </r>
  <r>
    <s v="CLM105128"/>
    <s v="PT11646"/>
    <s v="P04"/>
    <x v="1"/>
    <x v="8"/>
    <n v="1"/>
    <d v="2025-11-29T00:00:00"/>
    <d v="2025-12-01T00:00:00"/>
    <n v="252.78"/>
    <n v="103.14"/>
    <n v="92.83"/>
    <n v="10.31"/>
    <s v="Paid"/>
    <s v=""/>
    <d v="2025-12-20T00:00:00"/>
    <d v="2025-12-20T00:00:00"/>
    <n v="260"/>
    <n v="0.36"/>
    <n v="93.6"/>
    <n v="-9.5400000000000063"/>
    <x v="0"/>
    <x v="1"/>
    <x v="3"/>
  </r>
  <r>
    <s v="CLM105129"/>
    <s v="PT10731"/>
    <s v="P01"/>
    <x v="1"/>
    <x v="5"/>
    <n v="1"/>
    <d v="2025-12-17T00:00:00"/>
    <d v="2025-12-19T00:00:00"/>
    <n v="4812.12"/>
    <n v="2212.31"/>
    <n v="1769.85"/>
    <n v="442.46"/>
    <s v="Paid"/>
    <s v=""/>
    <d v="2026-01-12T00:00:00"/>
    <d v="2026-01-12T00:00:00"/>
    <n v="4800"/>
    <n v="0.45"/>
    <n v="2160"/>
    <n v="-52.309999999999945"/>
    <x v="0"/>
    <x v="5"/>
    <x v="6"/>
  </r>
  <r>
    <s v="CLM105130"/>
    <s v="PT11099"/>
    <s v="P01"/>
    <x v="0"/>
    <x v="7"/>
    <n v="1"/>
    <d v="2026-03-21T00:00:00"/>
    <d v="2026-03-22T00:00:00"/>
    <n v="204.36"/>
    <n v="90.17"/>
    <n v="90.17"/>
    <n v="0"/>
    <s v="Paid"/>
    <s v=""/>
    <d v="2026-03-29T00:00:00"/>
    <d v="2026-03-29T00:00:00"/>
    <n v="210"/>
    <n v="0.45"/>
    <n v="94.5"/>
    <n v="4.3299999999999983"/>
    <x v="0"/>
    <x v="5"/>
    <x v="2"/>
  </r>
  <r>
    <s v="CLM105131"/>
    <s v="PT10910"/>
    <s v="P05"/>
    <x v="2"/>
    <x v="2"/>
    <n v="4"/>
    <d v="2026-04-02T00:00:00"/>
    <d v="2026-04-03T00:00:00"/>
    <n v="247.24"/>
    <n v="81.209999999999994"/>
    <n v="81.209999999999994"/>
    <n v="0"/>
    <s v="Paid"/>
    <s v=""/>
    <d v="2026-05-31T00:00:00"/>
    <d v="2026-05-31T00:00:00"/>
    <n v="62"/>
    <n v="0.38"/>
    <n v="94.24"/>
    <n v="13.030000000000001"/>
    <x v="1"/>
    <x v="0"/>
    <x v="10"/>
  </r>
  <r>
    <s v="CLM105132"/>
    <s v="PT11157"/>
    <s v="P06"/>
    <x v="2"/>
    <x v="0"/>
    <n v="1"/>
    <d v="2026-02-21T00:00:00"/>
    <d v="2026-02-24T00:00:00"/>
    <n v="147.68"/>
    <n v="41.89"/>
    <n v="33.51"/>
    <n v="8.3800000000000008"/>
    <s v="Paid"/>
    <s v=""/>
    <d v="2026-03-27T00:00:00"/>
    <d v="2026-03-27T00:00:00"/>
    <n v="145"/>
    <n v="0.27"/>
    <n v="39.15"/>
    <n v="-2.740000000000002"/>
    <x v="0"/>
    <x v="2"/>
    <x v="0"/>
  </r>
  <r>
    <s v="CLM105133"/>
    <s v="PT13101"/>
    <s v="P05"/>
    <x v="2"/>
    <x v="0"/>
    <n v="1"/>
    <d v="2026-02-22T00:00:00"/>
    <d v="2026-02-23T00:00:00"/>
    <n v="141.31"/>
    <n v="52.03"/>
    <n v="52.03"/>
    <n v="0"/>
    <s v="Paid"/>
    <s v=""/>
    <d v="2026-03-27T00:00:00"/>
    <d v="2026-03-27T00:00:00"/>
    <n v="145"/>
    <n v="0.38"/>
    <n v="55.1"/>
    <n v="3.0700000000000003"/>
    <x v="1"/>
    <x v="0"/>
    <x v="0"/>
  </r>
  <r>
    <s v="CLM105134"/>
    <s v="PT11562"/>
    <s v="P01"/>
    <x v="0"/>
    <x v="4"/>
    <n v="1"/>
    <d v="2025-12-13T00:00:00"/>
    <d v="2025-12-14T00:00:00"/>
    <n v="37.369999999999997"/>
    <n v="19.239999999999998"/>
    <n v="19.239999999999998"/>
    <n v="0"/>
    <s v="Paid"/>
    <s v=""/>
    <d v="2026-01-25T00:00:00"/>
    <d v="2026-01-25T00:00:00"/>
    <n v="38"/>
    <n v="0.45"/>
    <n v="17.100000000000001"/>
    <n v="-2.139999999999997"/>
    <x v="0"/>
    <x v="5"/>
    <x v="6"/>
  </r>
  <r>
    <s v="CLM105135"/>
    <s v="PT12541"/>
    <s v="P06"/>
    <x v="1"/>
    <x v="7"/>
    <n v="1"/>
    <d v="2026-06-23T00:00:00"/>
    <d v="2026-06-27T00:00:00"/>
    <n v="213.72"/>
    <m/>
    <m/>
    <m/>
    <s v="Denied"/>
    <s v="CO-27"/>
    <d v="2026-08-09T00:00:00"/>
    <m/>
    <n v="210"/>
    <n v="0.27"/>
    <n v="56.7"/>
    <s v=""/>
    <x v="2"/>
    <x v="2"/>
    <x v="11"/>
  </r>
  <r>
    <s v="CLM105136"/>
    <s v="PT12107"/>
    <s v="P03"/>
    <x v="2"/>
    <x v="0"/>
    <n v="1"/>
    <d v="2025-10-23T00:00:00"/>
    <d v="2025-10-24T00:00:00"/>
    <n v="147.07"/>
    <n v="64.45"/>
    <n v="58"/>
    <n v="6.45"/>
    <s v="Paid"/>
    <s v=""/>
    <d v="2025-12-01T00:00:00"/>
    <d v="2025-12-01T00:00:00"/>
    <n v="145"/>
    <n v="0.47"/>
    <n v="68.150000000000006"/>
    <n v="3.7000000000000028"/>
    <x v="1"/>
    <x v="4"/>
    <x v="9"/>
  </r>
  <r>
    <s v="CLM105137"/>
    <s v="PT11861"/>
    <s v="P06"/>
    <x v="1"/>
    <x v="5"/>
    <n v="1"/>
    <d v="2026-08-19T00:00:00"/>
    <d v="2026-08-25T00:00:00"/>
    <n v="4757.51"/>
    <m/>
    <m/>
    <m/>
    <s v="Denied"/>
    <s v="CO-11"/>
    <d v="2026-09-14T00:00:00"/>
    <m/>
    <n v="4800"/>
    <n v="0.27"/>
    <n v="1296"/>
    <s v=""/>
    <x v="2"/>
    <x v="2"/>
    <x v="4"/>
  </r>
  <r>
    <s v="CLM105138"/>
    <s v="PT10168"/>
    <s v="P01"/>
    <x v="0"/>
    <x v="8"/>
    <n v="1"/>
    <d v="2025-12-10T00:00:00"/>
    <d v="2025-12-13T00:00:00"/>
    <n v="256.99"/>
    <n v="105.41"/>
    <n v="105.41"/>
    <n v="0"/>
    <s v="Paid"/>
    <s v=""/>
    <d v="2026-01-05T00:00:00"/>
    <d v="2026-01-05T00:00:00"/>
    <n v="260"/>
    <n v="0.45"/>
    <n v="117"/>
    <n v="11.590000000000003"/>
    <x v="1"/>
    <x v="5"/>
    <x v="6"/>
  </r>
  <r>
    <s v="CLM105139"/>
    <s v="PT12817"/>
    <s v="P07"/>
    <x v="1"/>
    <x v="10"/>
    <n v="1"/>
    <d v="2026-08-10T00:00:00"/>
    <d v="2026-08-11T00:00:00"/>
    <n v="1054.45"/>
    <m/>
    <m/>
    <m/>
    <s v="Pending"/>
    <s v=""/>
    <m/>
    <m/>
    <n v="1050"/>
    <n v="0.28000000000000003"/>
    <n v="294"/>
    <s v=""/>
    <x v="2"/>
    <x v="3"/>
    <x v="4"/>
  </r>
  <r>
    <s v="CLM105140"/>
    <s v="PT12191"/>
    <s v="P04"/>
    <x v="3"/>
    <x v="3"/>
    <n v="20"/>
    <d v="2026-05-13T00:00:00"/>
    <d v="2026-05-22T00:00:00"/>
    <n v="29842.62"/>
    <n v="11545.6"/>
    <n v="9236.48"/>
    <n v="2309.12"/>
    <s v="Paid"/>
    <s v=""/>
    <d v="2026-05-27T00:00:00"/>
    <d v="2026-05-27T00:00:00"/>
    <n v="1450"/>
    <n v="0.36"/>
    <n v="10440"/>
    <n v="-1105.6000000000004"/>
    <x v="0"/>
    <x v="1"/>
    <x v="7"/>
  </r>
  <r>
    <s v="CLM105141"/>
    <s v="PT11651"/>
    <s v="P04"/>
    <x v="1"/>
    <x v="4"/>
    <n v="1"/>
    <d v="2026-09-11T00:00:00"/>
    <d v="2026-09-12T00:00:00"/>
    <n v="37.36"/>
    <m/>
    <m/>
    <m/>
    <s v="Denied"/>
    <s v="CO-27"/>
    <d v="2026-09-24T00:00:00"/>
    <m/>
    <n v="38"/>
    <n v="0.36"/>
    <n v="13.68"/>
    <s v=""/>
    <x v="2"/>
    <x v="1"/>
    <x v="8"/>
  </r>
  <r>
    <s v="CLM105142"/>
    <s v="PT13068"/>
    <s v="P02"/>
    <x v="3"/>
    <x v="3"/>
    <n v="20"/>
    <d v="2026-04-30T00:00:00"/>
    <d v="2026-05-02T00:00:00"/>
    <n v="28656.31"/>
    <n v="11187.54"/>
    <n v="8950.0300000000007"/>
    <n v="2237.5100000000002"/>
    <s v="Paid"/>
    <s v=""/>
    <d v="2026-05-31T00:00:00"/>
    <d v="2026-05-31T00:00:00"/>
    <n v="1450"/>
    <n v="0.43"/>
    <n v="12470"/>
    <n v="1282.4599999999991"/>
    <x v="1"/>
    <x v="6"/>
    <x v="10"/>
  </r>
  <r>
    <s v="CLM105144"/>
    <s v="PT10396"/>
    <s v="P01"/>
    <x v="1"/>
    <x v="1"/>
    <n v="1"/>
    <d v="2026-09-03T00:00:00"/>
    <d v="2026-09-12T00:00:00"/>
    <n v="244.48"/>
    <m/>
    <m/>
    <m/>
    <s v="Pending"/>
    <s v=""/>
    <m/>
    <m/>
    <n v="240"/>
    <n v="0.45"/>
    <n v="108"/>
    <s v=""/>
    <x v="2"/>
    <x v="5"/>
    <x v="8"/>
  </r>
  <r>
    <s v="CLM105145"/>
    <s v="PT12934"/>
    <s v="P04"/>
    <x v="1"/>
    <x v="10"/>
    <n v="1"/>
    <d v="2026-07-20T00:00:00"/>
    <d v="2026-07-21T00:00:00"/>
    <n v="1053.0899999999999"/>
    <m/>
    <m/>
    <m/>
    <s v="Denied"/>
    <s v="CO-16"/>
    <d v="2026-08-16T00:00:00"/>
    <m/>
    <n v="1050"/>
    <n v="0.36"/>
    <n v="378"/>
    <s v=""/>
    <x v="2"/>
    <x v="1"/>
    <x v="1"/>
  </r>
  <r>
    <s v="CLM105146"/>
    <s v="PT13031"/>
    <s v="P07"/>
    <x v="0"/>
    <x v="0"/>
    <n v="1"/>
    <d v="2025-11-17T00:00:00"/>
    <d v="2025-11-18T00:00:00"/>
    <n v="142.16999999999999"/>
    <n v="43.78"/>
    <n v="43.78"/>
    <n v="0"/>
    <s v="Paid"/>
    <s v=""/>
    <d v="2025-12-10T00:00:00"/>
    <d v="2025-12-10T00:00:00"/>
    <n v="145"/>
    <n v="0.28000000000000003"/>
    <n v="40.6"/>
    <n v="-3.1799999999999997"/>
    <x v="0"/>
    <x v="3"/>
    <x v="3"/>
  </r>
  <r>
    <s v="CLM105147"/>
    <s v="PT12535"/>
    <s v="P05"/>
    <x v="0"/>
    <x v="4"/>
    <n v="1"/>
    <d v="2026-03-27T00:00:00"/>
    <d v="2026-03-28T00:00:00"/>
    <n v="38.22"/>
    <n v="15.03"/>
    <n v="15.03"/>
    <n v="0"/>
    <s v="Paid"/>
    <s v=""/>
    <d v="2026-05-03T00:00:00"/>
    <d v="2026-05-03T00:00:00"/>
    <n v="38"/>
    <n v="0.38"/>
    <n v="14.44"/>
    <n v="-0.58999999999999986"/>
    <x v="0"/>
    <x v="0"/>
    <x v="2"/>
  </r>
  <r>
    <s v="CLM105148"/>
    <s v="PT10202"/>
    <s v="P01"/>
    <x v="1"/>
    <x v="8"/>
    <n v="1"/>
    <d v="2026-01-16T00:00:00"/>
    <d v="2026-01-22T00:00:00"/>
    <n v="259.13"/>
    <n v="115.68"/>
    <n v="104.11"/>
    <n v="11.57"/>
    <s v="Paid"/>
    <s v=""/>
    <d v="2026-02-18T00:00:00"/>
    <d v="2026-02-18T00:00:00"/>
    <n v="260"/>
    <n v="0.45"/>
    <n v="117"/>
    <n v="1.3199999999999932"/>
    <x v="0"/>
    <x v="5"/>
    <x v="5"/>
  </r>
  <r>
    <s v="CLM105149"/>
    <s v="PT10804"/>
    <s v="P05"/>
    <x v="2"/>
    <x v="9"/>
    <n v="4"/>
    <d v="2026-08-05T00:00:00"/>
    <d v="2026-08-19T00:00:00"/>
    <n v="226.13"/>
    <m/>
    <m/>
    <m/>
    <s v="Pending"/>
    <s v=""/>
    <m/>
    <m/>
    <n v="58"/>
    <n v="0.38"/>
    <n v="88.16"/>
    <s v=""/>
    <x v="2"/>
    <x v="0"/>
    <x v="4"/>
  </r>
  <r>
    <s v="CLM105150"/>
    <s v="PT11022"/>
    <s v="P04"/>
    <x v="2"/>
    <x v="9"/>
    <n v="3"/>
    <d v="2026-03-09T00:00:00"/>
    <d v="2026-03-17T00:00:00"/>
    <n v="171.28"/>
    <n v="53.75"/>
    <n v="53.75"/>
    <n v="0"/>
    <s v="Paid"/>
    <s v=""/>
    <d v="2026-03-27T00:00:00"/>
    <d v="2026-03-27T00:00:00"/>
    <n v="58"/>
    <n v="0.36"/>
    <n v="62.64"/>
    <n v="8.89"/>
    <x v="1"/>
    <x v="1"/>
    <x v="2"/>
  </r>
  <r>
    <s v="CLM105151"/>
    <s v="PT12946"/>
    <s v="P07"/>
    <x v="0"/>
    <x v="7"/>
    <n v="1"/>
    <d v="2026-05-22T00:00:00"/>
    <d v="2026-05-30T00:00:00"/>
    <n v="213.11"/>
    <m/>
    <m/>
    <m/>
    <s v="Denied"/>
    <s v="CO-11"/>
    <d v="2026-07-21T00:00:00"/>
    <m/>
    <n v="210"/>
    <n v="0.28000000000000003"/>
    <n v="58.8"/>
    <s v=""/>
    <x v="2"/>
    <x v="3"/>
    <x v="7"/>
  </r>
  <r>
    <s v="CLM105152"/>
    <s v="PT12068"/>
    <s v="P03"/>
    <x v="1"/>
    <x v="4"/>
    <n v="1"/>
    <d v="2026-08-07T00:00:00"/>
    <d v="2026-08-09T00:00:00"/>
    <n v="37.520000000000003"/>
    <n v="15.45"/>
    <n v="15.45"/>
    <n v="0"/>
    <s v="Paid"/>
    <s v=""/>
    <d v="2026-09-17T00:00:00"/>
    <d v="2026-09-17T00:00:00"/>
    <n v="38"/>
    <n v="0.47"/>
    <n v="17.86"/>
    <n v="2.41"/>
    <x v="1"/>
    <x v="4"/>
    <x v="4"/>
  </r>
  <r>
    <s v="CLM105153"/>
    <s v="PT13248"/>
    <s v="P01"/>
    <x v="1"/>
    <x v="8"/>
    <n v="1"/>
    <d v="2026-09-24T00:00:00"/>
    <d v="2026-09-28T00:00:00"/>
    <n v="267.11"/>
    <m/>
    <m/>
    <m/>
    <s v="Pending"/>
    <s v=""/>
    <m/>
    <m/>
    <n v="260"/>
    <n v="0.45"/>
    <n v="117"/>
    <s v=""/>
    <x v="2"/>
    <x v="5"/>
    <x v="8"/>
  </r>
  <r>
    <s v="CLM105154"/>
    <s v="PT12638"/>
    <s v="P07"/>
    <x v="0"/>
    <x v="7"/>
    <n v="1"/>
    <d v="2025-11-02T00:00:00"/>
    <d v="2025-11-05T00:00:00"/>
    <n v="213.06"/>
    <n v="63.36"/>
    <n v="63.36"/>
    <n v="0"/>
    <s v="Paid"/>
    <s v=""/>
    <d v="2026-01-24T00:00:00"/>
    <d v="2026-01-24T00:00:00"/>
    <n v="210"/>
    <n v="0.28000000000000003"/>
    <n v="58.8"/>
    <n v="-4.5600000000000023"/>
    <x v="0"/>
    <x v="3"/>
    <x v="3"/>
  </r>
  <r>
    <s v="CLM105155"/>
    <s v="PT12678"/>
    <s v="P01"/>
    <x v="3"/>
    <x v="3"/>
    <n v="5"/>
    <d v="2025-10-20T00:00:00"/>
    <d v="2025-10-23T00:00:00"/>
    <n v="7432.07"/>
    <n v="3580.96"/>
    <n v="3580.96"/>
    <n v="0"/>
    <s v="Paid"/>
    <s v=""/>
    <d v="2025-11-10T00:00:00"/>
    <d v="2025-11-10T00:00:00"/>
    <n v="1450"/>
    <n v="0.45"/>
    <n v="3262.5"/>
    <n v="-318.46000000000004"/>
    <x v="0"/>
    <x v="5"/>
    <x v="9"/>
  </r>
  <r>
    <s v="CLM105156"/>
    <s v="PT10024"/>
    <s v="P07"/>
    <x v="2"/>
    <x v="0"/>
    <n v="1"/>
    <d v="2026-06-12T00:00:00"/>
    <d v="2026-06-18T00:00:00"/>
    <n v="143.26"/>
    <n v="34.880000000000003"/>
    <n v="34.880000000000003"/>
    <n v="0"/>
    <s v="Paid"/>
    <s v=""/>
    <d v="2026-08-30T00:00:00"/>
    <d v="2026-08-30T00:00:00"/>
    <n v="145"/>
    <n v="0.28000000000000003"/>
    <n v="40.6"/>
    <n v="5.7199999999999989"/>
    <x v="1"/>
    <x v="3"/>
    <x v="11"/>
  </r>
  <r>
    <s v="CLM105157"/>
    <s v="PT10377"/>
    <s v="P02"/>
    <x v="0"/>
    <x v="7"/>
    <n v="1"/>
    <d v="2026-02-15T00:00:00"/>
    <d v="2026-02-17T00:00:00"/>
    <n v="206.85"/>
    <n v="78.489999999999995"/>
    <n v="70.64"/>
    <n v="7.85"/>
    <s v="Paid"/>
    <s v=""/>
    <d v="2026-03-15T00:00:00"/>
    <d v="2026-03-15T00:00:00"/>
    <n v="210"/>
    <n v="0.43"/>
    <n v="90.3"/>
    <n v="11.810000000000002"/>
    <x v="1"/>
    <x v="6"/>
    <x v="0"/>
  </r>
  <r>
    <s v="CLM105158"/>
    <s v="PT11532"/>
    <s v="P02"/>
    <x v="2"/>
    <x v="0"/>
    <n v="1"/>
    <d v="2026-02-12T00:00:00"/>
    <d v="2026-02-15T00:00:00"/>
    <n v="144.79"/>
    <n v="62.03"/>
    <n v="62.03"/>
    <n v="0"/>
    <s v="Paid"/>
    <s v=""/>
    <d v="2026-03-16T00:00:00"/>
    <d v="2026-03-16T00:00:00"/>
    <n v="145"/>
    <n v="0.43"/>
    <n v="62.35"/>
    <n v="0.32000000000000028"/>
    <x v="0"/>
    <x v="6"/>
    <x v="0"/>
  </r>
  <r>
    <s v="CLM105159"/>
    <s v="PT10982"/>
    <s v="P04"/>
    <x v="0"/>
    <x v="0"/>
    <n v="1"/>
    <d v="2025-11-17T00:00:00"/>
    <d v="2025-11-22T00:00:00"/>
    <n v="140.74"/>
    <n v="49.79"/>
    <n v="49.79"/>
    <n v="0"/>
    <s v="Paid"/>
    <s v=""/>
    <d v="2025-12-08T00:00:00"/>
    <d v="2025-12-08T00:00:00"/>
    <n v="145"/>
    <n v="0.36"/>
    <n v="52.2"/>
    <n v="2.4100000000000037"/>
    <x v="0"/>
    <x v="1"/>
    <x v="3"/>
  </r>
  <r>
    <s v="CLM105160"/>
    <s v="PT13438"/>
    <s v="P01"/>
    <x v="2"/>
    <x v="2"/>
    <n v="1"/>
    <d v="2025-12-18T00:00:00"/>
    <d v="2025-12-19T00:00:00"/>
    <n v="60.68"/>
    <n v="23.96"/>
    <n v="19.170000000000002"/>
    <n v="4.79"/>
    <s v="Paid"/>
    <s v=""/>
    <d v="2026-01-28T00:00:00"/>
    <d v="2026-01-28T00:00:00"/>
    <n v="62"/>
    <n v="0.45"/>
    <n v="27.9"/>
    <n v="3.9399999999999977"/>
    <x v="1"/>
    <x v="5"/>
    <x v="6"/>
  </r>
  <r>
    <s v="CLM105161"/>
    <s v="PT10358"/>
    <s v="P07"/>
    <x v="0"/>
    <x v="8"/>
    <n v="1"/>
    <d v="2026-07-08T00:00:00"/>
    <d v="2026-07-15T00:00:00"/>
    <n v="259.51"/>
    <n v="79.930000000000007"/>
    <n v="63.94"/>
    <n v="15.99"/>
    <s v="Paid"/>
    <s v=""/>
    <d v="2026-08-29T00:00:00"/>
    <d v="2026-08-29T00:00:00"/>
    <n v="260"/>
    <n v="0.28000000000000003"/>
    <n v="72.8"/>
    <n v="-7.1300000000000097"/>
    <x v="0"/>
    <x v="3"/>
    <x v="1"/>
  </r>
  <r>
    <s v="CLM105162"/>
    <s v="PT11503"/>
    <s v="P04"/>
    <x v="3"/>
    <x v="6"/>
    <n v="1"/>
    <d v="2026-05-13T00:00:00"/>
    <d v="2026-05-17T00:00:00"/>
    <n v="425.09"/>
    <n v="163.69"/>
    <n v="130.94999999999999"/>
    <n v="32.74"/>
    <s v="Paid"/>
    <s v=""/>
    <d v="2026-06-07T00:00:00"/>
    <d v="2026-06-07T00:00:00"/>
    <n v="420"/>
    <n v="0.36"/>
    <n v="151.19999999999999"/>
    <n v="-12.490000000000009"/>
    <x v="0"/>
    <x v="1"/>
    <x v="7"/>
  </r>
  <r>
    <s v="CLM105163"/>
    <s v="PT12159"/>
    <s v="P04"/>
    <x v="3"/>
    <x v="7"/>
    <n v="1"/>
    <d v="2025-10-30T00:00:00"/>
    <d v="2025-11-04T00:00:00"/>
    <n v="215.66"/>
    <n v="67.09"/>
    <n v="67.09"/>
    <n v="0"/>
    <s v="Paid"/>
    <s v=""/>
    <d v="2025-11-22T00:00:00"/>
    <d v="2025-11-22T00:00:00"/>
    <n v="210"/>
    <n v="0.36"/>
    <n v="75.599999999999994"/>
    <n v="8.5099999999999909"/>
    <x v="1"/>
    <x v="1"/>
    <x v="9"/>
  </r>
  <r>
    <s v="CLM105164"/>
    <s v="PT10486"/>
    <s v="P02"/>
    <x v="3"/>
    <x v="3"/>
    <n v="10"/>
    <d v="2026-07-31T00:00:00"/>
    <d v="2026-08-02T00:00:00"/>
    <n v="14249.09"/>
    <m/>
    <m/>
    <m/>
    <s v="Denied"/>
    <s v="CO-50"/>
    <d v="2026-09-07T00:00:00"/>
    <m/>
    <n v="1450"/>
    <n v="0.43"/>
    <n v="6235"/>
    <s v=""/>
    <x v="2"/>
    <x v="6"/>
    <x v="1"/>
  </r>
  <r>
    <s v="CLM105165"/>
    <s v="PT13453"/>
    <s v="P02"/>
    <x v="0"/>
    <x v="0"/>
    <n v="1"/>
    <d v="2026-05-02T00:00:00"/>
    <d v="2026-05-09T00:00:00"/>
    <n v="148.84"/>
    <n v="64.89"/>
    <n v="58.4"/>
    <n v="6.49"/>
    <s v="Paid"/>
    <s v=""/>
    <d v="2026-06-02T00:00:00"/>
    <d v="2026-06-02T00:00:00"/>
    <n v="145"/>
    <n v="0.43"/>
    <n v="62.35"/>
    <n v="-2.5399999999999991"/>
    <x v="0"/>
    <x v="6"/>
    <x v="7"/>
  </r>
  <r>
    <s v="CLM105166"/>
    <s v="PT13111"/>
    <s v="P04"/>
    <x v="1"/>
    <x v="11"/>
    <n v="1"/>
    <d v="2026-07-28T00:00:00"/>
    <d v="2026-08-02T00:00:00"/>
    <n v="1166.5999999999999"/>
    <m/>
    <m/>
    <m/>
    <s v="Denied"/>
    <s v="CO-16"/>
    <d v="2026-08-19T00:00:00"/>
    <m/>
    <n v="1150"/>
    <n v="0.36"/>
    <n v="414"/>
    <s v=""/>
    <x v="2"/>
    <x v="1"/>
    <x v="1"/>
  </r>
  <r>
    <s v="CLM105167"/>
    <s v="PT11210"/>
    <s v="P04"/>
    <x v="2"/>
    <x v="0"/>
    <n v="1"/>
    <d v="2026-05-14T00:00:00"/>
    <d v="2026-05-15T00:00:00"/>
    <n v="143.53"/>
    <n v="55.66"/>
    <n v="50.09"/>
    <n v="5.57"/>
    <s v="Paid"/>
    <s v=""/>
    <d v="2026-06-11T00:00:00"/>
    <d v="2026-06-11T00:00:00"/>
    <n v="145"/>
    <n v="0.36"/>
    <n v="52.2"/>
    <n v="-3.4599999999999937"/>
    <x v="0"/>
    <x v="1"/>
    <x v="7"/>
  </r>
  <r>
    <s v="CLM105168"/>
    <s v="PT10115"/>
    <s v="P05"/>
    <x v="1"/>
    <x v="7"/>
    <n v="1"/>
    <d v="2026-03-14T00:00:00"/>
    <d v="2026-03-15T00:00:00"/>
    <n v="210.66"/>
    <m/>
    <m/>
    <m/>
    <s v="Denied"/>
    <s v="CO-50"/>
    <d v="2026-04-18T00:00:00"/>
    <m/>
    <n v="210"/>
    <n v="0.38"/>
    <n v="79.8"/>
    <s v=""/>
    <x v="2"/>
    <x v="0"/>
    <x v="2"/>
  </r>
  <r>
    <s v="CLM105169"/>
    <s v="PT11938"/>
    <s v="P07"/>
    <x v="1"/>
    <x v="5"/>
    <n v="1"/>
    <d v="2025-10-13T00:00:00"/>
    <d v="2025-10-16T00:00:00"/>
    <n v="4781.75"/>
    <n v="1434.4"/>
    <n v="1290.96"/>
    <n v="143.44"/>
    <s v="Paid"/>
    <s v=""/>
    <d v="2025-12-18T00:00:00"/>
    <d v="2025-12-18T00:00:00"/>
    <n v="4800"/>
    <n v="0.28000000000000003"/>
    <n v="1344"/>
    <n v="-90.400000000000091"/>
    <x v="0"/>
    <x v="3"/>
    <x v="9"/>
  </r>
  <r>
    <s v="CLM105170"/>
    <s v="PT10900"/>
    <s v="P07"/>
    <x v="2"/>
    <x v="0"/>
    <n v="1"/>
    <d v="2026-06-29T00:00:00"/>
    <d v="2026-07-02T00:00:00"/>
    <n v="142.4"/>
    <m/>
    <m/>
    <m/>
    <s v="Denied"/>
    <s v="CO-16"/>
    <d v="2026-09-06T00:00:00"/>
    <m/>
    <n v="145"/>
    <n v="0.28000000000000003"/>
    <n v="40.6"/>
    <s v=""/>
    <x v="2"/>
    <x v="3"/>
    <x v="11"/>
  </r>
  <r>
    <s v="CLM105171"/>
    <s v="PT12721"/>
    <s v="P05"/>
    <x v="1"/>
    <x v="8"/>
    <n v="1"/>
    <d v="2026-08-28T00:00:00"/>
    <d v="2026-09-01T00:00:00"/>
    <n v="263.2"/>
    <m/>
    <m/>
    <m/>
    <s v="Pending"/>
    <s v=""/>
    <m/>
    <m/>
    <n v="260"/>
    <n v="0.38"/>
    <n v="98.8"/>
    <s v=""/>
    <x v="2"/>
    <x v="0"/>
    <x v="4"/>
  </r>
  <r>
    <s v="CLM105172"/>
    <s v="PT12729"/>
    <s v="P02"/>
    <x v="1"/>
    <x v="4"/>
    <n v="1"/>
    <d v="2026-05-04T00:00:00"/>
    <d v="2026-05-10T00:00:00"/>
    <n v="38.29"/>
    <n v="15"/>
    <n v="15"/>
    <n v="0"/>
    <s v="Paid"/>
    <s v=""/>
    <d v="2026-06-10T00:00:00"/>
    <d v="2026-06-10T00:00:00"/>
    <n v="38"/>
    <n v="0.43"/>
    <n v="16.34"/>
    <n v="1.3399999999999999"/>
    <x v="1"/>
    <x v="6"/>
    <x v="7"/>
  </r>
  <r>
    <s v="CLM105173"/>
    <s v="PT10013"/>
    <s v="P02"/>
    <x v="3"/>
    <x v="7"/>
    <n v="1"/>
    <d v="2025-11-11T00:00:00"/>
    <d v="2025-11-13T00:00:00"/>
    <n v="210.01"/>
    <n v="85.58"/>
    <n v="77.02"/>
    <n v="8.56"/>
    <s v="Paid"/>
    <s v=""/>
    <d v="2025-12-16T00:00:00"/>
    <d v="2025-12-16T00:00:00"/>
    <n v="210"/>
    <n v="0.43"/>
    <n v="90.3"/>
    <n v="4.7199999999999989"/>
    <x v="1"/>
    <x v="6"/>
    <x v="3"/>
  </r>
  <r>
    <s v="CLM105174"/>
    <s v="PT13491"/>
    <s v="P01"/>
    <x v="2"/>
    <x v="9"/>
    <n v="1"/>
    <d v="2025-12-17T00:00:00"/>
    <d v="2026-04-29T00:00:00"/>
    <n v="59.57"/>
    <m/>
    <m/>
    <m/>
    <s v="Denied"/>
    <s v="CO-29"/>
    <d v="2026-06-06T00:00:00"/>
    <m/>
    <n v="58"/>
    <n v="0.45"/>
    <n v="26.1"/>
    <s v=""/>
    <x v="2"/>
    <x v="5"/>
    <x v="6"/>
  </r>
  <r>
    <s v="CLM105175"/>
    <s v="PT12855"/>
    <s v="P03"/>
    <x v="3"/>
    <x v="3"/>
    <n v="10"/>
    <d v="2026-01-09T00:00:00"/>
    <d v="2026-01-10T00:00:00"/>
    <n v="14250.96"/>
    <n v="6974.3"/>
    <n v="6974.3"/>
    <n v="0"/>
    <s v="Paid"/>
    <s v=""/>
    <d v="2026-03-02T00:00:00"/>
    <d v="2026-03-02T00:00:00"/>
    <n v="1450"/>
    <n v="0.47"/>
    <n v="6815"/>
    <n v="-159.30000000000018"/>
    <x v="0"/>
    <x v="4"/>
    <x v="5"/>
  </r>
  <r>
    <s v="CLM105176"/>
    <s v="PT10778"/>
    <s v="P02"/>
    <x v="0"/>
    <x v="8"/>
    <n v="1"/>
    <d v="2026-07-10T00:00:00"/>
    <d v="2026-07-15T00:00:00"/>
    <n v="257.52"/>
    <n v="123.5"/>
    <n v="111.15"/>
    <n v="12.35"/>
    <s v="Paid"/>
    <s v=""/>
    <d v="2026-08-27T00:00:00"/>
    <d v="2026-08-27T00:00:00"/>
    <n v="260"/>
    <n v="0.43"/>
    <n v="111.8"/>
    <n v="-11.700000000000003"/>
    <x v="0"/>
    <x v="6"/>
    <x v="1"/>
  </r>
  <r>
    <s v="CLM105177"/>
    <s v="PT10754"/>
    <s v="P05"/>
    <x v="0"/>
    <x v="8"/>
    <n v="1"/>
    <d v="2026-09-11T00:00:00"/>
    <d v="2026-09-20T00:00:00"/>
    <n v="262.73"/>
    <m/>
    <m/>
    <m/>
    <s v="Pending"/>
    <s v=""/>
    <m/>
    <m/>
    <n v="260"/>
    <n v="0.38"/>
    <n v="98.8"/>
    <s v=""/>
    <x v="2"/>
    <x v="0"/>
    <x v="8"/>
  </r>
  <r>
    <s v="CLM105178"/>
    <s v="PT10468"/>
    <s v="P02"/>
    <x v="2"/>
    <x v="0"/>
    <n v="1"/>
    <d v="2026-03-16T00:00:00"/>
    <d v="2026-03-17T00:00:00"/>
    <n v="141.31"/>
    <n v="52.88"/>
    <n v="52.88"/>
    <n v="0"/>
    <s v="Paid"/>
    <s v=""/>
    <d v="2026-04-05T00:00:00"/>
    <d v="2026-04-05T00:00:00"/>
    <n v="145"/>
    <n v="0.43"/>
    <n v="62.35"/>
    <n v="9.4699999999999989"/>
    <x v="1"/>
    <x v="6"/>
    <x v="2"/>
  </r>
  <r>
    <s v="CLM105179"/>
    <s v="PT12585"/>
    <s v="P05"/>
    <x v="3"/>
    <x v="3"/>
    <n v="10"/>
    <d v="2026-07-29T00:00:00"/>
    <d v="2026-07-30T00:00:00"/>
    <n v="14303.85"/>
    <n v="5961.81"/>
    <n v="4769.45"/>
    <n v="1192.3599999999999"/>
    <s v="Paid"/>
    <s v=""/>
    <d v="2026-09-28T00:00:00"/>
    <d v="2026-09-28T00:00:00"/>
    <n v="1450"/>
    <n v="0.38"/>
    <n v="5510"/>
    <n v="-451.8100000000004"/>
    <x v="0"/>
    <x v="0"/>
    <x v="1"/>
  </r>
  <r>
    <s v="CLM105180"/>
    <s v="PT10831"/>
    <s v="P01"/>
    <x v="1"/>
    <x v="4"/>
    <n v="1"/>
    <d v="2026-01-21T00:00:00"/>
    <d v="2026-01-29T00:00:00"/>
    <n v="38.630000000000003"/>
    <n v="15.99"/>
    <n v="12.79"/>
    <n v="3.2"/>
    <s v="Paid"/>
    <s v=""/>
    <d v="2026-03-04T00:00:00"/>
    <d v="2026-03-04T00:00:00"/>
    <n v="38"/>
    <n v="0.45"/>
    <n v="17.100000000000001"/>
    <n v="1.1100000000000012"/>
    <x v="1"/>
    <x v="5"/>
    <x v="5"/>
  </r>
  <r>
    <s v="CLM105181"/>
    <s v="PT10827"/>
    <s v="P02"/>
    <x v="1"/>
    <x v="11"/>
    <n v="1"/>
    <d v="2026-08-30T00:00:00"/>
    <d v="2026-09-07T00:00:00"/>
    <n v="1168.02"/>
    <n v="555.83000000000004"/>
    <n v="500.25"/>
    <n v="55.58"/>
    <s v="Paid"/>
    <s v=""/>
    <d v="2026-09-25T00:00:00"/>
    <d v="2026-09-25T00:00:00"/>
    <n v="1150"/>
    <n v="0.43"/>
    <n v="494.5"/>
    <n v="-61.330000000000041"/>
    <x v="0"/>
    <x v="6"/>
    <x v="4"/>
  </r>
  <r>
    <s v="CLM105182"/>
    <s v="PT10134"/>
    <s v="P01"/>
    <x v="1"/>
    <x v="11"/>
    <n v="1"/>
    <d v="2026-07-07T00:00:00"/>
    <d v="2026-07-14T00:00:00"/>
    <n v="1141.42"/>
    <n v="459.08"/>
    <n v="459.08"/>
    <n v="0"/>
    <s v="Paid"/>
    <s v=""/>
    <d v="2026-08-28T00:00:00"/>
    <d v="2026-08-28T00:00:00"/>
    <n v="1150"/>
    <n v="0.45"/>
    <n v="517.5"/>
    <n v="58.420000000000016"/>
    <x v="1"/>
    <x v="5"/>
    <x v="1"/>
  </r>
  <r>
    <s v="CLM105184"/>
    <s v="PT11523"/>
    <s v="P01"/>
    <x v="0"/>
    <x v="8"/>
    <n v="1"/>
    <d v="2025-10-24T00:00:00"/>
    <d v="2025-10-28T00:00:00"/>
    <n v="255.09"/>
    <n v="106.48"/>
    <n v="85.18"/>
    <n v="21.3"/>
    <s v="Paid"/>
    <s v=""/>
    <d v="2025-11-24T00:00:00"/>
    <d v="2025-11-24T00:00:00"/>
    <n v="260"/>
    <n v="0.45"/>
    <n v="117"/>
    <n v="10.519999999999996"/>
    <x v="1"/>
    <x v="5"/>
    <x v="9"/>
  </r>
  <r>
    <s v="CLM105185"/>
    <s v="PT10655"/>
    <s v="P08"/>
    <x v="2"/>
    <x v="9"/>
    <n v="4"/>
    <d v="2026-06-22T00:00:00"/>
    <d v="2026-06-23T00:00:00"/>
    <n v="228.68"/>
    <n v="228.68"/>
    <n v="228.68"/>
    <n v="0"/>
    <s v="Paid"/>
    <s v=""/>
    <d v="2026-08-05T00:00:00"/>
    <d v="2026-08-05T00:00:00"/>
    <n v="58"/>
    <n v="1"/>
    <n v="232"/>
    <n v="3.3199999999999932"/>
    <x v="0"/>
    <x v="7"/>
    <x v="11"/>
  </r>
  <r>
    <s v="CLM105186"/>
    <s v="PT12905"/>
    <s v="P01"/>
    <x v="2"/>
    <x v="9"/>
    <n v="1"/>
    <d v="2026-08-22T00:00:00"/>
    <d v="2026-08-31T00:00:00"/>
    <n v="58.3"/>
    <n v="25.32"/>
    <n v="25.32"/>
    <n v="0"/>
    <s v="Paid"/>
    <s v=""/>
    <d v="2026-09-23T00:00:00"/>
    <d v="2026-09-23T00:00:00"/>
    <n v="58"/>
    <n v="0.45"/>
    <n v="26.1"/>
    <n v="0.78000000000000114"/>
    <x v="0"/>
    <x v="5"/>
    <x v="4"/>
  </r>
  <r>
    <s v="CLM105187"/>
    <s v="PT13486"/>
    <s v="P03"/>
    <x v="1"/>
    <x v="11"/>
    <n v="1"/>
    <d v="2026-08-29T00:00:00"/>
    <d v="2026-08-30T00:00:00"/>
    <n v="1156.31"/>
    <m/>
    <m/>
    <m/>
    <s v="Pending"/>
    <s v=""/>
    <m/>
    <m/>
    <n v="1150"/>
    <n v="0.47"/>
    <n v="540.5"/>
    <s v=""/>
    <x v="2"/>
    <x v="4"/>
    <x v="4"/>
  </r>
  <r>
    <s v="CLM105188"/>
    <s v="PT12662"/>
    <s v="P07"/>
    <x v="1"/>
    <x v="4"/>
    <n v="1"/>
    <d v="2025-12-17T00:00:00"/>
    <d v="2025-12-19T00:00:00"/>
    <n v="36.869999999999997"/>
    <m/>
    <m/>
    <m/>
    <s v="Denied"/>
    <s v="CO-50"/>
    <d v="2026-01-16T00:00:00"/>
    <m/>
    <n v="38"/>
    <n v="0.28000000000000003"/>
    <n v="10.64"/>
    <s v=""/>
    <x v="2"/>
    <x v="3"/>
    <x v="6"/>
  </r>
  <r>
    <s v="CLM105189"/>
    <s v="PT12828"/>
    <s v="P01"/>
    <x v="1"/>
    <x v="4"/>
    <n v="1"/>
    <d v="2026-02-26T00:00:00"/>
    <d v="2026-03-02T00:00:00"/>
    <n v="37.36"/>
    <n v="16.09"/>
    <n v="16.09"/>
    <n v="0"/>
    <s v="Paid"/>
    <s v=""/>
    <d v="2026-03-12T00:00:00"/>
    <d v="2026-03-12T00:00:00"/>
    <n v="38"/>
    <n v="0.45"/>
    <n v="17.100000000000001"/>
    <n v="1.0100000000000016"/>
    <x v="1"/>
    <x v="5"/>
    <x v="0"/>
  </r>
  <r>
    <s v="CLM105190"/>
    <s v="PT12583"/>
    <s v="P02"/>
    <x v="0"/>
    <x v="4"/>
    <n v="1"/>
    <d v="2026-01-21T00:00:00"/>
    <d v="2026-01-24T00:00:00"/>
    <n v="37.409999999999997"/>
    <n v="14.06"/>
    <n v="12.65"/>
    <n v="1.41"/>
    <s v="Paid"/>
    <s v=""/>
    <d v="2026-02-16T00:00:00"/>
    <d v="2026-02-16T00:00:00"/>
    <n v="38"/>
    <n v="0.43"/>
    <n v="16.34"/>
    <n v="2.2799999999999994"/>
    <x v="1"/>
    <x v="6"/>
    <x v="5"/>
  </r>
  <r>
    <s v="CLM105191"/>
    <s v="PT11410"/>
    <s v="P04"/>
    <x v="2"/>
    <x v="2"/>
    <n v="1"/>
    <d v="2026-01-25T00:00:00"/>
    <d v="2026-01-26T00:00:00"/>
    <n v="60.33"/>
    <m/>
    <m/>
    <m/>
    <s v="Denied"/>
    <s v="CO-4"/>
    <d v="2026-02-12T00:00:00"/>
    <m/>
    <n v="62"/>
    <n v="0.36"/>
    <n v="22.32"/>
    <s v=""/>
    <x v="2"/>
    <x v="1"/>
    <x v="5"/>
  </r>
  <r>
    <s v="CLM105192"/>
    <s v="PT11366"/>
    <s v="P03"/>
    <x v="1"/>
    <x v="5"/>
    <n v="1"/>
    <d v="2026-01-19T00:00:00"/>
    <d v="2026-01-21T00:00:00"/>
    <n v="4728.68"/>
    <n v="2086.89"/>
    <n v="2086.89"/>
    <n v="0"/>
    <s v="Paid"/>
    <s v=""/>
    <d v="2026-03-05T00:00:00"/>
    <d v="2026-03-05T00:00:00"/>
    <n v="4800"/>
    <n v="0.47"/>
    <n v="2256"/>
    <n v="169.11000000000013"/>
    <x v="1"/>
    <x v="4"/>
    <x v="5"/>
  </r>
  <r>
    <s v="CLM105193"/>
    <s v="PT12163"/>
    <s v="P07"/>
    <x v="1"/>
    <x v="11"/>
    <n v="1"/>
    <d v="2026-08-21T00:00:00"/>
    <d v="2026-09-05T00:00:00"/>
    <n v="1177.83"/>
    <n v="279.64999999999998"/>
    <n v="279.64999999999998"/>
    <n v="0"/>
    <s v="Paid"/>
    <s v=""/>
    <d v="2026-09-27T00:00:00"/>
    <d v="2026-09-27T00:00:00"/>
    <n v="1150"/>
    <n v="0.28000000000000003"/>
    <n v="322"/>
    <n v="42.350000000000023"/>
    <x v="1"/>
    <x v="3"/>
    <x v="4"/>
  </r>
  <r>
    <s v="CLM105194"/>
    <s v="PT12192"/>
    <s v="P07"/>
    <x v="0"/>
    <x v="0"/>
    <n v="1"/>
    <d v="2025-11-11T00:00:00"/>
    <d v="2025-11-14T00:00:00"/>
    <n v="142.68"/>
    <m/>
    <m/>
    <m/>
    <s v="Denied"/>
    <s v="CO-18"/>
    <d v="2026-01-10T00:00:00"/>
    <m/>
    <n v="145"/>
    <n v="0.28000000000000003"/>
    <n v="40.6"/>
    <s v=""/>
    <x v="2"/>
    <x v="3"/>
    <x v="3"/>
  </r>
  <r>
    <s v="CLM105195"/>
    <s v="PT13337"/>
    <s v="P06"/>
    <x v="1"/>
    <x v="7"/>
    <n v="1"/>
    <d v="2025-12-13T00:00:00"/>
    <d v="2025-12-14T00:00:00"/>
    <n v="215.16"/>
    <n v="55.36"/>
    <n v="44.29"/>
    <n v="11.07"/>
    <s v="Paid"/>
    <s v=""/>
    <d v="2026-01-18T00:00:00"/>
    <d v="2026-01-18T00:00:00"/>
    <n v="210"/>
    <n v="0.27"/>
    <n v="56.7"/>
    <n v="1.3400000000000034"/>
    <x v="0"/>
    <x v="2"/>
    <x v="6"/>
  </r>
  <r>
    <s v="CLM105196"/>
    <s v="PT10857"/>
    <s v="P01"/>
    <x v="0"/>
    <x v="4"/>
    <n v="1"/>
    <d v="2026-08-20T00:00:00"/>
    <d v="2026-08-26T00:00:00"/>
    <n v="38.49"/>
    <m/>
    <m/>
    <m/>
    <s v="Pending"/>
    <s v=""/>
    <m/>
    <m/>
    <n v="38"/>
    <n v="0.45"/>
    <n v="17.100000000000001"/>
    <s v=""/>
    <x v="2"/>
    <x v="5"/>
    <x v="4"/>
  </r>
  <r>
    <s v="CLM105197"/>
    <s v="PT10116"/>
    <s v="P01"/>
    <x v="2"/>
    <x v="2"/>
    <n v="1"/>
    <d v="2026-01-23T00:00:00"/>
    <d v="2026-01-26T00:00:00"/>
    <n v="62.94"/>
    <n v="31.64"/>
    <n v="28.48"/>
    <n v="3.16"/>
    <s v="Paid"/>
    <s v=""/>
    <d v="2026-03-08T00:00:00"/>
    <d v="2026-03-08T00:00:00"/>
    <n v="62"/>
    <n v="0.45"/>
    <n v="27.9"/>
    <n v="-3.740000000000002"/>
    <x v="0"/>
    <x v="5"/>
    <x v="5"/>
  </r>
  <r>
    <s v="CLM105198"/>
    <s v="PT12953"/>
    <s v="P02"/>
    <x v="1"/>
    <x v="11"/>
    <n v="1"/>
    <d v="2026-03-15T00:00:00"/>
    <d v="2026-03-17T00:00:00"/>
    <n v="1158.08"/>
    <n v="425.82"/>
    <n v="425.82"/>
    <n v="0"/>
    <s v="Paid"/>
    <s v=""/>
    <d v="2026-05-07T00:00:00"/>
    <d v="2026-05-07T00:00:00"/>
    <n v="1150"/>
    <n v="0.43"/>
    <n v="494.5"/>
    <n v="68.680000000000007"/>
    <x v="1"/>
    <x v="6"/>
    <x v="2"/>
  </r>
  <r>
    <s v="CLM105199"/>
    <s v="PT10965"/>
    <s v="P01"/>
    <x v="3"/>
    <x v="3"/>
    <n v="20"/>
    <d v="2025-11-20T00:00:00"/>
    <d v="2025-11-26T00:00:00"/>
    <n v="29257.01"/>
    <n v="14467.18"/>
    <n v="13020.46"/>
    <n v="1446.72"/>
    <s v="Paid"/>
    <s v=""/>
    <d v="2025-12-23T00:00:00"/>
    <d v="2025-12-23T00:00:00"/>
    <n v="1450"/>
    <n v="0.45"/>
    <n v="13050"/>
    <n v="-1417.1800000000003"/>
    <x v="0"/>
    <x v="5"/>
    <x v="3"/>
  </r>
  <r>
    <s v="CLM105200"/>
    <s v="PT12401"/>
    <s v="P05"/>
    <x v="3"/>
    <x v="7"/>
    <n v="1"/>
    <d v="2026-05-31T00:00:00"/>
    <d v="2026-06-05T00:00:00"/>
    <n v="206.54"/>
    <n v="88.92"/>
    <n v="88.92"/>
    <n v="0"/>
    <s v="Paid"/>
    <s v=""/>
    <d v="2026-06-29T00:00:00"/>
    <d v="2026-06-29T00:00:00"/>
    <n v="210"/>
    <n v="0.38"/>
    <n v="79.8"/>
    <n v="-9.1200000000000045"/>
    <x v="0"/>
    <x v="0"/>
    <x v="7"/>
  </r>
  <r>
    <s v="CLM105201"/>
    <s v="PT11213"/>
    <s v="P03"/>
    <x v="0"/>
    <x v="8"/>
    <n v="1"/>
    <d v="2025-11-16T00:00:00"/>
    <d v="2025-11-28T00:00:00"/>
    <n v="260.52999999999997"/>
    <n v="138.52000000000001"/>
    <n v="138.52000000000001"/>
    <n v="0"/>
    <s v="Paid"/>
    <s v=""/>
    <d v="2026-01-26T00:00:00"/>
    <d v="2026-01-26T00:00:00"/>
    <n v="260"/>
    <n v="0.47"/>
    <n v="122.2"/>
    <n v="-16.320000000000007"/>
    <x v="0"/>
    <x v="4"/>
    <x v="3"/>
  </r>
  <r>
    <s v="CLM105202"/>
    <s v="PT10774"/>
    <s v="P01"/>
    <x v="3"/>
    <x v="6"/>
    <n v="1"/>
    <d v="2025-11-06T00:00:00"/>
    <d v="2025-11-20T00:00:00"/>
    <n v="425.6"/>
    <m/>
    <m/>
    <m/>
    <s v="Denied"/>
    <s v="CO-197"/>
    <d v="2025-12-08T00:00:00"/>
    <m/>
    <n v="420"/>
    <n v="0.45"/>
    <n v="189"/>
    <s v=""/>
    <x v="2"/>
    <x v="5"/>
    <x v="3"/>
  </r>
  <r>
    <s v="CLM105203"/>
    <s v="PT10469"/>
    <s v="P01"/>
    <x v="1"/>
    <x v="8"/>
    <n v="1"/>
    <d v="2026-03-14T00:00:00"/>
    <d v="2026-03-20T00:00:00"/>
    <n v="257.22000000000003"/>
    <n v="111.81"/>
    <n v="100.63"/>
    <n v="11.18"/>
    <s v="Paid"/>
    <s v=""/>
    <d v="2026-04-14T00:00:00"/>
    <d v="2026-04-14T00:00:00"/>
    <n v="260"/>
    <n v="0.45"/>
    <n v="117"/>
    <n v="5.1899999999999977"/>
    <x v="0"/>
    <x v="5"/>
    <x v="2"/>
  </r>
  <r>
    <s v="CLM105204"/>
    <s v="PT10589"/>
    <s v="P02"/>
    <x v="2"/>
    <x v="0"/>
    <n v="1"/>
    <d v="2026-05-21T00:00:00"/>
    <d v="2026-09-21T00:00:00"/>
    <n v="146.43"/>
    <m/>
    <m/>
    <m/>
    <s v="Pending"/>
    <s v=""/>
    <m/>
    <m/>
    <n v="145"/>
    <n v="0.43"/>
    <n v="62.35"/>
    <s v=""/>
    <x v="2"/>
    <x v="6"/>
    <x v="7"/>
  </r>
  <r>
    <s v="CLM105205"/>
    <s v="PT12430"/>
    <s v="P07"/>
    <x v="3"/>
    <x v="7"/>
    <n v="1"/>
    <d v="2026-01-05T00:00:00"/>
    <d v="2026-01-08T00:00:00"/>
    <n v="211.5"/>
    <m/>
    <m/>
    <m/>
    <s v="Denied"/>
    <s v="CO-4"/>
    <d v="2026-03-21T00:00:00"/>
    <m/>
    <n v="210"/>
    <n v="0.28000000000000003"/>
    <n v="58.8"/>
    <s v=""/>
    <x v="2"/>
    <x v="3"/>
    <x v="5"/>
  </r>
  <r>
    <s v="CLM105206"/>
    <s v="PT10779"/>
    <s v="P02"/>
    <x v="1"/>
    <x v="10"/>
    <n v="1"/>
    <d v="2026-07-25T00:00:00"/>
    <d v="2026-07-29T00:00:00"/>
    <n v="1059.48"/>
    <n v="384.98"/>
    <n v="307.98"/>
    <n v="77"/>
    <s v="Paid"/>
    <s v=""/>
    <d v="2026-09-03T00:00:00"/>
    <d v="2026-09-03T00:00:00"/>
    <n v="1050"/>
    <n v="0.43"/>
    <n v="451.5"/>
    <n v="66.519999999999982"/>
    <x v="1"/>
    <x v="6"/>
    <x v="1"/>
  </r>
  <r>
    <s v="CLM105207"/>
    <s v="PT10217"/>
    <s v="P06"/>
    <x v="2"/>
    <x v="9"/>
    <n v="2"/>
    <d v="2026-01-27T00:00:00"/>
    <d v="2026-02-02T00:00:00"/>
    <n v="114.53"/>
    <n v="30.88"/>
    <n v="30.88"/>
    <n v="0"/>
    <s v="Paid"/>
    <s v=""/>
    <d v="2026-03-18T00:00:00"/>
    <d v="2026-03-18T00:00:00"/>
    <n v="58"/>
    <n v="0.27"/>
    <n v="31.32"/>
    <n v="0.44000000000000128"/>
    <x v="0"/>
    <x v="2"/>
    <x v="5"/>
  </r>
  <r>
    <s v="CLM105208"/>
    <s v="PT10888"/>
    <s v="P04"/>
    <x v="0"/>
    <x v="0"/>
    <n v="1"/>
    <d v="2026-03-18T00:00:00"/>
    <d v="2026-03-25T00:00:00"/>
    <n v="145.26"/>
    <n v="56.71"/>
    <n v="45.37"/>
    <n v="11.34"/>
    <s v="Paid"/>
    <s v=""/>
    <d v="2026-04-16T00:00:00"/>
    <d v="2026-04-16T00:00:00"/>
    <n v="145"/>
    <n v="0.36"/>
    <n v="52.2"/>
    <n v="-4.509999999999998"/>
    <x v="0"/>
    <x v="1"/>
    <x v="2"/>
  </r>
  <r>
    <s v="CLM105209"/>
    <s v="PT11621"/>
    <s v="P01"/>
    <x v="1"/>
    <x v="8"/>
    <n v="1"/>
    <d v="2026-04-25T00:00:00"/>
    <d v="2026-04-27T00:00:00"/>
    <n v="257.8"/>
    <n v="108.12"/>
    <n v="108.12"/>
    <n v="0"/>
    <s v="Paid"/>
    <s v=""/>
    <d v="2026-05-24T00:00:00"/>
    <d v="2026-05-24T00:00:00"/>
    <n v="260"/>
    <n v="0.45"/>
    <n v="117"/>
    <n v="8.8799999999999955"/>
    <x v="1"/>
    <x v="5"/>
    <x v="10"/>
  </r>
  <r>
    <s v="CLM105210"/>
    <s v="PT13296"/>
    <s v="P02"/>
    <x v="0"/>
    <x v="7"/>
    <n v="1"/>
    <d v="2025-12-13T00:00:00"/>
    <d v="2025-12-14T00:00:00"/>
    <n v="204.95"/>
    <n v="75.25"/>
    <n v="60.2"/>
    <n v="15.05"/>
    <s v="Paid"/>
    <s v=""/>
    <d v="2026-01-22T00:00:00"/>
    <d v="2026-01-22T00:00:00"/>
    <n v="210"/>
    <n v="0.43"/>
    <n v="90.3"/>
    <n v="15.049999999999997"/>
    <x v="1"/>
    <x v="6"/>
    <x v="6"/>
  </r>
  <r>
    <s v="CLM105211"/>
    <s v="PT13297"/>
    <s v="P04"/>
    <x v="1"/>
    <x v="8"/>
    <n v="1"/>
    <d v="2026-09-17T00:00:00"/>
    <d v="2026-09-19T00:00:00"/>
    <n v="261.33"/>
    <m/>
    <m/>
    <m/>
    <s v="Pending"/>
    <s v=""/>
    <m/>
    <m/>
    <n v="260"/>
    <n v="0.36"/>
    <n v="93.6"/>
    <s v=""/>
    <x v="2"/>
    <x v="1"/>
    <x v="8"/>
  </r>
  <r>
    <s v="CLM105212"/>
    <s v="PT13288"/>
    <s v="P02"/>
    <x v="3"/>
    <x v="3"/>
    <n v="20"/>
    <d v="2026-08-14T00:00:00"/>
    <d v="2026-08-15T00:00:00"/>
    <n v="29640.06"/>
    <m/>
    <m/>
    <m/>
    <s v="Denied"/>
    <s v="CO-197"/>
    <d v="2026-09-08T00:00:00"/>
    <m/>
    <n v="1450"/>
    <n v="0.43"/>
    <n v="12470"/>
    <s v=""/>
    <x v="2"/>
    <x v="6"/>
    <x v="4"/>
  </r>
  <r>
    <s v="CLM105213"/>
    <s v="PT11765"/>
    <s v="P08"/>
    <x v="0"/>
    <x v="0"/>
    <n v="1"/>
    <d v="2026-07-03T00:00:00"/>
    <d v="2026-07-08T00:00:00"/>
    <n v="145.9"/>
    <m/>
    <m/>
    <m/>
    <s v="Pending"/>
    <s v=""/>
    <m/>
    <m/>
    <n v="145"/>
    <n v="1"/>
    <n v="145"/>
    <s v=""/>
    <x v="2"/>
    <x v="7"/>
    <x v="1"/>
  </r>
  <r>
    <s v="CLM105214"/>
    <s v="PT13152"/>
    <s v="P02"/>
    <x v="1"/>
    <x v="8"/>
    <n v="1"/>
    <d v="2026-05-13T00:00:00"/>
    <d v="2026-05-20T00:00:00"/>
    <n v="255.61"/>
    <m/>
    <m/>
    <m/>
    <s v="Denied"/>
    <s v="CO-11"/>
    <d v="2026-06-26T00:00:00"/>
    <m/>
    <n v="260"/>
    <n v="0.43"/>
    <n v="111.8"/>
    <s v=""/>
    <x v="2"/>
    <x v="6"/>
    <x v="7"/>
  </r>
  <r>
    <s v="CLM105215"/>
    <s v="PT12995"/>
    <s v="P02"/>
    <x v="2"/>
    <x v="0"/>
    <n v="1"/>
    <d v="2025-11-04T00:00:00"/>
    <d v="2025-11-07T00:00:00"/>
    <n v="143.25"/>
    <m/>
    <m/>
    <m/>
    <s v="Denied"/>
    <s v="CO-16"/>
    <d v="2025-12-12T00:00:00"/>
    <m/>
    <n v="145"/>
    <n v="0.43"/>
    <n v="62.35"/>
    <s v=""/>
    <x v="2"/>
    <x v="6"/>
    <x v="3"/>
  </r>
  <r>
    <s v="CLM105216"/>
    <s v="PT11002"/>
    <s v="P04"/>
    <x v="0"/>
    <x v="4"/>
    <n v="1"/>
    <d v="2026-09-22T00:00:00"/>
    <d v="2026-09-25T00:00:00"/>
    <n v="37.85"/>
    <m/>
    <m/>
    <m/>
    <s v="Pending"/>
    <s v=""/>
    <m/>
    <m/>
    <n v="38"/>
    <n v="0.36"/>
    <n v="13.68"/>
    <s v=""/>
    <x v="2"/>
    <x v="1"/>
    <x v="8"/>
  </r>
  <r>
    <s v="CLM105217"/>
    <s v="PT11941"/>
    <s v="P05"/>
    <x v="0"/>
    <x v="0"/>
    <n v="1"/>
    <d v="2026-01-22T00:00:00"/>
    <d v="2026-02-09T00:00:00"/>
    <n v="140.99"/>
    <n v="61.45"/>
    <n v="61.45"/>
    <n v="0"/>
    <s v="Paid"/>
    <s v=""/>
    <d v="2026-04-13T00:00:00"/>
    <d v="2026-04-13T00:00:00"/>
    <n v="145"/>
    <n v="0.38"/>
    <n v="55.1"/>
    <n v="-6.3500000000000014"/>
    <x v="0"/>
    <x v="0"/>
    <x v="5"/>
  </r>
  <r>
    <s v="CLM105218"/>
    <s v="PT12269"/>
    <s v="P04"/>
    <x v="0"/>
    <x v="7"/>
    <n v="1"/>
    <d v="2026-04-05T00:00:00"/>
    <d v="2026-04-06T00:00:00"/>
    <n v="214.58"/>
    <n v="67.84"/>
    <n v="54.27"/>
    <n v="13.57"/>
    <s v="Paid"/>
    <s v=""/>
    <d v="2026-05-01T00:00:00"/>
    <d v="2026-05-01T00:00:00"/>
    <n v="210"/>
    <n v="0.36"/>
    <n v="75.599999999999994"/>
    <n v="7.7599999999999909"/>
    <x v="1"/>
    <x v="1"/>
    <x v="10"/>
  </r>
  <r>
    <s v="CLM105219"/>
    <s v="PT13460"/>
    <s v="P05"/>
    <x v="2"/>
    <x v="2"/>
    <n v="2"/>
    <d v="2025-12-12T00:00:00"/>
    <d v="2025-12-20T00:00:00"/>
    <n v="125.06"/>
    <n v="45.28"/>
    <n v="40.75"/>
    <n v="4.53"/>
    <s v="Paid"/>
    <s v=""/>
    <d v="2026-01-24T00:00:00"/>
    <d v="2026-01-24T00:00:00"/>
    <n v="62"/>
    <n v="0.38"/>
    <n v="47.12"/>
    <n v="1.8399999999999963"/>
    <x v="0"/>
    <x v="0"/>
    <x v="6"/>
  </r>
  <r>
    <s v="CLM105220"/>
    <s v="PT10150"/>
    <s v="P04"/>
    <x v="3"/>
    <x v="7"/>
    <n v="1"/>
    <d v="2026-01-17T00:00:00"/>
    <d v="2026-01-24T00:00:00"/>
    <n v="207.47"/>
    <n v="71.05"/>
    <n v="71.05"/>
    <n v="0"/>
    <s v="Paid"/>
    <s v=""/>
    <d v="2026-01-31T00:00:00"/>
    <d v="2026-01-31T00:00:00"/>
    <n v="210"/>
    <n v="0.36"/>
    <n v="75.599999999999994"/>
    <n v="4.5499999999999972"/>
    <x v="1"/>
    <x v="1"/>
    <x v="5"/>
  </r>
  <r>
    <s v="CLM105221"/>
    <s v="PT11589"/>
    <s v="P04"/>
    <x v="0"/>
    <x v="4"/>
    <n v="1"/>
    <d v="2026-02-11T00:00:00"/>
    <d v="2026-02-16T00:00:00"/>
    <n v="37.9"/>
    <n v="12.22"/>
    <n v="12.22"/>
    <n v="0"/>
    <s v="Paid"/>
    <s v=""/>
    <d v="2026-03-06T00:00:00"/>
    <d v="2026-03-06T00:00:00"/>
    <n v="38"/>
    <n v="0.36"/>
    <n v="13.68"/>
    <n v="1.4599999999999991"/>
    <x v="1"/>
    <x v="1"/>
    <x v="0"/>
  </r>
  <r>
    <s v="CLM105222"/>
    <s v="PT12210"/>
    <s v="P07"/>
    <x v="2"/>
    <x v="2"/>
    <n v="3"/>
    <d v="2026-09-25T00:00:00"/>
    <d v="2026-09-29T00:00:00"/>
    <n v="190.97"/>
    <m/>
    <m/>
    <m/>
    <s v="Pending"/>
    <s v=""/>
    <m/>
    <m/>
    <n v="62"/>
    <n v="0.28000000000000003"/>
    <n v="52.08"/>
    <s v=""/>
    <x v="2"/>
    <x v="3"/>
    <x v="8"/>
  </r>
  <r>
    <s v="CLM105223"/>
    <s v="PT11650"/>
    <s v="P01"/>
    <x v="2"/>
    <x v="9"/>
    <n v="4"/>
    <d v="2026-05-07T00:00:00"/>
    <d v="2026-05-10T00:00:00"/>
    <n v="235.4"/>
    <n v="102.16"/>
    <n v="102.16"/>
    <n v="0"/>
    <s v="Paid"/>
    <s v=""/>
    <d v="2026-06-09T00:00:00"/>
    <d v="2026-06-09T00:00:00"/>
    <n v="58"/>
    <n v="0.45"/>
    <n v="104.4"/>
    <n v="2.2400000000000091"/>
    <x v="0"/>
    <x v="5"/>
    <x v="7"/>
  </r>
  <r>
    <s v="CLM105224"/>
    <s v="PT12090"/>
    <s v="P06"/>
    <x v="1"/>
    <x v="5"/>
    <n v="1"/>
    <d v="2026-04-03T00:00:00"/>
    <d v="2026-04-05T00:00:00"/>
    <n v="4761.92"/>
    <n v="1196"/>
    <n v="1196"/>
    <n v="0"/>
    <s v="Paid"/>
    <s v=""/>
    <d v="2026-05-10T00:00:00"/>
    <d v="2026-05-10T00:00:00"/>
    <n v="4800"/>
    <n v="0.27"/>
    <n v="1296"/>
    <n v="100"/>
    <x v="1"/>
    <x v="2"/>
    <x v="10"/>
  </r>
  <r>
    <s v="CLM105225"/>
    <s v="PT12446"/>
    <s v="P04"/>
    <x v="1"/>
    <x v="1"/>
    <n v="1"/>
    <d v="2025-11-20T00:00:00"/>
    <d v="2025-11-22T00:00:00"/>
    <n v="233.76"/>
    <n v="85.31"/>
    <n v="68.25"/>
    <n v="17.059999999999999"/>
    <s v="Paid"/>
    <s v=""/>
    <d v="2025-12-16T00:00:00"/>
    <d v="2025-12-16T00:00:00"/>
    <n v="240"/>
    <n v="0.36"/>
    <n v="86.4"/>
    <n v="1.0900000000000034"/>
    <x v="0"/>
    <x v="1"/>
    <x v="3"/>
  </r>
  <r>
    <s v="CLM105226"/>
    <s v="PT11646"/>
    <s v="P03"/>
    <x v="1"/>
    <x v="10"/>
    <n v="1"/>
    <d v="2026-08-25T00:00:00"/>
    <d v="2026-08-30T00:00:00"/>
    <n v="1076.46"/>
    <m/>
    <m/>
    <m/>
    <s v="Pending"/>
    <s v=""/>
    <m/>
    <m/>
    <n v="1050"/>
    <n v="0.47"/>
    <n v="493.5"/>
    <s v=""/>
    <x v="2"/>
    <x v="4"/>
    <x v="4"/>
  </r>
  <r>
    <s v="CLM105227"/>
    <s v="PT10592"/>
    <s v="P01"/>
    <x v="1"/>
    <x v="1"/>
    <n v="1"/>
    <d v="2026-05-01T00:00:00"/>
    <d v="2026-05-04T00:00:00"/>
    <n v="242.97"/>
    <n v="122.52"/>
    <n v="122.52"/>
    <n v="0"/>
    <s v="Paid"/>
    <s v=""/>
    <d v="2026-05-31T00:00:00"/>
    <d v="2026-05-31T00:00:00"/>
    <n v="240"/>
    <n v="0.45"/>
    <n v="108"/>
    <n v="-14.519999999999996"/>
    <x v="0"/>
    <x v="5"/>
    <x v="7"/>
  </r>
  <r>
    <s v="CLM105228"/>
    <s v="PT11937"/>
    <s v="P05"/>
    <x v="1"/>
    <x v="7"/>
    <n v="1"/>
    <d v="2026-02-28T00:00:00"/>
    <d v="2026-03-03T00:00:00"/>
    <n v="214.3"/>
    <n v="79.760000000000005"/>
    <n v="79.760000000000005"/>
    <n v="0"/>
    <s v="Paid"/>
    <s v=""/>
    <d v="2026-04-23T00:00:00"/>
    <d v="2026-04-23T00:00:00"/>
    <n v="210"/>
    <n v="0.38"/>
    <n v="79.8"/>
    <n v="3.9999999999992042E-2"/>
    <x v="0"/>
    <x v="0"/>
    <x v="0"/>
  </r>
  <r>
    <s v="CLM105229"/>
    <s v="PT12230"/>
    <s v="P04"/>
    <x v="3"/>
    <x v="6"/>
    <n v="1"/>
    <d v="2026-04-22T00:00:00"/>
    <d v="2026-04-23T00:00:00"/>
    <n v="417.71"/>
    <n v="172.53"/>
    <n v="172.53"/>
    <n v="0"/>
    <s v="Paid"/>
    <s v=""/>
    <d v="2026-05-12T00:00:00"/>
    <d v="2026-05-12T00:00:00"/>
    <n v="420"/>
    <n v="0.36"/>
    <n v="151.19999999999999"/>
    <n v="-21.330000000000013"/>
    <x v="0"/>
    <x v="1"/>
    <x v="10"/>
  </r>
  <r>
    <s v="CLM105230"/>
    <s v="PT10766"/>
    <s v="P01"/>
    <x v="2"/>
    <x v="2"/>
    <n v="1"/>
    <d v="2026-07-20T00:00:00"/>
    <d v="2026-08-03T00:00:00"/>
    <n v="60.88"/>
    <n v="28.44"/>
    <n v="28.44"/>
    <n v="0"/>
    <s v="Paid"/>
    <s v=""/>
    <d v="2026-08-24T00:00:00"/>
    <d v="2026-08-24T00:00:00"/>
    <n v="62"/>
    <n v="0.45"/>
    <n v="27.9"/>
    <n v="-0.5400000000000027"/>
    <x v="0"/>
    <x v="5"/>
    <x v="1"/>
  </r>
  <r>
    <s v="CLM105231"/>
    <s v="PT13433"/>
    <s v="P01"/>
    <x v="3"/>
    <x v="7"/>
    <n v="1"/>
    <d v="2026-04-26T00:00:00"/>
    <d v="2026-04-30T00:00:00"/>
    <n v="213.35"/>
    <n v="94.35"/>
    <n v="94.35"/>
    <n v="0"/>
    <s v="Paid"/>
    <s v=""/>
    <d v="2026-05-31T00:00:00"/>
    <d v="2026-05-31T00:00:00"/>
    <n v="210"/>
    <n v="0.45"/>
    <n v="94.5"/>
    <n v="0.15000000000000568"/>
    <x v="0"/>
    <x v="5"/>
    <x v="10"/>
  </r>
  <r>
    <s v="CLM105232"/>
    <s v="PT13328"/>
    <s v="P08"/>
    <x v="1"/>
    <x v="1"/>
    <n v="1"/>
    <d v="2025-10-29T00:00:00"/>
    <d v="2025-11-03T00:00:00"/>
    <n v="242.58"/>
    <m/>
    <m/>
    <m/>
    <s v="Pending"/>
    <s v=""/>
    <m/>
    <m/>
    <n v="240"/>
    <n v="1"/>
    <n v="240"/>
    <s v=""/>
    <x v="2"/>
    <x v="7"/>
    <x v="9"/>
  </r>
  <r>
    <s v="CLM105233"/>
    <s v="PT11930"/>
    <s v="P03"/>
    <x v="2"/>
    <x v="9"/>
    <n v="3"/>
    <d v="2025-10-25T00:00:00"/>
    <d v="2025-10-27T00:00:00"/>
    <n v="170.17"/>
    <n v="88.07"/>
    <n v="79.260000000000005"/>
    <n v="8.81"/>
    <s v="Paid"/>
    <s v=""/>
    <d v="2025-11-29T00:00:00"/>
    <d v="2025-11-29T00:00:00"/>
    <n v="58"/>
    <n v="0.47"/>
    <n v="81.78"/>
    <n v="-6.289999999999992"/>
    <x v="0"/>
    <x v="4"/>
    <x v="9"/>
  </r>
  <r>
    <s v="CLM105234"/>
    <s v="PT12974"/>
    <s v="P06"/>
    <x v="1"/>
    <x v="1"/>
    <n v="1"/>
    <d v="2025-11-09T00:00:00"/>
    <d v="2025-11-12T00:00:00"/>
    <n v="242.9"/>
    <m/>
    <m/>
    <m/>
    <s v="Denied"/>
    <s v="CO-16"/>
    <d v="2025-12-15T00:00:00"/>
    <m/>
    <n v="240"/>
    <n v="0.27"/>
    <n v="64.8"/>
    <s v=""/>
    <x v="2"/>
    <x v="2"/>
    <x v="3"/>
  </r>
  <r>
    <s v="CLM105235"/>
    <s v="PT12821"/>
    <s v="P07"/>
    <x v="1"/>
    <x v="8"/>
    <n v="1"/>
    <d v="2026-07-19T00:00:00"/>
    <d v="2026-07-22T00:00:00"/>
    <n v="259.55"/>
    <n v="62.2"/>
    <n v="62.2"/>
    <n v="0"/>
    <s v="Paid"/>
    <s v=""/>
    <d v="2026-09-22T00:00:00"/>
    <d v="2026-09-22T00:00:00"/>
    <n v="260"/>
    <n v="0.28000000000000003"/>
    <n v="72.8"/>
    <n v="10.599999999999994"/>
    <x v="1"/>
    <x v="3"/>
    <x v="1"/>
  </r>
  <r>
    <s v="CLM105236"/>
    <s v="PT12467"/>
    <s v="P05"/>
    <x v="3"/>
    <x v="6"/>
    <n v="1"/>
    <d v="2026-01-20T00:00:00"/>
    <d v="2026-01-21T00:00:00"/>
    <n v="420.29"/>
    <n v="144.79"/>
    <n v="144.79"/>
    <n v="0"/>
    <s v="Paid"/>
    <s v=""/>
    <d v="2026-03-16T00:00:00"/>
    <d v="2026-03-16T00:00:00"/>
    <n v="420"/>
    <n v="0.38"/>
    <n v="159.6"/>
    <n v="14.810000000000002"/>
    <x v="1"/>
    <x v="0"/>
    <x v="5"/>
  </r>
  <r>
    <s v="CLM105237"/>
    <s v="PT10693"/>
    <s v="P08"/>
    <x v="1"/>
    <x v="7"/>
    <n v="1"/>
    <d v="2026-03-22T00:00:00"/>
    <d v="2026-03-25T00:00:00"/>
    <n v="211.95"/>
    <n v="211.95"/>
    <n v="211.95"/>
    <n v="0"/>
    <s v="Paid"/>
    <s v=""/>
    <d v="2026-07-06T00:00:00"/>
    <d v="2026-07-06T00:00:00"/>
    <n v="210"/>
    <n v="1"/>
    <n v="210"/>
    <n v="-1.9499999999999886"/>
    <x v="0"/>
    <x v="7"/>
    <x v="2"/>
  </r>
  <r>
    <s v="CLM105238"/>
    <s v="PT10652"/>
    <s v="P04"/>
    <x v="0"/>
    <x v="0"/>
    <n v="1"/>
    <d v="2025-11-24T00:00:00"/>
    <d v="2025-11-25T00:00:00"/>
    <n v="141.34"/>
    <n v="48.24"/>
    <n v="43.42"/>
    <n v="4.82"/>
    <s v="Paid"/>
    <s v=""/>
    <d v="2025-12-18T00:00:00"/>
    <d v="2025-12-18T00:00:00"/>
    <n v="145"/>
    <n v="0.36"/>
    <n v="52.2"/>
    <n v="3.9600000000000009"/>
    <x v="1"/>
    <x v="1"/>
    <x v="3"/>
  </r>
  <r>
    <s v="CLM105239"/>
    <s v="PT13393"/>
    <s v="P01"/>
    <x v="1"/>
    <x v="11"/>
    <n v="1"/>
    <d v="2026-04-18T00:00:00"/>
    <d v="2026-04-24T00:00:00"/>
    <n v="1137.55"/>
    <n v="499.45"/>
    <n v="499.45"/>
    <n v="0"/>
    <s v="Paid"/>
    <s v=""/>
    <d v="2026-06-02T00:00:00"/>
    <d v="2026-06-02T00:00:00"/>
    <n v="1150"/>
    <n v="0.45"/>
    <n v="517.5"/>
    <n v="18.050000000000011"/>
    <x v="0"/>
    <x v="5"/>
    <x v="10"/>
  </r>
  <r>
    <s v="CLM105240"/>
    <s v="PT10243"/>
    <s v="P02"/>
    <x v="0"/>
    <x v="7"/>
    <n v="1"/>
    <d v="2026-06-19T00:00:00"/>
    <d v="2026-06-26T00:00:00"/>
    <n v="215.39"/>
    <n v="105.62"/>
    <n v="105.62"/>
    <n v="0"/>
    <s v="Paid"/>
    <s v=""/>
    <d v="2026-07-09T00:00:00"/>
    <d v="2026-07-09T00:00:00"/>
    <n v="210"/>
    <n v="0.43"/>
    <n v="90.3"/>
    <n v="-15.320000000000007"/>
    <x v="0"/>
    <x v="6"/>
    <x v="11"/>
  </r>
  <r>
    <s v="CLM105242"/>
    <s v="PT11697"/>
    <s v="P02"/>
    <x v="1"/>
    <x v="8"/>
    <n v="1"/>
    <d v="2025-12-30T00:00:00"/>
    <d v="2026-01-11T00:00:00"/>
    <n v="260.16000000000003"/>
    <n v="113.9"/>
    <n v="113.9"/>
    <n v="0"/>
    <s v="Paid"/>
    <s v=""/>
    <d v="2026-02-11T00:00:00"/>
    <d v="2026-02-11T00:00:00"/>
    <n v="260"/>
    <n v="0.43"/>
    <n v="111.8"/>
    <n v="-2.1000000000000085"/>
    <x v="0"/>
    <x v="6"/>
    <x v="6"/>
  </r>
  <r>
    <s v="CLM105243"/>
    <s v="PT12027"/>
    <s v="P04"/>
    <x v="0"/>
    <x v="0"/>
    <n v="1"/>
    <d v="2025-12-05T00:00:00"/>
    <d v="2025-12-13T00:00:00"/>
    <n v="142.59"/>
    <m/>
    <m/>
    <m/>
    <s v="Denied"/>
    <s v="CO-16"/>
    <d v="2026-01-01T00:00:00"/>
    <m/>
    <n v="145"/>
    <n v="0.36"/>
    <n v="52.2"/>
    <s v=""/>
    <x v="2"/>
    <x v="1"/>
    <x v="6"/>
  </r>
  <r>
    <s v="CLM105244"/>
    <s v="PT10582"/>
    <s v="P07"/>
    <x v="0"/>
    <x v="0"/>
    <n v="1"/>
    <d v="2026-04-16T00:00:00"/>
    <d v="2026-04-26T00:00:00"/>
    <n v="146.83000000000001"/>
    <n v="38.6"/>
    <n v="38.6"/>
    <n v="0"/>
    <s v="Paid"/>
    <s v=""/>
    <d v="2026-07-06T00:00:00"/>
    <d v="2026-07-06T00:00:00"/>
    <n v="145"/>
    <n v="0.28000000000000003"/>
    <n v="40.6"/>
    <n v="2"/>
    <x v="0"/>
    <x v="3"/>
    <x v="10"/>
  </r>
  <r>
    <s v="CLM105245"/>
    <s v="PT11363"/>
    <s v="P06"/>
    <x v="3"/>
    <x v="6"/>
    <n v="1"/>
    <d v="2026-06-05T00:00:00"/>
    <d v="2026-06-06T00:00:00"/>
    <n v="422.97"/>
    <n v="120.29"/>
    <n v="96.23"/>
    <n v="24.06"/>
    <s v="Paid"/>
    <s v=""/>
    <d v="2026-07-12T00:00:00"/>
    <d v="2026-07-12T00:00:00"/>
    <n v="420"/>
    <n v="0.27"/>
    <n v="113.4"/>
    <n v="-6.8900000000000006"/>
    <x v="0"/>
    <x v="2"/>
    <x v="11"/>
  </r>
  <r>
    <s v="CLM105246"/>
    <s v="PT10220"/>
    <s v="P03"/>
    <x v="1"/>
    <x v="4"/>
    <n v="1"/>
    <d v="2026-08-16T00:00:00"/>
    <d v="2026-08-22T00:00:00"/>
    <n v="37.64"/>
    <m/>
    <m/>
    <m/>
    <s v="Pending"/>
    <s v=""/>
    <m/>
    <m/>
    <n v="38"/>
    <n v="0.47"/>
    <n v="17.86"/>
    <s v=""/>
    <x v="2"/>
    <x v="4"/>
    <x v="4"/>
  </r>
  <r>
    <s v="CLM105247"/>
    <s v="PT11049"/>
    <s v="P07"/>
    <x v="1"/>
    <x v="4"/>
    <n v="1"/>
    <d v="2026-06-10T00:00:00"/>
    <d v="2026-06-22T00:00:00"/>
    <n v="37.32"/>
    <m/>
    <m/>
    <m/>
    <s v="Denied"/>
    <s v="CO-16"/>
    <d v="2026-08-04T00:00:00"/>
    <m/>
    <n v="38"/>
    <n v="0.28000000000000003"/>
    <n v="10.64"/>
    <s v=""/>
    <x v="2"/>
    <x v="3"/>
    <x v="11"/>
  </r>
  <r>
    <s v="CLM105248"/>
    <s v="PT13136"/>
    <s v="P04"/>
    <x v="2"/>
    <x v="2"/>
    <n v="2"/>
    <d v="2026-09-21T00:00:00"/>
    <d v="2026-09-26T00:00:00"/>
    <n v="125.7"/>
    <m/>
    <m/>
    <m/>
    <s v="Pending"/>
    <s v=""/>
    <m/>
    <m/>
    <n v="62"/>
    <n v="0.36"/>
    <n v="44.64"/>
    <s v=""/>
    <x v="2"/>
    <x v="1"/>
    <x v="8"/>
  </r>
  <r>
    <s v="CLM105249"/>
    <s v="PT11492"/>
    <s v="P06"/>
    <x v="1"/>
    <x v="7"/>
    <n v="1"/>
    <d v="2025-10-08T00:00:00"/>
    <d v="2025-10-22T00:00:00"/>
    <n v="204.12"/>
    <n v="56"/>
    <n v="44.8"/>
    <n v="11.2"/>
    <s v="Paid"/>
    <s v=""/>
    <d v="2025-11-09T00:00:00"/>
    <d v="2025-11-09T00:00:00"/>
    <n v="210"/>
    <n v="0.27"/>
    <n v="56.7"/>
    <n v="0.70000000000000284"/>
    <x v="0"/>
    <x v="2"/>
    <x v="9"/>
  </r>
  <r>
    <s v="CLM105250"/>
    <s v="PT10684"/>
    <s v="P05"/>
    <x v="0"/>
    <x v="7"/>
    <n v="1"/>
    <d v="2026-09-21T00:00:00"/>
    <d v="2026-09-23T00:00:00"/>
    <n v="206.09"/>
    <m/>
    <m/>
    <m/>
    <s v="Pending"/>
    <s v=""/>
    <m/>
    <m/>
    <n v="210"/>
    <n v="0.38"/>
    <n v="79.8"/>
    <s v=""/>
    <x v="2"/>
    <x v="0"/>
    <x v="8"/>
  </r>
  <r>
    <s v="CLM105251"/>
    <s v="PT10346"/>
    <s v="P07"/>
    <x v="2"/>
    <x v="2"/>
    <n v="4"/>
    <d v="2026-05-13T00:00:00"/>
    <d v="2026-05-16T00:00:00"/>
    <n v="244.77"/>
    <n v="61.26"/>
    <n v="55.13"/>
    <n v="6.13"/>
    <s v="Paid"/>
    <s v=""/>
    <d v="2026-07-05T00:00:00"/>
    <d v="2026-07-05T00:00:00"/>
    <n v="62"/>
    <n v="0.28000000000000003"/>
    <n v="69.44"/>
    <n v="8.18"/>
    <x v="1"/>
    <x v="3"/>
    <x v="7"/>
  </r>
  <r>
    <s v="CLM105252"/>
    <s v="PT12344"/>
    <s v="P01"/>
    <x v="3"/>
    <x v="6"/>
    <n v="1"/>
    <d v="2026-05-03T00:00:00"/>
    <d v="2026-05-14T00:00:00"/>
    <n v="409.16"/>
    <n v="165.65"/>
    <n v="132.52000000000001"/>
    <n v="33.130000000000003"/>
    <s v="Paid"/>
    <s v=""/>
    <d v="2026-06-11T00:00:00"/>
    <d v="2026-06-11T00:00:00"/>
    <n v="420"/>
    <n v="0.45"/>
    <n v="189"/>
    <n v="23.349999999999994"/>
    <x v="1"/>
    <x v="5"/>
    <x v="7"/>
  </r>
  <r>
    <s v="CLM105253"/>
    <s v="PT12607"/>
    <s v="P08"/>
    <x v="2"/>
    <x v="9"/>
    <n v="4"/>
    <d v="2026-09-22T00:00:00"/>
    <d v="2026-09-23T00:00:00"/>
    <n v="230.59"/>
    <m/>
    <m/>
    <m/>
    <s v="Pending"/>
    <s v=""/>
    <m/>
    <m/>
    <n v="58"/>
    <n v="1"/>
    <n v="232"/>
    <s v=""/>
    <x v="2"/>
    <x v="7"/>
    <x v="8"/>
  </r>
  <r>
    <s v="CLM105254"/>
    <s v="PT11601"/>
    <s v="P01"/>
    <x v="3"/>
    <x v="7"/>
    <n v="1"/>
    <d v="2026-03-20T00:00:00"/>
    <d v="2026-03-23T00:00:00"/>
    <n v="215.16"/>
    <n v="107.54"/>
    <n v="107.54"/>
    <n v="0"/>
    <s v="Paid"/>
    <s v=""/>
    <d v="2026-04-23T00:00:00"/>
    <d v="2026-04-23T00:00:00"/>
    <n v="210"/>
    <n v="0.45"/>
    <n v="94.5"/>
    <n v="-13.040000000000006"/>
    <x v="0"/>
    <x v="5"/>
    <x v="2"/>
  </r>
  <r>
    <s v="CLM105255"/>
    <s v="PT13497"/>
    <s v="P06"/>
    <x v="0"/>
    <x v="4"/>
    <n v="1"/>
    <d v="2026-02-12T00:00:00"/>
    <d v="2026-03-03T00:00:00"/>
    <n v="37.130000000000003"/>
    <n v="9.07"/>
    <n v="9.07"/>
    <n v="0"/>
    <s v="Paid"/>
    <s v=""/>
    <d v="2026-04-18T00:00:00"/>
    <d v="2026-04-18T00:00:00"/>
    <n v="38"/>
    <n v="0.27"/>
    <n v="10.26"/>
    <n v="1.1899999999999995"/>
    <x v="1"/>
    <x v="2"/>
    <x v="0"/>
  </r>
  <r>
    <s v="CLM105256"/>
    <s v="PT10592"/>
    <s v="P06"/>
    <x v="2"/>
    <x v="2"/>
    <n v="1"/>
    <d v="2026-03-13T00:00:00"/>
    <d v="2026-03-17T00:00:00"/>
    <n v="63.53"/>
    <n v="15.19"/>
    <n v="15.19"/>
    <n v="0"/>
    <s v="Paid"/>
    <s v=""/>
    <d v="2026-04-22T00:00:00"/>
    <d v="2026-04-22T00:00:00"/>
    <n v="62"/>
    <n v="0.27"/>
    <n v="16.739999999999998"/>
    <n v="1.5499999999999989"/>
    <x v="1"/>
    <x v="2"/>
    <x v="2"/>
  </r>
  <r>
    <s v="CLM105257"/>
    <s v="PT10065"/>
    <s v="P01"/>
    <x v="1"/>
    <x v="7"/>
    <n v="1"/>
    <d v="2026-05-26T00:00:00"/>
    <d v="2026-05-31T00:00:00"/>
    <n v="204.08"/>
    <n v="78.739999999999995"/>
    <n v="62.99"/>
    <n v="15.75"/>
    <s v="Paid"/>
    <s v=""/>
    <d v="2026-06-27T00:00:00"/>
    <d v="2026-06-27T00:00:00"/>
    <n v="210"/>
    <n v="0.45"/>
    <n v="94.5"/>
    <n v="15.760000000000005"/>
    <x v="1"/>
    <x v="5"/>
    <x v="7"/>
  </r>
  <r>
    <s v="CLM105258"/>
    <s v="PT12518"/>
    <s v="P01"/>
    <x v="0"/>
    <x v="8"/>
    <n v="1"/>
    <d v="2026-04-29T00:00:00"/>
    <d v="2026-05-02T00:00:00"/>
    <n v="254.38"/>
    <n v="108.59"/>
    <n v="108.59"/>
    <n v="0"/>
    <s v="Paid"/>
    <s v=""/>
    <d v="2026-06-04T00:00:00"/>
    <d v="2026-06-04T00:00:00"/>
    <n v="260"/>
    <n v="0.45"/>
    <n v="117"/>
    <n v="8.4099999999999966"/>
    <x v="1"/>
    <x v="5"/>
    <x v="10"/>
  </r>
  <r>
    <s v="CLM105259"/>
    <s v="PT10162"/>
    <s v="P04"/>
    <x v="0"/>
    <x v="7"/>
    <n v="1"/>
    <d v="2026-03-21T00:00:00"/>
    <d v="2026-03-23T00:00:00"/>
    <n v="207.9"/>
    <n v="68.84"/>
    <n v="55.07"/>
    <n v="13.77"/>
    <s v="Paid"/>
    <s v=""/>
    <d v="2026-04-13T00:00:00"/>
    <d v="2026-04-13T00:00:00"/>
    <n v="210"/>
    <n v="0.36"/>
    <n v="75.599999999999994"/>
    <n v="6.7599999999999909"/>
    <x v="1"/>
    <x v="1"/>
    <x v="2"/>
  </r>
  <r>
    <s v="CLM105260"/>
    <s v="PT13054"/>
    <s v="P03"/>
    <x v="3"/>
    <x v="3"/>
    <n v="10"/>
    <d v="2026-05-06T00:00:00"/>
    <d v="2026-05-12T00:00:00"/>
    <n v="14908.55"/>
    <n v="6915.31"/>
    <n v="5532.25"/>
    <n v="1383.06"/>
    <s v="Paid"/>
    <s v=""/>
    <d v="2026-06-01T00:00:00"/>
    <d v="2026-06-01T00:00:00"/>
    <n v="1450"/>
    <n v="0.47"/>
    <n v="6815"/>
    <n v="-100.3100000000004"/>
    <x v="0"/>
    <x v="4"/>
    <x v="7"/>
  </r>
  <r>
    <s v="CLM105261"/>
    <s v="PT10511"/>
    <s v="P06"/>
    <x v="1"/>
    <x v="1"/>
    <n v="1"/>
    <d v="2026-04-28T00:00:00"/>
    <d v="2026-05-07T00:00:00"/>
    <n v="241.53"/>
    <n v="70.98"/>
    <n v="70.98"/>
    <n v="0"/>
    <s v="Paid"/>
    <s v=""/>
    <d v="2026-06-27T00:00:00"/>
    <d v="2026-06-27T00:00:00"/>
    <n v="240"/>
    <n v="0.27"/>
    <n v="64.8"/>
    <n v="-6.1800000000000068"/>
    <x v="0"/>
    <x v="2"/>
    <x v="10"/>
  </r>
  <r>
    <s v="CLM105262"/>
    <s v="PT12512"/>
    <s v="P06"/>
    <x v="1"/>
    <x v="4"/>
    <n v="1"/>
    <d v="2026-03-19T00:00:00"/>
    <d v="2026-03-22T00:00:00"/>
    <n v="37.340000000000003"/>
    <m/>
    <m/>
    <m/>
    <s v="Denied"/>
    <s v="CO-27"/>
    <d v="2026-04-27T00:00:00"/>
    <m/>
    <n v="38"/>
    <n v="0.27"/>
    <n v="10.26"/>
    <s v=""/>
    <x v="2"/>
    <x v="2"/>
    <x v="2"/>
  </r>
  <r>
    <s v="CLM105263"/>
    <s v="PT13486"/>
    <s v="P01"/>
    <x v="1"/>
    <x v="5"/>
    <n v="1"/>
    <d v="2025-12-15T00:00:00"/>
    <d v="2025-12-20T00:00:00"/>
    <n v="4837.9799999999996"/>
    <n v="1844.25"/>
    <n v="1844.25"/>
    <n v="0"/>
    <s v="Paid"/>
    <s v=""/>
    <d v="2026-01-04T00:00:00"/>
    <d v="2026-01-04T00:00:00"/>
    <n v="4800"/>
    <n v="0.45"/>
    <n v="2160"/>
    <n v="315.75"/>
    <x v="1"/>
    <x v="5"/>
    <x v="6"/>
  </r>
  <r>
    <s v="CLM105264"/>
    <s v="PT13301"/>
    <s v="P05"/>
    <x v="1"/>
    <x v="4"/>
    <n v="1"/>
    <d v="2026-08-17T00:00:00"/>
    <d v="2026-08-20T00:00:00"/>
    <n v="37.270000000000003"/>
    <n v="15.09"/>
    <n v="15.09"/>
    <n v="0"/>
    <s v="Paid"/>
    <s v=""/>
    <d v="2026-09-15T00:00:00"/>
    <d v="2026-09-15T00:00:00"/>
    <n v="38"/>
    <n v="0.38"/>
    <n v="14.44"/>
    <n v="-0.65000000000000036"/>
    <x v="0"/>
    <x v="0"/>
    <x v="4"/>
  </r>
  <r>
    <s v="CLM105265"/>
    <s v="PT11585"/>
    <s v="P02"/>
    <x v="0"/>
    <x v="8"/>
    <n v="1"/>
    <d v="2026-06-23T00:00:00"/>
    <d v="2026-06-27T00:00:00"/>
    <n v="266.02"/>
    <n v="129.66"/>
    <n v="129.66"/>
    <n v="0"/>
    <s v="Paid"/>
    <s v=""/>
    <d v="2026-08-17T00:00:00"/>
    <d v="2026-08-17T00:00:00"/>
    <n v="260"/>
    <n v="0.43"/>
    <n v="111.8"/>
    <n v="-17.86"/>
    <x v="0"/>
    <x v="6"/>
    <x v="11"/>
  </r>
  <r>
    <s v="CLM105266"/>
    <s v="PT13143"/>
    <s v="P02"/>
    <x v="0"/>
    <x v="8"/>
    <n v="1"/>
    <d v="2026-07-08T00:00:00"/>
    <d v="2026-07-12T00:00:00"/>
    <n v="259.61"/>
    <n v="113.69"/>
    <n v="102.32"/>
    <n v="11.37"/>
    <s v="Paid"/>
    <s v=""/>
    <d v="2026-08-09T00:00:00"/>
    <d v="2026-08-09T00:00:00"/>
    <n v="260"/>
    <n v="0.43"/>
    <n v="111.8"/>
    <n v="-1.8900000000000006"/>
    <x v="0"/>
    <x v="6"/>
    <x v="1"/>
  </r>
  <r>
    <s v="CLM105267"/>
    <s v="PT12441"/>
    <s v="P02"/>
    <x v="1"/>
    <x v="8"/>
    <n v="1"/>
    <d v="2025-12-14T00:00:00"/>
    <d v="2025-12-18T00:00:00"/>
    <n v="264.5"/>
    <n v="115.57"/>
    <n v="104.01"/>
    <n v="11.56"/>
    <s v="Paid"/>
    <s v=""/>
    <d v="2026-02-01T00:00:00"/>
    <d v="2026-02-01T00:00:00"/>
    <n v="260"/>
    <n v="0.43"/>
    <n v="111.8"/>
    <n v="-3.769999999999996"/>
    <x v="0"/>
    <x v="6"/>
    <x v="6"/>
  </r>
  <r>
    <s v="CLM105268"/>
    <s v="PT11904"/>
    <s v="P05"/>
    <x v="1"/>
    <x v="11"/>
    <n v="1"/>
    <d v="2025-12-07T00:00:00"/>
    <d v="2025-12-11T00:00:00"/>
    <n v="1122.76"/>
    <n v="365.12"/>
    <n v="292.10000000000002"/>
    <n v="73.02"/>
    <s v="Paid"/>
    <s v=""/>
    <d v="2026-02-24T00:00:00"/>
    <d v="2026-02-24T00:00:00"/>
    <n v="1150"/>
    <n v="0.38"/>
    <n v="437"/>
    <n v="71.88"/>
    <x v="1"/>
    <x v="0"/>
    <x v="6"/>
  </r>
  <r>
    <s v="CLM105269"/>
    <s v="PT10830"/>
    <s v="P04"/>
    <x v="0"/>
    <x v="0"/>
    <n v="1"/>
    <d v="2026-06-15T00:00:00"/>
    <d v="2026-06-17T00:00:00"/>
    <n v="148.30000000000001"/>
    <m/>
    <m/>
    <m/>
    <s v="Denied"/>
    <s v="CO-50"/>
    <d v="2026-06-30T00:00:00"/>
    <m/>
    <n v="145"/>
    <n v="0.36"/>
    <n v="52.2"/>
    <s v=""/>
    <x v="2"/>
    <x v="1"/>
    <x v="11"/>
  </r>
  <r>
    <s v="CLM105270"/>
    <s v="PT13433"/>
    <s v="P03"/>
    <x v="3"/>
    <x v="6"/>
    <n v="1"/>
    <d v="2026-03-26T00:00:00"/>
    <d v="2026-03-29T00:00:00"/>
    <n v="410.96"/>
    <m/>
    <m/>
    <m/>
    <s v="Denied"/>
    <s v="CO-197"/>
    <d v="2026-05-10T00:00:00"/>
    <m/>
    <n v="420"/>
    <n v="0.47"/>
    <n v="197.4"/>
    <s v=""/>
    <x v="2"/>
    <x v="4"/>
    <x v="2"/>
  </r>
  <r>
    <s v="CLM105271"/>
    <s v="PT12085"/>
    <s v="P06"/>
    <x v="0"/>
    <x v="0"/>
    <n v="1"/>
    <d v="2025-12-13T00:00:00"/>
    <d v="2025-12-24T00:00:00"/>
    <n v="143.9"/>
    <m/>
    <m/>
    <m/>
    <s v="Denied"/>
    <s v="CO-27"/>
    <d v="2026-01-26T00:00:00"/>
    <m/>
    <n v="145"/>
    <n v="0.27"/>
    <n v="39.15"/>
    <s v=""/>
    <x v="2"/>
    <x v="2"/>
    <x v="6"/>
  </r>
  <r>
    <s v="CLM105272"/>
    <s v="PT11233"/>
    <s v="P01"/>
    <x v="3"/>
    <x v="7"/>
    <n v="1"/>
    <d v="2025-11-10T00:00:00"/>
    <d v="2025-11-13T00:00:00"/>
    <n v="209.02"/>
    <n v="82.27"/>
    <n v="74.040000000000006"/>
    <n v="8.23"/>
    <s v="Paid"/>
    <s v=""/>
    <d v="2025-12-09T00:00:00"/>
    <d v="2025-12-09T00:00:00"/>
    <n v="210"/>
    <n v="0.45"/>
    <n v="94.5"/>
    <n v="12.230000000000004"/>
    <x v="1"/>
    <x v="5"/>
    <x v="3"/>
  </r>
  <r>
    <s v="CLM105273"/>
    <s v="PT10074"/>
    <s v="P04"/>
    <x v="3"/>
    <x v="6"/>
    <n v="1"/>
    <d v="2026-06-21T00:00:00"/>
    <d v="2026-06-22T00:00:00"/>
    <n v="426.37"/>
    <n v="165.74"/>
    <n v="165.74"/>
    <n v="0"/>
    <s v="Paid"/>
    <s v=""/>
    <d v="2026-07-07T00:00:00"/>
    <d v="2026-07-07T00:00:00"/>
    <n v="420"/>
    <n v="0.36"/>
    <n v="151.19999999999999"/>
    <n v="-14.54000000000002"/>
    <x v="0"/>
    <x v="1"/>
    <x v="11"/>
  </r>
  <r>
    <s v="CLM105274"/>
    <s v="PT10948"/>
    <s v="P02"/>
    <x v="3"/>
    <x v="3"/>
    <n v="5"/>
    <d v="2026-07-01T00:00:00"/>
    <d v="2026-07-04T00:00:00"/>
    <n v="7415.34"/>
    <n v="3152.33"/>
    <n v="2521.86"/>
    <n v="630.47"/>
    <s v="Paid"/>
    <s v=""/>
    <d v="2026-07-27T00:00:00"/>
    <d v="2026-07-27T00:00:00"/>
    <n v="1450"/>
    <n v="0.43"/>
    <n v="3117.5"/>
    <n v="-34.829999999999927"/>
    <x v="0"/>
    <x v="6"/>
    <x v="1"/>
  </r>
  <r>
    <s v="CLM105275"/>
    <s v="PT11830"/>
    <s v="P04"/>
    <x v="1"/>
    <x v="1"/>
    <n v="1"/>
    <d v="2026-03-21T00:00:00"/>
    <d v="2026-03-26T00:00:00"/>
    <n v="246.34"/>
    <n v="96.65"/>
    <n v="96.65"/>
    <n v="0"/>
    <s v="Paid"/>
    <s v=""/>
    <d v="2026-04-03T00:00:00"/>
    <d v="2026-04-03T00:00:00"/>
    <n v="240"/>
    <n v="0.36"/>
    <n v="86.4"/>
    <n v="-10.25"/>
    <x v="0"/>
    <x v="1"/>
    <x v="2"/>
  </r>
  <r>
    <s v="CLM105276"/>
    <s v="PT10420"/>
    <s v="P01"/>
    <x v="1"/>
    <x v="10"/>
    <n v="1"/>
    <d v="2026-03-07T00:00:00"/>
    <d v="2026-03-12T00:00:00"/>
    <n v="1021"/>
    <n v="500.71"/>
    <n v="500.71"/>
    <n v="0"/>
    <s v="Paid"/>
    <s v=""/>
    <d v="2026-04-16T00:00:00"/>
    <d v="2026-04-16T00:00:00"/>
    <n v="1050"/>
    <n v="0.45"/>
    <n v="472.5"/>
    <n v="-28.20999999999998"/>
    <x v="0"/>
    <x v="5"/>
    <x v="2"/>
  </r>
  <r>
    <s v="CLM105277"/>
    <s v="PT10819"/>
    <s v="P04"/>
    <x v="1"/>
    <x v="10"/>
    <n v="1"/>
    <d v="2026-05-06T00:00:00"/>
    <d v="2026-05-26T00:00:00"/>
    <n v="1079.1600000000001"/>
    <n v="352.87"/>
    <n v="317.58"/>
    <n v="35.29"/>
    <s v="Paid"/>
    <s v=""/>
    <d v="2026-06-13T00:00:00"/>
    <d v="2026-06-13T00:00:00"/>
    <n v="1050"/>
    <n v="0.36"/>
    <n v="378"/>
    <n v="25.129999999999995"/>
    <x v="1"/>
    <x v="1"/>
    <x v="7"/>
  </r>
  <r>
    <s v="CLM105278"/>
    <s v="PT11752"/>
    <s v="P02"/>
    <x v="0"/>
    <x v="8"/>
    <n v="1"/>
    <d v="2025-10-17T00:00:00"/>
    <d v="2025-10-21T00:00:00"/>
    <n v="253.52"/>
    <n v="94.32"/>
    <n v="75.459999999999994"/>
    <n v="18.86"/>
    <s v="Paid"/>
    <s v=""/>
    <d v="2025-12-06T00:00:00"/>
    <d v="2025-12-06T00:00:00"/>
    <n v="260"/>
    <n v="0.43"/>
    <n v="111.8"/>
    <n v="17.480000000000004"/>
    <x v="1"/>
    <x v="6"/>
    <x v="9"/>
  </r>
  <r>
    <s v="CLM105279"/>
    <s v="PT11567"/>
    <s v="P02"/>
    <x v="0"/>
    <x v="8"/>
    <n v="1"/>
    <d v="2026-04-23T00:00:00"/>
    <d v="2026-05-07T00:00:00"/>
    <n v="266.17"/>
    <n v="123.4"/>
    <n v="123.4"/>
    <n v="0"/>
    <s v="Paid"/>
    <s v=""/>
    <d v="2026-06-30T00:00:00"/>
    <d v="2026-06-30T00:00:00"/>
    <n v="260"/>
    <n v="0.43"/>
    <n v="111.8"/>
    <n v="-11.600000000000009"/>
    <x v="0"/>
    <x v="6"/>
    <x v="10"/>
  </r>
  <r>
    <s v="CLM105280"/>
    <s v="PT12385"/>
    <s v="P08"/>
    <x v="1"/>
    <x v="5"/>
    <n v="1"/>
    <d v="2025-10-18T00:00:00"/>
    <d v="2025-10-21T00:00:00"/>
    <n v="4819.76"/>
    <m/>
    <m/>
    <m/>
    <s v="Denied"/>
    <s v="CO-50"/>
    <d v="2025-12-29T00:00:00"/>
    <m/>
    <n v="4800"/>
    <n v="1"/>
    <n v="4800"/>
    <s v=""/>
    <x v="2"/>
    <x v="7"/>
    <x v="9"/>
  </r>
  <r>
    <s v="CLM105281"/>
    <s v="PT10232"/>
    <s v="P05"/>
    <x v="3"/>
    <x v="3"/>
    <n v="5"/>
    <d v="2026-05-30T00:00:00"/>
    <d v="2026-06-01T00:00:00"/>
    <n v="7061.75"/>
    <m/>
    <m/>
    <m/>
    <s v="Denied"/>
    <s v="CO-50"/>
    <d v="2026-07-28T00:00:00"/>
    <m/>
    <n v="1450"/>
    <n v="0.38"/>
    <n v="2755"/>
    <s v=""/>
    <x v="2"/>
    <x v="0"/>
    <x v="7"/>
  </r>
  <r>
    <s v="CLM105282"/>
    <s v="PT11147"/>
    <s v="P05"/>
    <x v="3"/>
    <x v="6"/>
    <n v="1"/>
    <d v="2026-01-25T00:00:00"/>
    <d v="2026-01-26T00:00:00"/>
    <n v="429.83"/>
    <n v="162.44"/>
    <n v="129.94999999999999"/>
    <n v="32.49"/>
    <s v="Paid"/>
    <s v=""/>
    <d v="2026-03-20T00:00:00"/>
    <d v="2026-03-20T00:00:00"/>
    <n v="420"/>
    <n v="0.38"/>
    <n v="159.6"/>
    <n v="-2.8400000000000034"/>
    <x v="0"/>
    <x v="0"/>
    <x v="5"/>
  </r>
  <r>
    <s v="CLM105283"/>
    <s v="PT13417"/>
    <s v="P01"/>
    <x v="1"/>
    <x v="5"/>
    <n v="1"/>
    <d v="2026-06-22T00:00:00"/>
    <d v="2026-06-24T00:00:00"/>
    <n v="4867.38"/>
    <n v="2280.5300000000002"/>
    <n v="1824.42"/>
    <n v="456.11"/>
    <s v="Paid"/>
    <s v=""/>
    <d v="2026-07-18T00:00:00"/>
    <d v="2026-07-18T00:00:00"/>
    <n v="4800"/>
    <n v="0.45"/>
    <n v="2160"/>
    <n v="-120.5300000000002"/>
    <x v="0"/>
    <x v="5"/>
    <x v="11"/>
  </r>
  <r>
    <s v="CLM105284"/>
    <s v="PT11047"/>
    <s v="P08"/>
    <x v="0"/>
    <x v="8"/>
    <n v="1"/>
    <d v="2026-09-09T00:00:00"/>
    <d v="2026-09-16T00:00:00"/>
    <n v="259.19"/>
    <m/>
    <m/>
    <m/>
    <s v="Pending"/>
    <s v=""/>
    <m/>
    <m/>
    <n v="260"/>
    <n v="1"/>
    <n v="260"/>
    <s v=""/>
    <x v="2"/>
    <x v="7"/>
    <x v="8"/>
  </r>
  <r>
    <s v="CLM105285"/>
    <s v="PT10294"/>
    <s v="P05"/>
    <x v="2"/>
    <x v="0"/>
    <n v="1"/>
    <d v="2025-12-24T00:00:00"/>
    <d v="2025-12-29T00:00:00"/>
    <n v="145.91"/>
    <m/>
    <m/>
    <m/>
    <s v="Denied"/>
    <s v="CO-50"/>
    <d v="2026-03-05T00:00:00"/>
    <m/>
    <n v="145"/>
    <n v="0.38"/>
    <n v="55.1"/>
    <s v=""/>
    <x v="2"/>
    <x v="0"/>
    <x v="6"/>
  </r>
  <r>
    <s v="CLM105286"/>
    <s v="PT13017"/>
    <s v="P07"/>
    <x v="2"/>
    <x v="2"/>
    <n v="1"/>
    <d v="2026-02-07T00:00:00"/>
    <d v="2026-02-09T00:00:00"/>
    <n v="60.24"/>
    <n v="17.68"/>
    <n v="14.14"/>
    <n v="3.54"/>
    <s v="Paid"/>
    <s v=""/>
    <d v="2026-04-14T00:00:00"/>
    <d v="2026-04-14T00:00:00"/>
    <n v="62"/>
    <n v="0.28000000000000003"/>
    <n v="17.36"/>
    <n v="-0.32000000000000028"/>
    <x v="0"/>
    <x v="3"/>
    <x v="0"/>
  </r>
  <r>
    <s v="CLM105287"/>
    <s v="PT12295"/>
    <s v="P02"/>
    <x v="0"/>
    <x v="7"/>
    <n v="1"/>
    <d v="2026-01-22T00:00:00"/>
    <d v="2026-01-25T00:00:00"/>
    <n v="211.62"/>
    <n v="80.790000000000006"/>
    <n v="72.709999999999994"/>
    <n v="8.08"/>
    <s v="Paid"/>
    <s v=""/>
    <d v="2026-03-01T00:00:00"/>
    <d v="2026-03-01T00:00:00"/>
    <n v="210"/>
    <n v="0.43"/>
    <n v="90.3"/>
    <n v="9.5099999999999909"/>
    <x v="1"/>
    <x v="6"/>
    <x v="5"/>
  </r>
  <r>
    <s v="CLM105288"/>
    <s v="PT10599"/>
    <s v="P02"/>
    <x v="2"/>
    <x v="2"/>
    <n v="1"/>
    <d v="2026-04-19T00:00:00"/>
    <d v="2026-04-22T00:00:00"/>
    <n v="60.45"/>
    <m/>
    <m/>
    <m/>
    <s v="Denied"/>
    <s v="CO-11"/>
    <d v="2026-05-26T00:00:00"/>
    <m/>
    <n v="62"/>
    <n v="0.43"/>
    <n v="26.66"/>
    <s v=""/>
    <x v="2"/>
    <x v="6"/>
    <x v="10"/>
  </r>
  <r>
    <s v="CLM105289"/>
    <s v="PT11796"/>
    <s v="P01"/>
    <x v="0"/>
    <x v="4"/>
    <n v="1"/>
    <d v="2025-11-06T00:00:00"/>
    <d v="2025-11-07T00:00:00"/>
    <n v="38.85"/>
    <n v="16.100000000000001"/>
    <n v="16.100000000000001"/>
    <n v="0"/>
    <s v="Paid"/>
    <s v=""/>
    <d v="2025-12-08T00:00:00"/>
    <d v="2025-12-08T00:00:00"/>
    <n v="38"/>
    <n v="0.45"/>
    <n v="17.100000000000001"/>
    <n v="1"/>
    <x v="1"/>
    <x v="5"/>
    <x v="3"/>
  </r>
  <r>
    <s v="CLM105290"/>
    <s v="PT13099"/>
    <s v="P07"/>
    <x v="1"/>
    <x v="10"/>
    <n v="1"/>
    <d v="2026-04-17T00:00:00"/>
    <d v="2026-04-18T00:00:00"/>
    <n v="1079.72"/>
    <n v="327.05"/>
    <n v="261.64"/>
    <n v="65.41"/>
    <s v="Paid"/>
    <s v=""/>
    <d v="2026-06-25T00:00:00"/>
    <d v="2026-06-25T00:00:00"/>
    <n v="1050"/>
    <n v="0.28000000000000003"/>
    <n v="294"/>
    <n v="-33.050000000000011"/>
    <x v="0"/>
    <x v="3"/>
    <x v="10"/>
  </r>
  <r>
    <s v="CLM105291"/>
    <s v="PT13228"/>
    <s v="P02"/>
    <x v="0"/>
    <x v="4"/>
    <n v="1"/>
    <d v="2026-04-11T00:00:00"/>
    <d v="2026-04-17T00:00:00"/>
    <n v="37.729999999999997"/>
    <n v="16.09"/>
    <n v="12.87"/>
    <n v="3.22"/>
    <s v="Paid"/>
    <s v=""/>
    <d v="2026-06-06T00:00:00"/>
    <d v="2026-06-06T00:00:00"/>
    <n v="38"/>
    <n v="0.43"/>
    <n v="16.34"/>
    <n v="0.25"/>
    <x v="0"/>
    <x v="6"/>
    <x v="10"/>
  </r>
  <r>
    <s v="CLM105292"/>
    <s v="PT13155"/>
    <s v="P05"/>
    <x v="1"/>
    <x v="5"/>
    <n v="1"/>
    <d v="2026-02-09T00:00:00"/>
    <d v="2026-02-12T00:00:00"/>
    <n v="4704.6400000000003"/>
    <n v="1559.98"/>
    <n v="1247.98"/>
    <n v="312"/>
    <s v="Paid"/>
    <s v=""/>
    <d v="2026-04-18T00:00:00"/>
    <d v="2026-04-18T00:00:00"/>
    <n v="4800"/>
    <n v="0.38"/>
    <n v="1824"/>
    <n v="264.02"/>
    <x v="1"/>
    <x v="0"/>
    <x v="0"/>
  </r>
  <r>
    <s v="CLM105293"/>
    <s v="PT11836"/>
    <s v="P01"/>
    <x v="2"/>
    <x v="2"/>
    <n v="1"/>
    <d v="2026-06-16T00:00:00"/>
    <d v="2026-06-17T00:00:00"/>
    <n v="61.73"/>
    <n v="28.75"/>
    <n v="23"/>
    <n v="5.75"/>
    <s v="Paid"/>
    <s v=""/>
    <d v="2026-07-04T00:00:00"/>
    <d v="2026-07-04T00:00:00"/>
    <n v="62"/>
    <n v="0.45"/>
    <n v="27.9"/>
    <n v="-0.85000000000000142"/>
    <x v="0"/>
    <x v="5"/>
    <x v="11"/>
  </r>
  <r>
    <s v="CLM105294"/>
    <s v="PT11421"/>
    <s v="P04"/>
    <x v="0"/>
    <x v="8"/>
    <n v="1"/>
    <d v="2026-06-16T00:00:00"/>
    <d v="2026-06-18T00:00:00"/>
    <n v="253.34"/>
    <n v="88.57"/>
    <n v="70.86"/>
    <n v="17.71"/>
    <s v="Paid"/>
    <s v=""/>
    <d v="2026-07-02T00:00:00"/>
    <d v="2026-07-02T00:00:00"/>
    <n v="260"/>
    <n v="0.36"/>
    <n v="93.6"/>
    <n v="5.0300000000000011"/>
    <x v="1"/>
    <x v="1"/>
    <x v="11"/>
  </r>
  <r>
    <s v="CLM105295"/>
    <s v="PT11325"/>
    <s v="P05"/>
    <x v="0"/>
    <x v="0"/>
    <n v="1"/>
    <d v="2026-02-28T00:00:00"/>
    <d v="2026-03-04T00:00:00"/>
    <n v="148.59"/>
    <n v="65.400000000000006"/>
    <n v="65.400000000000006"/>
    <n v="0"/>
    <s v="Paid"/>
    <s v=""/>
    <d v="2026-04-21T00:00:00"/>
    <d v="2026-04-21T00:00:00"/>
    <n v="145"/>
    <n v="0.38"/>
    <n v="55.1"/>
    <n v="-10.300000000000004"/>
    <x v="0"/>
    <x v="0"/>
    <x v="0"/>
  </r>
  <r>
    <s v="CLM105296"/>
    <s v="PT11604"/>
    <s v="P03"/>
    <x v="3"/>
    <x v="6"/>
    <n v="1"/>
    <d v="2026-02-14T00:00:00"/>
    <d v="2026-02-15T00:00:00"/>
    <n v="420.52"/>
    <n v="184.84"/>
    <n v="166.36"/>
    <n v="18.48"/>
    <s v="Paid"/>
    <s v=""/>
    <d v="2026-04-29T00:00:00"/>
    <d v="2026-04-29T00:00:00"/>
    <n v="420"/>
    <n v="0.47"/>
    <n v="197.4"/>
    <n v="12.560000000000002"/>
    <x v="1"/>
    <x v="4"/>
    <x v="0"/>
  </r>
  <r>
    <s v="CLM105297"/>
    <s v="PT10107"/>
    <s v="P07"/>
    <x v="0"/>
    <x v="4"/>
    <n v="1"/>
    <d v="2025-11-05T00:00:00"/>
    <d v="2025-11-06T00:00:00"/>
    <n v="38.979999999999997"/>
    <m/>
    <m/>
    <m/>
    <s v="Denied"/>
    <s v="CO-27"/>
    <d v="2026-01-25T00:00:00"/>
    <m/>
    <n v="38"/>
    <n v="0.28000000000000003"/>
    <n v="10.64"/>
    <s v=""/>
    <x v="2"/>
    <x v="3"/>
    <x v="3"/>
  </r>
  <r>
    <s v="CLM105298"/>
    <s v="PT12717"/>
    <s v="P03"/>
    <x v="0"/>
    <x v="8"/>
    <n v="1"/>
    <d v="2026-06-05T00:00:00"/>
    <d v="2026-06-08T00:00:00"/>
    <n v="252.32"/>
    <n v="137.72999999999999"/>
    <n v="137.72999999999999"/>
    <n v="0"/>
    <s v="Paid"/>
    <s v=""/>
    <d v="2026-08-16T00:00:00"/>
    <d v="2026-08-16T00:00:00"/>
    <n v="260"/>
    <n v="0.47"/>
    <n v="122.2"/>
    <n v="-15.529999999999987"/>
    <x v="0"/>
    <x v="4"/>
    <x v="11"/>
  </r>
  <r>
    <s v="CLM105299"/>
    <s v="PT12212"/>
    <s v="P01"/>
    <x v="1"/>
    <x v="10"/>
    <n v="1"/>
    <d v="2025-10-16T00:00:00"/>
    <d v="2025-10-22T00:00:00"/>
    <n v="1043.7"/>
    <n v="407.15"/>
    <n v="325.72000000000003"/>
    <n v="81.430000000000007"/>
    <s v="Paid"/>
    <s v=""/>
    <d v="2025-11-10T00:00:00"/>
    <d v="2025-11-10T00:00:00"/>
    <n v="1050"/>
    <n v="0.45"/>
    <n v="472.5"/>
    <n v="65.350000000000023"/>
    <x v="1"/>
    <x v="5"/>
    <x v="9"/>
  </r>
  <r>
    <s v="CLM105300"/>
    <s v="PT11472"/>
    <s v="P05"/>
    <x v="0"/>
    <x v="4"/>
    <n v="1"/>
    <d v="2026-01-12T00:00:00"/>
    <d v="2026-01-20T00:00:00"/>
    <n v="37.61"/>
    <n v="16.32"/>
    <n v="14.69"/>
    <n v="1.63"/>
    <s v="Paid"/>
    <s v=""/>
    <d v="2026-04-05T00:00:00"/>
    <d v="2026-04-05T00:00:00"/>
    <n v="38"/>
    <n v="0.38"/>
    <n v="14.44"/>
    <n v="-1.8800000000000008"/>
    <x v="0"/>
    <x v="0"/>
    <x v="5"/>
  </r>
  <r>
    <s v="CLM105301"/>
    <s v="PT11390"/>
    <s v="P01"/>
    <x v="0"/>
    <x v="4"/>
    <n v="1"/>
    <d v="2026-07-10T00:00:00"/>
    <d v="2026-07-14T00:00:00"/>
    <n v="37.67"/>
    <n v="15.84"/>
    <n v="15.84"/>
    <n v="0"/>
    <s v="Paid"/>
    <s v=""/>
    <d v="2026-08-31T00:00:00"/>
    <d v="2026-08-31T00:00:00"/>
    <n v="38"/>
    <n v="0.45"/>
    <n v="17.100000000000001"/>
    <n v="1.2600000000000016"/>
    <x v="1"/>
    <x v="5"/>
    <x v="1"/>
  </r>
  <r>
    <s v="CLM105302"/>
    <s v="PT12370"/>
    <s v="P02"/>
    <x v="2"/>
    <x v="2"/>
    <n v="1"/>
    <d v="2026-03-11T00:00:00"/>
    <d v="2026-03-23T00:00:00"/>
    <n v="62.92"/>
    <n v="29.11"/>
    <n v="29.11"/>
    <n v="0"/>
    <s v="Paid"/>
    <s v=""/>
    <d v="2026-05-06T00:00:00"/>
    <d v="2026-05-06T00:00:00"/>
    <n v="62"/>
    <n v="0.43"/>
    <n v="26.66"/>
    <n v="-2.4499999999999993"/>
    <x v="0"/>
    <x v="6"/>
    <x v="2"/>
  </r>
  <r>
    <s v="CLM105303"/>
    <s v="PT10667"/>
    <s v="P04"/>
    <x v="1"/>
    <x v="7"/>
    <n v="1"/>
    <d v="2026-01-17T00:00:00"/>
    <d v="2026-01-30T00:00:00"/>
    <n v="211"/>
    <n v="72.11"/>
    <n v="72.11"/>
    <n v="0"/>
    <s v="Paid"/>
    <s v=""/>
    <d v="2026-02-17T00:00:00"/>
    <d v="2026-02-17T00:00:00"/>
    <n v="210"/>
    <n v="0.36"/>
    <n v="75.599999999999994"/>
    <n v="3.4899999999999949"/>
    <x v="0"/>
    <x v="1"/>
    <x v="5"/>
  </r>
  <r>
    <s v="CLM105304"/>
    <s v="PT13350"/>
    <s v="P06"/>
    <x v="1"/>
    <x v="11"/>
    <n v="1"/>
    <d v="2025-10-29T00:00:00"/>
    <d v="2025-10-30T00:00:00"/>
    <n v="1127.1300000000001"/>
    <n v="293.95999999999998"/>
    <n v="293.95999999999998"/>
    <n v="0"/>
    <s v="Paid"/>
    <s v=""/>
    <d v="2025-12-30T00:00:00"/>
    <d v="2025-12-30T00:00:00"/>
    <n v="1150"/>
    <n v="0.27"/>
    <n v="310.5"/>
    <n v="16.54000000000002"/>
    <x v="1"/>
    <x v="2"/>
    <x v="9"/>
  </r>
  <r>
    <s v="CLM105305"/>
    <s v="PT12691"/>
    <s v="P04"/>
    <x v="0"/>
    <x v="7"/>
    <n v="1"/>
    <d v="2025-11-17T00:00:00"/>
    <d v="2025-11-20T00:00:00"/>
    <n v="206.94"/>
    <n v="71.02"/>
    <n v="56.82"/>
    <n v="14.2"/>
    <s v="Paid"/>
    <s v=""/>
    <d v="2025-12-06T00:00:00"/>
    <d v="2025-12-06T00:00:00"/>
    <n v="210"/>
    <n v="0.36"/>
    <n v="75.599999999999994"/>
    <n v="4.5799999999999983"/>
    <x v="1"/>
    <x v="1"/>
    <x v="3"/>
  </r>
  <r>
    <s v="CLM105306"/>
    <s v="PT11572"/>
    <s v="P06"/>
    <x v="0"/>
    <x v="0"/>
    <n v="1"/>
    <d v="2026-06-04T00:00:00"/>
    <d v="2026-06-17T00:00:00"/>
    <n v="145.44999999999999"/>
    <n v="44.42"/>
    <n v="44.42"/>
    <n v="0"/>
    <s v="Paid"/>
    <s v=""/>
    <d v="2026-08-13T00:00:00"/>
    <d v="2026-08-13T00:00:00"/>
    <n v="145"/>
    <n v="0.27"/>
    <n v="39.15"/>
    <n v="-5.2700000000000031"/>
    <x v="0"/>
    <x v="2"/>
    <x v="11"/>
  </r>
  <r>
    <s v="CLM105307"/>
    <s v="PT11166"/>
    <s v="P06"/>
    <x v="2"/>
    <x v="0"/>
    <n v="1"/>
    <d v="2026-03-11T00:00:00"/>
    <d v="2026-03-12T00:00:00"/>
    <n v="142.75"/>
    <n v="40.21"/>
    <n v="36.19"/>
    <n v="4.0199999999999996"/>
    <s v="Paid"/>
    <s v=""/>
    <d v="2026-04-20T00:00:00"/>
    <d v="2026-04-20T00:00:00"/>
    <n v="145"/>
    <n v="0.27"/>
    <n v="39.15"/>
    <n v="-1.0600000000000023"/>
    <x v="0"/>
    <x v="2"/>
    <x v="2"/>
  </r>
  <r>
    <s v="CLM105308"/>
    <s v="PT13327"/>
    <s v="P03"/>
    <x v="0"/>
    <x v="8"/>
    <n v="1"/>
    <d v="2026-02-22T00:00:00"/>
    <d v="2026-02-24T00:00:00"/>
    <n v="255.77"/>
    <n v="118.23"/>
    <n v="106.41"/>
    <n v="11.82"/>
    <s v="Paid"/>
    <s v=""/>
    <d v="2026-04-25T00:00:00"/>
    <d v="2026-04-25T00:00:00"/>
    <n v="260"/>
    <n v="0.47"/>
    <n v="122.2"/>
    <n v="3.9699999999999989"/>
    <x v="0"/>
    <x v="4"/>
    <x v="0"/>
  </r>
  <r>
    <s v="CLM105309"/>
    <s v="PT11675"/>
    <s v="P03"/>
    <x v="0"/>
    <x v="4"/>
    <n v="1"/>
    <d v="2025-11-03T00:00:00"/>
    <d v="2025-11-05T00:00:00"/>
    <n v="37.11"/>
    <n v="17.87"/>
    <n v="17.87"/>
    <n v="0"/>
    <s v="Paid"/>
    <s v=""/>
    <d v="2025-12-14T00:00:00"/>
    <d v="2025-12-14T00:00:00"/>
    <n v="38"/>
    <n v="0.47"/>
    <n v="17.86"/>
    <n v="-1.0000000000001563E-2"/>
    <x v="0"/>
    <x v="4"/>
    <x v="3"/>
  </r>
  <r>
    <s v="CLM105310"/>
    <s v="PT10311"/>
    <s v="P08"/>
    <x v="2"/>
    <x v="0"/>
    <n v="1"/>
    <d v="2026-03-07T00:00:00"/>
    <d v="2026-03-09T00:00:00"/>
    <n v="146.49"/>
    <n v="146.49"/>
    <n v="146.49"/>
    <n v="0"/>
    <s v="Paid"/>
    <s v=""/>
    <d v="2026-04-19T00:00:00"/>
    <d v="2026-04-19T00:00:00"/>
    <n v="145"/>
    <n v="1"/>
    <n v="145"/>
    <n v="-1.4900000000000091"/>
    <x v="0"/>
    <x v="7"/>
    <x v="2"/>
  </r>
  <r>
    <s v="CLM105311"/>
    <s v="PT11929"/>
    <s v="P05"/>
    <x v="0"/>
    <x v="7"/>
    <n v="1"/>
    <d v="2026-08-15T00:00:00"/>
    <d v="2026-08-16T00:00:00"/>
    <n v="208.5"/>
    <m/>
    <m/>
    <m/>
    <s v="Pending"/>
    <s v=""/>
    <m/>
    <m/>
    <n v="210"/>
    <n v="0.38"/>
    <n v="79.8"/>
    <s v=""/>
    <x v="2"/>
    <x v="0"/>
    <x v="4"/>
  </r>
  <r>
    <s v="CLM105312"/>
    <s v="PT10828"/>
    <s v="P02"/>
    <x v="1"/>
    <x v="10"/>
    <n v="1"/>
    <d v="2026-07-05T00:00:00"/>
    <d v="2026-07-06T00:00:00"/>
    <n v="1063.82"/>
    <n v="487.42"/>
    <n v="389.94"/>
    <n v="97.48"/>
    <s v="Paid"/>
    <s v=""/>
    <d v="2026-07-30T00:00:00"/>
    <d v="2026-07-30T00:00:00"/>
    <n v="1050"/>
    <n v="0.43"/>
    <n v="451.5"/>
    <n v="-35.920000000000016"/>
    <x v="0"/>
    <x v="6"/>
    <x v="1"/>
  </r>
  <r>
    <s v="CLM105313"/>
    <s v="PT13256"/>
    <s v="P04"/>
    <x v="1"/>
    <x v="5"/>
    <n v="1"/>
    <d v="2026-08-11T00:00:00"/>
    <d v="2026-08-18T00:00:00"/>
    <n v="4779.08"/>
    <n v="1664.41"/>
    <n v="1497.97"/>
    <n v="166.44"/>
    <s v="Paid"/>
    <s v=""/>
    <d v="2026-08-23T00:00:00"/>
    <d v="2026-08-23T00:00:00"/>
    <n v="4800"/>
    <n v="0.36"/>
    <n v="1728"/>
    <n v="63.589999999999918"/>
    <x v="0"/>
    <x v="1"/>
    <x v="4"/>
  </r>
  <r>
    <s v="CLM105314"/>
    <s v="PT12302"/>
    <s v="P01"/>
    <x v="3"/>
    <x v="3"/>
    <n v="20"/>
    <d v="2026-02-27T00:00:00"/>
    <d v="2026-03-01T00:00:00"/>
    <n v="29265.17"/>
    <n v="13958.89"/>
    <n v="11167.11"/>
    <n v="2791.78"/>
    <s v="Paid"/>
    <s v=""/>
    <d v="2026-03-23T00:00:00"/>
    <d v="2026-03-23T00:00:00"/>
    <n v="1450"/>
    <n v="0.45"/>
    <n v="13050"/>
    <n v="-908.88999999999942"/>
    <x v="0"/>
    <x v="5"/>
    <x v="0"/>
  </r>
  <r>
    <s v="CLM105315"/>
    <s v="PT13380"/>
    <s v="P06"/>
    <x v="1"/>
    <x v="11"/>
    <n v="1"/>
    <d v="2026-09-18T00:00:00"/>
    <d v="2026-09-23T00:00:00"/>
    <n v="1153.96"/>
    <m/>
    <m/>
    <m/>
    <s v="Pending"/>
    <s v=""/>
    <m/>
    <m/>
    <n v="1150"/>
    <n v="0.27"/>
    <n v="310.5"/>
    <s v=""/>
    <x v="2"/>
    <x v="2"/>
    <x v="8"/>
  </r>
  <r>
    <s v="CLM105316"/>
    <s v="PT11402"/>
    <s v="P07"/>
    <x v="1"/>
    <x v="10"/>
    <n v="1"/>
    <d v="2026-03-31T00:00:00"/>
    <d v="2026-04-12T00:00:00"/>
    <n v="1081.4100000000001"/>
    <n v="322.52999999999997"/>
    <n v="322.52999999999997"/>
    <n v="0"/>
    <s v="Paid"/>
    <s v=""/>
    <d v="2026-06-15T00:00:00"/>
    <d v="2026-06-15T00:00:00"/>
    <n v="1050"/>
    <n v="0.28000000000000003"/>
    <n v="294"/>
    <n v="-28.529999999999973"/>
    <x v="0"/>
    <x v="3"/>
    <x v="2"/>
  </r>
  <r>
    <s v="CLM105317"/>
    <s v="PT10343"/>
    <s v="P04"/>
    <x v="0"/>
    <x v="4"/>
    <n v="1"/>
    <d v="2026-08-01T00:00:00"/>
    <d v="2026-08-06T00:00:00"/>
    <n v="39.119999999999997"/>
    <n v="13.4"/>
    <n v="10.72"/>
    <n v="2.68"/>
    <s v="Paid"/>
    <s v=""/>
    <d v="2026-08-20T00:00:00"/>
    <d v="2026-08-20T00:00:00"/>
    <n v="38"/>
    <n v="0.36"/>
    <n v="13.68"/>
    <n v="0.27999999999999936"/>
    <x v="0"/>
    <x v="1"/>
    <x v="4"/>
  </r>
  <r>
    <s v="CLM105318"/>
    <s v="PT12913"/>
    <s v="P01"/>
    <x v="1"/>
    <x v="8"/>
    <n v="1"/>
    <d v="2026-08-18T00:00:00"/>
    <d v="2026-08-19T00:00:00"/>
    <n v="255.74"/>
    <n v="131.69999999999999"/>
    <n v="105.36"/>
    <n v="26.34"/>
    <s v="Paid"/>
    <s v=""/>
    <d v="2026-09-19T00:00:00"/>
    <d v="2026-09-19T00:00:00"/>
    <n v="260"/>
    <n v="0.45"/>
    <n v="117"/>
    <n v="-14.699999999999989"/>
    <x v="0"/>
    <x v="5"/>
    <x v="4"/>
  </r>
  <r>
    <s v="CLM105319"/>
    <s v="PT12784"/>
    <s v="P06"/>
    <x v="0"/>
    <x v="8"/>
    <n v="1"/>
    <d v="2026-06-13T00:00:00"/>
    <d v="2026-06-19T00:00:00"/>
    <n v="255.42"/>
    <n v="66.67"/>
    <n v="53.34"/>
    <n v="13.33"/>
    <s v="Paid"/>
    <s v=""/>
    <d v="2026-08-22T00:00:00"/>
    <d v="2026-08-22T00:00:00"/>
    <n v="260"/>
    <n v="0.27"/>
    <n v="70.2"/>
    <n v="3.5300000000000011"/>
    <x v="1"/>
    <x v="2"/>
    <x v="11"/>
  </r>
  <r>
    <s v="CLM105320"/>
    <s v="PT10929"/>
    <s v="P04"/>
    <x v="3"/>
    <x v="6"/>
    <n v="1"/>
    <d v="2026-04-28T00:00:00"/>
    <d v="2026-05-06T00:00:00"/>
    <n v="414.85"/>
    <n v="162.83000000000001"/>
    <n v="146.55000000000001"/>
    <n v="16.28"/>
    <s v="Paid"/>
    <s v=""/>
    <d v="2026-06-04T00:00:00"/>
    <d v="2026-06-04T00:00:00"/>
    <n v="420"/>
    <n v="0.36"/>
    <n v="151.19999999999999"/>
    <n v="-11.630000000000024"/>
    <x v="0"/>
    <x v="1"/>
    <x v="10"/>
  </r>
  <r>
    <s v="CLM105321"/>
    <s v="PT11409"/>
    <s v="P03"/>
    <x v="1"/>
    <x v="1"/>
    <n v="1"/>
    <d v="2026-08-21T00:00:00"/>
    <d v="2026-08-26T00:00:00"/>
    <n v="241.07"/>
    <m/>
    <m/>
    <m/>
    <s v="Pending"/>
    <s v=""/>
    <m/>
    <m/>
    <n v="240"/>
    <n v="0.47"/>
    <n v="112.8"/>
    <s v=""/>
    <x v="2"/>
    <x v="4"/>
    <x v="4"/>
  </r>
  <r>
    <s v="CLM105322"/>
    <s v="PT10414"/>
    <s v="P03"/>
    <x v="1"/>
    <x v="5"/>
    <n v="1"/>
    <d v="2026-05-03T00:00:00"/>
    <d v="2026-05-10T00:00:00"/>
    <n v="4929.78"/>
    <m/>
    <m/>
    <m/>
    <s v="Denied"/>
    <s v="CO-197"/>
    <d v="2026-06-26T00:00:00"/>
    <m/>
    <n v="4800"/>
    <n v="0.47"/>
    <n v="2256"/>
    <s v=""/>
    <x v="2"/>
    <x v="4"/>
    <x v="7"/>
  </r>
  <r>
    <s v="CLM105323"/>
    <s v="PT10879"/>
    <s v="P03"/>
    <x v="2"/>
    <x v="2"/>
    <n v="3"/>
    <d v="2026-05-01T00:00:00"/>
    <d v="2026-05-12T00:00:00"/>
    <n v="191.15"/>
    <n v="98.42"/>
    <n v="98.42"/>
    <n v="0"/>
    <s v="Paid"/>
    <s v=""/>
    <d v="2026-06-28T00:00:00"/>
    <d v="2026-06-28T00:00:00"/>
    <n v="62"/>
    <n v="0.47"/>
    <n v="87.42"/>
    <n v="-11"/>
    <x v="0"/>
    <x v="4"/>
    <x v="7"/>
  </r>
  <r>
    <s v="CLM105324"/>
    <s v="PT13089"/>
    <s v="P01"/>
    <x v="1"/>
    <x v="5"/>
    <n v="1"/>
    <d v="2026-01-15T00:00:00"/>
    <d v="2026-01-16T00:00:00"/>
    <n v="4936.83"/>
    <n v="2426.62"/>
    <n v="2426.62"/>
    <n v="0"/>
    <s v="Paid"/>
    <s v=""/>
    <d v="2026-02-15T00:00:00"/>
    <d v="2026-02-15T00:00:00"/>
    <n v="4800"/>
    <n v="0.45"/>
    <n v="2160"/>
    <n v="-266.61999999999989"/>
    <x v="0"/>
    <x v="5"/>
    <x v="5"/>
  </r>
  <r>
    <s v="CLM105325"/>
    <s v="PT11728"/>
    <s v="P01"/>
    <x v="1"/>
    <x v="8"/>
    <n v="1"/>
    <d v="2026-05-31T00:00:00"/>
    <d v="2026-06-04T00:00:00"/>
    <n v="260.88"/>
    <n v="115.89"/>
    <n v="104.3"/>
    <n v="11.59"/>
    <s v="Paid"/>
    <s v=""/>
    <d v="2026-07-06T00:00:00"/>
    <d v="2026-07-06T00:00:00"/>
    <n v="260"/>
    <n v="0.45"/>
    <n v="117"/>
    <n v="1.1099999999999994"/>
    <x v="0"/>
    <x v="5"/>
    <x v="7"/>
  </r>
  <r>
    <s v="CLM105326"/>
    <s v="PT13064"/>
    <s v="P05"/>
    <x v="0"/>
    <x v="8"/>
    <n v="1"/>
    <d v="2026-05-28T00:00:00"/>
    <d v="2026-05-29T00:00:00"/>
    <n v="264.77"/>
    <m/>
    <m/>
    <m/>
    <s v="Denied"/>
    <s v="CO-18"/>
    <d v="2026-08-14T00:00:00"/>
    <m/>
    <n v="260"/>
    <n v="0.38"/>
    <n v="98.8"/>
    <s v=""/>
    <x v="2"/>
    <x v="0"/>
    <x v="7"/>
  </r>
  <r>
    <s v="CLM105327"/>
    <s v="PT11767"/>
    <s v="P01"/>
    <x v="3"/>
    <x v="6"/>
    <n v="1"/>
    <d v="2026-04-14T00:00:00"/>
    <d v="2026-04-15T00:00:00"/>
    <n v="414.35"/>
    <n v="177.83"/>
    <n v="177.83"/>
    <n v="0"/>
    <s v="Paid"/>
    <s v=""/>
    <d v="2026-05-08T00:00:00"/>
    <d v="2026-05-08T00:00:00"/>
    <n v="420"/>
    <n v="0.45"/>
    <n v="189"/>
    <n v="11.169999999999987"/>
    <x v="1"/>
    <x v="5"/>
    <x v="10"/>
  </r>
  <r>
    <s v="CLM105328"/>
    <s v="PT11638"/>
    <s v="P02"/>
    <x v="0"/>
    <x v="4"/>
    <n v="1"/>
    <d v="2025-12-24T00:00:00"/>
    <d v="2026-01-03T00:00:00"/>
    <n v="38.11"/>
    <m/>
    <m/>
    <m/>
    <s v="Denied"/>
    <s v="CO-16"/>
    <d v="2026-01-31T00:00:00"/>
    <m/>
    <n v="38"/>
    <n v="0.43"/>
    <n v="16.34"/>
    <s v=""/>
    <x v="2"/>
    <x v="6"/>
    <x v="6"/>
  </r>
  <r>
    <s v="CLM105329"/>
    <s v="PT11959"/>
    <s v="P08"/>
    <x v="1"/>
    <x v="4"/>
    <n v="1"/>
    <d v="2025-10-10T00:00:00"/>
    <d v="2025-10-21T00:00:00"/>
    <n v="38.61"/>
    <n v="38.61"/>
    <n v="38.61"/>
    <n v="0"/>
    <s v="Paid"/>
    <s v=""/>
    <d v="2025-12-09T00:00:00"/>
    <d v="2025-12-09T00:00:00"/>
    <n v="38"/>
    <n v="1"/>
    <n v="38"/>
    <n v="-0.60999999999999943"/>
    <x v="0"/>
    <x v="7"/>
    <x v="9"/>
  </r>
  <r>
    <s v="CLM105330"/>
    <s v="PT10005"/>
    <s v="P04"/>
    <x v="3"/>
    <x v="6"/>
    <n v="1"/>
    <d v="2026-03-02T00:00:00"/>
    <d v="2026-03-07T00:00:00"/>
    <n v="414.26"/>
    <n v="156.47999999999999"/>
    <n v="156.47999999999999"/>
    <n v="0"/>
    <s v="Paid"/>
    <s v=""/>
    <d v="2026-04-06T00:00:00"/>
    <d v="2026-04-06T00:00:00"/>
    <n v="420"/>
    <n v="0.36"/>
    <n v="151.19999999999999"/>
    <n v="-5.2800000000000011"/>
    <x v="0"/>
    <x v="1"/>
    <x v="2"/>
  </r>
  <r>
    <s v="CLM105331"/>
    <s v="PT11711"/>
    <s v="P07"/>
    <x v="3"/>
    <x v="7"/>
    <n v="1"/>
    <d v="2026-05-28T00:00:00"/>
    <d v="2026-05-29T00:00:00"/>
    <n v="214.38"/>
    <n v="51.02"/>
    <n v="40.82"/>
    <n v="10.199999999999999"/>
    <s v="Paid"/>
    <s v=""/>
    <d v="2026-07-29T00:00:00"/>
    <d v="2026-07-29T00:00:00"/>
    <n v="210"/>
    <n v="0.28000000000000003"/>
    <n v="58.8"/>
    <n v="7.779999999999994"/>
    <x v="1"/>
    <x v="3"/>
    <x v="7"/>
  </r>
  <r>
    <s v="CLM105332"/>
    <s v="PT10509"/>
    <s v="P04"/>
    <x v="0"/>
    <x v="4"/>
    <n v="1"/>
    <d v="2025-10-15T00:00:00"/>
    <d v="2025-10-22T00:00:00"/>
    <n v="39.049999999999997"/>
    <n v="14.31"/>
    <n v="14.31"/>
    <n v="0"/>
    <s v="Paid"/>
    <s v=""/>
    <d v="2025-11-11T00:00:00"/>
    <d v="2025-11-11T00:00:00"/>
    <n v="38"/>
    <n v="0.36"/>
    <n v="13.68"/>
    <n v="-0.63000000000000078"/>
    <x v="0"/>
    <x v="1"/>
    <x v="9"/>
  </r>
  <r>
    <s v="CLM105333"/>
    <s v="PT13303"/>
    <s v="P03"/>
    <x v="1"/>
    <x v="10"/>
    <n v="1"/>
    <d v="2025-12-15T00:00:00"/>
    <d v="2025-12-17T00:00:00"/>
    <n v="1033.32"/>
    <n v="489.37"/>
    <n v="391.5"/>
    <n v="97.87"/>
    <s v="Paid"/>
    <s v=""/>
    <d v="2026-01-13T00:00:00"/>
    <d v="2026-01-13T00:00:00"/>
    <n v="1050"/>
    <n v="0.47"/>
    <n v="493.5"/>
    <n v="4.1299999999999955"/>
    <x v="0"/>
    <x v="4"/>
    <x v="6"/>
  </r>
  <r>
    <s v="CLM105334"/>
    <s v="PT10920"/>
    <s v="P05"/>
    <x v="0"/>
    <x v="0"/>
    <n v="1"/>
    <d v="2026-09-11T00:00:00"/>
    <d v="2026-09-12T00:00:00"/>
    <n v="146.15"/>
    <m/>
    <m/>
    <m/>
    <s v="Pending"/>
    <s v=""/>
    <m/>
    <m/>
    <n v="145"/>
    <n v="0.38"/>
    <n v="55.1"/>
    <s v=""/>
    <x v="2"/>
    <x v="0"/>
    <x v="8"/>
  </r>
  <r>
    <s v="CLM105335"/>
    <s v="PT10257"/>
    <s v="P05"/>
    <x v="0"/>
    <x v="4"/>
    <n v="1"/>
    <d v="2025-12-25T00:00:00"/>
    <d v="2025-12-26T00:00:00"/>
    <n v="38.6"/>
    <n v="16.309999999999999"/>
    <n v="13.05"/>
    <n v="3.26"/>
    <s v="Paid"/>
    <s v=""/>
    <d v="2026-02-09T00:00:00"/>
    <d v="2026-02-09T00:00:00"/>
    <n v="38"/>
    <n v="0.38"/>
    <n v="14.44"/>
    <n v="-1.8699999999999992"/>
    <x v="0"/>
    <x v="0"/>
    <x v="6"/>
  </r>
  <r>
    <s v="CLM105336"/>
    <s v="PT11206"/>
    <s v="P01"/>
    <x v="3"/>
    <x v="3"/>
    <n v="20"/>
    <d v="2025-10-11T00:00:00"/>
    <d v="2025-10-15T00:00:00"/>
    <n v="28172.62"/>
    <n v="11637.3"/>
    <n v="11637.3"/>
    <n v="0"/>
    <s v="Paid"/>
    <s v=""/>
    <d v="2025-11-03T00:00:00"/>
    <d v="2025-11-03T00:00:00"/>
    <n v="1450"/>
    <n v="0.45"/>
    <n v="13050"/>
    <n v="1412.7000000000007"/>
    <x v="1"/>
    <x v="5"/>
    <x v="9"/>
  </r>
  <r>
    <s v="CLM105337"/>
    <s v="PT11236"/>
    <s v="P05"/>
    <x v="0"/>
    <x v="0"/>
    <n v="1"/>
    <d v="2026-04-22T00:00:00"/>
    <d v="2026-04-27T00:00:00"/>
    <n v="140.69999999999999"/>
    <n v="47.88"/>
    <n v="38.299999999999997"/>
    <n v="9.58"/>
    <s v="Paid"/>
    <s v=""/>
    <d v="2026-06-09T00:00:00"/>
    <d v="2026-06-09T00:00:00"/>
    <n v="145"/>
    <n v="0.38"/>
    <n v="55.1"/>
    <n v="7.2199999999999989"/>
    <x v="1"/>
    <x v="0"/>
    <x v="10"/>
  </r>
  <r>
    <s v="CLM105338"/>
    <s v="PT13369"/>
    <s v="P03"/>
    <x v="1"/>
    <x v="4"/>
    <n v="1"/>
    <d v="2026-09-19T00:00:00"/>
    <d v="2026-09-30T00:00:00"/>
    <n v="38.81"/>
    <m/>
    <m/>
    <m/>
    <s v="Pending"/>
    <s v=""/>
    <m/>
    <m/>
    <n v="38"/>
    <n v="0.47"/>
    <n v="17.86"/>
    <s v=""/>
    <x v="2"/>
    <x v="4"/>
    <x v="8"/>
  </r>
  <r>
    <s v="CLM105339"/>
    <s v="PT12390"/>
    <s v="P06"/>
    <x v="0"/>
    <x v="4"/>
    <n v="1"/>
    <d v="2025-11-15T00:00:00"/>
    <d v="2025-11-19T00:00:00"/>
    <n v="38.75"/>
    <n v="9.56"/>
    <n v="9.56"/>
    <n v="0"/>
    <s v="Paid"/>
    <s v=""/>
    <d v="2026-01-18T00:00:00"/>
    <d v="2026-01-18T00:00:00"/>
    <n v="38"/>
    <n v="0.27"/>
    <n v="10.26"/>
    <n v="0.69999999999999929"/>
    <x v="1"/>
    <x v="2"/>
    <x v="3"/>
  </r>
  <r>
    <s v="CLM105340"/>
    <s v="PT11605"/>
    <s v="P02"/>
    <x v="2"/>
    <x v="0"/>
    <n v="1"/>
    <d v="2025-11-28T00:00:00"/>
    <d v="2025-12-11T00:00:00"/>
    <n v="148.63"/>
    <n v="55.28"/>
    <n v="55.28"/>
    <n v="0"/>
    <s v="Paid"/>
    <s v=""/>
    <d v="2026-01-12T00:00:00"/>
    <d v="2026-01-12T00:00:00"/>
    <n v="145"/>
    <n v="0.43"/>
    <n v="62.35"/>
    <n v="7.07"/>
    <x v="1"/>
    <x v="6"/>
    <x v="3"/>
  </r>
  <r>
    <s v="CLM105341"/>
    <s v="PT12844"/>
    <s v="P03"/>
    <x v="1"/>
    <x v="5"/>
    <n v="1"/>
    <d v="2025-10-03T00:00:00"/>
    <d v="2025-10-06T00:00:00"/>
    <n v="4936.3900000000003"/>
    <n v="2315.02"/>
    <n v="2315.02"/>
    <n v="0"/>
    <s v="Paid"/>
    <s v=""/>
    <d v="2025-11-12T00:00:00"/>
    <d v="2025-11-12T00:00:00"/>
    <n v="4800"/>
    <n v="0.47"/>
    <n v="2256"/>
    <n v="-59.019999999999982"/>
    <x v="0"/>
    <x v="4"/>
    <x v="9"/>
  </r>
  <r>
    <s v="CLM105342"/>
    <s v="PT10358"/>
    <s v="P05"/>
    <x v="1"/>
    <x v="8"/>
    <n v="1"/>
    <d v="2026-08-14T00:00:00"/>
    <d v="2026-08-17T00:00:00"/>
    <n v="255.7"/>
    <m/>
    <m/>
    <m/>
    <s v="Pending"/>
    <s v=""/>
    <m/>
    <m/>
    <n v="260"/>
    <n v="0.38"/>
    <n v="98.8"/>
    <s v=""/>
    <x v="2"/>
    <x v="0"/>
    <x v="4"/>
  </r>
  <r>
    <s v="CLM105343"/>
    <s v="PT13193"/>
    <s v="P06"/>
    <x v="0"/>
    <x v="4"/>
    <n v="1"/>
    <d v="2026-08-04T00:00:00"/>
    <d v="2026-08-08T00:00:00"/>
    <n v="38.82"/>
    <m/>
    <m/>
    <m/>
    <s v="Pending"/>
    <s v=""/>
    <m/>
    <m/>
    <n v="38"/>
    <n v="0.27"/>
    <n v="10.26"/>
    <s v=""/>
    <x v="2"/>
    <x v="2"/>
    <x v="4"/>
  </r>
  <r>
    <s v="CLM105344"/>
    <s v="PT11683"/>
    <s v="P08"/>
    <x v="2"/>
    <x v="2"/>
    <n v="3"/>
    <d v="2026-04-06T00:00:00"/>
    <d v="2026-04-08T00:00:00"/>
    <n v="181.11"/>
    <m/>
    <m/>
    <m/>
    <s v="Pending"/>
    <s v=""/>
    <m/>
    <m/>
    <n v="62"/>
    <n v="1"/>
    <n v="186"/>
    <s v=""/>
    <x v="2"/>
    <x v="7"/>
    <x v="10"/>
  </r>
  <r>
    <s v="CLM105345"/>
    <s v="PT13466"/>
    <s v="P01"/>
    <x v="0"/>
    <x v="7"/>
    <n v="1"/>
    <d v="2025-11-25T00:00:00"/>
    <d v="2025-11-27T00:00:00"/>
    <n v="205.67"/>
    <n v="78.84"/>
    <n v="78.84"/>
    <n v="0"/>
    <s v="Paid"/>
    <s v=""/>
    <d v="2025-12-16T00:00:00"/>
    <d v="2025-12-16T00:00:00"/>
    <n v="210"/>
    <n v="0.45"/>
    <n v="94.5"/>
    <n v="15.659999999999997"/>
    <x v="1"/>
    <x v="5"/>
    <x v="3"/>
  </r>
  <r>
    <s v="CLM105346"/>
    <s v="PT11083"/>
    <s v="P01"/>
    <x v="0"/>
    <x v="0"/>
    <n v="1"/>
    <d v="2026-09-12T00:00:00"/>
    <d v="2026-09-19T00:00:00"/>
    <n v="145.58000000000001"/>
    <m/>
    <m/>
    <m/>
    <s v="Pending"/>
    <s v=""/>
    <m/>
    <m/>
    <n v="145"/>
    <n v="0.45"/>
    <n v="65.25"/>
    <s v=""/>
    <x v="2"/>
    <x v="5"/>
    <x v="8"/>
  </r>
  <r>
    <s v="CLM105347"/>
    <s v="PT13490"/>
    <s v="P02"/>
    <x v="0"/>
    <x v="8"/>
    <n v="1"/>
    <d v="2026-02-12T00:00:00"/>
    <d v="2026-02-18T00:00:00"/>
    <n v="252.63"/>
    <n v="121.59"/>
    <n v="121.59"/>
    <n v="0"/>
    <s v="Paid"/>
    <s v=""/>
    <d v="2026-03-16T00:00:00"/>
    <d v="2026-03-16T00:00:00"/>
    <n v="260"/>
    <n v="0.43"/>
    <n v="111.8"/>
    <n v="-9.7900000000000063"/>
    <x v="0"/>
    <x v="6"/>
    <x v="0"/>
  </r>
  <r>
    <s v="CLM105348"/>
    <s v="PT12259"/>
    <s v="P05"/>
    <x v="0"/>
    <x v="7"/>
    <n v="1"/>
    <d v="2025-12-08T00:00:00"/>
    <d v="2025-12-12T00:00:00"/>
    <n v="204.36"/>
    <n v="83.06"/>
    <n v="83.06"/>
    <n v="0"/>
    <s v="Paid"/>
    <s v=""/>
    <d v="2026-01-29T00:00:00"/>
    <d v="2026-01-29T00:00:00"/>
    <n v="210"/>
    <n v="0.38"/>
    <n v="79.8"/>
    <n v="-3.2600000000000051"/>
    <x v="0"/>
    <x v="0"/>
    <x v="6"/>
  </r>
  <r>
    <s v="CLM105349"/>
    <s v="PT12901"/>
    <s v="P01"/>
    <x v="1"/>
    <x v="1"/>
    <n v="1"/>
    <d v="2026-03-22T00:00:00"/>
    <d v="2026-03-23T00:00:00"/>
    <n v="242.72"/>
    <n v="119.59"/>
    <n v="119.59"/>
    <n v="0"/>
    <s v="Paid"/>
    <s v=""/>
    <d v="2026-04-30T00:00:00"/>
    <d v="2026-04-30T00:00:00"/>
    <n v="240"/>
    <n v="0.45"/>
    <n v="108"/>
    <n v="-11.590000000000003"/>
    <x v="0"/>
    <x v="5"/>
    <x v="2"/>
  </r>
  <r>
    <s v="CLM105350"/>
    <s v="PT12102"/>
    <s v="P02"/>
    <x v="0"/>
    <x v="8"/>
    <n v="1"/>
    <d v="2025-11-01T00:00:00"/>
    <d v="2025-11-02T00:00:00"/>
    <n v="264.37"/>
    <n v="113.97"/>
    <n v="91.18"/>
    <n v="22.79"/>
    <s v="Paid"/>
    <s v=""/>
    <d v="2025-12-13T00:00:00"/>
    <d v="2025-12-13T00:00:00"/>
    <n v="260"/>
    <n v="0.43"/>
    <n v="111.8"/>
    <n v="-2.1700000000000017"/>
    <x v="0"/>
    <x v="6"/>
    <x v="3"/>
  </r>
  <r>
    <s v="CLM105351"/>
    <s v="PT10612"/>
    <s v="P07"/>
    <x v="1"/>
    <x v="10"/>
    <n v="1"/>
    <d v="2026-01-11T00:00:00"/>
    <d v="2026-01-25T00:00:00"/>
    <n v="1039.93"/>
    <n v="284.94"/>
    <n v="284.94"/>
    <n v="0"/>
    <s v="Paid"/>
    <s v=""/>
    <d v="2026-03-31T00:00:00"/>
    <d v="2026-03-31T00:00:00"/>
    <n v="1050"/>
    <n v="0.28000000000000003"/>
    <n v="294"/>
    <n v="9.0600000000000023"/>
    <x v="0"/>
    <x v="3"/>
    <x v="5"/>
  </r>
  <r>
    <s v="CLM105352"/>
    <s v="PT12017"/>
    <s v="P07"/>
    <x v="2"/>
    <x v="2"/>
    <n v="1"/>
    <d v="2026-09-19T00:00:00"/>
    <d v="2026-09-25T00:00:00"/>
    <n v="61.87"/>
    <m/>
    <m/>
    <m/>
    <s v="Pending"/>
    <s v=""/>
    <m/>
    <m/>
    <n v="62"/>
    <n v="0.28000000000000003"/>
    <n v="17.36"/>
    <s v=""/>
    <x v="2"/>
    <x v="3"/>
    <x v="8"/>
  </r>
  <r>
    <s v="CLM105353"/>
    <s v="PT13406"/>
    <s v="P06"/>
    <x v="3"/>
    <x v="6"/>
    <n v="1"/>
    <d v="2026-07-22T00:00:00"/>
    <d v="2026-07-23T00:00:00"/>
    <n v="411.36"/>
    <n v="108.66"/>
    <n v="108.66"/>
    <n v="0"/>
    <s v="Paid"/>
    <s v=""/>
    <d v="2026-09-13T00:00:00"/>
    <d v="2026-09-13T00:00:00"/>
    <n v="420"/>
    <n v="0.27"/>
    <n v="113.4"/>
    <n v="4.7400000000000091"/>
    <x v="0"/>
    <x v="2"/>
    <x v="1"/>
  </r>
  <r>
    <s v="CLM105354"/>
    <s v="PT12827"/>
    <s v="P01"/>
    <x v="1"/>
    <x v="10"/>
    <n v="1"/>
    <d v="2025-11-13T00:00:00"/>
    <d v="2025-11-15T00:00:00"/>
    <n v="1059.4100000000001"/>
    <m/>
    <m/>
    <m/>
    <s v="Denied"/>
    <s v="CO-16"/>
    <d v="2025-12-10T00:00:00"/>
    <m/>
    <n v="1050"/>
    <n v="0.45"/>
    <n v="472.5"/>
    <s v=""/>
    <x v="2"/>
    <x v="5"/>
    <x v="3"/>
  </r>
  <r>
    <s v="CLM105355"/>
    <s v="PT13130"/>
    <s v="P01"/>
    <x v="1"/>
    <x v="5"/>
    <n v="1"/>
    <d v="2025-12-22T00:00:00"/>
    <d v="2025-12-26T00:00:00"/>
    <n v="4684.09"/>
    <m/>
    <m/>
    <m/>
    <s v="Denied"/>
    <s v="CO-197"/>
    <d v="2026-01-25T00:00:00"/>
    <m/>
    <n v="4800"/>
    <n v="0.45"/>
    <n v="2160"/>
    <s v=""/>
    <x v="2"/>
    <x v="5"/>
    <x v="6"/>
  </r>
  <r>
    <s v="CLM105356"/>
    <s v="PT10370"/>
    <s v="P02"/>
    <x v="2"/>
    <x v="2"/>
    <n v="4"/>
    <d v="2026-01-24T00:00:00"/>
    <d v="2026-01-28T00:00:00"/>
    <n v="242.38"/>
    <n v="95.73"/>
    <n v="95.73"/>
    <n v="0"/>
    <s v="Paid"/>
    <s v=""/>
    <d v="2026-03-08T00:00:00"/>
    <d v="2026-03-08T00:00:00"/>
    <n v="62"/>
    <n v="0.43"/>
    <n v="106.64"/>
    <n v="10.909999999999997"/>
    <x v="1"/>
    <x v="6"/>
    <x v="5"/>
  </r>
  <r>
    <s v="CLM105357"/>
    <s v="PT12408"/>
    <s v="P07"/>
    <x v="3"/>
    <x v="7"/>
    <n v="1"/>
    <d v="2026-08-01T00:00:00"/>
    <d v="2026-08-02T00:00:00"/>
    <n v="205.81"/>
    <m/>
    <m/>
    <m/>
    <s v="Pending"/>
    <s v=""/>
    <m/>
    <m/>
    <n v="210"/>
    <n v="0.28000000000000003"/>
    <n v="58.8"/>
    <s v=""/>
    <x v="2"/>
    <x v="3"/>
    <x v="4"/>
  </r>
  <r>
    <s v="CLM105358"/>
    <s v="PT12078"/>
    <s v="P06"/>
    <x v="0"/>
    <x v="4"/>
    <n v="1"/>
    <d v="2026-06-28T00:00:00"/>
    <d v="2026-07-01T00:00:00"/>
    <n v="37.89"/>
    <n v="11.64"/>
    <n v="11.64"/>
    <n v="0"/>
    <s v="Paid"/>
    <s v=""/>
    <d v="2026-08-09T00:00:00"/>
    <d v="2026-08-09T00:00:00"/>
    <n v="38"/>
    <n v="0.27"/>
    <n v="10.26"/>
    <n v="-1.3800000000000008"/>
    <x v="0"/>
    <x v="2"/>
    <x v="11"/>
  </r>
  <r>
    <s v="CLM105359"/>
    <s v="PT12525"/>
    <s v="P03"/>
    <x v="0"/>
    <x v="4"/>
    <n v="1"/>
    <d v="2025-10-12T00:00:00"/>
    <d v="2025-10-13T00:00:00"/>
    <n v="38.549999999999997"/>
    <n v="18.12"/>
    <n v="14.5"/>
    <n v="3.62"/>
    <s v="Paid"/>
    <s v=""/>
    <d v="2025-11-15T00:00:00"/>
    <d v="2025-11-15T00:00:00"/>
    <n v="38"/>
    <n v="0.47"/>
    <n v="17.86"/>
    <n v="-0.26000000000000156"/>
    <x v="0"/>
    <x v="4"/>
    <x v="9"/>
  </r>
  <r>
    <s v="CLM105360"/>
    <s v="PT10770"/>
    <s v="P05"/>
    <x v="0"/>
    <x v="7"/>
    <n v="1"/>
    <d v="2026-05-22T00:00:00"/>
    <d v="2026-05-26T00:00:00"/>
    <n v="212.99"/>
    <n v="88.64"/>
    <n v="88.64"/>
    <n v="0"/>
    <s v="Paid"/>
    <s v=""/>
    <d v="2026-07-23T00:00:00"/>
    <d v="2026-07-23T00:00:00"/>
    <n v="210"/>
    <n v="0.38"/>
    <n v="79.8"/>
    <n v="-8.8400000000000034"/>
    <x v="0"/>
    <x v="0"/>
    <x v="7"/>
  </r>
  <r>
    <s v="CLM105361"/>
    <s v="PT13312"/>
    <s v="P06"/>
    <x v="2"/>
    <x v="9"/>
    <n v="1"/>
    <d v="2025-11-04T00:00:00"/>
    <d v="2025-11-10T00:00:00"/>
    <n v="56.69"/>
    <n v="15.48"/>
    <n v="13.93"/>
    <n v="1.55"/>
    <s v="Paid"/>
    <s v=""/>
    <d v="2025-12-27T00:00:00"/>
    <d v="2025-12-27T00:00:00"/>
    <n v="58"/>
    <n v="0.27"/>
    <n v="15.66"/>
    <n v="0.17999999999999972"/>
    <x v="0"/>
    <x v="2"/>
    <x v="3"/>
  </r>
  <r>
    <s v="CLM105362"/>
    <s v="PT13247"/>
    <s v="P02"/>
    <x v="3"/>
    <x v="7"/>
    <n v="1"/>
    <d v="2026-02-21T00:00:00"/>
    <d v="2026-02-26T00:00:00"/>
    <n v="215.61"/>
    <n v="85.16"/>
    <n v="76.64"/>
    <n v="8.52"/>
    <s v="Paid"/>
    <s v=""/>
    <d v="2026-04-05T00:00:00"/>
    <d v="2026-04-05T00:00:00"/>
    <n v="210"/>
    <n v="0.43"/>
    <n v="90.3"/>
    <n v="5.1400000000000006"/>
    <x v="1"/>
    <x v="6"/>
    <x v="0"/>
  </r>
  <r>
    <s v="CLM105363"/>
    <s v="PT12143"/>
    <s v="P01"/>
    <x v="1"/>
    <x v="8"/>
    <n v="1"/>
    <d v="2026-06-26T00:00:00"/>
    <d v="2026-07-01T00:00:00"/>
    <n v="261.66000000000003"/>
    <m/>
    <m/>
    <m/>
    <s v="Denied"/>
    <s v="CO-16"/>
    <d v="2026-08-09T00:00:00"/>
    <m/>
    <n v="260"/>
    <n v="0.45"/>
    <n v="117"/>
    <s v=""/>
    <x v="2"/>
    <x v="5"/>
    <x v="11"/>
  </r>
  <r>
    <s v="CLM105364"/>
    <s v="PT12859"/>
    <s v="P02"/>
    <x v="1"/>
    <x v="11"/>
    <n v="1"/>
    <d v="2026-03-23T00:00:00"/>
    <d v="2026-03-27T00:00:00"/>
    <n v="1157.03"/>
    <n v="532.92999999999995"/>
    <n v="426.34"/>
    <n v="106.59"/>
    <s v="Paid"/>
    <s v=""/>
    <d v="2026-04-14T00:00:00"/>
    <d v="2026-04-14T00:00:00"/>
    <n v="1150"/>
    <n v="0.43"/>
    <n v="494.5"/>
    <n v="-38.42999999999995"/>
    <x v="0"/>
    <x v="6"/>
    <x v="2"/>
  </r>
  <r>
    <s v="CLM105365"/>
    <s v="PT11354"/>
    <s v="P03"/>
    <x v="1"/>
    <x v="4"/>
    <n v="1"/>
    <d v="2025-12-08T00:00:00"/>
    <d v="2025-12-10T00:00:00"/>
    <n v="38.74"/>
    <n v="18.28"/>
    <n v="14.62"/>
    <n v="3.66"/>
    <s v="Paid"/>
    <s v=""/>
    <d v="2026-02-01T00:00:00"/>
    <d v="2026-02-01T00:00:00"/>
    <n v="38"/>
    <n v="0.47"/>
    <n v="17.86"/>
    <n v="-0.42000000000000171"/>
    <x v="0"/>
    <x v="4"/>
    <x v="6"/>
  </r>
  <r>
    <s v="CLM105366"/>
    <s v="PT13308"/>
    <s v="P05"/>
    <x v="1"/>
    <x v="1"/>
    <n v="1"/>
    <d v="2026-07-08T00:00:00"/>
    <d v="2026-07-11T00:00:00"/>
    <n v="234.5"/>
    <n v="82.01"/>
    <n v="82.01"/>
    <n v="0"/>
    <s v="Paid"/>
    <s v=""/>
    <d v="2026-09-05T00:00:00"/>
    <d v="2026-09-05T00:00:00"/>
    <n v="240"/>
    <n v="0.38"/>
    <n v="91.2"/>
    <n v="9.1899999999999977"/>
    <x v="1"/>
    <x v="0"/>
    <x v="1"/>
  </r>
  <r>
    <s v="CLM105367"/>
    <s v="PT11967"/>
    <s v="P01"/>
    <x v="2"/>
    <x v="2"/>
    <n v="1"/>
    <d v="2026-09-05T00:00:00"/>
    <d v="2026-09-06T00:00:00"/>
    <n v="63.09"/>
    <m/>
    <m/>
    <m/>
    <s v="Pending"/>
    <s v=""/>
    <m/>
    <m/>
    <n v="62"/>
    <n v="0.45"/>
    <n v="27.9"/>
    <s v=""/>
    <x v="2"/>
    <x v="5"/>
    <x v="8"/>
  </r>
  <r>
    <s v="CLM105368"/>
    <s v="PT10300"/>
    <s v="P03"/>
    <x v="1"/>
    <x v="11"/>
    <n v="1"/>
    <d v="2026-01-12T00:00:00"/>
    <d v="2026-01-16T00:00:00"/>
    <n v="1121.71"/>
    <m/>
    <m/>
    <m/>
    <s v="Denied"/>
    <s v="CO-27"/>
    <d v="2026-02-23T00:00:00"/>
    <m/>
    <n v="1150"/>
    <n v="0.47"/>
    <n v="540.5"/>
    <s v=""/>
    <x v="2"/>
    <x v="4"/>
    <x v="5"/>
  </r>
  <r>
    <s v="CLM105369"/>
    <s v="PT11558"/>
    <s v="P02"/>
    <x v="1"/>
    <x v="11"/>
    <n v="1"/>
    <d v="2026-08-03T00:00:00"/>
    <d v="2026-08-05T00:00:00"/>
    <n v="1163.18"/>
    <n v="447.88"/>
    <n v="447.88"/>
    <n v="0"/>
    <s v="Paid"/>
    <s v=""/>
    <d v="2026-08-23T00:00:00"/>
    <d v="2026-08-23T00:00:00"/>
    <n v="1150"/>
    <n v="0.43"/>
    <n v="494.5"/>
    <n v="46.620000000000005"/>
    <x v="1"/>
    <x v="6"/>
    <x v="4"/>
  </r>
  <r>
    <s v="CLM105370"/>
    <s v="PT10671"/>
    <s v="P01"/>
    <x v="3"/>
    <x v="6"/>
    <n v="1"/>
    <d v="2026-08-12T00:00:00"/>
    <d v="2026-08-15T00:00:00"/>
    <n v="407.74"/>
    <m/>
    <m/>
    <m/>
    <s v="Pending"/>
    <s v=""/>
    <m/>
    <m/>
    <n v="420"/>
    <n v="0.45"/>
    <n v="189"/>
    <s v=""/>
    <x v="2"/>
    <x v="5"/>
    <x v="4"/>
  </r>
  <r>
    <s v="CLM105371"/>
    <s v="PT13379"/>
    <s v="P02"/>
    <x v="2"/>
    <x v="2"/>
    <n v="2"/>
    <d v="2026-04-28T00:00:00"/>
    <d v="2026-04-29T00:00:00"/>
    <n v="121.17"/>
    <n v="54.23"/>
    <n v="48.81"/>
    <n v="5.42"/>
    <s v="Paid"/>
    <s v=""/>
    <d v="2026-05-24T00:00:00"/>
    <d v="2026-05-24T00:00:00"/>
    <n v="62"/>
    <n v="0.43"/>
    <n v="53.32"/>
    <n v="-0.90999999999999659"/>
    <x v="0"/>
    <x v="6"/>
    <x v="10"/>
  </r>
  <r>
    <s v="CLM105372"/>
    <s v="PT12731"/>
    <s v="P05"/>
    <x v="2"/>
    <x v="2"/>
    <n v="3"/>
    <d v="2025-10-13T00:00:00"/>
    <d v="2025-10-14T00:00:00"/>
    <n v="185.77"/>
    <n v="64.510000000000005"/>
    <n v="58.06"/>
    <n v="6.45"/>
    <s v="Paid"/>
    <s v=""/>
    <d v="2025-11-28T00:00:00"/>
    <d v="2025-11-28T00:00:00"/>
    <n v="62"/>
    <n v="0.38"/>
    <n v="70.680000000000007"/>
    <n v="6.1700000000000017"/>
    <x v="1"/>
    <x v="0"/>
    <x v="9"/>
  </r>
  <r>
    <s v="CLM105373"/>
    <s v="PT11099"/>
    <s v="P07"/>
    <x v="0"/>
    <x v="8"/>
    <n v="1"/>
    <d v="2025-11-28T00:00:00"/>
    <d v="2025-11-30T00:00:00"/>
    <n v="255.88"/>
    <n v="81.010000000000005"/>
    <n v="72.91"/>
    <n v="8.1"/>
    <s v="Paid"/>
    <s v=""/>
    <d v="2025-12-14T00:00:00"/>
    <d v="2025-12-14T00:00:00"/>
    <n v="260"/>
    <n v="0.28000000000000003"/>
    <n v="72.8"/>
    <n v="-8.210000000000008"/>
    <x v="0"/>
    <x v="3"/>
    <x v="3"/>
  </r>
  <r>
    <s v="CLM105374"/>
    <s v="PT13327"/>
    <s v="P01"/>
    <x v="1"/>
    <x v="7"/>
    <n v="1"/>
    <d v="2026-05-01T00:00:00"/>
    <d v="2026-05-03T00:00:00"/>
    <n v="210.84"/>
    <n v="98.34"/>
    <n v="78.67"/>
    <n v="19.670000000000002"/>
    <s v="Paid"/>
    <s v=""/>
    <d v="2026-05-16T00:00:00"/>
    <d v="2026-05-16T00:00:00"/>
    <n v="210"/>
    <n v="0.45"/>
    <n v="94.5"/>
    <n v="-3.8400000000000034"/>
    <x v="0"/>
    <x v="5"/>
    <x v="7"/>
  </r>
  <r>
    <s v="CLM105375"/>
    <s v="PT10580"/>
    <s v="P06"/>
    <x v="2"/>
    <x v="9"/>
    <n v="1"/>
    <d v="2025-10-28T00:00:00"/>
    <d v="2025-11-01T00:00:00"/>
    <n v="57.06"/>
    <m/>
    <m/>
    <m/>
    <s v="Denied"/>
    <s v="CO-27"/>
    <d v="2025-12-04T00:00:00"/>
    <m/>
    <n v="58"/>
    <n v="0.27"/>
    <n v="15.66"/>
    <s v=""/>
    <x v="2"/>
    <x v="2"/>
    <x v="9"/>
  </r>
  <r>
    <s v="CLM105376"/>
    <s v="PT11090"/>
    <s v="P02"/>
    <x v="0"/>
    <x v="4"/>
    <n v="1"/>
    <d v="2026-03-31T00:00:00"/>
    <d v="2026-04-01T00:00:00"/>
    <n v="37.68"/>
    <n v="18.59"/>
    <n v="18.59"/>
    <n v="0"/>
    <s v="Paid"/>
    <s v=""/>
    <d v="2026-05-01T00:00:00"/>
    <d v="2026-05-01T00:00:00"/>
    <n v="38"/>
    <n v="0.43"/>
    <n v="16.34"/>
    <n v="-2.25"/>
    <x v="0"/>
    <x v="6"/>
    <x v="2"/>
  </r>
  <r>
    <s v="CLM105377"/>
    <s v="PT10612"/>
    <s v="P02"/>
    <x v="0"/>
    <x v="4"/>
    <n v="1"/>
    <d v="2026-04-08T00:00:00"/>
    <d v="2026-04-19T00:00:00"/>
    <n v="38.44"/>
    <n v="16.010000000000002"/>
    <n v="14.41"/>
    <n v="1.6"/>
    <s v="Paid"/>
    <s v=""/>
    <d v="2026-05-20T00:00:00"/>
    <d v="2026-05-20T00:00:00"/>
    <n v="38"/>
    <n v="0.43"/>
    <n v="16.34"/>
    <n v="0.32999999999999829"/>
    <x v="0"/>
    <x v="6"/>
    <x v="10"/>
  </r>
  <r>
    <s v="CLM105378"/>
    <s v="PT10716"/>
    <s v="P03"/>
    <x v="0"/>
    <x v="7"/>
    <n v="1"/>
    <d v="2026-04-22T00:00:00"/>
    <d v="2026-04-23T00:00:00"/>
    <n v="211.03"/>
    <n v="101.37"/>
    <n v="81.099999999999994"/>
    <n v="20.27"/>
    <s v="Paid"/>
    <s v=""/>
    <d v="2026-06-24T00:00:00"/>
    <d v="2026-06-24T00:00:00"/>
    <n v="210"/>
    <n v="0.47"/>
    <n v="98.7"/>
    <n v="-2.6700000000000017"/>
    <x v="0"/>
    <x v="4"/>
    <x v="10"/>
  </r>
  <r>
    <s v="CLM105379"/>
    <s v="PT11753"/>
    <s v="P04"/>
    <x v="1"/>
    <x v="7"/>
    <n v="1"/>
    <d v="2026-01-05T00:00:00"/>
    <d v="2026-01-16T00:00:00"/>
    <n v="212.88"/>
    <m/>
    <m/>
    <m/>
    <s v="Denied"/>
    <s v="CO-16"/>
    <d v="2026-02-06T00:00:00"/>
    <m/>
    <n v="210"/>
    <n v="0.36"/>
    <n v="75.599999999999994"/>
    <s v=""/>
    <x v="2"/>
    <x v="1"/>
    <x v="5"/>
  </r>
  <r>
    <s v="CLM105380"/>
    <s v="PT13491"/>
    <s v="P04"/>
    <x v="0"/>
    <x v="7"/>
    <n v="1"/>
    <d v="2026-07-02T00:00:00"/>
    <d v="2026-07-03T00:00:00"/>
    <n v="209.1"/>
    <n v="65.349999999999994"/>
    <n v="65.349999999999994"/>
    <n v="0"/>
    <s v="Paid"/>
    <s v=""/>
    <d v="2026-07-21T00:00:00"/>
    <d v="2026-07-21T00:00:00"/>
    <n v="210"/>
    <n v="0.36"/>
    <n v="75.599999999999994"/>
    <n v="10.25"/>
    <x v="1"/>
    <x v="1"/>
    <x v="1"/>
  </r>
  <r>
    <s v="CLM105381"/>
    <s v="PT13202"/>
    <s v="P05"/>
    <x v="1"/>
    <x v="5"/>
    <n v="1"/>
    <d v="2026-05-09T00:00:00"/>
    <d v="2026-05-24T00:00:00"/>
    <n v="4851.04"/>
    <n v="1908.99"/>
    <n v="1908.99"/>
    <n v="0"/>
    <s v="Paid"/>
    <s v=""/>
    <d v="2026-07-09T00:00:00"/>
    <d v="2026-07-09T00:00:00"/>
    <n v="4800"/>
    <n v="0.38"/>
    <n v="1824"/>
    <n v="-84.990000000000009"/>
    <x v="0"/>
    <x v="0"/>
    <x v="7"/>
  </r>
  <r>
    <s v="CLM105382"/>
    <s v="PT12405"/>
    <s v="P07"/>
    <x v="2"/>
    <x v="0"/>
    <n v="1"/>
    <d v="2026-06-20T00:00:00"/>
    <d v="2026-06-21T00:00:00"/>
    <n v="147.78"/>
    <n v="37.909999999999997"/>
    <n v="34.119999999999997"/>
    <n v="3.79"/>
    <s v="Paid"/>
    <s v=""/>
    <d v="2026-09-22T00:00:00"/>
    <d v="2026-09-22T00:00:00"/>
    <n v="145"/>
    <n v="0.28000000000000003"/>
    <n v="40.6"/>
    <n v="2.6900000000000048"/>
    <x v="1"/>
    <x v="3"/>
    <x v="11"/>
  </r>
  <r>
    <s v="CLM105383"/>
    <s v="PT13364"/>
    <s v="P01"/>
    <x v="0"/>
    <x v="8"/>
    <n v="1"/>
    <d v="2026-01-23T00:00:00"/>
    <d v="2026-02-09T00:00:00"/>
    <n v="255.05"/>
    <n v="111.43"/>
    <n v="111.43"/>
    <n v="0"/>
    <s v="Paid"/>
    <s v=""/>
    <d v="2026-03-12T00:00:00"/>
    <d v="2026-03-12T00:00:00"/>
    <n v="260"/>
    <n v="0.45"/>
    <n v="117"/>
    <n v="5.5699999999999932"/>
    <x v="0"/>
    <x v="5"/>
    <x v="5"/>
  </r>
  <r>
    <s v="CLM105384"/>
    <s v="PT12350"/>
    <s v="P02"/>
    <x v="2"/>
    <x v="9"/>
    <n v="1"/>
    <d v="2026-09-05T00:00:00"/>
    <d v="2026-09-14T00:00:00"/>
    <n v="59.58"/>
    <m/>
    <m/>
    <m/>
    <s v="Pending"/>
    <s v=""/>
    <m/>
    <m/>
    <n v="58"/>
    <n v="0.43"/>
    <n v="24.94"/>
    <s v=""/>
    <x v="2"/>
    <x v="6"/>
    <x v="8"/>
  </r>
  <r>
    <s v="CLM105385"/>
    <s v="PT10303"/>
    <s v="P01"/>
    <x v="3"/>
    <x v="3"/>
    <n v="10"/>
    <d v="2026-07-13T00:00:00"/>
    <d v="2026-07-17T00:00:00"/>
    <n v="14898.32"/>
    <n v="7356.44"/>
    <n v="6620.8"/>
    <n v="735.64"/>
    <s v="Paid"/>
    <s v=""/>
    <d v="2026-08-04T00:00:00"/>
    <d v="2026-08-04T00:00:00"/>
    <n v="1450"/>
    <n v="0.45"/>
    <n v="6525"/>
    <n v="-831.4399999999996"/>
    <x v="0"/>
    <x v="5"/>
    <x v="1"/>
  </r>
  <r>
    <s v="CLM105386"/>
    <s v="PT12900"/>
    <s v="P01"/>
    <x v="1"/>
    <x v="10"/>
    <n v="1"/>
    <d v="2025-10-10T00:00:00"/>
    <d v="2025-10-15T00:00:00"/>
    <n v="1040.6500000000001"/>
    <m/>
    <m/>
    <m/>
    <s v="Denied"/>
    <s v="CO-50"/>
    <d v="2025-10-31T00:00:00"/>
    <m/>
    <n v="1050"/>
    <n v="0.45"/>
    <n v="472.5"/>
    <s v=""/>
    <x v="2"/>
    <x v="5"/>
    <x v="9"/>
  </r>
  <r>
    <s v="CLM105387"/>
    <s v="PT12974"/>
    <s v="P02"/>
    <x v="1"/>
    <x v="1"/>
    <n v="1"/>
    <d v="2026-07-23T00:00:00"/>
    <d v="2026-07-28T00:00:00"/>
    <n v="243.47"/>
    <n v="118.63"/>
    <n v="106.77"/>
    <n v="11.86"/>
    <s v="Paid"/>
    <s v=""/>
    <d v="2026-08-22T00:00:00"/>
    <d v="2026-08-22T00:00:00"/>
    <n v="240"/>
    <n v="0.43"/>
    <n v="103.2"/>
    <n v="-15.429999999999993"/>
    <x v="0"/>
    <x v="6"/>
    <x v="1"/>
  </r>
  <r>
    <s v="CLM105388"/>
    <s v="PT13472"/>
    <s v="P06"/>
    <x v="1"/>
    <x v="11"/>
    <n v="1"/>
    <d v="2026-04-16T00:00:00"/>
    <d v="2026-04-24T00:00:00"/>
    <n v="1170.6099999999999"/>
    <n v="282.2"/>
    <n v="282.2"/>
    <n v="0"/>
    <s v="Paid"/>
    <s v=""/>
    <d v="2026-05-28T00:00:00"/>
    <d v="2026-05-28T00:00:00"/>
    <n v="1150"/>
    <n v="0.27"/>
    <n v="310.5"/>
    <n v="28.300000000000011"/>
    <x v="1"/>
    <x v="2"/>
    <x v="10"/>
  </r>
  <r>
    <s v="CLM105389"/>
    <s v="PT13326"/>
    <s v="P01"/>
    <x v="0"/>
    <x v="7"/>
    <n v="1"/>
    <d v="2025-10-06T00:00:00"/>
    <d v="2025-10-12T00:00:00"/>
    <n v="204.23"/>
    <n v="80.44"/>
    <n v="64.349999999999994"/>
    <n v="16.09"/>
    <s v="Paid"/>
    <s v=""/>
    <d v="2025-11-16T00:00:00"/>
    <d v="2025-11-16T00:00:00"/>
    <n v="210"/>
    <n v="0.45"/>
    <n v="94.5"/>
    <n v="14.060000000000002"/>
    <x v="1"/>
    <x v="5"/>
    <x v="9"/>
  </r>
  <r>
    <s v="CLM105390"/>
    <s v="PT12428"/>
    <s v="P02"/>
    <x v="2"/>
    <x v="2"/>
    <n v="1"/>
    <d v="2026-08-30T00:00:00"/>
    <d v="2026-09-05T00:00:00"/>
    <n v="61.5"/>
    <n v="29.64"/>
    <n v="29.64"/>
    <n v="0"/>
    <s v="Paid"/>
    <s v=""/>
    <d v="2026-09-25T00:00:00"/>
    <d v="2026-09-25T00:00:00"/>
    <n v="62"/>
    <n v="0.43"/>
    <n v="26.66"/>
    <n v="-2.9800000000000004"/>
    <x v="0"/>
    <x v="6"/>
    <x v="4"/>
  </r>
  <r>
    <s v="CLM105391"/>
    <s v="PT12192"/>
    <s v="P01"/>
    <x v="1"/>
    <x v="5"/>
    <n v="1"/>
    <d v="2025-11-15T00:00:00"/>
    <d v="2025-11-17T00:00:00"/>
    <n v="4695.18"/>
    <m/>
    <m/>
    <m/>
    <s v="Denied"/>
    <s v="CO-16"/>
    <d v="2025-12-03T00:00:00"/>
    <m/>
    <n v="4800"/>
    <n v="0.45"/>
    <n v="2160"/>
    <s v=""/>
    <x v="2"/>
    <x v="5"/>
    <x v="3"/>
  </r>
  <r>
    <s v="CLM105392"/>
    <s v="PT10332"/>
    <s v="P01"/>
    <x v="2"/>
    <x v="0"/>
    <n v="1"/>
    <d v="2025-10-23T00:00:00"/>
    <d v="2025-10-27T00:00:00"/>
    <n v="144.94"/>
    <n v="68.459999999999994"/>
    <n v="61.61"/>
    <n v="6.85"/>
    <s v="Paid"/>
    <s v=""/>
    <d v="2025-11-30T00:00:00"/>
    <d v="2025-11-30T00:00:00"/>
    <n v="145"/>
    <n v="0.45"/>
    <n v="65.25"/>
    <n v="-3.2099999999999937"/>
    <x v="0"/>
    <x v="5"/>
    <x v="9"/>
  </r>
  <r>
    <s v="CLM105393"/>
    <s v="PT12789"/>
    <s v="P08"/>
    <x v="1"/>
    <x v="11"/>
    <n v="1"/>
    <d v="2026-03-14T00:00:00"/>
    <d v="2026-03-16T00:00:00"/>
    <n v="1139.76"/>
    <m/>
    <m/>
    <m/>
    <s v="Pending"/>
    <s v=""/>
    <m/>
    <m/>
    <n v="1150"/>
    <n v="1"/>
    <n v="1150"/>
    <s v=""/>
    <x v="2"/>
    <x v="7"/>
    <x v="2"/>
  </r>
  <r>
    <s v="CLM105394"/>
    <s v="PT12647"/>
    <s v="P03"/>
    <x v="0"/>
    <x v="8"/>
    <n v="1"/>
    <d v="2026-04-26T00:00:00"/>
    <d v="2026-04-27T00:00:00"/>
    <n v="258.24"/>
    <n v="132.72999999999999"/>
    <n v="132.72999999999999"/>
    <n v="0"/>
    <s v="Paid"/>
    <s v=""/>
    <d v="2026-06-25T00:00:00"/>
    <d v="2026-06-25T00:00:00"/>
    <n v="260"/>
    <n v="0.47"/>
    <n v="122.2"/>
    <n v="-10.529999999999987"/>
    <x v="0"/>
    <x v="4"/>
    <x v="10"/>
  </r>
  <r>
    <s v="CLM105395"/>
    <s v="PT12548"/>
    <s v="P04"/>
    <x v="1"/>
    <x v="8"/>
    <n v="1"/>
    <d v="2026-04-10T00:00:00"/>
    <d v="2026-04-12T00:00:00"/>
    <n v="260.86"/>
    <n v="95.2"/>
    <n v="85.68"/>
    <n v="9.52"/>
    <s v="Paid"/>
    <s v=""/>
    <d v="2026-04-25T00:00:00"/>
    <d v="2026-04-25T00:00:00"/>
    <n v="260"/>
    <n v="0.36"/>
    <n v="93.6"/>
    <n v="-1.6000000000000085"/>
    <x v="0"/>
    <x v="1"/>
    <x v="10"/>
  </r>
  <r>
    <s v="CLM105396"/>
    <s v="PT11285"/>
    <s v="P01"/>
    <x v="2"/>
    <x v="9"/>
    <n v="3"/>
    <d v="2026-03-09T00:00:00"/>
    <d v="2026-03-16T00:00:00"/>
    <n v="179.19"/>
    <m/>
    <m/>
    <m/>
    <s v="Denied"/>
    <s v="CO-16"/>
    <d v="2026-04-12T00:00:00"/>
    <m/>
    <n v="58"/>
    <n v="0.45"/>
    <n v="78.3"/>
    <s v=""/>
    <x v="2"/>
    <x v="5"/>
    <x v="2"/>
  </r>
  <r>
    <s v="CLM105397"/>
    <s v="PT11194"/>
    <s v="P06"/>
    <x v="3"/>
    <x v="7"/>
    <n v="1"/>
    <d v="2026-05-25T00:00:00"/>
    <d v="2026-05-28T00:00:00"/>
    <n v="208.24"/>
    <n v="48.64"/>
    <n v="48.64"/>
    <n v="0"/>
    <s v="Paid"/>
    <s v=""/>
    <d v="2026-07-16T00:00:00"/>
    <d v="2026-07-16T00:00:00"/>
    <n v="210"/>
    <n v="0.27"/>
    <n v="56.7"/>
    <n v="8.0600000000000023"/>
    <x v="1"/>
    <x v="2"/>
    <x v="7"/>
  </r>
  <r>
    <s v="CLM105398"/>
    <s v="PT10675"/>
    <s v="P05"/>
    <x v="1"/>
    <x v="8"/>
    <n v="1"/>
    <d v="2026-03-17T00:00:00"/>
    <d v="2026-03-21T00:00:00"/>
    <n v="254.28"/>
    <n v="82.9"/>
    <n v="66.319999999999993"/>
    <n v="16.579999999999998"/>
    <s v="Paid"/>
    <s v=""/>
    <d v="2026-05-15T00:00:00"/>
    <d v="2026-05-15T00:00:00"/>
    <n v="260"/>
    <n v="0.38"/>
    <n v="98.8"/>
    <n v="15.899999999999991"/>
    <x v="1"/>
    <x v="0"/>
    <x v="2"/>
  </r>
  <r>
    <s v="CLM105399"/>
    <s v="PT10911"/>
    <s v="P01"/>
    <x v="0"/>
    <x v="8"/>
    <n v="1"/>
    <d v="2025-11-20T00:00:00"/>
    <d v="2025-11-21T00:00:00"/>
    <n v="254.51"/>
    <n v="103.32"/>
    <n v="92.99"/>
    <n v="10.33"/>
    <s v="Paid"/>
    <s v=""/>
    <d v="2025-12-20T00:00:00"/>
    <d v="2025-12-20T00:00:00"/>
    <n v="260"/>
    <n v="0.45"/>
    <n v="117"/>
    <n v="13.680000000000007"/>
    <x v="1"/>
    <x v="5"/>
    <x v="3"/>
  </r>
  <r>
    <s v="CLM105400"/>
    <s v="PT11944"/>
    <s v="P01"/>
    <x v="1"/>
    <x v="7"/>
    <n v="1"/>
    <d v="2025-12-10T00:00:00"/>
    <d v="2025-12-19T00:00:00"/>
    <n v="207.44"/>
    <m/>
    <m/>
    <m/>
    <s v="Denied"/>
    <s v="CO-4"/>
    <d v="2026-01-02T00:00:00"/>
    <m/>
    <n v="210"/>
    <n v="0.45"/>
    <n v="94.5"/>
    <s v=""/>
    <x v="2"/>
    <x v="5"/>
    <x v="6"/>
  </r>
  <r>
    <s v="CLM105401"/>
    <s v="PT12052"/>
    <s v="P05"/>
    <x v="1"/>
    <x v="8"/>
    <n v="1"/>
    <d v="2026-05-22T00:00:00"/>
    <d v="2026-05-25T00:00:00"/>
    <n v="255.72"/>
    <n v="94.47"/>
    <n v="94.47"/>
    <n v="0"/>
    <s v="Paid"/>
    <s v=""/>
    <d v="2026-07-21T00:00:00"/>
    <d v="2026-07-21T00:00:00"/>
    <n v="260"/>
    <n v="0.38"/>
    <n v="98.8"/>
    <n v="4.3299999999999983"/>
    <x v="0"/>
    <x v="0"/>
    <x v="7"/>
  </r>
  <r>
    <s v="CLM105402"/>
    <s v="PT11314"/>
    <s v="P04"/>
    <x v="0"/>
    <x v="8"/>
    <n v="1"/>
    <d v="2026-06-21T00:00:00"/>
    <d v="2026-06-25T00:00:00"/>
    <n v="266.39"/>
    <n v="106.85"/>
    <n v="106.85"/>
    <n v="0"/>
    <s v="Paid"/>
    <s v=""/>
    <d v="2026-07-08T00:00:00"/>
    <d v="2026-07-08T00:00:00"/>
    <n v="260"/>
    <n v="0.36"/>
    <n v="93.6"/>
    <n v="-13.25"/>
    <x v="0"/>
    <x v="1"/>
    <x v="11"/>
  </r>
  <r>
    <s v="CLM105403"/>
    <s v="PT11194"/>
    <s v="P06"/>
    <x v="0"/>
    <x v="7"/>
    <n v="1"/>
    <d v="2026-03-15T00:00:00"/>
    <d v="2026-03-19T00:00:00"/>
    <n v="211.71"/>
    <n v="53.87"/>
    <n v="53.87"/>
    <n v="0"/>
    <s v="Paid"/>
    <s v=""/>
    <d v="2026-04-04T00:00:00"/>
    <d v="2026-04-04T00:00:00"/>
    <n v="210"/>
    <n v="0.27"/>
    <n v="56.7"/>
    <n v="2.8300000000000054"/>
    <x v="0"/>
    <x v="2"/>
    <x v="2"/>
  </r>
  <r>
    <s v="CLM105404"/>
    <s v="PT12992"/>
    <s v="P02"/>
    <x v="1"/>
    <x v="8"/>
    <n v="1"/>
    <d v="2026-07-08T00:00:00"/>
    <d v="2026-07-17T00:00:00"/>
    <n v="259.89"/>
    <n v="127.86"/>
    <n v="102.29"/>
    <n v="25.57"/>
    <s v="Paid"/>
    <s v=""/>
    <d v="2026-08-05T00:00:00"/>
    <d v="2026-08-05T00:00:00"/>
    <n v="260"/>
    <n v="0.43"/>
    <n v="111.8"/>
    <n v="-16.060000000000002"/>
    <x v="0"/>
    <x v="6"/>
    <x v="1"/>
  </r>
  <r>
    <s v="CLM105405"/>
    <s v="PT12325"/>
    <s v="P02"/>
    <x v="1"/>
    <x v="5"/>
    <n v="1"/>
    <d v="2025-11-30T00:00:00"/>
    <d v="2025-12-02T00:00:00"/>
    <n v="4923.3999999999996"/>
    <n v="2014.91"/>
    <n v="2014.91"/>
    <n v="0"/>
    <s v="Paid"/>
    <s v=""/>
    <d v="2026-01-02T00:00:00"/>
    <d v="2026-01-02T00:00:00"/>
    <n v="4800"/>
    <n v="0.43"/>
    <n v="2064"/>
    <n v="49.089999999999918"/>
    <x v="0"/>
    <x v="6"/>
    <x v="3"/>
  </r>
  <r>
    <s v="CLM105406"/>
    <s v="PT11753"/>
    <s v="P04"/>
    <x v="2"/>
    <x v="9"/>
    <n v="2"/>
    <d v="2026-02-05T00:00:00"/>
    <d v="2026-02-08T00:00:00"/>
    <n v="114.83"/>
    <n v="47.21"/>
    <n v="47.21"/>
    <n v="0"/>
    <s v="Paid"/>
    <s v=""/>
    <d v="2026-03-04T00:00:00"/>
    <d v="2026-03-04T00:00:00"/>
    <n v="58"/>
    <n v="0.36"/>
    <n v="41.76"/>
    <n v="-5.4500000000000028"/>
    <x v="0"/>
    <x v="1"/>
    <x v="0"/>
  </r>
  <r>
    <s v="CLM105407"/>
    <s v="PT12470"/>
    <s v="P03"/>
    <x v="1"/>
    <x v="11"/>
    <n v="1"/>
    <d v="2026-03-20T00:00:00"/>
    <d v="2026-03-21T00:00:00"/>
    <n v="1134.24"/>
    <n v="570.36"/>
    <n v="570.36"/>
    <n v="0"/>
    <s v="Paid"/>
    <s v=""/>
    <d v="2026-04-30T00:00:00"/>
    <d v="2026-04-30T00:00:00"/>
    <n v="1150"/>
    <n v="0.47"/>
    <n v="540.5"/>
    <n v="-29.860000000000014"/>
    <x v="0"/>
    <x v="4"/>
    <x v="2"/>
  </r>
  <r>
    <s v="CLM105408"/>
    <s v="PT11281"/>
    <s v="P03"/>
    <x v="0"/>
    <x v="7"/>
    <n v="1"/>
    <d v="2026-02-08T00:00:00"/>
    <d v="2026-02-14T00:00:00"/>
    <n v="209.67"/>
    <n v="102.41"/>
    <n v="102.41"/>
    <n v="0"/>
    <s v="Paid"/>
    <s v=""/>
    <d v="2026-03-14T00:00:00"/>
    <d v="2026-03-14T00:00:00"/>
    <n v="210"/>
    <n v="0.47"/>
    <n v="98.7"/>
    <n v="-3.7099999999999937"/>
    <x v="0"/>
    <x v="4"/>
    <x v="0"/>
  </r>
  <r>
    <s v="CLM105409"/>
    <s v="PT12598"/>
    <s v="P06"/>
    <x v="1"/>
    <x v="8"/>
    <n v="1"/>
    <d v="2026-01-30T00:00:00"/>
    <d v="2026-02-27T00:00:00"/>
    <n v="256.51"/>
    <n v="66.290000000000006"/>
    <n v="59.66"/>
    <n v="6.63"/>
    <s v="Paid"/>
    <s v=""/>
    <d v="2026-04-26T00:00:00"/>
    <d v="2026-04-26T00:00:00"/>
    <n v="260"/>
    <n v="0.27"/>
    <n v="70.2"/>
    <n v="3.9099999999999966"/>
    <x v="1"/>
    <x v="2"/>
    <x v="5"/>
  </r>
  <r>
    <s v="CLM105410"/>
    <s v="PT12227"/>
    <s v="P01"/>
    <x v="0"/>
    <x v="0"/>
    <n v="1"/>
    <d v="2026-02-19T00:00:00"/>
    <d v="2026-03-02T00:00:00"/>
    <n v="142.19"/>
    <n v="58.82"/>
    <n v="47.06"/>
    <n v="11.76"/>
    <s v="Paid"/>
    <s v=""/>
    <d v="2026-04-02T00:00:00"/>
    <d v="2026-04-02T00:00:00"/>
    <n v="145"/>
    <n v="0.45"/>
    <n v="65.25"/>
    <n v="6.43"/>
    <x v="1"/>
    <x v="5"/>
    <x v="0"/>
  </r>
  <r>
    <s v="CLM105411"/>
    <s v="PT12572"/>
    <s v="P01"/>
    <x v="1"/>
    <x v="8"/>
    <n v="1"/>
    <d v="2025-11-22T00:00:00"/>
    <d v="2025-11-24T00:00:00"/>
    <n v="254.12"/>
    <n v="116.87"/>
    <n v="116.87"/>
    <n v="0"/>
    <s v="Paid"/>
    <s v=""/>
    <d v="2026-01-01T00:00:00"/>
    <d v="2026-01-01T00:00:00"/>
    <n v="260"/>
    <n v="0.45"/>
    <n v="117"/>
    <n v="0.12999999999999545"/>
    <x v="0"/>
    <x v="5"/>
    <x v="3"/>
  </r>
  <r>
    <s v="CLM105412"/>
    <s v="PT10808"/>
    <s v="P02"/>
    <x v="0"/>
    <x v="8"/>
    <n v="1"/>
    <d v="2026-04-21T00:00:00"/>
    <d v="2026-05-01T00:00:00"/>
    <n v="257.81"/>
    <n v="100.37"/>
    <n v="80.3"/>
    <n v="20.07"/>
    <s v="Paid"/>
    <s v=""/>
    <d v="2026-05-25T00:00:00"/>
    <d v="2026-05-25T00:00:00"/>
    <n v="260"/>
    <n v="0.43"/>
    <n v="111.8"/>
    <n v="11.429999999999993"/>
    <x v="1"/>
    <x v="6"/>
    <x v="10"/>
  </r>
  <r>
    <s v="CLM105413"/>
    <s v="PT11068"/>
    <s v="P03"/>
    <x v="1"/>
    <x v="8"/>
    <n v="1"/>
    <d v="2025-10-28T00:00:00"/>
    <d v="2025-10-30T00:00:00"/>
    <n v="258.02999999999997"/>
    <n v="110.17"/>
    <n v="110.17"/>
    <n v="0"/>
    <s v="Paid"/>
    <s v=""/>
    <d v="2025-12-04T00:00:00"/>
    <d v="2025-12-04T00:00:00"/>
    <n v="260"/>
    <n v="0.47"/>
    <n v="122.2"/>
    <n v="12.030000000000001"/>
    <x v="1"/>
    <x v="4"/>
    <x v="9"/>
  </r>
  <r>
    <s v="CLM105414"/>
    <s v="PT12810"/>
    <s v="P01"/>
    <x v="0"/>
    <x v="8"/>
    <n v="1"/>
    <d v="2026-01-04T00:00:00"/>
    <d v="2026-01-05T00:00:00"/>
    <n v="264.76"/>
    <n v="123.85"/>
    <n v="123.85"/>
    <n v="0"/>
    <s v="Paid"/>
    <s v=""/>
    <d v="2026-02-02T00:00:00"/>
    <d v="2026-02-02T00:00:00"/>
    <n v="260"/>
    <n v="0.45"/>
    <n v="117"/>
    <n v="-6.8499999999999943"/>
    <x v="0"/>
    <x v="5"/>
    <x v="5"/>
  </r>
  <r>
    <s v="CLM105415"/>
    <s v="PT12976"/>
    <s v="P04"/>
    <x v="1"/>
    <x v="8"/>
    <n v="1"/>
    <d v="2025-11-30T00:00:00"/>
    <d v="2025-12-27T00:00:00"/>
    <n v="262.83999999999997"/>
    <n v="94.3"/>
    <n v="94.3"/>
    <n v="0"/>
    <s v="Paid"/>
    <s v=""/>
    <d v="2026-01-11T00:00:00"/>
    <d v="2026-01-11T00:00:00"/>
    <n v="260"/>
    <n v="0.36"/>
    <n v="93.6"/>
    <n v="-0.70000000000000284"/>
    <x v="0"/>
    <x v="1"/>
    <x v="3"/>
  </r>
  <r>
    <s v="CLM105416"/>
    <s v="PT12260"/>
    <s v="P01"/>
    <x v="2"/>
    <x v="0"/>
    <n v="1"/>
    <d v="2025-10-18T00:00:00"/>
    <d v="2025-10-24T00:00:00"/>
    <n v="148.88999999999999"/>
    <n v="72.930000000000007"/>
    <n v="58.34"/>
    <n v="14.59"/>
    <s v="Paid"/>
    <s v=""/>
    <d v="2025-11-04T00:00:00"/>
    <d v="2025-11-04T00:00:00"/>
    <n v="145"/>
    <n v="0.45"/>
    <n v="65.25"/>
    <n v="-7.6800000000000068"/>
    <x v="0"/>
    <x v="5"/>
    <x v="9"/>
  </r>
  <r>
    <s v="CLM105417"/>
    <s v="PT12076"/>
    <s v="P07"/>
    <x v="3"/>
    <x v="6"/>
    <n v="1"/>
    <d v="2026-09-21T00:00:00"/>
    <d v="2026-09-29T00:00:00"/>
    <n v="430.71"/>
    <m/>
    <m/>
    <m/>
    <s v="Pending"/>
    <s v=""/>
    <m/>
    <m/>
    <n v="420"/>
    <n v="0.28000000000000003"/>
    <n v="117.6"/>
    <s v=""/>
    <x v="2"/>
    <x v="3"/>
    <x v="8"/>
  </r>
  <r>
    <s v="CLM105418"/>
    <s v="PT10574"/>
    <s v="P06"/>
    <x v="1"/>
    <x v="7"/>
    <n v="1"/>
    <d v="2025-11-15T00:00:00"/>
    <d v="2025-11-16T00:00:00"/>
    <n v="209.16"/>
    <n v="51.64"/>
    <n v="41.31"/>
    <n v="10.33"/>
    <s v="Paid"/>
    <s v=""/>
    <d v="2025-12-08T00:00:00"/>
    <d v="2025-12-08T00:00:00"/>
    <n v="210"/>
    <n v="0.27"/>
    <n v="56.7"/>
    <n v="5.0600000000000023"/>
    <x v="1"/>
    <x v="2"/>
    <x v="3"/>
  </r>
  <r>
    <s v="CLM105419"/>
    <s v="PT11144"/>
    <s v="P05"/>
    <x v="3"/>
    <x v="7"/>
    <n v="1"/>
    <d v="2025-11-25T00:00:00"/>
    <d v="2025-11-27T00:00:00"/>
    <n v="214.34"/>
    <n v="74.31"/>
    <n v="74.31"/>
    <n v="0"/>
    <s v="Paid"/>
    <s v=""/>
    <d v="2026-01-13T00:00:00"/>
    <d v="2026-01-13T00:00:00"/>
    <n v="210"/>
    <n v="0.38"/>
    <n v="79.8"/>
    <n v="5.4899999999999949"/>
    <x v="1"/>
    <x v="0"/>
    <x v="3"/>
  </r>
  <r>
    <s v="CLM105420"/>
    <s v="PT12955"/>
    <s v="P03"/>
    <x v="0"/>
    <x v="8"/>
    <n v="1"/>
    <d v="2026-02-03T00:00:00"/>
    <d v="2026-02-05T00:00:00"/>
    <n v="260.24"/>
    <n v="135.04"/>
    <n v="121.54"/>
    <n v="13.5"/>
    <s v="Paid"/>
    <s v=""/>
    <d v="2026-03-27T00:00:00"/>
    <d v="2026-03-27T00:00:00"/>
    <n v="260"/>
    <n v="0.47"/>
    <n v="122.2"/>
    <n v="-12.839999999999989"/>
    <x v="0"/>
    <x v="4"/>
    <x v="0"/>
  </r>
  <r>
    <s v="CLM105421"/>
    <s v="PT10625"/>
    <s v="P06"/>
    <x v="0"/>
    <x v="0"/>
    <n v="1"/>
    <d v="2026-03-22T00:00:00"/>
    <d v="2026-03-27T00:00:00"/>
    <n v="147.35"/>
    <n v="37.08"/>
    <n v="29.66"/>
    <n v="7.42"/>
    <s v="Paid"/>
    <s v=""/>
    <d v="2026-04-30T00:00:00"/>
    <d v="2026-04-30T00:00:00"/>
    <n v="145"/>
    <n v="0.27"/>
    <n v="39.15"/>
    <n v="2.0700000000000003"/>
    <x v="1"/>
    <x v="2"/>
    <x v="2"/>
  </r>
  <r>
    <s v="CLM105422"/>
    <s v="PT13461"/>
    <s v="P01"/>
    <x v="2"/>
    <x v="2"/>
    <n v="1"/>
    <d v="2026-01-24T00:00:00"/>
    <d v="2026-01-25T00:00:00"/>
    <n v="60.74"/>
    <n v="28.66"/>
    <n v="28.66"/>
    <n v="0"/>
    <s v="Paid"/>
    <s v=""/>
    <d v="2026-03-10T00:00:00"/>
    <d v="2026-03-10T00:00:00"/>
    <n v="62"/>
    <n v="0.45"/>
    <n v="27.9"/>
    <n v="-0.76000000000000156"/>
    <x v="0"/>
    <x v="5"/>
    <x v="5"/>
  </r>
  <r>
    <s v="CLM105423"/>
    <s v="PT13381"/>
    <s v="P03"/>
    <x v="1"/>
    <x v="7"/>
    <n v="1"/>
    <d v="2026-03-15T00:00:00"/>
    <d v="2026-03-17T00:00:00"/>
    <n v="212.39"/>
    <m/>
    <m/>
    <m/>
    <s v="Denied"/>
    <s v="CO-16"/>
    <d v="2026-04-24T00:00:00"/>
    <m/>
    <n v="210"/>
    <n v="0.47"/>
    <n v="98.7"/>
    <s v=""/>
    <x v="2"/>
    <x v="4"/>
    <x v="2"/>
  </r>
  <r>
    <s v="CLM105424"/>
    <s v="PT13388"/>
    <s v="P07"/>
    <x v="2"/>
    <x v="0"/>
    <n v="1"/>
    <d v="2025-11-16T00:00:00"/>
    <d v="2025-11-18T00:00:00"/>
    <n v="143.27000000000001"/>
    <n v="36.57"/>
    <n v="36.57"/>
    <n v="0"/>
    <s v="Paid"/>
    <s v=""/>
    <d v="2025-12-18T00:00:00"/>
    <d v="2025-12-18T00:00:00"/>
    <n v="145"/>
    <n v="0.28000000000000003"/>
    <n v="40.6"/>
    <n v="4.0300000000000011"/>
    <x v="1"/>
    <x v="3"/>
    <x v="3"/>
  </r>
  <r>
    <s v="CLM105425"/>
    <s v="PT11128"/>
    <s v="P05"/>
    <x v="1"/>
    <x v="5"/>
    <n v="1"/>
    <d v="2025-11-14T00:00:00"/>
    <d v="2025-11-15T00:00:00"/>
    <n v="4660.57"/>
    <n v="1604.46"/>
    <n v="1283.57"/>
    <n v="320.89"/>
    <s v="Paid"/>
    <s v=""/>
    <d v="2026-01-06T00:00:00"/>
    <d v="2026-01-06T00:00:00"/>
    <n v="4800"/>
    <n v="0.38"/>
    <n v="1824"/>
    <n v="219.53999999999996"/>
    <x v="1"/>
    <x v="0"/>
    <x v="3"/>
  </r>
  <r>
    <s v="CLM105426"/>
    <s v="PT10572"/>
    <s v="P07"/>
    <x v="0"/>
    <x v="7"/>
    <n v="1"/>
    <d v="2026-09-02T00:00:00"/>
    <d v="2026-09-04T00:00:00"/>
    <n v="211.12"/>
    <m/>
    <m/>
    <m/>
    <s v="Pending"/>
    <s v=""/>
    <m/>
    <m/>
    <n v="210"/>
    <n v="0.28000000000000003"/>
    <n v="58.8"/>
    <s v=""/>
    <x v="2"/>
    <x v="3"/>
    <x v="8"/>
  </r>
  <r>
    <s v="CLM105427"/>
    <s v="PT13178"/>
    <s v="P02"/>
    <x v="0"/>
    <x v="4"/>
    <n v="1"/>
    <d v="2026-01-18T00:00:00"/>
    <d v="2026-01-21T00:00:00"/>
    <n v="37.07"/>
    <n v="13.73"/>
    <n v="12.36"/>
    <n v="1.37"/>
    <s v="Paid"/>
    <s v=""/>
    <d v="2026-03-01T00:00:00"/>
    <d v="2026-03-01T00:00:00"/>
    <n v="38"/>
    <n v="0.43"/>
    <n v="16.34"/>
    <n v="2.6099999999999994"/>
    <x v="1"/>
    <x v="6"/>
    <x v="5"/>
  </r>
  <r>
    <s v="CLM105428"/>
    <s v="PT12239"/>
    <s v="P08"/>
    <x v="1"/>
    <x v="7"/>
    <n v="1"/>
    <d v="2026-04-28T00:00:00"/>
    <d v="2026-04-30T00:00:00"/>
    <n v="208.04"/>
    <n v="208.04"/>
    <n v="208.04"/>
    <n v="0"/>
    <s v="Paid"/>
    <s v=""/>
    <d v="2026-07-19T00:00:00"/>
    <d v="2026-07-19T00:00:00"/>
    <n v="210"/>
    <n v="1"/>
    <n v="210"/>
    <n v="1.960000000000008"/>
    <x v="0"/>
    <x v="7"/>
    <x v="10"/>
  </r>
  <r>
    <s v="CLM105429"/>
    <s v="PT10090"/>
    <s v="P04"/>
    <x v="0"/>
    <x v="0"/>
    <n v="1"/>
    <d v="2025-10-13T00:00:00"/>
    <d v="2025-10-20T00:00:00"/>
    <n v="147.26"/>
    <m/>
    <m/>
    <m/>
    <s v="Denied"/>
    <s v="CO-16"/>
    <d v="2025-11-10T00:00:00"/>
    <m/>
    <n v="145"/>
    <n v="0.36"/>
    <n v="52.2"/>
    <s v=""/>
    <x v="2"/>
    <x v="1"/>
    <x v="9"/>
  </r>
  <r>
    <s v="CLM105430"/>
    <s v="PT12228"/>
    <s v="P03"/>
    <x v="1"/>
    <x v="7"/>
    <n v="1"/>
    <d v="2026-04-11T00:00:00"/>
    <d v="2026-04-13T00:00:00"/>
    <n v="213.68"/>
    <n v="112.91"/>
    <n v="90.33"/>
    <n v="22.58"/>
    <s v="Paid"/>
    <s v=""/>
    <d v="2026-05-15T00:00:00"/>
    <d v="2026-05-15T00:00:00"/>
    <n v="210"/>
    <n v="0.47"/>
    <n v="98.7"/>
    <n v="-14.209999999999994"/>
    <x v="0"/>
    <x v="4"/>
    <x v="10"/>
  </r>
  <r>
    <s v="CLM105431"/>
    <s v="PT13233"/>
    <s v="P01"/>
    <x v="0"/>
    <x v="8"/>
    <n v="1"/>
    <d v="2025-12-06T00:00:00"/>
    <d v="2025-12-08T00:00:00"/>
    <n v="263.62"/>
    <n v="103.63"/>
    <n v="103.63"/>
    <n v="0"/>
    <s v="Paid"/>
    <s v=""/>
    <d v="2026-01-12T00:00:00"/>
    <d v="2026-01-12T00:00:00"/>
    <n v="260"/>
    <n v="0.45"/>
    <n v="117"/>
    <n v="13.370000000000005"/>
    <x v="1"/>
    <x v="5"/>
    <x v="6"/>
  </r>
  <r>
    <s v="CLM105432"/>
    <s v="PT12307"/>
    <s v="P01"/>
    <x v="0"/>
    <x v="7"/>
    <n v="1"/>
    <d v="2026-09-29T00:00:00"/>
    <d v="2026-09-30T00:00:00"/>
    <n v="211.54"/>
    <m/>
    <m/>
    <m/>
    <s v="Pending"/>
    <s v=""/>
    <m/>
    <m/>
    <n v="210"/>
    <n v="0.45"/>
    <n v="94.5"/>
    <s v=""/>
    <x v="2"/>
    <x v="5"/>
    <x v="8"/>
  </r>
  <r>
    <s v="CLM105433"/>
    <s v="PT12592"/>
    <s v="P01"/>
    <x v="2"/>
    <x v="0"/>
    <n v="1"/>
    <d v="2026-05-10T00:00:00"/>
    <d v="2026-05-13T00:00:00"/>
    <n v="144.82"/>
    <n v="61"/>
    <n v="61"/>
    <n v="0"/>
    <s v="Paid"/>
    <s v=""/>
    <d v="2026-06-01T00:00:00"/>
    <d v="2026-06-01T00:00:00"/>
    <n v="145"/>
    <n v="0.45"/>
    <n v="65.25"/>
    <n v="4.25"/>
    <x v="1"/>
    <x v="5"/>
    <x v="7"/>
  </r>
  <r>
    <s v="CLM105434"/>
    <s v="PT10013"/>
    <s v="P01"/>
    <x v="1"/>
    <x v="5"/>
    <n v="1"/>
    <d v="2026-06-29T00:00:00"/>
    <d v="2026-06-30T00:00:00"/>
    <n v="4854.1000000000004"/>
    <n v="2054.23"/>
    <n v="1848.81"/>
    <n v="205.42"/>
    <s v="Paid"/>
    <s v=""/>
    <d v="2026-07-23T00:00:00"/>
    <d v="2026-07-23T00:00:00"/>
    <n v="4800"/>
    <n v="0.45"/>
    <n v="2160"/>
    <n v="105.76999999999998"/>
    <x v="0"/>
    <x v="5"/>
    <x v="11"/>
  </r>
  <r>
    <s v="CLM105435"/>
    <s v="PT12105"/>
    <s v="P07"/>
    <x v="0"/>
    <x v="7"/>
    <n v="1"/>
    <d v="2026-01-17T00:00:00"/>
    <d v="2026-01-18T00:00:00"/>
    <n v="206.17"/>
    <n v="57.1"/>
    <n v="57.1"/>
    <n v="0"/>
    <s v="Paid"/>
    <s v=""/>
    <d v="2026-04-13T00:00:00"/>
    <d v="2026-04-13T00:00:00"/>
    <n v="210"/>
    <n v="0.28000000000000003"/>
    <n v="58.8"/>
    <n v="1.6999999999999957"/>
    <x v="0"/>
    <x v="3"/>
    <x v="5"/>
  </r>
  <r>
    <s v="CLM105436"/>
    <s v="PT11253"/>
    <s v="P06"/>
    <x v="1"/>
    <x v="11"/>
    <n v="1"/>
    <d v="2026-07-31T00:00:00"/>
    <d v="2026-08-06T00:00:00"/>
    <n v="1153.22"/>
    <n v="291.24"/>
    <n v="262.12"/>
    <n v="29.12"/>
    <s v="Paid"/>
    <s v=""/>
    <d v="2026-08-29T00:00:00"/>
    <d v="2026-08-29T00:00:00"/>
    <n v="1150"/>
    <n v="0.27"/>
    <n v="310.5"/>
    <n v="19.259999999999991"/>
    <x v="1"/>
    <x v="2"/>
    <x v="1"/>
  </r>
  <r>
    <s v="CLM105437"/>
    <s v="PT11021"/>
    <s v="P07"/>
    <x v="2"/>
    <x v="9"/>
    <n v="1"/>
    <d v="2026-09-03T00:00:00"/>
    <d v="2026-09-06T00:00:00"/>
    <n v="57.59"/>
    <m/>
    <m/>
    <m/>
    <s v="Pending"/>
    <s v=""/>
    <m/>
    <m/>
    <n v="58"/>
    <n v="0.28000000000000003"/>
    <n v="16.239999999999998"/>
    <s v=""/>
    <x v="2"/>
    <x v="3"/>
    <x v="8"/>
  </r>
  <r>
    <s v="CLM105438"/>
    <s v="PT11455"/>
    <s v="P01"/>
    <x v="1"/>
    <x v="8"/>
    <n v="1"/>
    <d v="2026-04-09T00:00:00"/>
    <d v="2026-04-10T00:00:00"/>
    <n v="254.18"/>
    <m/>
    <m/>
    <m/>
    <s v="Denied"/>
    <s v="CO-18"/>
    <d v="2026-04-29T00:00:00"/>
    <m/>
    <n v="260"/>
    <n v="0.45"/>
    <n v="117"/>
    <s v=""/>
    <x v="2"/>
    <x v="5"/>
    <x v="10"/>
  </r>
  <r>
    <s v="CLM105439"/>
    <s v="PT10951"/>
    <s v="P01"/>
    <x v="0"/>
    <x v="7"/>
    <n v="1"/>
    <d v="2026-07-15T00:00:00"/>
    <d v="2026-07-17T00:00:00"/>
    <n v="210.34"/>
    <n v="96.2"/>
    <n v="96.2"/>
    <n v="0"/>
    <s v="Paid"/>
    <s v=""/>
    <d v="2026-08-25T00:00:00"/>
    <d v="2026-08-25T00:00:00"/>
    <n v="210"/>
    <n v="0.45"/>
    <n v="94.5"/>
    <n v="-1.7000000000000028"/>
    <x v="0"/>
    <x v="5"/>
    <x v="1"/>
  </r>
  <r>
    <s v="CLM105440"/>
    <s v="PT11841"/>
    <s v="P01"/>
    <x v="1"/>
    <x v="11"/>
    <n v="1"/>
    <d v="2026-02-04T00:00:00"/>
    <d v="2026-02-06T00:00:00"/>
    <n v="1160.8"/>
    <m/>
    <m/>
    <m/>
    <s v="Denied"/>
    <s v="CO-197"/>
    <d v="2026-03-03T00:00:00"/>
    <m/>
    <n v="1150"/>
    <n v="0.45"/>
    <n v="517.5"/>
    <s v=""/>
    <x v="2"/>
    <x v="5"/>
    <x v="0"/>
  </r>
  <r>
    <s v="CLM105441"/>
    <s v="PT10405"/>
    <s v="P06"/>
    <x v="3"/>
    <x v="3"/>
    <n v="10"/>
    <d v="2025-11-14T00:00:00"/>
    <d v="2025-11-16T00:00:00"/>
    <n v="14787.66"/>
    <m/>
    <m/>
    <m/>
    <s v="Denied"/>
    <s v="CO-50"/>
    <d v="2025-12-17T00:00:00"/>
    <m/>
    <n v="1450"/>
    <n v="0.27"/>
    <n v="3915"/>
    <s v=""/>
    <x v="2"/>
    <x v="2"/>
    <x v="3"/>
  </r>
  <r>
    <s v="CLM105442"/>
    <s v="PT11808"/>
    <s v="P07"/>
    <x v="0"/>
    <x v="4"/>
    <n v="1"/>
    <d v="2026-09-28T00:00:00"/>
    <d v="2026-09-30T00:00:00"/>
    <n v="37.64"/>
    <m/>
    <m/>
    <m/>
    <s v="Pending"/>
    <s v=""/>
    <m/>
    <m/>
    <n v="38"/>
    <n v="0.28000000000000003"/>
    <n v="10.64"/>
    <s v=""/>
    <x v="2"/>
    <x v="3"/>
    <x v="8"/>
  </r>
  <r>
    <s v="CLM105443"/>
    <s v="PT11606"/>
    <s v="P05"/>
    <x v="3"/>
    <x v="3"/>
    <n v="5"/>
    <d v="2026-01-08T00:00:00"/>
    <d v="2026-01-10T00:00:00"/>
    <n v="7061.72"/>
    <n v="2987.68"/>
    <n v="2390.14"/>
    <n v="597.54"/>
    <s v="Paid"/>
    <s v=""/>
    <d v="2026-01-15T00:00:00"/>
    <d v="2026-01-15T00:00:00"/>
    <n v="1450"/>
    <n v="0.38"/>
    <n v="2755"/>
    <n v="-232.67999999999984"/>
    <x v="0"/>
    <x v="0"/>
    <x v="5"/>
  </r>
  <r>
    <s v="CLM105444"/>
    <s v="PT12605"/>
    <s v="P08"/>
    <x v="0"/>
    <x v="0"/>
    <n v="1"/>
    <d v="2026-04-09T00:00:00"/>
    <d v="2026-04-10T00:00:00"/>
    <n v="147.06"/>
    <m/>
    <m/>
    <m/>
    <s v="Pending"/>
    <s v=""/>
    <m/>
    <m/>
    <n v="145"/>
    <n v="1"/>
    <n v="145"/>
    <s v=""/>
    <x v="2"/>
    <x v="7"/>
    <x v="10"/>
  </r>
  <r>
    <s v="CLM105445"/>
    <s v="PT10381"/>
    <s v="P06"/>
    <x v="3"/>
    <x v="3"/>
    <n v="30"/>
    <d v="2025-12-14T00:00:00"/>
    <d v="2025-12-15T00:00:00"/>
    <n v="42848.94"/>
    <m/>
    <m/>
    <m/>
    <s v="Denied"/>
    <s v="CO-197"/>
    <d v="2026-01-19T00:00:00"/>
    <m/>
    <n v="1450"/>
    <n v="0.27"/>
    <n v="11745"/>
    <s v=""/>
    <x v="2"/>
    <x v="2"/>
    <x v="6"/>
  </r>
  <r>
    <s v="CLM105446"/>
    <s v="PT11574"/>
    <s v="P01"/>
    <x v="1"/>
    <x v="4"/>
    <n v="1"/>
    <d v="2026-09-19T00:00:00"/>
    <d v="2026-09-21T00:00:00"/>
    <n v="38.68"/>
    <m/>
    <m/>
    <m/>
    <s v="Pending"/>
    <s v=""/>
    <m/>
    <m/>
    <n v="38"/>
    <n v="0.45"/>
    <n v="17.100000000000001"/>
    <s v=""/>
    <x v="2"/>
    <x v="5"/>
    <x v="8"/>
  </r>
  <r>
    <s v="CLM105447"/>
    <s v="PT11331"/>
    <s v="P07"/>
    <x v="1"/>
    <x v="11"/>
    <n v="1"/>
    <d v="2025-11-20T00:00:00"/>
    <d v="2025-11-21T00:00:00"/>
    <n v="1153.26"/>
    <m/>
    <m/>
    <m/>
    <s v="Denied"/>
    <s v="CO-11"/>
    <d v="2026-01-05T00:00:00"/>
    <m/>
    <n v="1150"/>
    <n v="0.28000000000000003"/>
    <n v="322"/>
    <s v=""/>
    <x v="2"/>
    <x v="3"/>
    <x v="3"/>
  </r>
  <r>
    <s v="CLM105448"/>
    <s v="PT12851"/>
    <s v="P04"/>
    <x v="0"/>
    <x v="0"/>
    <n v="1"/>
    <d v="2026-08-06T00:00:00"/>
    <d v="2026-08-07T00:00:00"/>
    <n v="143.03"/>
    <n v="57.51"/>
    <n v="57.51"/>
    <n v="0"/>
    <s v="Paid"/>
    <s v=""/>
    <d v="2026-08-25T00:00:00"/>
    <d v="2026-08-25T00:00:00"/>
    <n v="145"/>
    <n v="0.36"/>
    <n v="52.2"/>
    <n v="-5.3099999999999952"/>
    <x v="0"/>
    <x v="1"/>
    <x v="4"/>
  </r>
  <r>
    <s v="CLM105449"/>
    <s v="PT10926"/>
    <s v="P07"/>
    <x v="0"/>
    <x v="0"/>
    <n v="1"/>
    <d v="2026-08-12T00:00:00"/>
    <d v="2026-08-16T00:00:00"/>
    <n v="144.68"/>
    <n v="38.22"/>
    <n v="38.22"/>
    <n v="0"/>
    <s v="Paid"/>
    <s v=""/>
    <d v="2026-09-27T00:00:00"/>
    <d v="2026-09-27T00:00:00"/>
    <n v="145"/>
    <n v="0.28000000000000003"/>
    <n v="40.6"/>
    <n v="2.3800000000000026"/>
    <x v="1"/>
    <x v="3"/>
    <x v="4"/>
  </r>
  <r>
    <s v="CLM105450"/>
    <s v="PT12842"/>
    <s v="P07"/>
    <x v="1"/>
    <x v="1"/>
    <n v="1"/>
    <d v="2025-10-12T00:00:00"/>
    <d v="2025-10-17T00:00:00"/>
    <n v="246.86"/>
    <n v="69.290000000000006"/>
    <n v="62.36"/>
    <n v="6.93"/>
    <s v="Paid"/>
    <s v=""/>
    <d v="2026-01-03T00:00:00"/>
    <d v="2026-01-03T00:00:00"/>
    <n v="240"/>
    <n v="0.28000000000000003"/>
    <n v="67.2"/>
    <n v="-2.0900000000000034"/>
    <x v="0"/>
    <x v="3"/>
    <x v="9"/>
  </r>
  <r>
    <s v="CLM105451"/>
    <s v="PT11762"/>
    <s v="P03"/>
    <x v="0"/>
    <x v="0"/>
    <n v="1"/>
    <d v="2026-06-06T00:00:00"/>
    <d v="2026-06-15T00:00:00"/>
    <n v="141.24"/>
    <n v="57.37"/>
    <n v="45.9"/>
    <n v="11.47"/>
    <s v="Paid"/>
    <s v=""/>
    <d v="2026-08-05T00:00:00"/>
    <d v="2026-08-05T00:00:00"/>
    <n v="145"/>
    <n v="0.47"/>
    <n v="68.150000000000006"/>
    <n v="10.780000000000008"/>
    <x v="1"/>
    <x v="4"/>
    <x v="11"/>
  </r>
  <r>
    <s v="CLM105452"/>
    <s v="PT11917"/>
    <s v="P01"/>
    <x v="0"/>
    <x v="8"/>
    <n v="1"/>
    <d v="2026-05-06T00:00:00"/>
    <d v="2026-05-07T00:00:00"/>
    <n v="260.79000000000002"/>
    <n v="135.38"/>
    <n v="121.84"/>
    <n v="13.54"/>
    <s v="Paid"/>
    <s v=""/>
    <d v="2026-06-06T00:00:00"/>
    <d v="2026-06-06T00:00:00"/>
    <n v="260"/>
    <n v="0.45"/>
    <n v="117"/>
    <n v="-18.379999999999995"/>
    <x v="0"/>
    <x v="5"/>
    <x v="7"/>
  </r>
  <r>
    <s v="CLM105453"/>
    <s v="PT11634"/>
    <s v="P01"/>
    <x v="0"/>
    <x v="0"/>
    <n v="1"/>
    <d v="2026-03-22T00:00:00"/>
    <d v="2026-03-24T00:00:00"/>
    <n v="148.9"/>
    <n v="70.48"/>
    <n v="70.48"/>
    <n v="0"/>
    <s v="Paid"/>
    <s v=""/>
    <d v="2026-04-16T00:00:00"/>
    <d v="2026-04-16T00:00:00"/>
    <n v="145"/>
    <n v="0.45"/>
    <n v="65.25"/>
    <n v="-5.230000000000004"/>
    <x v="0"/>
    <x v="5"/>
    <x v="2"/>
  </r>
  <r>
    <s v="CLM105454"/>
    <s v="PT10817"/>
    <s v="P01"/>
    <x v="0"/>
    <x v="8"/>
    <n v="1"/>
    <d v="2026-07-06T00:00:00"/>
    <d v="2026-07-07T00:00:00"/>
    <n v="260.83"/>
    <n v="127.72"/>
    <n v="102.18"/>
    <n v="25.54"/>
    <s v="Paid"/>
    <s v=""/>
    <d v="2026-08-17T00:00:00"/>
    <d v="2026-08-17T00:00:00"/>
    <n v="260"/>
    <n v="0.45"/>
    <n v="117"/>
    <n v="-10.719999999999999"/>
    <x v="0"/>
    <x v="5"/>
    <x v="1"/>
  </r>
  <r>
    <s v="CLM105455"/>
    <s v="PT11533"/>
    <s v="P04"/>
    <x v="1"/>
    <x v="8"/>
    <n v="1"/>
    <d v="2026-03-14T00:00:00"/>
    <d v="2026-03-16T00:00:00"/>
    <n v="254.02"/>
    <n v="101.81"/>
    <n v="81.45"/>
    <n v="20.36"/>
    <s v="Paid"/>
    <s v=""/>
    <d v="2026-03-21T00:00:00"/>
    <d v="2026-03-21T00:00:00"/>
    <n v="260"/>
    <n v="0.36"/>
    <n v="93.6"/>
    <n v="-8.210000000000008"/>
    <x v="0"/>
    <x v="1"/>
    <x v="2"/>
  </r>
  <r>
    <s v="CLM105456"/>
    <s v="PT10755"/>
    <s v="P05"/>
    <x v="0"/>
    <x v="0"/>
    <n v="1"/>
    <d v="2026-04-13T00:00:00"/>
    <d v="2026-04-15T00:00:00"/>
    <n v="145.62"/>
    <m/>
    <m/>
    <m/>
    <s v="Denied"/>
    <s v="CO-16"/>
    <d v="2026-06-13T00:00:00"/>
    <m/>
    <n v="145"/>
    <n v="0.38"/>
    <n v="55.1"/>
    <s v=""/>
    <x v="2"/>
    <x v="0"/>
    <x v="10"/>
  </r>
  <r>
    <s v="CLM105457"/>
    <s v="PT11900"/>
    <s v="P04"/>
    <x v="0"/>
    <x v="4"/>
    <n v="1"/>
    <d v="2026-03-26T00:00:00"/>
    <d v="2026-04-09T00:00:00"/>
    <n v="37.909999999999997"/>
    <n v="14.22"/>
    <n v="12.8"/>
    <n v="1.42"/>
    <s v="Paid"/>
    <s v=""/>
    <d v="2026-05-05T00:00:00"/>
    <d v="2026-05-05T00:00:00"/>
    <n v="38"/>
    <n v="0.36"/>
    <n v="13.68"/>
    <n v="-0.54000000000000092"/>
    <x v="0"/>
    <x v="1"/>
    <x v="2"/>
  </r>
  <r>
    <s v="CLM105458"/>
    <s v="PT13113"/>
    <s v="P03"/>
    <x v="1"/>
    <x v="8"/>
    <n v="1"/>
    <d v="2026-02-27T00:00:00"/>
    <d v="2026-03-03T00:00:00"/>
    <n v="257.62"/>
    <m/>
    <m/>
    <m/>
    <s v="Denied"/>
    <s v="CO-16"/>
    <d v="2026-04-25T00:00:00"/>
    <m/>
    <n v="260"/>
    <n v="0.47"/>
    <n v="122.2"/>
    <s v=""/>
    <x v="2"/>
    <x v="4"/>
    <x v="0"/>
  </r>
  <r>
    <s v="CLM105459"/>
    <s v="PT13020"/>
    <s v="P07"/>
    <x v="1"/>
    <x v="8"/>
    <n v="1"/>
    <d v="2026-05-27T00:00:00"/>
    <d v="2026-06-03T00:00:00"/>
    <n v="258.32"/>
    <n v="73.73"/>
    <n v="73.73"/>
    <n v="0"/>
    <s v="Paid"/>
    <s v=""/>
    <d v="2026-08-07T00:00:00"/>
    <d v="2026-08-07T00:00:00"/>
    <n v="260"/>
    <n v="0.28000000000000003"/>
    <n v="72.8"/>
    <n v="-0.93000000000000682"/>
    <x v="0"/>
    <x v="3"/>
    <x v="7"/>
  </r>
  <r>
    <s v="CLM105460"/>
    <s v="PT12966"/>
    <s v="P07"/>
    <x v="2"/>
    <x v="2"/>
    <n v="1"/>
    <d v="2025-12-22T00:00:00"/>
    <d v="2026-01-03T00:00:00"/>
    <n v="61.44"/>
    <n v="15.56"/>
    <n v="15.56"/>
    <n v="0"/>
    <s v="Paid"/>
    <s v=""/>
    <d v="2026-02-24T00:00:00"/>
    <d v="2026-02-24T00:00:00"/>
    <n v="62"/>
    <n v="0.28000000000000003"/>
    <n v="17.36"/>
    <n v="1.7999999999999989"/>
    <x v="1"/>
    <x v="3"/>
    <x v="6"/>
  </r>
  <r>
    <s v="CLM105461"/>
    <s v="PT11896"/>
    <s v="P01"/>
    <x v="0"/>
    <x v="8"/>
    <n v="1"/>
    <d v="2026-05-16T00:00:00"/>
    <d v="2026-05-23T00:00:00"/>
    <n v="254.22"/>
    <n v="98.03"/>
    <n v="78.42"/>
    <n v="19.61"/>
    <s v="Paid"/>
    <s v=""/>
    <d v="2026-06-21T00:00:00"/>
    <d v="2026-06-21T00:00:00"/>
    <n v="260"/>
    <n v="0.45"/>
    <n v="117"/>
    <n v="18.97"/>
    <x v="1"/>
    <x v="5"/>
    <x v="7"/>
  </r>
  <r>
    <s v="CLM105462"/>
    <s v="PT10990"/>
    <s v="P07"/>
    <x v="0"/>
    <x v="8"/>
    <n v="1"/>
    <d v="2026-08-28T00:00:00"/>
    <d v="2026-09-09T00:00:00"/>
    <n v="252.43"/>
    <m/>
    <m/>
    <m/>
    <s v="Pending"/>
    <s v=""/>
    <m/>
    <m/>
    <n v="260"/>
    <n v="0.28000000000000003"/>
    <n v="72.8"/>
    <s v=""/>
    <x v="2"/>
    <x v="3"/>
    <x v="4"/>
  </r>
  <r>
    <s v="CLM105463"/>
    <s v="PT10016"/>
    <s v="P02"/>
    <x v="0"/>
    <x v="8"/>
    <n v="1"/>
    <d v="2026-09-18T00:00:00"/>
    <d v="2026-09-30T00:00:00"/>
    <n v="266.20999999999998"/>
    <m/>
    <m/>
    <m/>
    <s v="Pending"/>
    <s v=""/>
    <m/>
    <m/>
    <n v="260"/>
    <n v="0.43"/>
    <n v="111.8"/>
    <s v=""/>
    <x v="2"/>
    <x v="6"/>
    <x v="8"/>
  </r>
  <r>
    <s v="CLM105464"/>
    <s v="PT11999"/>
    <s v="P06"/>
    <x v="3"/>
    <x v="7"/>
    <n v="1"/>
    <d v="2026-07-16T00:00:00"/>
    <d v="2026-07-17T00:00:00"/>
    <n v="206.98"/>
    <n v="62.61"/>
    <n v="50.09"/>
    <n v="12.52"/>
    <s v="Paid"/>
    <s v=""/>
    <d v="2026-08-23T00:00:00"/>
    <d v="2026-08-23T00:00:00"/>
    <n v="210"/>
    <n v="0.27"/>
    <n v="56.7"/>
    <n v="-5.9099999999999966"/>
    <x v="0"/>
    <x v="2"/>
    <x v="1"/>
  </r>
  <r>
    <s v="CLM105465"/>
    <s v="PT10869"/>
    <s v="P01"/>
    <x v="1"/>
    <x v="11"/>
    <n v="1"/>
    <d v="2026-08-14T00:00:00"/>
    <d v="2026-08-24T00:00:00"/>
    <n v="1168.27"/>
    <m/>
    <m/>
    <m/>
    <s v="Pending"/>
    <s v=""/>
    <m/>
    <m/>
    <n v="1150"/>
    <n v="0.45"/>
    <n v="517.5"/>
    <s v=""/>
    <x v="2"/>
    <x v="5"/>
    <x v="4"/>
  </r>
  <r>
    <s v="CLM105466"/>
    <s v="PT12368"/>
    <s v="P01"/>
    <x v="0"/>
    <x v="0"/>
    <n v="1"/>
    <d v="2026-05-18T00:00:00"/>
    <d v="2026-05-19T00:00:00"/>
    <n v="141.91999999999999"/>
    <n v="72.55"/>
    <n v="72.55"/>
    <n v="0"/>
    <s v="Paid"/>
    <s v=""/>
    <d v="2026-06-11T00:00:00"/>
    <d v="2026-06-11T00:00:00"/>
    <n v="145"/>
    <n v="0.45"/>
    <n v="65.25"/>
    <n v="-7.2999999999999972"/>
    <x v="0"/>
    <x v="5"/>
    <x v="7"/>
  </r>
  <r>
    <s v="CLM105467"/>
    <s v="PT13048"/>
    <s v="P01"/>
    <x v="0"/>
    <x v="4"/>
    <n v="1"/>
    <d v="2026-07-15T00:00:00"/>
    <d v="2026-07-18T00:00:00"/>
    <n v="39.01"/>
    <m/>
    <m/>
    <m/>
    <s v="Denied"/>
    <s v="CO-16"/>
    <d v="2026-08-13T00:00:00"/>
    <m/>
    <n v="38"/>
    <n v="0.45"/>
    <n v="17.100000000000001"/>
    <s v=""/>
    <x v="2"/>
    <x v="5"/>
    <x v="1"/>
  </r>
  <r>
    <s v="CLM105468"/>
    <s v="PT13345"/>
    <s v="P01"/>
    <x v="1"/>
    <x v="8"/>
    <n v="1"/>
    <d v="2025-12-04T00:00:00"/>
    <d v="2025-12-05T00:00:00"/>
    <n v="261.88"/>
    <n v="100.31"/>
    <n v="90.28"/>
    <n v="10.029999999999999"/>
    <s v="Paid"/>
    <s v=""/>
    <d v="2026-01-03T00:00:00"/>
    <d v="2026-01-03T00:00:00"/>
    <n v="260"/>
    <n v="0.45"/>
    <n v="117"/>
    <n v="16.689999999999998"/>
    <x v="1"/>
    <x v="5"/>
    <x v="6"/>
  </r>
  <r>
    <s v="CLM105469"/>
    <s v="PT10441"/>
    <s v="P01"/>
    <x v="1"/>
    <x v="1"/>
    <n v="1"/>
    <d v="2026-03-24T00:00:00"/>
    <d v="2026-03-29T00:00:00"/>
    <n v="244.65"/>
    <n v="109.99"/>
    <n v="109.99"/>
    <n v="0"/>
    <s v="Paid"/>
    <s v=""/>
    <d v="2026-05-04T00:00:00"/>
    <d v="2026-05-04T00:00:00"/>
    <n v="240"/>
    <n v="0.45"/>
    <n v="108"/>
    <n v="-1.9899999999999949"/>
    <x v="0"/>
    <x v="5"/>
    <x v="2"/>
  </r>
  <r>
    <s v="CLM105470"/>
    <s v="PT10171"/>
    <s v="P06"/>
    <x v="3"/>
    <x v="7"/>
    <n v="1"/>
    <d v="2026-07-07T00:00:00"/>
    <d v="2026-07-13T00:00:00"/>
    <n v="204.46"/>
    <n v="62.33"/>
    <n v="62.33"/>
    <n v="0"/>
    <s v="Paid"/>
    <s v=""/>
    <d v="2026-09-08T00:00:00"/>
    <d v="2026-09-08T00:00:00"/>
    <n v="210"/>
    <n v="0.27"/>
    <n v="56.7"/>
    <n v="-5.6299999999999955"/>
    <x v="0"/>
    <x v="2"/>
    <x v="1"/>
  </r>
  <r>
    <s v="CLM105471"/>
    <s v="PT12808"/>
    <s v="P08"/>
    <x v="2"/>
    <x v="0"/>
    <n v="1"/>
    <d v="2026-03-26T00:00:00"/>
    <d v="2026-04-03T00:00:00"/>
    <n v="140.87"/>
    <n v="140.87"/>
    <n v="140.87"/>
    <n v="0"/>
    <s v="Paid"/>
    <s v=""/>
    <d v="2026-07-12T00:00:00"/>
    <d v="2026-07-12T00:00:00"/>
    <n v="145"/>
    <n v="1"/>
    <n v="145"/>
    <n v="4.1299999999999955"/>
    <x v="0"/>
    <x v="7"/>
    <x v="2"/>
  </r>
  <r>
    <s v="CLM105472"/>
    <s v="PT12684"/>
    <s v="P06"/>
    <x v="2"/>
    <x v="0"/>
    <n v="1"/>
    <d v="2026-04-22T00:00:00"/>
    <d v="2026-08-26T00:00:00"/>
    <n v="145.16"/>
    <m/>
    <m/>
    <m/>
    <s v="Pending"/>
    <s v=""/>
    <m/>
    <m/>
    <n v="145"/>
    <n v="0.27"/>
    <n v="39.15"/>
    <s v=""/>
    <x v="2"/>
    <x v="2"/>
    <x v="10"/>
  </r>
  <r>
    <s v="CLM105473"/>
    <s v="PT10034"/>
    <s v="P01"/>
    <x v="0"/>
    <x v="7"/>
    <n v="1"/>
    <d v="2025-12-27T00:00:00"/>
    <d v="2025-12-30T00:00:00"/>
    <n v="213.67"/>
    <n v="86.13"/>
    <n v="77.52"/>
    <n v="8.61"/>
    <s v="Paid"/>
    <s v=""/>
    <d v="2026-01-20T00:00:00"/>
    <d v="2026-01-20T00:00:00"/>
    <n v="210"/>
    <n v="0.45"/>
    <n v="94.5"/>
    <n v="8.3700000000000045"/>
    <x v="1"/>
    <x v="5"/>
    <x v="6"/>
  </r>
  <r>
    <s v="CLM105474"/>
    <s v="PT13338"/>
    <s v="P08"/>
    <x v="1"/>
    <x v="11"/>
    <n v="1"/>
    <d v="2025-11-17T00:00:00"/>
    <d v="2025-12-10T00:00:00"/>
    <n v="1179.78"/>
    <m/>
    <m/>
    <m/>
    <s v="Pending"/>
    <s v=""/>
    <m/>
    <m/>
    <n v="1150"/>
    <n v="1"/>
    <n v="1150"/>
    <s v=""/>
    <x v="2"/>
    <x v="7"/>
    <x v="3"/>
  </r>
  <r>
    <s v="CLM105475"/>
    <s v="PT11412"/>
    <s v="P07"/>
    <x v="2"/>
    <x v="0"/>
    <n v="1"/>
    <d v="2026-03-02T00:00:00"/>
    <d v="2026-03-16T00:00:00"/>
    <n v="148.61000000000001"/>
    <n v="46.78"/>
    <n v="42.1"/>
    <n v="4.68"/>
    <s v="Paid"/>
    <s v=""/>
    <d v="2026-05-01T00:00:00"/>
    <d v="2026-05-01T00:00:00"/>
    <n v="145"/>
    <n v="0.28000000000000003"/>
    <n v="40.6"/>
    <n v="-6.18"/>
    <x v="0"/>
    <x v="3"/>
    <x v="2"/>
  </r>
  <r>
    <s v="CLM105476"/>
    <s v="PT10414"/>
    <s v="P03"/>
    <x v="1"/>
    <x v="8"/>
    <n v="1"/>
    <d v="2025-10-20T00:00:00"/>
    <d v="2025-10-21T00:00:00"/>
    <n v="264.83999999999997"/>
    <n v="133.07"/>
    <n v="133.07"/>
    <n v="0"/>
    <s v="Paid"/>
    <s v=""/>
    <d v="2025-12-30T00:00:00"/>
    <d v="2025-12-30T00:00:00"/>
    <n v="260"/>
    <n v="0.47"/>
    <n v="122.2"/>
    <n v="-10.86999999999999"/>
    <x v="0"/>
    <x v="4"/>
    <x v="9"/>
  </r>
  <r>
    <s v="CLM105477"/>
    <s v="PT11674"/>
    <s v="P03"/>
    <x v="3"/>
    <x v="3"/>
    <n v="5"/>
    <d v="2025-12-31T00:00:00"/>
    <d v="2026-01-12T00:00:00"/>
    <n v="7042.49"/>
    <n v="3482.15"/>
    <n v="3482.15"/>
    <n v="0"/>
    <s v="Paid"/>
    <s v=""/>
    <d v="2026-02-24T00:00:00"/>
    <d v="2026-02-24T00:00:00"/>
    <n v="1450"/>
    <n v="0.47"/>
    <n v="3407.5"/>
    <n v="-74.650000000000091"/>
    <x v="0"/>
    <x v="4"/>
    <x v="6"/>
  </r>
  <r>
    <s v="CLM105478"/>
    <s v="PT12422"/>
    <s v="P02"/>
    <x v="3"/>
    <x v="3"/>
    <n v="30"/>
    <d v="2026-02-16T00:00:00"/>
    <d v="2026-02-17T00:00:00"/>
    <n v="42666.38"/>
    <m/>
    <m/>
    <m/>
    <s v="Denied"/>
    <s v="CO-197"/>
    <d v="2026-03-23T00:00:00"/>
    <m/>
    <n v="1450"/>
    <n v="0.43"/>
    <n v="18705"/>
    <s v=""/>
    <x v="2"/>
    <x v="6"/>
    <x v="0"/>
  </r>
  <r>
    <s v="CLM105479"/>
    <s v="PT12899"/>
    <s v="P01"/>
    <x v="2"/>
    <x v="9"/>
    <n v="2"/>
    <d v="2026-03-26T00:00:00"/>
    <d v="2026-03-31T00:00:00"/>
    <n v="118.5"/>
    <n v="58.44"/>
    <n v="58.44"/>
    <n v="0"/>
    <s v="Paid"/>
    <s v=""/>
    <d v="2026-04-28T00:00:00"/>
    <d v="2026-04-28T00:00:00"/>
    <n v="58"/>
    <n v="0.45"/>
    <n v="52.2"/>
    <n v="-6.2399999999999949"/>
    <x v="0"/>
    <x v="5"/>
    <x v="2"/>
  </r>
  <r>
    <s v="CLM105480"/>
    <s v="PT11594"/>
    <s v="P05"/>
    <x v="2"/>
    <x v="2"/>
    <n v="1"/>
    <d v="2026-05-23T00:00:00"/>
    <d v="2026-09-30T00:00:00"/>
    <n v="63.13"/>
    <m/>
    <m/>
    <m/>
    <s v="Pending"/>
    <s v=""/>
    <m/>
    <m/>
    <n v="62"/>
    <n v="0.38"/>
    <n v="23.56"/>
    <s v=""/>
    <x v="2"/>
    <x v="0"/>
    <x v="7"/>
  </r>
  <r>
    <s v="CLM105481"/>
    <s v="PT12784"/>
    <s v="P03"/>
    <x v="1"/>
    <x v="7"/>
    <n v="1"/>
    <d v="2026-02-25T00:00:00"/>
    <d v="2026-02-28T00:00:00"/>
    <n v="212.92"/>
    <n v="87.34"/>
    <n v="69.87"/>
    <n v="17.47"/>
    <s v="Paid"/>
    <s v=""/>
    <d v="2026-04-08T00:00:00"/>
    <d v="2026-04-08T00:00:00"/>
    <n v="210"/>
    <n v="0.47"/>
    <n v="98.7"/>
    <n v="11.36"/>
    <x v="1"/>
    <x v="4"/>
    <x v="0"/>
  </r>
  <r>
    <s v="CLM105482"/>
    <s v="PT10946"/>
    <s v="P05"/>
    <x v="0"/>
    <x v="8"/>
    <n v="1"/>
    <d v="2026-08-17T00:00:00"/>
    <d v="2026-08-18T00:00:00"/>
    <n v="253.35"/>
    <m/>
    <m/>
    <m/>
    <s v="Pending"/>
    <s v=""/>
    <m/>
    <m/>
    <n v="260"/>
    <n v="0.38"/>
    <n v="98.8"/>
    <s v=""/>
    <x v="2"/>
    <x v="0"/>
    <x v="4"/>
  </r>
  <r>
    <s v="CLM105483"/>
    <s v="PT13476"/>
    <s v="P02"/>
    <x v="2"/>
    <x v="0"/>
    <n v="1"/>
    <d v="2026-03-09T00:00:00"/>
    <d v="2026-06-15T00:00:00"/>
    <n v="145.85"/>
    <m/>
    <m/>
    <m/>
    <s v="Denied"/>
    <s v="CO-29"/>
    <d v="2026-07-15T00:00:00"/>
    <m/>
    <n v="145"/>
    <n v="0.43"/>
    <n v="62.35"/>
    <s v=""/>
    <x v="2"/>
    <x v="6"/>
    <x v="2"/>
  </r>
  <r>
    <s v="CLM105484"/>
    <s v="PT10525"/>
    <s v="P03"/>
    <x v="0"/>
    <x v="7"/>
    <n v="1"/>
    <d v="2026-01-21T00:00:00"/>
    <d v="2026-01-22T00:00:00"/>
    <n v="212.86"/>
    <n v="97.95"/>
    <n v="97.95"/>
    <n v="0"/>
    <s v="Paid"/>
    <s v=""/>
    <d v="2026-03-24T00:00:00"/>
    <d v="2026-03-24T00:00:00"/>
    <n v="210"/>
    <n v="0.47"/>
    <n v="98.7"/>
    <n v="0.75"/>
    <x v="0"/>
    <x v="4"/>
    <x v="5"/>
  </r>
  <r>
    <s v="CLM105485"/>
    <s v="PT13368"/>
    <s v="P05"/>
    <x v="2"/>
    <x v="9"/>
    <n v="2"/>
    <d v="2025-11-19T00:00:00"/>
    <d v="2025-11-21T00:00:00"/>
    <n v="117.56"/>
    <n v="44.98"/>
    <n v="40.479999999999997"/>
    <n v="4.5"/>
    <s v="Paid"/>
    <s v=""/>
    <d v="2025-12-29T00:00:00"/>
    <d v="2025-12-29T00:00:00"/>
    <n v="58"/>
    <n v="0.38"/>
    <n v="44.08"/>
    <n v="-0.89999999999999858"/>
    <x v="0"/>
    <x v="0"/>
    <x v="3"/>
  </r>
  <r>
    <s v="CLM105486"/>
    <s v="PT10893"/>
    <s v="P02"/>
    <x v="1"/>
    <x v="8"/>
    <n v="1"/>
    <d v="2026-08-23T00:00:00"/>
    <d v="2026-08-31T00:00:00"/>
    <n v="256.58"/>
    <n v="116.29"/>
    <n v="93.03"/>
    <n v="23.26"/>
    <s v="Paid"/>
    <s v=""/>
    <d v="2026-09-23T00:00:00"/>
    <d v="2026-09-23T00:00:00"/>
    <n v="260"/>
    <n v="0.43"/>
    <n v="111.8"/>
    <n v="-4.4900000000000091"/>
    <x v="0"/>
    <x v="6"/>
    <x v="4"/>
  </r>
  <r>
    <s v="CLM105487"/>
    <s v="PT11449"/>
    <s v="P06"/>
    <x v="0"/>
    <x v="0"/>
    <n v="1"/>
    <d v="2025-10-22T00:00:00"/>
    <d v="2025-10-23T00:00:00"/>
    <n v="147.96"/>
    <n v="38.53"/>
    <n v="38.53"/>
    <n v="0"/>
    <s v="Paid"/>
    <s v=""/>
    <d v="2025-12-07T00:00:00"/>
    <d v="2025-12-07T00:00:00"/>
    <n v="145"/>
    <n v="0.27"/>
    <n v="39.15"/>
    <n v="0.61999999999999744"/>
    <x v="0"/>
    <x v="2"/>
    <x v="9"/>
  </r>
  <r>
    <s v="CLM105488"/>
    <s v="PT12031"/>
    <s v="P02"/>
    <x v="2"/>
    <x v="9"/>
    <n v="3"/>
    <d v="2026-07-24T00:00:00"/>
    <d v="2026-07-28T00:00:00"/>
    <n v="176.22"/>
    <n v="73.099999999999994"/>
    <n v="58.48"/>
    <n v="14.62"/>
    <s v="Paid"/>
    <s v=""/>
    <d v="2026-08-24T00:00:00"/>
    <d v="2026-08-24T00:00:00"/>
    <n v="58"/>
    <n v="0.43"/>
    <n v="74.819999999999993"/>
    <n v="1.7199999999999989"/>
    <x v="0"/>
    <x v="6"/>
    <x v="1"/>
  </r>
  <r>
    <s v="CLM105489"/>
    <s v="PT10049"/>
    <s v="P06"/>
    <x v="0"/>
    <x v="4"/>
    <n v="1"/>
    <d v="2026-07-22T00:00:00"/>
    <d v="2026-07-23T00:00:00"/>
    <n v="38.49"/>
    <n v="9.11"/>
    <n v="8.1999999999999993"/>
    <n v="0.91"/>
    <s v="Paid"/>
    <s v=""/>
    <d v="2026-09-08T00:00:00"/>
    <d v="2026-09-08T00:00:00"/>
    <n v="38"/>
    <n v="0.27"/>
    <n v="10.26"/>
    <n v="1.1500000000000004"/>
    <x v="1"/>
    <x v="2"/>
    <x v="1"/>
  </r>
  <r>
    <s v="CLM105490"/>
    <s v="PT11175"/>
    <s v="P06"/>
    <x v="1"/>
    <x v="11"/>
    <n v="1"/>
    <d v="2025-12-22T00:00:00"/>
    <d v="2026-01-12T00:00:00"/>
    <n v="1123.1300000000001"/>
    <m/>
    <m/>
    <m/>
    <s v="Denied"/>
    <s v="CO-197"/>
    <d v="2026-02-27T00:00:00"/>
    <m/>
    <n v="1150"/>
    <n v="0.27"/>
    <n v="310.5"/>
    <s v=""/>
    <x v="2"/>
    <x v="2"/>
    <x v="6"/>
  </r>
  <r>
    <s v="CLM105491"/>
    <s v="PT10216"/>
    <s v="P02"/>
    <x v="1"/>
    <x v="11"/>
    <n v="1"/>
    <d v="2025-10-07T00:00:00"/>
    <d v="2025-10-11T00:00:00"/>
    <n v="1116.6300000000001"/>
    <m/>
    <m/>
    <m/>
    <s v="Denied"/>
    <s v="CO-27"/>
    <d v="2025-11-06T00:00:00"/>
    <m/>
    <n v="1150"/>
    <n v="0.43"/>
    <n v="494.5"/>
    <s v=""/>
    <x v="2"/>
    <x v="6"/>
    <x v="9"/>
  </r>
  <r>
    <s v="CLM105492"/>
    <s v="PT12361"/>
    <s v="P03"/>
    <x v="2"/>
    <x v="2"/>
    <n v="1"/>
    <d v="2025-11-08T00:00:00"/>
    <d v="2025-11-09T00:00:00"/>
    <n v="61.63"/>
    <m/>
    <m/>
    <m/>
    <s v="Denied"/>
    <s v="CO-18"/>
    <d v="2025-12-12T00:00:00"/>
    <m/>
    <n v="62"/>
    <n v="0.47"/>
    <n v="29.14"/>
    <s v=""/>
    <x v="2"/>
    <x v="4"/>
    <x v="3"/>
  </r>
  <r>
    <s v="CLM105493"/>
    <s v="PT10146"/>
    <s v="P08"/>
    <x v="1"/>
    <x v="10"/>
    <n v="1"/>
    <d v="2026-01-19T00:00:00"/>
    <d v="2026-01-20T00:00:00"/>
    <n v="1066.73"/>
    <m/>
    <m/>
    <m/>
    <s v="Pending"/>
    <s v=""/>
    <m/>
    <m/>
    <n v="1050"/>
    <n v="1"/>
    <n v="1050"/>
    <s v=""/>
    <x v="2"/>
    <x v="7"/>
    <x v="5"/>
  </r>
  <r>
    <s v="CLM105494"/>
    <s v="PT11127"/>
    <s v="P02"/>
    <x v="2"/>
    <x v="0"/>
    <n v="1"/>
    <d v="2026-09-02T00:00:00"/>
    <d v="2026-09-03T00:00:00"/>
    <n v="148.77000000000001"/>
    <m/>
    <m/>
    <m/>
    <s v="Pending"/>
    <s v=""/>
    <m/>
    <m/>
    <n v="145"/>
    <n v="0.43"/>
    <n v="62.35"/>
    <s v=""/>
    <x v="2"/>
    <x v="6"/>
    <x v="8"/>
  </r>
  <r>
    <s v="CLM105495"/>
    <s v="PT12399"/>
    <s v="P05"/>
    <x v="1"/>
    <x v="4"/>
    <n v="1"/>
    <d v="2026-03-02T00:00:00"/>
    <d v="2026-03-08T00:00:00"/>
    <n v="37.26"/>
    <n v="12.23"/>
    <n v="11.01"/>
    <n v="1.22"/>
    <s v="Paid"/>
    <s v=""/>
    <d v="2026-05-15T00:00:00"/>
    <d v="2026-05-15T00:00:00"/>
    <n v="38"/>
    <n v="0.38"/>
    <n v="14.44"/>
    <n v="2.2099999999999991"/>
    <x v="1"/>
    <x v="0"/>
    <x v="2"/>
  </r>
  <r>
    <s v="CLM105496"/>
    <s v="PT12515"/>
    <s v="P08"/>
    <x v="1"/>
    <x v="7"/>
    <n v="1"/>
    <d v="2025-11-21T00:00:00"/>
    <d v="2025-11-27T00:00:00"/>
    <n v="205.53"/>
    <m/>
    <m/>
    <m/>
    <s v="Pending"/>
    <s v=""/>
    <m/>
    <m/>
    <n v="210"/>
    <n v="1"/>
    <n v="210"/>
    <s v=""/>
    <x v="2"/>
    <x v="7"/>
    <x v="3"/>
  </r>
  <r>
    <s v="CLM105497"/>
    <s v="PT13283"/>
    <s v="P02"/>
    <x v="2"/>
    <x v="0"/>
    <n v="1"/>
    <d v="2025-12-28T00:00:00"/>
    <d v="2025-12-29T00:00:00"/>
    <n v="148.59"/>
    <m/>
    <m/>
    <m/>
    <s v="Denied"/>
    <s v="CO-27"/>
    <d v="2026-02-15T00:00:00"/>
    <m/>
    <n v="145"/>
    <n v="0.43"/>
    <n v="62.35"/>
    <s v=""/>
    <x v="2"/>
    <x v="6"/>
    <x v="6"/>
  </r>
  <r>
    <s v="CLM105498"/>
    <s v="PT11175"/>
    <s v="P05"/>
    <x v="1"/>
    <x v="10"/>
    <n v="1"/>
    <d v="2026-01-13T00:00:00"/>
    <d v="2026-01-14T00:00:00"/>
    <n v="1026.68"/>
    <m/>
    <m/>
    <m/>
    <s v="Denied"/>
    <s v="CO-16"/>
    <d v="2026-03-08T00:00:00"/>
    <m/>
    <n v="1050"/>
    <n v="0.38"/>
    <n v="399"/>
    <s v=""/>
    <x v="2"/>
    <x v="0"/>
    <x v="5"/>
  </r>
  <r>
    <s v="CLM105499"/>
    <s v="PT12265"/>
    <s v="P01"/>
    <x v="3"/>
    <x v="6"/>
    <n v="1"/>
    <d v="2026-07-07T00:00:00"/>
    <d v="2026-07-08T00:00:00"/>
    <n v="410.44"/>
    <n v="205.36"/>
    <n v="164.29"/>
    <n v="41.07"/>
    <s v="Paid"/>
    <s v=""/>
    <d v="2026-08-08T00:00:00"/>
    <d v="2026-08-08T00:00:00"/>
    <n v="420"/>
    <n v="0.45"/>
    <n v="189"/>
    <n v="-16.360000000000014"/>
    <x v="0"/>
    <x v="5"/>
    <x v="1"/>
  </r>
  <r>
    <s v="CLM105500"/>
    <s v="PT11433"/>
    <s v="P02"/>
    <x v="0"/>
    <x v="7"/>
    <n v="1"/>
    <d v="2025-11-30T00:00:00"/>
    <d v="2025-12-03T00:00:00"/>
    <n v="209.92"/>
    <n v="86.25"/>
    <n v="77.63"/>
    <n v="8.6199999999999992"/>
    <s v="Paid"/>
    <s v=""/>
    <d v="2025-12-19T00:00:00"/>
    <d v="2025-12-19T00:00:00"/>
    <n v="210"/>
    <n v="0.43"/>
    <n v="90.3"/>
    <n v="4.0499999999999972"/>
    <x v="0"/>
    <x v="6"/>
    <x v="3"/>
  </r>
  <r>
    <s v="CLM105501"/>
    <s v="PT10621"/>
    <s v="P02"/>
    <x v="1"/>
    <x v="7"/>
    <n v="1"/>
    <d v="2026-08-18T00:00:00"/>
    <d v="2026-08-21T00:00:00"/>
    <n v="211.06"/>
    <n v="78.66"/>
    <n v="78.66"/>
    <n v="0"/>
    <s v="Paid"/>
    <s v=""/>
    <d v="2026-09-17T00:00:00"/>
    <d v="2026-09-17T00:00:00"/>
    <n v="210"/>
    <n v="0.43"/>
    <n v="90.3"/>
    <n v="11.64"/>
    <x v="1"/>
    <x v="6"/>
    <x v="4"/>
  </r>
  <r>
    <s v="CLM105502"/>
    <s v="PT10524"/>
    <s v="P07"/>
    <x v="1"/>
    <x v="5"/>
    <n v="1"/>
    <d v="2025-11-08T00:00:00"/>
    <d v="2025-11-18T00:00:00"/>
    <n v="4935.43"/>
    <m/>
    <m/>
    <m/>
    <s v="Denied"/>
    <s v="CO-197"/>
    <d v="2025-12-28T00:00:00"/>
    <m/>
    <n v="4800"/>
    <n v="0.28000000000000003"/>
    <n v="1344"/>
    <s v=""/>
    <x v="2"/>
    <x v="3"/>
    <x v="3"/>
  </r>
  <r>
    <s v="CLM105503"/>
    <s v="PT10059"/>
    <s v="P07"/>
    <x v="1"/>
    <x v="7"/>
    <n v="1"/>
    <d v="2026-04-12T00:00:00"/>
    <d v="2026-04-13T00:00:00"/>
    <n v="215.96"/>
    <m/>
    <m/>
    <m/>
    <s v="Denied"/>
    <s v="CO-16"/>
    <d v="2026-07-02T00:00:00"/>
    <m/>
    <n v="210"/>
    <n v="0.28000000000000003"/>
    <n v="58.8"/>
    <s v=""/>
    <x v="2"/>
    <x v="3"/>
    <x v="10"/>
  </r>
  <r>
    <s v="CLM105504"/>
    <s v="PT11850"/>
    <s v="P07"/>
    <x v="1"/>
    <x v="5"/>
    <n v="1"/>
    <d v="2026-05-03T00:00:00"/>
    <d v="2026-05-08T00:00:00"/>
    <n v="4865.62"/>
    <m/>
    <m/>
    <m/>
    <s v="Denied"/>
    <s v="CO-16"/>
    <d v="2026-06-25T00:00:00"/>
    <m/>
    <n v="4800"/>
    <n v="0.28000000000000003"/>
    <n v="1344"/>
    <s v=""/>
    <x v="2"/>
    <x v="3"/>
    <x v="7"/>
  </r>
  <r>
    <s v="CLM105505"/>
    <s v="PT11755"/>
    <s v="P03"/>
    <x v="1"/>
    <x v="11"/>
    <n v="1"/>
    <d v="2026-01-12T00:00:00"/>
    <d v="2026-01-13T00:00:00"/>
    <n v="1174.17"/>
    <m/>
    <m/>
    <m/>
    <s v="Denied"/>
    <s v="CO-27"/>
    <d v="2026-02-20T00:00:00"/>
    <m/>
    <n v="1150"/>
    <n v="0.47"/>
    <n v="540.5"/>
    <s v=""/>
    <x v="2"/>
    <x v="4"/>
    <x v="5"/>
  </r>
  <r>
    <s v="CLM105506"/>
    <s v="PT11068"/>
    <s v="P03"/>
    <x v="1"/>
    <x v="5"/>
    <n v="1"/>
    <d v="2025-11-26T00:00:00"/>
    <d v="2025-12-01T00:00:00"/>
    <n v="4800.41"/>
    <n v="2162.23"/>
    <n v="1946.01"/>
    <n v="216.22"/>
    <s v="Paid"/>
    <s v=""/>
    <d v="2026-01-09T00:00:00"/>
    <d v="2026-01-09T00:00:00"/>
    <n v="4800"/>
    <n v="0.47"/>
    <n v="2256"/>
    <n v="93.769999999999982"/>
    <x v="0"/>
    <x v="4"/>
    <x v="3"/>
  </r>
  <r>
    <s v="CLM105507"/>
    <s v="PT10813"/>
    <s v="P03"/>
    <x v="0"/>
    <x v="7"/>
    <n v="1"/>
    <d v="2026-07-13T00:00:00"/>
    <d v="2026-07-23T00:00:00"/>
    <n v="213.1"/>
    <n v="96.8"/>
    <n v="96.8"/>
    <n v="0"/>
    <s v="Paid"/>
    <s v=""/>
    <d v="2026-09-11T00:00:00"/>
    <d v="2026-09-11T00:00:00"/>
    <n v="210"/>
    <n v="0.47"/>
    <n v="98.7"/>
    <n v="1.9000000000000057"/>
    <x v="0"/>
    <x v="4"/>
    <x v="1"/>
  </r>
  <r>
    <s v="CLM105508"/>
    <s v="PT10521"/>
    <s v="P02"/>
    <x v="2"/>
    <x v="0"/>
    <n v="1"/>
    <d v="2026-06-24T00:00:00"/>
    <d v="2026-06-25T00:00:00"/>
    <n v="144.88"/>
    <n v="56.27"/>
    <n v="45.02"/>
    <n v="11.25"/>
    <s v="Paid"/>
    <s v=""/>
    <d v="2026-07-23T00:00:00"/>
    <d v="2026-07-23T00:00:00"/>
    <n v="145"/>
    <n v="0.43"/>
    <n v="62.35"/>
    <n v="6.0799999999999983"/>
    <x v="1"/>
    <x v="6"/>
    <x v="11"/>
  </r>
  <r>
    <s v="CLM105509"/>
    <s v="PT13098"/>
    <s v="P02"/>
    <x v="0"/>
    <x v="8"/>
    <n v="1"/>
    <d v="2026-02-05T00:00:00"/>
    <d v="2026-02-08T00:00:00"/>
    <n v="258.23"/>
    <n v="124.57"/>
    <n v="124.57"/>
    <n v="0"/>
    <s v="Paid"/>
    <s v=""/>
    <d v="2026-02-27T00:00:00"/>
    <d v="2026-02-27T00:00:00"/>
    <n v="260"/>
    <n v="0.43"/>
    <n v="111.8"/>
    <n v="-12.769999999999996"/>
    <x v="0"/>
    <x v="6"/>
    <x v="0"/>
  </r>
  <r>
    <s v="CLM105510"/>
    <s v="PT12738"/>
    <s v="P05"/>
    <x v="0"/>
    <x v="4"/>
    <n v="1"/>
    <d v="2026-09-19T00:00:00"/>
    <d v="2026-09-21T00:00:00"/>
    <n v="38.04"/>
    <m/>
    <m/>
    <m/>
    <s v="Pending"/>
    <s v=""/>
    <m/>
    <m/>
    <n v="38"/>
    <n v="0.38"/>
    <n v="14.44"/>
    <s v=""/>
    <x v="2"/>
    <x v="0"/>
    <x v="8"/>
  </r>
  <r>
    <s v="CLM105512"/>
    <s v="PT13255"/>
    <s v="P01"/>
    <x v="3"/>
    <x v="7"/>
    <n v="1"/>
    <d v="2026-02-10T00:00:00"/>
    <d v="2026-02-13T00:00:00"/>
    <n v="205.73"/>
    <n v="101.99"/>
    <n v="101.99"/>
    <n v="0"/>
    <s v="Paid"/>
    <s v=""/>
    <d v="2026-03-14T00:00:00"/>
    <d v="2026-03-14T00:00:00"/>
    <n v="210"/>
    <n v="0.45"/>
    <n v="94.5"/>
    <n v="-7.4899999999999949"/>
    <x v="0"/>
    <x v="5"/>
    <x v="0"/>
  </r>
  <r>
    <s v="CLM105513"/>
    <s v="PT11153"/>
    <s v="P05"/>
    <x v="0"/>
    <x v="0"/>
    <n v="1"/>
    <d v="2026-05-02T00:00:00"/>
    <d v="2026-05-06T00:00:00"/>
    <n v="143.85"/>
    <n v="46.7"/>
    <n v="37.36"/>
    <n v="9.34"/>
    <s v="Paid"/>
    <s v=""/>
    <d v="2026-07-15T00:00:00"/>
    <d v="2026-07-15T00:00:00"/>
    <n v="145"/>
    <n v="0.38"/>
    <n v="55.1"/>
    <n v="8.3999999999999986"/>
    <x v="1"/>
    <x v="0"/>
    <x v="7"/>
  </r>
  <r>
    <s v="CLM105514"/>
    <s v="PT10649"/>
    <s v="P07"/>
    <x v="1"/>
    <x v="10"/>
    <n v="1"/>
    <d v="2026-04-15T00:00:00"/>
    <d v="2026-04-16T00:00:00"/>
    <n v="1036.18"/>
    <m/>
    <m/>
    <m/>
    <s v="Denied"/>
    <s v="CO-50"/>
    <d v="2026-06-23T00:00:00"/>
    <m/>
    <n v="1050"/>
    <n v="0.28000000000000003"/>
    <n v="294"/>
    <s v=""/>
    <x v="2"/>
    <x v="3"/>
    <x v="10"/>
  </r>
  <r>
    <s v="CLM105515"/>
    <s v="PT12418"/>
    <s v="P02"/>
    <x v="0"/>
    <x v="7"/>
    <n v="1"/>
    <d v="2026-02-23T00:00:00"/>
    <d v="2026-02-25T00:00:00"/>
    <n v="215.41"/>
    <n v="79.040000000000006"/>
    <n v="79.040000000000006"/>
    <n v="0"/>
    <s v="Paid"/>
    <s v=""/>
    <d v="2026-03-21T00:00:00"/>
    <d v="2026-03-21T00:00:00"/>
    <n v="210"/>
    <n v="0.43"/>
    <n v="90.3"/>
    <n v="11.259999999999991"/>
    <x v="1"/>
    <x v="6"/>
    <x v="0"/>
  </r>
  <r>
    <s v="CLM105516"/>
    <s v="PT10604"/>
    <s v="P06"/>
    <x v="3"/>
    <x v="7"/>
    <n v="1"/>
    <d v="2026-08-15T00:00:00"/>
    <d v="2026-08-17T00:00:00"/>
    <n v="208.61"/>
    <m/>
    <m/>
    <m/>
    <s v="Denied"/>
    <s v="CO-27"/>
    <d v="2026-09-23T00:00:00"/>
    <m/>
    <n v="210"/>
    <n v="0.27"/>
    <n v="56.7"/>
    <s v=""/>
    <x v="2"/>
    <x v="2"/>
    <x v="4"/>
  </r>
  <r>
    <s v="CLM105517"/>
    <s v="PT11718"/>
    <s v="P04"/>
    <x v="1"/>
    <x v="7"/>
    <n v="1"/>
    <d v="2026-05-29T00:00:00"/>
    <d v="2026-06-04T00:00:00"/>
    <n v="215.32"/>
    <n v="76.81"/>
    <n v="69.13"/>
    <n v="7.68"/>
    <s v="Paid"/>
    <s v=""/>
    <d v="2026-06-19T00:00:00"/>
    <d v="2026-06-19T00:00:00"/>
    <n v="210"/>
    <n v="0.36"/>
    <n v="75.599999999999994"/>
    <n v="-1.210000000000008"/>
    <x v="0"/>
    <x v="1"/>
    <x v="7"/>
  </r>
  <r>
    <s v="CLM105518"/>
    <s v="PT11476"/>
    <s v="P06"/>
    <x v="3"/>
    <x v="7"/>
    <n v="1"/>
    <d v="2026-01-07T00:00:00"/>
    <d v="2026-01-12T00:00:00"/>
    <n v="212.06"/>
    <n v="58.01"/>
    <n v="46.41"/>
    <n v="11.6"/>
    <s v="Paid"/>
    <s v=""/>
    <d v="2026-02-28T00:00:00"/>
    <d v="2026-02-28T00:00:00"/>
    <n v="210"/>
    <n v="0.27"/>
    <n v="56.7"/>
    <n v="-1.3099999999999952"/>
    <x v="0"/>
    <x v="2"/>
    <x v="5"/>
  </r>
  <r>
    <s v="CLM105519"/>
    <s v="PT11165"/>
    <s v="P04"/>
    <x v="0"/>
    <x v="4"/>
    <n v="1"/>
    <d v="2026-08-02T00:00:00"/>
    <d v="2026-08-13T00:00:00"/>
    <n v="38.86"/>
    <n v="14.56"/>
    <n v="13.1"/>
    <n v="1.46"/>
    <s v="Paid"/>
    <s v=""/>
    <d v="2026-08-26T00:00:00"/>
    <d v="2026-08-26T00:00:00"/>
    <n v="38"/>
    <n v="0.36"/>
    <n v="13.68"/>
    <n v="-0.88000000000000078"/>
    <x v="0"/>
    <x v="1"/>
    <x v="4"/>
  </r>
  <r>
    <s v="CLM105520"/>
    <s v="PT12554"/>
    <s v="P03"/>
    <x v="0"/>
    <x v="7"/>
    <n v="1"/>
    <d v="2025-12-03T00:00:00"/>
    <d v="2025-12-09T00:00:00"/>
    <n v="210.83"/>
    <n v="113.62"/>
    <n v="113.62"/>
    <n v="0"/>
    <s v="Paid"/>
    <s v=""/>
    <d v="2026-01-14T00:00:00"/>
    <d v="2026-01-14T00:00:00"/>
    <n v="210"/>
    <n v="0.47"/>
    <n v="98.7"/>
    <n v="-14.920000000000002"/>
    <x v="0"/>
    <x v="4"/>
    <x v="6"/>
  </r>
  <r>
    <s v="CLM105521"/>
    <s v="PT11271"/>
    <s v="P01"/>
    <x v="3"/>
    <x v="6"/>
    <n v="1"/>
    <d v="2026-01-25T00:00:00"/>
    <d v="2026-01-27T00:00:00"/>
    <n v="417.46"/>
    <n v="168.03"/>
    <n v="151.22999999999999"/>
    <n v="16.8"/>
    <s v="Paid"/>
    <s v=""/>
    <d v="2026-03-04T00:00:00"/>
    <d v="2026-03-04T00:00:00"/>
    <n v="420"/>
    <n v="0.45"/>
    <n v="189"/>
    <n v="20.97"/>
    <x v="1"/>
    <x v="5"/>
    <x v="5"/>
  </r>
  <r>
    <s v="CLM105522"/>
    <s v="PT12801"/>
    <s v="P01"/>
    <x v="1"/>
    <x v="5"/>
    <n v="1"/>
    <d v="2026-02-08T00:00:00"/>
    <d v="2026-02-13T00:00:00"/>
    <n v="4784.79"/>
    <n v="2466.61"/>
    <n v="2466.61"/>
    <n v="0"/>
    <s v="Paid"/>
    <s v=""/>
    <d v="2026-03-18T00:00:00"/>
    <d v="2026-03-18T00:00:00"/>
    <n v="4800"/>
    <n v="0.45"/>
    <n v="2160"/>
    <n v="-306.61000000000013"/>
    <x v="0"/>
    <x v="5"/>
    <x v="0"/>
  </r>
  <r>
    <s v="CLM105523"/>
    <s v="PT11811"/>
    <s v="P01"/>
    <x v="0"/>
    <x v="4"/>
    <n v="1"/>
    <d v="2026-08-29T00:00:00"/>
    <d v="2026-09-01T00:00:00"/>
    <n v="37.19"/>
    <n v="17.690000000000001"/>
    <n v="17.690000000000001"/>
    <n v="0"/>
    <s v="Paid"/>
    <s v=""/>
    <d v="2026-09-16T00:00:00"/>
    <d v="2026-09-16T00:00:00"/>
    <n v="38"/>
    <n v="0.45"/>
    <n v="17.100000000000001"/>
    <n v="-0.58999999999999986"/>
    <x v="0"/>
    <x v="5"/>
    <x v="4"/>
  </r>
  <r>
    <s v="CLM105524"/>
    <s v="PT10474"/>
    <s v="P06"/>
    <x v="2"/>
    <x v="0"/>
    <n v="1"/>
    <d v="2025-10-15T00:00:00"/>
    <d v="2025-10-17T00:00:00"/>
    <n v="142.94999999999999"/>
    <n v="43.72"/>
    <n v="39.35"/>
    <n v="4.37"/>
    <s v="Paid"/>
    <s v=""/>
    <d v="2025-11-24T00:00:00"/>
    <d v="2025-11-24T00:00:00"/>
    <n v="145"/>
    <n v="0.27"/>
    <n v="39.15"/>
    <n v="-4.57"/>
    <x v="0"/>
    <x v="2"/>
    <x v="9"/>
  </r>
  <r>
    <s v="CLM105525"/>
    <s v="PT13073"/>
    <s v="P06"/>
    <x v="1"/>
    <x v="4"/>
    <n v="1"/>
    <d v="2026-06-02T00:00:00"/>
    <d v="2026-06-08T00:00:00"/>
    <n v="38.92"/>
    <n v="9.8800000000000008"/>
    <n v="7.9"/>
    <n v="1.98"/>
    <s v="Paid"/>
    <s v=""/>
    <d v="2026-07-07T00:00:00"/>
    <d v="2026-07-07T00:00:00"/>
    <n v="38"/>
    <n v="0.27"/>
    <n v="10.26"/>
    <n v="0.37999999999999901"/>
    <x v="0"/>
    <x v="2"/>
    <x v="11"/>
  </r>
  <r>
    <s v="CLM105526"/>
    <s v="PT10789"/>
    <s v="P02"/>
    <x v="3"/>
    <x v="3"/>
    <n v="10"/>
    <d v="2025-12-03T00:00:00"/>
    <d v="2025-12-06T00:00:00"/>
    <n v="14746.69"/>
    <n v="5406.37"/>
    <n v="5406.37"/>
    <n v="0"/>
    <s v="Paid"/>
    <s v=""/>
    <d v="2026-01-10T00:00:00"/>
    <d v="2026-01-10T00:00:00"/>
    <n v="1450"/>
    <n v="0.43"/>
    <n v="6235"/>
    <n v="828.63000000000011"/>
    <x v="1"/>
    <x v="6"/>
    <x v="6"/>
  </r>
  <r>
    <s v="CLM105527"/>
    <s v="PT12106"/>
    <s v="P04"/>
    <x v="2"/>
    <x v="2"/>
    <n v="1"/>
    <d v="2025-12-23T00:00:00"/>
    <d v="2025-12-30T00:00:00"/>
    <n v="60.22"/>
    <n v="19.23"/>
    <n v="17.309999999999999"/>
    <n v="1.92"/>
    <s v="Paid"/>
    <s v=""/>
    <d v="2026-01-20T00:00:00"/>
    <d v="2026-01-20T00:00:00"/>
    <n v="62"/>
    <n v="0.36"/>
    <n v="22.32"/>
    <n v="3.09"/>
    <x v="1"/>
    <x v="1"/>
    <x v="6"/>
  </r>
  <r>
    <s v="CLM105528"/>
    <s v="PT12706"/>
    <s v="P08"/>
    <x v="1"/>
    <x v="7"/>
    <n v="1"/>
    <d v="2026-08-12T00:00:00"/>
    <d v="2026-08-15T00:00:00"/>
    <n v="211.63"/>
    <m/>
    <m/>
    <m/>
    <s v="Pending"/>
    <s v=""/>
    <m/>
    <m/>
    <n v="210"/>
    <n v="1"/>
    <n v="210"/>
    <s v=""/>
    <x v="2"/>
    <x v="7"/>
    <x v="4"/>
  </r>
  <r>
    <s v="CLM105529"/>
    <s v="PT12074"/>
    <s v="P06"/>
    <x v="1"/>
    <x v="1"/>
    <n v="1"/>
    <d v="2026-09-15T00:00:00"/>
    <d v="2026-09-20T00:00:00"/>
    <n v="246.61"/>
    <m/>
    <m/>
    <m/>
    <s v="Pending"/>
    <s v=""/>
    <m/>
    <m/>
    <n v="240"/>
    <n v="0.27"/>
    <n v="64.8"/>
    <s v=""/>
    <x v="2"/>
    <x v="2"/>
    <x v="8"/>
  </r>
  <r>
    <s v="CLM105530"/>
    <s v="PT13176"/>
    <s v="P01"/>
    <x v="0"/>
    <x v="7"/>
    <n v="1"/>
    <d v="2026-04-04T00:00:00"/>
    <d v="2026-04-11T00:00:00"/>
    <n v="211.2"/>
    <n v="99.97"/>
    <n v="89.97"/>
    <n v="10"/>
    <s v="Paid"/>
    <s v=""/>
    <d v="2026-05-16T00:00:00"/>
    <d v="2026-05-16T00:00:00"/>
    <n v="210"/>
    <n v="0.45"/>
    <n v="94.5"/>
    <n v="-5.4699999999999989"/>
    <x v="0"/>
    <x v="5"/>
    <x v="10"/>
  </r>
  <r>
    <s v="CLM105532"/>
    <s v="PT11852"/>
    <s v="P02"/>
    <x v="0"/>
    <x v="8"/>
    <n v="1"/>
    <d v="2026-03-13T00:00:00"/>
    <d v="2026-03-21T00:00:00"/>
    <n v="266.45"/>
    <m/>
    <m/>
    <m/>
    <s v="Denied"/>
    <s v="CO-18"/>
    <d v="2026-04-20T00:00:00"/>
    <m/>
    <n v="260"/>
    <n v="0.43"/>
    <n v="111.8"/>
    <s v=""/>
    <x v="2"/>
    <x v="6"/>
    <x v="2"/>
  </r>
  <r>
    <s v="CLM105533"/>
    <s v="PT12769"/>
    <s v="P01"/>
    <x v="2"/>
    <x v="0"/>
    <n v="1"/>
    <d v="2026-08-04T00:00:00"/>
    <d v="2026-08-09T00:00:00"/>
    <n v="145.03"/>
    <n v="59.95"/>
    <n v="53.95"/>
    <n v="6"/>
    <s v="Paid"/>
    <s v=""/>
    <d v="2026-08-27T00:00:00"/>
    <d v="2026-08-27T00:00:00"/>
    <n v="145"/>
    <n v="0.45"/>
    <n v="65.25"/>
    <n v="5.2999999999999972"/>
    <x v="1"/>
    <x v="5"/>
    <x v="4"/>
  </r>
  <r>
    <s v="CLM105535"/>
    <s v="PT12658"/>
    <s v="P04"/>
    <x v="1"/>
    <x v="8"/>
    <n v="1"/>
    <d v="2026-03-31T00:00:00"/>
    <d v="2026-04-02T00:00:00"/>
    <n v="267.27"/>
    <n v="105.04"/>
    <n v="94.54"/>
    <n v="10.5"/>
    <s v="Paid"/>
    <s v=""/>
    <d v="2026-04-22T00:00:00"/>
    <d v="2026-04-22T00:00:00"/>
    <n v="260"/>
    <n v="0.36"/>
    <n v="93.6"/>
    <n v="-11.440000000000012"/>
    <x v="0"/>
    <x v="1"/>
    <x v="2"/>
  </r>
  <r>
    <s v="CLM105536"/>
    <s v="PT10840"/>
    <s v="P06"/>
    <x v="2"/>
    <x v="9"/>
    <n v="1"/>
    <d v="2025-12-04T00:00:00"/>
    <d v="2025-12-09T00:00:00"/>
    <n v="59.31"/>
    <n v="14.87"/>
    <n v="11.9"/>
    <n v="2.97"/>
    <s v="Paid"/>
    <s v=""/>
    <d v="2026-02-01T00:00:00"/>
    <d v="2026-02-01T00:00:00"/>
    <n v="58"/>
    <n v="0.27"/>
    <n v="15.66"/>
    <n v="0.79000000000000092"/>
    <x v="1"/>
    <x v="2"/>
    <x v="6"/>
  </r>
  <r>
    <s v="CLM105537"/>
    <s v="PT11580"/>
    <s v="P01"/>
    <x v="0"/>
    <x v="4"/>
    <n v="1"/>
    <d v="2026-08-26T00:00:00"/>
    <d v="2026-08-29T00:00:00"/>
    <n v="36.9"/>
    <n v="18.46"/>
    <n v="18.46"/>
    <n v="0"/>
    <s v="Paid"/>
    <s v=""/>
    <d v="2026-09-14T00:00:00"/>
    <d v="2026-09-14T00:00:00"/>
    <n v="38"/>
    <n v="0.45"/>
    <n v="17.100000000000001"/>
    <n v="-1.3599999999999994"/>
    <x v="0"/>
    <x v="5"/>
    <x v="4"/>
  </r>
  <r>
    <s v="CLM105538"/>
    <s v="PT11366"/>
    <s v="P06"/>
    <x v="0"/>
    <x v="4"/>
    <n v="1"/>
    <d v="2026-09-14T00:00:00"/>
    <d v="2026-09-25T00:00:00"/>
    <n v="37.9"/>
    <m/>
    <m/>
    <m/>
    <s v="Pending"/>
    <s v=""/>
    <m/>
    <m/>
    <n v="38"/>
    <n v="0.27"/>
    <n v="10.26"/>
    <s v=""/>
    <x v="2"/>
    <x v="2"/>
    <x v="8"/>
  </r>
  <r>
    <s v="CLM105539"/>
    <s v="PT11827"/>
    <s v="P01"/>
    <x v="1"/>
    <x v="5"/>
    <n v="1"/>
    <d v="2026-08-17T00:00:00"/>
    <d v="2026-08-19T00:00:00"/>
    <n v="4814.88"/>
    <n v="1955.3"/>
    <n v="1955.3"/>
    <n v="0"/>
    <s v="Paid"/>
    <s v=""/>
    <d v="2026-09-06T00:00:00"/>
    <d v="2026-09-06T00:00:00"/>
    <n v="4800"/>
    <n v="0.45"/>
    <n v="2160"/>
    <n v="204.70000000000005"/>
    <x v="1"/>
    <x v="5"/>
    <x v="4"/>
  </r>
  <r>
    <s v="CLM105540"/>
    <s v="PT13260"/>
    <s v="P07"/>
    <x v="1"/>
    <x v="11"/>
    <n v="1"/>
    <d v="2025-10-30T00:00:00"/>
    <d v="2025-11-08T00:00:00"/>
    <n v="1116.22"/>
    <m/>
    <m/>
    <m/>
    <s v="Denied"/>
    <s v="CO-16"/>
    <d v="2026-01-06T00:00:00"/>
    <m/>
    <n v="1150"/>
    <n v="0.28000000000000003"/>
    <n v="322"/>
    <s v=""/>
    <x v="2"/>
    <x v="3"/>
    <x v="9"/>
  </r>
  <r>
    <s v="CLM105541"/>
    <s v="PT12473"/>
    <s v="P01"/>
    <x v="2"/>
    <x v="9"/>
    <n v="1"/>
    <d v="2026-01-29T00:00:00"/>
    <d v="2026-01-30T00:00:00"/>
    <n v="56.57"/>
    <n v="26.98"/>
    <n v="26.98"/>
    <n v="0"/>
    <s v="Paid"/>
    <s v=""/>
    <d v="2026-02-19T00:00:00"/>
    <d v="2026-02-19T00:00:00"/>
    <n v="58"/>
    <n v="0.45"/>
    <n v="26.1"/>
    <n v="-0.87999999999999901"/>
    <x v="0"/>
    <x v="5"/>
    <x v="5"/>
  </r>
  <r>
    <s v="CLM105542"/>
    <s v="PT10294"/>
    <s v="P02"/>
    <x v="0"/>
    <x v="4"/>
    <n v="1"/>
    <d v="2026-09-04T00:00:00"/>
    <d v="2026-09-05T00:00:00"/>
    <n v="39.130000000000003"/>
    <m/>
    <m/>
    <m/>
    <s v="Pending"/>
    <s v=""/>
    <m/>
    <m/>
    <n v="38"/>
    <n v="0.43"/>
    <n v="16.34"/>
    <s v=""/>
    <x v="2"/>
    <x v="6"/>
    <x v="8"/>
  </r>
  <r>
    <s v="CLM105543"/>
    <s v="PT12578"/>
    <s v="P02"/>
    <x v="3"/>
    <x v="7"/>
    <n v="1"/>
    <d v="2026-02-25T00:00:00"/>
    <d v="2026-02-26T00:00:00"/>
    <n v="215.9"/>
    <n v="102.24"/>
    <n v="92.02"/>
    <n v="10.220000000000001"/>
    <s v="Paid"/>
    <s v=""/>
    <d v="2026-03-25T00:00:00"/>
    <d v="2026-03-25T00:00:00"/>
    <n v="210"/>
    <n v="0.43"/>
    <n v="90.3"/>
    <n v="-11.939999999999998"/>
    <x v="0"/>
    <x v="6"/>
    <x v="0"/>
  </r>
  <r>
    <s v="CLM105544"/>
    <s v="PT10938"/>
    <s v="P07"/>
    <x v="1"/>
    <x v="7"/>
    <n v="1"/>
    <d v="2026-07-14T00:00:00"/>
    <d v="2026-07-20T00:00:00"/>
    <n v="213.88"/>
    <m/>
    <m/>
    <m/>
    <s v="Denied"/>
    <s v="CO-27"/>
    <d v="2026-09-10T00:00:00"/>
    <m/>
    <n v="210"/>
    <n v="0.28000000000000003"/>
    <n v="58.8"/>
    <s v=""/>
    <x v="2"/>
    <x v="3"/>
    <x v="1"/>
  </r>
  <r>
    <s v="CLM105545"/>
    <s v="PT13292"/>
    <s v="P07"/>
    <x v="2"/>
    <x v="0"/>
    <n v="1"/>
    <d v="2026-08-01T00:00:00"/>
    <d v="2026-08-02T00:00:00"/>
    <n v="143.69999999999999"/>
    <n v="37.89"/>
    <n v="34.1"/>
    <n v="3.79"/>
    <s v="Paid"/>
    <s v=""/>
    <d v="2026-09-19T00:00:00"/>
    <d v="2026-09-19T00:00:00"/>
    <n v="145"/>
    <n v="0.28000000000000003"/>
    <n v="40.6"/>
    <n v="2.7100000000000009"/>
    <x v="1"/>
    <x v="3"/>
    <x v="4"/>
  </r>
  <r>
    <s v="CLM105546"/>
    <s v="PT12313"/>
    <s v="P08"/>
    <x v="1"/>
    <x v="5"/>
    <n v="1"/>
    <d v="2026-01-14T00:00:00"/>
    <d v="2026-01-21T00:00:00"/>
    <n v="4731.71"/>
    <m/>
    <m/>
    <m/>
    <s v="Denied"/>
    <s v="CO-11"/>
    <d v="2026-02-27T00:00:00"/>
    <m/>
    <n v="4800"/>
    <n v="1"/>
    <n v="4800"/>
    <s v=""/>
    <x v="2"/>
    <x v="7"/>
    <x v="5"/>
  </r>
  <r>
    <s v="CLM105547"/>
    <s v="PT12936"/>
    <s v="P07"/>
    <x v="2"/>
    <x v="9"/>
    <n v="2"/>
    <d v="2026-04-15T00:00:00"/>
    <d v="2026-04-16T00:00:00"/>
    <n v="118.14"/>
    <n v="31.77"/>
    <n v="28.59"/>
    <n v="3.18"/>
    <s v="Paid"/>
    <s v=""/>
    <d v="2026-06-22T00:00:00"/>
    <d v="2026-06-22T00:00:00"/>
    <n v="58"/>
    <n v="0.28000000000000003"/>
    <n v="32.479999999999997"/>
    <n v="0.7099999999999973"/>
    <x v="0"/>
    <x v="3"/>
    <x v="10"/>
  </r>
  <r>
    <s v="CLM105548"/>
    <s v="PT12700"/>
    <s v="P03"/>
    <x v="2"/>
    <x v="0"/>
    <n v="1"/>
    <d v="2025-10-15T00:00:00"/>
    <d v="2025-10-16T00:00:00"/>
    <n v="143.74"/>
    <n v="63.17"/>
    <n v="63.17"/>
    <n v="0"/>
    <s v="Paid"/>
    <s v=""/>
    <d v="2025-11-30T00:00:00"/>
    <d v="2025-11-30T00:00:00"/>
    <n v="145"/>
    <n v="0.47"/>
    <n v="68.150000000000006"/>
    <n v="4.980000000000004"/>
    <x v="1"/>
    <x v="4"/>
    <x v="9"/>
  </r>
  <r>
    <s v="CLM105549"/>
    <s v="PT10414"/>
    <s v="P01"/>
    <x v="1"/>
    <x v="11"/>
    <n v="1"/>
    <d v="2026-08-14T00:00:00"/>
    <d v="2026-08-15T00:00:00"/>
    <n v="1116.9000000000001"/>
    <n v="512.79"/>
    <n v="512.79"/>
    <n v="0"/>
    <s v="Paid"/>
    <s v=""/>
    <d v="2026-09-12T00:00:00"/>
    <d v="2026-09-12T00:00:00"/>
    <n v="1150"/>
    <n v="0.45"/>
    <n v="517.5"/>
    <n v="4.7100000000000364"/>
    <x v="0"/>
    <x v="5"/>
    <x v="4"/>
  </r>
  <r>
    <s v="CLM105550"/>
    <s v="PT10273"/>
    <s v="P07"/>
    <x v="0"/>
    <x v="7"/>
    <n v="1"/>
    <d v="2026-05-10T00:00:00"/>
    <d v="2026-05-20T00:00:00"/>
    <n v="205.08"/>
    <n v="51.08"/>
    <n v="51.08"/>
    <n v="0"/>
    <s v="Paid"/>
    <s v=""/>
    <d v="2026-07-08T00:00:00"/>
    <d v="2026-07-08T00:00:00"/>
    <n v="210"/>
    <n v="0.28000000000000003"/>
    <n v="58.8"/>
    <n v="7.7199999999999989"/>
    <x v="1"/>
    <x v="3"/>
    <x v="7"/>
  </r>
  <r>
    <s v="CLM105551"/>
    <s v="PT12209"/>
    <s v="P01"/>
    <x v="1"/>
    <x v="11"/>
    <n v="1"/>
    <d v="2026-07-10T00:00:00"/>
    <d v="2026-07-11T00:00:00"/>
    <n v="1172.33"/>
    <n v="535.62"/>
    <n v="482.06"/>
    <n v="53.56"/>
    <s v="Paid"/>
    <s v=""/>
    <d v="2026-08-18T00:00:00"/>
    <d v="2026-08-18T00:00:00"/>
    <n v="1150"/>
    <n v="0.45"/>
    <n v="517.5"/>
    <n v="-18.120000000000005"/>
    <x v="0"/>
    <x v="5"/>
    <x v="1"/>
  </r>
  <r>
    <s v="CLM105552"/>
    <s v="PT13227"/>
    <s v="P07"/>
    <x v="3"/>
    <x v="6"/>
    <n v="1"/>
    <d v="2025-12-29T00:00:00"/>
    <d v="2026-01-02T00:00:00"/>
    <n v="419.29"/>
    <n v="125.21"/>
    <n v="100.17"/>
    <n v="25.04"/>
    <s v="Paid"/>
    <s v=""/>
    <d v="2026-03-29T00:00:00"/>
    <d v="2026-03-29T00:00:00"/>
    <n v="420"/>
    <n v="0.28000000000000003"/>
    <n v="117.6"/>
    <n v="-7.6099999999999994"/>
    <x v="0"/>
    <x v="3"/>
    <x v="6"/>
  </r>
  <r>
    <s v="CLM105553"/>
    <s v="PT10211"/>
    <s v="P02"/>
    <x v="0"/>
    <x v="8"/>
    <n v="1"/>
    <d v="2026-04-28T00:00:00"/>
    <d v="2026-05-18T00:00:00"/>
    <n v="267.32"/>
    <n v="123.36"/>
    <n v="98.69"/>
    <n v="24.67"/>
    <s v="Paid"/>
    <s v=""/>
    <d v="2026-05-31T00:00:00"/>
    <d v="2026-05-31T00:00:00"/>
    <n v="260"/>
    <n v="0.43"/>
    <n v="111.8"/>
    <n v="-11.560000000000002"/>
    <x v="0"/>
    <x v="6"/>
    <x v="10"/>
  </r>
  <r>
    <s v="CLM105554"/>
    <s v="PT12589"/>
    <s v="P07"/>
    <x v="2"/>
    <x v="2"/>
    <n v="1"/>
    <d v="2026-08-14T00:00:00"/>
    <d v="2026-08-19T00:00:00"/>
    <n v="61.97"/>
    <m/>
    <m/>
    <m/>
    <s v="Pending"/>
    <s v=""/>
    <m/>
    <m/>
    <n v="62"/>
    <n v="0.28000000000000003"/>
    <n v="17.36"/>
    <s v=""/>
    <x v="2"/>
    <x v="3"/>
    <x v="4"/>
  </r>
  <r>
    <s v="CLM105555"/>
    <s v="PT11347"/>
    <s v="P02"/>
    <x v="1"/>
    <x v="4"/>
    <n v="1"/>
    <d v="2026-02-09T00:00:00"/>
    <d v="2026-02-25T00:00:00"/>
    <n v="38.729999999999997"/>
    <n v="17.11"/>
    <n v="15.4"/>
    <n v="1.71"/>
    <s v="Paid"/>
    <s v=""/>
    <d v="2026-03-28T00:00:00"/>
    <d v="2026-03-28T00:00:00"/>
    <n v="38"/>
    <n v="0.43"/>
    <n v="16.34"/>
    <n v="-0.76999999999999957"/>
    <x v="0"/>
    <x v="6"/>
    <x v="0"/>
  </r>
  <r>
    <s v="CLM105556"/>
    <s v="PT10239"/>
    <s v="P02"/>
    <x v="0"/>
    <x v="8"/>
    <n v="1"/>
    <d v="2026-08-30T00:00:00"/>
    <d v="2026-09-05T00:00:00"/>
    <n v="263.42"/>
    <m/>
    <m/>
    <m/>
    <s v="Pending"/>
    <s v=""/>
    <m/>
    <m/>
    <n v="260"/>
    <n v="0.43"/>
    <n v="111.8"/>
    <s v=""/>
    <x v="2"/>
    <x v="6"/>
    <x v="4"/>
  </r>
  <r>
    <s v="CLM105557"/>
    <s v="PT10053"/>
    <s v="P01"/>
    <x v="0"/>
    <x v="4"/>
    <n v="1"/>
    <d v="2026-03-08T00:00:00"/>
    <d v="2026-03-15T00:00:00"/>
    <n v="38.35"/>
    <n v="14.74"/>
    <n v="11.79"/>
    <n v="2.95"/>
    <s v="Paid"/>
    <s v=""/>
    <d v="2026-05-01T00:00:00"/>
    <d v="2026-05-01T00:00:00"/>
    <n v="38"/>
    <n v="0.45"/>
    <n v="17.100000000000001"/>
    <n v="2.3600000000000012"/>
    <x v="1"/>
    <x v="5"/>
    <x v="2"/>
  </r>
  <r>
    <s v="CLM105558"/>
    <s v="PT12915"/>
    <s v="P03"/>
    <x v="2"/>
    <x v="2"/>
    <n v="2"/>
    <d v="2026-05-16T00:00:00"/>
    <d v="2026-08-23T00:00:00"/>
    <n v="126.49"/>
    <m/>
    <m/>
    <m/>
    <s v="Pending"/>
    <s v=""/>
    <m/>
    <m/>
    <n v="62"/>
    <n v="0.47"/>
    <n v="58.28"/>
    <s v=""/>
    <x v="2"/>
    <x v="4"/>
    <x v="7"/>
  </r>
  <r>
    <s v="CLM105559"/>
    <s v="PT12858"/>
    <s v="P05"/>
    <x v="0"/>
    <x v="0"/>
    <n v="1"/>
    <d v="2026-01-21T00:00:00"/>
    <d v="2026-01-22T00:00:00"/>
    <n v="144.76"/>
    <m/>
    <m/>
    <m/>
    <s v="Denied"/>
    <s v="CO-16"/>
    <d v="2026-03-08T00:00:00"/>
    <m/>
    <n v="145"/>
    <n v="0.38"/>
    <n v="55.1"/>
    <s v=""/>
    <x v="2"/>
    <x v="0"/>
    <x v="5"/>
  </r>
  <r>
    <s v="CLM105560"/>
    <s v="PT10263"/>
    <s v="P07"/>
    <x v="1"/>
    <x v="5"/>
    <n v="1"/>
    <d v="2026-09-10T00:00:00"/>
    <d v="2026-09-13T00:00:00"/>
    <n v="4694.63"/>
    <m/>
    <m/>
    <m/>
    <s v="Pending"/>
    <s v=""/>
    <m/>
    <m/>
    <n v="4800"/>
    <n v="0.28000000000000003"/>
    <n v="1344"/>
    <s v=""/>
    <x v="2"/>
    <x v="3"/>
    <x v="8"/>
  </r>
  <r>
    <s v="CLM105561"/>
    <s v="PT10290"/>
    <s v="P01"/>
    <x v="0"/>
    <x v="8"/>
    <n v="1"/>
    <d v="2025-11-14T00:00:00"/>
    <d v="2025-11-16T00:00:00"/>
    <n v="252.32"/>
    <n v="119.87"/>
    <n v="119.87"/>
    <n v="0"/>
    <s v="Paid"/>
    <s v=""/>
    <d v="2025-12-19T00:00:00"/>
    <d v="2025-12-19T00:00:00"/>
    <n v="260"/>
    <n v="0.45"/>
    <n v="117"/>
    <n v="-2.8700000000000045"/>
    <x v="0"/>
    <x v="5"/>
    <x v="3"/>
  </r>
  <r>
    <s v="CLM105562"/>
    <s v="PT12098"/>
    <s v="P01"/>
    <x v="0"/>
    <x v="8"/>
    <n v="1"/>
    <d v="2026-05-11T00:00:00"/>
    <d v="2026-05-20T00:00:00"/>
    <n v="254.89"/>
    <m/>
    <m/>
    <m/>
    <s v="Denied"/>
    <s v="CO-16"/>
    <d v="2026-06-22T00:00:00"/>
    <m/>
    <n v="260"/>
    <n v="0.45"/>
    <n v="117"/>
    <s v=""/>
    <x v="2"/>
    <x v="5"/>
    <x v="7"/>
  </r>
  <r>
    <s v="CLM105563"/>
    <s v="PT10320"/>
    <s v="P02"/>
    <x v="3"/>
    <x v="6"/>
    <n v="1"/>
    <d v="2026-05-16T00:00:00"/>
    <d v="2026-05-17T00:00:00"/>
    <n v="411.57"/>
    <n v="200.15"/>
    <n v="200.15"/>
    <n v="0"/>
    <s v="Paid"/>
    <s v=""/>
    <d v="2026-06-06T00:00:00"/>
    <d v="2026-06-06T00:00:00"/>
    <n v="420"/>
    <n v="0.43"/>
    <n v="180.6"/>
    <n v="-19.550000000000011"/>
    <x v="0"/>
    <x v="6"/>
    <x v="7"/>
  </r>
  <r>
    <s v="CLM105564"/>
    <s v="PT12914"/>
    <s v="P04"/>
    <x v="2"/>
    <x v="9"/>
    <n v="1"/>
    <d v="2026-03-31T00:00:00"/>
    <d v="2026-08-04T00:00:00"/>
    <n v="58.13"/>
    <m/>
    <m/>
    <m/>
    <s v="Denied"/>
    <s v="CO-29"/>
    <d v="2026-08-25T00:00:00"/>
    <m/>
    <n v="58"/>
    <n v="0.36"/>
    <n v="20.88"/>
    <s v=""/>
    <x v="2"/>
    <x v="1"/>
    <x v="2"/>
  </r>
  <r>
    <s v="CLM105565"/>
    <s v="PT13413"/>
    <s v="P05"/>
    <x v="2"/>
    <x v="0"/>
    <n v="1"/>
    <d v="2026-08-08T00:00:00"/>
    <d v="2026-08-10T00:00:00"/>
    <n v="146.93"/>
    <m/>
    <m/>
    <m/>
    <s v="Pending"/>
    <s v=""/>
    <m/>
    <m/>
    <n v="145"/>
    <n v="0.38"/>
    <n v="55.1"/>
    <s v=""/>
    <x v="2"/>
    <x v="0"/>
    <x v="4"/>
  </r>
  <r>
    <s v="CLM105566"/>
    <s v="PT12227"/>
    <s v="P01"/>
    <x v="1"/>
    <x v="5"/>
    <n v="1"/>
    <d v="2026-05-21T00:00:00"/>
    <d v="2026-05-23T00:00:00"/>
    <n v="4939.32"/>
    <n v="2028.58"/>
    <n v="1825.72"/>
    <n v="202.86"/>
    <s v="Paid"/>
    <s v=""/>
    <d v="2026-06-20T00:00:00"/>
    <d v="2026-06-20T00:00:00"/>
    <n v="4800"/>
    <n v="0.45"/>
    <n v="2160"/>
    <n v="131.42000000000007"/>
    <x v="1"/>
    <x v="5"/>
    <x v="7"/>
  </r>
  <r>
    <s v="CLM105567"/>
    <s v="PT13359"/>
    <s v="P08"/>
    <x v="1"/>
    <x v="4"/>
    <n v="1"/>
    <d v="2026-09-07T00:00:00"/>
    <d v="2026-09-09T00:00:00"/>
    <n v="37.020000000000003"/>
    <m/>
    <m/>
    <m/>
    <s v="Pending"/>
    <s v=""/>
    <m/>
    <m/>
    <n v="38"/>
    <n v="1"/>
    <n v="38"/>
    <s v=""/>
    <x v="2"/>
    <x v="7"/>
    <x v="8"/>
  </r>
  <r>
    <s v="CLM105568"/>
    <s v="PT10426"/>
    <s v="P01"/>
    <x v="0"/>
    <x v="4"/>
    <n v="1"/>
    <d v="2026-07-28T00:00:00"/>
    <d v="2026-08-01T00:00:00"/>
    <n v="37.9"/>
    <n v="19.309999999999999"/>
    <n v="19.309999999999999"/>
    <n v="0"/>
    <s v="Paid"/>
    <s v=""/>
    <d v="2026-08-20T00:00:00"/>
    <d v="2026-08-20T00:00:00"/>
    <n v="38"/>
    <n v="0.45"/>
    <n v="17.100000000000001"/>
    <n v="-2.2099999999999973"/>
    <x v="0"/>
    <x v="5"/>
    <x v="1"/>
  </r>
  <r>
    <s v="CLM105569"/>
    <s v="PT11303"/>
    <s v="P01"/>
    <x v="0"/>
    <x v="7"/>
    <n v="1"/>
    <d v="2025-10-25T00:00:00"/>
    <d v="2025-11-02T00:00:00"/>
    <n v="209.23"/>
    <n v="80.45"/>
    <n v="72.41"/>
    <n v="8.0399999999999991"/>
    <s v="Paid"/>
    <s v=""/>
    <d v="2025-11-22T00:00:00"/>
    <d v="2025-11-22T00:00:00"/>
    <n v="210"/>
    <n v="0.45"/>
    <n v="94.5"/>
    <n v="14.049999999999997"/>
    <x v="1"/>
    <x v="5"/>
    <x v="9"/>
  </r>
  <r>
    <s v="CLM105570"/>
    <s v="PT11664"/>
    <s v="P08"/>
    <x v="0"/>
    <x v="4"/>
    <n v="1"/>
    <d v="2025-10-24T00:00:00"/>
    <d v="2025-10-26T00:00:00"/>
    <n v="37.43"/>
    <n v="37.43"/>
    <n v="37.43"/>
    <n v="0"/>
    <s v="Paid"/>
    <s v=""/>
    <d v="2025-12-06T00:00:00"/>
    <d v="2025-12-06T00:00:00"/>
    <n v="38"/>
    <n v="1"/>
    <n v="38"/>
    <n v="0.57000000000000028"/>
    <x v="0"/>
    <x v="7"/>
    <x v="9"/>
  </r>
  <r>
    <s v="CLM105571"/>
    <s v="PT13214"/>
    <s v="P03"/>
    <x v="0"/>
    <x v="4"/>
    <n v="1"/>
    <d v="2026-02-05T00:00:00"/>
    <d v="2026-02-07T00:00:00"/>
    <n v="37.159999999999997"/>
    <n v="16.97"/>
    <n v="13.58"/>
    <n v="3.39"/>
    <s v="Paid"/>
    <s v=""/>
    <d v="2026-04-17T00:00:00"/>
    <d v="2026-04-17T00:00:00"/>
    <n v="38"/>
    <n v="0.47"/>
    <n v="17.86"/>
    <n v="0.89000000000000057"/>
    <x v="0"/>
    <x v="4"/>
    <x v="0"/>
  </r>
  <r>
    <s v="CLM105572"/>
    <s v="PT11477"/>
    <s v="P04"/>
    <x v="1"/>
    <x v="1"/>
    <n v="1"/>
    <d v="2026-01-18T00:00:00"/>
    <d v="2026-01-25T00:00:00"/>
    <n v="246.52"/>
    <n v="80.72"/>
    <n v="80.72"/>
    <n v="0"/>
    <s v="Paid"/>
    <s v=""/>
    <d v="2026-02-13T00:00:00"/>
    <d v="2026-02-13T00:00:00"/>
    <n v="240"/>
    <n v="0.36"/>
    <n v="86.4"/>
    <n v="5.6800000000000068"/>
    <x v="1"/>
    <x v="1"/>
    <x v="5"/>
  </r>
  <r>
    <s v="CLM105573"/>
    <s v="PT11085"/>
    <s v="P01"/>
    <x v="0"/>
    <x v="7"/>
    <n v="1"/>
    <d v="2026-05-12T00:00:00"/>
    <d v="2026-05-14T00:00:00"/>
    <n v="205.97"/>
    <n v="93.33"/>
    <n v="93.33"/>
    <n v="0"/>
    <s v="Paid"/>
    <s v=""/>
    <d v="2026-06-11T00:00:00"/>
    <d v="2026-06-11T00:00:00"/>
    <n v="210"/>
    <n v="0.45"/>
    <n v="94.5"/>
    <n v="1.1700000000000017"/>
    <x v="0"/>
    <x v="5"/>
    <x v="7"/>
  </r>
  <r>
    <s v="CLM105574"/>
    <s v="PT11192"/>
    <s v="P07"/>
    <x v="1"/>
    <x v="1"/>
    <n v="1"/>
    <d v="2026-08-31T00:00:00"/>
    <d v="2026-09-01T00:00:00"/>
    <n v="244.44"/>
    <m/>
    <m/>
    <m/>
    <s v="Pending"/>
    <s v=""/>
    <m/>
    <m/>
    <n v="240"/>
    <n v="0.28000000000000003"/>
    <n v="67.2"/>
    <s v=""/>
    <x v="2"/>
    <x v="3"/>
    <x v="4"/>
  </r>
  <r>
    <s v="CLM105575"/>
    <s v="PT10596"/>
    <s v="P01"/>
    <x v="1"/>
    <x v="5"/>
    <n v="1"/>
    <d v="2026-09-01T00:00:00"/>
    <d v="2026-09-14T00:00:00"/>
    <n v="4837.43"/>
    <n v="2181.0300000000002"/>
    <n v="2181.0300000000002"/>
    <n v="0"/>
    <s v="Paid"/>
    <s v=""/>
    <d v="2026-09-24T00:00:00"/>
    <d v="2026-09-24T00:00:00"/>
    <n v="4800"/>
    <n v="0.45"/>
    <n v="2160"/>
    <n v="-21.0300000000002"/>
    <x v="0"/>
    <x v="5"/>
    <x v="8"/>
  </r>
  <r>
    <s v="CLM105576"/>
    <s v="PT12478"/>
    <s v="P05"/>
    <x v="1"/>
    <x v="8"/>
    <n v="1"/>
    <d v="2026-01-26T00:00:00"/>
    <d v="2026-01-27T00:00:00"/>
    <n v="255.14"/>
    <n v="86.25"/>
    <n v="69"/>
    <n v="17.25"/>
    <s v="Paid"/>
    <s v=""/>
    <d v="2026-03-03T00:00:00"/>
    <d v="2026-03-03T00:00:00"/>
    <n v="260"/>
    <n v="0.38"/>
    <n v="98.8"/>
    <n v="12.549999999999997"/>
    <x v="1"/>
    <x v="0"/>
    <x v="5"/>
  </r>
  <r>
    <s v="CLM105577"/>
    <s v="PT10689"/>
    <s v="P02"/>
    <x v="1"/>
    <x v="7"/>
    <n v="1"/>
    <d v="2026-09-19T00:00:00"/>
    <d v="2026-09-21T00:00:00"/>
    <n v="210.4"/>
    <m/>
    <m/>
    <m/>
    <s v="Pending"/>
    <s v=""/>
    <m/>
    <m/>
    <n v="210"/>
    <n v="0.43"/>
    <n v="90.3"/>
    <s v=""/>
    <x v="2"/>
    <x v="6"/>
    <x v="8"/>
  </r>
  <r>
    <s v="CLM105578"/>
    <s v="PT10883"/>
    <s v="P05"/>
    <x v="1"/>
    <x v="5"/>
    <n v="1"/>
    <d v="2026-09-16T00:00:00"/>
    <d v="2026-09-28T00:00:00"/>
    <n v="4876.57"/>
    <m/>
    <m/>
    <m/>
    <s v="Pending"/>
    <s v=""/>
    <m/>
    <m/>
    <n v="4800"/>
    <n v="0.38"/>
    <n v="1824"/>
    <s v=""/>
    <x v="2"/>
    <x v="0"/>
    <x v="8"/>
  </r>
  <r>
    <s v="CLM105579"/>
    <s v="PT11053"/>
    <s v="P04"/>
    <x v="1"/>
    <x v="4"/>
    <n v="1"/>
    <d v="2026-04-16T00:00:00"/>
    <d v="2026-04-18T00:00:00"/>
    <n v="38.61"/>
    <n v="11.98"/>
    <n v="11.98"/>
    <n v="0"/>
    <s v="Paid"/>
    <s v=""/>
    <d v="2026-05-09T00:00:00"/>
    <d v="2026-05-09T00:00:00"/>
    <n v="38"/>
    <n v="0.36"/>
    <n v="13.68"/>
    <n v="1.6999999999999993"/>
    <x v="1"/>
    <x v="1"/>
    <x v="10"/>
  </r>
  <r>
    <s v="CLM105580"/>
    <s v="PT12761"/>
    <s v="P02"/>
    <x v="2"/>
    <x v="9"/>
    <n v="1"/>
    <d v="2025-12-04T00:00:00"/>
    <d v="2025-12-14T00:00:00"/>
    <n v="56.72"/>
    <n v="23.45"/>
    <n v="21.1"/>
    <n v="2.35"/>
    <s v="Paid"/>
    <s v=""/>
    <d v="2026-01-17T00:00:00"/>
    <d v="2026-01-17T00:00:00"/>
    <n v="58"/>
    <n v="0.43"/>
    <n v="24.94"/>
    <n v="1.490000000000002"/>
    <x v="1"/>
    <x v="6"/>
    <x v="6"/>
  </r>
  <r>
    <s v="CLM105581"/>
    <s v="PT10213"/>
    <s v="P05"/>
    <x v="3"/>
    <x v="3"/>
    <n v="20"/>
    <d v="2026-07-02T00:00:00"/>
    <d v="2026-07-13T00:00:00"/>
    <n v="28858.68"/>
    <n v="11809.14"/>
    <n v="9447.31"/>
    <n v="2361.83"/>
    <s v="Paid"/>
    <s v=""/>
    <d v="2026-08-30T00:00:00"/>
    <d v="2026-08-30T00:00:00"/>
    <n v="1450"/>
    <n v="0.38"/>
    <n v="11020"/>
    <n v="-789.13999999999942"/>
    <x v="0"/>
    <x v="0"/>
    <x v="1"/>
  </r>
  <r>
    <s v="CLM105582"/>
    <s v="PT11892"/>
    <s v="P03"/>
    <x v="0"/>
    <x v="0"/>
    <n v="1"/>
    <d v="2025-12-12T00:00:00"/>
    <d v="2025-12-25T00:00:00"/>
    <n v="143.05000000000001"/>
    <n v="62.02"/>
    <n v="49.62"/>
    <n v="12.4"/>
    <s v="Paid"/>
    <s v=""/>
    <d v="2026-02-02T00:00:00"/>
    <d v="2026-02-02T00:00:00"/>
    <n v="145"/>
    <n v="0.47"/>
    <n v="68.150000000000006"/>
    <n v="6.1300000000000026"/>
    <x v="1"/>
    <x v="4"/>
    <x v="6"/>
  </r>
  <r>
    <s v="CLM105583"/>
    <s v="PT10254"/>
    <s v="P06"/>
    <x v="1"/>
    <x v="10"/>
    <n v="1"/>
    <d v="2026-05-05T00:00:00"/>
    <d v="2026-05-15T00:00:00"/>
    <n v="1067.32"/>
    <n v="263.58"/>
    <n v="210.86"/>
    <n v="52.72"/>
    <s v="Paid"/>
    <s v=""/>
    <d v="2026-06-05T00:00:00"/>
    <d v="2026-06-05T00:00:00"/>
    <n v="1050"/>
    <n v="0.27"/>
    <n v="283.5"/>
    <n v="19.920000000000016"/>
    <x v="1"/>
    <x v="2"/>
    <x v="7"/>
  </r>
  <r>
    <s v="CLM105584"/>
    <s v="PT11192"/>
    <s v="P05"/>
    <x v="1"/>
    <x v="11"/>
    <n v="1"/>
    <d v="2025-10-23T00:00:00"/>
    <d v="2025-10-30T00:00:00"/>
    <n v="1152.02"/>
    <m/>
    <m/>
    <m/>
    <s v="Denied"/>
    <s v="CO-197"/>
    <d v="2025-11-28T00:00:00"/>
    <m/>
    <n v="1150"/>
    <n v="0.38"/>
    <n v="437"/>
    <s v=""/>
    <x v="2"/>
    <x v="0"/>
    <x v="9"/>
  </r>
  <r>
    <s v="CLM105585"/>
    <s v="PT11662"/>
    <s v="P07"/>
    <x v="0"/>
    <x v="4"/>
    <n v="1"/>
    <d v="2026-07-27T00:00:00"/>
    <d v="2026-07-28T00:00:00"/>
    <n v="37.24"/>
    <m/>
    <m/>
    <m/>
    <s v="Pending"/>
    <s v=""/>
    <m/>
    <m/>
    <n v="38"/>
    <n v="0.28000000000000003"/>
    <n v="10.64"/>
    <s v=""/>
    <x v="2"/>
    <x v="3"/>
    <x v="1"/>
  </r>
  <r>
    <s v="CLM105586"/>
    <s v="PT10574"/>
    <s v="P03"/>
    <x v="1"/>
    <x v="8"/>
    <n v="1"/>
    <d v="2026-05-29T00:00:00"/>
    <d v="2026-06-02T00:00:00"/>
    <n v="253.14"/>
    <n v="132.93"/>
    <n v="106.34"/>
    <n v="26.59"/>
    <s v="Paid"/>
    <s v=""/>
    <d v="2026-07-13T00:00:00"/>
    <d v="2026-07-13T00:00:00"/>
    <n v="260"/>
    <n v="0.47"/>
    <n v="122.2"/>
    <n v="-10.730000000000004"/>
    <x v="0"/>
    <x v="4"/>
    <x v="7"/>
  </r>
  <r>
    <s v="CLM105587"/>
    <s v="PT12886"/>
    <s v="P05"/>
    <x v="2"/>
    <x v="2"/>
    <n v="3"/>
    <d v="2026-02-08T00:00:00"/>
    <d v="2026-02-10T00:00:00"/>
    <n v="187.7"/>
    <m/>
    <m/>
    <m/>
    <s v="Denied"/>
    <s v="CO-16"/>
    <d v="2026-03-11T00:00:00"/>
    <m/>
    <n v="62"/>
    <n v="0.38"/>
    <n v="70.680000000000007"/>
    <s v=""/>
    <x v="2"/>
    <x v="0"/>
    <x v="0"/>
  </r>
  <r>
    <s v="CLM105588"/>
    <s v="PT11523"/>
    <s v="P01"/>
    <x v="1"/>
    <x v="5"/>
    <n v="1"/>
    <d v="2026-09-14T00:00:00"/>
    <d v="2026-09-16T00:00:00"/>
    <n v="4934.88"/>
    <m/>
    <m/>
    <m/>
    <s v="Pending"/>
    <s v=""/>
    <m/>
    <m/>
    <n v="4800"/>
    <n v="0.45"/>
    <n v="2160"/>
    <s v=""/>
    <x v="2"/>
    <x v="5"/>
    <x v="8"/>
  </r>
  <r>
    <s v="CLM105589"/>
    <s v="PT12279"/>
    <s v="P04"/>
    <x v="3"/>
    <x v="6"/>
    <n v="1"/>
    <d v="2026-09-08T00:00:00"/>
    <d v="2026-09-21T00:00:00"/>
    <n v="415.79"/>
    <m/>
    <m/>
    <m/>
    <s v="Pending"/>
    <s v=""/>
    <m/>
    <m/>
    <n v="420"/>
    <n v="0.36"/>
    <n v="151.19999999999999"/>
    <s v=""/>
    <x v="2"/>
    <x v="1"/>
    <x v="8"/>
  </r>
  <r>
    <s v="CLM105590"/>
    <s v="PT13437"/>
    <s v="P07"/>
    <x v="3"/>
    <x v="3"/>
    <n v="30"/>
    <d v="2026-06-13T00:00:00"/>
    <d v="2026-06-15T00:00:00"/>
    <n v="42626.400000000001"/>
    <m/>
    <m/>
    <m/>
    <s v="Denied"/>
    <s v="CO-50"/>
    <d v="2026-08-12T00:00:00"/>
    <m/>
    <n v="1450"/>
    <n v="0.28000000000000003"/>
    <n v="12180"/>
    <s v=""/>
    <x v="2"/>
    <x v="3"/>
    <x v="11"/>
  </r>
  <r>
    <s v="CLM105591"/>
    <s v="PT11576"/>
    <s v="P06"/>
    <x v="0"/>
    <x v="0"/>
    <n v="1"/>
    <d v="2025-11-16T00:00:00"/>
    <d v="2025-11-17T00:00:00"/>
    <n v="145.25"/>
    <m/>
    <m/>
    <m/>
    <s v="Denied"/>
    <s v="CO-11"/>
    <d v="2025-12-31T00:00:00"/>
    <m/>
    <n v="145"/>
    <n v="0.27"/>
    <n v="39.15"/>
    <s v=""/>
    <x v="2"/>
    <x v="2"/>
    <x v="3"/>
  </r>
  <r>
    <s v="CLM105592"/>
    <s v="PT13336"/>
    <s v="P05"/>
    <x v="1"/>
    <x v="8"/>
    <n v="1"/>
    <d v="2026-07-11T00:00:00"/>
    <d v="2026-07-14T00:00:00"/>
    <n v="253.32"/>
    <n v="83.54"/>
    <n v="83.54"/>
    <n v="0"/>
    <s v="Paid"/>
    <s v=""/>
    <d v="2026-09-19T00:00:00"/>
    <d v="2026-09-19T00:00:00"/>
    <n v="260"/>
    <n v="0.38"/>
    <n v="98.8"/>
    <n v="15.259999999999991"/>
    <x v="1"/>
    <x v="0"/>
    <x v="1"/>
  </r>
  <r>
    <s v="CLM105593"/>
    <s v="PT12152"/>
    <s v="P02"/>
    <x v="0"/>
    <x v="7"/>
    <n v="1"/>
    <d v="2025-11-08T00:00:00"/>
    <d v="2025-11-09T00:00:00"/>
    <n v="205.93"/>
    <n v="92.43"/>
    <n v="92.43"/>
    <n v="0"/>
    <s v="Paid"/>
    <s v=""/>
    <d v="2025-12-15T00:00:00"/>
    <d v="2025-12-15T00:00:00"/>
    <n v="210"/>
    <n v="0.43"/>
    <n v="90.3"/>
    <n v="-2.1300000000000097"/>
    <x v="0"/>
    <x v="6"/>
    <x v="3"/>
  </r>
  <r>
    <s v="CLM105594"/>
    <s v="PT13237"/>
    <s v="P01"/>
    <x v="2"/>
    <x v="0"/>
    <n v="1"/>
    <d v="2026-03-09T00:00:00"/>
    <d v="2026-03-16T00:00:00"/>
    <n v="141.19999999999999"/>
    <n v="69.36"/>
    <n v="69.36"/>
    <n v="0"/>
    <s v="Paid"/>
    <s v=""/>
    <d v="2026-04-05T00:00:00"/>
    <d v="2026-04-05T00:00:00"/>
    <n v="145"/>
    <n v="0.45"/>
    <n v="65.25"/>
    <n v="-4.1099999999999994"/>
    <x v="0"/>
    <x v="5"/>
    <x v="2"/>
  </r>
  <r>
    <s v="CLM105595"/>
    <s v="PT11888"/>
    <s v="P03"/>
    <x v="2"/>
    <x v="0"/>
    <n v="1"/>
    <d v="2025-10-09T00:00:00"/>
    <d v="2025-10-11T00:00:00"/>
    <n v="141.04"/>
    <n v="73.209999999999994"/>
    <n v="65.89"/>
    <n v="7.32"/>
    <s v="Paid"/>
    <s v=""/>
    <d v="2025-11-30T00:00:00"/>
    <d v="2025-11-30T00:00:00"/>
    <n v="145"/>
    <n v="0.47"/>
    <n v="68.150000000000006"/>
    <n v="-5.0599999999999881"/>
    <x v="0"/>
    <x v="4"/>
    <x v="9"/>
  </r>
  <r>
    <s v="CLM105596"/>
    <s v="PT11215"/>
    <s v="P08"/>
    <x v="1"/>
    <x v="4"/>
    <n v="1"/>
    <d v="2026-04-07T00:00:00"/>
    <d v="2026-04-13T00:00:00"/>
    <n v="37.85"/>
    <n v="37.85"/>
    <n v="37.85"/>
    <n v="0"/>
    <s v="Paid"/>
    <s v=""/>
    <d v="2026-05-29T00:00:00"/>
    <d v="2026-05-29T00:00:00"/>
    <n v="38"/>
    <n v="1"/>
    <n v="38"/>
    <n v="0.14999999999999858"/>
    <x v="0"/>
    <x v="7"/>
    <x v="10"/>
  </r>
  <r>
    <s v="CLM105597"/>
    <s v="PT12028"/>
    <s v="P04"/>
    <x v="3"/>
    <x v="3"/>
    <n v="20"/>
    <d v="2026-03-07T00:00:00"/>
    <d v="2026-03-10T00:00:00"/>
    <n v="28369.95"/>
    <n v="9696.8700000000008"/>
    <n v="9696.8700000000008"/>
    <n v="0"/>
    <s v="Paid"/>
    <s v=""/>
    <d v="2026-04-05T00:00:00"/>
    <d v="2026-04-05T00:00:00"/>
    <n v="1450"/>
    <n v="0.36"/>
    <n v="10440"/>
    <n v="743.1299999999992"/>
    <x v="1"/>
    <x v="1"/>
    <x v="2"/>
  </r>
  <r>
    <s v="CLM105598"/>
    <s v="PT12998"/>
    <s v="P05"/>
    <x v="0"/>
    <x v="8"/>
    <n v="1"/>
    <d v="2026-01-07T00:00:00"/>
    <d v="2026-01-19T00:00:00"/>
    <n v="267.49"/>
    <n v="102.71"/>
    <n v="92.44"/>
    <n v="10.27"/>
    <s v="Paid"/>
    <s v=""/>
    <d v="2026-03-10T00:00:00"/>
    <d v="2026-03-10T00:00:00"/>
    <n v="260"/>
    <n v="0.38"/>
    <n v="98.8"/>
    <n v="-3.9099999999999966"/>
    <x v="0"/>
    <x v="0"/>
    <x v="5"/>
  </r>
  <r>
    <s v="CLM105599"/>
    <s v="PT10291"/>
    <s v="P05"/>
    <x v="1"/>
    <x v="7"/>
    <n v="1"/>
    <d v="2025-12-09T00:00:00"/>
    <d v="2025-12-11T00:00:00"/>
    <n v="214.07"/>
    <n v="84.98"/>
    <n v="76.48"/>
    <n v="8.5"/>
    <s v="Paid"/>
    <s v=""/>
    <d v="2026-01-31T00:00:00"/>
    <d v="2026-01-31T00:00:00"/>
    <n v="210"/>
    <n v="0.38"/>
    <n v="79.8"/>
    <n v="-5.1800000000000068"/>
    <x v="0"/>
    <x v="0"/>
    <x v="6"/>
  </r>
  <r>
    <s v="CLM105600"/>
    <s v="PT10963"/>
    <s v="P05"/>
    <x v="1"/>
    <x v="7"/>
    <n v="1"/>
    <d v="2026-01-12T00:00:00"/>
    <d v="2026-01-21T00:00:00"/>
    <n v="205.56"/>
    <n v="76.94"/>
    <n v="76.94"/>
    <n v="0"/>
    <s v="Paid"/>
    <s v=""/>
    <d v="2026-03-22T00:00:00"/>
    <d v="2026-03-22T00:00:00"/>
    <n v="210"/>
    <n v="0.38"/>
    <n v="79.8"/>
    <n v="2.8599999999999994"/>
    <x v="0"/>
    <x v="0"/>
    <x v="5"/>
  </r>
  <r>
    <s v="CLM105601"/>
    <s v="PT12017"/>
    <s v="P07"/>
    <x v="1"/>
    <x v="7"/>
    <n v="1"/>
    <d v="2026-01-18T00:00:00"/>
    <d v="2026-01-21T00:00:00"/>
    <n v="203.84"/>
    <n v="59.15"/>
    <n v="59.15"/>
    <n v="0"/>
    <s v="Paid"/>
    <s v=""/>
    <d v="2026-03-24T00:00:00"/>
    <d v="2026-03-24T00:00:00"/>
    <n v="210"/>
    <n v="0.28000000000000003"/>
    <n v="58.8"/>
    <n v="-0.35000000000000142"/>
    <x v="0"/>
    <x v="3"/>
    <x v="5"/>
  </r>
  <r>
    <s v="CLM105602"/>
    <s v="PT10865"/>
    <s v="P05"/>
    <x v="1"/>
    <x v="7"/>
    <n v="1"/>
    <d v="2026-05-04T00:00:00"/>
    <d v="2026-05-09T00:00:00"/>
    <n v="209.61"/>
    <m/>
    <m/>
    <m/>
    <s v="Denied"/>
    <s v="CO-16"/>
    <d v="2026-07-06T00:00:00"/>
    <m/>
    <n v="210"/>
    <n v="0.38"/>
    <n v="79.8"/>
    <s v=""/>
    <x v="2"/>
    <x v="0"/>
    <x v="7"/>
  </r>
  <r>
    <s v="CLM105603"/>
    <s v="PT10200"/>
    <s v="P05"/>
    <x v="0"/>
    <x v="7"/>
    <n v="1"/>
    <d v="2025-12-17T00:00:00"/>
    <d v="2025-12-18T00:00:00"/>
    <n v="204.66"/>
    <m/>
    <m/>
    <m/>
    <s v="Denied"/>
    <s v="CO-4"/>
    <d v="2026-01-17T00:00:00"/>
    <m/>
    <n v="210"/>
    <n v="0.38"/>
    <n v="79.8"/>
    <s v=""/>
    <x v="2"/>
    <x v="0"/>
    <x v="6"/>
  </r>
  <r>
    <s v="CLM105604"/>
    <s v="PT10086"/>
    <s v="P03"/>
    <x v="2"/>
    <x v="2"/>
    <n v="3"/>
    <d v="2026-08-29T00:00:00"/>
    <d v="2026-09-03T00:00:00"/>
    <n v="181.34"/>
    <m/>
    <m/>
    <m/>
    <s v="Pending"/>
    <s v=""/>
    <m/>
    <m/>
    <n v="62"/>
    <n v="0.47"/>
    <n v="87.42"/>
    <s v=""/>
    <x v="2"/>
    <x v="4"/>
    <x v="4"/>
  </r>
  <r>
    <s v="CLM105605"/>
    <s v="PT11089"/>
    <s v="P05"/>
    <x v="1"/>
    <x v="5"/>
    <n v="1"/>
    <d v="2026-06-19T00:00:00"/>
    <d v="2026-06-23T00:00:00"/>
    <n v="4700.1400000000003"/>
    <n v="1889.47"/>
    <n v="1889.47"/>
    <n v="0"/>
    <s v="Paid"/>
    <s v=""/>
    <d v="2026-08-06T00:00:00"/>
    <d v="2026-08-06T00:00:00"/>
    <n v="4800"/>
    <n v="0.38"/>
    <n v="1824"/>
    <n v="-65.470000000000027"/>
    <x v="0"/>
    <x v="0"/>
    <x v="11"/>
  </r>
  <r>
    <s v="CLM105606"/>
    <s v="PT11016"/>
    <s v="P02"/>
    <x v="1"/>
    <x v="5"/>
    <n v="1"/>
    <d v="2026-08-26T00:00:00"/>
    <d v="2026-09-05T00:00:00"/>
    <n v="4888.59"/>
    <m/>
    <m/>
    <m/>
    <s v="Pending"/>
    <s v=""/>
    <m/>
    <m/>
    <n v="4800"/>
    <n v="0.43"/>
    <n v="2064"/>
    <s v=""/>
    <x v="2"/>
    <x v="6"/>
    <x v="4"/>
  </r>
  <r>
    <s v="CLM105607"/>
    <s v="PT11873"/>
    <s v="P03"/>
    <x v="2"/>
    <x v="9"/>
    <n v="1"/>
    <d v="2026-07-15T00:00:00"/>
    <d v="2026-07-19T00:00:00"/>
    <n v="57.52"/>
    <n v="28.52"/>
    <n v="28.52"/>
    <n v="0"/>
    <s v="Paid"/>
    <s v=""/>
    <d v="2026-09-08T00:00:00"/>
    <d v="2026-09-08T00:00:00"/>
    <n v="58"/>
    <n v="0.47"/>
    <n v="27.26"/>
    <n v="-1.259999999999998"/>
    <x v="0"/>
    <x v="4"/>
    <x v="1"/>
  </r>
  <r>
    <s v="CLM105608"/>
    <s v="PT12354"/>
    <s v="P04"/>
    <x v="0"/>
    <x v="4"/>
    <n v="1"/>
    <d v="2025-12-31T00:00:00"/>
    <d v="2026-01-03T00:00:00"/>
    <n v="37.5"/>
    <n v="15.3"/>
    <n v="13.77"/>
    <n v="1.53"/>
    <s v="Paid"/>
    <s v=""/>
    <d v="2026-01-15T00:00:00"/>
    <d v="2026-01-15T00:00:00"/>
    <n v="38"/>
    <n v="0.36"/>
    <n v="13.68"/>
    <n v="-1.620000000000001"/>
    <x v="0"/>
    <x v="1"/>
    <x v="6"/>
  </r>
  <r>
    <s v="CLM105609"/>
    <s v="PT12362"/>
    <s v="P02"/>
    <x v="0"/>
    <x v="4"/>
    <n v="1"/>
    <d v="2026-02-17T00:00:00"/>
    <d v="2026-02-23T00:00:00"/>
    <n v="36.92"/>
    <n v="14.24"/>
    <n v="14.24"/>
    <n v="0"/>
    <s v="Paid"/>
    <s v=""/>
    <d v="2026-03-27T00:00:00"/>
    <d v="2026-03-27T00:00:00"/>
    <n v="38"/>
    <n v="0.43"/>
    <n v="16.34"/>
    <n v="2.0999999999999996"/>
    <x v="1"/>
    <x v="6"/>
    <x v="0"/>
  </r>
  <r>
    <s v="CLM105610"/>
    <s v="PT12270"/>
    <s v="P07"/>
    <x v="1"/>
    <x v="10"/>
    <n v="1"/>
    <d v="2026-02-08T00:00:00"/>
    <d v="2026-02-15T00:00:00"/>
    <n v="1080.47"/>
    <n v="341.45"/>
    <n v="307.3"/>
    <n v="34.15"/>
    <s v="Paid"/>
    <s v=""/>
    <d v="2026-04-12T00:00:00"/>
    <d v="2026-04-12T00:00:00"/>
    <n v="1050"/>
    <n v="0.28000000000000003"/>
    <n v="294"/>
    <n v="-47.449999999999989"/>
    <x v="0"/>
    <x v="3"/>
    <x v="0"/>
  </r>
  <r>
    <s v="CLM105611"/>
    <s v="PT11375"/>
    <s v="P01"/>
    <x v="0"/>
    <x v="0"/>
    <n v="1"/>
    <d v="2026-05-26T00:00:00"/>
    <d v="2026-05-30T00:00:00"/>
    <n v="144.02000000000001"/>
    <n v="71.16"/>
    <n v="71.16"/>
    <n v="0"/>
    <s v="Paid"/>
    <s v=""/>
    <d v="2026-06-29T00:00:00"/>
    <d v="2026-06-29T00:00:00"/>
    <n v="145"/>
    <n v="0.45"/>
    <n v="65.25"/>
    <n v="-5.9099999999999966"/>
    <x v="0"/>
    <x v="5"/>
    <x v="7"/>
  </r>
  <r>
    <s v="CLM105612"/>
    <s v="PT12206"/>
    <s v="P02"/>
    <x v="2"/>
    <x v="9"/>
    <n v="2"/>
    <d v="2026-06-18T00:00:00"/>
    <d v="2026-06-21T00:00:00"/>
    <n v="115.42"/>
    <n v="53.64"/>
    <n v="48.28"/>
    <n v="5.36"/>
    <s v="Paid"/>
    <s v=""/>
    <d v="2026-07-17T00:00:00"/>
    <d v="2026-07-17T00:00:00"/>
    <n v="58"/>
    <n v="0.43"/>
    <n v="49.88"/>
    <n v="-3.759999999999998"/>
    <x v="0"/>
    <x v="6"/>
    <x v="11"/>
  </r>
  <r>
    <s v="CLM105613"/>
    <s v="PT11067"/>
    <s v="P08"/>
    <x v="2"/>
    <x v="9"/>
    <n v="1"/>
    <d v="2026-03-16T00:00:00"/>
    <d v="2026-03-20T00:00:00"/>
    <n v="57.73"/>
    <m/>
    <m/>
    <m/>
    <s v="Pending"/>
    <s v=""/>
    <m/>
    <m/>
    <n v="58"/>
    <n v="1"/>
    <n v="58"/>
    <s v=""/>
    <x v="2"/>
    <x v="7"/>
    <x v="2"/>
  </r>
  <r>
    <s v="CLM105614"/>
    <s v="PT11671"/>
    <s v="P01"/>
    <x v="0"/>
    <x v="4"/>
    <n v="1"/>
    <d v="2026-09-08T00:00:00"/>
    <d v="2026-09-19T00:00:00"/>
    <n v="37.020000000000003"/>
    <n v="18.38"/>
    <n v="14.7"/>
    <n v="3.68"/>
    <s v="Paid"/>
    <s v=""/>
    <d v="2026-09-28T00:00:00"/>
    <d v="2026-09-28T00:00:00"/>
    <n v="38"/>
    <n v="0.45"/>
    <n v="17.100000000000001"/>
    <n v="-1.2799999999999976"/>
    <x v="0"/>
    <x v="5"/>
    <x v="8"/>
  </r>
  <r>
    <s v="CLM105615"/>
    <s v="PT12917"/>
    <s v="P02"/>
    <x v="2"/>
    <x v="0"/>
    <n v="1"/>
    <d v="2026-09-03T00:00:00"/>
    <d v="2026-09-05T00:00:00"/>
    <n v="144.34"/>
    <m/>
    <m/>
    <m/>
    <s v="Pending"/>
    <s v=""/>
    <m/>
    <m/>
    <n v="145"/>
    <n v="0.43"/>
    <n v="62.35"/>
    <s v=""/>
    <x v="2"/>
    <x v="6"/>
    <x v="8"/>
  </r>
  <r>
    <s v="CLM105616"/>
    <s v="PT12698"/>
    <s v="P01"/>
    <x v="0"/>
    <x v="0"/>
    <n v="1"/>
    <d v="2025-10-23T00:00:00"/>
    <d v="2025-10-24T00:00:00"/>
    <n v="143.99"/>
    <n v="73.64"/>
    <n v="73.64"/>
    <n v="0"/>
    <s v="Paid"/>
    <s v=""/>
    <d v="2025-11-06T00:00:00"/>
    <d v="2025-11-06T00:00:00"/>
    <n v="145"/>
    <n v="0.45"/>
    <n v="65.25"/>
    <n v="-8.39"/>
    <x v="0"/>
    <x v="5"/>
    <x v="9"/>
  </r>
  <r>
    <s v="CLM105617"/>
    <s v="PT10093"/>
    <s v="P02"/>
    <x v="1"/>
    <x v="4"/>
    <n v="1"/>
    <d v="2026-07-29T00:00:00"/>
    <d v="2026-07-31T00:00:00"/>
    <n v="37.81"/>
    <n v="15.33"/>
    <n v="13.8"/>
    <n v="1.53"/>
    <s v="Paid"/>
    <s v=""/>
    <d v="2026-08-28T00:00:00"/>
    <d v="2026-08-28T00:00:00"/>
    <n v="38"/>
    <n v="0.43"/>
    <n v="16.34"/>
    <n v="1.0099999999999998"/>
    <x v="1"/>
    <x v="6"/>
    <x v="1"/>
  </r>
  <r>
    <s v="CLM105618"/>
    <s v="PT12186"/>
    <s v="P02"/>
    <x v="0"/>
    <x v="8"/>
    <n v="1"/>
    <d v="2026-05-11T00:00:00"/>
    <d v="2026-05-17T00:00:00"/>
    <n v="252.49"/>
    <n v="118.41"/>
    <n v="106.57"/>
    <n v="11.84"/>
    <s v="Paid"/>
    <s v=""/>
    <d v="2026-06-22T00:00:00"/>
    <d v="2026-06-22T00:00:00"/>
    <n v="260"/>
    <n v="0.43"/>
    <n v="111.8"/>
    <n v="-6.6099999999999994"/>
    <x v="0"/>
    <x v="6"/>
    <x v="7"/>
  </r>
  <r>
    <s v="CLM105619"/>
    <s v="PT11770"/>
    <s v="P05"/>
    <x v="3"/>
    <x v="7"/>
    <n v="1"/>
    <d v="2025-11-03T00:00:00"/>
    <d v="2025-11-06T00:00:00"/>
    <n v="210.42"/>
    <n v="86.69"/>
    <n v="86.69"/>
    <n v="0"/>
    <s v="Paid"/>
    <s v=""/>
    <d v="2025-12-10T00:00:00"/>
    <d v="2025-12-10T00:00:00"/>
    <n v="210"/>
    <n v="0.38"/>
    <n v="79.8"/>
    <n v="-6.8900000000000006"/>
    <x v="0"/>
    <x v="0"/>
    <x v="3"/>
  </r>
  <r>
    <s v="CLM105620"/>
    <s v="PT10958"/>
    <s v="P04"/>
    <x v="3"/>
    <x v="6"/>
    <n v="1"/>
    <d v="2026-09-13T00:00:00"/>
    <d v="2026-09-14T00:00:00"/>
    <n v="407.7"/>
    <m/>
    <m/>
    <m/>
    <s v="Pending"/>
    <s v=""/>
    <m/>
    <m/>
    <n v="420"/>
    <n v="0.36"/>
    <n v="151.19999999999999"/>
    <s v=""/>
    <x v="2"/>
    <x v="1"/>
    <x v="8"/>
  </r>
  <r>
    <s v="CLM105621"/>
    <s v="PT12320"/>
    <s v="P01"/>
    <x v="3"/>
    <x v="3"/>
    <n v="5"/>
    <d v="2026-03-31T00:00:00"/>
    <d v="2026-04-02T00:00:00"/>
    <n v="7234.84"/>
    <n v="3711.61"/>
    <n v="3711.61"/>
    <n v="0"/>
    <s v="Paid"/>
    <s v=""/>
    <d v="2026-05-01T00:00:00"/>
    <d v="2026-05-01T00:00:00"/>
    <n v="1450"/>
    <n v="0.45"/>
    <n v="3262.5"/>
    <n v="-449.11000000000013"/>
    <x v="0"/>
    <x v="5"/>
    <x v="2"/>
  </r>
  <r>
    <s v="CLM105622"/>
    <s v="PT10846"/>
    <s v="P01"/>
    <x v="3"/>
    <x v="6"/>
    <n v="1"/>
    <d v="2026-03-23T00:00:00"/>
    <d v="2026-03-24T00:00:00"/>
    <n v="415.9"/>
    <n v="197.18"/>
    <n v="197.18"/>
    <n v="0"/>
    <s v="Paid"/>
    <s v=""/>
    <d v="2026-04-27T00:00:00"/>
    <d v="2026-04-27T00:00:00"/>
    <n v="420"/>
    <n v="0.45"/>
    <n v="189"/>
    <n v="-8.1800000000000068"/>
    <x v="0"/>
    <x v="5"/>
    <x v="2"/>
  </r>
  <r>
    <s v="CLM105623"/>
    <s v="PT12848"/>
    <s v="P02"/>
    <x v="1"/>
    <x v="5"/>
    <n v="1"/>
    <d v="2026-01-25T00:00:00"/>
    <d v="2026-02-11T00:00:00"/>
    <n v="4870.95"/>
    <n v="1845.28"/>
    <n v="1476.22"/>
    <n v="369.06"/>
    <s v="Paid"/>
    <s v=""/>
    <d v="2026-03-09T00:00:00"/>
    <d v="2026-03-09T00:00:00"/>
    <n v="4800"/>
    <n v="0.43"/>
    <n v="2064"/>
    <n v="218.72000000000003"/>
    <x v="1"/>
    <x v="6"/>
    <x v="5"/>
  </r>
  <r>
    <s v="CLM105624"/>
    <s v="PT10508"/>
    <s v="P08"/>
    <x v="1"/>
    <x v="1"/>
    <n v="1"/>
    <d v="2026-04-01T00:00:00"/>
    <d v="2026-04-03T00:00:00"/>
    <n v="236.18"/>
    <m/>
    <m/>
    <m/>
    <s v="Pending"/>
    <s v=""/>
    <m/>
    <m/>
    <n v="240"/>
    <n v="1"/>
    <n v="240"/>
    <s v=""/>
    <x v="2"/>
    <x v="7"/>
    <x v="10"/>
  </r>
  <r>
    <s v="CLM105625"/>
    <s v="PT11923"/>
    <s v="P01"/>
    <x v="2"/>
    <x v="2"/>
    <n v="1"/>
    <d v="2026-06-24T00:00:00"/>
    <d v="2026-06-25T00:00:00"/>
    <n v="63.74"/>
    <n v="32.43"/>
    <n v="29.19"/>
    <n v="3.24"/>
    <s v="Paid"/>
    <s v=""/>
    <d v="2026-08-04T00:00:00"/>
    <d v="2026-08-04T00:00:00"/>
    <n v="62"/>
    <n v="0.45"/>
    <n v="27.9"/>
    <n v="-4.5300000000000011"/>
    <x v="0"/>
    <x v="5"/>
    <x v="11"/>
  </r>
  <r>
    <s v="CLM105626"/>
    <s v="PT11718"/>
    <s v="P03"/>
    <x v="0"/>
    <x v="8"/>
    <n v="1"/>
    <d v="2025-10-17T00:00:00"/>
    <d v="2025-10-19T00:00:00"/>
    <n v="258"/>
    <m/>
    <m/>
    <m/>
    <s v="Denied"/>
    <s v="CO-11"/>
    <d v="2025-12-08T00:00:00"/>
    <m/>
    <n v="260"/>
    <n v="0.47"/>
    <n v="122.2"/>
    <s v=""/>
    <x v="2"/>
    <x v="4"/>
    <x v="9"/>
  </r>
  <r>
    <s v="CLM105627"/>
    <s v="PT11897"/>
    <s v="P01"/>
    <x v="3"/>
    <x v="3"/>
    <n v="5"/>
    <d v="2026-06-18T00:00:00"/>
    <d v="2026-06-21T00:00:00"/>
    <n v="7155.52"/>
    <n v="3443.33"/>
    <n v="3443.33"/>
    <n v="0"/>
    <s v="Paid"/>
    <s v=""/>
    <d v="2026-08-02T00:00:00"/>
    <d v="2026-08-02T00:00:00"/>
    <n v="1450"/>
    <n v="0.45"/>
    <n v="3262.5"/>
    <n v="-180.82999999999993"/>
    <x v="0"/>
    <x v="5"/>
    <x v="11"/>
  </r>
  <r>
    <s v="CLM105628"/>
    <s v="PT13031"/>
    <s v="P08"/>
    <x v="1"/>
    <x v="11"/>
    <n v="1"/>
    <d v="2025-11-22T00:00:00"/>
    <d v="2025-11-28T00:00:00"/>
    <n v="1168.95"/>
    <m/>
    <m/>
    <m/>
    <s v="Pending"/>
    <s v=""/>
    <m/>
    <m/>
    <n v="1150"/>
    <n v="1"/>
    <n v="1150"/>
    <s v=""/>
    <x v="2"/>
    <x v="7"/>
    <x v="3"/>
  </r>
  <r>
    <s v="CLM105629"/>
    <s v="PT12179"/>
    <s v="P03"/>
    <x v="0"/>
    <x v="7"/>
    <n v="1"/>
    <d v="2026-09-23T00:00:00"/>
    <d v="2026-09-24T00:00:00"/>
    <n v="206.46"/>
    <m/>
    <m/>
    <m/>
    <s v="Pending"/>
    <s v=""/>
    <m/>
    <m/>
    <n v="210"/>
    <n v="0.47"/>
    <n v="98.7"/>
    <s v=""/>
    <x v="2"/>
    <x v="4"/>
    <x v="8"/>
  </r>
  <r>
    <s v="CLM105630"/>
    <s v="PT11169"/>
    <s v="P02"/>
    <x v="3"/>
    <x v="7"/>
    <n v="1"/>
    <d v="2026-07-03T00:00:00"/>
    <d v="2026-07-05T00:00:00"/>
    <n v="213.26"/>
    <n v="104.36"/>
    <n v="83.49"/>
    <n v="20.87"/>
    <s v="Paid"/>
    <s v=""/>
    <d v="2026-08-17T00:00:00"/>
    <d v="2026-08-17T00:00:00"/>
    <n v="210"/>
    <n v="0.43"/>
    <n v="90.3"/>
    <n v="-14.060000000000002"/>
    <x v="0"/>
    <x v="6"/>
    <x v="1"/>
  </r>
  <r>
    <s v="CLM105631"/>
    <s v="PT10827"/>
    <s v="P02"/>
    <x v="1"/>
    <x v="8"/>
    <n v="1"/>
    <d v="2026-09-20T00:00:00"/>
    <d v="2026-09-23T00:00:00"/>
    <n v="267.47000000000003"/>
    <m/>
    <m/>
    <m/>
    <s v="Pending"/>
    <s v=""/>
    <m/>
    <m/>
    <n v="260"/>
    <n v="0.43"/>
    <n v="111.8"/>
    <s v=""/>
    <x v="2"/>
    <x v="6"/>
    <x v="8"/>
  </r>
  <r>
    <s v="CLM105632"/>
    <s v="PT12100"/>
    <s v="P04"/>
    <x v="1"/>
    <x v="4"/>
    <n v="1"/>
    <d v="2026-08-04T00:00:00"/>
    <d v="2026-08-07T00:00:00"/>
    <n v="38.090000000000003"/>
    <n v="12.39"/>
    <n v="9.91"/>
    <n v="2.48"/>
    <s v="Paid"/>
    <s v=""/>
    <d v="2026-08-17T00:00:00"/>
    <d v="2026-08-17T00:00:00"/>
    <n v="38"/>
    <n v="0.36"/>
    <n v="13.68"/>
    <n v="1.2899999999999991"/>
    <x v="1"/>
    <x v="1"/>
    <x v="4"/>
  </r>
  <r>
    <s v="CLM105633"/>
    <s v="PT11851"/>
    <s v="P05"/>
    <x v="1"/>
    <x v="7"/>
    <n v="1"/>
    <d v="2026-03-19T00:00:00"/>
    <d v="2026-03-31T00:00:00"/>
    <n v="208.17"/>
    <n v="87.82"/>
    <n v="70.260000000000005"/>
    <n v="17.559999999999999"/>
    <s v="Paid"/>
    <s v=""/>
    <d v="2026-05-02T00:00:00"/>
    <d v="2026-05-02T00:00:00"/>
    <n v="210"/>
    <n v="0.38"/>
    <n v="79.8"/>
    <n v="-8.019999999999996"/>
    <x v="0"/>
    <x v="0"/>
    <x v="2"/>
  </r>
  <r>
    <s v="CLM105634"/>
    <s v="PT10343"/>
    <s v="P02"/>
    <x v="3"/>
    <x v="3"/>
    <n v="20"/>
    <d v="2025-11-22T00:00:00"/>
    <d v="2025-11-24T00:00:00"/>
    <n v="29577.85"/>
    <n v="12775.78"/>
    <n v="10220.620000000001"/>
    <n v="2555.16"/>
    <s v="Paid"/>
    <s v=""/>
    <d v="2025-12-30T00:00:00"/>
    <d v="2025-12-30T00:00:00"/>
    <n v="1450"/>
    <n v="0.43"/>
    <n v="12470"/>
    <n v="-305.78000000000065"/>
    <x v="0"/>
    <x v="6"/>
    <x v="3"/>
  </r>
  <r>
    <s v="CLM105635"/>
    <s v="PT11850"/>
    <s v="P01"/>
    <x v="1"/>
    <x v="11"/>
    <n v="1"/>
    <d v="2026-02-02T00:00:00"/>
    <d v="2026-02-08T00:00:00"/>
    <n v="1140.8800000000001"/>
    <n v="438.76"/>
    <n v="351.01"/>
    <n v="87.75"/>
    <s v="Paid"/>
    <s v=""/>
    <d v="2026-03-08T00:00:00"/>
    <d v="2026-03-08T00:00:00"/>
    <n v="1150"/>
    <n v="0.45"/>
    <n v="517.5"/>
    <n v="78.740000000000009"/>
    <x v="1"/>
    <x v="5"/>
    <x v="0"/>
  </r>
  <r>
    <s v="CLM105636"/>
    <s v="PT13205"/>
    <s v="P07"/>
    <x v="1"/>
    <x v="11"/>
    <n v="1"/>
    <d v="2026-06-14T00:00:00"/>
    <d v="2026-06-22T00:00:00"/>
    <n v="1135.23"/>
    <m/>
    <m/>
    <m/>
    <s v="Denied"/>
    <s v="CO-197"/>
    <d v="2026-09-29T00:00:00"/>
    <m/>
    <n v="1150"/>
    <n v="0.28000000000000003"/>
    <n v="322"/>
    <s v=""/>
    <x v="2"/>
    <x v="3"/>
    <x v="11"/>
  </r>
  <r>
    <s v="CLM105638"/>
    <s v="PT11591"/>
    <s v="P07"/>
    <x v="0"/>
    <x v="4"/>
    <n v="1"/>
    <d v="2026-04-18T00:00:00"/>
    <d v="2026-04-22T00:00:00"/>
    <n v="38.43"/>
    <n v="10.94"/>
    <n v="10.94"/>
    <n v="0"/>
    <s v="Paid"/>
    <s v=""/>
    <d v="2026-07-07T00:00:00"/>
    <d v="2026-07-07T00:00:00"/>
    <n v="38"/>
    <n v="0.28000000000000003"/>
    <n v="10.64"/>
    <n v="-0.29999999999999893"/>
    <x v="0"/>
    <x v="3"/>
    <x v="10"/>
  </r>
  <r>
    <s v="CLM105639"/>
    <s v="PT13482"/>
    <s v="P07"/>
    <x v="0"/>
    <x v="0"/>
    <n v="1"/>
    <d v="2026-09-26T00:00:00"/>
    <d v="2026-09-29T00:00:00"/>
    <n v="148.06"/>
    <m/>
    <m/>
    <m/>
    <s v="Pending"/>
    <s v=""/>
    <m/>
    <m/>
    <n v="145"/>
    <n v="0.28000000000000003"/>
    <n v="40.6"/>
    <s v=""/>
    <x v="2"/>
    <x v="3"/>
    <x v="8"/>
  </r>
  <r>
    <s v="CLM105640"/>
    <s v="PT10053"/>
    <s v="P06"/>
    <x v="0"/>
    <x v="7"/>
    <n v="1"/>
    <d v="2026-06-13T00:00:00"/>
    <d v="2026-06-19T00:00:00"/>
    <n v="212"/>
    <n v="52.51"/>
    <n v="52.51"/>
    <n v="0"/>
    <s v="Paid"/>
    <s v=""/>
    <d v="2026-08-06T00:00:00"/>
    <d v="2026-08-06T00:00:00"/>
    <n v="210"/>
    <n v="0.27"/>
    <n v="56.7"/>
    <n v="4.1900000000000048"/>
    <x v="1"/>
    <x v="2"/>
    <x v="11"/>
  </r>
  <r>
    <s v="CLM105641"/>
    <s v="PT10613"/>
    <s v="P01"/>
    <x v="1"/>
    <x v="5"/>
    <n v="1"/>
    <d v="2025-12-06T00:00:00"/>
    <d v="2025-12-09T00:00:00"/>
    <n v="4736.78"/>
    <m/>
    <m/>
    <m/>
    <s v="Denied"/>
    <s v="CO-16"/>
    <d v="2026-01-05T00:00:00"/>
    <m/>
    <n v="4800"/>
    <n v="0.45"/>
    <n v="2160"/>
    <s v=""/>
    <x v="2"/>
    <x v="5"/>
    <x v="6"/>
  </r>
  <r>
    <s v="CLM105642"/>
    <s v="PT10592"/>
    <s v="P05"/>
    <x v="3"/>
    <x v="6"/>
    <n v="1"/>
    <d v="2026-06-04T00:00:00"/>
    <d v="2026-06-06T00:00:00"/>
    <n v="414.6"/>
    <n v="168.01"/>
    <n v="168.01"/>
    <n v="0"/>
    <s v="Paid"/>
    <s v=""/>
    <d v="2026-08-05T00:00:00"/>
    <d v="2026-08-05T00:00:00"/>
    <n v="420"/>
    <n v="0.38"/>
    <n v="159.6"/>
    <n v="-8.4099999999999966"/>
    <x v="0"/>
    <x v="0"/>
    <x v="11"/>
  </r>
  <r>
    <s v="CLM105643"/>
    <s v="PT12051"/>
    <s v="P02"/>
    <x v="2"/>
    <x v="0"/>
    <n v="1"/>
    <d v="2026-04-06T00:00:00"/>
    <d v="2026-04-08T00:00:00"/>
    <n v="143.30000000000001"/>
    <n v="67.55"/>
    <n v="60.8"/>
    <n v="6.75"/>
    <s v="Paid"/>
    <s v=""/>
    <d v="2026-05-24T00:00:00"/>
    <d v="2026-05-24T00:00:00"/>
    <n v="145"/>
    <n v="0.43"/>
    <n v="62.35"/>
    <n v="-5.1999999999999957"/>
    <x v="0"/>
    <x v="6"/>
    <x v="10"/>
  </r>
  <r>
    <s v="CLM105644"/>
    <s v="PT10904"/>
    <s v="P05"/>
    <x v="2"/>
    <x v="2"/>
    <n v="3"/>
    <d v="2026-04-10T00:00:00"/>
    <d v="2026-04-13T00:00:00"/>
    <n v="184.12"/>
    <m/>
    <m/>
    <m/>
    <s v="Denied"/>
    <s v="CO-4"/>
    <d v="2026-06-11T00:00:00"/>
    <m/>
    <n v="62"/>
    <n v="0.38"/>
    <n v="70.680000000000007"/>
    <s v=""/>
    <x v="2"/>
    <x v="0"/>
    <x v="10"/>
  </r>
  <r>
    <s v="CLM105645"/>
    <s v="PT12951"/>
    <s v="P08"/>
    <x v="2"/>
    <x v="2"/>
    <n v="4"/>
    <d v="2025-12-29T00:00:00"/>
    <d v="2026-01-03T00:00:00"/>
    <n v="244.79"/>
    <m/>
    <m/>
    <m/>
    <s v="Pending"/>
    <s v=""/>
    <m/>
    <m/>
    <n v="62"/>
    <n v="1"/>
    <n v="248"/>
    <s v=""/>
    <x v="2"/>
    <x v="7"/>
    <x v="6"/>
  </r>
  <r>
    <s v="CLM105646"/>
    <s v="PT11296"/>
    <s v="P04"/>
    <x v="0"/>
    <x v="7"/>
    <n v="1"/>
    <d v="2026-08-08T00:00:00"/>
    <d v="2026-08-12T00:00:00"/>
    <n v="205.68"/>
    <n v="63.26"/>
    <n v="50.61"/>
    <n v="12.65"/>
    <s v="Paid"/>
    <s v=""/>
    <d v="2026-08-29T00:00:00"/>
    <d v="2026-08-29T00:00:00"/>
    <n v="210"/>
    <n v="0.36"/>
    <n v="75.599999999999994"/>
    <n v="12.339999999999996"/>
    <x v="1"/>
    <x v="1"/>
    <x v="4"/>
  </r>
  <r>
    <s v="CLM105647"/>
    <s v="PT10561"/>
    <s v="P01"/>
    <x v="0"/>
    <x v="8"/>
    <n v="1"/>
    <d v="2026-05-27T00:00:00"/>
    <d v="2026-06-08T00:00:00"/>
    <n v="257.11"/>
    <n v="103.14"/>
    <n v="82.51"/>
    <n v="20.63"/>
    <s v="Paid"/>
    <s v=""/>
    <d v="2026-06-25T00:00:00"/>
    <d v="2026-06-25T00:00:00"/>
    <n v="260"/>
    <n v="0.45"/>
    <n v="117"/>
    <n v="13.86"/>
    <x v="1"/>
    <x v="5"/>
    <x v="7"/>
  </r>
  <r>
    <s v="CLM105648"/>
    <s v="PT12670"/>
    <s v="P02"/>
    <x v="1"/>
    <x v="5"/>
    <n v="1"/>
    <d v="2026-07-20T00:00:00"/>
    <d v="2026-07-25T00:00:00"/>
    <n v="4851.72"/>
    <m/>
    <m/>
    <m/>
    <s v="Denied"/>
    <s v="CO-50"/>
    <d v="2026-08-29T00:00:00"/>
    <m/>
    <n v="4800"/>
    <n v="0.43"/>
    <n v="2064"/>
    <s v=""/>
    <x v="2"/>
    <x v="6"/>
    <x v="1"/>
  </r>
  <r>
    <s v="CLM105649"/>
    <s v="PT12523"/>
    <s v="P05"/>
    <x v="1"/>
    <x v="5"/>
    <n v="1"/>
    <d v="2026-01-06T00:00:00"/>
    <d v="2026-01-15T00:00:00"/>
    <n v="4789.62"/>
    <m/>
    <m/>
    <m/>
    <s v="Denied"/>
    <s v="CO-50"/>
    <d v="2026-03-19T00:00:00"/>
    <m/>
    <n v="4800"/>
    <n v="0.38"/>
    <n v="1824"/>
    <s v=""/>
    <x v="2"/>
    <x v="0"/>
    <x v="5"/>
  </r>
  <r>
    <s v="CLM105650"/>
    <s v="PT10155"/>
    <s v="P04"/>
    <x v="1"/>
    <x v="7"/>
    <n v="1"/>
    <d v="2026-01-27T00:00:00"/>
    <d v="2026-02-04T00:00:00"/>
    <n v="210.76"/>
    <n v="65"/>
    <n v="65"/>
    <n v="0"/>
    <s v="Paid"/>
    <s v=""/>
    <d v="2026-02-19T00:00:00"/>
    <d v="2026-02-19T00:00:00"/>
    <n v="210"/>
    <n v="0.36"/>
    <n v="75.599999999999994"/>
    <n v="10.599999999999994"/>
    <x v="1"/>
    <x v="1"/>
    <x v="5"/>
  </r>
  <r>
    <s v="CLM105651"/>
    <s v="PT10900"/>
    <s v="P04"/>
    <x v="3"/>
    <x v="7"/>
    <n v="1"/>
    <d v="2026-09-02T00:00:00"/>
    <d v="2026-09-11T00:00:00"/>
    <n v="205.31"/>
    <n v="80.5"/>
    <n v="80.5"/>
    <n v="0"/>
    <s v="Paid"/>
    <s v=""/>
    <d v="2026-09-26T00:00:00"/>
    <d v="2026-09-26T00:00:00"/>
    <n v="210"/>
    <n v="0.36"/>
    <n v="75.599999999999994"/>
    <n v="-4.9000000000000057"/>
    <x v="0"/>
    <x v="1"/>
    <x v="8"/>
  </r>
  <r>
    <s v="CLM105652"/>
    <s v="PT10007"/>
    <s v="P06"/>
    <x v="1"/>
    <x v="10"/>
    <n v="1"/>
    <d v="2025-10-01T00:00:00"/>
    <d v="2025-10-03T00:00:00"/>
    <n v="1050.74"/>
    <n v="244.4"/>
    <n v="219.96"/>
    <n v="24.44"/>
    <s v="Paid"/>
    <s v=""/>
    <d v="2025-11-17T00:00:00"/>
    <d v="2025-11-17T00:00:00"/>
    <n v="1050"/>
    <n v="0.27"/>
    <n v="283.5"/>
    <n v="39.099999999999994"/>
    <x v="1"/>
    <x v="2"/>
    <x v="9"/>
  </r>
  <r>
    <s v="CLM105653"/>
    <s v="PT12747"/>
    <s v="P02"/>
    <x v="2"/>
    <x v="9"/>
    <n v="1"/>
    <d v="2025-11-20T00:00:00"/>
    <d v="2025-12-04T00:00:00"/>
    <n v="59.18"/>
    <m/>
    <m/>
    <m/>
    <s v="Denied"/>
    <s v="CO-16"/>
    <d v="2026-01-09T00:00:00"/>
    <m/>
    <n v="58"/>
    <n v="0.43"/>
    <n v="24.94"/>
    <s v=""/>
    <x v="2"/>
    <x v="6"/>
    <x v="3"/>
  </r>
  <r>
    <s v="CLM105654"/>
    <s v="PT10890"/>
    <s v="P04"/>
    <x v="1"/>
    <x v="4"/>
    <n v="1"/>
    <d v="2025-11-01T00:00:00"/>
    <d v="2025-11-02T00:00:00"/>
    <n v="37.04"/>
    <n v="14.9"/>
    <n v="14.9"/>
    <n v="0"/>
    <s v="Paid"/>
    <s v=""/>
    <d v="2025-11-27T00:00:00"/>
    <d v="2025-11-27T00:00:00"/>
    <n v="38"/>
    <n v="0.36"/>
    <n v="13.68"/>
    <n v="-1.2200000000000006"/>
    <x v="0"/>
    <x v="1"/>
    <x v="3"/>
  </r>
  <r>
    <s v="CLM105655"/>
    <s v="PT10764"/>
    <s v="P07"/>
    <x v="0"/>
    <x v="7"/>
    <n v="1"/>
    <d v="2026-07-04T00:00:00"/>
    <d v="2026-07-13T00:00:00"/>
    <n v="207.67"/>
    <m/>
    <m/>
    <m/>
    <s v="Pending"/>
    <s v=""/>
    <m/>
    <m/>
    <n v="210"/>
    <n v="0.28000000000000003"/>
    <n v="58.8"/>
    <s v=""/>
    <x v="2"/>
    <x v="3"/>
    <x v="1"/>
  </r>
  <r>
    <s v="CLM105656"/>
    <s v="PT12456"/>
    <s v="P01"/>
    <x v="0"/>
    <x v="8"/>
    <n v="1"/>
    <d v="2025-12-10T00:00:00"/>
    <d v="2025-12-12T00:00:00"/>
    <n v="253.76"/>
    <n v="118.37"/>
    <n v="118.37"/>
    <n v="0"/>
    <s v="Paid"/>
    <s v=""/>
    <d v="2026-01-06T00:00:00"/>
    <d v="2026-01-06T00:00:00"/>
    <n v="260"/>
    <n v="0.45"/>
    <n v="117"/>
    <n v="-1.3700000000000045"/>
    <x v="0"/>
    <x v="5"/>
    <x v="6"/>
  </r>
  <r>
    <s v="CLM105657"/>
    <s v="PT12712"/>
    <s v="P02"/>
    <x v="2"/>
    <x v="0"/>
    <n v="1"/>
    <d v="2026-09-15T00:00:00"/>
    <d v="2026-09-16T00:00:00"/>
    <n v="141.88"/>
    <m/>
    <m/>
    <m/>
    <s v="Pending"/>
    <s v=""/>
    <m/>
    <m/>
    <n v="145"/>
    <n v="0.43"/>
    <n v="62.35"/>
    <s v=""/>
    <x v="2"/>
    <x v="6"/>
    <x v="8"/>
  </r>
  <r>
    <s v="CLM105658"/>
    <s v="PT12816"/>
    <s v="P04"/>
    <x v="3"/>
    <x v="7"/>
    <n v="1"/>
    <d v="2026-02-28T00:00:00"/>
    <d v="2026-03-09T00:00:00"/>
    <n v="215.45"/>
    <n v="85.78"/>
    <n v="77.2"/>
    <n v="8.58"/>
    <s v="Paid"/>
    <s v=""/>
    <d v="2026-03-25T00:00:00"/>
    <d v="2026-03-25T00:00:00"/>
    <n v="210"/>
    <n v="0.36"/>
    <n v="75.599999999999994"/>
    <n v="-10.180000000000007"/>
    <x v="0"/>
    <x v="1"/>
    <x v="0"/>
  </r>
  <r>
    <s v="CLM105659"/>
    <s v="PT10088"/>
    <s v="P07"/>
    <x v="3"/>
    <x v="7"/>
    <n v="1"/>
    <d v="2026-05-28T00:00:00"/>
    <d v="2026-06-04T00:00:00"/>
    <n v="215.59"/>
    <n v="59.88"/>
    <n v="59.88"/>
    <n v="0"/>
    <s v="Paid"/>
    <s v=""/>
    <d v="2026-07-10T00:00:00"/>
    <d v="2026-07-10T00:00:00"/>
    <n v="210"/>
    <n v="0.28000000000000003"/>
    <n v="58.8"/>
    <n v="-1.0800000000000054"/>
    <x v="0"/>
    <x v="3"/>
    <x v="7"/>
  </r>
  <r>
    <s v="CLM105660"/>
    <s v="PT10320"/>
    <s v="P06"/>
    <x v="3"/>
    <x v="7"/>
    <n v="1"/>
    <d v="2025-11-22T00:00:00"/>
    <d v="2025-11-24T00:00:00"/>
    <n v="205.06"/>
    <n v="59.36"/>
    <n v="59.36"/>
    <n v="0"/>
    <s v="Paid"/>
    <s v=""/>
    <d v="2026-01-10T00:00:00"/>
    <d v="2026-01-10T00:00:00"/>
    <n v="210"/>
    <n v="0.27"/>
    <n v="56.7"/>
    <n v="-2.6599999999999966"/>
    <x v="0"/>
    <x v="2"/>
    <x v="3"/>
  </r>
  <r>
    <s v="CLM105661"/>
    <s v="PT11664"/>
    <s v="P07"/>
    <x v="3"/>
    <x v="3"/>
    <n v="20"/>
    <d v="2025-10-01T00:00:00"/>
    <d v="2025-10-11T00:00:00"/>
    <n v="29303.22"/>
    <n v="7252.75"/>
    <n v="7252.75"/>
    <n v="0"/>
    <s v="Paid"/>
    <s v=""/>
    <d v="2025-11-15T00:00:00"/>
    <d v="2025-11-15T00:00:00"/>
    <n v="1450"/>
    <n v="0.28000000000000003"/>
    <n v="8120"/>
    <n v="867.25"/>
    <x v="1"/>
    <x v="3"/>
    <x v="9"/>
  </r>
  <r>
    <s v="CLM105662"/>
    <s v="PT13140"/>
    <s v="P02"/>
    <x v="1"/>
    <x v="11"/>
    <n v="1"/>
    <d v="2025-12-14T00:00:00"/>
    <d v="2025-12-15T00:00:00"/>
    <n v="1160.19"/>
    <m/>
    <m/>
    <m/>
    <s v="Denied"/>
    <s v="CO-50"/>
    <d v="2026-01-14T00:00:00"/>
    <m/>
    <n v="1150"/>
    <n v="0.43"/>
    <n v="494.5"/>
    <s v=""/>
    <x v="2"/>
    <x v="6"/>
    <x v="6"/>
  </r>
  <r>
    <s v="CLM105663"/>
    <s v="PT13120"/>
    <s v="P01"/>
    <x v="0"/>
    <x v="7"/>
    <n v="1"/>
    <d v="2026-08-23T00:00:00"/>
    <d v="2026-08-25T00:00:00"/>
    <n v="207.67"/>
    <n v="92.41"/>
    <n v="92.41"/>
    <n v="0"/>
    <s v="Paid"/>
    <s v=""/>
    <d v="2026-09-16T00:00:00"/>
    <d v="2026-09-16T00:00:00"/>
    <n v="210"/>
    <n v="0.45"/>
    <n v="94.5"/>
    <n v="2.0900000000000034"/>
    <x v="0"/>
    <x v="5"/>
    <x v="4"/>
  </r>
  <r>
    <s v="CLM105664"/>
    <s v="PT10089"/>
    <s v="P07"/>
    <x v="0"/>
    <x v="0"/>
    <n v="1"/>
    <d v="2025-12-12T00:00:00"/>
    <d v="2025-12-19T00:00:00"/>
    <n v="144.69"/>
    <n v="37.99"/>
    <n v="37.99"/>
    <n v="0"/>
    <s v="Paid"/>
    <s v=""/>
    <d v="2026-02-17T00:00:00"/>
    <d v="2026-02-17T00:00:00"/>
    <n v="145"/>
    <n v="0.28000000000000003"/>
    <n v="40.6"/>
    <n v="2.6099999999999994"/>
    <x v="1"/>
    <x v="3"/>
    <x v="6"/>
  </r>
  <r>
    <s v="CLM105665"/>
    <s v="PT13300"/>
    <s v="P01"/>
    <x v="0"/>
    <x v="4"/>
    <n v="1"/>
    <d v="2026-01-12T00:00:00"/>
    <d v="2026-01-18T00:00:00"/>
    <n v="37.43"/>
    <n v="17.53"/>
    <n v="14.02"/>
    <n v="3.51"/>
    <s v="Paid"/>
    <s v=""/>
    <d v="2026-02-16T00:00:00"/>
    <d v="2026-02-16T00:00:00"/>
    <n v="38"/>
    <n v="0.45"/>
    <n v="17.100000000000001"/>
    <n v="-0.42999999999999972"/>
    <x v="0"/>
    <x v="5"/>
    <x v="5"/>
  </r>
  <r>
    <s v="CLM105666"/>
    <s v="PT13380"/>
    <s v="P01"/>
    <x v="1"/>
    <x v="4"/>
    <n v="1"/>
    <d v="2026-04-21T00:00:00"/>
    <d v="2026-04-30T00:00:00"/>
    <n v="38.130000000000003"/>
    <n v="19.64"/>
    <n v="19.64"/>
    <n v="0"/>
    <s v="Paid"/>
    <s v=""/>
    <d v="2026-06-05T00:00:00"/>
    <d v="2026-06-05T00:00:00"/>
    <n v="38"/>
    <n v="0.45"/>
    <n v="17.100000000000001"/>
    <n v="-2.5399999999999991"/>
    <x v="0"/>
    <x v="5"/>
    <x v="10"/>
  </r>
  <r>
    <s v="CLM105667"/>
    <s v="PT11098"/>
    <s v="P08"/>
    <x v="1"/>
    <x v="4"/>
    <n v="1"/>
    <d v="2025-12-09T00:00:00"/>
    <d v="2025-12-10T00:00:00"/>
    <n v="38.729999999999997"/>
    <m/>
    <m/>
    <m/>
    <s v="Pending"/>
    <s v=""/>
    <m/>
    <m/>
    <n v="38"/>
    <n v="1"/>
    <n v="38"/>
    <s v=""/>
    <x v="2"/>
    <x v="7"/>
    <x v="6"/>
  </r>
  <r>
    <s v="CLM105668"/>
    <s v="PT13065"/>
    <s v="P05"/>
    <x v="1"/>
    <x v="10"/>
    <n v="1"/>
    <d v="2026-05-08T00:00:00"/>
    <d v="2026-05-15T00:00:00"/>
    <n v="1072.93"/>
    <n v="379.2"/>
    <n v="303.36"/>
    <n v="75.84"/>
    <s v="Paid"/>
    <s v=""/>
    <d v="2026-07-03T00:00:00"/>
    <d v="2026-07-03T00:00:00"/>
    <n v="1050"/>
    <n v="0.38"/>
    <n v="399"/>
    <n v="19.800000000000011"/>
    <x v="0"/>
    <x v="0"/>
    <x v="7"/>
  </r>
  <r>
    <s v="CLM105669"/>
    <s v="PT12641"/>
    <s v="P02"/>
    <x v="3"/>
    <x v="3"/>
    <n v="20"/>
    <d v="2026-07-04T00:00:00"/>
    <d v="2026-07-08T00:00:00"/>
    <n v="29031.95"/>
    <m/>
    <m/>
    <m/>
    <s v="Denied"/>
    <s v="CO-197"/>
    <d v="2026-08-04T00:00:00"/>
    <m/>
    <n v="1450"/>
    <n v="0.43"/>
    <n v="12470"/>
    <s v=""/>
    <x v="2"/>
    <x v="6"/>
    <x v="1"/>
  </r>
  <r>
    <s v="CLM105670"/>
    <s v="PT13454"/>
    <s v="P04"/>
    <x v="0"/>
    <x v="4"/>
    <n v="1"/>
    <d v="2026-02-22T00:00:00"/>
    <d v="2026-03-09T00:00:00"/>
    <n v="38.909999999999997"/>
    <n v="15.06"/>
    <n v="15.06"/>
    <n v="0"/>
    <s v="Paid"/>
    <s v=""/>
    <d v="2026-03-24T00:00:00"/>
    <d v="2026-03-24T00:00:00"/>
    <n v="38"/>
    <n v="0.36"/>
    <n v="13.68"/>
    <n v="-1.3800000000000008"/>
    <x v="0"/>
    <x v="1"/>
    <x v="0"/>
  </r>
  <r>
    <s v="CLM105671"/>
    <s v="PT10922"/>
    <s v="P01"/>
    <x v="0"/>
    <x v="0"/>
    <n v="1"/>
    <d v="2026-07-16T00:00:00"/>
    <d v="2026-07-18T00:00:00"/>
    <n v="145.12"/>
    <n v="60.64"/>
    <n v="54.58"/>
    <n v="6.06"/>
    <s v="Paid"/>
    <s v=""/>
    <d v="2026-08-28T00:00:00"/>
    <d v="2026-08-28T00:00:00"/>
    <n v="145"/>
    <n v="0.45"/>
    <n v="65.25"/>
    <n v="4.6099999999999994"/>
    <x v="1"/>
    <x v="5"/>
    <x v="1"/>
  </r>
  <r>
    <s v="CLM105672"/>
    <s v="PT12917"/>
    <s v="P06"/>
    <x v="1"/>
    <x v="11"/>
    <n v="1"/>
    <d v="2025-10-11T00:00:00"/>
    <d v="2025-10-12T00:00:00"/>
    <n v="1157.69"/>
    <n v="313.07"/>
    <n v="313.07"/>
    <n v="0"/>
    <s v="Paid"/>
    <s v=""/>
    <d v="2025-11-16T00:00:00"/>
    <d v="2025-11-16T00:00:00"/>
    <n v="1150"/>
    <n v="0.27"/>
    <n v="310.5"/>
    <n v="-2.5699999999999932"/>
    <x v="0"/>
    <x v="2"/>
    <x v="9"/>
  </r>
  <r>
    <s v="CLM105673"/>
    <s v="PT12516"/>
    <s v="P07"/>
    <x v="1"/>
    <x v="5"/>
    <n v="1"/>
    <d v="2026-06-15T00:00:00"/>
    <d v="2026-06-16T00:00:00"/>
    <n v="4754.16"/>
    <n v="1285.18"/>
    <n v="1156.6600000000001"/>
    <n v="128.52000000000001"/>
    <s v="Paid"/>
    <s v=""/>
    <d v="2026-08-05T00:00:00"/>
    <d v="2026-08-05T00:00:00"/>
    <n v="4800"/>
    <n v="0.28000000000000003"/>
    <n v="1344"/>
    <n v="58.819999999999936"/>
    <x v="0"/>
    <x v="3"/>
    <x v="11"/>
  </r>
  <r>
    <s v="CLM105674"/>
    <s v="PT13059"/>
    <s v="P02"/>
    <x v="0"/>
    <x v="7"/>
    <n v="1"/>
    <d v="2025-10-27T00:00:00"/>
    <d v="2025-11-03T00:00:00"/>
    <n v="207.99"/>
    <n v="95.4"/>
    <n v="76.319999999999993"/>
    <n v="19.079999999999998"/>
    <s v="Paid"/>
    <s v=""/>
    <d v="2025-12-06T00:00:00"/>
    <d v="2025-12-06T00:00:00"/>
    <n v="210"/>
    <n v="0.43"/>
    <n v="90.3"/>
    <n v="-5.1000000000000085"/>
    <x v="0"/>
    <x v="6"/>
    <x v="9"/>
  </r>
  <r>
    <s v="CLM105675"/>
    <s v="PT12885"/>
    <s v="P05"/>
    <x v="1"/>
    <x v="7"/>
    <n v="1"/>
    <d v="2026-03-26T00:00:00"/>
    <d v="2026-03-28T00:00:00"/>
    <n v="215.58"/>
    <n v="88.93"/>
    <n v="80.040000000000006"/>
    <n v="8.89"/>
    <s v="Paid"/>
    <s v=""/>
    <d v="2026-05-13T00:00:00"/>
    <d v="2026-05-13T00:00:00"/>
    <n v="210"/>
    <n v="0.38"/>
    <n v="79.8"/>
    <n v="-9.1300000000000097"/>
    <x v="0"/>
    <x v="0"/>
    <x v="2"/>
  </r>
  <r>
    <s v="CLM105676"/>
    <s v="PT10296"/>
    <s v="P05"/>
    <x v="2"/>
    <x v="0"/>
    <n v="1"/>
    <d v="2025-12-11T00:00:00"/>
    <d v="2025-12-12T00:00:00"/>
    <n v="147.22"/>
    <n v="52.29"/>
    <n v="52.29"/>
    <n v="0"/>
    <s v="Paid"/>
    <s v=""/>
    <d v="2026-01-25T00:00:00"/>
    <d v="2026-01-25T00:00:00"/>
    <n v="145"/>
    <n v="0.38"/>
    <n v="55.1"/>
    <n v="2.8100000000000023"/>
    <x v="1"/>
    <x v="0"/>
    <x v="6"/>
  </r>
  <r>
    <s v="CLM105677"/>
    <s v="PT10576"/>
    <s v="P07"/>
    <x v="2"/>
    <x v="9"/>
    <n v="1"/>
    <d v="2026-07-20T00:00:00"/>
    <d v="2026-07-24T00:00:00"/>
    <n v="59.49"/>
    <n v="14.96"/>
    <n v="14.96"/>
    <n v="0"/>
    <s v="Paid"/>
    <s v=""/>
    <d v="2026-09-16T00:00:00"/>
    <d v="2026-09-16T00:00:00"/>
    <n v="58"/>
    <n v="0.28000000000000003"/>
    <n v="16.239999999999998"/>
    <n v="1.2799999999999976"/>
    <x v="1"/>
    <x v="3"/>
    <x v="1"/>
  </r>
  <r>
    <s v="CLM105678"/>
    <s v="PT13036"/>
    <s v="P05"/>
    <x v="0"/>
    <x v="8"/>
    <n v="1"/>
    <d v="2026-05-24T00:00:00"/>
    <d v="2026-05-26T00:00:00"/>
    <n v="267.64"/>
    <n v="117.08"/>
    <n v="93.66"/>
    <n v="23.42"/>
    <s v="Paid"/>
    <s v=""/>
    <d v="2026-08-03T00:00:00"/>
    <d v="2026-08-03T00:00:00"/>
    <n v="260"/>
    <n v="0.38"/>
    <n v="98.8"/>
    <n v="-18.28"/>
    <x v="0"/>
    <x v="0"/>
    <x v="7"/>
  </r>
  <r>
    <s v="CLM105679"/>
    <s v="PT11808"/>
    <s v="P02"/>
    <x v="1"/>
    <x v="5"/>
    <n v="1"/>
    <d v="2026-03-14T00:00:00"/>
    <d v="2026-03-16T00:00:00"/>
    <n v="4893.1899999999996"/>
    <n v="2281.25"/>
    <n v="2053.13"/>
    <n v="228.12"/>
    <s v="Paid"/>
    <s v=""/>
    <d v="2026-04-09T00:00:00"/>
    <d v="2026-04-09T00:00:00"/>
    <n v="4800"/>
    <n v="0.43"/>
    <n v="2064"/>
    <n v="-217.25"/>
    <x v="0"/>
    <x v="6"/>
    <x v="2"/>
  </r>
  <r>
    <s v="CLM105680"/>
    <s v="PT12948"/>
    <s v="P05"/>
    <x v="0"/>
    <x v="4"/>
    <n v="1"/>
    <d v="2025-11-04T00:00:00"/>
    <d v="2025-11-05T00:00:00"/>
    <n v="38.869999999999997"/>
    <n v="13.33"/>
    <n v="12"/>
    <n v="1.33"/>
    <s v="Paid"/>
    <s v=""/>
    <d v="2025-12-24T00:00:00"/>
    <d v="2025-12-24T00:00:00"/>
    <n v="38"/>
    <n v="0.38"/>
    <n v="14.44"/>
    <n v="1.1099999999999994"/>
    <x v="1"/>
    <x v="0"/>
    <x v="3"/>
  </r>
  <r>
    <s v="CLM105681"/>
    <s v="PT10431"/>
    <s v="P02"/>
    <x v="2"/>
    <x v="2"/>
    <n v="1"/>
    <d v="2025-12-24T00:00:00"/>
    <d v="2026-01-03T00:00:00"/>
    <n v="60.59"/>
    <n v="24.94"/>
    <n v="24.94"/>
    <n v="0"/>
    <s v="Paid"/>
    <s v=""/>
    <d v="2026-01-31T00:00:00"/>
    <d v="2026-01-31T00:00:00"/>
    <n v="62"/>
    <n v="0.43"/>
    <n v="26.66"/>
    <n v="1.7199999999999989"/>
    <x v="1"/>
    <x v="6"/>
    <x v="6"/>
  </r>
  <r>
    <s v="CLM105682"/>
    <s v="PT12785"/>
    <s v="P08"/>
    <x v="2"/>
    <x v="9"/>
    <n v="1"/>
    <d v="2026-04-11T00:00:00"/>
    <d v="2026-04-19T00:00:00"/>
    <n v="59.14"/>
    <m/>
    <m/>
    <m/>
    <s v="Pending"/>
    <s v=""/>
    <m/>
    <m/>
    <n v="58"/>
    <n v="1"/>
    <n v="58"/>
    <s v=""/>
    <x v="2"/>
    <x v="7"/>
    <x v="10"/>
  </r>
  <r>
    <s v="CLM105683"/>
    <s v="PT10052"/>
    <s v="P06"/>
    <x v="1"/>
    <x v="4"/>
    <n v="1"/>
    <d v="2026-01-12T00:00:00"/>
    <d v="2026-01-20T00:00:00"/>
    <n v="37.590000000000003"/>
    <m/>
    <m/>
    <m/>
    <s v="Denied"/>
    <s v="CO-27"/>
    <d v="2026-03-04T00:00:00"/>
    <m/>
    <n v="38"/>
    <n v="0.27"/>
    <n v="10.26"/>
    <s v=""/>
    <x v="2"/>
    <x v="2"/>
    <x v="5"/>
  </r>
  <r>
    <s v="CLM105684"/>
    <s v="PT12956"/>
    <s v="P02"/>
    <x v="0"/>
    <x v="0"/>
    <n v="1"/>
    <d v="2026-04-18T00:00:00"/>
    <d v="2026-04-28T00:00:00"/>
    <n v="149.13999999999999"/>
    <n v="60.59"/>
    <n v="60.59"/>
    <n v="0"/>
    <s v="Paid"/>
    <s v=""/>
    <d v="2026-06-04T00:00:00"/>
    <d v="2026-06-04T00:00:00"/>
    <n v="145"/>
    <n v="0.43"/>
    <n v="62.35"/>
    <n v="1.759999999999998"/>
    <x v="0"/>
    <x v="6"/>
    <x v="10"/>
  </r>
  <r>
    <s v="CLM105685"/>
    <s v="PT10501"/>
    <s v="P02"/>
    <x v="3"/>
    <x v="7"/>
    <n v="1"/>
    <d v="2025-12-16T00:00:00"/>
    <d v="2025-12-19T00:00:00"/>
    <n v="208.34"/>
    <n v="94.61"/>
    <n v="75.69"/>
    <n v="18.920000000000002"/>
    <s v="Paid"/>
    <s v=""/>
    <d v="2026-01-18T00:00:00"/>
    <d v="2026-01-18T00:00:00"/>
    <n v="210"/>
    <n v="0.43"/>
    <n v="90.3"/>
    <n v="-4.3100000000000023"/>
    <x v="0"/>
    <x v="6"/>
    <x v="6"/>
  </r>
  <r>
    <s v="CLM105686"/>
    <s v="PT12083"/>
    <s v="P07"/>
    <x v="2"/>
    <x v="9"/>
    <n v="2"/>
    <d v="2026-04-05T00:00:00"/>
    <d v="2026-04-11T00:00:00"/>
    <n v="117.3"/>
    <n v="27.77"/>
    <n v="24.99"/>
    <n v="2.78"/>
    <s v="Paid"/>
    <s v=""/>
    <d v="2026-06-15T00:00:00"/>
    <d v="2026-06-15T00:00:00"/>
    <n v="58"/>
    <n v="0.28000000000000003"/>
    <n v="32.479999999999997"/>
    <n v="4.7099999999999973"/>
    <x v="1"/>
    <x v="3"/>
    <x v="10"/>
  </r>
  <r>
    <s v="CLM105687"/>
    <s v="PT12522"/>
    <s v="P01"/>
    <x v="0"/>
    <x v="4"/>
    <n v="1"/>
    <d v="2025-10-29T00:00:00"/>
    <d v="2025-11-05T00:00:00"/>
    <n v="37.82"/>
    <n v="16.440000000000001"/>
    <n v="16.440000000000001"/>
    <n v="0"/>
    <s v="Paid"/>
    <s v=""/>
    <d v="2025-12-11T00:00:00"/>
    <d v="2025-12-11T00:00:00"/>
    <n v="38"/>
    <n v="0.45"/>
    <n v="17.100000000000001"/>
    <n v="0.66000000000000014"/>
    <x v="0"/>
    <x v="5"/>
    <x v="9"/>
  </r>
  <r>
    <s v="CLM105688"/>
    <s v="PT11411"/>
    <s v="P02"/>
    <x v="2"/>
    <x v="2"/>
    <n v="4"/>
    <d v="2026-07-27T00:00:00"/>
    <d v="2026-07-28T00:00:00"/>
    <n v="246.61"/>
    <n v="108.73"/>
    <n v="108.73"/>
    <n v="0"/>
    <s v="Paid"/>
    <s v=""/>
    <d v="2026-09-07T00:00:00"/>
    <d v="2026-09-07T00:00:00"/>
    <n v="62"/>
    <n v="0.43"/>
    <n v="106.64"/>
    <n v="-2.0900000000000034"/>
    <x v="0"/>
    <x v="6"/>
    <x v="1"/>
  </r>
  <r>
    <s v="CLM105689"/>
    <s v="PT10283"/>
    <s v="P08"/>
    <x v="0"/>
    <x v="7"/>
    <n v="1"/>
    <d v="2026-08-03T00:00:00"/>
    <d v="2026-08-06T00:00:00"/>
    <n v="213.4"/>
    <m/>
    <m/>
    <m/>
    <s v="Pending"/>
    <s v=""/>
    <m/>
    <m/>
    <n v="210"/>
    <n v="1"/>
    <n v="210"/>
    <s v=""/>
    <x v="2"/>
    <x v="7"/>
    <x v="4"/>
  </r>
  <r>
    <s v="CLM105690"/>
    <s v="PT11569"/>
    <s v="P01"/>
    <x v="0"/>
    <x v="7"/>
    <n v="1"/>
    <d v="2026-02-04T00:00:00"/>
    <d v="2026-02-16T00:00:00"/>
    <n v="208.93"/>
    <n v="107.34"/>
    <n v="85.87"/>
    <n v="21.47"/>
    <s v="Paid"/>
    <s v=""/>
    <d v="2026-04-04T00:00:00"/>
    <d v="2026-04-04T00:00:00"/>
    <n v="210"/>
    <n v="0.45"/>
    <n v="94.5"/>
    <n v="-12.840000000000003"/>
    <x v="0"/>
    <x v="5"/>
    <x v="0"/>
  </r>
  <r>
    <s v="CLM105691"/>
    <s v="PT11753"/>
    <s v="P02"/>
    <x v="3"/>
    <x v="3"/>
    <n v="20"/>
    <d v="2026-02-22T00:00:00"/>
    <d v="2026-02-24T00:00:00"/>
    <n v="28193.59"/>
    <n v="12768.7"/>
    <n v="12768.7"/>
    <n v="0"/>
    <s v="Paid"/>
    <s v=""/>
    <d v="2026-03-20T00:00:00"/>
    <d v="2026-03-20T00:00:00"/>
    <n v="1450"/>
    <n v="0.43"/>
    <n v="12470"/>
    <n v="-298.70000000000073"/>
    <x v="0"/>
    <x v="6"/>
    <x v="0"/>
  </r>
  <r>
    <s v="CLM105692"/>
    <s v="PT11564"/>
    <s v="P04"/>
    <x v="3"/>
    <x v="7"/>
    <n v="1"/>
    <d v="2026-03-08T00:00:00"/>
    <d v="2026-03-17T00:00:00"/>
    <n v="211.4"/>
    <n v="79.36"/>
    <n v="71.42"/>
    <n v="7.94"/>
    <s v="Paid"/>
    <s v=""/>
    <d v="2026-03-31T00:00:00"/>
    <d v="2026-03-31T00:00:00"/>
    <n v="210"/>
    <n v="0.36"/>
    <n v="75.599999999999994"/>
    <n v="-3.7600000000000051"/>
    <x v="0"/>
    <x v="1"/>
    <x v="2"/>
  </r>
  <r>
    <s v="CLM105693"/>
    <s v="PT11252"/>
    <s v="P06"/>
    <x v="1"/>
    <x v="5"/>
    <n v="1"/>
    <d v="2026-04-11T00:00:00"/>
    <d v="2026-04-14T00:00:00"/>
    <n v="4657.79"/>
    <n v="1396.8"/>
    <n v="1117.44"/>
    <n v="279.36"/>
    <s v="Paid"/>
    <s v=""/>
    <d v="2026-05-15T00:00:00"/>
    <d v="2026-05-15T00:00:00"/>
    <n v="4800"/>
    <n v="0.27"/>
    <n v="1296"/>
    <n v="-100.79999999999995"/>
    <x v="0"/>
    <x v="2"/>
    <x v="10"/>
  </r>
  <r>
    <s v="CLM105694"/>
    <s v="PT10588"/>
    <s v="P01"/>
    <x v="0"/>
    <x v="0"/>
    <n v="1"/>
    <d v="2026-04-11T00:00:00"/>
    <d v="2026-04-12T00:00:00"/>
    <n v="148.28"/>
    <n v="62.22"/>
    <n v="62.22"/>
    <n v="0"/>
    <s v="Paid"/>
    <s v=""/>
    <d v="2026-05-01T00:00:00"/>
    <d v="2026-05-01T00:00:00"/>
    <n v="145"/>
    <n v="0.45"/>
    <n v="65.25"/>
    <n v="3.0300000000000011"/>
    <x v="0"/>
    <x v="5"/>
    <x v="10"/>
  </r>
  <r>
    <s v="CLM105695"/>
    <s v="PT10948"/>
    <s v="P01"/>
    <x v="0"/>
    <x v="7"/>
    <n v="1"/>
    <d v="2026-01-23T00:00:00"/>
    <d v="2026-01-29T00:00:00"/>
    <n v="208.87"/>
    <n v="92.1"/>
    <n v="73.680000000000007"/>
    <n v="18.420000000000002"/>
    <s v="Paid"/>
    <s v=""/>
    <d v="2026-02-23T00:00:00"/>
    <d v="2026-02-23T00:00:00"/>
    <n v="210"/>
    <n v="0.45"/>
    <n v="94.5"/>
    <n v="2.4000000000000057"/>
    <x v="0"/>
    <x v="5"/>
    <x v="5"/>
  </r>
  <r>
    <s v="CLM105696"/>
    <s v="PT11529"/>
    <s v="P02"/>
    <x v="2"/>
    <x v="2"/>
    <n v="1"/>
    <d v="2026-09-14T00:00:00"/>
    <d v="2026-09-24T00:00:00"/>
    <n v="63.61"/>
    <m/>
    <m/>
    <m/>
    <s v="Pending"/>
    <s v=""/>
    <m/>
    <m/>
    <n v="62"/>
    <n v="0.43"/>
    <n v="26.66"/>
    <s v=""/>
    <x v="2"/>
    <x v="6"/>
    <x v="8"/>
  </r>
  <r>
    <s v="CLM105697"/>
    <s v="PT12575"/>
    <s v="P01"/>
    <x v="3"/>
    <x v="6"/>
    <n v="1"/>
    <d v="2026-02-10T00:00:00"/>
    <d v="2026-02-13T00:00:00"/>
    <n v="418.98"/>
    <n v="206.24"/>
    <n v="164.99"/>
    <n v="41.25"/>
    <s v="Paid"/>
    <s v=""/>
    <d v="2026-03-07T00:00:00"/>
    <d v="2026-03-07T00:00:00"/>
    <n v="420"/>
    <n v="0.45"/>
    <n v="189"/>
    <n v="-17.240000000000009"/>
    <x v="0"/>
    <x v="5"/>
    <x v="0"/>
  </r>
  <r>
    <s v="CLM105698"/>
    <s v="PT13336"/>
    <s v="P01"/>
    <x v="1"/>
    <x v="11"/>
    <n v="1"/>
    <d v="2025-12-20T00:00:00"/>
    <d v="2025-12-21T00:00:00"/>
    <n v="1126.3900000000001"/>
    <n v="544.88"/>
    <n v="490.39"/>
    <n v="54.49"/>
    <s v="Paid"/>
    <s v=""/>
    <d v="2026-01-21T00:00:00"/>
    <d v="2026-01-21T00:00:00"/>
    <n v="1150"/>
    <n v="0.45"/>
    <n v="517.5"/>
    <n v="-27.379999999999995"/>
    <x v="0"/>
    <x v="5"/>
    <x v="6"/>
  </r>
  <r>
    <s v="CLM105699"/>
    <s v="PT10753"/>
    <s v="P03"/>
    <x v="2"/>
    <x v="0"/>
    <n v="1"/>
    <d v="2026-02-14T00:00:00"/>
    <d v="2026-06-16T00:00:00"/>
    <n v="146.65"/>
    <m/>
    <m/>
    <m/>
    <s v="Denied"/>
    <s v="CO-29"/>
    <d v="2026-08-06T00:00:00"/>
    <m/>
    <n v="145"/>
    <n v="0.47"/>
    <n v="68.150000000000006"/>
    <s v=""/>
    <x v="2"/>
    <x v="4"/>
    <x v="0"/>
  </r>
  <r>
    <s v="CLM105700"/>
    <s v="PT12301"/>
    <s v="P06"/>
    <x v="0"/>
    <x v="8"/>
    <n v="1"/>
    <d v="2026-08-22T00:00:00"/>
    <d v="2026-08-26T00:00:00"/>
    <n v="253.34"/>
    <n v="65"/>
    <n v="65"/>
    <n v="0"/>
    <s v="Paid"/>
    <s v=""/>
    <d v="2026-09-26T00:00:00"/>
    <d v="2026-09-26T00:00:00"/>
    <n v="260"/>
    <n v="0.27"/>
    <n v="70.2"/>
    <n v="5.2000000000000028"/>
    <x v="1"/>
    <x v="2"/>
    <x v="4"/>
  </r>
  <r>
    <s v="CLM105701"/>
    <s v="PT11612"/>
    <s v="P04"/>
    <x v="1"/>
    <x v="1"/>
    <n v="1"/>
    <d v="2025-10-09T00:00:00"/>
    <d v="2025-10-10T00:00:00"/>
    <n v="239.87"/>
    <n v="93.04"/>
    <n v="83.74"/>
    <n v="9.3000000000000007"/>
    <s v="Paid"/>
    <s v=""/>
    <d v="2025-10-22T00:00:00"/>
    <d v="2025-10-22T00:00:00"/>
    <n v="240"/>
    <n v="0.36"/>
    <n v="86.4"/>
    <n v="-6.6400000000000006"/>
    <x v="0"/>
    <x v="1"/>
    <x v="9"/>
  </r>
  <r>
    <s v="CLM105702"/>
    <s v="PT12224"/>
    <s v="P01"/>
    <x v="3"/>
    <x v="6"/>
    <n v="1"/>
    <d v="2026-01-07T00:00:00"/>
    <d v="2026-01-12T00:00:00"/>
    <n v="428.18"/>
    <n v="165.12"/>
    <n v="165.12"/>
    <n v="0"/>
    <s v="Paid"/>
    <s v=""/>
    <d v="2026-02-09T00:00:00"/>
    <d v="2026-02-09T00:00:00"/>
    <n v="420"/>
    <n v="0.45"/>
    <n v="189"/>
    <n v="23.879999999999995"/>
    <x v="1"/>
    <x v="5"/>
    <x v="5"/>
  </r>
  <r>
    <s v="CLM105703"/>
    <s v="PT10260"/>
    <s v="P02"/>
    <x v="3"/>
    <x v="3"/>
    <n v="10"/>
    <d v="2026-04-25T00:00:00"/>
    <d v="2026-04-29T00:00:00"/>
    <n v="14332.6"/>
    <n v="5868.07"/>
    <n v="5868.07"/>
    <n v="0"/>
    <s v="Paid"/>
    <s v=""/>
    <d v="2026-05-26T00:00:00"/>
    <d v="2026-05-26T00:00:00"/>
    <n v="1450"/>
    <n v="0.43"/>
    <n v="6235"/>
    <n v="366.93000000000029"/>
    <x v="1"/>
    <x v="6"/>
    <x v="10"/>
  </r>
  <r>
    <s v="CLM105704"/>
    <s v="PT11059"/>
    <s v="P01"/>
    <x v="1"/>
    <x v="7"/>
    <n v="1"/>
    <d v="2026-07-05T00:00:00"/>
    <d v="2026-07-09T00:00:00"/>
    <n v="214.18"/>
    <n v="97.22"/>
    <n v="97.22"/>
    <n v="0"/>
    <s v="Paid"/>
    <s v=""/>
    <d v="2026-08-08T00:00:00"/>
    <d v="2026-08-08T00:00:00"/>
    <n v="210"/>
    <n v="0.45"/>
    <n v="94.5"/>
    <n v="-2.7199999999999989"/>
    <x v="0"/>
    <x v="5"/>
    <x v="1"/>
  </r>
  <r>
    <s v="CLM105705"/>
    <s v="PT10824"/>
    <s v="P05"/>
    <x v="1"/>
    <x v="11"/>
    <n v="1"/>
    <d v="2025-11-20T00:00:00"/>
    <d v="2025-11-21T00:00:00"/>
    <n v="1179.79"/>
    <n v="471.25"/>
    <n v="471.25"/>
    <n v="0"/>
    <s v="Paid"/>
    <s v=""/>
    <d v="2026-02-04T00:00:00"/>
    <d v="2026-02-04T00:00:00"/>
    <n v="1150"/>
    <n v="0.38"/>
    <n v="437"/>
    <n v="-34.25"/>
    <x v="0"/>
    <x v="0"/>
    <x v="3"/>
  </r>
  <r>
    <s v="CLM105706"/>
    <s v="PT11190"/>
    <s v="P01"/>
    <x v="3"/>
    <x v="6"/>
    <n v="1"/>
    <d v="2026-02-23T00:00:00"/>
    <d v="2026-02-24T00:00:00"/>
    <n v="420.66"/>
    <n v="165.04"/>
    <n v="165.04"/>
    <n v="0"/>
    <s v="Paid"/>
    <s v=""/>
    <d v="2026-03-29T00:00:00"/>
    <d v="2026-03-29T00:00:00"/>
    <n v="420"/>
    <n v="0.45"/>
    <n v="189"/>
    <n v="23.960000000000008"/>
    <x v="1"/>
    <x v="5"/>
    <x v="0"/>
  </r>
  <r>
    <s v="CLM105707"/>
    <s v="PT12904"/>
    <s v="P03"/>
    <x v="3"/>
    <x v="3"/>
    <n v="20"/>
    <d v="2025-10-04T00:00:00"/>
    <d v="2025-10-07T00:00:00"/>
    <n v="29600.39"/>
    <m/>
    <m/>
    <m/>
    <s v="Denied"/>
    <s v="CO-11"/>
    <d v="2025-10-30T00:00:00"/>
    <m/>
    <n v="1450"/>
    <n v="0.47"/>
    <n v="13630"/>
    <s v=""/>
    <x v="2"/>
    <x v="4"/>
    <x v="9"/>
  </r>
  <r>
    <s v="CLM105708"/>
    <s v="PT11877"/>
    <s v="P06"/>
    <x v="0"/>
    <x v="8"/>
    <n v="1"/>
    <d v="2025-10-28T00:00:00"/>
    <d v="2025-11-03T00:00:00"/>
    <n v="254.84"/>
    <n v="67.95"/>
    <n v="67.95"/>
    <n v="0"/>
    <s v="Paid"/>
    <s v=""/>
    <d v="2025-12-19T00:00:00"/>
    <d v="2025-12-19T00:00:00"/>
    <n v="260"/>
    <n v="0.27"/>
    <n v="70.2"/>
    <n v="2.25"/>
    <x v="0"/>
    <x v="2"/>
    <x v="9"/>
  </r>
  <r>
    <s v="CLM105709"/>
    <s v="PT11400"/>
    <s v="P02"/>
    <x v="0"/>
    <x v="7"/>
    <n v="1"/>
    <d v="2026-02-22T00:00:00"/>
    <d v="2026-03-02T00:00:00"/>
    <n v="213.23"/>
    <n v="86.52"/>
    <n v="86.52"/>
    <n v="0"/>
    <s v="Paid"/>
    <s v=""/>
    <d v="2026-03-23T00:00:00"/>
    <d v="2026-03-23T00:00:00"/>
    <n v="210"/>
    <n v="0.43"/>
    <n v="90.3"/>
    <n v="3.7800000000000011"/>
    <x v="0"/>
    <x v="6"/>
    <x v="0"/>
  </r>
  <r>
    <s v="CLM105710"/>
    <s v="PT11823"/>
    <s v="P07"/>
    <x v="2"/>
    <x v="9"/>
    <n v="4"/>
    <d v="2026-01-12T00:00:00"/>
    <d v="2026-01-13T00:00:00"/>
    <n v="225.91"/>
    <m/>
    <m/>
    <m/>
    <s v="Denied"/>
    <s v="CO-27"/>
    <d v="2026-03-04T00:00:00"/>
    <m/>
    <n v="58"/>
    <n v="0.28000000000000003"/>
    <n v="64.959999999999994"/>
    <s v=""/>
    <x v="2"/>
    <x v="3"/>
    <x v="5"/>
  </r>
  <r>
    <s v="CLM105711"/>
    <s v="PT10343"/>
    <s v="P02"/>
    <x v="1"/>
    <x v="11"/>
    <n v="1"/>
    <d v="2026-08-24T00:00:00"/>
    <d v="2026-08-26T00:00:00"/>
    <n v="1143.23"/>
    <m/>
    <m/>
    <m/>
    <s v="Denied"/>
    <s v="CO-197"/>
    <d v="2026-09-10T00:00:00"/>
    <m/>
    <n v="1150"/>
    <n v="0.43"/>
    <n v="494.5"/>
    <s v=""/>
    <x v="2"/>
    <x v="6"/>
    <x v="4"/>
  </r>
  <r>
    <s v="CLM105712"/>
    <s v="PT12256"/>
    <s v="P01"/>
    <x v="0"/>
    <x v="4"/>
    <n v="1"/>
    <d v="2025-11-15T00:00:00"/>
    <d v="2025-11-17T00:00:00"/>
    <n v="39.08"/>
    <n v="15.94"/>
    <n v="12.75"/>
    <n v="3.19"/>
    <s v="Paid"/>
    <s v=""/>
    <d v="2025-12-26T00:00:00"/>
    <d v="2025-12-26T00:00:00"/>
    <n v="38"/>
    <n v="0.45"/>
    <n v="17.100000000000001"/>
    <n v="1.1600000000000019"/>
    <x v="1"/>
    <x v="5"/>
    <x v="3"/>
  </r>
  <r>
    <s v="CLM105713"/>
    <s v="PT11348"/>
    <s v="P04"/>
    <x v="0"/>
    <x v="4"/>
    <n v="1"/>
    <d v="2026-08-21T00:00:00"/>
    <d v="2026-08-22T00:00:00"/>
    <n v="37.619999999999997"/>
    <n v="15.23"/>
    <n v="15.23"/>
    <n v="0"/>
    <s v="Paid"/>
    <s v=""/>
    <d v="2026-09-01T00:00:00"/>
    <d v="2026-09-01T00:00:00"/>
    <n v="38"/>
    <n v="0.36"/>
    <n v="13.68"/>
    <n v="-1.5500000000000007"/>
    <x v="0"/>
    <x v="1"/>
    <x v="4"/>
  </r>
  <r>
    <s v="CLM105714"/>
    <s v="PT13493"/>
    <s v="P02"/>
    <x v="3"/>
    <x v="7"/>
    <n v="1"/>
    <d v="2026-01-13T00:00:00"/>
    <d v="2026-01-21T00:00:00"/>
    <n v="205.21"/>
    <n v="78.92"/>
    <n v="78.92"/>
    <n v="0"/>
    <s v="Paid"/>
    <s v=""/>
    <d v="2026-02-20T00:00:00"/>
    <d v="2026-02-20T00:00:00"/>
    <n v="210"/>
    <n v="0.43"/>
    <n v="90.3"/>
    <n v="11.379999999999995"/>
    <x v="1"/>
    <x v="6"/>
    <x v="5"/>
  </r>
  <r>
    <s v="CLM105715"/>
    <s v="PT11996"/>
    <s v="P01"/>
    <x v="1"/>
    <x v="5"/>
    <n v="1"/>
    <d v="2026-04-08T00:00:00"/>
    <d v="2026-04-09T00:00:00"/>
    <n v="4932.09"/>
    <n v="1885.65"/>
    <n v="1697.08"/>
    <n v="188.57"/>
    <s v="Paid"/>
    <s v=""/>
    <d v="2026-04-28T00:00:00"/>
    <d v="2026-04-28T00:00:00"/>
    <n v="4800"/>
    <n v="0.45"/>
    <n v="2160"/>
    <n v="274.34999999999991"/>
    <x v="1"/>
    <x v="5"/>
    <x v="10"/>
  </r>
  <r>
    <s v="CLM105716"/>
    <s v="PT10136"/>
    <s v="P06"/>
    <x v="1"/>
    <x v="7"/>
    <n v="1"/>
    <d v="2026-01-21T00:00:00"/>
    <d v="2026-01-24T00:00:00"/>
    <n v="211.76"/>
    <n v="51.61"/>
    <n v="41.29"/>
    <n v="10.32"/>
    <s v="Paid"/>
    <s v=""/>
    <d v="2026-02-17T00:00:00"/>
    <d v="2026-02-17T00:00:00"/>
    <n v="210"/>
    <n v="0.27"/>
    <n v="56.7"/>
    <n v="5.0900000000000034"/>
    <x v="1"/>
    <x v="2"/>
    <x v="5"/>
  </r>
  <r>
    <s v="CLM105717"/>
    <s v="PT11926"/>
    <s v="P02"/>
    <x v="1"/>
    <x v="11"/>
    <n v="1"/>
    <d v="2026-03-08T00:00:00"/>
    <d v="2026-03-10T00:00:00"/>
    <n v="1170.5899999999999"/>
    <n v="561.25"/>
    <n v="561.25"/>
    <n v="0"/>
    <s v="Paid"/>
    <s v=""/>
    <d v="2026-03-31T00:00:00"/>
    <d v="2026-03-31T00:00:00"/>
    <n v="1150"/>
    <n v="0.43"/>
    <n v="494.5"/>
    <n v="-66.75"/>
    <x v="0"/>
    <x v="6"/>
    <x v="2"/>
  </r>
  <r>
    <s v="CLM105718"/>
    <s v="PT12639"/>
    <s v="P03"/>
    <x v="0"/>
    <x v="0"/>
    <n v="1"/>
    <d v="2025-10-08T00:00:00"/>
    <d v="2025-10-13T00:00:00"/>
    <n v="147.31"/>
    <n v="70.67"/>
    <n v="70.67"/>
    <n v="0"/>
    <s v="Paid"/>
    <s v=""/>
    <d v="2025-11-16T00:00:00"/>
    <d v="2025-11-16T00:00:00"/>
    <n v="145"/>
    <n v="0.47"/>
    <n v="68.150000000000006"/>
    <n v="-2.519999999999996"/>
    <x v="0"/>
    <x v="4"/>
    <x v="9"/>
  </r>
  <r>
    <s v="CLM105719"/>
    <s v="PT11485"/>
    <s v="P05"/>
    <x v="2"/>
    <x v="0"/>
    <n v="1"/>
    <d v="2026-02-20T00:00:00"/>
    <d v="2026-02-25T00:00:00"/>
    <n v="143.82"/>
    <m/>
    <m/>
    <m/>
    <s v="Denied"/>
    <s v="CO-11"/>
    <d v="2026-04-23T00:00:00"/>
    <m/>
    <n v="145"/>
    <n v="0.38"/>
    <n v="55.1"/>
    <s v=""/>
    <x v="2"/>
    <x v="0"/>
    <x v="0"/>
  </r>
  <r>
    <s v="CLM105720"/>
    <s v="PT10872"/>
    <s v="P01"/>
    <x v="3"/>
    <x v="6"/>
    <n v="1"/>
    <d v="2026-04-18T00:00:00"/>
    <d v="2026-04-23T00:00:00"/>
    <n v="407.88"/>
    <m/>
    <m/>
    <m/>
    <s v="Denied"/>
    <s v="CO-16"/>
    <d v="2026-05-28T00:00:00"/>
    <m/>
    <n v="420"/>
    <n v="0.45"/>
    <n v="189"/>
    <s v=""/>
    <x v="2"/>
    <x v="5"/>
    <x v="10"/>
  </r>
  <r>
    <s v="CLM105721"/>
    <s v="PT11403"/>
    <s v="P02"/>
    <x v="1"/>
    <x v="1"/>
    <n v="1"/>
    <d v="2026-01-26T00:00:00"/>
    <d v="2026-01-27T00:00:00"/>
    <n v="247.18"/>
    <m/>
    <m/>
    <m/>
    <s v="Denied"/>
    <s v="CO-4"/>
    <d v="2026-02-15T00:00:00"/>
    <m/>
    <n v="240"/>
    <n v="0.43"/>
    <n v="103.2"/>
    <s v=""/>
    <x v="2"/>
    <x v="6"/>
    <x v="5"/>
  </r>
  <r>
    <s v="CLM105722"/>
    <s v="PT12700"/>
    <s v="P05"/>
    <x v="3"/>
    <x v="6"/>
    <n v="1"/>
    <d v="2025-10-05T00:00:00"/>
    <d v="2025-10-07T00:00:00"/>
    <n v="414.32"/>
    <n v="150.1"/>
    <n v="150.1"/>
    <n v="0"/>
    <s v="Paid"/>
    <s v=""/>
    <d v="2025-12-05T00:00:00"/>
    <d v="2025-12-05T00:00:00"/>
    <n v="420"/>
    <n v="0.38"/>
    <n v="159.6"/>
    <n v="9.5"/>
    <x v="1"/>
    <x v="0"/>
    <x v="9"/>
  </r>
  <r>
    <s v="CLM105723"/>
    <s v="PT12254"/>
    <s v="P04"/>
    <x v="0"/>
    <x v="7"/>
    <n v="1"/>
    <d v="2025-11-07T00:00:00"/>
    <d v="2025-11-16T00:00:00"/>
    <n v="213.95"/>
    <n v="80.209999999999994"/>
    <n v="64.17"/>
    <n v="16.04"/>
    <s v="Paid"/>
    <s v=""/>
    <d v="2025-12-03T00:00:00"/>
    <d v="2025-12-03T00:00:00"/>
    <n v="210"/>
    <n v="0.36"/>
    <n v="75.599999999999994"/>
    <n v="-4.6099999999999994"/>
    <x v="0"/>
    <x v="1"/>
    <x v="3"/>
  </r>
  <r>
    <s v="CLM105724"/>
    <s v="PT12174"/>
    <s v="P01"/>
    <x v="0"/>
    <x v="4"/>
    <n v="1"/>
    <d v="2026-09-14T00:00:00"/>
    <d v="2026-09-16T00:00:00"/>
    <n v="39.08"/>
    <m/>
    <m/>
    <m/>
    <s v="Pending"/>
    <s v=""/>
    <m/>
    <m/>
    <n v="38"/>
    <n v="0.45"/>
    <n v="17.100000000000001"/>
    <s v=""/>
    <x v="2"/>
    <x v="5"/>
    <x v="8"/>
  </r>
  <r>
    <s v="CLM105725"/>
    <s v="PT13256"/>
    <s v="P01"/>
    <x v="1"/>
    <x v="7"/>
    <n v="1"/>
    <d v="2025-10-14T00:00:00"/>
    <d v="2025-10-15T00:00:00"/>
    <n v="213.02"/>
    <m/>
    <m/>
    <m/>
    <s v="Denied"/>
    <s v="CO-18"/>
    <d v="2025-11-17T00:00:00"/>
    <m/>
    <n v="210"/>
    <n v="0.45"/>
    <n v="94.5"/>
    <s v=""/>
    <x v="2"/>
    <x v="5"/>
    <x v="9"/>
  </r>
  <r>
    <s v="CLM105726"/>
    <s v="PT12285"/>
    <s v="P04"/>
    <x v="3"/>
    <x v="3"/>
    <n v="20"/>
    <d v="2025-12-25T00:00:00"/>
    <d v="2025-12-26T00:00:00"/>
    <n v="29299.94"/>
    <n v="11319.01"/>
    <n v="11319.01"/>
    <n v="0"/>
    <s v="Paid"/>
    <s v=""/>
    <d v="2026-01-10T00:00:00"/>
    <d v="2026-01-10T00:00:00"/>
    <n v="1450"/>
    <n v="0.36"/>
    <n v="10440"/>
    <n v="-879.01000000000022"/>
    <x v="0"/>
    <x v="1"/>
    <x v="6"/>
  </r>
  <r>
    <s v="CLM105727"/>
    <s v="PT10183"/>
    <s v="P03"/>
    <x v="1"/>
    <x v="4"/>
    <n v="1"/>
    <d v="2026-06-03T00:00:00"/>
    <d v="2026-06-04T00:00:00"/>
    <n v="38.29"/>
    <m/>
    <m/>
    <m/>
    <s v="Denied"/>
    <s v="CO-16"/>
    <d v="2026-07-29T00:00:00"/>
    <m/>
    <n v="38"/>
    <n v="0.47"/>
    <n v="17.86"/>
    <s v=""/>
    <x v="2"/>
    <x v="4"/>
    <x v="11"/>
  </r>
  <r>
    <s v="CLM105728"/>
    <s v="PT13160"/>
    <s v="P04"/>
    <x v="2"/>
    <x v="0"/>
    <n v="1"/>
    <d v="2026-02-13T00:00:00"/>
    <d v="2026-02-17T00:00:00"/>
    <n v="147.13"/>
    <n v="53.31"/>
    <n v="53.31"/>
    <n v="0"/>
    <s v="Paid"/>
    <s v=""/>
    <d v="2026-03-11T00:00:00"/>
    <d v="2026-03-11T00:00:00"/>
    <n v="145"/>
    <n v="0.36"/>
    <n v="52.2"/>
    <n v="-1.1099999999999994"/>
    <x v="0"/>
    <x v="1"/>
    <x v="0"/>
  </r>
  <r>
    <s v="CLM105729"/>
    <s v="PT13139"/>
    <s v="P06"/>
    <x v="3"/>
    <x v="6"/>
    <n v="1"/>
    <d v="2026-01-21T00:00:00"/>
    <d v="2026-01-23T00:00:00"/>
    <n v="432.59"/>
    <n v="120.07"/>
    <n v="108.06"/>
    <n v="12.01"/>
    <s v="Paid"/>
    <s v=""/>
    <d v="2026-02-12T00:00:00"/>
    <d v="2026-02-12T00:00:00"/>
    <n v="420"/>
    <n v="0.27"/>
    <n v="113.4"/>
    <n v="-6.6699999999999875"/>
    <x v="0"/>
    <x v="2"/>
    <x v="5"/>
  </r>
  <r>
    <s v="CLM105730"/>
    <s v="PT13072"/>
    <s v="P06"/>
    <x v="0"/>
    <x v="4"/>
    <n v="1"/>
    <d v="2025-10-15T00:00:00"/>
    <d v="2025-10-20T00:00:00"/>
    <n v="38.82"/>
    <n v="8.98"/>
    <n v="7.18"/>
    <n v="1.8"/>
    <s v="Paid"/>
    <s v=""/>
    <d v="2025-11-12T00:00:00"/>
    <d v="2025-11-12T00:00:00"/>
    <n v="38"/>
    <n v="0.27"/>
    <n v="10.26"/>
    <n v="1.2799999999999994"/>
    <x v="1"/>
    <x v="2"/>
    <x v="9"/>
  </r>
  <r>
    <s v="CLM105731"/>
    <s v="PT12994"/>
    <s v="P05"/>
    <x v="2"/>
    <x v="9"/>
    <n v="4"/>
    <d v="2026-06-27T00:00:00"/>
    <d v="2026-07-08T00:00:00"/>
    <n v="233.18"/>
    <n v="81.319999999999993"/>
    <n v="81.319999999999993"/>
    <n v="0"/>
    <s v="Paid"/>
    <s v=""/>
    <d v="2026-08-27T00:00:00"/>
    <d v="2026-08-27T00:00:00"/>
    <n v="58"/>
    <n v="0.38"/>
    <n v="88.16"/>
    <n v="6.8400000000000034"/>
    <x v="1"/>
    <x v="0"/>
    <x v="11"/>
  </r>
  <r>
    <s v="CLM105732"/>
    <s v="PT12670"/>
    <s v="P01"/>
    <x v="0"/>
    <x v="4"/>
    <n v="1"/>
    <d v="2026-05-16T00:00:00"/>
    <d v="2026-05-20T00:00:00"/>
    <n v="38.659999999999997"/>
    <n v="18.420000000000002"/>
    <n v="14.74"/>
    <n v="3.68"/>
    <s v="Paid"/>
    <s v=""/>
    <d v="2026-06-14T00:00:00"/>
    <d v="2026-06-14T00:00:00"/>
    <n v="38"/>
    <n v="0.45"/>
    <n v="17.100000000000001"/>
    <n v="-1.3200000000000003"/>
    <x v="0"/>
    <x v="5"/>
    <x v="7"/>
  </r>
  <r>
    <s v="CLM105733"/>
    <s v="PT11518"/>
    <s v="P01"/>
    <x v="3"/>
    <x v="7"/>
    <n v="1"/>
    <d v="2026-08-19T00:00:00"/>
    <d v="2026-08-24T00:00:00"/>
    <n v="212.33"/>
    <n v="104.09"/>
    <n v="104.09"/>
    <n v="0"/>
    <s v="Paid"/>
    <s v=""/>
    <d v="2026-09-21T00:00:00"/>
    <d v="2026-09-21T00:00:00"/>
    <n v="210"/>
    <n v="0.45"/>
    <n v="94.5"/>
    <n v="-9.5900000000000034"/>
    <x v="0"/>
    <x v="5"/>
    <x v="4"/>
  </r>
  <r>
    <s v="CLM105734"/>
    <s v="PT10400"/>
    <s v="P04"/>
    <x v="0"/>
    <x v="8"/>
    <n v="1"/>
    <d v="2026-02-24T00:00:00"/>
    <d v="2026-02-28T00:00:00"/>
    <n v="260.72000000000003"/>
    <n v="95.96"/>
    <n v="95.96"/>
    <n v="0"/>
    <s v="Paid"/>
    <s v=""/>
    <d v="2026-03-23T00:00:00"/>
    <d v="2026-03-23T00:00:00"/>
    <n v="260"/>
    <n v="0.36"/>
    <n v="93.6"/>
    <n v="-2.3599999999999994"/>
    <x v="0"/>
    <x v="1"/>
    <x v="0"/>
  </r>
  <r>
    <s v="CLM105735"/>
    <s v="PT10268"/>
    <s v="P02"/>
    <x v="3"/>
    <x v="3"/>
    <n v="30"/>
    <d v="2026-06-04T00:00:00"/>
    <d v="2026-06-07T00:00:00"/>
    <n v="44194.63"/>
    <n v="17464.79"/>
    <n v="13971.83"/>
    <n v="3492.96"/>
    <s v="Paid"/>
    <s v=""/>
    <d v="2026-07-15T00:00:00"/>
    <d v="2026-07-15T00:00:00"/>
    <n v="1450"/>
    <n v="0.43"/>
    <n v="18705"/>
    <n v="1240.2099999999991"/>
    <x v="1"/>
    <x v="6"/>
    <x v="11"/>
  </r>
  <r>
    <s v="CLM105736"/>
    <s v="PT13158"/>
    <s v="P06"/>
    <x v="0"/>
    <x v="8"/>
    <n v="1"/>
    <d v="2026-04-15T00:00:00"/>
    <d v="2026-04-18T00:00:00"/>
    <n v="257.23"/>
    <n v="72.95"/>
    <n v="65.650000000000006"/>
    <n v="7.3"/>
    <s v="Paid"/>
    <s v=""/>
    <d v="2026-06-11T00:00:00"/>
    <d v="2026-06-11T00:00:00"/>
    <n v="260"/>
    <n v="0.27"/>
    <n v="70.2"/>
    <n v="-2.75"/>
    <x v="0"/>
    <x v="2"/>
    <x v="10"/>
  </r>
  <r>
    <s v="CLM105737"/>
    <s v="PT10893"/>
    <s v="P01"/>
    <x v="3"/>
    <x v="3"/>
    <n v="30"/>
    <d v="2026-04-24T00:00:00"/>
    <d v="2026-04-25T00:00:00"/>
    <n v="42701.4"/>
    <n v="21271.41"/>
    <n v="17017.13"/>
    <n v="4254.28"/>
    <s v="Paid"/>
    <s v=""/>
    <d v="2026-05-15T00:00:00"/>
    <d v="2026-05-15T00:00:00"/>
    <n v="1450"/>
    <n v="0.45"/>
    <n v="19575"/>
    <n v="-1696.4099999999999"/>
    <x v="0"/>
    <x v="5"/>
    <x v="10"/>
  </r>
  <r>
    <s v="CLM105738"/>
    <s v="PT11601"/>
    <s v="P01"/>
    <x v="2"/>
    <x v="2"/>
    <n v="4"/>
    <d v="2026-03-24T00:00:00"/>
    <d v="2026-04-05T00:00:00"/>
    <n v="250.73"/>
    <n v="125.02"/>
    <n v="100.02"/>
    <n v="25"/>
    <s v="Paid"/>
    <s v=""/>
    <d v="2026-04-27T00:00:00"/>
    <d v="2026-04-27T00:00:00"/>
    <n v="62"/>
    <n v="0.45"/>
    <n v="111.6"/>
    <n v="-13.420000000000002"/>
    <x v="0"/>
    <x v="5"/>
    <x v="2"/>
  </r>
  <r>
    <s v="CLM105739"/>
    <s v="PT11135"/>
    <s v="P03"/>
    <x v="0"/>
    <x v="7"/>
    <n v="1"/>
    <d v="2025-10-15T00:00:00"/>
    <d v="2025-10-16T00:00:00"/>
    <n v="206.46"/>
    <m/>
    <m/>
    <m/>
    <s v="Denied"/>
    <s v="CO-4"/>
    <d v="2025-12-14T00:00:00"/>
    <m/>
    <n v="210"/>
    <n v="0.47"/>
    <n v="98.7"/>
    <s v=""/>
    <x v="2"/>
    <x v="4"/>
    <x v="9"/>
  </r>
  <r>
    <s v="CLM105740"/>
    <s v="PT10649"/>
    <s v="P07"/>
    <x v="0"/>
    <x v="8"/>
    <n v="1"/>
    <d v="2026-09-18T00:00:00"/>
    <d v="2026-09-22T00:00:00"/>
    <n v="263.27999999999997"/>
    <m/>
    <m/>
    <m/>
    <s v="Pending"/>
    <s v=""/>
    <m/>
    <m/>
    <n v="260"/>
    <n v="0.28000000000000003"/>
    <n v="72.8"/>
    <s v=""/>
    <x v="2"/>
    <x v="3"/>
    <x v="8"/>
  </r>
  <r>
    <s v="CLM105741"/>
    <s v="PT11530"/>
    <s v="P07"/>
    <x v="0"/>
    <x v="4"/>
    <n v="1"/>
    <d v="2026-06-30T00:00:00"/>
    <d v="2026-07-01T00:00:00"/>
    <n v="38.200000000000003"/>
    <m/>
    <m/>
    <m/>
    <s v="Denied"/>
    <s v="CO-16"/>
    <d v="2026-09-06T00:00:00"/>
    <m/>
    <n v="38"/>
    <n v="0.28000000000000003"/>
    <n v="10.64"/>
    <s v=""/>
    <x v="2"/>
    <x v="3"/>
    <x v="11"/>
  </r>
  <r>
    <s v="CLM105742"/>
    <s v="PT10751"/>
    <s v="P01"/>
    <x v="1"/>
    <x v="7"/>
    <n v="1"/>
    <d v="2026-09-19T00:00:00"/>
    <d v="2026-09-20T00:00:00"/>
    <n v="211.35"/>
    <m/>
    <m/>
    <m/>
    <s v="Pending"/>
    <s v=""/>
    <m/>
    <m/>
    <n v="210"/>
    <n v="0.45"/>
    <n v="94.5"/>
    <s v=""/>
    <x v="2"/>
    <x v="5"/>
    <x v="8"/>
  </r>
  <r>
    <s v="CLM105743"/>
    <s v="PT11744"/>
    <s v="P05"/>
    <x v="1"/>
    <x v="7"/>
    <n v="1"/>
    <d v="2026-06-08T00:00:00"/>
    <d v="2026-06-21T00:00:00"/>
    <n v="215.33"/>
    <n v="87.96"/>
    <n v="87.96"/>
    <n v="0"/>
    <s v="Paid"/>
    <s v=""/>
    <d v="2026-08-26T00:00:00"/>
    <d v="2026-08-26T00:00:00"/>
    <n v="210"/>
    <n v="0.38"/>
    <n v="79.8"/>
    <n v="-8.1599999999999966"/>
    <x v="0"/>
    <x v="0"/>
    <x v="11"/>
  </r>
  <r>
    <s v="CLM105744"/>
    <s v="PT11808"/>
    <s v="P02"/>
    <x v="1"/>
    <x v="1"/>
    <n v="1"/>
    <d v="2026-08-11T00:00:00"/>
    <d v="2026-08-19T00:00:00"/>
    <n v="244.89"/>
    <n v="90.51"/>
    <n v="72.41"/>
    <n v="18.100000000000001"/>
    <s v="Paid"/>
    <s v=""/>
    <d v="2026-09-16T00:00:00"/>
    <d v="2026-09-16T00:00:00"/>
    <n v="240"/>
    <n v="0.43"/>
    <n v="103.2"/>
    <n v="12.689999999999998"/>
    <x v="1"/>
    <x v="6"/>
    <x v="4"/>
  </r>
  <r>
    <s v="CLM105745"/>
    <s v="PT10582"/>
    <s v="P02"/>
    <x v="0"/>
    <x v="0"/>
    <n v="1"/>
    <d v="2025-11-29T00:00:00"/>
    <d v="2025-12-03T00:00:00"/>
    <n v="146.63"/>
    <n v="53.92"/>
    <n v="43.14"/>
    <n v="10.78"/>
    <s v="Paid"/>
    <s v=""/>
    <d v="2026-01-07T00:00:00"/>
    <d v="2026-01-07T00:00:00"/>
    <n v="145"/>
    <n v="0.43"/>
    <n v="62.35"/>
    <n v="8.43"/>
    <x v="1"/>
    <x v="6"/>
    <x v="3"/>
  </r>
  <r>
    <s v="CLM105746"/>
    <s v="PT13165"/>
    <s v="P03"/>
    <x v="3"/>
    <x v="6"/>
    <n v="1"/>
    <d v="2026-04-20T00:00:00"/>
    <d v="2026-04-21T00:00:00"/>
    <n v="429.59"/>
    <n v="207.64"/>
    <n v="186.88"/>
    <n v="20.76"/>
    <s v="Paid"/>
    <s v=""/>
    <d v="2026-05-20T00:00:00"/>
    <d v="2026-05-20T00:00:00"/>
    <n v="420"/>
    <n v="0.47"/>
    <n v="197.4"/>
    <n v="-10.239999999999981"/>
    <x v="0"/>
    <x v="4"/>
    <x v="10"/>
  </r>
  <r>
    <s v="CLM105747"/>
    <s v="PT11363"/>
    <s v="P05"/>
    <x v="3"/>
    <x v="7"/>
    <n v="1"/>
    <d v="2025-10-19T00:00:00"/>
    <d v="2025-10-22T00:00:00"/>
    <n v="214.25"/>
    <n v="70.36"/>
    <n v="70.36"/>
    <n v="0"/>
    <s v="Paid"/>
    <s v=""/>
    <d v="2025-12-04T00:00:00"/>
    <d v="2025-12-04T00:00:00"/>
    <n v="210"/>
    <n v="0.38"/>
    <n v="79.8"/>
    <n v="9.4399999999999977"/>
    <x v="1"/>
    <x v="0"/>
    <x v="9"/>
  </r>
  <r>
    <s v="CLM105748"/>
    <s v="PT13174"/>
    <s v="P04"/>
    <x v="3"/>
    <x v="7"/>
    <n v="1"/>
    <d v="2026-07-18T00:00:00"/>
    <d v="2026-07-23T00:00:00"/>
    <n v="209.55"/>
    <n v="78.849999999999994"/>
    <n v="70.97"/>
    <n v="7.88"/>
    <s v="Paid"/>
    <s v=""/>
    <d v="2026-08-21T00:00:00"/>
    <d v="2026-08-21T00:00:00"/>
    <n v="210"/>
    <n v="0.36"/>
    <n v="75.599999999999994"/>
    <n v="-3.25"/>
    <x v="0"/>
    <x v="1"/>
    <x v="1"/>
  </r>
  <r>
    <s v="CLM105749"/>
    <s v="PT11915"/>
    <s v="P01"/>
    <x v="2"/>
    <x v="9"/>
    <n v="1"/>
    <d v="2025-10-01T00:00:00"/>
    <d v="2025-10-03T00:00:00"/>
    <n v="58.39"/>
    <n v="26.31"/>
    <n v="21.05"/>
    <n v="5.26"/>
    <s v="Paid"/>
    <s v=""/>
    <d v="2025-11-07T00:00:00"/>
    <d v="2025-11-07T00:00:00"/>
    <n v="58"/>
    <n v="0.45"/>
    <n v="26.1"/>
    <n v="-0.2099999999999973"/>
    <x v="0"/>
    <x v="5"/>
    <x v="9"/>
  </r>
  <r>
    <s v="CLM105750"/>
    <s v="PT13092"/>
    <s v="P03"/>
    <x v="3"/>
    <x v="6"/>
    <n v="1"/>
    <d v="2026-01-25T00:00:00"/>
    <d v="2026-01-28T00:00:00"/>
    <n v="426.3"/>
    <n v="174.87"/>
    <n v="174.87"/>
    <n v="0"/>
    <s v="Paid"/>
    <s v=""/>
    <d v="2026-05-03T00:00:00"/>
    <d v="2026-05-03T00:00:00"/>
    <n v="420"/>
    <n v="0.47"/>
    <n v="197.4"/>
    <n v="22.53"/>
    <x v="1"/>
    <x v="4"/>
    <x v="5"/>
  </r>
  <r>
    <s v="CLM105751"/>
    <s v="PT10770"/>
    <s v="P05"/>
    <x v="0"/>
    <x v="7"/>
    <n v="1"/>
    <d v="2025-11-14T00:00:00"/>
    <d v="2025-12-07T00:00:00"/>
    <n v="216.11"/>
    <m/>
    <m/>
    <m/>
    <s v="Denied"/>
    <s v="CO-18"/>
    <d v="2026-01-16T00:00:00"/>
    <m/>
    <n v="210"/>
    <n v="0.38"/>
    <n v="79.8"/>
    <s v=""/>
    <x v="2"/>
    <x v="0"/>
    <x v="3"/>
  </r>
  <r>
    <s v="CLM105752"/>
    <s v="PT12133"/>
    <s v="P02"/>
    <x v="2"/>
    <x v="0"/>
    <n v="1"/>
    <d v="2025-10-27T00:00:00"/>
    <d v="2025-10-31T00:00:00"/>
    <n v="145.18"/>
    <n v="63.43"/>
    <n v="63.43"/>
    <n v="0"/>
    <s v="Paid"/>
    <s v=""/>
    <d v="2025-12-25T00:00:00"/>
    <d v="2025-12-25T00:00:00"/>
    <n v="145"/>
    <n v="0.43"/>
    <n v="62.35"/>
    <n v="-1.0799999999999983"/>
    <x v="0"/>
    <x v="6"/>
    <x v="9"/>
  </r>
  <r>
    <s v="CLM105753"/>
    <s v="PT12736"/>
    <s v="P03"/>
    <x v="1"/>
    <x v="5"/>
    <n v="1"/>
    <d v="2026-04-01T00:00:00"/>
    <d v="2026-04-02T00:00:00"/>
    <n v="4831.7299999999996"/>
    <n v="1993.97"/>
    <n v="1595.18"/>
    <n v="398.79"/>
    <s v="Paid"/>
    <s v=""/>
    <d v="2026-05-29T00:00:00"/>
    <d v="2026-05-29T00:00:00"/>
    <n v="4800"/>
    <n v="0.47"/>
    <n v="2256"/>
    <n v="262.02999999999997"/>
    <x v="1"/>
    <x v="4"/>
    <x v="10"/>
  </r>
  <r>
    <s v="CLM105755"/>
    <s v="PT11542"/>
    <s v="P01"/>
    <x v="0"/>
    <x v="4"/>
    <n v="1"/>
    <d v="2025-12-25T00:00:00"/>
    <d v="2026-01-08T00:00:00"/>
    <n v="36.89"/>
    <n v="18.59"/>
    <n v="18.59"/>
    <n v="0"/>
    <s v="Paid"/>
    <s v=""/>
    <d v="2026-02-02T00:00:00"/>
    <d v="2026-02-02T00:00:00"/>
    <n v="38"/>
    <n v="0.45"/>
    <n v="17.100000000000001"/>
    <n v="-1.4899999999999984"/>
    <x v="0"/>
    <x v="5"/>
    <x v="6"/>
  </r>
  <r>
    <s v="CLM105756"/>
    <s v="PT11444"/>
    <s v="P03"/>
    <x v="1"/>
    <x v="11"/>
    <n v="1"/>
    <d v="2026-04-09T00:00:00"/>
    <d v="2026-04-29T00:00:00"/>
    <n v="1126"/>
    <n v="579.32000000000005"/>
    <n v="579.32000000000005"/>
    <n v="0"/>
    <s v="Paid"/>
    <s v=""/>
    <d v="2026-06-14T00:00:00"/>
    <d v="2026-06-14T00:00:00"/>
    <n v="1150"/>
    <n v="0.47"/>
    <n v="540.5"/>
    <n v="-38.82000000000005"/>
    <x v="0"/>
    <x v="4"/>
    <x v="10"/>
  </r>
  <r>
    <s v="CLM105757"/>
    <s v="PT11434"/>
    <s v="P02"/>
    <x v="0"/>
    <x v="8"/>
    <n v="1"/>
    <d v="2026-05-25T00:00:00"/>
    <d v="2026-05-26T00:00:00"/>
    <n v="258.67"/>
    <n v="98.76"/>
    <n v="79.010000000000005"/>
    <n v="19.75"/>
    <s v="Paid"/>
    <s v=""/>
    <d v="2026-06-29T00:00:00"/>
    <d v="2026-06-29T00:00:00"/>
    <n v="260"/>
    <n v="0.43"/>
    <n v="111.8"/>
    <n v="13.039999999999992"/>
    <x v="1"/>
    <x v="6"/>
    <x v="7"/>
  </r>
  <r>
    <s v="CLM105758"/>
    <s v="PT10196"/>
    <s v="P07"/>
    <x v="1"/>
    <x v="10"/>
    <n v="1"/>
    <d v="2026-08-23T00:00:00"/>
    <d v="2026-08-26T00:00:00"/>
    <n v="1044.99"/>
    <m/>
    <m/>
    <m/>
    <s v="Pending"/>
    <s v=""/>
    <m/>
    <m/>
    <n v="1050"/>
    <n v="0.28000000000000003"/>
    <n v="294"/>
    <s v=""/>
    <x v="2"/>
    <x v="3"/>
    <x v="4"/>
  </r>
  <r>
    <s v="CLM105759"/>
    <s v="PT10956"/>
    <s v="P06"/>
    <x v="0"/>
    <x v="0"/>
    <n v="1"/>
    <d v="2026-07-17T00:00:00"/>
    <d v="2026-08-01T00:00:00"/>
    <n v="148.53"/>
    <n v="45.99"/>
    <n v="41.39"/>
    <n v="4.5999999999999996"/>
    <s v="Paid"/>
    <s v=""/>
    <d v="2026-09-20T00:00:00"/>
    <d v="2026-09-20T00:00:00"/>
    <n v="145"/>
    <n v="0.27"/>
    <n v="39.15"/>
    <n v="-6.8400000000000034"/>
    <x v="0"/>
    <x v="2"/>
    <x v="1"/>
  </r>
  <r>
    <s v="CLM105760"/>
    <s v="PT10421"/>
    <s v="P07"/>
    <x v="2"/>
    <x v="0"/>
    <n v="1"/>
    <d v="2025-12-06T00:00:00"/>
    <d v="2025-12-12T00:00:00"/>
    <n v="149.21"/>
    <m/>
    <m/>
    <m/>
    <s v="Denied"/>
    <s v="CO-16"/>
    <d v="2026-01-27T00:00:00"/>
    <m/>
    <n v="145"/>
    <n v="0.28000000000000003"/>
    <n v="40.6"/>
    <s v=""/>
    <x v="2"/>
    <x v="3"/>
    <x v="6"/>
  </r>
  <r>
    <s v="CLM105761"/>
    <s v="PT11472"/>
    <s v="P01"/>
    <x v="3"/>
    <x v="7"/>
    <n v="1"/>
    <d v="2025-11-02T00:00:00"/>
    <d v="2025-11-05T00:00:00"/>
    <n v="212.74"/>
    <n v="83.25"/>
    <n v="83.25"/>
    <n v="0"/>
    <s v="Paid"/>
    <s v=""/>
    <d v="2025-11-18T00:00:00"/>
    <d v="2025-11-18T00:00:00"/>
    <n v="210"/>
    <n v="0.45"/>
    <n v="94.5"/>
    <n v="11.25"/>
    <x v="1"/>
    <x v="5"/>
    <x v="3"/>
  </r>
  <r>
    <s v="CLM105762"/>
    <s v="PT10277"/>
    <s v="P04"/>
    <x v="0"/>
    <x v="0"/>
    <n v="1"/>
    <d v="2026-05-08T00:00:00"/>
    <d v="2026-05-12T00:00:00"/>
    <n v="141.86000000000001"/>
    <n v="47.37"/>
    <n v="37.9"/>
    <n v="9.4700000000000006"/>
    <s v="Paid"/>
    <s v=""/>
    <d v="2026-05-26T00:00:00"/>
    <d v="2026-05-26T00:00:00"/>
    <n v="145"/>
    <n v="0.36"/>
    <n v="52.2"/>
    <n v="4.8300000000000054"/>
    <x v="1"/>
    <x v="1"/>
    <x v="7"/>
  </r>
  <r>
    <s v="CLM105763"/>
    <s v="PT12895"/>
    <s v="P01"/>
    <x v="0"/>
    <x v="4"/>
    <n v="1"/>
    <d v="2026-04-24T00:00:00"/>
    <d v="2026-05-03T00:00:00"/>
    <n v="39.11"/>
    <n v="14.91"/>
    <n v="11.93"/>
    <n v="2.98"/>
    <s v="Paid"/>
    <s v=""/>
    <d v="2026-06-01T00:00:00"/>
    <d v="2026-06-01T00:00:00"/>
    <n v="38"/>
    <n v="0.45"/>
    <n v="17.100000000000001"/>
    <n v="2.1900000000000013"/>
    <x v="1"/>
    <x v="5"/>
    <x v="10"/>
  </r>
  <r>
    <s v="CLM105764"/>
    <s v="PT13317"/>
    <s v="P05"/>
    <x v="3"/>
    <x v="7"/>
    <n v="1"/>
    <d v="2025-10-23T00:00:00"/>
    <d v="2025-10-25T00:00:00"/>
    <n v="209.17"/>
    <n v="76.010000000000005"/>
    <n v="76.010000000000005"/>
    <n v="0"/>
    <s v="Paid"/>
    <s v=""/>
    <d v="2025-12-16T00:00:00"/>
    <d v="2025-12-16T00:00:00"/>
    <n v="210"/>
    <n v="0.38"/>
    <n v="79.8"/>
    <n v="3.789999999999992"/>
    <x v="0"/>
    <x v="0"/>
    <x v="9"/>
  </r>
  <r>
    <s v="CLM105765"/>
    <s v="PT10221"/>
    <s v="P07"/>
    <x v="1"/>
    <x v="10"/>
    <n v="1"/>
    <d v="2026-07-05T00:00:00"/>
    <d v="2026-07-26T00:00:00"/>
    <n v="1077.31"/>
    <n v="340.43"/>
    <n v="340.43"/>
    <n v="0"/>
    <s v="Paid"/>
    <s v=""/>
    <d v="2026-09-13T00:00:00"/>
    <d v="2026-09-13T00:00:00"/>
    <n v="1050"/>
    <n v="0.28000000000000003"/>
    <n v="294"/>
    <n v="-46.430000000000007"/>
    <x v="0"/>
    <x v="3"/>
    <x v="1"/>
  </r>
  <r>
    <s v="CLM105766"/>
    <s v="PT10564"/>
    <s v="P03"/>
    <x v="1"/>
    <x v="5"/>
    <n v="1"/>
    <d v="2026-02-28T00:00:00"/>
    <d v="2026-03-03T00:00:00"/>
    <n v="4705.92"/>
    <n v="2011.93"/>
    <n v="1609.54"/>
    <n v="402.39"/>
    <s v="Paid"/>
    <s v=""/>
    <d v="2026-05-11T00:00:00"/>
    <d v="2026-05-11T00:00:00"/>
    <n v="4800"/>
    <n v="0.47"/>
    <n v="2256"/>
    <n v="244.06999999999994"/>
    <x v="1"/>
    <x v="4"/>
    <x v="0"/>
  </r>
  <r>
    <s v="CLM105767"/>
    <s v="PT12557"/>
    <s v="P05"/>
    <x v="2"/>
    <x v="2"/>
    <n v="2"/>
    <d v="2026-02-18T00:00:00"/>
    <d v="2026-02-19T00:00:00"/>
    <n v="120.31"/>
    <n v="49.56"/>
    <n v="49.56"/>
    <n v="0"/>
    <s v="Paid"/>
    <s v=""/>
    <d v="2026-05-07T00:00:00"/>
    <d v="2026-05-07T00:00:00"/>
    <n v="62"/>
    <n v="0.38"/>
    <n v="47.12"/>
    <n v="-2.4400000000000048"/>
    <x v="0"/>
    <x v="0"/>
    <x v="0"/>
  </r>
  <r>
    <s v="CLM105768"/>
    <s v="PT10416"/>
    <s v="P04"/>
    <x v="1"/>
    <x v="10"/>
    <n v="1"/>
    <d v="2026-01-28T00:00:00"/>
    <d v="2026-01-29T00:00:00"/>
    <n v="1042.93"/>
    <m/>
    <m/>
    <m/>
    <s v="Denied"/>
    <s v="CO-27"/>
    <d v="2026-02-08T00:00:00"/>
    <m/>
    <n v="1050"/>
    <n v="0.36"/>
    <n v="378"/>
    <s v=""/>
    <x v="2"/>
    <x v="1"/>
    <x v="5"/>
  </r>
  <r>
    <s v="CLM105769"/>
    <s v="PT10786"/>
    <s v="P04"/>
    <x v="1"/>
    <x v="4"/>
    <n v="1"/>
    <d v="2026-04-20T00:00:00"/>
    <d v="2026-05-11T00:00:00"/>
    <n v="39.14"/>
    <n v="14.31"/>
    <n v="12.88"/>
    <n v="1.43"/>
    <s v="Paid"/>
    <s v=""/>
    <d v="2026-05-31T00:00:00"/>
    <d v="2026-05-31T00:00:00"/>
    <n v="38"/>
    <n v="0.36"/>
    <n v="13.68"/>
    <n v="-0.63000000000000078"/>
    <x v="0"/>
    <x v="1"/>
    <x v="10"/>
  </r>
  <r>
    <s v="CLM105770"/>
    <s v="PT11829"/>
    <s v="P01"/>
    <x v="0"/>
    <x v="0"/>
    <n v="1"/>
    <d v="2026-03-28T00:00:00"/>
    <d v="2026-03-29T00:00:00"/>
    <n v="148.71"/>
    <n v="66.88"/>
    <n v="60.19"/>
    <n v="6.69"/>
    <s v="Paid"/>
    <s v=""/>
    <d v="2026-05-06T00:00:00"/>
    <d v="2026-05-06T00:00:00"/>
    <n v="145"/>
    <n v="0.45"/>
    <n v="65.25"/>
    <n v="-1.6299999999999955"/>
    <x v="0"/>
    <x v="5"/>
    <x v="2"/>
  </r>
  <r>
    <s v="CLM105771"/>
    <s v="PT10493"/>
    <s v="P02"/>
    <x v="0"/>
    <x v="7"/>
    <n v="1"/>
    <d v="2026-09-16T00:00:00"/>
    <d v="2026-09-17T00:00:00"/>
    <n v="211.51"/>
    <m/>
    <m/>
    <m/>
    <s v="Pending"/>
    <s v=""/>
    <m/>
    <m/>
    <n v="210"/>
    <n v="0.43"/>
    <n v="90.3"/>
    <s v=""/>
    <x v="2"/>
    <x v="6"/>
    <x v="8"/>
  </r>
  <r>
    <s v="CLM105772"/>
    <s v="PT11254"/>
    <s v="P01"/>
    <x v="3"/>
    <x v="3"/>
    <n v="10"/>
    <d v="2025-12-06T00:00:00"/>
    <d v="2025-12-08T00:00:00"/>
    <n v="14624.49"/>
    <m/>
    <m/>
    <m/>
    <s v="Denied"/>
    <s v="CO-16"/>
    <d v="2025-12-30T00:00:00"/>
    <m/>
    <n v="1450"/>
    <n v="0.45"/>
    <n v="6525"/>
    <s v=""/>
    <x v="2"/>
    <x v="5"/>
    <x v="6"/>
  </r>
  <r>
    <s v="CLM105773"/>
    <s v="PT13416"/>
    <s v="P02"/>
    <x v="1"/>
    <x v="5"/>
    <n v="1"/>
    <d v="2026-03-21T00:00:00"/>
    <d v="2026-03-24T00:00:00"/>
    <n v="4854.49"/>
    <n v="1870.56"/>
    <n v="1496.45"/>
    <n v="374.11"/>
    <s v="Paid"/>
    <s v=""/>
    <d v="2026-05-16T00:00:00"/>
    <d v="2026-05-16T00:00:00"/>
    <n v="4800"/>
    <n v="0.43"/>
    <n v="2064"/>
    <n v="193.44000000000005"/>
    <x v="1"/>
    <x v="6"/>
    <x v="2"/>
  </r>
  <r>
    <s v="CLM105774"/>
    <s v="PT10051"/>
    <s v="P01"/>
    <x v="0"/>
    <x v="4"/>
    <n v="1"/>
    <d v="2025-12-20T00:00:00"/>
    <d v="2025-12-22T00:00:00"/>
    <n v="38.51"/>
    <n v="15.27"/>
    <n v="15.27"/>
    <n v="0"/>
    <s v="Paid"/>
    <s v=""/>
    <d v="2026-01-16T00:00:00"/>
    <d v="2026-01-16T00:00:00"/>
    <n v="38"/>
    <n v="0.45"/>
    <n v="17.100000000000001"/>
    <n v="1.8300000000000018"/>
    <x v="1"/>
    <x v="5"/>
    <x v="6"/>
  </r>
  <r>
    <s v="CLM105775"/>
    <s v="PT11130"/>
    <s v="P03"/>
    <x v="3"/>
    <x v="3"/>
    <n v="30"/>
    <d v="2026-07-10T00:00:00"/>
    <d v="2026-07-13T00:00:00"/>
    <n v="43537.09"/>
    <n v="22104.99"/>
    <n v="22104.99"/>
    <n v="0"/>
    <s v="Paid"/>
    <s v=""/>
    <d v="2026-08-15T00:00:00"/>
    <d v="2026-08-15T00:00:00"/>
    <n v="1450"/>
    <n v="0.47"/>
    <n v="20445"/>
    <n v="-1659.9900000000016"/>
    <x v="0"/>
    <x v="4"/>
    <x v="1"/>
  </r>
  <r>
    <s v="CLM105776"/>
    <s v="PT10850"/>
    <s v="P05"/>
    <x v="2"/>
    <x v="9"/>
    <n v="1"/>
    <d v="2026-03-05T00:00:00"/>
    <d v="2026-03-07T00:00:00"/>
    <n v="57.99"/>
    <n v="21.95"/>
    <n v="17.559999999999999"/>
    <n v="4.3899999999999997"/>
    <s v="Paid"/>
    <s v=""/>
    <d v="2026-03-26T00:00:00"/>
    <d v="2026-03-26T00:00:00"/>
    <n v="58"/>
    <n v="0.38"/>
    <n v="22.04"/>
    <n v="8.9999999999999858E-2"/>
    <x v="0"/>
    <x v="0"/>
    <x v="2"/>
  </r>
  <r>
    <s v="CLM105777"/>
    <s v="PT12963"/>
    <s v="P06"/>
    <x v="1"/>
    <x v="10"/>
    <n v="1"/>
    <d v="2026-09-18T00:00:00"/>
    <d v="2026-09-20T00:00:00"/>
    <n v="1054.76"/>
    <m/>
    <m/>
    <m/>
    <s v="Pending"/>
    <s v=""/>
    <m/>
    <m/>
    <n v="1050"/>
    <n v="0.27"/>
    <n v="283.5"/>
    <s v=""/>
    <x v="2"/>
    <x v="2"/>
    <x v="8"/>
  </r>
  <r>
    <s v="CLM105778"/>
    <s v="PT10190"/>
    <s v="P07"/>
    <x v="2"/>
    <x v="2"/>
    <n v="3"/>
    <d v="2026-04-12T00:00:00"/>
    <d v="2026-04-13T00:00:00"/>
    <n v="183.93"/>
    <n v="47.2"/>
    <n v="47.2"/>
    <n v="0"/>
    <s v="Paid"/>
    <s v=""/>
    <d v="2026-07-27T00:00:00"/>
    <d v="2026-07-27T00:00:00"/>
    <n v="62"/>
    <n v="0.28000000000000003"/>
    <n v="52.08"/>
    <n v="4.8799999999999955"/>
    <x v="1"/>
    <x v="3"/>
    <x v="10"/>
  </r>
  <r>
    <s v="CLM105779"/>
    <s v="PT10069"/>
    <s v="P05"/>
    <x v="1"/>
    <x v="8"/>
    <n v="1"/>
    <d v="2026-03-27T00:00:00"/>
    <d v="2026-03-30T00:00:00"/>
    <n v="263.41000000000003"/>
    <m/>
    <m/>
    <m/>
    <s v="Denied"/>
    <s v="CO-16"/>
    <d v="2026-06-01T00:00:00"/>
    <m/>
    <n v="260"/>
    <n v="0.38"/>
    <n v="98.8"/>
    <s v=""/>
    <x v="2"/>
    <x v="0"/>
    <x v="2"/>
  </r>
  <r>
    <s v="CLM105780"/>
    <s v="PT12270"/>
    <s v="P07"/>
    <x v="0"/>
    <x v="0"/>
    <n v="1"/>
    <d v="2026-09-05T00:00:00"/>
    <d v="2026-09-06T00:00:00"/>
    <n v="142.91"/>
    <m/>
    <m/>
    <m/>
    <s v="Pending"/>
    <s v=""/>
    <m/>
    <m/>
    <n v="145"/>
    <n v="0.28000000000000003"/>
    <n v="40.6"/>
    <s v=""/>
    <x v="2"/>
    <x v="3"/>
    <x v="8"/>
  </r>
  <r>
    <s v="CLM105781"/>
    <s v="PT12949"/>
    <s v="P04"/>
    <x v="0"/>
    <x v="4"/>
    <n v="1"/>
    <d v="2025-12-06T00:00:00"/>
    <d v="2025-12-08T00:00:00"/>
    <n v="37.840000000000003"/>
    <n v="14.08"/>
    <n v="12.67"/>
    <n v="1.41"/>
    <s v="Paid"/>
    <s v=""/>
    <d v="2025-12-25T00:00:00"/>
    <d v="2025-12-25T00:00:00"/>
    <n v="38"/>
    <n v="0.36"/>
    <n v="13.68"/>
    <n v="-0.40000000000000036"/>
    <x v="0"/>
    <x v="1"/>
    <x v="6"/>
  </r>
  <r>
    <s v="CLM105782"/>
    <s v="PT10105"/>
    <s v="P04"/>
    <x v="2"/>
    <x v="0"/>
    <n v="1"/>
    <d v="2026-02-02T00:00:00"/>
    <d v="2026-02-12T00:00:00"/>
    <n v="141.62"/>
    <n v="50.74"/>
    <n v="45.67"/>
    <n v="5.07"/>
    <s v="Paid"/>
    <s v=""/>
    <d v="2026-03-04T00:00:00"/>
    <d v="2026-03-04T00:00:00"/>
    <n v="145"/>
    <n v="0.36"/>
    <n v="52.2"/>
    <n v="1.4600000000000009"/>
    <x v="0"/>
    <x v="1"/>
    <x v="0"/>
  </r>
  <r>
    <s v="CLM105783"/>
    <s v="PT11352"/>
    <s v="P05"/>
    <x v="1"/>
    <x v="5"/>
    <n v="1"/>
    <d v="2026-09-18T00:00:00"/>
    <d v="2026-09-19T00:00:00"/>
    <n v="4750.49"/>
    <m/>
    <m/>
    <m/>
    <s v="Pending"/>
    <s v=""/>
    <m/>
    <m/>
    <n v="4800"/>
    <n v="0.38"/>
    <n v="1824"/>
    <s v=""/>
    <x v="2"/>
    <x v="0"/>
    <x v="8"/>
  </r>
  <r>
    <s v="CLM105784"/>
    <s v="PT11988"/>
    <s v="P03"/>
    <x v="0"/>
    <x v="7"/>
    <n v="1"/>
    <d v="2025-10-06T00:00:00"/>
    <d v="2025-10-07T00:00:00"/>
    <n v="214.93"/>
    <n v="87.01"/>
    <n v="87.01"/>
    <n v="0"/>
    <s v="Paid"/>
    <s v=""/>
    <d v="2025-11-23T00:00:00"/>
    <d v="2025-11-23T00:00:00"/>
    <n v="210"/>
    <n v="0.47"/>
    <n v="98.7"/>
    <n v="11.689999999999998"/>
    <x v="1"/>
    <x v="4"/>
    <x v="9"/>
  </r>
  <r>
    <s v="CLM105785"/>
    <s v="PT11275"/>
    <s v="P04"/>
    <x v="2"/>
    <x v="0"/>
    <n v="1"/>
    <d v="2026-02-03T00:00:00"/>
    <d v="2026-06-08T00:00:00"/>
    <n v="144.49"/>
    <m/>
    <m/>
    <m/>
    <s v="Denied"/>
    <s v="CO-29"/>
    <d v="2026-06-19T00:00:00"/>
    <m/>
    <n v="145"/>
    <n v="0.36"/>
    <n v="52.2"/>
    <s v=""/>
    <x v="2"/>
    <x v="1"/>
    <x v="0"/>
  </r>
  <r>
    <s v="CLM105786"/>
    <s v="PT13063"/>
    <s v="P02"/>
    <x v="0"/>
    <x v="4"/>
    <n v="1"/>
    <d v="2026-01-17T00:00:00"/>
    <d v="2026-01-22T00:00:00"/>
    <n v="37.03"/>
    <m/>
    <m/>
    <m/>
    <s v="Denied"/>
    <s v="CO-11"/>
    <d v="2026-02-18T00:00:00"/>
    <m/>
    <n v="38"/>
    <n v="0.43"/>
    <n v="16.34"/>
    <s v=""/>
    <x v="2"/>
    <x v="6"/>
    <x v="5"/>
  </r>
  <r>
    <s v="CLM105787"/>
    <s v="PT13475"/>
    <s v="P04"/>
    <x v="3"/>
    <x v="7"/>
    <n v="1"/>
    <d v="2026-06-24T00:00:00"/>
    <d v="2026-06-26T00:00:00"/>
    <n v="210.44"/>
    <n v="74.86"/>
    <n v="67.37"/>
    <n v="7.49"/>
    <s v="Paid"/>
    <s v=""/>
    <d v="2026-07-21T00:00:00"/>
    <d v="2026-07-21T00:00:00"/>
    <n v="210"/>
    <n v="0.36"/>
    <n v="75.599999999999994"/>
    <n v="0.73999999999999488"/>
    <x v="0"/>
    <x v="1"/>
    <x v="11"/>
  </r>
  <r>
    <s v="CLM105788"/>
    <s v="PT12991"/>
    <s v="P04"/>
    <x v="1"/>
    <x v="5"/>
    <n v="1"/>
    <d v="2026-05-01T00:00:00"/>
    <d v="2026-05-02T00:00:00"/>
    <n v="4814.8100000000004"/>
    <n v="1942.44"/>
    <n v="1553.95"/>
    <n v="388.49"/>
    <s v="Paid"/>
    <s v=""/>
    <d v="2026-05-20T00:00:00"/>
    <d v="2026-05-20T00:00:00"/>
    <n v="4800"/>
    <n v="0.36"/>
    <n v="1728"/>
    <n v="-214.44000000000005"/>
    <x v="0"/>
    <x v="1"/>
    <x v="7"/>
  </r>
  <r>
    <s v="CLM105789"/>
    <s v="PT13399"/>
    <s v="P04"/>
    <x v="0"/>
    <x v="0"/>
    <n v="1"/>
    <d v="2026-07-05T00:00:00"/>
    <d v="2026-07-12T00:00:00"/>
    <n v="145.41"/>
    <n v="55.37"/>
    <n v="49.83"/>
    <n v="5.54"/>
    <s v="Paid"/>
    <s v=""/>
    <d v="2026-08-04T00:00:00"/>
    <d v="2026-08-04T00:00:00"/>
    <n v="145"/>
    <n v="0.36"/>
    <n v="52.2"/>
    <n v="-3.1699999999999946"/>
    <x v="0"/>
    <x v="1"/>
    <x v="1"/>
  </r>
  <r>
    <s v="CLM105790"/>
    <s v="PT13422"/>
    <s v="P06"/>
    <x v="0"/>
    <x v="4"/>
    <n v="1"/>
    <d v="2025-11-18T00:00:00"/>
    <d v="2025-11-26T00:00:00"/>
    <n v="37.729999999999997"/>
    <n v="10.96"/>
    <n v="10.96"/>
    <n v="0"/>
    <s v="Paid"/>
    <s v=""/>
    <d v="2026-01-09T00:00:00"/>
    <d v="2026-01-09T00:00:00"/>
    <n v="38"/>
    <n v="0.27"/>
    <n v="10.26"/>
    <n v="-0.70000000000000107"/>
    <x v="0"/>
    <x v="2"/>
    <x v="3"/>
  </r>
  <r>
    <s v="CLM105791"/>
    <s v="PT10704"/>
    <s v="P06"/>
    <x v="1"/>
    <x v="4"/>
    <n v="1"/>
    <d v="2026-01-13T00:00:00"/>
    <d v="2026-01-14T00:00:00"/>
    <n v="38.979999999999997"/>
    <n v="10.199999999999999"/>
    <n v="8.16"/>
    <n v="2.04"/>
    <s v="Paid"/>
    <s v=""/>
    <d v="2026-03-12T00:00:00"/>
    <d v="2026-03-12T00:00:00"/>
    <n v="38"/>
    <n v="0.27"/>
    <n v="10.26"/>
    <n v="6.0000000000000497E-2"/>
    <x v="0"/>
    <x v="2"/>
    <x v="5"/>
  </r>
  <r>
    <s v="CLM105792"/>
    <s v="PT12060"/>
    <s v="P03"/>
    <x v="0"/>
    <x v="7"/>
    <n v="1"/>
    <d v="2025-11-13T00:00:00"/>
    <d v="2025-11-15T00:00:00"/>
    <n v="211.16"/>
    <m/>
    <m/>
    <m/>
    <s v="Denied"/>
    <s v="CO-18"/>
    <d v="2026-01-01T00:00:00"/>
    <m/>
    <n v="210"/>
    <n v="0.47"/>
    <n v="98.7"/>
    <s v=""/>
    <x v="2"/>
    <x v="4"/>
    <x v="3"/>
  </r>
  <r>
    <s v="CLM105793"/>
    <s v="PT10945"/>
    <s v="P04"/>
    <x v="3"/>
    <x v="3"/>
    <n v="5"/>
    <d v="2026-01-12T00:00:00"/>
    <d v="2026-01-14T00:00:00"/>
    <n v="7109.34"/>
    <n v="2682.4"/>
    <n v="2682.4"/>
    <n v="0"/>
    <s v="Paid"/>
    <s v=""/>
    <d v="2026-02-07T00:00:00"/>
    <d v="2026-02-07T00:00:00"/>
    <n v="1450"/>
    <n v="0.36"/>
    <n v="2610"/>
    <n v="-72.400000000000091"/>
    <x v="0"/>
    <x v="1"/>
    <x v="5"/>
  </r>
  <r>
    <s v="CLM105794"/>
    <s v="PT11895"/>
    <s v="P04"/>
    <x v="1"/>
    <x v="8"/>
    <n v="1"/>
    <d v="2025-12-22T00:00:00"/>
    <d v="2025-12-25T00:00:00"/>
    <n v="254.85"/>
    <n v="92.49"/>
    <n v="73.989999999999995"/>
    <n v="18.5"/>
    <s v="Paid"/>
    <s v=""/>
    <d v="2026-01-21T00:00:00"/>
    <d v="2026-01-21T00:00:00"/>
    <n v="260"/>
    <n v="0.36"/>
    <n v="93.6"/>
    <n v="1.1099999999999994"/>
    <x v="0"/>
    <x v="1"/>
    <x v="6"/>
  </r>
  <r>
    <s v="CLM105795"/>
    <s v="PT12828"/>
    <s v="P04"/>
    <x v="1"/>
    <x v="4"/>
    <n v="1"/>
    <d v="2026-03-26T00:00:00"/>
    <d v="2026-03-27T00:00:00"/>
    <n v="37.93"/>
    <n v="13.3"/>
    <n v="11.97"/>
    <n v="1.33"/>
    <s v="Paid"/>
    <s v=""/>
    <d v="2026-04-16T00:00:00"/>
    <d v="2026-04-16T00:00:00"/>
    <n v="38"/>
    <n v="0.36"/>
    <n v="13.68"/>
    <n v="0.37999999999999901"/>
    <x v="0"/>
    <x v="1"/>
    <x v="2"/>
  </r>
  <r>
    <s v="CLM105796"/>
    <s v="PT11001"/>
    <s v="P02"/>
    <x v="1"/>
    <x v="5"/>
    <n v="1"/>
    <d v="2026-05-06T00:00:00"/>
    <d v="2026-05-07T00:00:00"/>
    <n v="4670"/>
    <m/>
    <m/>
    <m/>
    <s v="Denied"/>
    <s v="CO-16"/>
    <d v="2026-06-12T00:00:00"/>
    <m/>
    <n v="4800"/>
    <n v="0.43"/>
    <n v="2064"/>
    <s v=""/>
    <x v="2"/>
    <x v="6"/>
    <x v="7"/>
  </r>
  <r>
    <s v="CLM105797"/>
    <s v="PT11701"/>
    <s v="P07"/>
    <x v="0"/>
    <x v="0"/>
    <n v="1"/>
    <d v="2025-11-09T00:00:00"/>
    <d v="2025-11-10T00:00:00"/>
    <n v="146.13"/>
    <m/>
    <m/>
    <m/>
    <s v="Denied"/>
    <s v="CO-4"/>
    <d v="2026-01-11T00:00:00"/>
    <m/>
    <n v="145"/>
    <n v="0.28000000000000003"/>
    <n v="40.6"/>
    <s v=""/>
    <x v="2"/>
    <x v="3"/>
    <x v="3"/>
  </r>
  <r>
    <s v="CLM105798"/>
    <s v="PT10478"/>
    <s v="P02"/>
    <x v="2"/>
    <x v="9"/>
    <n v="4"/>
    <d v="2025-10-25T00:00:00"/>
    <d v="2025-10-26T00:00:00"/>
    <n v="229.88"/>
    <n v="85.03"/>
    <n v="68.02"/>
    <n v="17.010000000000002"/>
    <s v="Paid"/>
    <s v=""/>
    <d v="2025-11-10T00:00:00"/>
    <d v="2025-11-10T00:00:00"/>
    <n v="58"/>
    <n v="0.43"/>
    <n v="99.76"/>
    <n v="14.730000000000004"/>
    <x v="1"/>
    <x v="6"/>
    <x v="9"/>
  </r>
  <r>
    <s v="CLM105799"/>
    <s v="PT12720"/>
    <s v="P03"/>
    <x v="1"/>
    <x v="8"/>
    <n v="1"/>
    <d v="2026-04-09T00:00:00"/>
    <d v="2026-04-10T00:00:00"/>
    <n v="261.99"/>
    <n v="136.77000000000001"/>
    <n v="136.77000000000001"/>
    <n v="0"/>
    <s v="Paid"/>
    <s v=""/>
    <d v="2026-06-10T00:00:00"/>
    <d v="2026-06-10T00:00:00"/>
    <n v="260"/>
    <n v="0.47"/>
    <n v="122.2"/>
    <n v="-14.570000000000007"/>
    <x v="0"/>
    <x v="4"/>
    <x v="10"/>
  </r>
  <r>
    <s v="CLM105800"/>
    <s v="PT13184"/>
    <s v="P01"/>
    <x v="3"/>
    <x v="3"/>
    <n v="20"/>
    <d v="2025-12-22T00:00:00"/>
    <d v="2025-12-23T00:00:00"/>
    <n v="28233.7"/>
    <n v="14307.5"/>
    <n v="11446"/>
    <n v="2861.5"/>
    <s v="Paid"/>
    <s v=""/>
    <d v="2026-01-06T00:00:00"/>
    <d v="2026-01-06T00:00:00"/>
    <n v="1450"/>
    <n v="0.45"/>
    <n v="13050"/>
    <n v="-1257.5"/>
    <x v="0"/>
    <x v="5"/>
    <x v="6"/>
  </r>
  <r>
    <s v="CLM105801"/>
    <s v="PT12525"/>
    <s v="P01"/>
    <x v="3"/>
    <x v="6"/>
    <n v="1"/>
    <d v="2026-06-24T00:00:00"/>
    <d v="2026-06-27T00:00:00"/>
    <n v="411.98"/>
    <m/>
    <m/>
    <m/>
    <s v="Denied"/>
    <s v="CO-50"/>
    <d v="2026-07-25T00:00:00"/>
    <m/>
    <n v="420"/>
    <n v="0.45"/>
    <n v="189"/>
    <s v=""/>
    <x v="2"/>
    <x v="5"/>
    <x v="11"/>
  </r>
  <r>
    <s v="CLM105802"/>
    <s v="PT11562"/>
    <s v="P03"/>
    <x v="1"/>
    <x v="7"/>
    <n v="1"/>
    <d v="2025-11-25T00:00:00"/>
    <d v="2025-11-26T00:00:00"/>
    <n v="211.26"/>
    <n v="93.7"/>
    <n v="84.33"/>
    <n v="9.3699999999999992"/>
    <s v="Paid"/>
    <s v=""/>
    <d v="2026-01-11T00:00:00"/>
    <d v="2026-01-11T00:00:00"/>
    <n v="210"/>
    <n v="0.47"/>
    <n v="98.7"/>
    <n v="5"/>
    <x v="1"/>
    <x v="4"/>
    <x v="3"/>
  </r>
  <r>
    <s v="CLM105803"/>
    <s v="PT12209"/>
    <s v="P06"/>
    <x v="3"/>
    <x v="7"/>
    <n v="1"/>
    <d v="2025-12-01T00:00:00"/>
    <d v="2025-12-03T00:00:00"/>
    <n v="213.62"/>
    <n v="49.46"/>
    <n v="44.51"/>
    <n v="4.95"/>
    <s v="Paid"/>
    <s v=""/>
    <d v="2026-01-06T00:00:00"/>
    <d v="2026-01-06T00:00:00"/>
    <n v="210"/>
    <n v="0.27"/>
    <n v="56.7"/>
    <n v="7.240000000000002"/>
    <x v="1"/>
    <x v="2"/>
    <x v="6"/>
  </r>
  <r>
    <s v="CLM105804"/>
    <s v="PT11233"/>
    <s v="P07"/>
    <x v="3"/>
    <x v="6"/>
    <n v="1"/>
    <d v="2025-11-03T00:00:00"/>
    <d v="2025-11-06T00:00:00"/>
    <n v="427.98"/>
    <n v="136.51"/>
    <n v="136.51"/>
    <n v="0"/>
    <s v="Paid"/>
    <s v=""/>
    <d v="2026-01-16T00:00:00"/>
    <d v="2026-01-16T00:00:00"/>
    <n v="420"/>
    <n v="0.28000000000000003"/>
    <n v="117.6"/>
    <n v="-18.909999999999997"/>
    <x v="0"/>
    <x v="3"/>
    <x v="3"/>
  </r>
  <r>
    <s v="CLM105805"/>
    <s v="PT13297"/>
    <s v="P04"/>
    <x v="2"/>
    <x v="9"/>
    <n v="4"/>
    <d v="2026-08-13T00:00:00"/>
    <d v="2026-08-14T00:00:00"/>
    <n v="225.82"/>
    <n v="87.16"/>
    <n v="87.16"/>
    <n v="0"/>
    <s v="Paid"/>
    <s v=""/>
    <d v="2026-08-30T00:00:00"/>
    <d v="2026-08-30T00:00:00"/>
    <n v="58"/>
    <n v="0.36"/>
    <n v="83.52"/>
    <n v="-3.6400000000000006"/>
    <x v="0"/>
    <x v="1"/>
    <x v="4"/>
  </r>
  <r>
    <s v="CLM105806"/>
    <s v="PT13445"/>
    <s v="P06"/>
    <x v="3"/>
    <x v="7"/>
    <n v="1"/>
    <d v="2026-06-05T00:00:00"/>
    <d v="2026-06-07T00:00:00"/>
    <n v="210.64"/>
    <n v="64.28"/>
    <n v="51.42"/>
    <n v="12.86"/>
    <s v="Paid"/>
    <s v=""/>
    <d v="2026-07-03T00:00:00"/>
    <d v="2026-07-03T00:00:00"/>
    <n v="210"/>
    <n v="0.27"/>
    <n v="56.7"/>
    <n v="-7.5799999999999983"/>
    <x v="0"/>
    <x v="2"/>
    <x v="11"/>
  </r>
  <r>
    <s v="CLM105807"/>
    <s v="PT11520"/>
    <s v="P08"/>
    <x v="1"/>
    <x v="8"/>
    <n v="1"/>
    <d v="2026-08-20T00:00:00"/>
    <d v="2026-08-23T00:00:00"/>
    <n v="262.64"/>
    <m/>
    <m/>
    <m/>
    <s v="Pending"/>
    <s v=""/>
    <m/>
    <m/>
    <n v="260"/>
    <n v="1"/>
    <n v="260"/>
    <s v=""/>
    <x v="2"/>
    <x v="7"/>
    <x v="4"/>
  </r>
  <r>
    <s v="CLM105808"/>
    <s v="PT10539"/>
    <s v="P01"/>
    <x v="0"/>
    <x v="4"/>
    <n v="1"/>
    <d v="2025-10-12T00:00:00"/>
    <d v="2025-10-15T00:00:00"/>
    <n v="37.869999999999997"/>
    <n v="19.68"/>
    <n v="15.74"/>
    <n v="3.94"/>
    <s v="Paid"/>
    <s v=""/>
    <d v="2025-11-10T00:00:00"/>
    <d v="2025-11-10T00:00:00"/>
    <n v="38"/>
    <n v="0.45"/>
    <n v="17.100000000000001"/>
    <n v="-2.5799999999999983"/>
    <x v="0"/>
    <x v="5"/>
    <x v="9"/>
  </r>
  <r>
    <s v="CLM105809"/>
    <s v="PT13005"/>
    <s v="P01"/>
    <x v="2"/>
    <x v="9"/>
    <n v="2"/>
    <d v="2026-09-29T00:00:00"/>
    <d v="2026-09-30T00:00:00"/>
    <n v="113.24"/>
    <m/>
    <m/>
    <m/>
    <s v="Pending"/>
    <s v=""/>
    <m/>
    <m/>
    <n v="58"/>
    <n v="0.45"/>
    <n v="52.2"/>
    <s v=""/>
    <x v="2"/>
    <x v="5"/>
    <x v="8"/>
  </r>
  <r>
    <s v="CLM105810"/>
    <s v="PT12953"/>
    <s v="P04"/>
    <x v="0"/>
    <x v="4"/>
    <n v="1"/>
    <d v="2026-06-14T00:00:00"/>
    <d v="2026-06-18T00:00:00"/>
    <n v="37.01"/>
    <n v="13.47"/>
    <n v="13.47"/>
    <n v="0"/>
    <s v="Paid"/>
    <s v=""/>
    <d v="2026-07-08T00:00:00"/>
    <d v="2026-07-08T00:00:00"/>
    <n v="38"/>
    <n v="0.36"/>
    <n v="13.68"/>
    <n v="0.20999999999999908"/>
    <x v="0"/>
    <x v="1"/>
    <x v="11"/>
  </r>
  <r>
    <s v="CLM105811"/>
    <s v="PT13057"/>
    <s v="P07"/>
    <x v="0"/>
    <x v="4"/>
    <n v="1"/>
    <d v="2026-05-08T00:00:00"/>
    <d v="2026-05-09T00:00:00"/>
    <n v="38.24"/>
    <n v="9.82"/>
    <n v="9.82"/>
    <n v="0"/>
    <s v="Paid"/>
    <s v=""/>
    <d v="2026-07-05T00:00:00"/>
    <d v="2026-07-05T00:00:00"/>
    <n v="38"/>
    <n v="0.28000000000000003"/>
    <n v="10.64"/>
    <n v="0.82000000000000028"/>
    <x v="1"/>
    <x v="3"/>
    <x v="7"/>
  </r>
  <r>
    <s v="CLM105812"/>
    <s v="PT11637"/>
    <s v="P02"/>
    <x v="0"/>
    <x v="0"/>
    <n v="1"/>
    <d v="2026-03-06T00:00:00"/>
    <d v="2026-03-10T00:00:00"/>
    <n v="142.71"/>
    <n v="65.66"/>
    <n v="65.66"/>
    <n v="0"/>
    <s v="Paid"/>
    <s v=""/>
    <d v="2026-04-02T00:00:00"/>
    <d v="2026-04-02T00:00:00"/>
    <n v="145"/>
    <n v="0.43"/>
    <n v="62.35"/>
    <n v="-3.3099999999999952"/>
    <x v="0"/>
    <x v="6"/>
    <x v="2"/>
  </r>
  <r>
    <s v="CLM105813"/>
    <s v="PT10772"/>
    <s v="P05"/>
    <x v="0"/>
    <x v="4"/>
    <n v="1"/>
    <d v="2026-08-02T00:00:00"/>
    <d v="2026-08-03T00:00:00"/>
    <n v="38.9"/>
    <n v="14.98"/>
    <n v="14.98"/>
    <n v="0"/>
    <s v="Paid"/>
    <s v=""/>
    <d v="2026-09-21T00:00:00"/>
    <d v="2026-09-21T00:00:00"/>
    <n v="38"/>
    <n v="0.38"/>
    <n v="14.44"/>
    <n v="-0.54000000000000092"/>
    <x v="0"/>
    <x v="0"/>
    <x v="4"/>
  </r>
  <r>
    <s v="CLM105814"/>
    <s v="PT12350"/>
    <s v="P07"/>
    <x v="1"/>
    <x v="4"/>
    <n v="1"/>
    <d v="2026-08-27T00:00:00"/>
    <d v="2026-08-28T00:00:00"/>
    <n v="37.549999999999997"/>
    <m/>
    <m/>
    <m/>
    <s v="Pending"/>
    <s v=""/>
    <m/>
    <m/>
    <n v="38"/>
    <n v="0.28000000000000003"/>
    <n v="10.64"/>
    <s v=""/>
    <x v="2"/>
    <x v="3"/>
    <x v="4"/>
  </r>
  <r>
    <s v="CLM105815"/>
    <s v="PT10480"/>
    <s v="P01"/>
    <x v="3"/>
    <x v="7"/>
    <n v="1"/>
    <d v="2026-05-25T00:00:00"/>
    <d v="2026-05-30T00:00:00"/>
    <n v="209.63"/>
    <m/>
    <m/>
    <m/>
    <s v="Denied"/>
    <s v="CO-27"/>
    <d v="2026-07-08T00:00:00"/>
    <m/>
    <n v="210"/>
    <n v="0.45"/>
    <n v="94.5"/>
    <s v=""/>
    <x v="2"/>
    <x v="5"/>
    <x v="7"/>
  </r>
  <r>
    <s v="CLM105816"/>
    <s v="PT12054"/>
    <s v="P01"/>
    <x v="0"/>
    <x v="0"/>
    <n v="1"/>
    <d v="2025-11-23T00:00:00"/>
    <d v="2025-11-30T00:00:00"/>
    <n v="141.66"/>
    <n v="69.38"/>
    <n v="55.5"/>
    <n v="13.88"/>
    <s v="Paid"/>
    <s v=""/>
    <d v="2025-12-25T00:00:00"/>
    <d v="2025-12-25T00:00:00"/>
    <n v="145"/>
    <n v="0.45"/>
    <n v="65.25"/>
    <n v="-4.1299999999999955"/>
    <x v="0"/>
    <x v="5"/>
    <x v="3"/>
  </r>
  <r>
    <s v="CLM105817"/>
    <s v="PT13190"/>
    <s v="P04"/>
    <x v="0"/>
    <x v="4"/>
    <n v="1"/>
    <d v="2026-05-25T00:00:00"/>
    <d v="2026-05-28T00:00:00"/>
    <n v="38.380000000000003"/>
    <n v="12.38"/>
    <n v="12.38"/>
    <n v="0"/>
    <s v="Paid"/>
    <s v=""/>
    <d v="2026-06-16T00:00:00"/>
    <d v="2026-06-16T00:00:00"/>
    <n v="38"/>
    <n v="0.36"/>
    <n v="13.68"/>
    <n v="1.2999999999999989"/>
    <x v="1"/>
    <x v="1"/>
    <x v="7"/>
  </r>
  <r>
    <s v="CLM105818"/>
    <s v="PT11698"/>
    <s v="P01"/>
    <x v="0"/>
    <x v="4"/>
    <n v="1"/>
    <d v="2026-03-13T00:00:00"/>
    <d v="2026-03-14T00:00:00"/>
    <n v="38.119999999999997"/>
    <n v="17.72"/>
    <n v="17.72"/>
    <n v="0"/>
    <s v="Paid"/>
    <s v=""/>
    <d v="2026-04-08T00:00:00"/>
    <d v="2026-04-08T00:00:00"/>
    <n v="38"/>
    <n v="0.45"/>
    <n v="17.100000000000001"/>
    <n v="-0.61999999999999744"/>
    <x v="0"/>
    <x v="5"/>
    <x v="2"/>
  </r>
  <r>
    <s v="CLM105819"/>
    <s v="PT12117"/>
    <s v="P02"/>
    <x v="2"/>
    <x v="0"/>
    <n v="1"/>
    <d v="2026-07-27T00:00:00"/>
    <d v="2026-07-29T00:00:00"/>
    <n v="149.32"/>
    <n v="53.98"/>
    <n v="43.18"/>
    <n v="10.8"/>
    <s v="Paid"/>
    <s v=""/>
    <d v="2026-09-13T00:00:00"/>
    <d v="2026-09-13T00:00:00"/>
    <n v="145"/>
    <n v="0.43"/>
    <n v="62.35"/>
    <n v="8.3700000000000045"/>
    <x v="1"/>
    <x v="6"/>
    <x v="1"/>
  </r>
  <r>
    <s v="CLM105820"/>
    <s v="PT10809"/>
    <s v="P06"/>
    <x v="0"/>
    <x v="7"/>
    <n v="1"/>
    <d v="2026-04-08T00:00:00"/>
    <d v="2026-04-16T00:00:00"/>
    <n v="212.95"/>
    <n v="61.98"/>
    <n v="49.58"/>
    <n v="12.4"/>
    <s v="Paid"/>
    <s v=""/>
    <d v="2026-05-09T00:00:00"/>
    <d v="2026-05-09T00:00:00"/>
    <n v="210"/>
    <n v="0.27"/>
    <n v="56.7"/>
    <n v="-5.279999999999994"/>
    <x v="0"/>
    <x v="2"/>
    <x v="10"/>
  </r>
  <r>
    <s v="CLM105821"/>
    <s v="PT12781"/>
    <s v="P01"/>
    <x v="0"/>
    <x v="8"/>
    <n v="1"/>
    <d v="2026-09-03T00:00:00"/>
    <d v="2026-09-12T00:00:00"/>
    <n v="252.37"/>
    <m/>
    <m/>
    <m/>
    <s v="Pending"/>
    <s v=""/>
    <m/>
    <m/>
    <n v="260"/>
    <n v="0.45"/>
    <n v="117"/>
    <s v=""/>
    <x v="2"/>
    <x v="5"/>
    <x v="8"/>
  </r>
  <r>
    <s v="CLM105822"/>
    <s v="PT11346"/>
    <s v="P03"/>
    <x v="3"/>
    <x v="3"/>
    <n v="10"/>
    <d v="2025-12-09T00:00:00"/>
    <d v="2025-12-13T00:00:00"/>
    <n v="14887.3"/>
    <n v="6441.37"/>
    <n v="6441.37"/>
    <n v="0"/>
    <s v="Paid"/>
    <s v=""/>
    <d v="2026-02-02T00:00:00"/>
    <d v="2026-02-02T00:00:00"/>
    <n v="1450"/>
    <n v="0.47"/>
    <n v="6815"/>
    <n v="373.63000000000011"/>
    <x v="1"/>
    <x v="4"/>
    <x v="6"/>
  </r>
  <r>
    <s v="CLM105823"/>
    <s v="PT13034"/>
    <s v="P05"/>
    <x v="2"/>
    <x v="2"/>
    <n v="4"/>
    <d v="2025-11-29T00:00:00"/>
    <d v="2025-12-01T00:00:00"/>
    <n v="249.35"/>
    <n v="93.23"/>
    <n v="83.91"/>
    <n v="9.32"/>
    <s v="Paid"/>
    <s v=""/>
    <d v="2026-01-10T00:00:00"/>
    <d v="2026-01-10T00:00:00"/>
    <n v="62"/>
    <n v="0.38"/>
    <n v="94.24"/>
    <n v="1.0099999999999909"/>
    <x v="0"/>
    <x v="0"/>
    <x v="3"/>
  </r>
  <r>
    <s v="CLM105824"/>
    <s v="PT13435"/>
    <s v="P01"/>
    <x v="3"/>
    <x v="3"/>
    <n v="10"/>
    <d v="2025-11-12T00:00:00"/>
    <d v="2025-11-27T00:00:00"/>
    <n v="14743.82"/>
    <n v="7109.36"/>
    <n v="6398.42"/>
    <n v="710.94"/>
    <s v="Paid"/>
    <s v=""/>
    <d v="2025-12-27T00:00:00"/>
    <d v="2025-12-27T00:00:00"/>
    <n v="1450"/>
    <n v="0.45"/>
    <n v="6525"/>
    <n v="-584.35999999999967"/>
    <x v="0"/>
    <x v="5"/>
    <x v="3"/>
  </r>
  <r>
    <s v="CLM105825"/>
    <s v="PT12272"/>
    <s v="P07"/>
    <x v="0"/>
    <x v="8"/>
    <n v="1"/>
    <d v="2026-04-02T00:00:00"/>
    <d v="2026-04-09T00:00:00"/>
    <n v="253.01"/>
    <m/>
    <m/>
    <m/>
    <s v="Denied"/>
    <s v="CO-50"/>
    <d v="2026-06-29T00:00:00"/>
    <m/>
    <n v="260"/>
    <n v="0.28000000000000003"/>
    <n v="72.8"/>
    <s v=""/>
    <x v="2"/>
    <x v="3"/>
    <x v="10"/>
  </r>
  <r>
    <s v="CLM105826"/>
    <s v="PT11656"/>
    <s v="P01"/>
    <x v="1"/>
    <x v="8"/>
    <n v="1"/>
    <d v="2025-10-18T00:00:00"/>
    <d v="2025-11-03T00:00:00"/>
    <n v="254.45"/>
    <n v="129.12"/>
    <n v="129.12"/>
    <n v="0"/>
    <s v="Paid"/>
    <s v=""/>
    <d v="2025-12-02T00:00:00"/>
    <d v="2025-12-02T00:00:00"/>
    <n v="260"/>
    <n v="0.45"/>
    <n v="117"/>
    <n v="-12.120000000000005"/>
    <x v="0"/>
    <x v="5"/>
    <x v="9"/>
  </r>
  <r>
    <s v="CLM105827"/>
    <s v="PT13098"/>
    <s v="P01"/>
    <x v="2"/>
    <x v="2"/>
    <n v="4"/>
    <d v="2026-09-03T00:00:00"/>
    <d v="2026-09-08T00:00:00"/>
    <n v="252.13"/>
    <m/>
    <m/>
    <m/>
    <s v="Pending"/>
    <s v=""/>
    <m/>
    <m/>
    <n v="62"/>
    <n v="0.45"/>
    <n v="111.6"/>
    <s v=""/>
    <x v="2"/>
    <x v="5"/>
    <x v="8"/>
  </r>
  <r>
    <s v="CLM105828"/>
    <s v="PT13229"/>
    <s v="P01"/>
    <x v="0"/>
    <x v="4"/>
    <n v="1"/>
    <d v="2025-10-09T00:00:00"/>
    <d v="2025-10-12T00:00:00"/>
    <n v="38.700000000000003"/>
    <n v="16.03"/>
    <n v="14.43"/>
    <n v="1.6"/>
    <s v="Paid"/>
    <s v=""/>
    <d v="2025-11-05T00:00:00"/>
    <d v="2025-11-05T00:00:00"/>
    <n v="38"/>
    <n v="0.45"/>
    <n v="17.100000000000001"/>
    <n v="1.0700000000000003"/>
    <x v="1"/>
    <x v="5"/>
    <x v="9"/>
  </r>
  <r>
    <s v="CLM105829"/>
    <s v="PT13303"/>
    <s v="P04"/>
    <x v="0"/>
    <x v="8"/>
    <n v="1"/>
    <d v="2025-12-15T00:00:00"/>
    <d v="2025-12-20T00:00:00"/>
    <n v="265.48"/>
    <n v="91.01"/>
    <n v="91.01"/>
    <n v="0"/>
    <s v="Paid"/>
    <s v=""/>
    <d v="2026-01-15T00:00:00"/>
    <d v="2026-01-15T00:00:00"/>
    <n v="260"/>
    <n v="0.36"/>
    <n v="93.6"/>
    <n v="2.5899999999999892"/>
    <x v="0"/>
    <x v="1"/>
    <x v="6"/>
  </r>
  <r>
    <s v="CLM105830"/>
    <s v="PT12836"/>
    <s v="P01"/>
    <x v="0"/>
    <x v="7"/>
    <n v="1"/>
    <d v="2026-01-25T00:00:00"/>
    <d v="2026-01-28T00:00:00"/>
    <n v="207.86"/>
    <n v="80.7"/>
    <n v="80.7"/>
    <n v="0"/>
    <s v="Paid"/>
    <s v=""/>
    <d v="2026-03-07T00:00:00"/>
    <d v="2026-03-07T00:00:00"/>
    <n v="210"/>
    <n v="0.45"/>
    <n v="94.5"/>
    <n v="13.799999999999997"/>
    <x v="1"/>
    <x v="5"/>
    <x v="5"/>
  </r>
  <r>
    <s v="CLM105831"/>
    <s v="PT13290"/>
    <s v="P05"/>
    <x v="3"/>
    <x v="6"/>
    <n v="1"/>
    <d v="2026-06-05T00:00:00"/>
    <d v="2026-06-07T00:00:00"/>
    <n v="432.22"/>
    <n v="144.02000000000001"/>
    <n v="144.02000000000001"/>
    <n v="0"/>
    <s v="Paid"/>
    <s v=""/>
    <d v="2026-08-04T00:00:00"/>
    <d v="2026-08-04T00:00:00"/>
    <n v="420"/>
    <n v="0.38"/>
    <n v="159.6"/>
    <n v="15.579999999999984"/>
    <x v="1"/>
    <x v="0"/>
    <x v="11"/>
  </r>
  <r>
    <s v="CLM105832"/>
    <s v="PT11397"/>
    <s v="P08"/>
    <x v="0"/>
    <x v="4"/>
    <n v="1"/>
    <d v="2026-05-04T00:00:00"/>
    <d v="2026-05-09T00:00:00"/>
    <n v="37.01"/>
    <n v="37.01"/>
    <n v="37.01"/>
    <n v="0"/>
    <s v="Paid"/>
    <s v=""/>
    <d v="2026-06-07T00:00:00"/>
    <d v="2026-06-07T00:00:00"/>
    <n v="38"/>
    <n v="1"/>
    <n v="38"/>
    <n v="0.99000000000000199"/>
    <x v="0"/>
    <x v="7"/>
    <x v="7"/>
  </r>
  <r>
    <s v="CLM105833"/>
    <s v="PT11089"/>
    <s v="P02"/>
    <x v="3"/>
    <x v="6"/>
    <n v="1"/>
    <d v="2026-02-13T00:00:00"/>
    <d v="2026-02-17T00:00:00"/>
    <n v="421.86"/>
    <n v="179.15"/>
    <n v="143.32"/>
    <n v="35.83"/>
    <s v="Paid"/>
    <s v=""/>
    <d v="2026-03-03T00:00:00"/>
    <d v="2026-03-03T00:00:00"/>
    <n v="420"/>
    <n v="0.43"/>
    <n v="180.6"/>
    <n v="1.4499999999999886"/>
    <x v="0"/>
    <x v="6"/>
    <x v="0"/>
  </r>
  <r>
    <s v="CLM105834"/>
    <s v="PT12137"/>
    <s v="P08"/>
    <x v="2"/>
    <x v="0"/>
    <n v="1"/>
    <d v="2026-02-16T00:00:00"/>
    <d v="2026-02-18T00:00:00"/>
    <n v="148.75"/>
    <n v="148.75"/>
    <n v="148.75"/>
    <n v="0"/>
    <s v="Paid"/>
    <s v=""/>
    <d v="2026-04-24T00:00:00"/>
    <d v="2026-04-24T00:00:00"/>
    <n v="145"/>
    <n v="1"/>
    <n v="145"/>
    <n v="-3.75"/>
    <x v="0"/>
    <x v="7"/>
    <x v="0"/>
  </r>
  <r>
    <s v="CLM105835"/>
    <s v="PT11283"/>
    <s v="P02"/>
    <x v="1"/>
    <x v="5"/>
    <n v="1"/>
    <d v="2026-08-01T00:00:00"/>
    <d v="2026-08-02T00:00:00"/>
    <n v="4932.49"/>
    <n v="1851.65"/>
    <n v="1851.65"/>
    <n v="0"/>
    <s v="Paid"/>
    <s v=""/>
    <d v="2026-08-29T00:00:00"/>
    <d v="2026-08-29T00:00:00"/>
    <n v="4800"/>
    <n v="0.43"/>
    <n v="2064"/>
    <n v="212.34999999999991"/>
    <x v="1"/>
    <x v="6"/>
    <x v="4"/>
  </r>
  <r>
    <s v="CLM105836"/>
    <s v="PT11915"/>
    <s v="P06"/>
    <x v="0"/>
    <x v="0"/>
    <n v="1"/>
    <d v="2026-06-17T00:00:00"/>
    <d v="2026-06-20T00:00:00"/>
    <n v="141.25"/>
    <n v="34.119999999999997"/>
    <n v="34.119999999999997"/>
    <n v="0"/>
    <s v="Paid"/>
    <s v=""/>
    <d v="2026-08-10T00:00:00"/>
    <d v="2026-08-10T00:00:00"/>
    <n v="145"/>
    <n v="0.27"/>
    <n v="39.15"/>
    <n v="5.0300000000000011"/>
    <x v="1"/>
    <x v="2"/>
    <x v="11"/>
  </r>
  <r>
    <s v="CLM105837"/>
    <s v="PT12150"/>
    <s v="P04"/>
    <x v="2"/>
    <x v="2"/>
    <n v="2"/>
    <d v="2026-09-16T00:00:00"/>
    <d v="2026-09-18T00:00:00"/>
    <n v="122.73"/>
    <n v="39.130000000000003"/>
    <n v="39.130000000000003"/>
    <n v="0"/>
    <s v="Paid"/>
    <s v=""/>
    <d v="2026-09-30T00:00:00"/>
    <d v="2026-09-30T00:00:00"/>
    <n v="62"/>
    <n v="0.36"/>
    <n v="44.64"/>
    <n v="5.509999999999998"/>
    <x v="1"/>
    <x v="1"/>
    <x v="8"/>
  </r>
  <r>
    <s v="CLM105838"/>
    <s v="PT11270"/>
    <s v="P01"/>
    <x v="0"/>
    <x v="7"/>
    <n v="1"/>
    <d v="2026-07-20T00:00:00"/>
    <d v="2026-07-23T00:00:00"/>
    <n v="215.29"/>
    <n v="105.3"/>
    <n v="105.3"/>
    <n v="0"/>
    <s v="Paid"/>
    <s v=""/>
    <d v="2026-08-26T00:00:00"/>
    <d v="2026-08-26T00:00:00"/>
    <n v="210"/>
    <n v="0.45"/>
    <n v="94.5"/>
    <n v="-10.799999999999997"/>
    <x v="0"/>
    <x v="5"/>
    <x v="1"/>
  </r>
  <r>
    <s v="CLM105840"/>
    <s v="PT11374"/>
    <s v="P01"/>
    <x v="0"/>
    <x v="4"/>
    <n v="1"/>
    <d v="2026-04-05T00:00:00"/>
    <d v="2026-04-16T00:00:00"/>
    <n v="37.31"/>
    <n v="18.12"/>
    <n v="14.5"/>
    <n v="3.62"/>
    <s v="Paid"/>
    <s v=""/>
    <d v="2026-05-29T00:00:00"/>
    <d v="2026-05-29T00:00:00"/>
    <n v="38"/>
    <n v="0.45"/>
    <n v="17.100000000000001"/>
    <n v="-1.0199999999999996"/>
    <x v="0"/>
    <x v="5"/>
    <x v="10"/>
  </r>
  <r>
    <s v="CLM105841"/>
    <s v="PT11786"/>
    <s v="P03"/>
    <x v="1"/>
    <x v="5"/>
    <n v="1"/>
    <d v="2026-09-20T00:00:00"/>
    <d v="2026-09-24T00:00:00"/>
    <n v="4658.6899999999996"/>
    <m/>
    <m/>
    <m/>
    <s v="Pending"/>
    <s v=""/>
    <m/>
    <m/>
    <n v="4800"/>
    <n v="0.47"/>
    <n v="2256"/>
    <s v=""/>
    <x v="2"/>
    <x v="4"/>
    <x v="8"/>
  </r>
  <r>
    <s v="CLM105842"/>
    <s v="PT11093"/>
    <s v="P02"/>
    <x v="0"/>
    <x v="4"/>
    <n v="1"/>
    <d v="2026-02-06T00:00:00"/>
    <d v="2026-02-07T00:00:00"/>
    <n v="36.93"/>
    <n v="17.93"/>
    <n v="14.34"/>
    <n v="3.59"/>
    <s v="Paid"/>
    <s v=""/>
    <d v="2026-03-13T00:00:00"/>
    <d v="2026-03-13T00:00:00"/>
    <n v="38"/>
    <n v="0.43"/>
    <n v="16.34"/>
    <n v="-1.5899999999999999"/>
    <x v="0"/>
    <x v="6"/>
    <x v="0"/>
  </r>
  <r>
    <s v="CLM105843"/>
    <s v="PT11226"/>
    <s v="P01"/>
    <x v="0"/>
    <x v="4"/>
    <n v="1"/>
    <d v="2026-03-03T00:00:00"/>
    <d v="2026-03-06T00:00:00"/>
    <n v="37.69"/>
    <m/>
    <m/>
    <m/>
    <s v="Denied"/>
    <s v="CO-18"/>
    <d v="2026-04-04T00:00:00"/>
    <m/>
    <n v="38"/>
    <n v="0.45"/>
    <n v="17.100000000000001"/>
    <s v=""/>
    <x v="2"/>
    <x v="5"/>
    <x v="2"/>
  </r>
  <r>
    <s v="CLM105844"/>
    <s v="PT10267"/>
    <s v="P03"/>
    <x v="3"/>
    <x v="6"/>
    <n v="1"/>
    <d v="2026-03-04T00:00:00"/>
    <d v="2026-03-06T00:00:00"/>
    <n v="409.28"/>
    <n v="216.87"/>
    <n v="216.87"/>
    <n v="0"/>
    <s v="Paid"/>
    <s v=""/>
    <d v="2026-04-23T00:00:00"/>
    <d v="2026-04-23T00:00:00"/>
    <n v="420"/>
    <n v="0.47"/>
    <n v="197.4"/>
    <n v="-19.47"/>
    <x v="0"/>
    <x v="4"/>
    <x v="2"/>
  </r>
  <r>
    <s v="CLM105845"/>
    <s v="PT10691"/>
    <s v="P01"/>
    <x v="3"/>
    <x v="7"/>
    <n v="1"/>
    <d v="2026-07-26T00:00:00"/>
    <d v="2026-07-29T00:00:00"/>
    <n v="216.07"/>
    <n v="99.98"/>
    <n v="99.98"/>
    <n v="0"/>
    <s v="Paid"/>
    <s v=""/>
    <d v="2026-08-21T00:00:00"/>
    <d v="2026-08-21T00:00:00"/>
    <n v="210"/>
    <n v="0.45"/>
    <n v="94.5"/>
    <n v="-5.480000000000004"/>
    <x v="0"/>
    <x v="5"/>
    <x v="1"/>
  </r>
  <r>
    <s v="CLM105846"/>
    <s v="PT10882"/>
    <s v="P01"/>
    <x v="3"/>
    <x v="7"/>
    <n v="1"/>
    <d v="2026-05-20T00:00:00"/>
    <d v="2026-05-26T00:00:00"/>
    <n v="209.16"/>
    <n v="79.959999999999994"/>
    <n v="79.959999999999994"/>
    <n v="0"/>
    <s v="Paid"/>
    <s v=""/>
    <d v="2026-06-24T00:00:00"/>
    <d v="2026-06-24T00:00:00"/>
    <n v="210"/>
    <n v="0.45"/>
    <n v="94.5"/>
    <n v="14.540000000000006"/>
    <x v="1"/>
    <x v="5"/>
    <x v="7"/>
  </r>
  <r>
    <s v="CLM105848"/>
    <s v="PT10693"/>
    <s v="P04"/>
    <x v="0"/>
    <x v="8"/>
    <n v="1"/>
    <d v="2026-06-11T00:00:00"/>
    <d v="2026-06-14T00:00:00"/>
    <n v="260.94"/>
    <n v="87.99"/>
    <n v="87.99"/>
    <n v="0"/>
    <s v="Paid"/>
    <s v=""/>
    <d v="2026-06-29T00:00:00"/>
    <d v="2026-06-29T00:00:00"/>
    <n v="260"/>
    <n v="0.36"/>
    <n v="93.6"/>
    <n v="5.6099999999999994"/>
    <x v="1"/>
    <x v="1"/>
    <x v="11"/>
  </r>
  <r>
    <s v="CLM105849"/>
    <s v="PT10173"/>
    <s v="P03"/>
    <x v="2"/>
    <x v="9"/>
    <n v="1"/>
    <d v="2026-07-21T00:00:00"/>
    <d v="2026-07-23T00:00:00"/>
    <n v="59.57"/>
    <n v="28.5"/>
    <n v="22.8"/>
    <n v="5.7"/>
    <s v="Paid"/>
    <s v=""/>
    <d v="2026-07-28T00:00:00"/>
    <d v="2026-07-28T00:00:00"/>
    <n v="58"/>
    <n v="0.47"/>
    <n v="27.26"/>
    <n v="-1.2399999999999984"/>
    <x v="0"/>
    <x v="4"/>
    <x v="1"/>
  </r>
  <r>
    <s v="CLM105850"/>
    <s v="PT11112"/>
    <s v="P01"/>
    <x v="1"/>
    <x v="4"/>
    <n v="1"/>
    <d v="2026-07-06T00:00:00"/>
    <d v="2026-07-09T00:00:00"/>
    <n v="37.07"/>
    <n v="16.09"/>
    <n v="14.48"/>
    <n v="1.61"/>
    <s v="Paid"/>
    <s v=""/>
    <d v="2026-08-09T00:00:00"/>
    <d v="2026-08-09T00:00:00"/>
    <n v="38"/>
    <n v="0.45"/>
    <n v="17.100000000000001"/>
    <n v="1.0100000000000016"/>
    <x v="1"/>
    <x v="5"/>
    <x v="1"/>
  </r>
  <r>
    <s v="CLM105851"/>
    <s v="PT12395"/>
    <s v="P07"/>
    <x v="1"/>
    <x v="4"/>
    <n v="1"/>
    <d v="2026-01-05T00:00:00"/>
    <d v="2026-01-06T00:00:00"/>
    <n v="38.19"/>
    <n v="9.9"/>
    <n v="9.9"/>
    <n v="0"/>
    <s v="Paid"/>
    <s v=""/>
    <d v="2026-03-10T00:00:00"/>
    <d v="2026-03-10T00:00:00"/>
    <n v="38"/>
    <n v="0.28000000000000003"/>
    <n v="10.64"/>
    <n v="0.74000000000000021"/>
    <x v="1"/>
    <x v="3"/>
    <x v="5"/>
  </r>
  <r>
    <s v="CLM105853"/>
    <s v="PT11105"/>
    <s v="P01"/>
    <x v="2"/>
    <x v="2"/>
    <n v="1"/>
    <d v="2026-05-14T00:00:00"/>
    <d v="2026-05-15T00:00:00"/>
    <n v="63.78"/>
    <n v="27.64"/>
    <n v="27.64"/>
    <n v="0"/>
    <s v="Paid"/>
    <s v=""/>
    <d v="2026-06-12T00:00:00"/>
    <d v="2026-06-12T00:00:00"/>
    <n v="62"/>
    <n v="0.45"/>
    <n v="27.9"/>
    <n v="0.25999999999999801"/>
    <x v="0"/>
    <x v="5"/>
    <x v="7"/>
  </r>
  <r>
    <s v="CLM105854"/>
    <s v="PT12365"/>
    <s v="P04"/>
    <x v="1"/>
    <x v="1"/>
    <n v="1"/>
    <d v="2026-05-31T00:00:00"/>
    <d v="2026-06-02T00:00:00"/>
    <n v="242"/>
    <n v="82.24"/>
    <n v="82.24"/>
    <n v="0"/>
    <s v="Paid"/>
    <s v=""/>
    <d v="2026-06-25T00:00:00"/>
    <d v="2026-06-25T00:00:00"/>
    <n v="240"/>
    <n v="0.36"/>
    <n v="86.4"/>
    <n v="4.1600000000000108"/>
    <x v="0"/>
    <x v="1"/>
    <x v="7"/>
  </r>
  <r>
    <s v="CLM105855"/>
    <s v="PT12391"/>
    <s v="P05"/>
    <x v="1"/>
    <x v="10"/>
    <n v="1"/>
    <d v="2026-03-24T00:00:00"/>
    <d v="2026-03-25T00:00:00"/>
    <n v="1056.76"/>
    <n v="379.14"/>
    <n v="379.14"/>
    <n v="0"/>
    <s v="Paid"/>
    <s v=""/>
    <d v="2026-05-31T00:00:00"/>
    <d v="2026-05-31T00:00:00"/>
    <n v="1050"/>
    <n v="0.38"/>
    <n v="399"/>
    <n v="19.860000000000014"/>
    <x v="0"/>
    <x v="0"/>
    <x v="2"/>
  </r>
  <r>
    <s v="CLM105856"/>
    <s v="PT13444"/>
    <s v="P02"/>
    <x v="3"/>
    <x v="7"/>
    <n v="1"/>
    <d v="2026-01-02T00:00:00"/>
    <d v="2026-01-09T00:00:00"/>
    <n v="207.17"/>
    <n v="99.21"/>
    <n v="99.21"/>
    <n v="0"/>
    <s v="Paid"/>
    <s v=""/>
    <d v="2026-02-24T00:00:00"/>
    <d v="2026-02-24T00:00:00"/>
    <n v="210"/>
    <n v="0.43"/>
    <n v="90.3"/>
    <n v="-8.9099999999999966"/>
    <x v="0"/>
    <x v="6"/>
    <x v="5"/>
  </r>
  <r>
    <s v="CLM105857"/>
    <s v="PT12008"/>
    <s v="P02"/>
    <x v="1"/>
    <x v="11"/>
    <n v="1"/>
    <d v="2025-10-24T00:00:00"/>
    <d v="2025-10-27T00:00:00"/>
    <n v="1163.95"/>
    <n v="513.37"/>
    <n v="462.03"/>
    <n v="51.34"/>
    <s v="Paid"/>
    <s v=""/>
    <d v="2025-12-10T00:00:00"/>
    <d v="2025-12-10T00:00:00"/>
    <n v="1150"/>
    <n v="0.43"/>
    <n v="494.5"/>
    <n v="-18.870000000000005"/>
    <x v="0"/>
    <x v="6"/>
    <x v="9"/>
  </r>
  <r>
    <s v="CLM105858"/>
    <s v="PT10523"/>
    <s v="P01"/>
    <x v="1"/>
    <x v="8"/>
    <n v="1"/>
    <d v="2026-09-19T00:00:00"/>
    <d v="2026-09-22T00:00:00"/>
    <n v="258.38"/>
    <m/>
    <m/>
    <m/>
    <s v="Pending"/>
    <s v=""/>
    <m/>
    <m/>
    <n v="260"/>
    <n v="0.45"/>
    <n v="117"/>
    <s v=""/>
    <x v="2"/>
    <x v="5"/>
    <x v="8"/>
  </r>
  <r>
    <s v="CLM105859"/>
    <s v="PT12518"/>
    <s v="P02"/>
    <x v="1"/>
    <x v="8"/>
    <n v="1"/>
    <d v="2026-03-07T00:00:00"/>
    <d v="2026-03-09T00:00:00"/>
    <n v="252.92"/>
    <n v="108.37"/>
    <n v="97.53"/>
    <n v="10.84"/>
    <s v="Paid"/>
    <s v=""/>
    <d v="2026-04-09T00:00:00"/>
    <d v="2026-04-09T00:00:00"/>
    <n v="260"/>
    <n v="0.43"/>
    <n v="111.8"/>
    <n v="3.4299999999999926"/>
    <x v="0"/>
    <x v="6"/>
    <x v="2"/>
  </r>
  <r>
    <s v="CLM105860"/>
    <s v="PT11333"/>
    <s v="P03"/>
    <x v="1"/>
    <x v="8"/>
    <n v="1"/>
    <d v="2025-12-27T00:00:00"/>
    <d v="2025-12-28T00:00:00"/>
    <n v="265"/>
    <n v="108.55"/>
    <n v="108.55"/>
    <n v="0"/>
    <s v="Paid"/>
    <s v=""/>
    <d v="2026-02-08T00:00:00"/>
    <d v="2026-02-08T00:00:00"/>
    <n v="260"/>
    <n v="0.47"/>
    <n v="122.2"/>
    <n v="13.650000000000006"/>
    <x v="1"/>
    <x v="4"/>
    <x v="6"/>
  </r>
  <r>
    <s v="CLM105861"/>
    <s v="PT10981"/>
    <s v="P02"/>
    <x v="0"/>
    <x v="0"/>
    <n v="1"/>
    <d v="2025-12-17T00:00:00"/>
    <d v="2025-12-29T00:00:00"/>
    <n v="148.97999999999999"/>
    <m/>
    <m/>
    <m/>
    <s v="Denied"/>
    <s v="CO-18"/>
    <d v="2026-01-31T00:00:00"/>
    <m/>
    <n v="145"/>
    <n v="0.43"/>
    <n v="62.35"/>
    <s v=""/>
    <x v="2"/>
    <x v="6"/>
    <x v="6"/>
  </r>
  <r>
    <s v="CLM105862"/>
    <s v="PT12686"/>
    <s v="P02"/>
    <x v="1"/>
    <x v="1"/>
    <n v="1"/>
    <d v="2026-07-28T00:00:00"/>
    <d v="2026-07-29T00:00:00"/>
    <n v="235.23"/>
    <n v="92.45"/>
    <n v="92.45"/>
    <n v="0"/>
    <s v="Paid"/>
    <s v=""/>
    <d v="2026-08-22T00:00:00"/>
    <d v="2026-08-22T00:00:00"/>
    <n v="240"/>
    <n v="0.43"/>
    <n v="103.2"/>
    <n v="10.75"/>
    <x v="1"/>
    <x v="6"/>
    <x v="1"/>
  </r>
  <r>
    <s v="CLM105863"/>
    <s v="PT11583"/>
    <s v="P02"/>
    <x v="0"/>
    <x v="4"/>
    <n v="1"/>
    <d v="2026-08-31T00:00:00"/>
    <d v="2026-09-01T00:00:00"/>
    <n v="38.67"/>
    <n v="15.11"/>
    <n v="15.11"/>
    <n v="0"/>
    <s v="Paid"/>
    <s v=""/>
    <d v="2026-09-19T00:00:00"/>
    <d v="2026-09-19T00:00:00"/>
    <n v="38"/>
    <n v="0.43"/>
    <n v="16.34"/>
    <n v="1.2300000000000004"/>
    <x v="1"/>
    <x v="6"/>
    <x v="4"/>
  </r>
  <r>
    <s v="CLM105864"/>
    <s v="PT11544"/>
    <s v="P04"/>
    <x v="1"/>
    <x v="4"/>
    <n v="1"/>
    <d v="2026-01-17T00:00:00"/>
    <d v="2026-01-19T00:00:00"/>
    <n v="37.24"/>
    <n v="11.49"/>
    <n v="10.34"/>
    <n v="1.1499999999999999"/>
    <s v="Paid"/>
    <s v=""/>
    <d v="2026-02-04T00:00:00"/>
    <d v="2026-02-04T00:00:00"/>
    <n v="38"/>
    <n v="0.36"/>
    <n v="13.68"/>
    <n v="2.1899999999999995"/>
    <x v="1"/>
    <x v="1"/>
    <x v="5"/>
  </r>
  <r>
    <s v="CLM105865"/>
    <s v="PT11735"/>
    <s v="P04"/>
    <x v="0"/>
    <x v="7"/>
    <n v="1"/>
    <d v="2026-02-18T00:00:00"/>
    <d v="2026-02-20T00:00:00"/>
    <n v="215.1"/>
    <n v="86.06"/>
    <n v="86.06"/>
    <n v="0"/>
    <s v="Paid"/>
    <s v=""/>
    <d v="2026-02-27T00:00:00"/>
    <d v="2026-02-27T00:00:00"/>
    <n v="210"/>
    <n v="0.36"/>
    <n v="75.599999999999994"/>
    <n v="-10.460000000000008"/>
    <x v="0"/>
    <x v="1"/>
    <x v="0"/>
  </r>
  <r>
    <s v="CLM105866"/>
    <s v="PT10738"/>
    <s v="P01"/>
    <x v="1"/>
    <x v="10"/>
    <n v="1"/>
    <d v="2026-02-04T00:00:00"/>
    <d v="2026-02-05T00:00:00"/>
    <n v="1058.93"/>
    <n v="425.91"/>
    <n v="425.91"/>
    <n v="0"/>
    <s v="Paid"/>
    <s v=""/>
    <d v="2026-02-22T00:00:00"/>
    <d v="2026-02-22T00:00:00"/>
    <n v="1050"/>
    <n v="0.45"/>
    <n v="472.5"/>
    <n v="46.589999999999975"/>
    <x v="1"/>
    <x v="5"/>
    <x v="0"/>
  </r>
  <r>
    <s v="CLM105867"/>
    <s v="PT11250"/>
    <s v="P03"/>
    <x v="1"/>
    <x v="4"/>
    <n v="1"/>
    <d v="2026-04-11T00:00:00"/>
    <d v="2026-04-16T00:00:00"/>
    <n v="37.090000000000003"/>
    <n v="19.88"/>
    <n v="19.88"/>
    <n v="0"/>
    <s v="Paid"/>
    <s v=""/>
    <d v="2026-06-16T00:00:00"/>
    <d v="2026-06-16T00:00:00"/>
    <n v="38"/>
    <n v="0.47"/>
    <n v="17.86"/>
    <n v="-2.0199999999999996"/>
    <x v="0"/>
    <x v="4"/>
    <x v="10"/>
  </r>
  <r>
    <s v="CLM105868"/>
    <s v="PT12942"/>
    <s v="P07"/>
    <x v="3"/>
    <x v="7"/>
    <n v="1"/>
    <d v="2026-05-22T00:00:00"/>
    <d v="2026-05-26T00:00:00"/>
    <n v="206.46"/>
    <n v="63.01"/>
    <n v="63.01"/>
    <n v="0"/>
    <s v="Paid"/>
    <s v=""/>
    <d v="2026-07-16T00:00:00"/>
    <d v="2026-07-16T00:00:00"/>
    <n v="210"/>
    <n v="0.28000000000000003"/>
    <n v="58.8"/>
    <n v="-4.2100000000000009"/>
    <x v="0"/>
    <x v="3"/>
    <x v="7"/>
  </r>
  <r>
    <s v="CLM105869"/>
    <s v="PT13327"/>
    <s v="P08"/>
    <x v="3"/>
    <x v="7"/>
    <n v="1"/>
    <d v="2025-12-13T00:00:00"/>
    <d v="2025-12-23T00:00:00"/>
    <n v="207.34"/>
    <m/>
    <m/>
    <m/>
    <s v="Pending"/>
    <s v=""/>
    <m/>
    <m/>
    <n v="210"/>
    <n v="1"/>
    <n v="210"/>
    <s v=""/>
    <x v="2"/>
    <x v="7"/>
    <x v="6"/>
  </r>
  <r>
    <s v="CLM105870"/>
    <s v="PT12411"/>
    <s v="P03"/>
    <x v="2"/>
    <x v="0"/>
    <n v="1"/>
    <d v="2026-01-24T00:00:00"/>
    <d v="2026-01-28T00:00:00"/>
    <n v="143.75"/>
    <m/>
    <m/>
    <m/>
    <s v="Denied"/>
    <s v="CO-11"/>
    <d v="2026-04-01T00:00:00"/>
    <m/>
    <n v="145"/>
    <n v="0.47"/>
    <n v="68.150000000000006"/>
    <s v=""/>
    <x v="2"/>
    <x v="4"/>
    <x v="5"/>
  </r>
  <r>
    <s v="CLM105871"/>
    <s v="PT13154"/>
    <s v="P01"/>
    <x v="2"/>
    <x v="0"/>
    <n v="1"/>
    <d v="2026-01-27T00:00:00"/>
    <d v="2026-01-30T00:00:00"/>
    <n v="144.19999999999999"/>
    <m/>
    <m/>
    <m/>
    <s v="Denied"/>
    <s v="CO-50"/>
    <d v="2026-03-01T00:00:00"/>
    <m/>
    <n v="145"/>
    <n v="0.45"/>
    <n v="65.25"/>
    <s v=""/>
    <x v="2"/>
    <x v="5"/>
    <x v="5"/>
  </r>
  <r>
    <s v="CLM105872"/>
    <s v="PT10670"/>
    <s v="P05"/>
    <x v="1"/>
    <x v="11"/>
    <n v="1"/>
    <d v="2025-12-12T00:00:00"/>
    <d v="2025-12-16T00:00:00"/>
    <n v="1169.67"/>
    <n v="506.06"/>
    <n v="506.06"/>
    <n v="0"/>
    <s v="Paid"/>
    <s v=""/>
    <d v="2026-01-20T00:00:00"/>
    <d v="2026-01-20T00:00:00"/>
    <n v="1150"/>
    <n v="0.38"/>
    <n v="437"/>
    <n v="-69.06"/>
    <x v="0"/>
    <x v="0"/>
    <x v="6"/>
  </r>
  <r>
    <s v="CLM105873"/>
    <s v="PT12017"/>
    <s v="P01"/>
    <x v="3"/>
    <x v="3"/>
    <n v="10"/>
    <d v="2026-02-07T00:00:00"/>
    <d v="2026-02-12T00:00:00"/>
    <n v="14241.44"/>
    <n v="6786.79"/>
    <n v="6786.79"/>
    <n v="0"/>
    <s v="Paid"/>
    <s v=""/>
    <d v="2026-03-12T00:00:00"/>
    <d v="2026-03-12T00:00:00"/>
    <n v="1450"/>
    <n v="0.45"/>
    <n v="6525"/>
    <n v="-261.78999999999996"/>
    <x v="0"/>
    <x v="5"/>
    <x v="0"/>
  </r>
  <r>
    <s v="CLM105874"/>
    <s v="PT11720"/>
    <s v="P01"/>
    <x v="0"/>
    <x v="0"/>
    <n v="1"/>
    <d v="2026-08-01T00:00:00"/>
    <d v="2026-08-11T00:00:00"/>
    <n v="142.35"/>
    <m/>
    <m/>
    <m/>
    <s v="Denied"/>
    <s v="CO-18"/>
    <d v="2026-09-09T00:00:00"/>
    <m/>
    <n v="145"/>
    <n v="0.45"/>
    <n v="65.25"/>
    <s v=""/>
    <x v="2"/>
    <x v="5"/>
    <x v="4"/>
  </r>
  <r>
    <s v="CLM105875"/>
    <s v="PT10383"/>
    <s v="P02"/>
    <x v="3"/>
    <x v="7"/>
    <n v="1"/>
    <d v="2026-03-30T00:00:00"/>
    <d v="2026-03-31T00:00:00"/>
    <n v="214.27"/>
    <n v="100.75"/>
    <n v="80.599999999999994"/>
    <n v="20.149999999999999"/>
    <s v="Paid"/>
    <s v=""/>
    <d v="2026-05-07T00:00:00"/>
    <d v="2026-05-07T00:00:00"/>
    <n v="210"/>
    <n v="0.43"/>
    <n v="90.3"/>
    <n v="-10.450000000000003"/>
    <x v="0"/>
    <x v="6"/>
    <x v="2"/>
  </r>
  <r>
    <s v="CLM105876"/>
    <s v="PT11379"/>
    <s v="P04"/>
    <x v="0"/>
    <x v="0"/>
    <n v="1"/>
    <d v="2026-01-23T00:00:00"/>
    <d v="2026-01-30T00:00:00"/>
    <n v="148.55000000000001"/>
    <n v="51.25"/>
    <n v="46.13"/>
    <n v="5.12"/>
    <s v="Paid"/>
    <s v=""/>
    <d v="2026-02-20T00:00:00"/>
    <d v="2026-02-20T00:00:00"/>
    <n v="145"/>
    <n v="0.36"/>
    <n v="52.2"/>
    <n v="0.95000000000000284"/>
    <x v="0"/>
    <x v="1"/>
    <x v="5"/>
  </r>
  <r>
    <s v="CLM105877"/>
    <s v="PT10340"/>
    <s v="P02"/>
    <x v="1"/>
    <x v="7"/>
    <n v="1"/>
    <d v="2026-07-10T00:00:00"/>
    <d v="2026-07-16T00:00:00"/>
    <n v="207.54"/>
    <m/>
    <m/>
    <m/>
    <s v="Denied"/>
    <s v="CO-11"/>
    <d v="2026-08-28T00:00:00"/>
    <m/>
    <n v="210"/>
    <n v="0.43"/>
    <n v="90.3"/>
    <s v=""/>
    <x v="2"/>
    <x v="6"/>
    <x v="1"/>
  </r>
  <r>
    <s v="CLM105878"/>
    <s v="PT10716"/>
    <s v="P01"/>
    <x v="1"/>
    <x v="4"/>
    <n v="1"/>
    <d v="2026-09-04T00:00:00"/>
    <d v="2026-09-05T00:00:00"/>
    <n v="38.31"/>
    <m/>
    <m/>
    <m/>
    <s v="Pending"/>
    <s v=""/>
    <m/>
    <m/>
    <n v="38"/>
    <n v="0.45"/>
    <n v="17.100000000000001"/>
    <s v=""/>
    <x v="2"/>
    <x v="5"/>
    <x v="8"/>
  </r>
  <r>
    <s v="CLM105879"/>
    <s v="PT11725"/>
    <s v="P03"/>
    <x v="2"/>
    <x v="0"/>
    <n v="1"/>
    <d v="2025-10-21T00:00:00"/>
    <d v="2025-10-24T00:00:00"/>
    <n v="149.02000000000001"/>
    <n v="81.13"/>
    <n v="64.900000000000006"/>
    <n v="16.23"/>
    <s v="Paid"/>
    <s v=""/>
    <d v="2025-12-04T00:00:00"/>
    <d v="2025-12-04T00:00:00"/>
    <n v="145"/>
    <n v="0.47"/>
    <n v="68.150000000000006"/>
    <n v="-12.97999999999999"/>
    <x v="0"/>
    <x v="4"/>
    <x v="9"/>
  </r>
  <r>
    <s v="CLM105880"/>
    <s v="PT12500"/>
    <s v="P03"/>
    <x v="1"/>
    <x v="5"/>
    <n v="1"/>
    <d v="2026-08-16T00:00:00"/>
    <d v="2026-08-19T00:00:00"/>
    <n v="4835.2700000000004"/>
    <m/>
    <m/>
    <m/>
    <s v="Pending"/>
    <s v=""/>
    <m/>
    <m/>
    <n v="4800"/>
    <n v="0.47"/>
    <n v="2256"/>
    <s v=""/>
    <x v="2"/>
    <x v="4"/>
    <x v="4"/>
  </r>
  <r>
    <s v="CLM105881"/>
    <s v="PT12351"/>
    <s v="P02"/>
    <x v="0"/>
    <x v="4"/>
    <n v="1"/>
    <d v="2026-05-08T00:00:00"/>
    <d v="2026-05-09T00:00:00"/>
    <n v="38.14"/>
    <n v="16.66"/>
    <n v="14.99"/>
    <n v="1.67"/>
    <s v="Paid"/>
    <s v=""/>
    <d v="2026-06-22T00:00:00"/>
    <d v="2026-06-22T00:00:00"/>
    <n v="38"/>
    <n v="0.43"/>
    <n v="16.34"/>
    <n v="-0.32000000000000028"/>
    <x v="0"/>
    <x v="6"/>
    <x v="7"/>
  </r>
  <r>
    <s v="CLM105882"/>
    <s v="PT10599"/>
    <s v="P01"/>
    <x v="3"/>
    <x v="3"/>
    <n v="10"/>
    <d v="2025-10-10T00:00:00"/>
    <d v="2025-10-13T00:00:00"/>
    <n v="14602.93"/>
    <n v="5973.51"/>
    <n v="5973.51"/>
    <n v="0"/>
    <s v="Paid"/>
    <s v=""/>
    <d v="2025-11-14T00:00:00"/>
    <d v="2025-11-14T00:00:00"/>
    <n v="1450"/>
    <n v="0.45"/>
    <n v="6525"/>
    <n v="551.48999999999978"/>
    <x v="1"/>
    <x v="5"/>
    <x v="9"/>
  </r>
  <r>
    <s v="CLM105883"/>
    <s v="PT10226"/>
    <s v="P01"/>
    <x v="2"/>
    <x v="9"/>
    <n v="4"/>
    <d v="2026-08-13T00:00:00"/>
    <d v="2026-08-15T00:00:00"/>
    <n v="230.45"/>
    <n v="115.72"/>
    <n v="115.72"/>
    <n v="0"/>
    <s v="Paid"/>
    <s v=""/>
    <d v="2026-09-06T00:00:00"/>
    <d v="2026-09-06T00:00:00"/>
    <n v="58"/>
    <n v="0.45"/>
    <n v="104.4"/>
    <n v="-11.319999999999993"/>
    <x v="0"/>
    <x v="5"/>
    <x v="4"/>
  </r>
  <r>
    <s v="CLM105884"/>
    <s v="PT12494"/>
    <s v="P06"/>
    <x v="3"/>
    <x v="3"/>
    <n v="30"/>
    <d v="2025-10-07T00:00:00"/>
    <d v="2025-10-14T00:00:00"/>
    <n v="44379.28"/>
    <m/>
    <m/>
    <m/>
    <s v="Denied"/>
    <s v="CO-197"/>
    <d v="2025-11-05T00:00:00"/>
    <m/>
    <n v="1450"/>
    <n v="0.27"/>
    <n v="11745"/>
    <s v=""/>
    <x v="2"/>
    <x v="2"/>
    <x v="9"/>
  </r>
  <r>
    <s v="CLM105885"/>
    <s v="PT11691"/>
    <s v="P05"/>
    <x v="1"/>
    <x v="4"/>
    <n v="1"/>
    <d v="2025-11-07T00:00:00"/>
    <d v="2025-11-28T00:00:00"/>
    <n v="37.630000000000003"/>
    <n v="15.87"/>
    <n v="14.28"/>
    <n v="1.59"/>
    <s v="Paid"/>
    <s v=""/>
    <d v="2026-02-06T00:00:00"/>
    <d v="2026-02-06T00:00:00"/>
    <n v="38"/>
    <n v="0.38"/>
    <n v="14.44"/>
    <n v="-1.4299999999999997"/>
    <x v="0"/>
    <x v="0"/>
    <x v="3"/>
  </r>
  <r>
    <s v="CLM105886"/>
    <s v="PT10212"/>
    <s v="P07"/>
    <x v="3"/>
    <x v="7"/>
    <n v="1"/>
    <d v="2026-01-07T00:00:00"/>
    <d v="2026-01-14T00:00:00"/>
    <n v="211.54"/>
    <n v="60.76"/>
    <n v="60.76"/>
    <n v="0"/>
    <s v="Paid"/>
    <s v=""/>
    <d v="2026-02-25T00:00:00"/>
    <d v="2026-02-25T00:00:00"/>
    <n v="210"/>
    <n v="0.28000000000000003"/>
    <n v="58.8"/>
    <n v="-1.9600000000000009"/>
    <x v="0"/>
    <x v="3"/>
    <x v="5"/>
  </r>
  <r>
    <s v="CLM105887"/>
    <s v="PT13163"/>
    <s v="P02"/>
    <x v="0"/>
    <x v="0"/>
    <n v="1"/>
    <d v="2025-10-02T00:00:00"/>
    <d v="2025-10-03T00:00:00"/>
    <n v="142.38"/>
    <m/>
    <m/>
    <m/>
    <s v="Denied"/>
    <s v="CO-16"/>
    <d v="2025-10-31T00:00:00"/>
    <m/>
    <n v="145"/>
    <n v="0.43"/>
    <n v="62.35"/>
    <s v=""/>
    <x v="2"/>
    <x v="6"/>
    <x v="9"/>
  </r>
  <r>
    <s v="CLM105888"/>
    <s v="PT11495"/>
    <s v="P01"/>
    <x v="1"/>
    <x v="4"/>
    <n v="1"/>
    <d v="2026-07-16T00:00:00"/>
    <d v="2026-07-21T00:00:00"/>
    <n v="37.04"/>
    <n v="16.46"/>
    <n v="16.46"/>
    <n v="0"/>
    <s v="Paid"/>
    <s v=""/>
    <d v="2026-08-30T00:00:00"/>
    <d v="2026-08-30T00:00:00"/>
    <n v="38"/>
    <n v="0.45"/>
    <n v="17.100000000000001"/>
    <n v="0.64000000000000057"/>
    <x v="0"/>
    <x v="5"/>
    <x v="1"/>
  </r>
  <r>
    <s v="CLM105889"/>
    <s v="PT13014"/>
    <s v="P04"/>
    <x v="1"/>
    <x v="1"/>
    <n v="1"/>
    <d v="2026-09-03T00:00:00"/>
    <d v="2026-09-04T00:00:00"/>
    <n v="241.45"/>
    <n v="92.42"/>
    <n v="83.18"/>
    <n v="9.24"/>
    <s v="Paid"/>
    <s v=""/>
    <d v="2026-09-29T00:00:00"/>
    <d v="2026-09-29T00:00:00"/>
    <n v="240"/>
    <n v="0.36"/>
    <n v="86.4"/>
    <n v="-6.019999999999996"/>
    <x v="0"/>
    <x v="1"/>
    <x v="8"/>
  </r>
  <r>
    <s v="CLM105890"/>
    <s v="PT10607"/>
    <s v="P07"/>
    <x v="1"/>
    <x v="1"/>
    <n v="1"/>
    <d v="2025-12-14T00:00:00"/>
    <d v="2025-12-17T00:00:00"/>
    <n v="236.23"/>
    <n v="71.319999999999993"/>
    <n v="57.06"/>
    <n v="14.26"/>
    <s v="Paid"/>
    <s v=""/>
    <d v="2026-04-04T00:00:00"/>
    <d v="2026-04-04T00:00:00"/>
    <n v="240"/>
    <n v="0.28000000000000003"/>
    <n v="67.2"/>
    <n v="-4.1199999999999903"/>
    <x v="0"/>
    <x v="3"/>
    <x v="6"/>
  </r>
  <r>
    <s v="CLM105891"/>
    <s v="PT10160"/>
    <s v="P04"/>
    <x v="3"/>
    <x v="7"/>
    <n v="1"/>
    <d v="2026-01-14T00:00:00"/>
    <d v="2026-01-15T00:00:00"/>
    <n v="212.68"/>
    <n v="82.45"/>
    <n v="82.45"/>
    <n v="0"/>
    <s v="Paid"/>
    <s v=""/>
    <d v="2026-02-03T00:00:00"/>
    <d v="2026-02-03T00:00:00"/>
    <n v="210"/>
    <n v="0.36"/>
    <n v="75.599999999999994"/>
    <n v="-6.8500000000000085"/>
    <x v="0"/>
    <x v="1"/>
    <x v="5"/>
  </r>
  <r>
    <s v="CLM105892"/>
    <s v="PT12770"/>
    <s v="P05"/>
    <x v="1"/>
    <x v="11"/>
    <n v="1"/>
    <d v="2025-10-03T00:00:00"/>
    <d v="2025-10-18T00:00:00"/>
    <n v="1178.6199999999999"/>
    <n v="464.78"/>
    <n v="371.82"/>
    <n v="92.96"/>
    <s v="Paid"/>
    <s v=""/>
    <d v="2025-12-13T00:00:00"/>
    <d v="2025-12-13T00:00:00"/>
    <n v="1150"/>
    <n v="0.38"/>
    <n v="437"/>
    <n v="-27.779999999999973"/>
    <x v="0"/>
    <x v="0"/>
    <x v="9"/>
  </r>
  <r>
    <s v="CLM105893"/>
    <s v="PT12756"/>
    <s v="P04"/>
    <x v="1"/>
    <x v="4"/>
    <n v="1"/>
    <d v="2026-09-24T00:00:00"/>
    <d v="2026-09-27T00:00:00"/>
    <n v="36.94"/>
    <m/>
    <m/>
    <m/>
    <s v="Pending"/>
    <s v=""/>
    <m/>
    <m/>
    <n v="38"/>
    <n v="0.36"/>
    <n v="13.68"/>
    <s v=""/>
    <x v="2"/>
    <x v="1"/>
    <x v="8"/>
  </r>
  <r>
    <s v="CLM105894"/>
    <s v="PT10571"/>
    <s v="P05"/>
    <x v="0"/>
    <x v="4"/>
    <n v="1"/>
    <d v="2026-02-01T00:00:00"/>
    <d v="2026-02-02T00:00:00"/>
    <n v="37.090000000000003"/>
    <n v="13.35"/>
    <n v="12.02"/>
    <n v="1.33"/>
    <s v="Paid"/>
    <s v=""/>
    <d v="2026-04-01T00:00:00"/>
    <d v="2026-04-01T00:00:00"/>
    <n v="38"/>
    <n v="0.38"/>
    <n v="14.44"/>
    <n v="1.0899999999999999"/>
    <x v="1"/>
    <x v="0"/>
    <x v="0"/>
  </r>
  <r>
    <s v="CLM105895"/>
    <s v="PT12636"/>
    <s v="P02"/>
    <x v="1"/>
    <x v="7"/>
    <n v="1"/>
    <d v="2026-01-31T00:00:00"/>
    <d v="2026-02-01T00:00:00"/>
    <n v="205.77"/>
    <n v="87.46"/>
    <n v="87.46"/>
    <n v="0"/>
    <s v="Paid"/>
    <s v=""/>
    <d v="2026-03-17T00:00:00"/>
    <d v="2026-03-17T00:00:00"/>
    <n v="210"/>
    <n v="0.43"/>
    <n v="90.3"/>
    <n v="2.8400000000000034"/>
    <x v="0"/>
    <x v="6"/>
    <x v="5"/>
  </r>
  <r>
    <s v="CLM105896"/>
    <s v="PT11264"/>
    <s v="P03"/>
    <x v="3"/>
    <x v="3"/>
    <n v="10"/>
    <d v="2026-04-12T00:00:00"/>
    <d v="2026-04-19T00:00:00"/>
    <n v="14235.56"/>
    <n v="6639.13"/>
    <n v="5975.22"/>
    <n v="663.91"/>
    <s v="Paid"/>
    <s v=""/>
    <d v="2026-06-06T00:00:00"/>
    <d v="2026-06-06T00:00:00"/>
    <n v="1450"/>
    <n v="0.47"/>
    <n v="6815"/>
    <n v="175.86999999999989"/>
    <x v="0"/>
    <x v="4"/>
    <x v="10"/>
  </r>
  <r>
    <s v="CLM105897"/>
    <s v="PT11700"/>
    <s v="P03"/>
    <x v="2"/>
    <x v="9"/>
    <n v="2"/>
    <d v="2025-11-12T00:00:00"/>
    <d v="2025-11-19T00:00:00"/>
    <n v="119.02"/>
    <n v="60.56"/>
    <n v="60.56"/>
    <n v="0"/>
    <s v="Paid"/>
    <s v=""/>
    <d v="2026-01-02T00:00:00"/>
    <d v="2026-01-02T00:00:00"/>
    <n v="58"/>
    <n v="0.47"/>
    <n v="54.52"/>
    <n v="-6.0399999999999991"/>
    <x v="0"/>
    <x v="4"/>
    <x v="3"/>
  </r>
  <r>
    <s v="CLM105898"/>
    <s v="PT10819"/>
    <s v="P02"/>
    <x v="1"/>
    <x v="8"/>
    <n v="1"/>
    <d v="2026-05-12T00:00:00"/>
    <d v="2026-05-15T00:00:00"/>
    <n v="263.35000000000002"/>
    <n v="123.97"/>
    <n v="99.18"/>
    <n v="24.79"/>
    <s v="Paid"/>
    <s v=""/>
    <d v="2026-06-04T00:00:00"/>
    <d v="2026-06-04T00:00:00"/>
    <n v="260"/>
    <n v="0.43"/>
    <n v="111.8"/>
    <n v="-12.170000000000002"/>
    <x v="0"/>
    <x v="6"/>
    <x v="7"/>
  </r>
  <r>
    <s v="CLM105899"/>
    <s v="PT10854"/>
    <s v="P06"/>
    <x v="0"/>
    <x v="7"/>
    <n v="1"/>
    <d v="2026-09-02T00:00:00"/>
    <d v="2026-09-04T00:00:00"/>
    <n v="207.68"/>
    <m/>
    <m/>
    <m/>
    <s v="Pending"/>
    <s v=""/>
    <m/>
    <m/>
    <n v="210"/>
    <n v="0.27"/>
    <n v="56.7"/>
    <s v=""/>
    <x v="2"/>
    <x v="2"/>
    <x v="8"/>
  </r>
  <r>
    <s v="CLM105900"/>
    <s v="PT12274"/>
    <s v="P06"/>
    <x v="0"/>
    <x v="4"/>
    <n v="1"/>
    <d v="2025-11-22T00:00:00"/>
    <d v="2025-11-29T00:00:00"/>
    <n v="38.74"/>
    <n v="10.61"/>
    <n v="8.49"/>
    <n v="2.12"/>
    <s v="Paid"/>
    <s v=""/>
    <d v="2026-01-23T00:00:00"/>
    <d v="2026-01-23T00:00:00"/>
    <n v="38"/>
    <n v="0.27"/>
    <n v="10.26"/>
    <n v="-0.34999999999999964"/>
    <x v="0"/>
    <x v="2"/>
    <x v="3"/>
  </r>
  <r>
    <s v="CLM105901"/>
    <s v="PT11379"/>
    <s v="P08"/>
    <x v="0"/>
    <x v="7"/>
    <n v="1"/>
    <d v="2026-01-15T00:00:00"/>
    <d v="2026-01-17T00:00:00"/>
    <n v="215.45"/>
    <n v="215.45"/>
    <n v="215.45"/>
    <n v="0"/>
    <s v="Paid"/>
    <s v=""/>
    <d v="2026-04-03T00:00:00"/>
    <d v="2026-04-03T00:00:00"/>
    <n v="210"/>
    <n v="1"/>
    <n v="210"/>
    <n v="-5.4499999999999886"/>
    <x v="0"/>
    <x v="7"/>
    <x v="5"/>
  </r>
  <r>
    <s v="CLM105902"/>
    <s v="PT10498"/>
    <s v="P01"/>
    <x v="0"/>
    <x v="7"/>
    <n v="1"/>
    <d v="2025-12-12T00:00:00"/>
    <d v="2025-12-14T00:00:00"/>
    <n v="211.97"/>
    <n v="103.15"/>
    <n v="103.15"/>
    <n v="0"/>
    <s v="Paid"/>
    <s v=""/>
    <d v="2026-01-15T00:00:00"/>
    <d v="2026-01-15T00:00:00"/>
    <n v="210"/>
    <n v="0.45"/>
    <n v="94.5"/>
    <n v="-8.6500000000000057"/>
    <x v="0"/>
    <x v="5"/>
    <x v="6"/>
  </r>
  <r>
    <s v="CLM105903"/>
    <s v="PT11382"/>
    <s v="P08"/>
    <x v="1"/>
    <x v="11"/>
    <n v="1"/>
    <d v="2025-12-12T00:00:00"/>
    <d v="2025-12-13T00:00:00"/>
    <n v="1128.77"/>
    <m/>
    <m/>
    <m/>
    <s v="Pending"/>
    <s v=""/>
    <m/>
    <m/>
    <n v="1150"/>
    <n v="1"/>
    <n v="1150"/>
    <s v=""/>
    <x v="2"/>
    <x v="7"/>
    <x v="6"/>
  </r>
  <r>
    <s v="CLM105904"/>
    <s v="PT10114"/>
    <s v="P03"/>
    <x v="3"/>
    <x v="6"/>
    <n v="1"/>
    <d v="2026-04-25T00:00:00"/>
    <d v="2026-04-30T00:00:00"/>
    <n v="410.12"/>
    <n v="171.13"/>
    <n v="171.13"/>
    <n v="0"/>
    <s v="Paid"/>
    <s v=""/>
    <d v="2026-06-13T00:00:00"/>
    <d v="2026-06-13T00:00:00"/>
    <n v="420"/>
    <n v="0.47"/>
    <n v="197.4"/>
    <n v="26.27000000000001"/>
    <x v="1"/>
    <x v="4"/>
    <x v="10"/>
  </r>
  <r>
    <s v="CLM105905"/>
    <s v="PT12859"/>
    <s v="P08"/>
    <x v="0"/>
    <x v="7"/>
    <n v="1"/>
    <d v="2026-07-02T00:00:00"/>
    <d v="2026-07-13T00:00:00"/>
    <n v="214.19"/>
    <m/>
    <m/>
    <m/>
    <s v="Pending"/>
    <s v=""/>
    <m/>
    <m/>
    <n v="210"/>
    <n v="1"/>
    <n v="210"/>
    <s v=""/>
    <x v="2"/>
    <x v="7"/>
    <x v="1"/>
  </r>
  <r>
    <s v="CLM105906"/>
    <s v="PT11195"/>
    <s v="P02"/>
    <x v="2"/>
    <x v="2"/>
    <n v="2"/>
    <d v="2025-11-21T00:00:00"/>
    <d v="2025-11-23T00:00:00"/>
    <n v="124.78"/>
    <n v="57.75"/>
    <n v="46.2"/>
    <n v="11.55"/>
    <s v="Paid"/>
    <s v=""/>
    <d v="2026-01-04T00:00:00"/>
    <d v="2026-01-04T00:00:00"/>
    <n v="62"/>
    <n v="0.43"/>
    <n v="53.32"/>
    <n v="-4.43"/>
    <x v="0"/>
    <x v="6"/>
    <x v="3"/>
  </r>
  <r>
    <s v="CLM105907"/>
    <s v="PT12922"/>
    <s v="P01"/>
    <x v="3"/>
    <x v="6"/>
    <n v="1"/>
    <d v="2026-08-17T00:00:00"/>
    <d v="2026-08-25T00:00:00"/>
    <n v="409.99"/>
    <m/>
    <m/>
    <m/>
    <s v="Pending"/>
    <s v=""/>
    <m/>
    <m/>
    <n v="420"/>
    <n v="0.45"/>
    <n v="189"/>
    <s v=""/>
    <x v="2"/>
    <x v="5"/>
    <x v="4"/>
  </r>
  <r>
    <s v="CLM105908"/>
    <s v="PT12308"/>
    <s v="P01"/>
    <x v="3"/>
    <x v="3"/>
    <n v="30"/>
    <d v="2026-06-09T00:00:00"/>
    <d v="2026-06-26T00:00:00"/>
    <n v="44599.03"/>
    <n v="21260.73"/>
    <n v="17008.580000000002"/>
    <n v="4252.1499999999996"/>
    <s v="Paid"/>
    <s v=""/>
    <d v="2026-07-15T00:00:00"/>
    <d v="2026-07-15T00:00:00"/>
    <n v="1450"/>
    <n v="0.45"/>
    <n v="19575"/>
    <n v="-1685.7299999999996"/>
    <x v="0"/>
    <x v="5"/>
    <x v="11"/>
  </r>
  <r>
    <s v="CLM105909"/>
    <s v="PT11863"/>
    <s v="P02"/>
    <x v="1"/>
    <x v="10"/>
    <n v="1"/>
    <d v="2026-09-12T00:00:00"/>
    <d v="2026-09-26T00:00:00"/>
    <n v="1074.6600000000001"/>
    <m/>
    <m/>
    <m/>
    <s v="Pending"/>
    <s v=""/>
    <m/>
    <m/>
    <n v="1050"/>
    <n v="0.43"/>
    <n v="451.5"/>
    <s v=""/>
    <x v="2"/>
    <x v="6"/>
    <x v="8"/>
  </r>
  <r>
    <s v="CLM105910"/>
    <s v="PT11207"/>
    <s v="P04"/>
    <x v="3"/>
    <x v="6"/>
    <n v="1"/>
    <d v="2026-02-20T00:00:00"/>
    <d v="2026-02-24T00:00:00"/>
    <n v="432.43"/>
    <n v="145.55000000000001"/>
    <n v="130.99"/>
    <n v="14.56"/>
    <s v="Paid"/>
    <s v=""/>
    <d v="2026-03-11T00:00:00"/>
    <d v="2026-03-11T00:00:00"/>
    <n v="420"/>
    <n v="0.36"/>
    <n v="151.19999999999999"/>
    <n v="5.6499999999999773"/>
    <x v="0"/>
    <x v="1"/>
    <x v="0"/>
  </r>
  <r>
    <s v="CLM105911"/>
    <s v="PT12988"/>
    <s v="P04"/>
    <x v="2"/>
    <x v="0"/>
    <n v="1"/>
    <d v="2025-12-27T00:00:00"/>
    <d v="2025-12-28T00:00:00"/>
    <n v="141.01"/>
    <n v="46.77"/>
    <n v="46.77"/>
    <n v="0"/>
    <s v="Paid"/>
    <s v=""/>
    <d v="2026-01-19T00:00:00"/>
    <d v="2026-01-19T00:00:00"/>
    <n v="145"/>
    <n v="0.36"/>
    <n v="52.2"/>
    <n v="5.43"/>
    <x v="1"/>
    <x v="1"/>
    <x v="6"/>
  </r>
  <r>
    <s v="CLM105912"/>
    <s v="PT11282"/>
    <s v="P01"/>
    <x v="3"/>
    <x v="7"/>
    <n v="1"/>
    <d v="2026-06-06T00:00:00"/>
    <d v="2026-06-08T00:00:00"/>
    <n v="205.33"/>
    <n v="79.349999999999994"/>
    <n v="79.349999999999994"/>
    <n v="0"/>
    <s v="Paid"/>
    <s v=""/>
    <d v="2026-07-02T00:00:00"/>
    <d v="2026-07-02T00:00:00"/>
    <n v="210"/>
    <n v="0.45"/>
    <n v="94.5"/>
    <n v="15.150000000000006"/>
    <x v="1"/>
    <x v="5"/>
    <x v="11"/>
  </r>
  <r>
    <s v="CLM105913"/>
    <s v="PT11861"/>
    <s v="P03"/>
    <x v="1"/>
    <x v="4"/>
    <n v="1"/>
    <d v="2025-11-01T00:00:00"/>
    <d v="2025-11-08T00:00:00"/>
    <n v="39.1"/>
    <n v="16.37"/>
    <n v="13.1"/>
    <n v="3.27"/>
    <s v="Paid"/>
    <s v=""/>
    <d v="2026-01-13T00:00:00"/>
    <d v="2026-01-13T00:00:00"/>
    <n v="38"/>
    <n v="0.47"/>
    <n v="17.86"/>
    <n v="1.4899999999999984"/>
    <x v="1"/>
    <x v="4"/>
    <x v="3"/>
  </r>
  <r>
    <s v="CLM105914"/>
    <s v="PT12312"/>
    <s v="P07"/>
    <x v="0"/>
    <x v="7"/>
    <n v="1"/>
    <d v="2025-10-25T00:00:00"/>
    <d v="2025-10-31T00:00:00"/>
    <n v="205.53"/>
    <m/>
    <m/>
    <m/>
    <s v="Denied"/>
    <s v="CO-16"/>
    <d v="2026-01-18T00:00:00"/>
    <m/>
    <n v="210"/>
    <n v="0.28000000000000003"/>
    <n v="58.8"/>
    <s v=""/>
    <x v="2"/>
    <x v="3"/>
    <x v="9"/>
  </r>
  <r>
    <s v="CLM105915"/>
    <s v="PT10255"/>
    <s v="P01"/>
    <x v="3"/>
    <x v="7"/>
    <n v="1"/>
    <d v="2025-11-15T00:00:00"/>
    <d v="2025-11-24T00:00:00"/>
    <n v="214.29"/>
    <n v="96.51"/>
    <n v="86.86"/>
    <n v="9.65"/>
    <s v="Paid"/>
    <s v=""/>
    <d v="2025-12-17T00:00:00"/>
    <d v="2025-12-17T00:00:00"/>
    <n v="210"/>
    <n v="0.45"/>
    <n v="94.5"/>
    <n v="-2.0100000000000051"/>
    <x v="0"/>
    <x v="5"/>
    <x v="3"/>
  </r>
  <r>
    <s v="CLM105916"/>
    <s v="PT11166"/>
    <s v="P02"/>
    <x v="2"/>
    <x v="0"/>
    <n v="1"/>
    <d v="2026-03-23T00:00:00"/>
    <d v="2026-03-30T00:00:00"/>
    <n v="140.74"/>
    <n v="61.24"/>
    <n v="55.12"/>
    <n v="6.12"/>
    <s v="Paid"/>
    <s v=""/>
    <d v="2026-05-07T00:00:00"/>
    <d v="2026-05-07T00:00:00"/>
    <n v="145"/>
    <n v="0.43"/>
    <n v="62.35"/>
    <n v="1.1099999999999994"/>
    <x v="0"/>
    <x v="6"/>
    <x v="2"/>
  </r>
  <r>
    <s v="CLM105917"/>
    <s v="PT12606"/>
    <s v="P01"/>
    <x v="1"/>
    <x v="1"/>
    <n v="1"/>
    <d v="2026-04-18T00:00:00"/>
    <d v="2026-04-24T00:00:00"/>
    <n v="239.28"/>
    <n v="123.34"/>
    <n v="123.34"/>
    <n v="0"/>
    <s v="Paid"/>
    <s v=""/>
    <d v="2026-05-23T00:00:00"/>
    <d v="2026-05-23T00:00:00"/>
    <n v="240"/>
    <n v="0.45"/>
    <n v="108"/>
    <n v="-15.340000000000003"/>
    <x v="0"/>
    <x v="5"/>
    <x v="10"/>
  </r>
  <r>
    <s v="CLM105919"/>
    <s v="PT12663"/>
    <s v="P08"/>
    <x v="0"/>
    <x v="7"/>
    <n v="1"/>
    <d v="2026-03-13T00:00:00"/>
    <d v="2026-03-15T00:00:00"/>
    <n v="214.66"/>
    <m/>
    <m/>
    <m/>
    <s v="Pending"/>
    <s v=""/>
    <m/>
    <m/>
    <n v="210"/>
    <n v="1"/>
    <n v="210"/>
    <s v=""/>
    <x v="2"/>
    <x v="7"/>
    <x v="2"/>
  </r>
  <r>
    <s v="CLM105920"/>
    <s v="PT13267"/>
    <s v="P01"/>
    <x v="1"/>
    <x v="11"/>
    <n v="1"/>
    <d v="2025-12-13T00:00:00"/>
    <d v="2025-12-16T00:00:00"/>
    <n v="1131.76"/>
    <n v="549.04999999999995"/>
    <n v="439.24"/>
    <n v="109.81"/>
    <s v="Paid"/>
    <s v=""/>
    <d v="2026-01-15T00:00:00"/>
    <d v="2026-01-15T00:00:00"/>
    <n v="1150"/>
    <n v="0.45"/>
    <n v="517.5"/>
    <n v="-31.549999999999955"/>
    <x v="0"/>
    <x v="5"/>
    <x v="6"/>
  </r>
  <r>
    <s v="CLM105921"/>
    <s v="PT10983"/>
    <s v="P01"/>
    <x v="1"/>
    <x v="8"/>
    <n v="1"/>
    <d v="2026-06-29T00:00:00"/>
    <d v="2026-07-09T00:00:00"/>
    <n v="257.52"/>
    <m/>
    <m/>
    <m/>
    <s v="Denied"/>
    <s v="CO-4"/>
    <d v="2026-07-31T00:00:00"/>
    <m/>
    <n v="260"/>
    <n v="0.45"/>
    <n v="117"/>
    <s v=""/>
    <x v="2"/>
    <x v="5"/>
    <x v="11"/>
  </r>
  <r>
    <s v="CLM105922"/>
    <s v="PT11761"/>
    <s v="P01"/>
    <x v="0"/>
    <x v="0"/>
    <n v="1"/>
    <d v="2026-03-15T00:00:00"/>
    <d v="2026-03-27T00:00:00"/>
    <n v="147.88"/>
    <n v="76.27"/>
    <n v="76.27"/>
    <n v="0"/>
    <s v="Paid"/>
    <s v=""/>
    <d v="2026-05-02T00:00:00"/>
    <d v="2026-05-02T00:00:00"/>
    <n v="145"/>
    <n v="0.45"/>
    <n v="65.25"/>
    <n v="-11.019999999999996"/>
    <x v="0"/>
    <x v="5"/>
    <x v="2"/>
  </r>
  <r>
    <s v="CLM105923"/>
    <s v="PT10972"/>
    <s v="P01"/>
    <x v="1"/>
    <x v="10"/>
    <n v="1"/>
    <d v="2026-01-14T00:00:00"/>
    <d v="2026-01-17T00:00:00"/>
    <n v="1049.5899999999999"/>
    <m/>
    <m/>
    <m/>
    <s v="Denied"/>
    <s v="CO-11"/>
    <d v="2026-02-20T00:00:00"/>
    <m/>
    <n v="1050"/>
    <n v="0.45"/>
    <n v="472.5"/>
    <s v=""/>
    <x v="2"/>
    <x v="5"/>
    <x v="5"/>
  </r>
  <r>
    <s v="CLM105924"/>
    <s v="PT11100"/>
    <s v="P02"/>
    <x v="0"/>
    <x v="0"/>
    <n v="1"/>
    <d v="2026-05-11T00:00:00"/>
    <d v="2026-05-16T00:00:00"/>
    <n v="147.91"/>
    <n v="62.23"/>
    <n v="62.23"/>
    <n v="0"/>
    <s v="Paid"/>
    <s v=""/>
    <d v="2026-06-18T00:00:00"/>
    <d v="2026-06-18T00:00:00"/>
    <n v="145"/>
    <n v="0.43"/>
    <n v="62.35"/>
    <n v="0.12000000000000455"/>
    <x v="0"/>
    <x v="6"/>
    <x v="7"/>
  </r>
  <r>
    <s v="CLM105925"/>
    <s v="PT12511"/>
    <s v="P03"/>
    <x v="2"/>
    <x v="0"/>
    <n v="1"/>
    <d v="2025-10-23T00:00:00"/>
    <d v="2025-10-27T00:00:00"/>
    <n v="143.58000000000001"/>
    <m/>
    <m/>
    <m/>
    <s v="Denied"/>
    <s v="CO-4"/>
    <d v="2025-12-15T00:00:00"/>
    <m/>
    <n v="145"/>
    <n v="0.47"/>
    <n v="68.150000000000006"/>
    <s v=""/>
    <x v="2"/>
    <x v="4"/>
    <x v="9"/>
  </r>
  <r>
    <s v="CLM105926"/>
    <s v="PT11706"/>
    <s v="P02"/>
    <x v="1"/>
    <x v="4"/>
    <n v="1"/>
    <d v="2026-04-05T00:00:00"/>
    <d v="2026-04-06T00:00:00"/>
    <n v="38.270000000000003"/>
    <n v="16.920000000000002"/>
    <n v="16.920000000000002"/>
    <n v="0"/>
    <s v="Paid"/>
    <s v=""/>
    <d v="2026-05-15T00:00:00"/>
    <d v="2026-05-15T00:00:00"/>
    <n v="38"/>
    <n v="0.43"/>
    <n v="16.34"/>
    <n v="-0.58000000000000185"/>
    <x v="0"/>
    <x v="6"/>
    <x v="10"/>
  </r>
  <r>
    <s v="CLM105927"/>
    <s v="PT12135"/>
    <s v="P07"/>
    <x v="3"/>
    <x v="3"/>
    <n v="20"/>
    <d v="2026-03-22T00:00:00"/>
    <d v="2026-03-24T00:00:00"/>
    <n v="28905.1"/>
    <n v="8365.52"/>
    <n v="8365.52"/>
    <n v="0"/>
    <s v="Paid"/>
    <s v=""/>
    <d v="2026-05-22T00:00:00"/>
    <d v="2026-05-22T00:00:00"/>
    <n v="1450"/>
    <n v="0.28000000000000003"/>
    <n v="8120"/>
    <n v="-245.52000000000044"/>
    <x v="0"/>
    <x v="3"/>
    <x v="2"/>
  </r>
  <r>
    <s v="CLM105928"/>
    <s v="PT11559"/>
    <s v="P03"/>
    <x v="0"/>
    <x v="0"/>
    <n v="1"/>
    <d v="2025-10-13T00:00:00"/>
    <d v="2025-10-15T00:00:00"/>
    <n v="142.66999999999999"/>
    <m/>
    <m/>
    <m/>
    <s v="Denied"/>
    <s v="CO-4"/>
    <d v="2025-12-11T00:00:00"/>
    <m/>
    <n v="145"/>
    <n v="0.47"/>
    <n v="68.150000000000006"/>
    <s v=""/>
    <x v="2"/>
    <x v="4"/>
    <x v="9"/>
  </r>
  <r>
    <s v="CLM105929"/>
    <s v="PT12187"/>
    <s v="P04"/>
    <x v="1"/>
    <x v="10"/>
    <n v="1"/>
    <d v="2025-12-03T00:00:00"/>
    <d v="2025-12-13T00:00:00"/>
    <n v="1033.96"/>
    <n v="358.06"/>
    <n v="358.06"/>
    <n v="0"/>
    <s v="Paid"/>
    <s v=""/>
    <d v="2025-12-28T00:00:00"/>
    <d v="2025-12-28T00:00:00"/>
    <n v="1050"/>
    <n v="0.36"/>
    <n v="378"/>
    <n v="19.939999999999998"/>
    <x v="1"/>
    <x v="1"/>
    <x v="6"/>
  </r>
  <r>
    <s v="CLM105930"/>
    <s v="PT11659"/>
    <s v="P01"/>
    <x v="1"/>
    <x v="4"/>
    <n v="1"/>
    <d v="2025-12-31T00:00:00"/>
    <d v="2026-01-02T00:00:00"/>
    <n v="38.549999999999997"/>
    <n v="19.04"/>
    <n v="19.04"/>
    <n v="0"/>
    <s v="Paid"/>
    <s v=""/>
    <d v="2026-02-13T00:00:00"/>
    <d v="2026-02-13T00:00:00"/>
    <n v="38"/>
    <n v="0.45"/>
    <n v="17.100000000000001"/>
    <n v="-1.9399999999999977"/>
    <x v="0"/>
    <x v="5"/>
    <x v="6"/>
  </r>
  <r>
    <s v="CLM105931"/>
    <s v="PT11481"/>
    <s v="P03"/>
    <x v="1"/>
    <x v="11"/>
    <n v="1"/>
    <d v="2025-11-19T00:00:00"/>
    <d v="2025-11-28T00:00:00"/>
    <n v="1170.06"/>
    <n v="537.39"/>
    <n v="537.39"/>
    <n v="0"/>
    <s v="Paid"/>
    <s v=""/>
    <d v="2026-02-08T00:00:00"/>
    <d v="2026-02-08T00:00:00"/>
    <n v="1150"/>
    <n v="0.47"/>
    <n v="540.5"/>
    <n v="3.1100000000000136"/>
    <x v="0"/>
    <x v="4"/>
    <x v="3"/>
  </r>
  <r>
    <s v="CLM105932"/>
    <s v="PT12678"/>
    <s v="P04"/>
    <x v="0"/>
    <x v="8"/>
    <n v="1"/>
    <d v="2025-10-10T00:00:00"/>
    <d v="2025-10-15T00:00:00"/>
    <n v="262.02999999999997"/>
    <n v="96.42"/>
    <n v="77.14"/>
    <n v="19.28"/>
    <s v="Paid"/>
    <s v=""/>
    <d v="2025-11-11T00:00:00"/>
    <d v="2025-11-11T00:00:00"/>
    <n v="260"/>
    <n v="0.36"/>
    <n v="93.6"/>
    <n v="-2.8200000000000074"/>
    <x v="0"/>
    <x v="1"/>
    <x v="9"/>
  </r>
  <r>
    <s v="CLM105933"/>
    <s v="PT10254"/>
    <s v="P08"/>
    <x v="3"/>
    <x v="7"/>
    <n v="1"/>
    <d v="2025-10-15T00:00:00"/>
    <d v="2025-10-20T00:00:00"/>
    <n v="209.04"/>
    <m/>
    <m/>
    <m/>
    <s v="Pending"/>
    <s v=""/>
    <m/>
    <m/>
    <n v="210"/>
    <n v="1"/>
    <n v="210"/>
    <s v=""/>
    <x v="2"/>
    <x v="7"/>
    <x v="9"/>
  </r>
  <r>
    <s v="CLM105934"/>
    <s v="PT10274"/>
    <s v="P05"/>
    <x v="0"/>
    <x v="7"/>
    <n v="1"/>
    <d v="2026-06-29T00:00:00"/>
    <d v="2026-07-12T00:00:00"/>
    <n v="212.79"/>
    <n v="82.66"/>
    <n v="66.13"/>
    <n v="16.53"/>
    <s v="Paid"/>
    <s v=""/>
    <d v="2026-08-31T00:00:00"/>
    <d v="2026-08-31T00:00:00"/>
    <n v="210"/>
    <n v="0.38"/>
    <n v="79.8"/>
    <n v="-2.8599999999999994"/>
    <x v="0"/>
    <x v="0"/>
    <x v="11"/>
  </r>
  <r>
    <s v="CLM105935"/>
    <s v="PT13175"/>
    <s v="P08"/>
    <x v="1"/>
    <x v="8"/>
    <n v="1"/>
    <d v="2026-06-07T00:00:00"/>
    <d v="2026-06-09T00:00:00"/>
    <n v="257.64999999999998"/>
    <m/>
    <m/>
    <m/>
    <s v="Pending"/>
    <s v=""/>
    <m/>
    <m/>
    <n v="260"/>
    <n v="1"/>
    <n v="260"/>
    <s v=""/>
    <x v="2"/>
    <x v="7"/>
    <x v="11"/>
  </r>
  <r>
    <s v="CLM105936"/>
    <s v="PT10028"/>
    <s v="P01"/>
    <x v="3"/>
    <x v="3"/>
    <n v="30"/>
    <d v="2025-11-27T00:00:00"/>
    <d v="2025-12-08T00:00:00"/>
    <n v="43814.54"/>
    <n v="19234.580000000002"/>
    <n v="15387.66"/>
    <n v="3846.92"/>
    <s v="Paid"/>
    <s v=""/>
    <d v="2026-01-03T00:00:00"/>
    <d v="2026-01-03T00:00:00"/>
    <n v="1450"/>
    <n v="0.45"/>
    <n v="19575"/>
    <n v="340.41999999999825"/>
    <x v="0"/>
    <x v="5"/>
    <x v="3"/>
  </r>
  <r>
    <s v="CLM105937"/>
    <s v="PT12383"/>
    <s v="P04"/>
    <x v="3"/>
    <x v="7"/>
    <n v="1"/>
    <d v="2026-09-05T00:00:00"/>
    <d v="2026-09-08T00:00:00"/>
    <n v="204.06"/>
    <n v="65.27"/>
    <n v="52.22"/>
    <n v="13.05"/>
    <s v="Paid"/>
    <s v=""/>
    <d v="2026-09-23T00:00:00"/>
    <d v="2026-09-23T00:00:00"/>
    <n v="210"/>
    <n v="0.36"/>
    <n v="75.599999999999994"/>
    <n v="10.329999999999998"/>
    <x v="1"/>
    <x v="1"/>
    <x v="8"/>
  </r>
  <r>
    <s v="CLM105938"/>
    <s v="PT11564"/>
    <s v="P06"/>
    <x v="0"/>
    <x v="7"/>
    <n v="1"/>
    <d v="2025-11-04T00:00:00"/>
    <d v="2025-11-11T00:00:00"/>
    <n v="209.02"/>
    <m/>
    <m/>
    <m/>
    <s v="Denied"/>
    <s v="CO-11"/>
    <d v="2025-12-23T00:00:00"/>
    <m/>
    <n v="210"/>
    <n v="0.27"/>
    <n v="56.7"/>
    <s v=""/>
    <x v="2"/>
    <x v="2"/>
    <x v="3"/>
  </r>
  <r>
    <s v="CLM105939"/>
    <s v="PT10501"/>
    <s v="P01"/>
    <x v="3"/>
    <x v="6"/>
    <n v="1"/>
    <d v="2025-12-17T00:00:00"/>
    <d v="2025-12-28T00:00:00"/>
    <n v="427.89"/>
    <n v="192.5"/>
    <n v="173.25"/>
    <n v="19.25"/>
    <s v="Paid"/>
    <s v=""/>
    <d v="2026-01-17T00:00:00"/>
    <d v="2026-01-17T00:00:00"/>
    <n v="420"/>
    <n v="0.45"/>
    <n v="189"/>
    <n v="-3.5"/>
    <x v="0"/>
    <x v="5"/>
    <x v="6"/>
  </r>
  <r>
    <s v="CLM105940"/>
    <s v="PT10950"/>
    <s v="P01"/>
    <x v="1"/>
    <x v="1"/>
    <n v="1"/>
    <d v="2026-02-18T00:00:00"/>
    <d v="2026-02-22T00:00:00"/>
    <n v="245.75"/>
    <n v="102.56"/>
    <n v="82.05"/>
    <n v="20.51"/>
    <s v="Paid"/>
    <s v=""/>
    <d v="2026-03-28T00:00:00"/>
    <d v="2026-03-28T00:00:00"/>
    <n v="240"/>
    <n v="0.45"/>
    <n v="108"/>
    <n v="5.4399999999999977"/>
    <x v="1"/>
    <x v="5"/>
    <x v="0"/>
  </r>
  <r>
    <s v="CLM105941"/>
    <s v="PT10416"/>
    <s v="P04"/>
    <x v="2"/>
    <x v="0"/>
    <n v="1"/>
    <d v="2025-10-20T00:00:00"/>
    <d v="2025-10-26T00:00:00"/>
    <n v="147.77000000000001"/>
    <n v="52.37"/>
    <n v="41.9"/>
    <n v="10.47"/>
    <s v="Paid"/>
    <s v=""/>
    <d v="2025-11-15T00:00:00"/>
    <d v="2025-11-15T00:00:00"/>
    <n v="145"/>
    <n v="0.36"/>
    <n v="52.2"/>
    <n v="-0.1699999999999946"/>
    <x v="0"/>
    <x v="1"/>
    <x v="9"/>
  </r>
  <r>
    <s v="CLM105942"/>
    <s v="PT10276"/>
    <s v="P01"/>
    <x v="1"/>
    <x v="8"/>
    <n v="1"/>
    <d v="2026-01-01T00:00:00"/>
    <d v="2026-01-17T00:00:00"/>
    <n v="261.72000000000003"/>
    <n v="117.85"/>
    <n v="106.06"/>
    <n v="11.79"/>
    <s v="Paid"/>
    <s v=""/>
    <d v="2026-02-03T00:00:00"/>
    <d v="2026-02-03T00:00:00"/>
    <n v="260"/>
    <n v="0.45"/>
    <n v="117"/>
    <n v="-0.84999999999999432"/>
    <x v="0"/>
    <x v="5"/>
    <x v="5"/>
  </r>
  <r>
    <s v="CLM105943"/>
    <s v="PT10371"/>
    <s v="P08"/>
    <x v="0"/>
    <x v="7"/>
    <n v="1"/>
    <d v="2026-08-21T00:00:00"/>
    <d v="2026-09-01T00:00:00"/>
    <n v="211.67"/>
    <m/>
    <m/>
    <m/>
    <s v="Pending"/>
    <s v=""/>
    <m/>
    <m/>
    <n v="210"/>
    <n v="1"/>
    <n v="210"/>
    <s v=""/>
    <x v="2"/>
    <x v="7"/>
    <x v="4"/>
  </r>
  <r>
    <s v="CLM105944"/>
    <s v="PT10524"/>
    <s v="P02"/>
    <x v="3"/>
    <x v="7"/>
    <n v="1"/>
    <d v="2026-02-08T00:00:00"/>
    <d v="2026-02-11T00:00:00"/>
    <n v="209.04"/>
    <m/>
    <m/>
    <m/>
    <s v="Denied"/>
    <s v="CO-27"/>
    <d v="2026-03-03T00:00:00"/>
    <m/>
    <n v="210"/>
    <n v="0.43"/>
    <n v="90.3"/>
    <s v=""/>
    <x v="2"/>
    <x v="6"/>
    <x v="0"/>
  </r>
  <r>
    <s v="CLM105945"/>
    <s v="PT11978"/>
    <s v="P07"/>
    <x v="1"/>
    <x v="7"/>
    <n v="1"/>
    <d v="2026-01-20T00:00:00"/>
    <d v="2026-01-21T00:00:00"/>
    <n v="205.23"/>
    <n v="63.47"/>
    <n v="57.12"/>
    <n v="6.35"/>
    <s v="Paid"/>
    <s v=""/>
    <d v="2026-04-07T00:00:00"/>
    <d v="2026-04-07T00:00:00"/>
    <n v="210"/>
    <n v="0.28000000000000003"/>
    <n v="58.8"/>
    <n v="-4.6700000000000017"/>
    <x v="0"/>
    <x v="3"/>
    <x v="5"/>
  </r>
  <r>
    <s v="CLM105946"/>
    <s v="PT12340"/>
    <s v="P05"/>
    <x v="2"/>
    <x v="0"/>
    <n v="1"/>
    <d v="2026-08-19T00:00:00"/>
    <d v="2026-08-26T00:00:00"/>
    <n v="146.99"/>
    <m/>
    <m/>
    <m/>
    <s v="Pending"/>
    <s v=""/>
    <m/>
    <m/>
    <n v="145"/>
    <n v="0.38"/>
    <n v="55.1"/>
    <s v=""/>
    <x v="2"/>
    <x v="0"/>
    <x v="4"/>
  </r>
  <r>
    <s v="CLM105947"/>
    <s v="PT11286"/>
    <s v="P03"/>
    <x v="3"/>
    <x v="7"/>
    <n v="1"/>
    <d v="2026-09-02T00:00:00"/>
    <d v="2026-09-03T00:00:00"/>
    <n v="216.2"/>
    <m/>
    <m/>
    <m/>
    <s v="Pending"/>
    <s v=""/>
    <m/>
    <m/>
    <n v="210"/>
    <n v="0.47"/>
    <n v="98.7"/>
    <s v=""/>
    <x v="2"/>
    <x v="4"/>
    <x v="8"/>
  </r>
  <r>
    <s v="CLM105948"/>
    <s v="PT10532"/>
    <s v="P02"/>
    <x v="2"/>
    <x v="0"/>
    <n v="1"/>
    <d v="2026-03-08T00:00:00"/>
    <d v="2026-03-13T00:00:00"/>
    <n v="142.78"/>
    <n v="67.53"/>
    <n v="67.53"/>
    <n v="0"/>
    <s v="Paid"/>
    <s v=""/>
    <d v="2026-04-15T00:00:00"/>
    <d v="2026-04-15T00:00:00"/>
    <n v="145"/>
    <n v="0.43"/>
    <n v="62.35"/>
    <n v="-5.18"/>
    <x v="0"/>
    <x v="6"/>
    <x v="2"/>
  </r>
  <r>
    <s v="CLM105949"/>
    <s v="PT11076"/>
    <s v="P05"/>
    <x v="2"/>
    <x v="0"/>
    <n v="1"/>
    <d v="2026-01-16T00:00:00"/>
    <d v="2026-01-21T00:00:00"/>
    <n v="145.31"/>
    <n v="48.26"/>
    <n v="48.26"/>
    <n v="0"/>
    <s v="Paid"/>
    <s v=""/>
    <d v="2026-02-23T00:00:00"/>
    <d v="2026-02-23T00:00:00"/>
    <n v="145"/>
    <n v="0.38"/>
    <n v="55.1"/>
    <n v="6.8400000000000034"/>
    <x v="1"/>
    <x v="0"/>
    <x v="5"/>
  </r>
  <r>
    <s v="CLM105950"/>
    <s v="PT12183"/>
    <s v="P03"/>
    <x v="2"/>
    <x v="0"/>
    <n v="1"/>
    <d v="2026-02-21T00:00:00"/>
    <d v="2026-02-22T00:00:00"/>
    <n v="142.19999999999999"/>
    <n v="57.83"/>
    <n v="57.83"/>
    <n v="0"/>
    <s v="Paid"/>
    <s v=""/>
    <d v="2026-04-14T00:00:00"/>
    <d v="2026-04-14T00:00:00"/>
    <n v="145"/>
    <n v="0.47"/>
    <n v="68.150000000000006"/>
    <n v="10.320000000000007"/>
    <x v="1"/>
    <x v="4"/>
    <x v="0"/>
  </r>
  <r>
    <s v="CLM105951"/>
    <s v="PT10228"/>
    <s v="P01"/>
    <x v="0"/>
    <x v="4"/>
    <n v="1"/>
    <d v="2026-05-03T00:00:00"/>
    <d v="2026-05-07T00:00:00"/>
    <n v="38.31"/>
    <n v="15.61"/>
    <n v="14.05"/>
    <n v="1.56"/>
    <s v="Paid"/>
    <s v=""/>
    <d v="2026-06-04T00:00:00"/>
    <d v="2026-06-04T00:00:00"/>
    <n v="38"/>
    <n v="0.45"/>
    <n v="17.100000000000001"/>
    <n v="1.490000000000002"/>
    <x v="1"/>
    <x v="5"/>
    <x v="7"/>
  </r>
  <r>
    <s v="CLM105952"/>
    <s v="PT10990"/>
    <s v="P01"/>
    <x v="1"/>
    <x v="10"/>
    <n v="1"/>
    <d v="2026-06-19T00:00:00"/>
    <d v="2026-06-20T00:00:00"/>
    <n v="1077.1500000000001"/>
    <n v="529.21"/>
    <n v="423.37"/>
    <n v="105.84"/>
    <s v="Paid"/>
    <s v=""/>
    <d v="2026-07-13T00:00:00"/>
    <d v="2026-07-13T00:00:00"/>
    <n v="1050"/>
    <n v="0.45"/>
    <n v="472.5"/>
    <n v="-56.710000000000036"/>
    <x v="0"/>
    <x v="5"/>
    <x v="11"/>
  </r>
  <r>
    <s v="CLM105953"/>
    <s v="PT11764"/>
    <s v="P01"/>
    <x v="2"/>
    <x v="0"/>
    <n v="1"/>
    <d v="2026-07-22T00:00:00"/>
    <d v="2026-07-24T00:00:00"/>
    <n v="144.68"/>
    <n v="64.19"/>
    <n v="64.19"/>
    <n v="0"/>
    <s v="Paid"/>
    <s v=""/>
    <d v="2026-08-26T00:00:00"/>
    <d v="2026-08-26T00:00:00"/>
    <n v="145"/>
    <n v="0.45"/>
    <n v="65.25"/>
    <n v="1.0600000000000023"/>
    <x v="0"/>
    <x v="5"/>
    <x v="1"/>
  </r>
  <r>
    <s v="CLM105954"/>
    <s v="PT10205"/>
    <s v="P04"/>
    <x v="0"/>
    <x v="8"/>
    <n v="1"/>
    <d v="2026-09-05T00:00:00"/>
    <d v="2026-09-07T00:00:00"/>
    <n v="257.41000000000003"/>
    <n v="86.31"/>
    <n v="86.31"/>
    <n v="0"/>
    <s v="Paid"/>
    <s v=""/>
    <d v="2026-09-30T00:00:00"/>
    <d v="2026-09-30T00:00:00"/>
    <n v="260"/>
    <n v="0.36"/>
    <n v="93.6"/>
    <n v="7.289999999999992"/>
    <x v="1"/>
    <x v="1"/>
    <x v="8"/>
  </r>
  <r>
    <s v="CLM105955"/>
    <s v="PT11355"/>
    <s v="P05"/>
    <x v="3"/>
    <x v="6"/>
    <n v="1"/>
    <d v="2026-06-10T00:00:00"/>
    <d v="2026-06-11T00:00:00"/>
    <n v="409.48"/>
    <m/>
    <m/>
    <m/>
    <s v="Denied"/>
    <s v="CO-50"/>
    <d v="2026-07-19T00:00:00"/>
    <m/>
    <n v="420"/>
    <n v="0.38"/>
    <n v="159.6"/>
    <s v=""/>
    <x v="2"/>
    <x v="0"/>
    <x v="11"/>
  </r>
  <r>
    <s v="CLM105956"/>
    <s v="PT12670"/>
    <s v="P01"/>
    <x v="0"/>
    <x v="4"/>
    <n v="1"/>
    <d v="2025-11-07T00:00:00"/>
    <d v="2025-11-11T00:00:00"/>
    <n v="38.090000000000003"/>
    <n v="15.96"/>
    <n v="15.96"/>
    <n v="0"/>
    <s v="Paid"/>
    <s v=""/>
    <d v="2025-11-24T00:00:00"/>
    <d v="2025-11-24T00:00:00"/>
    <n v="38"/>
    <n v="0.45"/>
    <n v="17.100000000000001"/>
    <n v="1.1400000000000006"/>
    <x v="1"/>
    <x v="5"/>
    <x v="3"/>
  </r>
  <r>
    <s v="CLM105957"/>
    <s v="PT11690"/>
    <s v="P02"/>
    <x v="2"/>
    <x v="0"/>
    <n v="1"/>
    <d v="2026-01-01T00:00:00"/>
    <d v="2026-01-03T00:00:00"/>
    <n v="145.58000000000001"/>
    <n v="65.64"/>
    <n v="59.08"/>
    <n v="6.56"/>
    <s v="Paid"/>
    <s v=""/>
    <d v="2026-02-03T00:00:00"/>
    <d v="2026-02-03T00:00:00"/>
    <n v="145"/>
    <n v="0.43"/>
    <n v="62.35"/>
    <n v="-3.2899999999999991"/>
    <x v="0"/>
    <x v="6"/>
    <x v="5"/>
  </r>
  <r>
    <s v="CLM105958"/>
    <s v="PT11897"/>
    <s v="P04"/>
    <x v="3"/>
    <x v="7"/>
    <n v="1"/>
    <d v="2026-04-24T00:00:00"/>
    <d v="2026-04-27T00:00:00"/>
    <n v="211.63"/>
    <n v="67.290000000000006"/>
    <n v="60.56"/>
    <n v="6.73"/>
    <s v="Paid"/>
    <s v=""/>
    <d v="2026-05-17T00:00:00"/>
    <d v="2026-05-17T00:00:00"/>
    <n v="210"/>
    <n v="0.36"/>
    <n v="75.599999999999994"/>
    <n v="8.3099999999999881"/>
    <x v="1"/>
    <x v="1"/>
    <x v="10"/>
  </r>
  <r>
    <s v="CLM105959"/>
    <s v="PT11645"/>
    <s v="P01"/>
    <x v="1"/>
    <x v="8"/>
    <n v="1"/>
    <d v="2025-10-11T00:00:00"/>
    <d v="2025-10-12T00:00:00"/>
    <n v="265.41000000000003"/>
    <n v="130.49"/>
    <n v="104.39"/>
    <n v="26.1"/>
    <s v="Paid"/>
    <s v=""/>
    <d v="2025-11-10T00:00:00"/>
    <d v="2025-11-10T00:00:00"/>
    <n v="260"/>
    <n v="0.45"/>
    <n v="117"/>
    <n v="-13.490000000000009"/>
    <x v="0"/>
    <x v="5"/>
    <x v="9"/>
  </r>
  <r>
    <s v="CLM105960"/>
    <s v="PT12322"/>
    <s v="P07"/>
    <x v="1"/>
    <x v="4"/>
    <n v="1"/>
    <d v="2026-05-31T00:00:00"/>
    <d v="2026-06-04T00:00:00"/>
    <n v="38.89"/>
    <n v="10.28"/>
    <n v="10.28"/>
    <n v="0"/>
    <s v="Paid"/>
    <s v=""/>
    <d v="2026-08-27T00:00:00"/>
    <d v="2026-08-27T00:00:00"/>
    <n v="38"/>
    <n v="0.28000000000000003"/>
    <n v="10.64"/>
    <n v="0.36000000000000121"/>
    <x v="0"/>
    <x v="3"/>
    <x v="7"/>
  </r>
  <r>
    <s v="CLM105961"/>
    <s v="PT12630"/>
    <s v="P01"/>
    <x v="1"/>
    <x v="11"/>
    <n v="1"/>
    <d v="2026-01-26T00:00:00"/>
    <d v="2026-02-02T00:00:00"/>
    <n v="1153.2"/>
    <m/>
    <m/>
    <m/>
    <s v="Denied"/>
    <s v="CO-50"/>
    <d v="2026-02-22T00:00:00"/>
    <m/>
    <n v="1150"/>
    <n v="0.45"/>
    <n v="517.5"/>
    <s v=""/>
    <x v="2"/>
    <x v="5"/>
    <x v="5"/>
  </r>
  <r>
    <s v="CLM105962"/>
    <s v="PT11410"/>
    <s v="P04"/>
    <x v="3"/>
    <x v="3"/>
    <n v="30"/>
    <d v="2025-12-16T00:00:00"/>
    <d v="2025-12-24T00:00:00"/>
    <n v="42639.519999999997"/>
    <n v="13098.13"/>
    <n v="13098.13"/>
    <n v="0"/>
    <s v="Paid"/>
    <s v=""/>
    <d v="2026-01-01T00:00:00"/>
    <d v="2026-01-01T00:00:00"/>
    <n v="1450"/>
    <n v="0.36"/>
    <n v="15660"/>
    <n v="2561.8700000000008"/>
    <x v="1"/>
    <x v="1"/>
    <x v="6"/>
  </r>
  <r>
    <s v="CLM105963"/>
    <s v="PT12558"/>
    <s v="P01"/>
    <x v="0"/>
    <x v="7"/>
    <n v="1"/>
    <d v="2025-11-30T00:00:00"/>
    <d v="2025-12-01T00:00:00"/>
    <n v="212.49"/>
    <n v="81.650000000000006"/>
    <n v="81.650000000000006"/>
    <n v="0"/>
    <s v="Paid"/>
    <s v=""/>
    <d v="2025-12-19T00:00:00"/>
    <d v="2025-12-19T00:00:00"/>
    <n v="210"/>
    <n v="0.45"/>
    <n v="94.5"/>
    <n v="12.849999999999994"/>
    <x v="1"/>
    <x v="5"/>
    <x v="3"/>
  </r>
  <r>
    <s v="CLM105964"/>
    <s v="PT11336"/>
    <s v="P01"/>
    <x v="2"/>
    <x v="0"/>
    <n v="1"/>
    <d v="2026-02-17T00:00:00"/>
    <d v="2026-07-05T00:00:00"/>
    <n v="145.19999999999999"/>
    <m/>
    <m/>
    <m/>
    <s v="Denied"/>
    <s v="CO-29"/>
    <d v="2026-07-26T00:00:00"/>
    <m/>
    <n v="145"/>
    <n v="0.45"/>
    <n v="65.25"/>
    <s v=""/>
    <x v="2"/>
    <x v="5"/>
    <x v="0"/>
  </r>
  <r>
    <s v="CLM105965"/>
    <s v="PT10940"/>
    <s v="P03"/>
    <x v="2"/>
    <x v="2"/>
    <n v="1"/>
    <d v="2026-09-18T00:00:00"/>
    <d v="2026-09-22T00:00:00"/>
    <n v="60.35"/>
    <m/>
    <m/>
    <m/>
    <s v="Pending"/>
    <s v=""/>
    <m/>
    <m/>
    <n v="62"/>
    <n v="0.47"/>
    <n v="29.14"/>
    <s v=""/>
    <x v="2"/>
    <x v="4"/>
    <x v="8"/>
  </r>
  <r>
    <s v="CLM105966"/>
    <s v="PT11601"/>
    <s v="P04"/>
    <x v="0"/>
    <x v="8"/>
    <n v="1"/>
    <d v="2026-04-11T00:00:00"/>
    <d v="2026-04-16T00:00:00"/>
    <n v="255.72"/>
    <n v="87.07"/>
    <n v="78.36"/>
    <n v="8.7100000000000009"/>
    <s v="Paid"/>
    <s v=""/>
    <d v="2026-05-10T00:00:00"/>
    <d v="2026-05-10T00:00:00"/>
    <n v="260"/>
    <n v="0.36"/>
    <n v="93.6"/>
    <n v="6.5300000000000011"/>
    <x v="1"/>
    <x v="1"/>
    <x v="10"/>
  </r>
  <r>
    <s v="CLM105967"/>
    <s v="PT11601"/>
    <s v="P04"/>
    <x v="0"/>
    <x v="0"/>
    <n v="1"/>
    <d v="2026-04-15T00:00:00"/>
    <d v="2026-04-16T00:00:00"/>
    <n v="142.16"/>
    <n v="54.03"/>
    <n v="54.03"/>
    <n v="0"/>
    <s v="Paid"/>
    <s v=""/>
    <d v="2026-05-14T00:00:00"/>
    <d v="2026-05-14T00:00:00"/>
    <n v="145"/>
    <n v="0.36"/>
    <n v="52.2"/>
    <n v="-1.8299999999999983"/>
    <x v="0"/>
    <x v="1"/>
    <x v="10"/>
  </r>
  <r>
    <s v="CLM105968"/>
    <s v="PT12204"/>
    <s v="P07"/>
    <x v="1"/>
    <x v="5"/>
    <n v="1"/>
    <d v="2026-03-26T00:00:00"/>
    <d v="2026-04-01T00:00:00"/>
    <n v="4793.78"/>
    <m/>
    <m/>
    <m/>
    <s v="Denied"/>
    <s v="CO-197"/>
    <d v="2026-06-03T00:00:00"/>
    <m/>
    <n v="4800"/>
    <n v="0.28000000000000003"/>
    <n v="1344"/>
    <s v=""/>
    <x v="2"/>
    <x v="3"/>
    <x v="2"/>
  </r>
  <r>
    <s v="CLM105969"/>
    <s v="PT11624"/>
    <s v="P06"/>
    <x v="3"/>
    <x v="7"/>
    <n v="1"/>
    <d v="2026-06-11T00:00:00"/>
    <d v="2026-06-15T00:00:00"/>
    <n v="214.77"/>
    <n v="56.67"/>
    <n v="51"/>
    <n v="5.67"/>
    <s v="Paid"/>
    <s v=""/>
    <d v="2026-07-26T00:00:00"/>
    <d v="2026-07-26T00:00:00"/>
    <n v="210"/>
    <n v="0.27"/>
    <n v="56.7"/>
    <n v="3.0000000000001137E-2"/>
    <x v="0"/>
    <x v="2"/>
    <x v="11"/>
  </r>
  <r>
    <s v="CLM105970"/>
    <s v="PT11680"/>
    <s v="P06"/>
    <x v="1"/>
    <x v="5"/>
    <n v="1"/>
    <d v="2026-04-05T00:00:00"/>
    <d v="2026-04-14T00:00:00"/>
    <n v="4785.09"/>
    <m/>
    <m/>
    <m/>
    <s v="Denied"/>
    <s v="CO-11"/>
    <d v="2026-05-27T00:00:00"/>
    <m/>
    <n v="4800"/>
    <n v="0.27"/>
    <n v="1296"/>
    <s v=""/>
    <x v="2"/>
    <x v="2"/>
    <x v="10"/>
  </r>
  <r>
    <s v="CLM105971"/>
    <s v="PT11432"/>
    <s v="P05"/>
    <x v="2"/>
    <x v="0"/>
    <n v="1"/>
    <d v="2026-03-08T00:00:00"/>
    <d v="2026-03-09T00:00:00"/>
    <n v="148.03"/>
    <n v="52.63"/>
    <n v="47.37"/>
    <n v="5.26"/>
    <s v="Paid"/>
    <s v=""/>
    <d v="2026-04-25T00:00:00"/>
    <d v="2026-04-25T00:00:00"/>
    <n v="145"/>
    <n v="0.38"/>
    <n v="55.1"/>
    <n v="2.4699999999999989"/>
    <x v="0"/>
    <x v="0"/>
    <x v="2"/>
  </r>
  <r>
    <s v="CLM105972"/>
    <s v="PT11030"/>
    <s v="P05"/>
    <x v="1"/>
    <x v="8"/>
    <n v="1"/>
    <d v="2026-03-26T00:00:00"/>
    <d v="2026-03-30T00:00:00"/>
    <n v="255.36"/>
    <n v="90.08"/>
    <n v="72.06"/>
    <n v="18.02"/>
    <s v="Paid"/>
    <s v=""/>
    <d v="2026-05-17T00:00:00"/>
    <d v="2026-05-17T00:00:00"/>
    <n v="260"/>
    <n v="0.38"/>
    <n v="98.8"/>
    <n v="8.7199999999999989"/>
    <x v="1"/>
    <x v="0"/>
    <x v="2"/>
  </r>
  <r>
    <s v="CLM105973"/>
    <s v="PT11821"/>
    <s v="P07"/>
    <x v="1"/>
    <x v="4"/>
    <n v="1"/>
    <d v="2026-03-20T00:00:00"/>
    <d v="2026-03-23T00:00:00"/>
    <n v="38.119999999999997"/>
    <n v="10.72"/>
    <n v="10.72"/>
    <n v="0"/>
    <s v="Paid"/>
    <s v=""/>
    <d v="2026-06-17T00:00:00"/>
    <d v="2026-06-17T00:00:00"/>
    <n v="38"/>
    <n v="0.28000000000000003"/>
    <n v="10.64"/>
    <n v="-8.0000000000000071E-2"/>
    <x v="0"/>
    <x v="3"/>
    <x v="2"/>
  </r>
  <r>
    <s v="CLM105974"/>
    <s v="PT10771"/>
    <s v="P02"/>
    <x v="2"/>
    <x v="9"/>
    <n v="3"/>
    <d v="2025-12-26T00:00:00"/>
    <d v="2026-01-02T00:00:00"/>
    <n v="170.76"/>
    <n v="62.31"/>
    <n v="62.31"/>
    <n v="0"/>
    <s v="Paid"/>
    <s v=""/>
    <d v="2026-01-16T00:00:00"/>
    <d v="2026-01-16T00:00:00"/>
    <n v="58"/>
    <n v="0.43"/>
    <n v="74.819999999999993"/>
    <n v="12.509999999999991"/>
    <x v="1"/>
    <x v="6"/>
    <x v="6"/>
  </r>
  <r>
    <s v="CLM105975"/>
    <s v="PT10148"/>
    <s v="P05"/>
    <x v="1"/>
    <x v="1"/>
    <n v="1"/>
    <d v="2025-11-07T00:00:00"/>
    <d v="2025-11-16T00:00:00"/>
    <n v="234.76"/>
    <n v="83.71"/>
    <n v="75.34"/>
    <n v="8.3699999999999992"/>
    <s v="Paid"/>
    <s v=""/>
    <d v="2026-01-01T00:00:00"/>
    <d v="2026-01-01T00:00:00"/>
    <n v="240"/>
    <n v="0.38"/>
    <n v="91.2"/>
    <n v="7.4900000000000091"/>
    <x v="1"/>
    <x v="0"/>
    <x v="3"/>
  </r>
  <r>
    <s v="CLM105976"/>
    <s v="PT12827"/>
    <s v="P06"/>
    <x v="1"/>
    <x v="7"/>
    <n v="1"/>
    <d v="2026-09-09T00:00:00"/>
    <d v="2026-09-11T00:00:00"/>
    <n v="206.81"/>
    <m/>
    <m/>
    <m/>
    <s v="Pending"/>
    <s v=""/>
    <m/>
    <m/>
    <n v="210"/>
    <n v="0.27"/>
    <n v="56.7"/>
    <s v=""/>
    <x v="2"/>
    <x v="2"/>
    <x v="8"/>
  </r>
  <r>
    <s v="CLM105977"/>
    <s v="PT12086"/>
    <s v="P07"/>
    <x v="0"/>
    <x v="0"/>
    <n v="1"/>
    <d v="2026-03-04T00:00:00"/>
    <d v="2026-03-07T00:00:00"/>
    <n v="141"/>
    <n v="42.12"/>
    <n v="42.12"/>
    <n v="0"/>
    <s v="Paid"/>
    <s v=""/>
    <d v="2026-04-08T00:00:00"/>
    <d v="2026-04-08T00:00:00"/>
    <n v="145"/>
    <n v="0.28000000000000003"/>
    <n v="40.6"/>
    <n v="-1.519999999999996"/>
    <x v="0"/>
    <x v="3"/>
    <x v="2"/>
  </r>
  <r>
    <s v="CLM105978"/>
    <s v="PT10126"/>
    <s v="P04"/>
    <x v="1"/>
    <x v="11"/>
    <n v="1"/>
    <d v="2025-11-19T00:00:00"/>
    <d v="2025-11-23T00:00:00"/>
    <n v="1123.22"/>
    <n v="429.54"/>
    <n v="343.63"/>
    <n v="85.91"/>
    <s v="Paid"/>
    <s v=""/>
    <d v="2025-12-02T00:00:00"/>
    <d v="2025-12-02T00:00:00"/>
    <n v="1150"/>
    <n v="0.36"/>
    <n v="414"/>
    <n v="-15.54000000000002"/>
    <x v="0"/>
    <x v="1"/>
    <x v="3"/>
  </r>
  <r>
    <s v="CLM105979"/>
    <s v="PT12282"/>
    <s v="P07"/>
    <x v="3"/>
    <x v="3"/>
    <n v="5"/>
    <d v="2026-08-15T00:00:00"/>
    <d v="2026-08-18T00:00:00"/>
    <n v="7064.37"/>
    <m/>
    <m/>
    <m/>
    <s v="Pending"/>
    <s v=""/>
    <m/>
    <m/>
    <n v="1450"/>
    <n v="0.28000000000000003"/>
    <n v="2030"/>
    <s v=""/>
    <x v="2"/>
    <x v="3"/>
    <x v="4"/>
  </r>
  <r>
    <s v="CLM105980"/>
    <s v="PT10855"/>
    <s v="P03"/>
    <x v="3"/>
    <x v="6"/>
    <n v="1"/>
    <d v="2026-08-08T00:00:00"/>
    <d v="2026-08-10T00:00:00"/>
    <n v="431.48"/>
    <m/>
    <m/>
    <m/>
    <s v="Pending"/>
    <s v=""/>
    <m/>
    <m/>
    <n v="420"/>
    <n v="0.47"/>
    <n v="197.4"/>
    <s v=""/>
    <x v="2"/>
    <x v="4"/>
    <x v="4"/>
  </r>
  <r>
    <s v="CLM105981"/>
    <s v="PT11981"/>
    <s v="P07"/>
    <x v="2"/>
    <x v="0"/>
    <n v="1"/>
    <d v="2025-12-15T00:00:00"/>
    <d v="2025-12-21T00:00:00"/>
    <n v="141.68"/>
    <n v="35.54"/>
    <n v="35.54"/>
    <n v="0"/>
    <s v="Paid"/>
    <s v=""/>
    <d v="2026-02-02T00:00:00"/>
    <d v="2026-02-02T00:00:00"/>
    <n v="145"/>
    <n v="0.28000000000000003"/>
    <n v="40.6"/>
    <n v="5.0600000000000023"/>
    <x v="1"/>
    <x v="3"/>
    <x v="6"/>
  </r>
  <r>
    <s v="CLM105982"/>
    <s v="PT10727"/>
    <s v="P05"/>
    <x v="0"/>
    <x v="0"/>
    <n v="1"/>
    <d v="2025-10-29T00:00:00"/>
    <d v="2025-11-01T00:00:00"/>
    <n v="144.16999999999999"/>
    <n v="61.12"/>
    <n v="55.01"/>
    <n v="6.11"/>
    <s v="Paid"/>
    <s v=""/>
    <d v="2025-12-03T00:00:00"/>
    <d v="2025-12-03T00:00:00"/>
    <n v="145"/>
    <n v="0.38"/>
    <n v="55.1"/>
    <n v="-6.019999999999996"/>
    <x v="0"/>
    <x v="0"/>
    <x v="9"/>
  </r>
  <r>
    <s v="CLM105983"/>
    <s v="PT10397"/>
    <s v="P02"/>
    <x v="0"/>
    <x v="7"/>
    <n v="1"/>
    <d v="2026-09-04T00:00:00"/>
    <d v="2026-09-06T00:00:00"/>
    <n v="209.27"/>
    <m/>
    <m/>
    <m/>
    <s v="Pending"/>
    <s v=""/>
    <m/>
    <m/>
    <n v="210"/>
    <n v="0.43"/>
    <n v="90.3"/>
    <s v=""/>
    <x v="2"/>
    <x v="6"/>
    <x v="8"/>
  </r>
  <r>
    <s v="CLM105984"/>
    <s v="PT11670"/>
    <s v="P01"/>
    <x v="1"/>
    <x v="5"/>
    <n v="1"/>
    <d v="2026-02-25T00:00:00"/>
    <d v="2026-02-26T00:00:00"/>
    <n v="4865.76"/>
    <n v="2169.0100000000002"/>
    <n v="1952.11"/>
    <n v="216.9"/>
    <s v="Paid"/>
    <s v=""/>
    <d v="2026-03-18T00:00:00"/>
    <d v="2026-03-18T00:00:00"/>
    <n v="4800"/>
    <n v="0.45"/>
    <n v="2160"/>
    <n v="-9.0100000000002183"/>
    <x v="0"/>
    <x v="5"/>
    <x v="0"/>
  </r>
  <r>
    <s v="CLM105985"/>
    <s v="PT11720"/>
    <s v="P02"/>
    <x v="3"/>
    <x v="6"/>
    <n v="1"/>
    <d v="2026-01-23T00:00:00"/>
    <d v="2026-01-24T00:00:00"/>
    <n v="410.42"/>
    <n v="195.83"/>
    <n v="195.83"/>
    <n v="0"/>
    <s v="Paid"/>
    <s v=""/>
    <d v="2026-02-18T00:00:00"/>
    <d v="2026-02-18T00:00:00"/>
    <n v="420"/>
    <n v="0.43"/>
    <n v="180.6"/>
    <n v="-15.230000000000018"/>
    <x v="0"/>
    <x v="6"/>
    <x v="5"/>
  </r>
  <r>
    <s v="CLM105986"/>
    <s v="PT12119"/>
    <s v="P07"/>
    <x v="0"/>
    <x v="7"/>
    <n v="1"/>
    <d v="2026-09-04T00:00:00"/>
    <d v="2026-09-08T00:00:00"/>
    <n v="212.83"/>
    <m/>
    <m/>
    <m/>
    <s v="Pending"/>
    <s v=""/>
    <m/>
    <m/>
    <n v="210"/>
    <n v="0.28000000000000003"/>
    <n v="58.8"/>
    <s v=""/>
    <x v="2"/>
    <x v="3"/>
    <x v="8"/>
  </r>
  <r>
    <s v="CLM105987"/>
    <s v="PT12931"/>
    <s v="P05"/>
    <x v="2"/>
    <x v="9"/>
    <n v="2"/>
    <d v="2026-09-09T00:00:00"/>
    <d v="2026-09-10T00:00:00"/>
    <n v="119.3"/>
    <m/>
    <m/>
    <m/>
    <s v="Pending"/>
    <s v=""/>
    <m/>
    <m/>
    <n v="58"/>
    <n v="0.38"/>
    <n v="44.08"/>
    <s v=""/>
    <x v="2"/>
    <x v="0"/>
    <x v="8"/>
  </r>
  <r>
    <s v="CLM105988"/>
    <s v="PT12214"/>
    <s v="P04"/>
    <x v="1"/>
    <x v="10"/>
    <n v="1"/>
    <d v="2026-08-06T00:00:00"/>
    <d v="2026-08-13T00:00:00"/>
    <n v="1048.94"/>
    <n v="389.95"/>
    <n v="389.95"/>
    <n v="0"/>
    <s v="Paid"/>
    <s v=""/>
    <d v="2026-08-29T00:00:00"/>
    <d v="2026-08-29T00:00:00"/>
    <n v="1050"/>
    <n v="0.36"/>
    <n v="378"/>
    <n v="-11.949999999999989"/>
    <x v="0"/>
    <x v="1"/>
    <x v="4"/>
  </r>
  <r>
    <s v="CLM105989"/>
    <s v="PT11317"/>
    <s v="P01"/>
    <x v="3"/>
    <x v="7"/>
    <n v="1"/>
    <d v="2026-09-23T00:00:00"/>
    <d v="2026-09-26T00:00:00"/>
    <n v="216.16"/>
    <m/>
    <m/>
    <m/>
    <s v="Pending"/>
    <s v=""/>
    <m/>
    <m/>
    <n v="210"/>
    <n v="0.45"/>
    <n v="94.5"/>
    <s v=""/>
    <x v="2"/>
    <x v="5"/>
    <x v="8"/>
  </r>
  <r>
    <s v="CLM105990"/>
    <s v="PT10145"/>
    <s v="P04"/>
    <x v="3"/>
    <x v="6"/>
    <n v="1"/>
    <d v="2026-01-13T00:00:00"/>
    <d v="2026-01-16T00:00:00"/>
    <n v="431.81"/>
    <n v="171.26"/>
    <n v="171.26"/>
    <n v="0"/>
    <s v="Paid"/>
    <s v=""/>
    <d v="2026-01-30T00:00:00"/>
    <d v="2026-01-30T00:00:00"/>
    <n v="420"/>
    <n v="0.36"/>
    <n v="151.19999999999999"/>
    <n v="-20.060000000000002"/>
    <x v="0"/>
    <x v="1"/>
    <x v="5"/>
  </r>
  <r>
    <s v="CLM105991"/>
    <s v="PT12630"/>
    <s v="P07"/>
    <x v="1"/>
    <x v="5"/>
    <n v="1"/>
    <d v="2026-04-22T00:00:00"/>
    <d v="2026-04-28T00:00:00"/>
    <n v="4898.28"/>
    <n v="1236.5"/>
    <n v="1236.5"/>
    <n v="0"/>
    <s v="Paid"/>
    <s v=""/>
    <d v="2026-07-08T00:00:00"/>
    <d v="2026-07-08T00:00:00"/>
    <n v="4800"/>
    <n v="0.28000000000000003"/>
    <n v="1344"/>
    <n v="107.5"/>
    <x v="1"/>
    <x v="3"/>
    <x v="10"/>
  </r>
  <r>
    <s v="CLM105992"/>
    <s v="PT11944"/>
    <s v="P07"/>
    <x v="2"/>
    <x v="0"/>
    <n v="1"/>
    <d v="2026-05-22T00:00:00"/>
    <d v="2026-08-31T00:00:00"/>
    <n v="145.55000000000001"/>
    <m/>
    <m/>
    <m/>
    <s v="Pending"/>
    <s v=""/>
    <m/>
    <m/>
    <n v="145"/>
    <n v="0.28000000000000003"/>
    <n v="40.6"/>
    <s v=""/>
    <x v="2"/>
    <x v="3"/>
    <x v="7"/>
  </r>
  <r>
    <s v="CLM105993"/>
    <s v="PT11795"/>
    <s v="P02"/>
    <x v="1"/>
    <x v="10"/>
    <n v="1"/>
    <d v="2026-08-03T00:00:00"/>
    <d v="2026-08-06T00:00:00"/>
    <n v="1062.8599999999999"/>
    <m/>
    <m/>
    <m/>
    <s v="Denied"/>
    <s v="CO-50"/>
    <d v="2026-08-14T00:00:00"/>
    <m/>
    <n v="1050"/>
    <n v="0.43"/>
    <n v="451.5"/>
    <s v=""/>
    <x v="2"/>
    <x v="6"/>
    <x v="4"/>
  </r>
  <r>
    <s v="CLM105994"/>
    <s v="PT12378"/>
    <s v="P01"/>
    <x v="0"/>
    <x v="4"/>
    <n v="1"/>
    <d v="2026-02-16T00:00:00"/>
    <d v="2026-02-23T00:00:00"/>
    <n v="37.01"/>
    <n v="17.5"/>
    <n v="15.75"/>
    <n v="1.75"/>
    <s v="Paid"/>
    <s v=""/>
    <d v="2026-04-01T00:00:00"/>
    <d v="2026-04-01T00:00:00"/>
    <n v="38"/>
    <n v="0.45"/>
    <n v="17.100000000000001"/>
    <n v="-0.39999999999999858"/>
    <x v="0"/>
    <x v="5"/>
    <x v="0"/>
  </r>
  <r>
    <s v="CLM105995"/>
    <s v="PT10348"/>
    <s v="P03"/>
    <x v="0"/>
    <x v="0"/>
    <n v="1"/>
    <d v="2025-12-22T00:00:00"/>
    <d v="2026-01-01T00:00:00"/>
    <n v="149.26"/>
    <n v="62.58"/>
    <n v="62.58"/>
    <n v="0"/>
    <s v="Paid"/>
    <s v=""/>
    <d v="2026-03-06T00:00:00"/>
    <d v="2026-03-06T00:00:00"/>
    <n v="145"/>
    <n v="0.47"/>
    <n v="68.150000000000006"/>
    <n v="5.5700000000000074"/>
    <x v="1"/>
    <x v="4"/>
    <x v="6"/>
  </r>
  <r>
    <s v="CLM105996"/>
    <s v="PT11945"/>
    <s v="P05"/>
    <x v="2"/>
    <x v="2"/>
    <n v="4"/>
    <d v="2026-05-16T00:00:00"/>
    <d v="2026-05-20T00:00:00"/>
    <n v="254.81"/>
    <m/>
    <m/>
    <m/>
    <s v="Denied"/>
    <s v="CO-16"/>
    <d v="2026-07-22T00:00:00"/>
    <m/>
    <n v="62"/>
    <n v="0.38"/>
    <n v="94.24"/>
    <s v=""/>
    <x v="2"/>
    <x v="0"/>
    <x v="7"/>
  </r>
  <r>
    <s v="CLM105997"/>
    <s v="PT12663"/>
    <s v="P01"/>
    <x v="0"/>
    <x v="8"/>
    <n v="1"/>
    <d v="2026-06-07T00:00:00"/>
    <d v="2026-06-13T00:00:00"/>
    <n v="260.31"/>
    <n v="117.15"/>
    <n v="105.43"/>
    <n v="11.72"/>
    <s v="Paid"/>
    <s v=""/>
    <d v="2026-07-09T00:00:00"/>
    <d v="2026-07-09T00:00:00"/>
    <n v="260"/>
    <n v="0.45"/>
    <n v="117"/>
    <n v="-0.15000000000000568"/>
    <x v="0"/>
    <x v="5"/>
    <x v="11"/>
  </r>
  <r>
    <s v="CLM105998"/>
    <s v="PT10435"/>
    <s v="P02"/>
    <x v="1"/>
    <x v="8"/>
    <n v="1"/>
    <d v="2025-12-04T00:00:00"/>
    <d v="2025-12-07T00:00:00"/>
    <n v="263.69"/>
    <n v="103.92"/>
    <n v="103.92"/>
    <n v="0"/>
    <s v="Paid"/>
    <s v=""/>
    <d v="2026-01-16T00:00:00"/>
    <d v="2026-01-16T00:00:00"/>
    <n v="260"/>
    <n v="0.43"/>
    <n v="111.8"/>
    <n v="7.8799999999999955"/>
    <x v="1"/>
    <x v="6"/>
    <x v="6"/>
  </r>
  <r>
    <s v="CLM105999"/>
    <s v="PT13110"/>
    <s v="P05"/>
    <x v="1"/>
    <x v="1"/>
    <n v="1"/>
    <d v="2026-06-15T00:00:00"/>
    <d v="2026-06-16T00:00:00"/>
    <n v="239.37"/>
    <n v="87.77"/>
    <n v="87.77"/>
    <n v="0"/>
    <s v="Paid"/>
    <s v=""/>
    <d v="2026-07-14T00:00:00"/>
    <d v="2026-07-14T00:00:00"/>
    <n v="240"/>
    <n v="0.38"/>
    <n v="91.2"/>
    <n v="3.4300000000000068"/>
    <x v="0"/>
    <x v="0"/>
    <x v="11"/>
  </r>
  <r>
    <s v="CLM106000"/>
    <s v="PT12420"/>
    <s v="P04"/>
    <x v="2"/>
    <x v="9"/>
    <n v="4"/>
    <d v="2025-11-20T00:00:00"/>
    <d v="2025-11-22T00:00:00"/>
    <n v="227.06"/>
    <n v="94.05"/>
    <n v="94.05"/>
    <n v="0"/>
    <s v="Paid"/>
    <s v=""/>
    <d v="2025-11-29T00:00:00"/>
    <d v="2025-11-29T00:00:00"/>
    <n v="58"/>
    <n v="0.36"/>
    <n v="83.52"/>
    <n v="-10.530000000000001"/>
    <x v="0"/>
    <x v="1"/>
    <x v="3"/>
  </r>
  <r>
    <s v="CLM106001"/>
    <s v="PT10272"/>
    <s v="P03"/>
    <x v="0"/>
    <x v="7"/>
    <n v="1"/>
    <d v="2026-05-04T00:00:00"/>
    <d v="2026-05-06T00:00:00"/>
    <n v="215.12"/>
    <m/>
    <m/>
    <m/>
    <s v="Denied"/>
    <s v="CO-16"/>
    <d v="2026-07-06T00:00:00"/>
    <m/>
    <n v="210"/>
    <n v="0.47"/>
    <n v="98.7"/>
    <s v=""/>
    <x v="2"/>
    <x v="4"/>
    <x v="7"/>
  </r>
  <r>
    <s v="CLM106002"/>
    <s v="PT10782"/>
    <s v="P05"/>
    <x v="0"/>
    <x v="0"/>
    <n v="1"/>
    <d v="2026-06-28T00:00:00"/>
    <d v="2026-07-01T00:00:00"/>
    <n v="146.84"/>
    <n v="58.93"/>
    <n v="53.04"/>
    <n v="5.89"/>
    <s v="Paid"/>
    <s v=""/>
    <d v="2026-09-12T00:00:00"/>
    <d v="2026-09-12T00:00:00"/>
    <n v="145"/>
    <n v="0.38"/>
    <n v="55.1"/>
    <n v="-3.8299999999999983"/>
    <x v="0"/>
    <x v="0"/>
    <x v="11"/>
  </r>
  <r>
    <s v="CLM106003"/>
    <s v="PT11257"/>
    <s v="P08"/>
    <x v="0"/>
    <x v="7"/>
    <n v="1"/>
    <d v="2026-05-08T00:00:00"/>
    <d v="2026-05-12T00:00:00"/>
    <n v="212.71"/>
    <n v="212.71"/>
    <n v="212.71"/>
    <n v="0"/>
    <s v="Paid"/>
    <s v=""/>
    <d v="2026-08-02T00:00:00"/>
    <d v="2026-08-02T00:00:00"/>
    <n v="210"/>
    <n v="1"/>
    <n v="210"/>
    <n v="-2.710000000000008"/>
    <x v="0"/>
    <x v="7"/>
    <x v="7"/>
  </r>
  <r>
    <s v="CLM106004"/>
    <s v="PT11989"/>
    <s v="P03"/>
    <x v="2"/>
    <x v="2"/>
    <n v="2"/>
    <d v="2026-05-01T00:00:00"/>
    <d v="2026-05-02T00:00:00"/>
    <n v="123.57"/>
    <m/>
    <m/>
    <m/>
    <s v="Denied"/>
    <s v="CO-16"/>
    <d v="2026-06-02T00:00:00"/>
    <m/>
    <n v="62"/>
    <n v="0.47"/>
    <n v="58.28"/>
    <s v=""/>
    <x v="2"/>
    <x v="4"/>
    <x v="7"/>
  </r>
  <r>
    <s v="CLM106005"/>
    <s v="PT12164"/>
    <s v="P02"/>
    <x v="3"/>
    <x v="3"/>
    <n v="5"/>
    <d v="2026-05-23T00:00:00"/>
    <d v="2026-06-02T00:00:00"/>
    <n v="7337.01"/>
    <n v="3397.49"/>
    <n v="2717.99"/>
    <n v="679.5"/>
    <s v="Paid"/>
    <s v=""/>
    <d v="2026-06-23T00:00:00"/>
    <d v="2026-06-23T00:00:00"/>
    <n v="1450"/>
    <n v="0.43"/>
    <n v="3117.5"/>
    <n v="-279.98999999999978"/>
    <x v="0"/>
    <x v="6"/>
    <x v="7"/>
  </r>
  <r>
    <s v="CLM106006"/>
    <s v="PT10326"/>
    <s v="P02"/>
    <x v="3"/>
    <x v="7"/>
    <n v="1"/>
    <d v="2026-05-11T00:00:00"/>
    <d v="2026-05-13T00:00:00"/>
    <n v="204.05"/>
    <n v="99.99"/>
    <n v="99.99"/>
    <n v="0"/>
    <s v="Paid"/>
    <s v=""/>
    <d v="2026-06-14T00:00:00"/>
    <d v="2026-06-14T00:00:00"/>
    <n v="210"/>
    <n v="0.43"/>
    <n v="90.3"/>
    <n v="-9.6899999999999977"/>
    <x v="0"/>
    <x v="6"/>
    <x v="7"/>
  </r>
  <r>
    <s v="CLM106007"/>
    <s v="PT11682"/>
    <s v="P02"/>
    <x v="3"/>
    <x v="6"/>
    <n v="1"/>
    <d v="2025-10-23T00:00:00"/>
    <d v="2025-10-27T00:00:00"/>
    <n v="425.65"/>
    <n v="161.79"/>
    <n v="145.61000000000001"/>
    <n v="16.18"/>
    <s v="Paid"/>
    <s v=""/>
    <d v="2025-11-26T00:00:00"/>
    <d v="2025-11-26T00:00:00"/>
    <n v="420"/>
    <n v="0.43"/>
    <n v="180.6"/>
    <n v="18.810000000000002"/>
    <x v="1"/>
    <x v="6"/>
    <x v="9"/>
  </r>
  <r>
    <s v="CLM106008"/>
    <s v="PT11757"/>
    <s v="P01"/>
    <x v="1"/>
    <x v="1"/>
    <n v="1"/>
    <d v="2026-09-02T00:00:00"/>
    <d v="2026-09-05T00:00:00"/>
    <n v="236.55"/>
    <m/>
    <m/>
    <m/>
    <s v="Pending"/>
    <s v=""/>
    <m/>
    <m/>
    <n v="240"/>
    <n v="0.45"/>
    <n v="108"/>
    <s v=""/>
    <x v="2"/>
    <x v="5"/>
    <x v="8"/>
  </r>
  <r>
    <s v="CLM106009"/>
    <s v="PT10088"/>
    <s v="P05"/>
    <x v="0"/>
    <x v="8"/>
    <n v="1"/>
    <d v="2026-01-13T00:00:00"/>
    <d v="2026-01-21T00:00:00"/>
    <n v="262.20999999999998"/>
    <n v="89.29"/>
    <n v="80.36"/>
    <n v="8.93"/>
    <s v="Paid"/>
    <s v=""/>
    <d v="2026-03-19T00:00:00"/>
    <d v="2026-03-19T00:00:00"/>
    <n v="260"/>
    <n v="0.38"/>
    <n v="98.8"/>
    <n v="9.5099999999999909"/>
    <x v="1"/>
    <x v="0"/>
    <x v="5"/>
  </r>
  <r>
    <s v="CLM106010"/>
    <s v="PT11973"/>
    <s v="P06"/>
    <x v="1"/>
    <x v="4"/>
    <n v="1"/>
    <d v="2026-02-28T00:00:00"/>
    <d v="2026-03-13T00:00:00"/>
    <n v="37.340000000000003"/>
    <n v="8.5500000000000007"/>
    <n v="8.5500000000000007"/>
    <n v="0"/>
    <s v="Paid"/>
    <s v=""/>
    <d v="2026-04-29T00:00:00"/>
    <d v="2026-04-29T00:00:00"/>
    <n v="38"/>
    <n v="0.27"/>
    <n v="10.26"/>
    <n v="1.7099999999999991"/>
    <x v="1"/>
    <x v="2"/>
    <x v="0"/>
  </r>
  <r>
    <s v="CLM106011"/>
    <s v="PT12936"/>
    <s v="P07"/>
    <x v="0"/>
    <x v="4"/>
    <n v="1"/>
    <d v="2026-01-02T00:00:00"/>
    <d v="2026-01-03T00:00:00"/>
    <n v="37.51"/>
    <n v="10.52"/>
    <n v="9.4700000000000006"/>
    <n v="1.05"/>
    <s v="Paid"/>
    <s v=""/>
    <d v="2026-04-06T00:00:00"/>
    <d v="2026-04-06T00:00:00"/>
    <n v="38"/>
    <n v="0.28000000000000003"/>
    <n v="10.64"/>
    <n v="0.12000000000000099"/>
    <x v="0"/>
    <x v="3"/>
    <x v="5"/>
  </r>
  <r>
    <s v="CLM106012"/>
    <s v="PT13070"/>
    <s v="P06"/>
    <x v="0"/>
    <x v="4"/>
    <n v="1"/>
    <d v="2025-10-28T00:00:00"/>
    <d v="2025-10-29T00:00:00"/>
    <n v="38.68"/>
    <m/>
    <m/>
    <m/>
    <s v="Denied"/>
    <s v="CO-4"/>
    <d v="2025-12-01T00:00:00"/>
    <m/>
    <n v="38"/>
    <n v="0.27"/>
    <n v="10.26"/>
    <s v=""/>
    <x v="2"/>
    <x v="2"/>
    <x v="9"/>
  </r>
  <r>
    <s v="CLM106013"/>
    <s v="PT13495"/>
    <s v="P02"/>
    <x v="2"/>
    <x v="2"/>
    <n v="2"/>
    <d v="2026-04-16T00:00:00"/>
    <d v="2026-04-21T00:00:00"/>
    <n v="124.82"/>
    <m/>
    <m/>
    <m/>
    <s v="Denied"/>
    <s v="CO-4"/>
    <d v="2026-05-27T00:00:00"/>
    <m/>
    <n v="62"/>
    <n v="0.43"/>
    <n v="53.32"/>
    <s v=""/>
    <x v="2"/>
    <x v="6"/>
    <x v="10"/>
  </r>
  <r>
    <s v="CLM106014"/>
    <s v="PT13178"/>
    <s v="P08"/>
    <x v="2"/>
    <x v="9"/>
    <n v="2"/>
    <d v="2025-10-09T00:00:00"/>
    <d v="2025-10-24T00:00:00"/>
    <n v="114.83"/>
    <n v="114.83"/>
    <n v="114.83"/>
    <n v="0"/>
    <s v="Paid"/>
    <s v=""/>
    <d v="2025-12-21T00:00:00"/>
    <d v="2025-12-21T00:00:00"/>
    <n v="58"/>
    <n v="1"/>
    <n v="116"/>
    <n v="1.1700000000000017"/>
    <x v="0"/>
    <x v="7"/>
    <x v="9"/>
  </r>
  <r>
    <s v="CLM106015"/>
    <s v="PT11640"/>
    <s v="P02"/>
    <x v="0"/>
    <x v="0"/>
    <n v="1"/>
    <d v="2025-12-01T00:00:00"/>
    <d v="2025-12-03T00:00:00"/>
    <n v="145.61000000000001"/>
    <n v="66.430000000000007"/>
    <n v="66.430000000000007"/>
    <n v="0"/>
    <s v="Paid"/>
    <s v=""/>
    <d v="2026-01-11T00:00:00"/>
    <d v="2026-01-11T00:00:00"/>
    <n v="145"/>
    <n v="0.43"/>
    <n v="62.35"/>
    <n v="-4.0800000000000054"/>
    <x v="0"/>
    <x v="6"/>
    <x v="6"/>
  </r>
  <r>
    <s v="CLM106016"/>
    <s v="PT10621"/>
    <s v="P01"/>
    <x v="0"/>
    <x v="8"/>
    <n v="1"/>
    <d v="2025-11-08T00:00:00"/>
    <d v="2025-11-16T00:00:00"/>
    <n v="263.31"/>
    <m/>
    <m/>
    <m/>
    <s v="Denied"/>
    <s v="CO-4"/>
    <d v="2025-12-16T00:00:00"/>
    <m/>
    <n v="260"/>
    <n v="0.45"/>
    <n v="117"/>
    <s v=""/>
    <x v="2"/>
    <x v="5"/>
    <x v="3"/>
  </r>
  <r>
    <s v="CLM106017"/>
    <s v="PT13478"/>
    <s v="P01"/>
    <x v="1"/>
    <x v="10"/>
    <n v="1"/>
    <d v="2026-01-26T00:00:00"/>
    <d v="2026-02-05T00:00:00"/>
    <n v="1072.44"/>
    <n v="422.13"/>
    <n v="422.13"/>
    <n v="0"/>
    <s v="Paid"/>
    <s v=""/>
    <d v="2026-02-22T00:00:00"/>
    <d v="2026-02-22T00:00:00"/>
    <n v="1050"/>
    <n v="0.45"/>
    <n v="472.5"/>
    <n v="50.370000000000005"/>
    <x v="1"/>
    <x v="5"/>
    <x v="5"/>
  </r>
  <r>
    <s v="CLM106018"/>
    <s v="PT10423"/>
    <s v="P05"/>
    <x v="1"/>
    <x v="4"/>
    <n v="1"/>
    <d v="2026-07-03T00:00:00"/>
    <d v="2026-07-15T00:00:00"/>
    <n v="38.25"/>
    <n v="15.67"/>
    <n v="12.54"/>
    <n v="3.13"/>
    <s v="Paid"/>
    <s v=""/>
    <d v="2026-09-09T00:00:00"/>
    <d v="2026-09-09T00:00:00"/>
    <n v="38"/>
    <n v="0.38"/>
    <n v="14.44"/>
    <n v="-1.2300000000000004"/>
    <x v="0"/>
    <x v="0"/>
    <x v="1"/>
  </r>
  <r>
    <s v="CLM106019"/>
    <s v="PT11127"/>
    <s v="P01"/>
    <x v="1"/>
    <x v="1"/>
    <n v="1"/>
    <d v="2025-11-29T00:00:00"/>
    <d v="2025-12-07T00:00:00"/>
    <n v="242.76"/>
    <n v="115.36"/>
    <n v="92.29"/>
    <n v="23.07"/>
    <s v="Paid"/>
    <s v=""/>
    <d v="2025-12-21T00:00:00"/>
    <d v="2025-12-21T00:00:00"/>
    <n v="240"/>
    <n v="0.45"/>
    <n v="108"/>
    <n v="-7.3599999999999994"/>
    <x v="0"/>
    <x v="5"/>
    <x v="3"/>
  </r>
  <r>
    <s v="CLM106020"/>
    <s v="PT12206"/>
    <s v="P07"/>
    <x v="2"/>
    <x v="2"/>
    <n v="2"/>
    <d v="2026-06-18T00:00:00"/>
    <d v="2026-06-19T00:00:00"/>
    <n v="123.47"/>
    <n v="34.17"/>
    <n v="34.17"/>
    <n v="0"/>
    <s v="Paid"/>
    <s v=""/>
    <d v="2026-08-11T00:00:00"/>
    <d v="2026-08-11T00:00:00"/>
    <n v="62"/>
    <n v="0.28000000000000003"/>
    <n v="34.72"/>
    <n v="0.54999999999999716"/>
    <x v="0"/>
    <x v="3"/>
    <x v="11"/>
  </r>
  <r>
    <s v="CLM106021"/>
    <s v="PT13112"/>
    <s v="P04"/>
    <x v="0"/>
    <x v="8"/>
    <n v="1"/>
    <d v="2026-01-25T00:00:00"/>
    <d v="2026-01-26T00:00:00"/>
    <n v="266.17"/>
    <m/>
    <m/>
    <m/>
    <s v="Denied"/>
    <s v="CO-16"/>
    <d v="2026-02-18T00:00:00"/>
    <m/>
    <n v="260"/>
    <n v="0.36"/>
    <n v="93.6"/>
    <s v=""/>
    <x v="2"/>
    <x v="1"/>
    <x v="5"/>
  </r>
  <r>
    <s v="CLM106022"/>
    <s v="PT10343"/>
    <s v="P05"/>
    <x v="1"/>
    <x v="4"/>
    <n v="1"/>
    <d v="2026-08-21T00:00:00"/>
    <d v="2026-08-23T00:00:00"/>
    <n v="37.96"/>
    <m/>
    <m/>
    <m/>
    <s v="Pending"/>
    <s v=""/>
    <m/>
    <m/>
    <n v="38"/>
    <n v="0.38"/>
    <n v="14.44"/>
    <s v=""/>
    <x v="2"/>
    <x v="0"/>
    <x v="4"/>
  </r>
  <r>
    <s v="CLM106023"/>
    <s v="PT12947"/>
    <s v="P07"/>
    <x v="0"/>
    <x v="7"/>
    <n v="1"/>
    <d v="2025-11-02T00:00:00"/>
    <d v="2025-11-09T00:00:00"/>
    <n v="205.6"/>
    <n v="54.42"/>
    <n v="54.42"/>
    <n v="0"/>
    <s v="Paid"/>
    <s v=""/>
    <d v="2026-01-21T00:00:00"/>
    <d v="2026-01-21T00:00:00"/>
    <n v="210"/>
    <n v="0.28000000000000003"/>
    <n v="58.8"/>
    <n v="4.3799999999999955"/>
    <x v="1"/>
    <x v="3"/>
    <x v="3"/>
  </r>
  <r>
    <s v="CLM106024"/>
    <s v="PT11689"/>
    <s v="P01"/>
    <x v="2"/>
    <x v="2"/>
    <n v="2"/>
    <d v="2026-05-06T00:00:00"/>
    <d v="2026-05-07T00:00:00"/>
    <n v="123.28"/>
    <n v="62.26"/>
    <n v="49.81"/>
    <n v="12.45"/>
    <s v="Paid"/>
    <s v=""/>
    <d v="2026-06-02T00:00:00"/>
    <d v="2026-06-02T00:00:00"/>
    <n v="62"/>
    <n v="0.45"/>
    <n v="55.8"/>
    <n v="-6.4600000000000009"/>
    <x v="0"/>
    <x v="5"/>
    <x v="7"/>
  </r>
  <r>
    <s v="CLM106025"/>
    <s v="PT12606"/>
    <s v="P06"/>
    <x v="3"/>
    <x v="3"/>
    <n v="5"/>
    <d v="2026-08-11T00:00:00"/>
    <d v="2026-08-14T00:00:00"/>
    <n v="7340.5"/>
    <n v="1860.93"/>
    <n v="1860.93"/>
    <n v="0"/>
    <s v="Paid"/>
    <s v=""/>
    <d v="2026-09-27T00:00:00"/>
    <d v="2026-09-27T00:00:00"/>
    <n v="1450"/>
    <n v="0.27"/>
    <n v="1957.5"/>
    <n v="96.569999999999936"/>
    <x v="0"/>
    <x v="2"/>
    <x v="4"/>
  </r>
  <r>
    <s v="CLM106026"/>
    <s v="PT12950"/>
    <s v="P02"/>
    <x v="1"/>
    <x v="8"/>
    <n v="1"/>
    <d v="2025-12-19T00:00:00"/>
    <d v="2025-12-28T00:00:00"/>
    <n v="264.39"/>
    <n v="107.23"/>
    <n v="96.51"/>
    <n v="10.72"/>
    <s v="Paid"/>
    <s v=""/>
    <d v="2026-01-30T00:00:00"/>
    <d v="2026-01-30T00:00:00"/>
    <n v="260"/>
    <n v="0.43"/>
    <n v="111.8"/>
    <n v="4.5699999999999932"/>
    <x v="0"/>
    <x v="6"/>
    <x v="6"/>
  </r>
  <r>
    <s v="CLM106027"/>
    <s v="PT11188"/>
    <s v="P03"/>
    <x v="1"/>
    <x v="4"/>
    <n v="1"/>
    <d v="2025-11-16T00:00:00"/>
    <d v="2025-11-17T00:00:00"/>
    <n v="38.33"/>
    <m/>
    <m/>
    <m/>
    <s v="Denied"/>
    <s v="CO-18"/>
    <d v="2025-12-16T00:00:00"/>
    <m/>
    <n v="38"/>
    <n v="0.47"/>
    <n v="17.86"/>
    <s v=""/>
    <x v="2"/>
    <x v="4"/>
    <x v="3"/>
  </r>
  <r>
    <s v="CLM106028"/>
    <s v="PT11559"/>
    <s v="P06"/>
    <x v="0"/>
    <x v="0"/>
    <n v="1"/>
    <d v="2026-08-13T00:00:00"/>
    <d v="2026-08-18T00:00:00"/>
    <n v="140.87"/>
    <n v="40.32"/>
    <n v="40.32"/>
    <n v="0"/>
    <s v="Paid"/>
    <s v=""/>
    <d v="2026-09-25T00:00:00"/>
    <d v="2026-09-25T00:00:00"/>
    <n v="145"/>
    <n v="0.27"/>
    <n v="39.15"/>
    <n v="-1.1700000000000017"/>
    <x v="0"/>
    <x v="2"/>
    <x v="4"/>
  </r>
  <r>
    <s v="CLM106029"/>
    <s v="PT10595"/>
    <s v="P07"/>
    <x v="1"/>
    <x v="4"/>
    <n v="1"/>
    <d v="2026-06-14T00:00:00"/>
    <d v="2026-06-22T00:00:00"/>
    <n v="39.049999999999997"/>
    <n v="10.5"/>
    <n v="8.4"/>
    <n v="2.1"/>
    <s v="Paid"/>
    <s v=""/>
    <d v="2026-09-27T00:00:00"/>
    <d v="2026-09-27T00:00:00"/>
    <n v="38"/>
    <n v="0.28000000000000003"/>
    <n v="10.64"/>
    <n v="0.14000000000000057"/>
    <x v="0"/>
    <x v="3"/>
    <x v="11"/>
  </r>
  <r>
    <s v="CLM106030"/>
    <s v="PT11733"/>
    <s v="P01"/>
    <x v="2"/>
    <x v="0"/>
    <n v="1"/>
    <d v="2025-12-05T00:00:00"/>
    <d v="2025-12-06T00:00:00"/>
    <n v="142.11000000000001"/>
    <n v="72.819999999999993"/>
    <n v="58.26"/>
    <n v="14.56"/>
    <s v="Paid"/>
    <s v=""/>
    <d v="2026-01-02T00:00:00"/>
    <d v="2026-01-02T00:00:00"/>
    <n v="145"/>
    <n v="0.45"/>
    <n v="65.25"/>
    <n v="-7.5699999999999932"/>
    <x v="0"/>
    <x v="5"/>
    <x v="6"/>
  </r>
  <r>
    <s v="CLM106031"/>
    <s v="PT11348"/>
    <s v="P04"/>
    <x v="0"/>
    <x v="7"/>
    <n v="1"/>
    <d v="2026-04-07T00:00:00"/>
    <d v="2026-04-11T00:00:00"/>
    <n v="207.08"/>
    <n v="85.28"/>
    <n v="68.22"/>
    <n v="17.059999999999999"/>
    <s v="Paid"/>
    <s v=""/>
    <d v="2026-04-26T00:00:00"/>
    <d v="2026-04-26T00:00:00"/>
    <n v="210"/>
    <n v="0.36"/>
    <n v="75.599999999999994"/>
    <n v="-9.6800000000000068"/>
    <x v="0"/>
    <x v="1"/>
    <x v="10"/>
  </r>
  <r>
    <s v="CLM106032"/>
    <s v="PT13201"/>
    <s v="P06"/>
    <x v="2"/>
    <x v="2"/>
    <n v="2"/>
    <d v="2026-03-27T00:00:00"/>
    <d v="2026-03-28T00:00:00"/>
    <n v="120.56"/>
    <n v="30.42"/>
    <n v="30.42"/>
    <n v="0"/>
    <s v="Paid"/>
    <s v=""/>
    <d v="2026-04-18T00:00:00"/>
    <d v="2026-04-18T00:00:00"/>
    <n v="62"/>
    <n v="0.27"/>
    <n v="33.479999999999997"/>
    <n v="3.0599999999999952"/>
    <x v="1"/>
    <x v="2"/>
    <x v="2"/>
  </r>
  <r>
    <s v="CLM106034"/>
    <s v="PT10374"/>
    <s v="P01"/>
    <x v="3"/>
    <x v="6"/>
    <n v="1"/>
    <d v="2026-08-01T00:00:00"/>
    <d v="2026-08-02T00:00:00"/>
    <n v="431.79"/>
    <n v="198.26"/>
    <n v="158.61000000000001"/>
    <n v="39.65"/>
    <s v="Paid"/>
    <s v=""/>
    <d v="2026-08-23T00:00:00"/>
    <d v="2026-08-23T00:00:00"/>
    <n v="420"/>
    <n v="0.45"/>
    <n v="189"/>
    <n v="-9.2599999999999909"/>
    <x v="0"/>
    <x v="5"/>
    <x v="4"/>
  </r>
  <r>
    <s v="CLM106035"/>
    <s v="PT10508"/>
    <s v="P02"/>
    <x v="1"/>
    <x v="8"/>
    <n v="1"/>
    <d v="2025-11-22T00:00:00"/>
    <d v="2025-11-28T00:00:00"/>
    <n v="252.33"/>
    <n v="99.75"/>
    <n v="99.75"/>
    <n v="0"/>
    <s v="Paid"/>
    <s v=""/>
    <d v="2026-01-13T00:00:00"/>
    <d v="2026-01-13T00:00:00"/>
    <n v="260"/>
    <n v="0.43"/>
    <n v="111.8"/>
    <n v="12.049999999999997"/>
    <x v="1"/>
    <x v="6"/>
    <x v="3"/>
  </r>
  <r>
    <s v="CLM106036"/>
    <s v="PT11483"/>
    <s v="P04"/>
    <x v="3"/>
    <x v="3"/>
    <n v="30"/>
    <d v="2026-08-11T00:00:00"/>
    <d v="2026-08-16T00:00:00"/>
    <n v="42289.97"/>
    <n v="16853.900000000001"/>
    <n v="15168.51"/>
    <n v="1685.39"/>
    <s v="Paid"/>
    <s v=""/>
    <d v="2026-08-28T00:00:00"/>
    <d v="2026-08-28T00:00:00"/>
    <n v="1450"/>
    <n v="0.36"/>
    <n v="15660"/>
    <n v="-1193.9000000000015"/>
    <x v="0"/>
    <x v="1"/>
    <x v="4"/>
  </r>
  <r>
    <s v="CLM106037"/>
    <s v="PT11673"/>
    <s v="P02"/>
    <x v="3"/>
    <x v="6"/>
    <n v="1"/>
    <d v="2026-09-19T00:00:00"/>
    <d v="2026-09-24T00:00:00"/>
    <n v="412.15"/>
    <m/>
    <m/>
    <m/>
    <s v="Pending"/>
    <s v=""/>
    <m/>
    <m/>
    <n v="420"/>
    <n v="0.43"/>
    <n v="180.6"/>
    <s v=""/>
    <x v="2"/>
    <x v="6"/>
    <x v="8"/>
  </r>
  <r>
    <s v="CLM106038"/>
    <s v="PT10491"/>
    <s v="P04"/>
    <x v="2"/>
    <x v="0"/>
    <n v="1"/>
    <d v="2026-02-22T00:00:00"/>
    <d v="2026-02-25T00:00:00"/>
    <n v="147.91"/>
    <n v="56.55"/>
    <n v="50.89"/>
    <n v="5.66"/>
    <s v="Paid"/>
    <s v=""/>
    <d v="2026-03-23T00:00:00"/>
    <d v="2026-03-23T00:00:00"/>
    <n v="145"/>
    <n v="0.36"/>
    <n v="52.2"/>
    <n v="-4.3499999999999943"/>
    <x v="0"/>
    <x v="1"/>
    <x v="0"/>
  </r>
  <r>
    <s v="CLM106039"/>
    <s v="PT13364"/>
    <s v="P04"/>
    <x v="0"/>
    <x v="0"/>
    <n v="1"/>
    <d v="2026-08-02T00:00:00"/>
    <d v="2026-08-21T00:00:00"/>
    <n v="146.04"/>
    <n v="44.69"/>
    <n v="44.69"/>
    <n v="0"/>
    <s v="Paid"/>
    <s v=""/>
    <d v="2026-09-07T00:00:00"/>
    <d v="2026-09-07T00:00:00"/>
    <n v="145"/>
    <n v="0.36"/>
    <n v="52.2"/>
    <n v="7.5100000000000051"/>
    <x v="1"/>
    <x v="1"/>
    <x v="4"/>
  </r>
  <r>
    <s v="CLM106040"/>
    <s v="PT10103"/>
    <s v="P07"/>
    <x v="1"/>
    <x v="5"/>
    <n v="1"/>
    <d v="2026-04-26T00:00:00"/>
    <d v="2026-04-27T00:00:00"/>
    <n v="4876.09"/>
    <n v="1459.13"/>
    <n v="1459.13"/>
    <n v="0"/>
    <s v="Paid"/>
    <s v=""/>
    <d v="2026-07-04T00:00:00"/>
    <d v="2026-07-04T00:00:00"/>
    <n v="4800"/>
    <n v="0.28000000000000003"/>
    <n v="1344"/>
    <n v="-115.13000000000011"/>
    <x v="0"/>
    <x v="3"/>
    <x v="10"/>
  </r>
  <r>
    <s v="CLM106041"/>
    <s v="PT12721"/>
    <s v="P02"/>
    <x v="0"/>
    <x v="0"/>
    <n v="1"/>
    <d v="2025-10-01T00:00:00"/>
    <d v="2025-10-02T00:00:00"/>
    <n v="148.03"/>
    <n v="71.650000000000006"/>
    <n v="57.32"/>
    <n v="14.33"/>
    <s v="Paid"/>
    <s v=""/>
    <d v="2025-11-04T00:00:00"/>
    <d v="2025-11-04T00:00:00"/>
    <n v="145"/>
    <n v="0.43"/>
    <n v="62.35"/>
    <n v="-9.3000000000000043"/>
    <x v="0"/>
    <x v="6"/>
    <x v="9"/>
  </r>
  <r>
    <s v="CLM106042"/>
    <s v="PT12550"/>
    <s v="P04"/>
    <x v="0"/>
    <x v="4"/>
    <n v="1"/>
    <d v="2026-07-12T00:00:00"/>
    <d v="2026-07-15T00:00:00"/>
    <n v="38.96"/>
    <m/>
    <m/>
    <m/>
    <s v="Denied"/>
    <s v="CO-50"/>
    <d v="2026-07-20T00:00:00"/>
    <m/>
    <n v="38"/>
    <n v="0.36"/>
    <n v="13.68"/>
    <s v=""/>
    <x v="2"/>
    <x v="1"/>
    <x v="1"/>
  </r>
  <r>
    <s v="CLM106043"/>
    <s v="PT11387"/>
    <s v="P04"/>
    <x v="1"/>
    <x v="10"/>
    <n v="1"/>
    <d v="2026-07-16T00:00:00"/>
    <d v="2026-07-19T00:00:00"/>
    <n v="1057.19"/>
    <m/>
    <m/>
    <m/>
    <s v="Denied"/>
    <s v="CO-197"/>
    <d v="2026-08-05T00:00:00"/>
    <m/>
    <n v="1050"/>
    <n v="0.36"/>
    <n v="378"/>
    <s v=""/>
    <x v="2"/>
    <x v="1"/>
    <x v="1"/>
  </r>
  <r>
    <s v="CLM106044"/>
    <s v="PT13345"/>
    <s v="P02"/>
    <x v="0"/>
    <x v="7"/>
    <n v="1"/>
    <d v="2026-02-22T00:00:00"/>
    <d v="2026-02-23T00:00:00"/>
    <n v="213.69"/>
    <n v="79.319999999999993"/>
    <n v="71.39"/>
    <n v="7.93"/>
    <s v="Paid"/>
    <s v=""/>
    <d v="2026-04-02T00:00:00"/>
    <d v="2026-04-02T00:00:00"/>
    <n v="210"/>
    <n v="0.43"/>
    <n v="90.3"/>
    <n v="10.980000000000004"/>
    <x v="1"/>
    <x v="6"/>
    <x v="0"/>
  </r>
  <r>
    <s v="CLM106045"/>
    <s v="PT11000"/>
    <s v="P02"/>
    <x v="0"/>
    <x v="0"/>
    <n v="1"/>
    <d v="2026-07-01T00:00:00"/>
    <d v="2026-07-02T00:00:00"/>
    <n v="142.62"/>
    <n v="66.58"/>
    <n v="59.92"/>
    <n v="6.66"/>
    <s v="Paid"/>
    <s v=""/>
    <d v="2026-08-05T00:00:00"/>
    <d v="2026-08-05T00:00:00"/>
    <n v="145"/>
    <n v="0.43"/>
    <n v="62.35"/>
    <n v="-4.2299999999999969"/>
    <x v="0"/>
    <x v="6"/>
    <x v="1"/>
  </r>
  <r>
    <s v="CLM106046"/>
    <s v="PT12077"/>
    <s v="P03"/>
    <x v="0"/>
    <x v="8"/>
    <n v="1"/>
    <d v="2025-10-31T00:00:00"/>
    <d v="2025-11-03T00:00:00"/>
    <n v="258.89999999999998"/>
    <n v="116.13"/>
    <n v="116.13"/>
    <n v="0"/>
    <s v="Paid"/>
    <s v=""/>
    <d v="2025-11-23T00:00:00"/>
    <d v="2025-11-23T00:00:00"/>
    <n v="260"/>
    <n v="0.47"/>
    <n v="122.2"/>
    <n v="6.0700000000000074"/>
    <x v="0"/>
    <x v="4"/>
    <x v="9"/>
  </r>
  <r>
    <s v="CLM106047"/>
    <s v="PT10261"/>
    <s v="P02"/>
    <x v="0"/>
    <x v="7"/>
    <n v="1"/>
    <d v="2026-07-26T00:00:00"/>
    <d v="2026-08-05T00:00:00"/>
    <n v="211.92"/>
    <n v="104.2"/>
    <n v="104.2"/>
    <n v="0"/>
    <s v="Paid"/>
    <s v=""/>
    <d v="2026-08-29T00:00:00"/>
    <d v="2026-08-29T00:00:00"/>
    <n v="210"/>
    <n v="0.43"/>
    <n v="90.3"/>
    <n v="-13.900000000000006"/>
    <x v="0"/>
    <x v="6"/>
    <x v="1"/>
  </r>
  <r>
    <s v="CLM106048"/>
    <s v="PT10249"/>
    <s v="P02"/>
    <x v="2"/>
    <x v="2"/>
    <n v="1"/>
    <d v="2026-02-15T00:00:00"/>
    <d v="2026-06-08T00:00:00"/>
    <n v="62.56"/>
    <m/>
    <m/>
    <m/>
    <s v="Denied"/>
    <s v="CO-29"/>
    <d v="2026-07-18T00:00:00"/>
    <m/>
    <n v="62"/>
    <n v="0.43"/>
    <n v="26.66"/>
    <s v=""/>
    <x v="2"/>
    <x v="6"/>
    <x v="0"/>
  </r>
  <r>
    <s v="CLM106049"/>
    <s v="PT11868"/>
    <s v="P04"/>
    <x v="3"/>
    <x v="6"/>
    <n v="1"/>
    <d v="2026-04-08T00:00:00"/>
    <d v="2026-04-11T00:00:00"/>
    <n v="409.92"/>
    <n v="164.62"/>
    <n v="164.62"/>
    <n v="0"/>
    <s v="Paid"/>
    <s v=""/>
    <d v="2026-04-27T00:00:00"/>
    <d v="2026-04-27T00:00:00"/>
    <n v="420"/>
    <n v="0.36"/>
    <n v="151.19999999999999"/>
    <n v="-13.420000000000016"/>
    <x v="0"/>
    <x v="1"/>
    <x v="10"/>
  </r>
  <r>
    <s v="CLM106050"/>
    <s v="PT13172"/>
    <s v="P05"/>
    <x v="1"/>
    <x v="10"/>
    <n v="1"/>
    <d v="2026-02-04T00:00:00"/>
    <d v="2026-02-06T00:00:00"/>
    <n v="1076.26"/>
    <m/>
    <m/>
    <m/>
    <s v="Denied"/>
    <s v="CO-11"/>
    <d v="2026-03-24T00:00:00"/>
    <m/>
    <n v="1050"/>
    <n v="0.38"/>
    <n v="399"/>
    <s v=""/>
    <x v="2"/>
    <x v="0"/>
    <x v="0"/>
  </r>
  <r>
    <s v="CLM106051"/>
    <s v="PT10418"/>
    <s v="P02"/>
    <x v="1"/>
    <x v="10"/>
    <n v="1"/>
    <d v="2026-09-28T00:00:00"/>
    <d v="2026-09-30T00:00:00"/>
    <n v="1048.96"/>
    <m/>
    <m/>
    <m/>
    <s v="Pending"/>
    <s v=""/>
    <m/>
    <m/>
    <n v="1050"/>
    <n v="0.43"/>
    <n v="451.5"/>
    <s v=""/>
    <x v="2"/>
    <x v="6"/>
    <x v="8"/>
  </r>
  <r>
    <s v="CLM106052"/>
    <s v="PT10778"/>
    <s v="P07"/>
    <x v="3"/>
    <x v="7"/>
    <n v="1"/>
    <d v="2025-12-21T00:00:00"/>
    <d v="2025-12-27T00:00:00"/>
    <n v="214.02"/>
    <n v="58.22"/>
    <n v="46.58"/>
    <n v="11.64"/>
    <s v="Paid"/>
    <s v=""/>
    <d v="2026-02-07T00:00:00"/>
    <d v="2026-02-07T00:00:00"/>
    <n v="210"/>
    <n v="0.28000000000000003"/>
    <n v="58.8"/>
    <n v="0.57999999999999829"/>
    <x v="0"/>
    <x v="3"/>
    <x v="6"/>
  </r>
  <r>
    <s v="CLM106053"/>
    <s v="PT10796"/>
    <s v="P02"/>
    <x v="2"/>
    <x v="0"/>
    <n v="1"/>
    <d v="2025-11-21T00:00:00"/>
    <d v="2025-11-22T00:00:00"/>
    <n v="142.66999999999999"/>
    <n v="61.72"/>
    <n v="49.38"/>
    <n v="12.34"/>
    <s v="Paid"/>
    <s v=""/>
    <d v="2025-12-18T00:00:00"/>
    <d v="2025-12-18T00:00:00"/>
    <n v="145"/>
    <n v="0.43"/>
    <n v="62.35"/>
    <n v="0.63000000000000256"/>
    <x v="0"/>
    <x v="6"/>
    <x v="3"/>
  </r>
  <r>
    <s v="CLM106054"/>
    <s v="PT12956"/>
    <s v="P01"/>
    <x v="1"/>
    <x v="11"/>
    <n v="1"/>
    <d v="2026-01-24T00:00:00"/>
    <d v="2026-01-31T00:00:00"/>
    <n v="1116.1600000000001"/>
    <n v="483.34"/>
    <n v="386.67"/>
    <n v="96.67"/>
    <s v="Paid"/>
    <s v=""/>
    <d v="2026-02-21T00:00:00"/>
    <d v="2026-02-21T00:00:00"/>
    <n v="1150"/>
    <n v="0.45"/>
    <n v="517.5"/>
    <n v="34.160000000000025"/>
    <x v="1"/>
    <x v="5"/>
    <x v="5"/>
  </r>
  <r>
    <s v="CLM106055"/>
    <s v="PT10116"/>
    <s v="P02"/>
    <x v="0"/>
    <x v="4"/>
    <n v="1"/>
    <d v="2025-12-19T00:00:00"/>
    <d v="2025-12-22T00:00:00"/>
    <n v="37.17"/>
    <n v="15.22"/>
    <n v="12.18"/>
    <n v="3.04"/>
    <s v="Paid"/>
    <s v=""/>
    <d v="2026-01-25T00:00:00"/>
    <d v="2026-01-25T00:00:00"/>
    <n v="38"/>
    <n v="0.43"/>
    <n v="16.34"/>
    <n v="1.1199999999999992"/>
    <x v="1"/>
    <x v="6"/>
    <x v="6"/>
  </r>
  <r>
    <s v="CLM106056"/>
    <s v="PT11953"/>
    <s v="P01"/>
    <x v="2"/>
    <x v="2"/>
    <n v="1"/>
    <d v="2026-08-13T00:00:00"/>
    <d v="2026-08-14T00:00:00"/>
    <n v="61.26"/>
    <n v="25.95"/>
    <n v="25.95"/>
    <n v="0"/>
    <s v="Paid"/>
    <s v=""/>
    <d v="2026-09-12T00:00:00"/>
    <d v="2026-09-12T00:00:00"/>
    <n v="62"/>
    <n v="0.45"/>
    <n v="27.9"/>
    <n v="1.9499999999999993"/>
    <x v="1"/>
    <x v="5"/>
    <x v="4"/>
  </r>
  <r>
    <s v="CLM106057"/>
    <s v="PT10303"/>
    <s v="P02"/>
    <x v="3"/>
    <x v="3"/>
    <n v="20"/>
    <d v="2026-05-10T00:00:00"/>
    <d v="2026-05-12T00:00:00"/>
    <n v="28448.6"/>
    <n v="13567.71"/>
    <n v="10854.17"/>
    <n v="2713.54"/>
    <s v="Paid"/>
    <s v=""/>
    <d v="2026-06-10T00:00:00"/>
    <d v="2026-06-10T00:00:00"/>
    <n v="1450"/>
    <n v="0.43"/>
    <n v="12470"/>
    <n v="-1097.7099999999991"/>
    <x v="0"/>
    <x v="6"/>
    <x v="7"/>
  </r>
  <r>
    <s v="CLM106058"/>
    <s v="PT11994"/>
    <s v="P08"/>
    <x v="2"/>
    <x v="2"/>
    <n v="2"/>
    <d v="2025-10-05T00:00:00"/>
    <d v="2025-10-06T00:00:00"/>
    <n v="122.53"/>
    <n v="122.53"/>
    <n v="122.53"/>
    <n v="0"/>
    <s v="Paid"/>
    <s v=""/>
    <d v="2025-11-26T00:00:00"/>
    <d v="2025-11-26T00:00:00"/>
    <n v="62"/>
    <n v="1"/>
    <n v="124"/>
    <n v="1.4699999999999989"/>
    <x v="0"/>
    <x v="7"/>
    <x v="9"/>
  </r>
  <r>
    <s v="CLM106059"/>
    <s v="PT10472"/>
    <s v="P08"/>
    <x v="0"/>
    <x v="7"/>
    <n v="1"/>
    <d v="2026-08-23T00:00:00"/>
    <d v="2026-08-25T00:00:00"/>
    <n v="210.05"/>
    <m/>
    <m/>
    <m/>
    <s v="Pending"/>
    <s v=""/>
    <m/>
    <m/>
    <n v="210"/>
    <n v="1"/>
    <n v="210"/>
    <s v=""/>
    <x v="2"/>
    <x v="7"/>
    <x v="4"/>
  </r>
  <r>
    <s v="CLM106060"/>
    <s v="PT13299"/>
    <s v="P05"/>
    <x v="3"/>
    <x v="7"/>
    <n v="1"/>
    <d v="2026-08-18T00:00:00"/>
    <d v="2026-08-25T00:00:00"/>
    <n v="209.17"/>
    <m/>
    <m/>
    <m/>
    <s v="Pending"/>
    <s v=""/>
    <m/>
    <m/>
    <n v="210"/>
    <n v="0.38"/>
    <n v="79.8"/>
    <s v=""/>
    <x v="2"/>
    <x v="0"/>
    <x v="4"/>
  </r>
  <r>
    <s v="CLM106061"/>
    <s v="PT11925"/>
    <s v="P04"/>
    <x v="3"/>
    <x v="7"/>
    <n v="1"/>
    <d v="2026-07-27T00:00:00"/>
    <d v="2026-08-02T00:00:00"/>
    <n v="215.14"/>
    <n v="76.22"/>
    <n v="76.22"/>
    <n v="0"/>
    <s v="Paid"/>
    <s v=""/>
    <d v="2026-08-13T00:00:00"/>
    <d v="2026-08-13T00:00:00"/>
    <n v="210"/>
    <n v="0.36"/>
    <n v="75.599999999999994"/>
    <n v="-0.62000000000000455"/>
    <x v="0"/>
    <x v="1"/>
    <x v="1"/>
  </r>
  <r>
    <s v="CLM106062"/>
    <s v="PT10254"/>
    <s v="P05"/>
    <x v="1"/>
    <x v="11"/>
    <n v="1"/>
    <d v="2026-06-30T00:00:00"/>
    <d v="2026-07-05T00:00:00"/>
    <n v="1174.94"/>
    <n v="518.83000000000004"/>
    <n v="518.83000000000004"/>
    <n v="0"/>
    <s v="Paid"/>
    <s v=""/>
    <d v="2026-09-07T00:00:00"/>
    <d v="2026-09-07T00:00:00"/>
    <n v="1150"/>
    <n v="0.38"/>
    <n v="437"/>
    <n v="-81.830000000000041"/>
    <x v="0"/>
    <x v="0"/>
    <x v="11"/>
  </r>
  <r>
    <s v="CLM106063"/>
    <s v="PT11225"/>
    <s v="P05"/>
    <x v="1"/>
    <x v="11"/>
    <n v="1"/>
    <d v="2026-02-05T00:00:00"/>
    <d v="2026-02-20T00:00:00"/>
    <n v="1159.82"/>
    <n v="392.16"/>
    <n v="313.73"/>
    <n v="78.430000000000007"/>
    <s v="Paid"/>
    <s v=""/>
    <d v="2026-04-10T00:00:00"/>
    <d v="2026-04-10T00:00:00"/>
    <n v="1150"/>
    <n v="0.38"/>
    <n v="437"/>
    <n v="44.839999999999975"/>
    <x v="1"/>
    <x v="0"/>
    <x v="0"/>
  </r>
  <r>
    <s v="CLM106064"/>
    <s v="PT12062"/>
    <s v="P01"/>
    <x v="0"/>
    <x v="7"/>
    <n v="1"/>
    <d v="2026-05-15T00:00:00"/>
    <d v="2026-05-20T00:00:00"/>
    <n v="205.78"/>
    <n v="96.44"/>
    <n v="96.44"/>
    <n v="0"/>
    <s v="Paid"/>
    <s v=""/>
    <d v="2026-06-15T00:00:00"/>
    <d v="2026-06-15T00:00:00"/>
    <n v="210"/>
    <n v="0.45"/>
    <n v="94.5"/>
    <n v="-1.9399999999999977"/>
    <x v="0"/>
    <x v="5"/>
    <x v="7"/>
  </r>
  <r>
    <s v="CLM106065"/>
    <s v="PT10619"/>
    <s v="P02"/>
    <x v="0"/>
    <x v="7"/>
    <n v="1"/>
    <d v="2026-05-06T00:00:00"/>
    <d v="2026-05-19T00:00:00"/>
    <n v="211.94"/>
    <n v="81.680000000000007"/>
    <n v="81.680000000000007"/>
    <n v="0"/>
    <s v="Paid"/>
    <s v=""/>
    <d v="2026-06-21T00:00:00"/>
    <d v="2026-06-21T00:00:00"/>
    <n v="210"/>
    <n v="0.43"/>
    <n v="90.3"/>
    <n v="8.6199999999999903"/>
    <x v="1"/>
    <x v="6"/>
    <x v="7"/>
  </r>
  <r>
    <s v="CLM106066"/>
    <s v="PT10499"/>
    <s v="P05"/>
    <x v="2"/>
    <x v="2"/>
    <n v="4"/>
    <d v="2026-06-01T00:00:00"/>
    <d v="2026-06-02T00:00:00"/>
    <n v="244.96"/>
    <n v="80.959999999999994"/>
    <n v="72.86"/>
    <n v="8.1"/>
    <s v="Paid"/>
    <s v=""/>
    <d v="2026-07-21T00:00:00"/>
    <d v="2026-07-21T00:00:00"/>
    <n v="62"/>
    <n v="0.38"/>
    <n v="94.24"/>
    <n v="13.280000000000001"/>
    <x v="1"/>
    <x v="0"/>
    <x v="11"/>
  </r>
  <r>
    <s v="CLM106067"/>
    <s v="PT11454"/>
    <s v="P05"/>
    <x v="1"/>
    <x v="11"/>
    <n v="1"/>
    <d v="2026-04-26T00:00:00"/>
    <d v="2026-04-27T00:00:00"/>
    <n v="1124.77"/>
    <n v="430.66"/>
    <n v="387.59"/>
    <n v="43.07"/>
    <s v="Paid"/>
    <s v=""/>
    <d v="2026-06-29T00:00:00"/>
    <d v="2026-06-29T00:00:00"/>
    <n v="1150"/>
    <n v="0.38"/>
    <n v="437"/>
    <n v="6.339999999999975"/>
    <x v="0"/>
    <x v="0"/>
    <x v="10"/>
  </r>
  <r>
    <s v="CLM106068"/>
    <s v="PT11096"/>
    <s v="P08"/>
    <x v="0"/>
    <x v="8"/>
    <n v="1"/>
    <d v="2026-07-29T00:00:00"/>
    <d v="2026-08-08T00:00:00"/>
    <n v="253.73"/>
    <m/>
    <m/>
    <m/>
    <s v="Pending"/>
    <s v=""/>
    <m/>
    <m/>
    <n v="260"/>
    <n v="1"/>
    <n v="260"/>
    <s v=""/>
    <x v="2"/>
    <x v="7"/>
    <x v="1"/>
  </r>
  <r>
    <s v="CLM106069"/>
    <s v="PT10506"/>
    <s v="P02"/>
    <x v="0"/>
    <x v="8"/>
    <n v="1"/>
    <d v="2026-08-12T00:00:00"/>
    <d v="2026-08-19T00:00:00"/>
    <n v="261.20999999999998"/>
    <n v="105.91"/>
    <n v="105.91"/>
    <n v="0"/>
    <s v="Paid"/>
    <s v=""/>
    <d v="2026-09-11T00:00:00"/>
    <d v="2026-09-11T00:00:00"/>
    <n v="260"/>
    <n v="0.43"/>
    <n v="111.8"/>
    <n v="5.8900000000000006"/>
    <x v="1"/>
    <x v="6"/>
    <x v="4"/>
  </r>
  <r>
    <s v="CLM106070"/>
    <s v="PT13117"/>
    <s v="P01"/>
    <x v="3"/>
    <x v="3"/>
    <n v="10"/>
    <d v="2025-10-28T00:00:00"/>
    <d v="2025-11-05T00:00:00"/>
    <n v="14191.05"/>
    <m/>
    <m/>
    <m/>
    <s v="Denied"/>
    <s v="CO-197"/>
    <d v="2025-12-03T00:00:00"/>
    <m/>
    <n v="1450"/>
    <n v="0.45"/>
    <n v="6525"/>
    <s v=""/>
    <x v="2"/>
    <x v="5"/>
    <x v="9"/>
  </r>
  <r>
    <s v="CLM106071"/>
    <s v="PT12618"/>
    <s v="P03"/>
    <x v="3"/>
    <x v="6"/>
    <n v="1"/>
    <d v="2026-04-01T00:00:00"/>
    <d v="2026-04-07T00:00:00"/>
    <n v="431.23"/>
    <n v="185.18"/>
    <n v="185.18"/>
    <n v="0"/>
    <s v="Paid"/>
    <s v=""/>
    <d v="2026-05-15T00:00:00"/>
    <d v="2026-05-15T00:00:00"/>
    <n v="420"/>
    <n v="0.47"/>
    <n v="197.4"/>
    <n v="12.219999999999999"/>
    <x v="1"/>
    <x v="4"/>
    <x v="10"/>
  </r>
  <r>
    <s v="CLM106072"/>
    <s v="PT12674"/>
    <s v="P04"/>
    <x v="1"/>
    <x v="5"/>
    <n v="1"/>
    <d v="2026-08-04T00:00:00"/>
    <d v="2026-08-11T00:00:00"/>
    <n v="4804.99"/>
    <n v="1511.42"/>
    <n v="1511.42"/>
    <n v="0"/>
    <s v="Paid"/>
    <s v=""/>
    <d v="2026-08-17T00:00:00"/>
    <d v="2026-08-17T00:00:00"/>
    <n v="4800"/>
    <n v="0.36"/>
    <n v="1728"/>
    <n v="216.57999999999993"/>
    <x v="1"/>
    <x v="1"/>
    <x v="4"/>
  </r>
  <r>
    <s v="CLM106073"/>
    <s v="PT12707"/>
    <s v="P08"/>
    <x v="0"/>
    <x v="0"/>
    <n v="1"/>
    <d v="2026-05-16T00:00:00"/>
    <d v="2026-05-24T00:00:00"/>
    <n v="143.12"/>
    <m/>
    <m/>
    <m/>
    <s v="Pending"/>
    <s v=""/>
    <m/>
    <m/>
    <n v="145"/>
    <n v="1"/>
    <n v="145"/>
    <s v=""/>
    <x v="2"/>
    <x v="7"/>
    <x v="7"/>
  </r>
  <r>
    <s v="CLM106074"/>
    <s v="PT10234"/>
    <s v="P01"/>
    <x v="3"/>
    <x v="6"/>
    <n v="1"/>
    <d v="2025-10-05T00:00:00"/>
    <d v="2025-10-08T00:00:00"/>
    <n v="416.38"/>
    <m/>
    <m/>
    <m/>
    <s v="Denied"/>
    <s v="CO-11"/>
    <d v="2025-11-11T00:00:00"/>
    <m/>
    <n v="420"/>
    <n v="0.45"/>
    <n v="189"/>
    <s v=""/>
    <x v="2"/>
    <x v="5"/>
    <x v="9"/>
  </r>
  <r>
    <s v="CLM106075"/>
    <s v="PT10986"/>
    <s v="P06"/>
    <x v="3"/>
    <x v="6"/>
    <n v="1"/>
    <d v="2026-08-15T00:00:00"/>
    <d v="2026-09-01T00:00:00"/>
    <n v="413.65"/>
    <m/>
    <m/>
    <m/>
    <s v="Denied"/>
    <s v="CO-11"/>
    <d v="2026-09-17T00:00:00"/>
    <m/>
    <n v="420"/>
    <n v="0.27"/>
    <n v="113.4"/>
    <s v=""/>
    <x v="2"/>
    <x v="2"/>
    <x v="4"/>
  </r>
  <r>
    <s v="CLM106076"/>
    <s v="PT10061"/>
    <s v="P02"/>
    <x v="2"/>
    <x v="9"/>
    <n v="3"/>
    <d v="2026-05-08T00:00:00"/>
    <d v="2026-05-12T00:00:00"/>
    <n v="172.43"/>
    <n v="78.19"/>
    <n v="78.19"/>
    <n v="0"/>
    <s v="Paid"/>
    <s v=""/>
    <d v="2026-06-29T00:00:00"/>
    <d v="2026-06-29T00:00:00"/>
    <n v="58"/>
    <n v="0.43"/>
    <n v="74.819999999999993"/>
    <n v="-3.3700000000000045"/>
    <x v="0"/>
    <x v="6"/>
    <x v="7"/>
  </r>
  <r>
    <s v="CLM106077"/>
    <s v="PT12793"/>
    <s v="P01"/>
    <x v="0"/>
    <x v="8"/>
    <n v="1"/>
    <d v="2026-01-17T00:00:00"/>
    <d v="2026-01-20T00:00:00"/>
    <n v="254.54"/>
    <m/>
    <m/>
    <m/>
    <s v="Denied"/>
    <s v="CO-16"/>
    <d v="2026-02-06T00:00:00"/>
    <m/>
    <n v="260"/>
    <n v="0.45"/>
    <n v="117"/>
    <s v=""/>
    <x v="2"/>
    <x v="5"/>
    <x v="5"/>
  </r>
  <r>
    <s v="CLM106078"/>
    <s v="PT11994"/>
    <s v="P07"/>
    <x v="0"/>
    <x v="7"/>
    <n v="1"/>
    <d v="2025-10-21T00:00:00"/>
    <d v="2025-10-26T00:00:00"/>
    <n v="211.29"/>
    <n v="58.07"/>
    <n v="58.07"/>
    <n v="0"/>
    <s v="Paid"/>
    <s v=""/>
    <d v="2026-01-02T00:00:00"/>
    <d v="2026-01-02T00:00:00"/>
    <n v="210"/>
    <n v="0.28000000000000003"/>
    <n v="58.8"/>
    <n v="0.72999999999999687"/>
    <x v="0"/>
    <x v="3"/>
    <x v="9"/>
  </r>
  <r>
    <s v="CLM106079"/>
    <s v="PT10533"/>
    <s v="P05"/>
    <x v="1"/>
    <x v="7"/>
    <n v="1"/>
    <d v="2025-10-07T00:00:00"/>
    <d v="2025-10-09T00:00:00"/>
    <n v="214.45"/>
    <n v="93.17"/>
    <n v="93.17"/>
    <n v="0"/>
    <s v="Paid"/>
    <s v=""/>
    <d v="2025-11-24T00:00:00"/>
    <d v="2025-11-24T00:00:00"/>
    <n v="210"/>
    <n v="0.38"/>
    <n v="79.8"/>
    <n v="-13.370000000000005"/>
    <x v="0"/>
    <x v="0"/>
    <x v="9"/>
  </r>
  <r>
    <s v="CLM106080"/>
    <s v="PT10840"/>
    <s v="P05"/>
    <x v="1"/>
    <x v="7"/>
    <n v="1"/>
    <d v="2026-06-20T00:00:00"/>
    <d v="2026-06-24T00:00:00"/>
    <n v="207.74"/>
    <n v="79.34"/>
    <n v="63.47"/>
    <n v="15.87"/>
    <s v="Paid"/>
    <s v=""/>
    <d v="2026-08-28T00:00:00"/>
    <d v="2026-08-28T00:00:00"/>
    <n v="210"/>
    <n v="0.38"/>
    <n v="79.8"/>
    <n v="0.45999999999999375"/>
    <x v="0"/>
    <x v="0"/>
    <x v="11"/>
  </r>
  <r>
    <s v="CLM106081"/>
    <s v="PT12768"/>
    <s v="P01"/>
    <x v="1"/>
    <x v="11"/>
    <n v="1"/>
    <d v="2026-04-21T00:00:00"/>
    <d v="2026-05-10T00:00:00"/>
    <n v="1178.32"/>
    <n v="522.91999999999996"/>
    <n v="522.91999999999996"/>
    <n v="0"/>
    <s v="Paid"/>
    <s v=""/>
    <d v="2026-05-31T00:00:00"/>
    <d v="2026-05-31T00:00:00"/>
    <n v="1150"/>
    <n v="0.45"/>
    <n v="517.5"/>
    <n v="-5.4199999999999591"/>
    <x v="0"/>
    <x v="5"/>
    <x v="10"/>
  </r>
  <r>
    <s v="CLM106082"/>
    <s v="PT11815"/>
    <s v="P07"/>
    <x v="1"/>
    <x v="10"/>
    <n v="1"/>
    <d v="2026-01-06T00:00:00"/>
    <d v="2026-01-13T00:00:00"/>
    <n v="1046.3599999999999"/>
    <n v="321.20999999999998"/>
    <n v="256.97000000000003"/>
    <n v="64.239999999999995"/>
    <s v="Paid"/>
    <s v=""/>
    <d v="2026-03-10T00:00:00"/>
    <d v="2026-03-10T00:00:00"/>
    <n v="1050"/>
    <n v="0.28000000000000003"/>
    <n v="294"/>
    <n v="-27.20999999999998"/>
    <x v="0"/>
    <x v="3"/>
    <x v="5"/>
  </r>
  <r>
    <s v="CLM106083"/>
    <s v="PT11378"/>
    <s v="P07"/>
    <x v="2"/>
    <x v="0"/>
    <n v="1"/>
    <d v="2026-07-23T00:00:00"/>
    <d v="2026-07-28T00:00:00"/>
    <n v="145.66999999999999"/>
    <n v="35.44"/>
    <n v="35.44"/>
    <n v="0"/>
    <s v="Paid"/>
    <s v=""/>
    <d v="2026-09-25T00:00:00"/>
    <d v="2026-09-25T00:00:00"/>
    <n v="145"/>
    <n v="0.28000000000000003"/>
    <n v="40.6"/>
    <n v="5.1600000000000037"/>
    <x v="1"/>
    <x v="3"/>
    <x v="1"/>
  </r>
  <r>
    <s v="CLM106084"/>
    <s v="PT10901"/>
    <s v="P08"/>
    <x v="0"/>
    <x v="7"/>
    <n v="1"/>
    <d v="2026-01-09T00:00:00"/>
    <d v="2026-01-11T00:00:00"/>
    <n v="211.76"/>
    <n v="211.76"/>
    <n v="211.76"/>
    <n v="0"/>
    <s v="Paid"/>
    <s v=""/>
    <d v="2026-03-23T00:00:00"/>
    <d v="2026-03-23T00:00:00"/>
    <n v="210"/>
    <n v="1"/>
    <n v="210"/>
    <n v="-1.7599999999999909"/>
    <x v="0"/>
    <x v="7"/>
    <x v="5"/>
  </r>
  <r>
    <s v="CLM106085"/>
    <s v="PT12206"/>
    <s v="P01"/>
    <x v="1"/>
    <x v="10"/>
    <n v="1"/>
    <d v="2025-12-12T00:00:00"/>
    <d v="2025-12-17T00:00:00"/>
    <n v="1057.8399999999999"/>
    <n v="447.73"/>
    <n v="402.96"/>
    <n v="44.77"/>
    <s v="Paid"/>
    <s v=""/>
    <d v="2025-12-25T00:00:00"/>
    <d v="2025-12-25T00:00:00"/>
    <n v="1050"/>
    <n v="0.45"/>
    <n v="472.5"/>
    <n v="24.769999999999982"/>
    <x v="1"/>
    <x v="5"/>
    <x v="6"/>
  </r>
  <r>
    <s v="CLM106086"/>
    <s v="PT12400"/>
    <s v="P03"/>
    <x v="2"/>
    <x v="9"/>
    <n v="1"/>
    <d v="2026-08-21T00:00:00"/>
    <d v="2026-08-27T00:00:00"/>
    <n v="57.44"/>
    <n v="24.84"/>
    <n v="24.84"/>
    <n v="0"/>
    <s v="Paid"/>
    <s v=""/>
    <d v="2026-09-19T00:00:00"/>
    <d v="2026-09-19T00:00:00"/>
    <n v="58"/>
    <n v="0.47"/>
    <n v="27.26"/>
    <n v="2.4200000000000017"/>
    <x v="1"/>
    <x v="4"/>
    <x v="4"/>
  </r>
  <r>
    <s v="CLM106087"/>
    <s v="PT13386"/>
    <s v="P01"/>
    <x v="3"/>
    <x v="3"/>
    <n v="30"/>
    <d v="2026-08-03T00:00:00"/>
    <d v="2026-08-09T00:00:00"/>
    <n v="42939.18"/>
    <n v="16707.87"/>
    <n v="15037.08"/>
    <n v="1670.79"/>
    <s v="Paid"/>
    <s v=""/>
    <d v="2026-09-04T00:00:00"/>
    <d v="2026-09-04T00:00:00"/>
    <n v="1450"/>
    <n v="0.45"/>
    <n v="19575"/>
    <n v="2867.130000000001"/>
    <x v="1"/>
    <x v="5"/>
    <x v="4"/>
  </r>
  <r>
    <s v="CLM106089"/>
    <s v="PT13003"/>
    <s v="P02"/>
    <x v="0"/>
    <x v="8"/>
    <n v="1"/>
    <d v="2026-03-14T00:00:00"/>
    <d v="2026-03-15T00:00:00"/>
    <n v="252.64"/>
    <n v="92.91"/>
    <n v="92.91"/>
    <n v="0"/>
    <s v="Paid"/>
    <s v=""/>
    <d v="2026-03-31T00:00:00"/>
    <d v="2026-03-31T00:00:00"/>
    <n v="260"/>
    <n v="0.43"/>
    <n v="111.8"/>
    <n v="18.89"/>
    <x v="1"/>
    <x v="6"/>
    <x v="2"/>
  </r>
  <r>
    <s v="CLM106090"/>
    <s v="PT10545"/>
    <s v="P01"/>
    <x v="0"/>
    <x v="4"/>
    <n v="1"/>
    <d v="2025-12-29T00:00:00"/>
    <d v="2026-01-01T00:00:00"/>
    <n v="37.93"/>
    <m/>
    <m/>
    <m/>
    <s v="Denied"/>
    <s v="CO-16"/>
    <d v="2026-01-22T00:00:00"/>
    <m/>
    <n v="38"/>
    <n v="0.45"/>
    <n v="17.100000000000001"/>
    <s v=""/>
    <x v="2"/>
    <x v="5"/>
    <x v="6"/>
  </r>
  <r>
    <s v="CLM106091"/>
    <s v="PT12149"/>
    <s v="P02"/>
    <x v="1"/>
    <x v="4"/>
    <n v="1"/>
    <d v="2026-06-14T00:00:00"/>
    <d v="2026-06-18T00:00:00"/>
    <n v="38.619999999999997"/>
    <n v="14.95"/>
    <n v="13.45"/>
    <n v="1.5"/>
    <s v="Paid"/>
    <s v=""/>
    <d v="2026-07-23T00:00:00"/>
    <d v="2026-07-23T00:00:00"/>
    <n v="38"/>
    <n v="0.43"/>
    <n v="16.34"/>
    <n v="1.3900000000000006"/>
    <x v="1"/>
    <x v="6"/>
    <x v="11"/>
  </r>
  <r>
    <s v="CLM106092"/>
    <s v="PT12132"/>
    <s v="P03"/>
    <x v="3"/>
    <x v="6"/>
    <n v="1"/>
    <d v="2026-02-16T00:00:00"/>
    <d v="2026-02-20T00:00:00"/>
    <n v="413.04"/>
    <m/>
    <m/>
    <m/>
    <s v="Denied"/>
    <s v="CO-50"/>
    <d v="2026-03-31T00:00:00"/>
    <m/>
    <n v="420"/>
    <n v="0.47"/>
    <n v="197.4"/>
    <s v=""/>
    <x v="2"/>
    <x v="4"/>
    <x v="0"/>
  </r>
  <r>
    <s v="CLM106093"/>
    <s v="PT12188"/>
    <s v="P07"/>
    <x v="3"/>
    <x v="3"/>
    <n v="20"/>
    <d v="2026-05-13T00:00:00"/>
    <d v="2026-05-25T00:00:00"/>
    <n v="28141.17"/>
    <m/>
    <m/>
    <m/>
    <s v="Denied"/>
    <s v="CO-50"/>
    <d v="2026-06-11T00:00:00"/>
    <m/>
    <n v="1450"/>
    <n v="0.28000000000000003"/>
    <n v="8120"/>
    <s v=""/>
    <x v="2"/>
    <x v="3"/>
    <x v="7"/>
  </r>
  <r>
    <s v="CLM106094"/>
    <s v="PT10498"/>
    <s v="P05"/>
    <x v="0"/>
    <x v="4"/>
    <n v="1"/>
    <d v="2026-08-25T00:00:00"/>
    <d v="2026-08-26T00:00:00"/>
    <n v="38.43"/>
    <m/>
    <m/>
    <m/>
    <s v="Pending"/>
    <s v=""/>
    <m/>
    <m/>
    <n v="38"/>
    <n v="0.38"/>
    <n v="14.44"/>
    <s v=""/>
    <x v="2"/>
    <x v="0"/>
    <x v="4"/>
  </r>
  <r>
    <s v="CLM106095"/>
    <s v="PT11214"/>
    <s v="P01"/>
    <x v="2"/>
    <x v="9"/>
    <n v="2"/>
    <d v="2026-04-27T00:00:00"/>
    <d v="2026-05-04T00:00:00"/>
    <n v="119.46"/>
    <n v="58.9"/>
    <n v="47.12"/>
    <n v="11.78"/>
    <s v="Paid"/>
    <s v=""/>
    <d v="2026-05-30T00:00:00"/>
    <d v="2026-05-30T00:00:00"/>
    <n v="58"/>
    <n v="0.45"/>
    <n v="52.2"/>
    <n v="-6.6999999999999957"/>
    <x v="0"/>
    <x v="5"/>
    <x v="10"/>
  </r>
  <r>
    <s v="CLM106096"/>
    <s v="PT12538"/>
    <s v="P01"/>
    <x v="0"/>
    <x v="0"/>
    <n v="1"/>
    <d v="2026-05-22T00:00:00"/>
    <d v="2026-05-28T00:00:00"/>
    <n v="145.41999999999999"/>
    <n v="64.56"/>
    <n v="58.1"/>
    <n v="6.46"/>
    <s v="Paid"/>
    <s v=""/>
    <d v="2026-06-11T00:00:00"/>
    <d v="2026-06-11T00:00:00"/>
    <n v="145"/>
    <n v="0.45"/>
    <n v="65.25"/>
    <n v="0.68999999999999773"/>
    <x v="0"/>
    <x v="5"/>
    <x v="7"/>
  </r>
  <r>
    <s v="CLM106097"/>
    <s v="PT11976"/>
    <s v="P02"/>
    <x v="1"/>
    <x v="10"/>
    <n v="1"/>
    <d v="2026-03-13T00:00:00"/>
    <d v="2026-03-22T00:00:00"/>
    <n v="1078.6400000000001"/>
    <n v="408.11"/>
    <n v="408.11"/>
    <n v="0"/>
    <s v="Paid"/>
    <s v=""/>
    <d v="2026-04-25T00:00:00"/>
    <d v="2026-04-25T00:00:00"/>
    <n v="1050"/>
    <n v="0.43"/>
    <n v="451.5"/>
    <n v="43.389999999999986"/>
    <x v="1"/>
    <x v="6"/>
    <x v="2"/>
  </r>
  <r>
    <s v="CLM106098"/>
    <s v="PT10523"/>
    <s v="P01"/>
    <x v="1"/>
    <x v="1"/>
    <n v="1"/>
    <d v="2026-08-25T00:00:00"/>
    <d v="2026-09-05T00:00:00"/>
    <n v="234.51"/>
    <m/>
    <m/>
    <m/>
    <s v="Pending"/>
    <s v=""/>
    <m/>
    <m/>
    <n v="240"/>
    <n v="0.45"/>
    <n v="108"/>
    <s v=""/>
    <x v="2"/>
    <x v="5"/>
    <x v="4"/>
  </r>
  <r>
    <s v="CLM106099"/>
    <s v="PT13359"/>
    <s v="P04"/>
    <x v="1"/>
    <x v="7"/>
    <n v="1"/>
    <d v="2026-09-11T00:00:00"/>
    <d v="2026-09-14T00:00:00"/>
    <n v="206.68"/>
    <m/>
    <m/>
    <m/>
    <s v="Pending"/>
    <s v=""/>
    <m/>
    <m/>
    <n v="210"/>
    <n v="0.36"/>
    <n v="75.599999999999994"/>
    <s v=""/>
    <x v="2"/>
    <x v="1"/>
    <x v="8"/>
  </r>
  <r>
    <s v="CLM106100"/>
    <s v="PT10353"/>
    <s v="P03"/>
    <x v="3"/>
    <x v="7"/>
    <n v="1"/>
    <d v="2025-10-31T00:00:00"/>
    <d v="2025-11-04T00:00:00"/>
    <n v="213.01"/>
    <n v="107.71"/>
    <n v="96.94"/>
    <n v="10.77"/>
    <s v="Paid"/>
    <s v=""/>
    <d v="2025-12-26T00:00:00"/>
    <d v="2025-12-26T00:00:00"/>
    <n v="210"/>
    <n v="0.47"/>
    <n v="98.7"/>
    <n v="-9.0099999999999909"/>
    <x v="0"/>
    <x v="4"/>
    <x v="9"/>
  </r>
  <r>
    <s v="CLM106101"/>
    <s v="PT11501"/>
    <s v="P02"/>
    <x v="1"/>
    <x v="10"/>
    <n v="1"/>
    <d v="2026-04-06T00:00:00"/>
    <d v="2026-04-10T00:00:00"/>
    <n v="1027.77"/>
    <n v="398.09"/>
    <n v="398.09"/>
    <n v="0"/>
    <s v="Paid"/>
    <s v=""/>
    <d v="2026-05-07T00:00:00"/>
    <d v="2026-05-07T00:00:00"/>
    <n v="1050"/>
    <n v="0.43"/>
    <n v="451.5"/>
    <n v="53.410000000000025"/>
    <x v="1"/>
    <x v="6"/>
    <x v="10"/>
  </r>
  <r>
    <s v="CLM106102"/>
    <s v="PT13266"/>
    <s v="P07"/>
    <x v="2"/>
    <x v="0"/>
    <n v="1"/>
    <d v="2025-10-18T00:00:00"/>
    <d v="2025-10-19T00:00:00"/>
    <n v="148.08000000000001"/>
    <n v="36.880000000000003"/>
    <n v="36.880000000000003"/>
    <n v="0"/>
    <s v="Paid"/>
    <s v=""/>
    <d v="2025-12-11T00:00:00"/>
    <d v="2025-12-11T00:00:00"/>
    <n v="145"/>
    <n v="0.28000000000000003"/>
    <n v="40.6"/>
    <n v="3.7199999999999989"/>
    <x v="1"/>
    <x v="3"/>
    <x v="9"/>
  </r>
  <r>
    <s v="CLM106103"/>
    <s v="PT10413"/>
    <s v="P01"/>
    <x v="3"/>
    <x v="3"/>
    <n v="10"/>
    <d v="2026-06-16T00:00:00"/>
    <d v="2026-06-17T00:00:00"/>
    <n v="14610.1"/>
    <n v="7161.17"/>
    <n v="5728.94"/>
    <n v="1432.23"/>
    <s v="Paid"/>
    <s v=""/>
    <d v="2026-07-21T00:00:00"/>
    <d v="2026-07-21T00:00:00"/>
    <n v="1450"/>
    <n v="0.45"/>
    <n v="6525"/>
    <n v="-636.17000000000007"/>
    <x v="0"/>
    <x v="5"/>
    <x v="11"/>
  </r>
  <r>
    <s v="CLM106104"/>
    <s v="PT10773"/>
    <s v="P04"/>
    <x v="1"/>
    <x v="11"/>
    <n v="1"/>
    <d v="2026-06-08T00:00:00"/>
    <d v="2026-06-12T00:00:00"/>
    <n v="1157.5899999999999"/>
    <n v="461.41"/>
    <n v="461.41"/>
    <n v="0"/>
    <s v="Paid"/>
    <s v=""/>
    <d v="2026-07-05T00:00:00"/>
    <d v="2026-07-05T00:00:00"/>
    <n v="1150"/>
    <n v="0.36"/>
    <n v="414"/>
    <n v="-47.410000000000025"/>
    <x v="0"/>
    <x v="1"/>
    <x v="11"/>
  </r>
  <r>
    <s v="CLM106105"/>
    <s v="PT11649"/>
    <s v="P01"/>
    <x v="1"/>
    <x v="5"/>
    <n v="1"/>
    <d v="2026-05-04T00:00:00"/>
    <d v="2026-05-11T00:00:00"/>
    <n v="4938.03"/>
    <m/>
    <m/>
    <m/>
    <s v="Denied"/>
    <s v="CO-16"/>
    <d v="2026-06-02T00:00:00"/>
    <m/>
    <n v="4800"/>
    <n v="0.45"/>
    <n v="2160"/>
    <s v=""/>
    <x v="2"/>
    <x v="5"/>
    <x v="7"/>
  </r>
  <r>
    <s v="CLM106106"/>
    <s v="PT13453"/>
    <s v="P02"/>
    <x v="1"/>
    <x v="8"/>
    <n v="1"/>
    <d v="2025-10-26T00:00:00"/>
    <d v="2025-11-02T00:00:00"/>
    <n v="267.7"/>
    <n v="98.61"/>
    <n v="78.89"/>
    <n v="19.72"/>
    <s v="Paid"/>
    <s v=""/>
    <d v="2025-11-21T00:00:00"/>
    <d v="2025-11-21T00:00:00"/>
    <n v="260"/>
    <n v="0.43"/>
    <n v="111.8"/>
    <n v="13.189999999999998"/>
    <x v="1"/>
    <x v="6"/>
    <x v="9"/>
  </r>
  <r>
    <s v="CLM106107"/>
    <s v="PT11528"/>
    <s v="P07"/>
    <x v="0"/>
    <x v="4"/>
    <n v="1"/>
    <d v="2026-07-07T00:00:00"/>
    <d v="2026-07-08T00:00:00"/>
    <n v="39.01"/>
    <n v="10.93"/>
    <n v="9.84"/>
    <n v="1.0900000000000001"/>
    <s v="Paid"/>
    <s v=""/>
    <d v="2026-09-07T00:00:00"/>
    <d v="2026-09-07T00:00:00"/>
    <n v="38"/>
    <n v="0.28000000000000003"/>
    <n v="10.64"/>
    <n v="-0.28999999999999915"/>
    <x v="0"/>
    <x v="3"/>
    <x v="1"/>
  </r>
  <r>
    <s v="CLM106108"/>
    <s v="PT11590"/>
    <s v="P01"/>
    <x v="1"/>
    <x v="4"/>
    <n v="1"/>
    <d v="2026-01-14T00:00:00"/>
    <d v="2026-01-15T00:00:00"/>
    <n v="38.39"/>
    <n v="17.27"/>
    <n v="17.27"/>
    <n v="0"/>
    <s v="Paid"/>
    <s v=""/>
    <d v="2026-02-16T00:00:00"/>
    <d v="2026-02-16T00:00:00"/>
    <n v="38"/>
    <n v="0.45"/>
    <n v="17.100000000000001"/>
    <n v="-0.16999999999999815"/>
    <x v="0"/>
    <x v="5"/>
    <x v="5"/>
  </r>
  <r>
    <s v="CLM106109"/>
    <s v="PT12822"/>
    <s v="P05"/>
    <x v="1"/>
    <x v="8"/>
    <n v="1"/>
    <d v="2025-12-21T00:00:00"/>
    <d v="2025-12-23T00:00:00"/>
    <n v="259.61"/>
    <n v="97.38"/>
    <n v="97.38"/>
    <n v="0"/>
    <s v="Paid"/>
    <s v=""/>
    <d v="2026-03-01T00:00:00"/>
    <d v="2026-03-01T00:00:00"/>
    <n v="260"/>
    <n v="0.38"/>
    <n v="98.8"/>
    <n v="1.4200000000000017"/>
    <x v="0"/>
    <x v="0"/>
    <x v="6"/>
  </r>
  <r>
    <s v="CLM106110"/>
    <s v="PT11545"/>
    <s v="P02"/>
    <x v="1"/>
    <x v="8"/>
    <n v="1"/>
    <d v="2026-03-10T00:00:00"/>
    <d v="2026-03-11T00:00:00"/>
    <n v="253.06"/>
    <n v="94.13"/>
    <n v="94.13"/>
    <n v="0"/>
    <s v="Paid"/>
    <s v=""/>
    <d v="2026-04-13T00:00:00"/>
    <d v="2026-04-13T00:00:00"/>
    <n v="260"/>
    <n v="0.43"/>
    <n v="111.8"/>
    <n v="17.670000000000002"/>
    <x v="1"/>
    <x v="6"/>
    <x v="2"/>
  </r>
  <r>
    <s v="CLM106111"/>
    <s v="PT13098"/>
    <s v="P06"/>
    <x v="3"/>
    <x v="3"/>
    <n v="5"/>
    <d v="2025-11-05T00:00:00"/>
    <d v="2025-11-07T00:00:00"/>
    <n v="7357.71"/>
    <n v="1886.09"/>
    <n v="1697.48"/>
    <n v="188.61"/>
    <s v="Paid"/>
    <s v=""/>
    <d v="2025-12-15T00:00:00"/>
    <d v="2025-12-15T00:00:00"/>
    <n v="1450"/>
    <n v="0.27"/>
    <n v="1957.5"/>
    <n v="71.410000000000082"/>
    <x v="0"/>
    <x v="2"/>
    <x v="3"/>
  </r>
  <r>
    <s v="CLM106112"/>
    <s v="PT11362"/>
    <s v="P06"/>
    <x v="1"/>
    <x v="7"/>
    <n v="1"/>
    <d v="2026-02-07T00:00:00"/>
    <d v="2026-02-09T00:00:00"/>
    <n v="208.23"/>
    <n v="52.85"/>
    <n v="42.28"/>
    <n v="10.57"/>
    <s v="Paid"/>
    <s v=""/>
    <d v="2026-03-20T00:00:00"/>
    <d v="2026-03-20T00:00:00"/>
    <n v="210"/>
    <n v="0.27"/>
    <n v="56.7"/>
    <n v="3.8500000000000014"/>
    <x v="1"/>
    <x v="2"/>
    <x v="0"/>
  </r>
  <r>
    <s v="CLM106113"/>
    <s v="PT12560"/>
    <s v="P01"/>
    <x v="1"/>
    <x v="10"/>
    <n v="1"/>
    <d v="2025-12-17T00:00:00"/>
    <d v="2025-12-20T00:00:00"/>
    <n v="1032.22"/>
    <n v="509.28"/>
    <n v="509.28"/>
    <n v="0"/>
    <s v="Paid"/>
    <s v=""/>
    <d v="2026-01-23T00:00:00"/>
    <d v="2026-01-23T00:00:00"/>
    <n v="1050"/>
    <n v="0.45"/>
    <n v="472.5"/>
    <n v="-36.779999999999973"/>
    <x v="0"/>
    <x v="5"/>
    <x v="6"/>
  </r>
  <r>
    <s v="CLM106114"/>
    <s v="PT10834"/>
    <s v="P05"/>
    <x v="1"/>
    <x v="5"/>
    <n v="1"/>
    <d v="2026-02-02T00:00:00"/>
    <d v="2026-02-17T00:00:00"/>
    <n v="4861"/>
    <n v="1584.29"/>
    <n v="1425.86"/>
    <n v="158.43"/>
    <s v="Paid"/>
    <s v=""/>
    <d v="2026-03-15T00:00:00"/>
    <d v="2026-03-15T00:00:00"/>
    <n v="4800"/>
    <n v="0.38"/>
    <n v="1824"/>
    <n v="239.71000000000004"/>
    <x v="1"/>
    <x v="0"/>
    <x v="0"/>
  </r>
  <r>
    <s v="CLM106115"/>
    <s v="PT13112"/>
    <s v="P02"/>
    <x v="2"/>
    <x v="2"/>
    <n v="2"/>
    <d v="2025-11-03T00:00:00"/>
    <d v="2025-11-04T00:00:00"/>
    <n v="120.73"/>
    <n v="57.29"/>
    <n v="51.56"/>
    <n v="5.73"/>
    <s v="Paid"/>
    <s v=""/>
    <d v="2025-12-03T00:00:00"/>
    <d v="2025-12-03T00:00:00"/>
    <n v="62"/>
    <n v="0.43"/>
    <n v="53.32"/>
    <n v="-3.9699999999999989"/>
    <x v="0"/>
    <x v="6"/>
    <x v="3"/>
  </r>
  <r>
    <s v="CLM106116"/>
    <s v="PT11655"/>
    <s v="P02"/>
    <x v="2"/>
    <x v="2"/>
    <n v="3"/>
    <d v="2026-07-23T00:00:00"/>
    <d v="2026-07-24T00:00:00"/>
    <n v="183.21"/>
    <n v="71.11"/>
    <n v="71.11"/>
    <n v="0"/>
    <s v="Paid"/>
    <s v=""/>
    <d v="2026-08-20T00:00:00"/>
    <d v="2026-08-20T00:00:00"/>
    <n v="62"/>
    <n v="0.43"/>
    <n v="79.98"/>
    <n v="8.8700000000000045"/>
    <x v="1"/>
    <x v="6"/>
    <x v="1"/>
  </r>
  <r>
    <s v="CLM106117"/>
    <s v="PT12705"/>
    <s v="P03"/>
    <x v="1"/>
    <x v="1"/>
    <n v="1"/>
    <d v="2025-10-14T00:00:00"/>
    <d v="2025-10-26T00:00:00"/>
    <n v="237.25"/>
    <n v="98.28"/>
    <n v="98.28"/>
    <n v="0"/>
    <s v="Paid"/>
    <s v=""/>
    <d v="2026-01-07T00:00:00"/>
    <d v="2026-01-07T00:00:00"/>
    <n v="240"/>
    <n v="0.47"/>
    <n v="112.8"/>
    <n v="14.519999999999996"/>
    <x v="1"/>
    <x v="4"/>
    <x v="9"/>
  </r>
  <r>
    <s v="CLM106118"/>
    <s v="PT13225"/>
    <s v="P01"/>
    <x v="1"/>
    <x v="8"/>
    <n v="1"/>
    <d v="2026-09-09T00:00:00"/>
    <d v="2026-09-10T00:00:00"/>
    <n v="263.10000000000002"/>
    <m/>
    <m/>
    <m/>
    <s v="Pending"/>
    <s v=""/>
    <m/>
    <m/>
    <n v="260"/>
    <n v="0.45"/>
    <n v="117"/>
    <s v=""/>
    <x v="2"/>
    <x v="5"/>
    <x v="8"/>
  </r>
  <r>
    <s v="CLM106119"/>
    <s v="PT12340"/>
    <s v="P05"/>
    <x v="1"/>
    <x v="1"/>
    <n v="1"/>
    <d v="2026-04-18T00:00:00"/>
    <d v="2026-04-30T00:00:00"/>
    <n v="239.59"/>
    <n v="94.33"/>
    <n v="84.9"/>
    <n v="9.43"/>
    <s v="Paid"/>
    <s v=""/>
    <d v="2026-06-17T00:00:00"/>
    <d v="2026-06-17T00:00:00"/>
    <n v="240"/>
    <n v="0.38"/>
    <n v="91.2"/>
    <n v="-3.1299999999999955"/>
    <x v="0"/>
    <x v="0"/>
    <x v="10"/>
  </r>
  <r>
    <s v="CLM106120"/>
    <s v="PT10120"/>
    <s v="P03"/>
    <x v="3"/>
    <x v="3"/>
    <n v="10"/>
    <d v="2026-01-28T00:00:00"/>
    <d v="2026-01-30T00:00:00"/>
    <n v="14670.08"/>
    <m/>
    <m/>
    <m/>
    <s v="Denied"/>
    <s v="CO-197"/>
    <d v="2026-03-17T00:00:00"/>
    <m/>
    <n v="1450"/>
    <n v="0.47"/>
    <n v="6815"/>
    <s v=""/>
    <x v="2"/>
    <x v="4"/>
    <x v="5"/>
  </r>
  <r>
    <s v="CLM106121"/>
    <s v="PT13191"/>
    <s v="P03"/>
    <x v="0"/>
    <x v="4"/>
    <n v="1"/>
    <d v="2026-03-13T00:00:00"/>
    <d v="2026-03-15T00:00:00"/>
    <n v="37.619999999999997"/>
    <n v="17.09"/>
    <n v="15.38"/>
    <n v="1.71"/>
    <s v="Paid"/>
    <s v=""/>
    <d v="2026-04-29T00:00:00"/>
    <d v="2026-04-29T00:00:00"/>
    <n v="38"/>
    <n v="0.47"/>
    <n v="17.86"/>
    <n v="0.76999999999999957"/>
    <x v="0"/>
    <x v="4"/>
    <x v="2"/>
  </r>
  <r>
    <s v="CLM106122"/>
    <s v="PT10007"/>
    <s v="P01"/>
    <x v="0"/>
    <x v="4"/>
    <n v="1"/>
    <d v="2026-07-01T00:00:00"/>
    <d v="2026-07-02T00:00:00"/>
    <n v="39"/>
    <n v="18.07"/>
    <n v="14.46"/>
    <n v="3.61"/>
    <s v="Paid"/>
    <s v=""/>
    <d v="2026-08-03T00:00:00"/>
    <d v="2026-08-03T00:00:00"/>
    <n v="38"/>
    <n v="0.45"/>
    <n v="17.100000000000001"/>
    <n v="-0.96999999999999886"/>
    <x v="0"/>
    <x v="5"/>
    <x v="1"/>
  </r>
  <r>
    <s v="CLM106123"/>
    <s v="PT13329"/>
    <s v="P05"/>
    <x v="0"/>
    <x v="7"/>
    <n v="1"/>
    <d v="2026-08-27T00:00:00"/>
    <d v="2026-08-29T00:00:00"/>
    <n v="211.65"/>
    <m/>
    <m/>
    <m/>
    <s v="Pending"/>
    <s v=""/>
    <m/>
    <m/>
    <n v="210"/>
    <n v="0.38"/>
    <n v="79.8"/>
    <s v=""/>
    <x v="2"/>
    <x v="0"/>
    <x v="4"/>
  </r>
  <r>
    <s v="CLM106124"/>
    <s v="PT10207"/>
    <s v="P02"/>
    <x v="1"/>
    <x v="7"/>
    <n v="1"/>
    <d v="2025-11-27T00:00:00"/>
    <d v="2025-11-29T00:00:00"/>
    <n v="213.85"/>
    <m/>
    <m/>
    <m/>
    <s v="Denied"/>
    <s v="CO-11"/>
    <d v="2026-01-04T00:00:00"/>
    <m/>
    <n v="210"/>
    <n v="0.43"/>
    <n v="90.3"/>
    <s v=""/>
    <x v="2"/>
    <x v="6"/>
    <x v="3"/>
  </r>
  <r>
    <s v="CLM106125"/>
    <s v="PT13142"/>
    <s v="P05"/>
    <x v="1"/>
    <x v="7"/>
    <n v="1"/>
    <d v="2026-01-02T00:00:00"/>
    <d v="2026-01-05T00:00:00"/>
    <n v="207.29"/>
    <n v="70.959999999999994"/>
    <n v="56.77"/>
    <n v="14.19"/>
    <s v="Paid"/>
    <s v=""/>
    <d v="2026-01-21T00:00:00"/>
    <d v="2026-01-21T00:00:00"/>
    <n v="210"/>
    <n v="0.38"/>
    <n v="79.8"/>
    <n v="8.8400000000000034"/>
    <x v="1"/>
    <x v="0"/>
    <x v="5"/>
  </r>
  <r>
    <s v="CLM106126"/>
    <s v="PT12209"/>
    <s v="P04"/>
    <x v="0"/>
    <x v="7"/>
    <n v="1"/>
    <d v="2026-01-06T00:00:00"/>
    <d v="2026-01-08T00:00:00"/>
    <n v="205"/>
    <n v="66.37"/>
    <n v="66.37"/>
    <n v="0"/>
    <s v="Paid"/>
    <s v=""/>
    <d v="2026-01-21T00:00:00"/>
    <d v="2026-01-21T00:00:00"/>
    <n v="210"/>
    <n v="0.36"/>
    <n v="75.599999999999994"/>
    <n v="9.2299999999999898"/>
    <x v="1"/>
    <x v="1"/>
    <x v="5"/>
  </r>
  <r>
    <s v="CLM106127"/>
    <s v="PT12571"/>
    <s v="P02"/>
    <x v="3"/>
    <x v="7"/>
    <n v="1"/>
    <d v="2026-07-01T00:00:00"/>
    <d v="2026-07-04T00:00:00"/>
    <n v="206.85"/>
    <n v="82.63"/>
    <n v="74.37"/>
    <n v="8.26"/>
    <s v="Paid"/>
    <s v=""/>
    <d v="2026-08-06T00:00:00"/>
    <d v="2026-08-06T00:00:00"/>
    <n v="210"/>
    <n v="0.43"/>
    <n v="90.3"/>
    <n v="7.6700000000000017"/>
    <x v="1"/>
    <x v="6"/>
    <x v="1"/>
  </r>
  <r>
    <s v="CLM106128"/>
    <s v="PT12897"/>
    <s v="P02"/>
    <x v="0"/>
    <x v="7"/>
    <n v="1"/>
    <d v="2026-08-13T00:00:00"/>
    <d v="2026-08-19T00:00:00"/>
    <n v="215.91"/>
    <n v="103.18"/>
    <n v="82.54"/>
    <n v="20.64"/>
    <s v="Paid"/>
    <s v=""/>
    <d v="2026-09-20T00:00:00"/>
    <d v="2026-09-20T00:00:00"/>
    <n v="210"/>
    <n v="0.43"/>
    <n v="90.3"/>
    <n v="-12.88000000000001"/>
    <x v="0"/>
    <x v="6"/>
    <x v="4"/>
  </r>
  <r>
    <s v="CLM106129"/>
    <s v="PT10162"/>
    <s v="P01"/>
    <x v="0"/>
    <x v="4"/>
    <n v="1"/>
    <d v="2026-03-18T00:00:00"/>
    <d v="2026-03-24T00:00:00"/>
    <n v="38.49"/>
    <n v="19.420000000000002"/>
    <n v="15.54"/>
    <n v="3.88"/>
    <s v="Paid"/>
    <s v=""/>
    <d v="2026-04-29T00:00:00"/>
    <d v="2026-04-29T00:00:00"/>
    <n v="38"/>
    <n v="0.45"/>
    <n v="17.100000000000001"/>
    <n v="-2.3200000000000003"/>
    <x v="0"/>
    <x v="5"/>
    <x v="2"/>
  </r>
  <r>
    <s v="CLM106130"/>
    <s v="PT12950"/>
    <s v="P02"/>
    <x v="0"/>
    <x v="8"/>
    <n v="1"/>
    <d v="2026-05-22T00:00:00"/>
    <d v="2026-05-29T00:00:00"/>
    <n v="265.89"/>
    <n v="127.34"/>
    <n v="127.34"/>
    <n v="0"/>
    <s v="Paid"/>
    <s v=""/>
    <d v="2026-07-10T00:00:00"/>
    <d v="2026-07-10T00:00:00"/>
    <n v="260"/>
    <n v="0.43"/>
    <n v="111.8"/>
    <n v="-15.540000000000006"/>
    <x v="0"/>
    <x v="6"/>
    <x v="7"/>
  </r>
  <r>
    <s v="CLM106131"/>
    <s v="PT13448"/>
    <s v="P03"/>
    <x v="1"/>
    <x v="7"/>
    <n v="1"/>
    <d v="2026-07-09T00:00:00"/>
    <d v="2026-07-15T00:00:00"/>
    <n v="213.91"/>
    <n v="102.77"/>
    <n v="102.77"/>
    <n v="0"/>
    <s v="Paid"/>
    <s v=""/>
    <d v="2026-08-20T00:00:00"/>
    <d v="2026-08-20T00:00:00"/>
    <n v="210"/>
    <n v="0.47"/>
    <n v="98.7"/>
    <n v="-4.0699999999999932"/>
    <x v="0"/>
    <x v="4"/>
    <x v="1"/>
  </r>
  <r>
    <s v="CLM106132"/>
    <s v="PT12670"/>
    <s v="P01"/>
    <x v="0"/>
    <x v="0"/>
    <n v="1"/>
    <d v="2026-05-29T00:00:00"/>
    <d v="2026-06-01T00:00:00"/>
    <n v="144.9"/>
    <m/>
    <m/>
    <m/>
    <s v="Denied"/>
    <s v="CO-18"/>
    <d v="2026-07-01T00:00:00"/>
    <m/>
    <n v="145"/>
    <n v="0.45"/>
    <n v="65.25"/>
    <s v=""/>
    <x v="2"/>
    <x v="5"/>
    <x v="7"/>
  </r>
  <r>
    <s v="CLM106133"/>
    <s v="PT11638"/>
    <s v="P02"/>
    <x v="3"/>
    <x v="3"/>
    <n v="5"/>
    <d v="2026-08-20T00:00:00"/>
    <d v="2026-08-21T00:00:00"/>
    <n v="7453.18"/>
    <n v="3409.33"/>
    <n v="2727.46"/>
    <n v="681.87"/>
    <s v="Paid"/>
    <s v=""/>
    <d v="2026-09-24T00:00:00"/>
    <d v="2026-09-24T00:00:00"/>
    <n v="1450"/>
    <n v="0.43"/>
    <n v="3117.5"/>
    <n v="-291.82999999999993"/>
    <x v="0"/>
    <x v="6"/>
    <x v="4"/>
  </r>
  <r>
    <s v="CLM106134"/>
    <s v="PT13380"/>
    <s v="P04"/>
    <x v="1"/>
    <x v="10"/>
    <n v="1"/>
    <d v="2025-12-17T00:00:00"/>
    <d v="2025-12-19T00:00:00"/>
    <n v="1049.79"/>
    <n v="372.55"/>
    <n v="372.55"/>
    <n v="0"/>
    <s v="Paid"/>
    <s v=""/>
    <d v="2026-01-02T00:00:00"/>
    <d v="2026-01-02T00:00:00"/>
    <n v="1050"/>
    <n v="0.36"/>
    <n v="378"/>
    <n v="5.4499999999999886"/>
    <x v="0"/>
    <x v="1"/>
    <x v="6"/>
  </r>
  <r>
    <s v="CLM106135"/>
    <s v="PT11422"/>
    <s v="P03"/>
    <x v="0"/>
    <x v="4"/>
    <n v="1"/>
    <d v="2026-04-05T00:00:00"/>
    <d v="2026-04-06T00:00:00"/>
    <n v="36.89"/>
    <m/>
    <m/>
    <m/>
    <s v="Denied"/>
    <s v="CO-4"/>
    <d v="2026-05-12T00:00:00"/>
    <m/>
    <n v="38"/>
    <n v="0.47"/>
    <n v="17.86"/>
    <s v=""/>
    <x v="2"/>
    <x v="4"/>
    <x v="10"/>
  </r>
  <r>
    <s v="CLM106136"/>
    <s v="PT10031"/>
    <s v="P07"/>
    <x v="0"/>
    <x v="4"/>
    <n v="1"/>
    <d v="2026-05-16T00:00:00"/>
    <d v="2026-05-21T00:00:00"/>
    <n v="37.79"/>
    <m/>
    <m/>
    <m/>
    <s v="Denied"/>
    <s v="CO-16"/>
    <d v="2026-08-05T00:00:00"/>
    <m/>
    <n v="38"/>
    <n v="0.28000000000000003"/>
    <n v="10.64"/>
    <s v=""/>
    <x v="2"/>
    <x v="3"/>
    <x v="7"/>
  </r>
  <r>
    <s v="CLM106137"/>
    <s v="PT12710"/>
    <s v="P02"/>
    <x v="2"/>
    <x v="0"/>
    <n v="1"/>
    <d v="2026-02-02T00:00:00"/>
    <d v="2026-05-25T00:00:00"/>
    <n v="141.07"/>
    <m/>
    <m/>
    <m/>
    <s v="Denied"/>
    <s v="CO-29"/>
    <d v="2026-06-29T00:00:00"/>
    <m/>
    <n v="145"/>
    <n v="0.43"/>
    <n v="62.35"/>
    <s v=""/>
    <x v="2"/>
    <x v="6"/>
    <x v="0"/>
  </r>
  <r>
    <s v="CLM106138"/>
    <s v="PT11171"/>
    <s v="P03"/>
    <x v="0"/>
    <x v="0"/>
    <n v="1"/>
    <d v="2026-04-04T00:00:00"/>
    <d v="2026-04-05T00:00:00"/>
    <n v="145.91999999999999"/>
    <n v="72.239999999999995"/>
    <n v="72.239999999999995"/>
    <n v="0"/>
    <s v="Paid"/>
    <s v=""/>
    <d v="2026-06-03T00:00:00"/>
    <d v="2026-06-03T00:00:00"/>
    <n v="145"/>
    <n v="0.47"/>
    <n v="68.150000000000006"/>
    <n v="-4.0899999999999892"/>
    <x v="0"/>
    <x v="4"/>
    <x v="10"/>
  </r>
  <r>
    <s v="CLM106139"/>
    <s v="PT10150"/>
    <s v="P02"/>
    <x v="1"/>
    <x v="1"/>
    <n v="1"/>
    <d v="2026-07-11T00:00:00"/>
    <d v="2026-07-12T00:00:00"/>
    <n v="245.79"/>
    <n v="106.54"/>
    <n v="106.54"/>
    <n v="0"/>
    <s v="Paid"/>
    <s v=""/>
    <d v="2026-08-28T00:00:00"/>
    <d v="2026-08-28T00:00:00"/>
    <n v="240"/>
    <n v="0.43"/>
    <n v="103.2"/>
    <n v="-3.3400000000000034"/>
    <x v="0"/>
    <x v="6"/>
    <x v="1"/>
  </r>
  <r>
    <s v="CLM106140"/>
    <s v="PT12226"/>
    <s v="P04"/>
    <x v="0"/>
    <x v="4"/>
    <n v="1"/>
    <d v="2025-11-08T00:00:00"/>
    <d v="2025-11-21T00:00:00"/>
    <n v="38.43"/>
    <n v="13.93"/>
    <n v="13.93"/>
    <n v="0"/>
    <s v="Paid"/>
    <s v=""/>
    <d v="2025-12-09T00:00:00"/>
    <d v="2025-12-09T00:00:00"/>
    <n v="38"/>
    <n v="0.36"/>
    <n v="13.68"/>
    <n v="-0.25"/>
    <x v="0"/>
    <x v="1"/>
    <x v="3"/>
  </r>
  <r>
    <s v="CLM106141"/>
    <s v="PT13418"/>
    <s v="P05"/>
    <x v="1"/>
    <x v="4"/>
    <n v="1"/>
    <d v="2026-03-25T00:00:00"/>
    <d v="2026-03-26T00:00:00"/>
    <n v="38.61"/>
    <n v="16.8"/>
    <n v="16.8"/>
    <n v="0"/>
    <s v="Paid"/>
    <s v=""/>
    <d v="2026-04-23T00:00:00"/>
    <d v="2026-04-23T00:00:00"/>
    <n v="38"/>
    <n v="0.38"/>
    <n v="14.44"/>
    <n v="-2.3600000000000012"/>
    <x v="0"/>
    <x v="0"/>
    <x v="2"/>
  </r>
  <r>
    <s v="CLM106142"/>
    <s v="PT13207"/>
    <s v="P06"/>
    <x v="0"/>
    <x v="0"/>
    <n v="1"/>
    <d v="2026-06-17T00:00:00"/>
    <d v="2026-06-18T00:00:00"/>
    <n v="142.94"/>
    <n v="43.13"/>
    <n v="34.5"/>
    <n v="8.6300000000000008"/>
    <s v="Paid"/>
    <s v=""/>
    <d v="2026-07-28T00:00:00"/>
    <d v="2026-07-28T00:00:00"/>
    <n v="145"/>
    <n v="0.27"/>
    <n v="39.15"/>
    <n v="-3.980000000000004"/>
    <x v="0"/>
    <x v="2"/>
    <x v="11"/>
  </r>
  <r>
    <s v="CLM106143"/>
    <s v="PT10417"/>
    <s v="P04"/>
    <x v="1"/>
    <x v="5"/>
    <n v="1"/>
    <d v="2025-11-17T00:00:00"/>
    <d v="2025-11-24T00:00:00"/>
    <n v="4819.41"/>
    <n v="1714.13"/>
    <n v="1542.72"/>
    <n v="171.41"/>
    <s v="Paid"/>
    <s v=""/>
    <d v="2025-12-18T00:00:00"/>
    <d v="2025-12-18T00:00:00"/>
    <n v="4800"/>
    <n v="0.36"/>
    <n v="1728"/>
    <n v="13.869999999999891"/>
    <x v="0"/>
    <x v="1"/>
    <x v="3"/>
  </r>
  <r>
    <s v="CLM106144"/>
    <s v="PT13064"/>
    <s v="P01"/>
    <x v="0"/>
    <x v="8"/>
    <n v="1"/>
    <d v="2026-05-01T00:00:00"/>
    <d v="2026-05-02T00:00:00"/>
    <n v="267.24"/>
    <n v="111.78"/>
    <n v="100.6"/>
    <n v="11.18"/>
    <s v="Paid"/>
    <s v=""/>
    <d v="2026-06-09T00:00:00"/>
    <d v="2026-06-09T00:00:00"/>
    <n v="260"/>
    <n v="0.45"/>
    <n v="117"/>
    <n v="5.2199999999999989"/>
    <x v="0"/>
    <x v="5"/>
    <x v="7"/>
  </r>
  <r>
    <s v="CLM106145"/>
    <s v="PT11825"/>
    <s v="P05"/>
    <x v="3"/>
    <x v="7"/>
    <n v="1"/>
    <d v="2026-09-08T00:00:00"/>
    <d v="2026-09-17T00:00:00"/>
    <n v="206.78"/>
    <m/>
    <m/>
    <m/>
    <s v="Pending"/>
    <s v=""/>
    <m/>
    <m/>
    <n v="210"/>
    <n v="0.38"/>
    <n v="79.8"/>
    <s v=""/>
    <x v="2"/>
    <x v="0"/>
    <x v="8"/>
  </r>
  <r>
    <s v="CLM106146"/>
    <s v="PT12508"/>
    <s v="P01"/>
    <x v="3"/>
    <x v="6"/>
    <n v="1"/>
    <d v="2026-09-03T00:00:00"/>
    <d v="2026-09-09T00:00:00"/>
    <n v="413.19"/>
    <m/>
    <m/>
    <m/>
    <s v="Pending"/>
    <s v=""/>
    <m/>
    <m/>
    <n v="420"/>
    <n v="0.45"/>
    <n v="189"/>
    <s v=""/>
    <x v="2"/>
    <x v="5"/>
    <x v="8"/>
  </r>
  <r>
    <s v="CLM106147"/>
    <s v="PT11681"/>
    <s v="P04"/>
    <x v="0"/>
    <x v="8"/>
    <n v="1"/>
    <d v="2026-06-15T00:00:00"/>
    <d v="2026-06-28T00:00:00"/>
    <n v="253.26"/>
    <n v="86.17"/>
    <n v="77.55"/>
    <n v="8.6199999999999992"/>
    <s v="Paid"/>
    <s v=""/>
    <d v="2026-07-14T00:00:00"/>
    <d v="2026-07-14T00:00:00"/>
    <n v="260"/>
    <n v="0.36"/>
    <n v="93.6"/>
    <n v="7.4299999999999926"/>
    <x v="1"/>
    <x v="1"/>
    <x v="11"/>
  </r>
  <r>
    <s v="CLM106148"/>
    <s v="PT10156"/>
    <s v="P02"/>
    <x v="0"/>
    <x v="4"/>
    <n v="1"/>
    <d v="2026-01-02T00:00:00"/>
    <d v="2026-01-03T00:00:00"/>
    <n v="37.909999999999997"/>
    <n v="15.66"/>
    <n v="12.53"/>
    <n v="3.13"/>
    <s v="Paid"/>
    <s v=""/>
    <d v="2026-02-01T00:00:00"/>
    <d v="2026-02-01T00:00:00"/>
    <n v="38"/>
    <n v="0.43"/>
    <n v="16.34"/>
    <n v="0.67999999999999972"/>
    <x v="0"/>
    <x v="6"/>
    <x v="5"/>
  </r>
  <r>
    <s v="CLM106149"/>
    <s v="PT12473"/>
    <s v="P03"/>
    <x v="1"/>
    <x v="1"/>
    <n v="1"/>
    <d v="2026-02-28T00:00:00"/>
    <d v="2026-03-04T00:00:00"/>
    <n v="244.82"/>
    <n v="132.54"/>
    <n v="132.54"/>
    <n v="0"/>
    <s v="Paid"/>
    <s v=""/>
    <d v="2026-05-03T00:00:00"/>
    <d v="2026-05-03T00:00:00"/>
    <n v="240"/>
    <n v="0.47"/>
    <n v="112.8"/>
    <n v="-19.739999999999995"/>
    <x v="0"/>
    <x v="4"/>
    <x v="0"/>
  </r>
  <r>
    <s v="CLM106150"/>
    <s v="PT12090"/>
    <s v="P07"/>
    <x v="1"/>
    <x v="11"/>
    <n v="1"/>
    <d v="2026-02-16T00:00:00"/>
    <d v="2026-02-17T00:00:00"/>
    <n v="1146.06"/>
    <n v="315.31"/>
    <n v="315.31"/>
    <n v="0"/>
    <s v="Paid"/>
    <s v=""/>
    <d v="2026-04-08T00:00:00"/>
    <d v="2026-04-08T00:00:00"/>
    <n v="1150"/>
    <n v="0.28000000000000003"/>
    <n v="322"/>
    <n v="6.6899999999999977"/>
    <x v="0"/>
    <x v="3"/>
    <x v="0"/>
  </r>
  <r>
    <s v="CLM106151"/>
    <s v="PT12401"/>
    <s v="P06"/>
    <x v="1"/>
    <x v="11"/>
    <n v="1"/>
    <d v="2025-10-21T00:00:00"/>
    <d v="2025-10-29T00:00:00"/>
    <n v="1123.33"/>
    <m/>
    <m/>
    <m/>
    <s v="Denied"/>
    <s v="CO-50"/>
    <d v="2025-12-21T00:00:00"/>
    <m/>
    <n v="1150"/>
    <n v="0.27"/>
    <n v="310.5"/>
    <s v=""/>
    <x v="2"/>
    <x v="2"/>
    <x v="9"/>
  </r>
  <r>
    <s v="CLM106152"/>
    <s v="PT10408"/>
    <s v="P04"/>
    <x v="3"/>
    <x v="7"/>
    <n v="1"/>
    <d v="2025-10-11T00:00:00"/>
    <d v="2025-10-14T00:00:00"/>
    <n v="213.6"/>
    <n v="81.069999999999993"/>
    <n v="81.069999999999993"/>
    <n v="0"/>
    <s v="Paid"/>
    <s v=""/>
    <d v="2025-10-28T00:00:00"/>
    <d v="2025-10-28T00:00:00"/>
    <n v="210"/>
    <n v="0.36"/>
    <n v="75.599999999999994"/>
    <n v="-5.4699999999999989"/>
    <x v="0"/>
    <x v="1"/>
    <x v="9"/>
  </r>
  <r>
    <s v="CLM106153"/>
    <s v="PT11991"/>
    <s v="P05"/>
    <x v="1"/>
    <x v="8"/>
    <n v="1"/>
    <d v="2026-06-07T00:00:00"/>
    <d v="2026-06-23T00:00:00"/>
    <n v="263.8"/>
    <n v="90.42"/>
    <n v="81.38"/>
    <n v="9.0399999999999991"/>
    <s v="Paid"/>
    <s v=""/>
    <d v="2026-09-05T00:00:00"/>
    <d v="2026-09-05T00:00:00"/>
    <n v="260"/>
    <n v="0.38"/>
    <n v="98.8"/>
    <n v="8.3799999999999955"/>
    <x v="1"/>
    <x v="0"/>
    <x v="11"/>
  </r>
  <r>
    <s v="CLM106154"/>
    <s v="PT12857"/>
    <s v="P08"/>
    <x v="0"/>
    <x v="0"/>
    <n v="1"/>
    <d v="2025-10-05T00:00:00"/>
    <d v="2025-10-06T00:00:00"/>
    <n v="142.82"/>
    <m/>
    <m/>
    <m/>
    <s v="Pending"/>
    <s v=""/>
    <m/>
    <m/>
    <n v="145"/>
    <n v="1"/>
    <n v="145"/>
    <s v=""/>
    <x v="2"/>
    <x v="7"/>
    <x v="9"/>
  </r>
  <r>
    <s v="CLM106155"/>
    <s v="PT12382"/>
    <s v="P04"/>
    <x v="0"/>
    <x v="4"/>
    <n v="1"/>
    <d v="2025-11-04T00:00:00"/>
    <d v="2025-11-07T00:00:00"/>
    <n v="38.130000000000003"/>
    <m/>
    <m/>
    <m/>
    <s v="Denied"/>
    <s v="CO-27"/>
    <d v="2025-11-22T00:00:00"/>
    <m/>
    <n v="38"/>
    <n v="0.36"/>
    <n v="13.68"/>
    <s v=""/>
    <x v="2"/>
    <x v="1"/>
    <x v="3"/>
  </r>
  <r>
    <s v="CLM106156"/>
    <s v="PT12320"/>
    <s v="P04"/>
    <x v="1"/>
    <x v="10"/>
    <n v="1"/>
    <d v="2026-06-17T00:00:00"/>
    <d v="2026-06-22T00:00:00"/>
    <n v="1078.71"/>
    <n v="424.02"/>
    <n v="339.22"/>
    <n v="84.8"/>
    <s v="Paid"/>
    <s v=""/>
    <d v="2026-07-17T00:00:00"/>
    <d v="2026-07-17T00:00:00"/>
    <n v="1050"/>
    <n v="0.36"/>
    <n v="378"/>
    <n v="-46.019999999999982"/>
    <x v="0"/>
    <x v="1"/>
    <x v="11"/>
  </r>
  <r>
    <s v="CLM106157"/>
    <s v="PT13373"/>
    <s v="P01"/>
    <x v="2"/>
    <x v="0"/>
    <n v="1"/>
    <d v="2025-10-20T00:00:00"/>
    <d v="2025-10-22T00:00:00"/>
    <n v="149.1"/>
    <n v="64.25"/>
    <n v="64.25"/>
    <n v="0"/>
    <s v="Paid"/>
    <s v=""/>
    <d v="2025-11-14T00:00:00"/>
    <d v="2025-11-14T00:00:00"/>
    <n v="145"/>
    <n v="0.45"/>
    <n v="65.25"/>
    <n v="1"/>
    <x v="0"/>
    <x v="5"/>
    <x v="9"/>
  </r>
  <r>
    <s v="CLM106158"/>
    <s v="PT11107"/>
    <s v="P01"/>
    <x v="3"/>
    <x v="3"/>
    <n v="5"/>
    <d v="2026-07-04T00:00:00"/>
    <d v="2026-07-07T00:00:00"/>
    <n v="7366.98"/>
    <n v="3729.61"/>
    <n v="3729.61"/>
    <n v="0"/>
    <s v="Paid"/>
    <s v=""/>
    <d v="2026-08-19T00:00:00"/>
    <d v="2026-08-19T00:00:00"/>
    <n v="1450"/>
    <n v="0.45"/>
    <n v="3262.5"/>
    <n v="-467.11000000000013"/>
    <x v="0"/>
    <x v="5"/>
    <x v="1"/>
  </r>
  <r>
    <s v="CLM106159"/>
    <s v="PT13463"/>
    <s v="P01"/>
    <x v="0"/>
    <x v="8"/>
    <n v="1"/>
    <d v="2026-01-23T00:00:00"/>
    <d v="2026-01-24T00:00:00"/>
    <n v="261.39999999999998"/>
    <n v="123.76"/>
    <n v="111.38"/>
    <n v="12.38"/>
    <s v="Paid"/>
    <s v=""/>
    <d v="2026-02-08T00:00:00"/>
    <d v="2026-02-08T00:00:00"/>
    <n v="260"/>
    <n v="0.45"/>
    <n v="117"/>
    <n v="-6.7600000000000051"/>
    <x v="0"/>
    <x v="5"/>
    <x v="5"/>
  </r>
  <r>
    <s v="CLM106160"/>
    <s v="PT12676"/>
    <s v="P04"/>
    <x v="1"/>
    <x v="7"/>
    <n v="1"/>
    <d v="2025-12-07T00:00:00"/>
    <d v="2025-12-11T00:00:00"/>
    <n v="207.69"/>
    <n v="73.39"/>
    <n v="73.39"/>
    <n v="0"/>
    <s v="Paid"/>
    <s v=""/>
    <d v="2026-01-04T00:00:00"/>
    <d v="2026-01-04T00:00:00"/>
    <n v="210"/>
    <n v="0.36"/>
    <n v="75.599999999999994"/>
    <n v="2.2099999999999937"/>
    <x v="0"/>
    <x v="1"/>
    <x v="6"/>
  </r>
  <r>
    <s v="CLM106161"/>
    <s v="PT10817"/>
    <s v="P03"/>
    <x v="3"/>
    <x v="3"/>
    <n v="10"/>
    <d v="2026-03-12T00:00:00"/>
    <d v="2026-03-15T00:00:00"/>
    <n v="14823.84"/>
    <n v="7786.35"/>
    <n v="6229.08"/>
    <n v="1557.27"/>
    <s v="Paid"/>
    <s v=""/>
    <d v="2026-05-02T00:00:00"/>
    <d v="2026-05-02T00:00:00"/>
    <n v="1450"/>
    <n v="0.47"/>
    <n v="6815"/>
    <n v="-971.35000000000036"/>
    <x v="0"/>
    <x v="4"/>
    <x v="2"/>
  </r>
  <r>
    <s v="CLM106162"/>
    <s v="PT10776"/>
    <s v="P07"/>
    <x v="2"/>
    <x v="0"/>
    <n v="1"/>
    <d v="2025-11-27T00:00:00"/>
    <d v="2025-11-30T00:00:00"/>
    <n v="148.78"/>
    <m/>
    <m/>
    <m/>
    <s v="Denied"/>
    <s v="CO-11"/>
    <d v="2026-02-07T00:00:00"/>
    <m/>
    <n v="145"/>
    <n v="0.28000000000000003"/>
    <n v="40.6"/>
    <s v=""/>
    <x v="2"/>
    <x v="3"/>
    <x v="3"/>
  </r>
  <r>
    <s v="CLM106163"/>
    <s v="PT12885"/>
    <s v="P04"/>
    <x v="0"/>
    <x v="8"/>
    <n v="1"/>
    <d v="2026-03-14T00:00:00"/>
    <d v="2026-03-16T00:00:00"/>
    <n v="252.39"/>
    <n v="91.86"/>
    <n v="91.86"/>
    <n v="0"/>
    <s v="Paid"/>
    <s v=""/>
    <d v="2026-03-31T00:00:00"/>
    <d v="2026-03-31T00:00:00"/>
    <n v="260"/>
    <n v="0.36"/>
    <n v="93.6"/>
    <n v="1.7399999999999949"/>
    <x v="0"/>
    <x v="1"/>
    <x v="2"/>
  </r>
  <r>
    <s v="CLM106164"/>
    <s v="PT11874"/>
    <s v="P06"/>
    <x v="2"/>
    <x v="0"/>
    <n v="1"/>
    <d v="2026-03-23T00:00:00"/>
    <d v="2026-07-12T00:00:00"/>
    <n v="144.77000000000001"/>
    <m/>
    <m/>
    <m/>
    <s v="Denied"/>
    <s v="CO-29"/>
    <d v="2026-08-26T00:00:00"/>
    <m/>
    <n v="145"/>
    <n v="0.27"/>
    <n v="39.15"/>
    <s v=""/>
    <x v="2"/>
    <x v="2"/>
    <x v="2"/>
  </r>
  <r>
    <s v="CLM106165"/>
    <s v="PT12779"/>
    <s v="P04"/>
    <x v="0"/>
    <x v="4"/>
    <n v="1"/>
    <d v="2026-03-05T00:00:00"/>
    <d v="2026-03-14T00:00:00"/>
    <n v="37.36"/>
    <n v="13.39"/>
    <n v="13.39"/>
    <n v="0"/>
    <s v="Paid"/>
    <s v=""/>
    <d v="2026-04-03T00:00:00"/>
    <d v="2026-04-03T00:00:00"/>
    <n v="38"/>
    <n v="0.36"/>
    <n v="13.68"/>
    <n v="0.28999999999999915"/>
    <x v="0"/>
    <x v="1"/>
    <x v="2"/>
  </r>
  <r>
    <s v="CLM106166"/>
    <s v="PT10104"/>
    <s v="P02"/>
    <x v="0"/>
    <x v="4"/>
    <n v="1"/>
    <d v="2025-10-21T00:00:00"/>
    <d v="2025-10-27T00:00:00"/>
    <n v="37.79"/>
    <n v="14.54"/>
    <n v="14.54"/>
    <n v="0"/>
    <s v="Paid"/>
    <s v=""/>
    <d v="2025-11-26T00:00:00"/>
    <d v="2025-11-26T00:00:00"/>
    <n v="38"/>
    <n v="0.43"/>
    <n v="16.34"/>
    <n v="1.8000000000000007"/>
    <x v="1"/>
    <x v="6"/>
    <x v="9"/>
  </r>
  <r>
    <s v="CLM106167"/>
    <s v="PT11140"/>
    <s v="P06"/>
    <x v="0"/>
    <x v="4"/>
    <n v="1"/>
    <d v="2026-08-30T00:00:00"/>
    <d v="2026-08-31T00:00:00"/>
    <n v="37.229999999999997"/>
    <m/>
    <m/>
    <m/>
    <s v="Pending"/>
    <s v=""/>
    <m/>
    <m/>
    <n v="38"/>
    <n v="0.27"/>
    <n v="10.26"/>
    <s v=""/>
    <x v="2"/>
    <x v="2"/>
    <x v="4"/>
  </r>
  <r>
    <s v="CLM106168"/>
    <s v="PT10823"/>
    <s v="P02"/>
    <x v="0"/>
    <x v="0"/>
    <n v="1"/>
    <d v="2026-06-25T00:00:00"/>
    <d v="2026-07-16T00:00:00"/>
    <n v="148.81"/>
    <n v="59.98"/>
    <n v="59.98"/>
    <n v="0"/>
    <s v="Paid"/>
    <s v=""/>
    <d v="2026-08-12T00:00:00"/>
    <d v="2026-08-12T00:00:00"/>
    <n v="145"/>
    <n v="0.43"/>
    <n v="62.35"/>
    <n v="2.3700000000000045"/>
    <x v="0"/>
    <x v="6"/>
    <x v="11"/>
  </r>
  <r>
    <s v="CLM106169"/>
    <s v="PT11323"/>
    <s v="P02"/>
    <x v="0"/>
    <x v="7"/>
    <n v="1"/>
    <d v="2025-10-11T00:00:00"/>
    <d v="2025-10-13T00:00:00"/>
    <n v="210.76"/>
    <n v="99.8"/>
    <n v="79.84"/>
    <n v="19.96"/>
    <s v="Paid"/>
    <s v=""/>
    <d v="2025-10-24T00:00:00"/>
    <d v="2025-10-24T00:00:00"/>
    <n v="210"/>
    <n v="0.43"/>
    <n v="90.3"/>
    <n v="-9.5"/>
    <x v="0"/>
    <x v="6"/>
    <x v="9"/>
  </r>
  <r>
    <s v="CLM106170"/>
    <s v="PT10515"/>
    <s v="P01"/>
    <x v="1"/>
    <x v="1"/>
    <n v="1"/>
    <d v="2026-04-15T00:00:00"/>
    <d v="2026-04-17T00:00:00"/>
    <n v="241.53"/>
    <n v="99.21"/>
    <n v="99.21"/>
    <n v="0"/>
    <s v="Paid"/>
    <s v=""/>
    <d v="2026-05-11T00:00:00"/>
    <d v="2026-05-11T00:00:00"/>
    <n v="240"/>
    <n v="0.45"/>
    <n v="108"/>
    <n v="8.7900000000000063"/>
    <x v="1"/>
    <x v="5"/>
    <x v="10"/>
  </r>
  <r>
    <s v="CLM106171"/>
    <s v="PT12134"/>
    <s v="P01"/>
    <x v="0"/>
    <x v="7"/>
    <n v="1"/>
    <d v="2026-06-08T00:00:00"/>
    <d v="2026-06-10T00:00:00"/>
    <n v="209.19"/>
    <n v="97.95"/>
    <n v="78.36"/>
    <n v="19.59"/>
    <s v="Paid"/>
    <s v=""/>
    <d v="2026-06-25T00:00:00"/>
    <d v="2026-06-25T00:00:00"/>
    <n v="210"/>
    <n v="0.45"/>
    <n v="94.5"/>
    <n v="-3.4500000000000028"/>
    <x v="0"/>
    <x v="5"/>
    <x v="11"/>
  </r>
  <r>
    <s v="CLM106172"/>
    <s v="PT10713"/>
    <s v="P01"/>
    <x v="3"/>
    <x v="3"/>
    <n v="10"/>
    <d v="2026-08-01T00:00:00"/>
    <d v="2026-08-05T00:00:00"/>
    <n v="14462.65"/>
    <n v="6003.52"/>
    <n v="6003.52"/>
    <n v="0"/>
    <s v="Paid"/>
    <s v=""/>
    <d v="2026-09-02T00:00:00"/>
    <d v="2026-09-02T00:00:00"/>
    <n v="1450"/>
    <n v="0.45"/>
    <n v="6525"/>
    <n v="521.47999999999956"/>
    <x v="1"/>
    <x v="5"/>
    <x v="4"/>
  </r>
  <r>
    <s v="CLM106173"/>
    <s v="PT13466"/>
    <s v="P03"/>
    <x v="0"/>
    <x v="0"/>
    <n v="1"/>
    <d v="2025-12-12T00:00:00"/>
    <d v="2025-12-16T00:00:00"/>
    <n v="144.15"/>
    <m/>
    <m/>
    <m/>
    <s v="Denied"/>
    <s v="CO-27"/>
    <d v="2026-01-19T00:00:00"/>
    <m/>
    <n v="145"/>
    <n v="0.47"/>
    <n v="68.150000000000006"/>
    <s v=""/>
    <x v="2"/>
    <x v="4"/>
    <x v="6"/>
  </r>
  <r>
    <s v="CLM106174"/>
    <s v="PT12294"/>
    <s v="P06"/>
    <x v="2"/>
    <x v="0"/>
    <n v="1"/>
    <d v="2026-06-21T00:00:00"/>
    <d v="2026-06-24T00:00:00"/>
    <n v="141.72"/>
    <n v="32.479999999999997"/>
    <n v="25.98"/>
    <n v="6.5"/>
    <s v="Paid"/>
    <s v=""/>
    <d v="2026-08-04T00:00:00"/>
    <d v="2026-08-04T00:00:00"/>
    <n v="145"/>
    <n v="0.27"/>
    <n v="39.15"/>
    <n v="6.6700000000000017"/>
    <x v="1"/>
    <x v="2"/>
    <x v="11"/>
  </r>
  <r>
    <s v="CLM106175"/>
    <s v="PT12748"/>
    <s v="P01"/>
    <x v="1"/>
    <x v="7"/>
    <n v="1"/>
    <d v="2026-01-16T00:00:00"/>
    <d v="2026-01-30T00:00:00"/>
    <n v="210.83"/>
    <n v="107.8"/>
    <n v="107.8"/>
    <n v="0"/>
    <s v="Paid"/>
    <s v=""/>
    <d v="2026-02-24T00:00:00"/>
    <d v="2026-02-24T00:00:00"/>
    <n v="210"/>
    <n v="0.45"/>
    <n v="94.5"/>
    <n v="-13.299999999999997"/>
    <x v="0"/>
    <x v="5"/>
    <x v="5"/>
  </r>
  <r>
    <s v="CLM106176"/>
    <s v="PT10044"/>
    <s v="P02"/>
    <x v="1"/>
    <x v="10"/>
    <n v="1"/>
    <d v="2026-08-15T00:00:00"/>
    <d v="2026-08-24T00:00:00"/>
    <n v="1039.43"/>
    <n v="380.45"/>
    <n v="342.4"/>
    <n v="38.049999999999997"/>
    <s v="Paid"/>
    <s v=""/>
    <d v="2026-09-14T00:00:00"/>
    <d v="2026-09-14T00:00:00"/>
    <n v="1050"/>
    <n v="0.43"/>
    <n v="451.5"/>
    <n v="71.050000000000011"/>
    <x v="1"/>
    <x v="6"/>
    <x v="4"/>
  </r>
  <r>
    <s v="CLM106177"/>
    <s v="PT13154"/>
    <s v="P01"/>
    <x v="1"/>
    <x v="10"/>
    <n v="1"/>
    <d v="2026-07-21T00:00:00"/>
    <d v="2026-07-23T00:00:00"/>
    <n v="1031.4100000000001"/>
    <m/>
    <m/>
    <m/>
    <s v="Denied"/>
    <s v="CO-11"/>
    <d v="2026-08-18T00:00:00"/>
    <m/>
    <n v="1050"/>
    <n v="0.45"/>
    <n v="472.5"/>
    <s v=""/>
    <x v="2"/>
    <x v="5"/>
    <x v="1"/>
  </r>
  <r>
    <s v="CLM106178"/>
    <s v="PT11602"/>
    <s v="P06"/>
    <x v="1"/>
    <x v="5"/>
    <n v="1"/>
    <d v="2026-06-13T00:00:00"/>
    <d v="2026-06-17T00:00:00"/>
    <n v="4722.8"/>
    <m/>
    <m/>
    <m/>
    <s v="Denied"/>
    <s v="CO-197"/>
    <d v="2026-08-02T00:00:00"/>
    <m/>
    <n v="4800"/>
    <n v="0.27"/>
    <n v="1296"/>
    <s v=""/>
    <x v="2"/>
    <x v="2"/>
    <x v="11"/>
  </r>
  <r>
    <s v="CLM106179"/>
    <s v="PT13233"/>
    <s v="P03"/>
    <x v="2"/>
    <x v="9"/>
    <n v="1"/>
    <d v="2026-06-15T00:00:00"/>
    <d v="2026-06-16T00:00:00"/>
    <n v="58.45"/>
    <m/>
    <m/>
    <m/>
    <s v="Denied"/>
    <s v="CO-11"/>
    <d v="2026-08-18T00:00:00"/>
    <m/>
    <n v="58"/>
    <n v="0.47"/>
    <n v="27.26"/>
    <s v=""/>
    <x v="2"/>
    <x v="4"/>
    <x v="11"/>
  </r>
  <r>
    <s v="CLM106180"/>
    <s v="PT11410"/>
    <s v="P06"/>
    <x v="0"/>
    <x v="8"/>
    <n v="1"/>
    <d v="2026-03-31T00:00:00"/>
    <d v="2026-04-07T00:00:00"/>
    <n v="257.08"/>
    <n v="66.44"/>
    <n v="53.15"/>
    <n v="13.29"/>
    <s v="Paid"/>
    <s v=""/>
    <d v="2026-05-07T00:00:00"/>
    <d v="2026-05-07T00:00:00"/>
    <n v="260"/>
    <n v="0.27"/>
    <n v="70.2"/>
    <n v="3.7600000000000051"/>
    <x v="1"/>
    <x v="2"/>
    <x v="2"/>
  </r>
  <r>
    <s v="CLM106181"/>
    <s v="PT12329"/>
    <s v="P01"/>
    <x v="3"/>
    <x v="6"/>
    <n v="1"/>
    <d v="2026-07-22T00:00:00"/>
    <d v="2026-08-15T00:00:00"/>
    <n v="427.93"/>
    <n v="212.77"/>
    <n v="170.22"/>
    <n v="42.55"/>
    <s v="Paid"/>
    <s v=""/>
    <d v="2026-09-16T00:00:00"/>
    <d v="2026-09-16T00:00:00"/>
    <n v="420"/>
    <n v="0.45"/>
    <n v="189"/>
    <n v="-23.77000000000001"/>
    <x v="0"/>
    <x v="5"/>
    <x v="1"/>
  </r>
  <r>
    <s v="CLM106182"/>
    <s v="PT12689"/>
    <s v="P01"/>
    <x v="1"/>
    <x v="5"/>
    <n v="1"/>
    <d v="2025-12-10T00:00:00"/>
    <d v="2025-12-11T00:00:00"/>
    <n v="4925.51"/>
    <m/>
    <m/>
    <m/>
    <s v="Denied"/>
    <s v="CO-16"/>
    <d v="2026-01-03T00:00:00"/>
    <m/>
    <n v="4800"/>
    <n v="0.45"/>
    <n v="2160"/>
    <s v=""/>
    <x v="2"/>
    <x v="5"/>
    <x v="6"/>
  </r>
  <r>
    <s v="CLM106183"/>
    <s v="PT10124"/>
    <s v="P08"/>
    <x v="1"/>
    <x v="1"/>
    <n v="1"/>
    <d v="2026-08-08T00:00:00"/>
    <d v="2026-08-15T00:00:00"/>
    <n v="243.24"/>
    <m/>
    <m/>
    <m/>
    <s v="Pending"/>
    <s v=""/>
    <m/>
    <m/>
    <n v="240"/>
    <n v="1"/>
    <n v="240"/>
    <s v=""/>
    <x v="2"/>
    <x v="7"/>
    <x v="4"/>
  </r>
  <r>
    <s v="CLM106184"/>
    <s v="PT10099"/>
    <s v="P01"/>
    <x v="1"/>
    <x v="11"/>
    <n v="1"/>
    <d v="2026-05-05T00:00:00"/>
    <d v="2026-05-06T00:00:00"/>
    <n v="1173.92"/>
    <n v="532.25"/>
    <n v="532.25"/>
    <n v="0"/>
    <s v="Paid"/>
    <s v=""/>
    <d v="2026-06-02T00:00:00"/>
    <d v="2026-06-02T00:00:00"/>
    <n v="1150"/>
    <n v="0.45"/>
    <n v="517.5"/>
    <n v="-14.75"/>
    <x v="0"/>
    <x v="5"/>
    <x v="7"/>
  </r>
  <r>
    <s v="CLM106185"/>
    <s v="PT11927"/>
    <s v="P05"/>
    <x v="2"/>
    <x v="9"/>
    <n v="4"/>
    <d v="2026-09-03T00:00:00"/>
    <d v="2026-09-08T00:00:00"/>
    <n v="231.94"/>
    <m/>
    <m/>
    <m/>
    <s v="Pending"/>
    <s v=""/>
    <m/>
    <m/>
    <n v="58"/>
    <n v="0.38"/>
    <n v="88.16"/>
    <s v=""/>
    <x v="2"/>
    <x v="0"/>
    <x v="8"/>
  </r>
  <r>
    <s v="CLM106186"/>
    <s v="PT10657"/>
    <s v="P05"/>
    <x v="1"/>
    <x v="10"/>
    <n v="1"/>
    <d v="2025-12-14T00:00:00"/>
    <d v="2025-12-18T00:00:00"/>
    <n v="1025.83"/>
    <n v="437.92"/>
    <n v="350.34"/>
    <n v="87.58"/>
    <s v="Paid"/>
    <s v=""/>
    <d v="2026-02-28T00:00:00"/>
    <d v="2026-02-28T00:00:00"/>
    <n v="1050"/>
    <n v="0.38"/>
    <n v="399"/>
    <n v="-38.920000000000016"/>
    <x v="0"/>
    <x v="0"/>
    <x v="6"/>
  </r>
  <r>
    <s v="CLM106187"/>
    <s v="PT13022"/>
    <s v="P05"/>
    <x v="2"/>
    <x v="0"/>
    <n v="1"/>
    <d v="2025-10-10T00:00:00"/>
    <d v="2025-10-12T00:00:00"/>
    <n v="147.72999999999999"/>
    <n v="49.29"/>
    <n v="49.29"/>
    <n v="0"/>
    <s v="Paid"/>
    <s v=""/>
    <d v="2025-12-15T00:00:00"/>
    <d v="2025-12-15T00:00:00"/>
    <n v="145"/>
    <n v="0.38"/>
    <n v="55.1"/>
    <n v="5.8100000000000023"/>
    <x v="1"/>
    <x v="0"/>
    <x v="9"/>
  </r>
  <r>
    <s v="CLM106188"/>
    <s v="PT12348"/>
    <s v="P05"/>
    <x v="1"/>
    <x v="8"/>
    <n v="1"/>
    <d v="2026-08-29T00:00:00"/>
    <d v="2026-09-02T00:00:00"/>
    <n v="260.55"/>
    <m/>
    <m/>
    <m/>
    <s v="Pending"/>
    <s v=""/>
    <m/>
    <m/>
    <n v="260"/>
    <n v="0.38"/>
    <n v="98.8"/>
    <s v=""/>
    <x v="2"/>
    <x v="0"/>
    <x v="4"/>
  </r>
  <r>
    <s v="CLM106189"/>
    <s v="PT10454"/>
    <s v="P07"/>
    <x v="2"/>
    <x v="2"/>
    <n v="1"/>
    <d v="2026-03-03T00:00:00"/>
    <d v="2026-03-04T00:00:00"/>
    <n v="61.36"/>
    <m/>
    <m/>
    <m/>
    <s v="Denied"/>
    <s v="CO-16"/>
    <d v="2026-05-14T00:00:00"/>
    <m/>
    <n v="62"/>
    <n v="0.28000000000000003"/>
    <n v="17.36"/>
    <s v=""/>
    <x v="2"/>
    <x v="3"/>
    <x v="2"/>
  </r>
  <r>
    <s v="CLM106190"/>
    <s v="PT12473"/>
    <s v="P01"/>
    <x v="1"/>
    <x v="7"/>
    <n v="1"/>
    <d v="2026-04-16T00:00:00"/>
    <d v="2026-04-20T00:00:00"/>
    <n v="213.44"/>
    <n v="83.46"/>
    <n v="66.77"/>
    <n v="16.690000000000001"/>
    <s v="Paid"/>
    <s v=""/>
    <d v="2026-05-13T00:00:00"/>
    <d v="2026-05-13T00:00:00"/>
    <n v="210"/>
    <n v="0.45"/>
    <n v="94.5"/>
    <n v="11.040000000000006"/>
    <x v="1"/>
    <x v="5"/>
    <x v="10"/>
  </r>
  <r>
    <s v="CLM106191"/>
    <s v="PT12686"/>
    <s v="P04"/>
    <x v="1"/>
    <x v="10"/>
    <n v="1"/>
    <d v="2026-02-02T00:00:00"/>
    <d v="2026-02-06T00:00:00"/>
    <n v="1078.0999999999999"/>
    <n v="336.32"/>
    <n v="269.06"/>
    <n v="67.260000000000005"/>
    <s v="Paid"/>
    <s v=""/>
    <d v="2026-02-25T00:00:00"/>
    <d v="2026-02-25T00:00:00"/>
    <n v="1050"/>
    <n v="0.36"/>
    <n v="378"/>
    <n v="41.680000000000007"/>
    <x v="1"/>
    <x v="1"/>
    <x v="0"/>
  </r>
  <r>
    <s v="CLM106192"/>
    <s v="PT10604"/>
    <s v="P06"/>
    <x v="1"/>
    <x v="8"/>
    <n v="1"/>
    <d v="2026-05-10T00:00:00"/>
    <d v="2026-05-13T00:00:00"/>
    <n v="263.31"/>
    <n v="71.52"/>
    <n v="57.22"/>
    <n v="14.3"/>
    <s v="Paid"/>
    <s v=""/>
    <d v="2026-07-10T00:00:00"/>
    <d v="2026-07-10T00:00:00"/>
    <n v="260"/>
    <n v="0.27"/>
    <n v="70.2"/>
    <n v="-1.3199999999999932"/>
    <x v="0"/>
    <x v="2"/>
    <x v="7"/>
  </r>
  <r>
    <s v="CLM106193"/>
    <s v="PT13086"/>
    <s v="P01"/>
    <x v="0"/>
    <x v="7"/>
    <n v="1"/>
    <d v="2025-10-16T00:00:00"/>
    <d v="2025-10-26T00:00:00"/>
    <n v="204.65"/>
    <n v="105.27"/>
    <n v="84.22"/>
    <n v="21.05"/>
    <s v="Paid"/>
    <s v=""/>
    <d v="2025-11-21T00:00:00"/>
    <d v="2025-11-21T00:00:00"/>
    <n v="210"/>
    <n v="0.45"/>
    <n v="94.5"/>
    <n v="-10.769999999999996"/>
    <x v="0"/>
    <x v="5"/>
    <x v="9"/>
  </r>
  <r>
    <s v="CLM106194"/>
    <s v="PT13342"/>
    <s v="P03"/>
    <x v="1"/>
    <x v="1"/>
    <n v="1"/>
    <d v="2025-10-12T00:00:00"/>
    <d v="2025-10-22T00:00:00"/>
    <n v="245.48"/>
    <m/>
    <m/>
    <m/>
    <s v="Denied"/>
    <s v="CO-18"/>
    <d v="2025-12-18T00:00:00"/>
    <m/>
    <n v="240"/>
    <n v="0.47"/>
    <n v="112.8"/>
    <s v=""/>
    <x v="2"/>
    <x v="4"/>
    <x v="9"/>
  </r>
  <r>
    <s v="CLM106195"/>
    <s v="PT10101"/>
    <s v="P05"/>
    <x v="1"/>
    <x v="5"/>
    <n v="1"/>
    <d v="2026-08-10T00:00:00"/>
    <d v="2026-08-11T00:00:00"/>
    <n v="4708.58"/>
    <n v="1652.38"/>
    <n v="1652.38"/>
    <n v="0"/>
    <s v="Paid"/>
    <s v=""/>
    <d v="2026-09-16T00:00:00"/>
    <d v="2026-09-16T00:00:00"/>
    <n v="4800"/>
    <n v="0.38"/>
    <n v="1824"/>
    <n v="171.61999999999989"/>
    <x v="1"/>
    <x v="0"/>
    <x v="4"/>
  </r>
  <r>
    <s v="CLM106196"/>
    <s v="PT13352"/>
    <s v="P02"/>
    <x v="3"/>
    <x v="6"/>
    <n v="1"/>
    <d v="2026-09-18T00:00:00"/>
    <d v="2026-09-26T00:00:00"/>
    <n v="408.66"/>
    <m/>
    <m/>
    <m/>
    <s v="Pending"/>
    <s v=""/>
    <m/>
    <m/>
    <n v="420"/>
    <n v="0.43"/>
    <n v="180.6"/>
    <s v=""/>
    <x v="2"/>
    <x v="6"/>
    <x v="8"/>
  </r>
  <r>
    <s v="CLM106197"/>
    <s v="PT10908"/>
    <s v="P01"/>
    <x v="2"/>
    <x v="2"/>
    <n v="4"/>
    <d v="2026-06-30T00:00:00"/>
    <d v="2026-07-03T00:00:00"/>
    <n v="246"/>
    <n v="115.89"/>
    <n v="104.3"/>
    <n v="11.59"/>
    <s v="Paid"/>
    <s v=""/>
    <d v="2026-08-08T00:00:00"/>
    <d v="2026-08-08T00:00:00"/>
    <n v="62"/>
    <n v="0.45"/>
    <n v="111.6"/>
    <n v="-4.2900000000000063"/>
    <x v="0"/>
    <x v="5"/>
    <x v="11"/>
  </r>
  <r>
    <s v="CLM106198"/>
    <s v="PT12984"/>
    <s v="P01"/>
    <x v="0"/>
    <x v="4"/>
    <n v="1"/>
    <d v="2026-02-13T00:00:00"/>
    <d v="2026-02-17T00:00:00"/>
    <n v="39.01"/>
    <n v="15.55"/>
    <n v="15.55"/>
    <n v="0"/>
    <s v="Paid"/>
    <s v=""/>
    <d v="2026-03-13T00:00:00"/>
    <d v="2026-03-13T00:00:00"/>
    <n v="38"/>
    <n v="0.45"/>
    <n v="17.100000000000001"/>
    <n v="1.5500000000000007"/>
    <x v="1"/>
    <x v="5"/>
    <x v="0"/>
  </r>
  <r>
    <s v="CLM106199"/>
    <s v="PT11043"/>
    <s v="P04"/>
    <x v="1"/>
    <x v="8"/>
    <n v="1"/>
    <d v="2026-01-11T00:00:00"/>
    <d v="2026-01-12T00:00:00"/>
    <n v="264.66000000000003"/>
    <n v="97.79"/>
    <n v="88.01"/>
    <n v="9.7799999999999994"/>
    <s v="Paid"/>
    <s v=""/>
    <d v="2026-02-01T00:00:00"/>
    <d v="2026-02-01T00:00:00"/>
    <n v="260"/>
    <n v="0.36"/>
    <n v="93.6"/>
    <n v="-4.1900000000000119"/>
    <x v="0"/>
    <x v="1"/>
    <x v="5"/>
  </r>
  <r>
    <s v="CLM106200"/>
    <s v="PT10044"/>
    <s v="P01"/>
    <x v="1"/>
    <x v="7"/>
    <n v="1"/>
    <d v="2025-11-27T00:00:00"/>
    <d v="2025-12-05T00:00:00"/>
    <n v="215.13"/>
    <n v="91.91"/>
    <n v="73.53"/>
    <n v="18.38"/>
    <s v="Paid"/>
    <s v=""/>
    <d v="2026-01-06T00:00:00"/>
    <d v="2026-01-06T00:00:00"/>
    <n v="210"/>
    <n v="0.45"/>
    <n v="94.5"/>
    <n v="2.5900000000000034"/>
    <x v="0"/>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F3D93D-D6CF-4DA0-A492-396E479BE49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1" firstHeaderRow="0" firstDataRow="1" firstDataCol="1" rowPageCount="1" colPageCount="1"/>
  <pivotFields count="23">
    <pivotField dataField="1" showAll="0"/>
    <pivotField showAll="0"/>
    <pivotField showAll="0"/>
    <pivotField showAll="0">
      <items count="5">
        <item x="1"/>
        <item x="0"/>
        <item x="3"/>
        <item x="2"/>
        <item t="default"/>
      </items>
    </pivotField>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
        <item x="2"/>
        <item x="0"/>
        <item x="1"/>
        <item t="default"/>
      </items>
    </pivotField>
    <pivotField axis="axisRow" showAll="0" sortType="descending">
      <items count="9">
        <item x="5"/>
        <item x="3"/>
        <item x="2"/>
        <item x="4"/>
        <item x="1"/>
        <item x="7"/>
        <item x="6"/>
        <item x="0"/>
        <item t="default"/>
      </items>
      <autoSortScope>
        <pivotArea dataOnly="0" outline="0" fieldPosition="0">
          <references count="1">
            <reference field="4294967294" count="1" selected="0">
              <x v="1"/>
            </reference>
          </references>
        </pivotArea>
      </autoSortScope>
    </pivotField>
    <pivotField showAll="0"/>
  </pivotFields>
  <rowFields count="1">
    <field x="21"/>
  </rowFields>
  <rowItems count="8">
    <i>
      <x v="6"/>
    </i>
    <i>
      <x/>
    </i>
    <i>
      <x v="4"/>
    </i>
    <i>
      <x v="3"/>
    </i>
    <i>
      <x v="7"/>
    </i>
    <i>
      <x v="2"/>
    </i>
    <i>
      <x v="1"/>
    </i>
    <i t="grand">
      <x/>
    </i>
  </rowItems>
  <colFields count="1">
    <field x="-2"/>
  </colFields>
  <colItems count="2">
    <i>
      <x/>
    </i>
    <i i="1">
      <x v="1"/>
    </i>
  </colItems>
  <pageFields count="1">
    <pageField fld="20" item="2" hier="-1"/>
  </pageFields>
  <dataFields count="2">
    <dataField name="Count of claim_id" fld="0" subtotal="count" baseField="0" baseItem="0"/>
    <dataField name="Sum of variance" fld="19" baseField="21" baseItem="7"/>
  </dataFields>
  <conditionalFormats count="1">
    <conditionalFormat priority="1">
      <pivotAreas count="1">
        <pivotArea type="data" collapsedLevelsAreSubtotals="1" fieldPosition="0">
          <references count="2">
            <reference field="4294967294" count="1" selected="0">
              <x v="1"/>
            </reference>
            <reference field="21" count="7">
              <x v="0"/>
              <x v="1"/>
              <x v="2"/>
              <x v="3"/>
              <x v="4"/>
              <x v="6"/>
              <x v="7"/>
            </reference>
          </references>
        </pivotArea>
      </pivotAreas>
    </conditionalFormat>
  </conditionalFormats>
  <chartFormats count="2">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FBDC6-F7E2-46B3-B3BA-B98A7EDC84D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rowPageCount="1" colPageCount="1"/>
  <pivotFields count="23">
    <pivotField dataField="1" showAll="0"/>
    <pivotField showAll="0"/>
    <pivotField showAll="0"/>
    <pivotField showAll="0">
      <items count="5">
        <item x="1"/>
        <item x="0"/>
        <item x="3"/>
        <item x="2"/>
        <item t="default"/>
      </items>
    </pivotField>
    <pivotField axis="axisRow" showAll="0" sortType="descending">
      <items count="13">
        <item x="1"/>
        <item x="5"/>
        <item x="11"/>
        <item x="10"/>
        <item x="6"/>
        <item x="2"/>
        <item x="9"/>
        <item x="8"/>
        <item x="0"/>
        <item x="7"/>
        <item x="4"/>
        <item x="3"/>
        <item t="default"/>
      </items>
      <autoSortScope>
        <pivotArea dataOnly="0" outline="0" fieldPosition="0">
          <references count="1">
            <reference field="4294967294" count="1" selected="0">
              <x v="1"/>
            </reference>
          </references>
        </pivotArea>
      </autoSortScope>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
        <item x="2"/>
        <item x="0"/>
        <item x="1"/>
        <item t="default"/>
      </items>
    </pivotField>
    <pivotField showAll="0">
      <items count="9">
        <item x="5"/>
        <item x="3"/>
        <item x="2"/>
        <item x="4"/>
        <item x="1"/>
        <item x="7"/>
        <item x="6"/>
        <item x="0"/>
        <item t="default"/>
      </items>
    </pivotField>
    <pivotField showAll="0"/>
  </pivotFields>
  <rowFields count="1">
    <field x="4"/>
  </rowFields>
  <rowItems count="13">
    <i>
      <x v="11"/>
    </i>
    <i>
      <x v="1"/>
    </i>
    <i>
      <x v="2"/>
    </i>
    <i>
      <x v="3"/>
    </i>
    <i>
      <x v="9"/>
    </i>
    <i>
      <x v="7"/>
    </i>
    <i>
      <x v="4"/>
    </i>
    <i>
      <x v="8"/>
    </i>
    <i>
      <x/>
    </i>
    <i>
      <x v="5"/>
    </i>
    <i>
      <x v="6"/>
    </i>
    <i>
      <x v="10"/>
    </i>
    <i t="grand">
      <x/>
    </i>
  </rowItems>
  <colFields count="1">
    <field x="-2"/>
  </colFields>
  <colItems count="2">
    <i>
      <x/>
    </i>
    <i i="1">
      <x v="1"/>
    </i>
  </colItems>
  <pageFields count="1">
    <pageField fld="20" item="2" hier="-1"/>
  </pageFields>
  <dataFields count="2">
    <dataField name="Count of claim_id" fld="0" subtotal="count" baseField="0" baseItem="0"/>
    <dataField name="Sum of variance" fld="19" baseField="4" baseItem="0"/>
  </dataFields>
  <chartFormats count="4">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D512F3-5ABF-4C4A-A83D-C8B8D25D6DAA}"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rowPageCount="1" colPageCount="1"/>
  <pivotFields count="23">
    <pivotField dataField="1" showAll="0"/>
    <pivotField showAll="0"/>
    <pivotField showAll="0"/>
    <pivotField showAll="0">
      <items count="5">
        <item x="1"/>
        <item x="0"/>
        <item x="3"/>
        <item x="2"/>
        <item t="default"/>
      </items>
    </pivotField>
    <pivotField showAll="0">
      <items count="13">
        <item x="1"/>
        <item x="5"/>
        <item x="11"/>
        <item x="10"/>
        <item x="6"/>
        <item x="2"/>
        <item x="9"/>
        <item x="8"/>
        <item x="0"/>
        <item x="7"/>
        <item x="4"/>
        <item x="3"/>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
        <item x="2"/>
        <item x="0"/>
        <item x="1"/>
        <item t="default"/>
      </items>
    </pivotField>
    <pivotField showAll="0">
      <items count="9">
        <item x="5"/>
        <item x="3"/>
        <item x="2"/>
        <item x="4"/>
        <item x="1"/>
        <item x="7"/>
        <item x="6"/>
        <item x="0"/>
        <item t="default"/>
      </items>
    </pivotField>
    <pivotField axis="axisRow" showAll="0">
      <items count="13">
        <item x="9"/>
        <item x="3"/>
        <item x="6"/>
        <item x="5"/>
        <item x="0"/>
        <item x="2"/>
        <item x="10"/>
        <item x="7"/>
        <item x="11"/>
        <item x="1"/>
        <item x="4"/>
        <item x="8"/>
        <item t="default"/>
      </items>
    </pivotField>
  </pivotFields>
  <rowFields count="1">
    <field x="22"/>
  </rowFields>
  <rowItems count="13">
    <i>
      <x/>
    </i>
    <i>
      <x v="1"/>
    </i>
    <i>
      <x v="2"/>
    </i>
    <i>
      <x v="3"/>
    </i>
    <i>
      <x v="4"/>
    </i>
    <i>
      <x v="5"/>
    </i>
    <i>
      <x v="6"/>
    </i>
    <i>
      <x v="7"/>
    </i>
    <i>
      <x v="8"/>
    </i>
    <i>
      <x v="9"/>
    </i>
    <i>
      <x v="10"/>
    </i>
    <i>
      <x v="11"/>
    </i>
    <i t="grand">
      <x/>
    </i>
  </rowItems>
  <colFields count="1">
    <field x="-2"/>
  </colFields>
  <colItems count="2">
    <i>
      <x/>
    </i>
    <i i="1">
      <x v="1"/>
    </i>
  </colItems>
  <pageFields count="1">
    <pageField fld="20" item="2" hier="-1"/>
  </pageFields>
  <dataFields count="2">
    <dataField name="Count of claim_id" fld="0" subtotal="count" baseField="0" baseItem="0"/>
    <dataField name="Sum of variance" fld="19" baseField="0" baseItem="0"/>
  </dataFields>
  <chartFormats count="2">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441056C5-0CA7-4859-B0B9-380FFB281E22}" autoFormatId="16" applyNumberFormats="0" applyBorderFormats="0" applyFontFormats="0" applyPatternFormats="0" applyAlignmentFormats="0" applyWidthHeightFormats="0">
  <queryTableRefresh nextId="5">
    <queryTableFields count="4">
      <queryTableField id="1" name="payer_id" tableColumnId="1"/>
      <queryTableField id="2" name="payer_name" tableColumnId="2"/>
      <queryTableField id="3" name="payer_type" tableColumnId="3"/>
      <queryTableField id="4" name="avg_contract_days_to_pay"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2AFB078-B079-46BD-8345-9ED3802BD168}" autoFormatId="16" applyNumberFormats="0" applyBorderFormats="0" applyFontFormats="0" applyPatternFormats="0" applyAlignmentFormats="0" applyWidthHeightFormats="0">
  <queryTableRefresh nextId="5">
    <queryTableFields count="4">
      <queryTableField id="1" name="cpt_code" tableColumnId="1"/>
      <queryTableField id="2" name="description" tableColumnId="2"/>
      <queryTableField id="3" name="service_category" tableColumnId="3"/>
      <queryTableField id="4" name="standard_charg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5EB773F-FC26-4BC2-831A-76252FDA9FD4}" autoFormatId="16" applyNumberFormats="0" applyBorderFormats="0" applyFontFormats="0" applyPatternFormats="0" applyAlignmentFormats="0" applyWidthHeightFormats="0">
  <queryTableRefresh nextId="24" unboundColumnsRight="7">
    <queryTableFields count="23">
      <queryTableField id="1" name="claim_id" tableColumnId="1"/>
      <queryTableField id="2" name="patient_id" tableColumnId="2"/>
      <queryTableField id="3" name="payer_id" tableColumnId="3"/>
      <queryTableField id="4" name="clinic_id" tableColumnId="4"/>
      <queryTableField id="5" name="cpt_code" tableColumnId="5"/>
      <queryTableField id="6" name="units" tableColumnId="6"/>
      <queryTableField id="7" name="service_date" tableColumnId="7"/>
      <queryTableField id="8" name="submit_date" tableColumnId="8"/>
      <queryTableField id="9" name="billed_amount" tableColumnId="9"/>
      <queryTableField id="10" name="allowed_amount" tableColumnId="10"/>
      <queryTableField id="11" name="paid_amount" tableColumnId="11"/>
      <queryTableField id="12" name="patient_responsibility" tableColumnId="12"/>
      <queryTableField id="13" name="claim_status" tableColumnId="13"/>
      <queryTableField id="14" name="denial_carc" tableColumnId="14"/>
      <queryTableField id="15" name="adjudication_date" tableColumnId="15"/>
      <queryTableField id="16" name="paid_date"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_id" xr10:uid="{ED4497A7-993B-482A-A354-12BEA228D099}" sourceName="clinic_id">
  <pivotTables>
    <pivotTable tabId="6" name="PivotTable1"/>
    <pivotTable tabId="7" name="PivotTable2"/>
    <pivotTable tabId="8" name="PivotTable3"/>
  </pivotTables>
  <data>
    <tabular pivotCacheId="16781775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_name" xr10:uid="{3FBE5276-426B-44DE-89C2-33A3328B504F}" sourceName="payer_name">
  <pivotTables>
    <pivotTable tabId="6" name="PivotTable1"/>
    <pivotTable tabId="7" name="PivotTable2"/>
    <pivotTable tabId="8" name="PivotTable3"/>
  </pivotTables>
  <data>
    <tabular pivotCacheId="167817757">
      <items count="8">
        <i x="5" s="1"/>
        <i x="3" s="1"/>
        <i x="2" s="1"/>
        <i x="4" s="1"/>
        <i x="1" s="1"/>
        <i x="6" s="1"/>
        <i x="0"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_id" xr10:uid="{C527ED5C-A0D3-481F-9C15-4516C4CA2D68}" cache="Slicer_clinic_id" caption="clinic_id" rowHeight="257175"/>
  <slicer name="payer_name" xr10:uid="{6A85212B-27D8-42B9-A3BE-B90C50BB6445}" cache="Slicer_payer_name" caption="payer_nam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A4147C-AC7C-45FE-B613-4B1F6CC95210}" name="tblPayers" displayName="tblPayers" ref="A1:D9" tableType="queryTable" totalsRowShown="0">
  <autoFilter ref="A1:D9" xr:uid="{DCA4147C-AC7C-45FE-B613-4B1F6CC95210}"/>
  <tableColumns count="4">
    <tableColumn id="1" xr3:uid="{6B6E6C06-E4A8-4CAF-911A-344B463E415F}" uniqueName="1" name="payer_id" queryTableFieldId="1" dataDxfId="15"/>
    <tableColumn id="2" xr3:uid="{164C409B-C8E6-4925-A555-4E44584E38D2}" uniqueName="2" name="payer_name" queryTableFieldId="2" dataDxfId="14"/>
    <tableColumn id="3" xr3:uid="{7522BD3B-4BF3-4A45-843A-4C3A31426F09}" uniqueName="3" name="payer_type" queryTableFieldId="3" dataDxfId="13"/>
    <tableColumn id="4" xr3:uid="{BB97115A-2CB5-4EB9-94A9-5A459F77448B}" uniqueName="4" name="avg_contract_days_to_pay"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668B82-6D2A-47C1-914A-F362F4DF3A6F}" name="tblContract" displayName="tblContract" ref="A1:B9" totalsRowShown="0">
  <autoFilter ref="A1:B9" xr:uid="{63668B82-6D2A-47C1-914A-F362F4DF3A6F}"/>
  <tableColumns count="2">
    <tableColumn id="1" xr3:uid="{610AE9AD-547C-4221-83A4-FD86D28F2D96}" name="payer_id"/>
    <tableColumn id="2" xr3:uid="{07A01D2C-E629-45B1-93CB-639D1D49DC3E}" name="contract_r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E2F03A-823C-49C1-A47B-B16BA609E2A1}" name="tblCPT" displayName="tblCPT" ref="A1:D13" tableType="queryTable" totalsRowShown="0">
  <autoFilter ref="A1:D13" xr:uid="{32E2F03A-823C-49C1-A47B-B16BA609E2A1}"/>
  <tableColumns count="4">
    <tableColumn id="1" xr3:uid="{391896D8-7884-4DA6-B88A-6F6A21E9154D}" uniqueName="1" name="cpt_code" queryTableFieldId="1" dataDxfId="18"/>
    <tableColumn id="2" xr3:uid="{02F1049F-3E7F-44B7-90CD-C7E93D420065}" uniqueName="2" name="description" queryTableFieldId="2" dataDxfId="17"/>
    <tableColumn id="3" xr3:uid="{1AA24C9E-CE61-469E-8C30-30CB745589FF}" uniqueName="3" name="service_category" queryTableFieldId="3" dataDxfId="16"/>
    <tableColumn id="4" xr3:uid="{19F0C892-BECE-423C-A588-72E37943ECEB}" uniqueName="4" name="standard_charg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2110B3-21F7-4ECA-A10C-E9B41DB6FBF6}" name="tblClaims" displayName="tblClaims" ref="A1:W6095" tableType="queryTable" totalsRowShown="0">
  <autoFilter ref="A1:W6095" xr:uid="{C82110B3-21F7-4ECA-A10C-E9B41DB6FBF6}"/>
  <tableColumns count="23">
    <tableColumn id="1" xr3:uid="{4A2C265C-1977-4FA2-A2C6-CA6B08C58A11}" uniqueName="1" name="claim_id" queryTableFieldId="1" dataDxfId="29"/>
    <tableColumn id="2" xr3:uid="{18B54D38-437D-4211-A1D6-49E056D68259}" uniqueName="2" name="patient_id" queryTableFieldId="2" dataDxfId="28"/>
    <tableColumn id="3" xr3:uid="{286927D9-6CC3-42E6-BA3B-E142F1DF354F}" uniqueName="3" name="payer_id" queryTableFieldId="3" dataDxfId="27"/>
    <tableColumn id="4" xr3:uid="{8B94E38E-8302-48DC-9C50-AAF59087AA81}" uniqueName="4" name="clinic_id" queryTableFieldId="4" dataDxfId="26"/>
    <tableColumn id="5" xr3:uid="{734597A2-1FDC-4497-825F-A1A8E9A5A9A9}" uniqueName="5" name="cpt_code" queryTableFieldId="5" dataDxfId="25"/>
    <tableColumn id="6" xr3:uid="{91E90174-790E-4849-A730-BEB579C97694}" uniqueName="6" name="units" queryTableFieldId="6"/>
    <tableColumn id="7" xr3:uid="{C36BE70A-5587-47C7-AA18-89D4886691CA}" uniqueName="7" name="service_date" queryTableFieldId="7" dataDxfId="24"/>
    <tableColumn id="8" xr3:uid="{51EEAA1A-EDED-49E8-BED2-EE242F1700FA}" uniqueName="8" name="submit_date" queryTableFieldId="8" dataDxfId="23"/>
    <tableColumn id="9" xr3:uid="{802DE5BB-52FA-4686-BC26-572FFA387FE7}" uniqueName="9" name="billed_amount" queryTableFieldId="9"/>
    <tableColumn id="10" xr3:uid="{7BF54C7C-B572-48DB-9C2E-51A27EDCC4FA}" uniqueName="10" name="allowed_amount" queryTableFieldId="10"/>
    <tableColumn id="11" xr3:uid="{B78A48AC-9F06-4F93-BFA0-4D82194411ED}" uniqueName="11" name="paid_amount" queryTableFieldId="11"/>
    <tableColumn id="12" xr3:uid="{3CE1CC6A-7C6F-4050-8B39-6BDE1E7E60D0}" uniqueName="12" name="patient_responsibility" queryTableFieldId="12"/>
    <tableColumn id="13" xr3:uid="{3885A749-EB51-4573-B677-3E6AB847AA14}" uniqueName="13" name="claim_status" queryTableFieldId="13" dataDxfId="22"/>
    <tableColumn id="14" xr3:uid="{026C07EA-32EE-4321-89EC-95C20E6AB5A1}" uniqueName="14" name="denial_carc" queryTableFieldId="14" dataDxfId="21"/>
    <tableColumn id="15" xr3:uid="{E50F70F6-EBDC-47C5-9D13-E3E76047E3F7}" uniqueName="15" name="adjudication_date" queryTableFieldId="15" dataDxfId="20"/>
    <tableColumn id="16" xr3:uid="{A734354D-2276-4549-B943-16EC6B47B229}" uniqueName="16" name="paid_date" queryTableFieldId="16" dataDxfId="19"/>
    <tableColumn id="17" xr3:uid="{769202F2-4304-4B50-8244-71583528D8F4}" uniqueName="17" name="std_charge" queryTableFieldId="17" dataDxfId="12">
      <calculatedColumnFormula>_xlfn.XLOOKUP(E2,CPT!$A$2:$A$13,CPT!$D$2:$D$13)</calculatedColumnFormula>
    </tableColumn>
    <tableColumn id="18" xr3:uid="{894CB457-DDB6-4AE4-AE92-5C4FA752AEA6}" uniqueName="18" name="contract_rate" queryTableFieldId="18" dataDxfId="11">
      <calculatedColumnFormula>_xlfn.XLOOKUP(C2,Contract!$A$2:$A$9,Contract!$B$2:$B$9)</calculatedColumnFormula>
    </tableColumn>
    <tableColumn id="19" xr3:uid="{222113EE-2031-4529-ACF2-5555BC7B6142}" uniqueName="19" name="expected_payment" queryTableFieldId="19" dataDxfId="10">
      <calculatedColumnFormula>ROUND(Q2*F2*R2,2)</calculatedColumnFormula>
    </tableColumn>
    <tableColumn id="20" xr3:uid="{2613CE28-B28F-4648-B2CD-58E13EB91F49}" uniqueName="20" name="variance" queryTableFieldId="20" dataDxfId="9">
      <calculatedColumnFormula>IF(M2="Paid",S2-J2,"")</calculatedColumnFormula>
    </tableColumn>
    <tableColumn id="21" xr3:uid="{D8552875-69DE-417F-B3B6-3BE35868AAAB}" uniqueName="21" name="underpaid_flag" queryTableFieldId="21" dataDxfId="8">
      <calculatedColumnFormula>IF(M2&lt;&gt;"Paid","",IF(T2&gt;S2*0.05,"Underpaid","OK"))</calculatedColumnFormula>
    </tableColumn>
    <tableColumn id="22" xr3:uid="{54528FBF-8A22-43AA-8B72-066986411888}" uniqueName="22" name="payer_name" queryTableFieldId="22" dataDxfId="7">
      <calculatedColumnFormula>_xlfn.XLOOKUP(C2,Payers!$A$2:$A$9,Payers!$B$2:$B$9)</calculatedColumnFormula>
    </tableColumn>
    <tableColumn id="23" xr3:uid="{6B8C5A4C-8870-4F92-9B09-C209429419A2}" uniqueName="23" name="service_month" queryTableFieldId="23" dataDxfId="6">
      <calculatedColumnFormula>TEXT(G2,"yyyy-mm")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0F93-6423-4796-9BD0-72F8EE6DA8AE}">
  <dimension ref="A1:B11"/>
  <sheetViews>
    <sheetView tabSelected="1" zoomScale="50" zoomScaleNormal="50" workbookViewId="0">
      <selection activeCell="B19" sqref="B19"/>
    </sheetView>
  </sheetViews>
  <sheetFormatPr defaultRowHeight="15"/>
  <cols>
    <col min="1" max="1" width="44.85546875" bestFit="1" customWidth="1"/>
    <col min="2" max="2" width="29.42578125" bestFit="1" customWidth="1"/>
  </cols>
  <sheetData>
    <row r="1" spans="1:2" ht="24">
      <c r="A1" s="9" t="s">
        <v>9097</v>
      </c>
    </row>
    <row r="3" spans="1:2">
      <c r="A3" t="s">
        <v>9081</v>
      </c>
      <c r="B3" s="12">
        <f>COUNTIF(Claims!M:M,"Paid")</f>
        <v>4321</v>
      </c>
    </row>
    <row r="4" spans="1:2">
      <c r="A4" t="s">
        <v>9098</v>
      </c>
      <c r="B4" s="10">
        <f>SUMIFS(Claims!S:S,Claims!M:M,"Paid")</f>
        <v>2968252.7600000147</v>
      </c>
    </row>
    <row r="5" spans="1:2">
      <c r="A5" t="s">
        <v>9099</v>
      </c>
      <c r="B5" s="10">
        <f>SUMIFS(Claims!J:J,Claims!M:M,"Paid")</f>
        <v>2966855.899999999</v>
      </c>
    </row>
    <row r="6" spans="1:2">
      <c r="A6" t="s">
        <v>9100</v>
      </c>
      <c r="B6" s="12">
        <f>COUNTIF(Claims!U:U,"Underpaid")</f>
        <v>1459</v>
      </c>
    </row>
    <row r="7" spans="1:2">
      <c r="A7" t="s">
        <v>9101</v>
      </c>
      <c r="B7" s="10">
        <f>SUMIFS(Claims!T:T,Claims!U:U,"Underpaid")</f>
        <v>107894.87000000007</v>
      </c>
    </row>
    <row r="8" spans="1:2">
      <c r="A8" t="s">
        <v>9102</v>
      </c>
      <c r="B8" s="11">
        <f>B6/B3</f>
        <v>0.33765332099051143</v>
      </c>
    </row>
    <row r="9" spans="1:2">
      <c r="A9" t="s">
        <v>9103</v>
      </c>
      <c r="B9" s="10">
        <f>B7/B6</f>
        <v>73.951247429746445</v>
      </c>
    </row>
    <row r="10" spans="1:2">
      <c r="A10" t="s">
        <v>9104</v>
      </c>
      <c r="B10" s="11">
        <f>B7/B4</f>
        <v>3.6349623406060454E-2</v>
      </c>
    </row>
    <row r="11" spans="1:2">
      <c r="A11" t="s">
        <v>9105</v>
      </c>
      <c r="B11" t="str">
        <f>Pivot_Payer!A4</f>
        <v>Summit Health Commercial</v>
      </c>
    </row>
  </sheetData>
  <conditionalFormatting sqref="C4:C10">
    <cfRule type="dataBar" priority="2">
      <dataBar>
        <cfvo type="min"/>
        <cfvo type="max"/>
        <color rgb="FFFF555A"/>
      </dataBar>
      <extLst>
        <ext xmlns:x14="http://schemas.microsoft.com/office/spreadsheetml/2009/9/main" uri="{B025F937-C7B1-47D3-B67F-A62EFF666E3E}">
          <x14:id>{406E0496-B1FB-4D57-B7B9-5AB4D8308461}</x14:id>
        </ext>
      </extLst>
    </cfRule>
  </conditionalFormatting>
  <conditionalFormatting sqref="C4:C10">
    <cfRule type="dataBar" priority="1">
      <dataBar>
        <cfvo type="min"/>
        <cfvo type="max"/>
        <color rgb="FFFF555A"/>
      </dataBar>
      <extLst>
        <ext xmlns:x14="http://schemas.microsoft.com/office/spreadsheetml/2009/9/main" uri="{B025F937-C7B1-47D3-B67F-A62EFF666E3E}">
          <x14:id>{BADCC40C-3438-4406-91A9-BD2955D35D48}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06E0496-B1FB-4D57-B7B9-5AB4D8308461}">
            <x14:dataBar minLength="0" maxLength="100" gradient="0">
              <x14:cfvo type="autoMin"/>
              <x14:cfvo type="autoMax"/>
              <x14:negativeFillColor rgb="FFFF0000"/>
              <x14:axisColor rgb="FF000000"/>
            </x14:dataBar>
          </x14:cfRule>
          <xm:sqref>C4:C10</xm:sqref>
        </x14:conditionalFormatting>
        <x14:conditionalFormatting xmlns:xm="http://schemas.microsoft.com/office/excel/2006/main">
          <x14:cfRule type="dataBar" id="{BADCC40C-3438-4406-91A9-BD2955D35D48}">
            <x14:dataBar minLength="0" maxLength="100" gradient="0">
              <x14:cfvo type="autoMin"/>
              <x14:cfvo type="autoMax"/>
              <x14:negativeFillColor rgb="FFFF0000"/>
              <x14:axisColor rgb="FF000000"/>
            </x14:dataBar>
          </x14:cfRule>
          <xm:sqref>C4:C10</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401F-62EE-47D3-BABE-3C0B91D92687}">
  <dimension ref="A1:D9"/>
  <sheetViews>
    <sheetView workbookViewId="0">
      <selection activeCell="B4" sqref="B4"/>
    </sheetView>
  </sheetViews>
  <sheetFormatPr defaultRowHeight="15"/>
  <cols>
    <col min="1" max="1" width="10.85546875" bestFit="1" customWidth="1"/>
    <col min="2" max="2" width="27.85546875" bestFit="1" customWidth="1"/>
    <col min="3" max="3" width="22.5703125" bestFit="1" customWidth="1"/>
    <col min="4" max="4" width="26.7109375" bestFit="1" customWidth="1"/>
  </cols>
  <sheetData>
    <row r="1" spans="1:4">
      <c r="A1" t="s">
        <v>2</v>
      </c>
      <c r="B1" t="s">
        <v>9050</v>
      </c>
      <c r="C1" t="s">
        <v>9051</v>
      </c>
      <c r="D1" t="s">
        <v>9052</v>
      </c>
    </row>
    <row r="2" spans="1:4">
      <c r="A2" s="1" t="s">
        <v>60</v>
      </c>
      <c r="B2" s="1" t="s">
        <v>9053</v>
      </c>
      <c r="C2" s="1" t="s">
        <v>9054</v>
      </c>
      <c r="D2">
        <v>28</v>
      </c>
    </row>
    <row r="3" spans="1:4">
      <c r="A3" s="1" t="s">
        <v>76</v>
      </c>
      <c r="B3" s="1" t="s">
        <v>9055</v>
      </c>
      <c r="C3" s="1" t="s">
        <v>9054</v>
      </c>
      <c r="D3">
        <v>32</v>
      </c>
    </row>
    <row r="4" spans="1:4">
      <c r="A4" s="1" t="s">
        <v>52</v>
      </c>
      <c r="B4" s="1" t="s">
        <v>9056</v>
      </c>
      <c r="C4" s="1" t="s">
        <v>9054</v>
      </c>
      <c r="D4">
        <v>45</v>
      </c>
    </row>
    <row r="5" spans="1:4">
      <c r="A5" s="1" t="s">
        <v>25</v>
      </c>
      <c r="B5" s="1" t="s">
        <v>9057</v>
      </c>
      <c r="C5" s="1" t="s">
        <v>9058</v>
      </c>
      <c r="D5">
        <v>18</v>
      </c>
    </row>
    <row r="6" spans="1:4">
      <c r="A6" s="1" t="s">
        <v>18</v>
      </c>
      <c r="B6" s="1" t="s">
        <v>9059</v>
      </c>
      <c r="C6" s="1" t="s">
        <v>9060</v>
      </c>
      <c r="D6">
        <v>52</v>
      </c>
    </row>
    <row r="7" spans="1:4">
      <c r="A7" s="1" t="s">
        <v>36</v>
      </c>
      <c r="B7" s="1" t="s">
        <v>9061</v>
      </c>
      <c r="C7" s="1" t="s">
        <v>9062</v>
      </c>
      <c r="D7">
        <v>40</v>
      </c>
    </row>
    <row r="8" spans="1:4">
      <c r="A8" s="1" t="s">
        <v>47</v>
      </c>
      <c r="B8" s="1" t="s">
        <v>9063</v>
      </c>
      <c r="C8" s="1" t="s">
        <v>9064</v>
      </c>
      <c r="D8">
        <v>61</v>
      </c>
    </row>
    <row r="9" spans="1:4">
      <c r="A9" s="1" t="s">
        <v>79</v>
      </c>
      <c r="B9" s="1" t="s">
        <v>9065</v>
      </c>
      <c r="C9" s="1" t="s">
        <v>9065</v>
      </c>
      <c r="D9">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3DD2F-1130-47BB-B326-C2042F4F52D4}">
  <dimension ref="A1:B9"/>
  <sheetViews>
    <sheetView workbookViewId="0">
      <selection activeCell="B5" sqref="B5"/>
    </sheetView>
  </sheetViews>
  <sheetFormatPr defaultRowHeight="15"/>
  <cols>
    <col min="1" max="1" width="10.7109375" customWidth="1"/>
    <col min="2" max="2" width="15" customWidth="1"/>
  </cols>
  <sheetData>
    <row r="1" spans="1:2">
      <c r="A1" s="3" t="s">
        <v>2</v>
      </c>
      <c r="B1" t="s">
        <v>9066</v>
      </c>
    </row>
    <row r="2" spans="1:2">
      <c r="A2" t="s">
        <v>60</v>
      </c>
      <c r="B2" s="4">
        <v>0.45</v>
      </c>
    </row>
    <row r="3" spans="1:2">
      <c r="A3" t="s">
        <v>76</v>
      </c>
      <c r="B3" s="4">
        <v>0.43</v>
      </c>
    </row>
    <row r="4" spans="1:2">
      <c r="A4" t="s">
        <v>52</v>
      </c>
      <c r="B4" s="4">
        <v>0.47</v>
      </c>
    </row>
    <row r="5" spans="1:2">
      <c r="A5" t="s">
        <v>25</v>
      </c>
      <c r="B5" s="4">
        <v>0.36</v>
      </c>
    </row>
    <row r="6" spans="1:2">
      <c r="A6" t="s">
        <v>18</v>
      </c>
      <c r="B6" s="4">
        <v>0.38</v>
      </c>
    </row>
    <row r="7" spans="1:2">
      <c r="A7" t="s">
        <v>36</v>
      </c>
      <c r="B7" s="4">
        <v>0.27</v>
      </c>
    </row>
    <row r="8" spans="1:2">
      <c r="A8" t="s">
        <v>47</v>
      </c>
      <c r="B8" s="4">
        <v>0.28000000000000003</v>
      </c>
    </row>
    <row r="9" spans="1:2">
      <c r="A9" t="s">
        <v>79</v>
      </c>
      <c r="B9" s="4">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49B9-FEEB-4637-989E-79B31A0C6D15}">
  <dimension ref="A1:D13"/>
  <sheetViews>
    <sheetView workbookViewId="0">
      <selection activeCell="B10" sqref="B10"/>
    </sheetView>
  </sheetViews>
  <sheetFormatPr defaultRowHeight="15"/>
  <cols>
    <col min="1" max="1" width="11.42578125" bestFit="1" customWidth="1"/>
    <col min="2" max="2" width="32.7109375" bestFit="1" customWidth="1"/>
    <col min="3" max="3" width="18.5703125" bestFit="1" customWidth="1"/>
    <col min="4" max="4" width="18.140625" bestFit="1" customWidth="1"/>
  </cols>
  <sheetData>
    <row r="1" spans="1:4">
      <c r="A1" t="s">
        <v>4</v>
      </c>
      <c r="B1" t="s">
        <v>9027</v>
      </c>
      <c r="C1" t="s">
        <v>9028</v>
      </c>
      <c r="D1" t="s">
        <v>9029</v>
      </c>
    </row>
    <row r="2" spans="1:4">
      <c r="A2" s="1" t="s">
        <v>20</v>
      </c>
      <c r="B2" s="1" t="s">
        <v>9030</v>
      </c>
      <c r="C2" s="1" t="s">
        <v>9031</v>
      </c>
      <c r="D2">
        <v>145</v>
      </c>
    </row>
    <row r="3" spans="1:4">
      <c r="A3" s="1" t="s">
        <v>57</v>
      </c>
      <c r="B3" s="1" t="s">
        <v>9032</v>
      </c>
      <c r="C3" s="1" t="s">
        <v>9031</v>
      </c>
      <c r="D3">
        <v>210</v>
      </c>
    </row>
    <row r="4" spans="1:4">
      <c r="A4" s="1" t="s">
        <v>88</v>
      </c>
      <c r="B4" s="1" t="s">
        <v>9033</v>
      </c>
      <c r="C4" s="1" t="s">
        <v>9031</v>
      </c>
      <c r="D4">
        <v>260</v>
      </c>
    </row>
    <row r="5" spans="1:4">
      <c r="A5" s="1" t="s">
        <v>31</v>
      </c>
      <c r="B5" s="1" t="s">
        <v>9034</v>
      </c>
      <c r="C5" s="1" t="s">
        <v>9035</v>
      </c>
      <c r="D5">
        <v>62</v>
      </c>
    </row>
    <row r="6" spans="1:4">
      <c r="A6" s="1" t="s">
        <v>91</v>
      </c>
      <c r="B6" s="1" t="s">
        <v>9036</v>
      </c>
      <c r="C6" s="1" t="s">
        <v>9035</v>
      </c>
      <c r="D6">
        <v>58</v>
      </c>
    </row>
    <row r="7" spans="1:4">
      <c r="A7" s="1" t="s">
        <v>185</v>
      </c>
      <c r="B7" s="1" t="s">
        <v>9037</v>
      </c>
      <c r="C7" s="1" t="s">
        <v>9038</v>
      </c>
      <c r="D7">
        <v>1150</v>
      </c>
    </row>
    <row r="8" spans="1:4">
      <c r="A8" s="1" t="s">
        <v>113</v>
      </c>
      <c r="B8" s="1" t="s">
        <v>9039</v>
      </c>
      <c r="C8" s="1" t="s">
        <v>9038</v>
      </c>
      <c r="D8">
        <v>1050</v>
      </c>
    </row>
    <row r="9" spans="1:4">
      <c r="A9" s="1" t="s">
        <v>27</v>
      </c>
      <c r="B9" s="1" t="s">
        <v>9040</v>
      </c>
      <c r="C9" s="1" t="s">
        <v>9041</v>
      </c>
      <c r="D9">
        <v>240</v>
      </c>
    </row>
    <row r="10" spans="1:4">
      <c r="A10" s="1" t="s">
        <v>41</v>
      </c>
      <c r="B10" s="1" t="s">
        <v>9042</v>
      </c>
      <c r="C10" s="1" t="s">
        <v>9043</v>
      </c>
      <c r="D10">
        <v>38</v>
      </c>
    </row>
    <row r="11" spans="1:4">
      <c r="A11" s="1" t="s">
        <v>38</v>
      </c>
      <c r="B11" s="1" t="s">
        <v>9044</v>
      </c>
      <c r="C11" s="1" t="s">
        <v>9045</v>
      </c>
      <c r="D11">
        <v>1450</v>
      </c>
    </row>
    <row r="12" spans="1:4">
      <c r="A12" s="1" t="s">
        <v>48</v>
      </c>
      <c r="B12" s="1" t="s">
        <v>9046</v>
      </c>
      <c r="C12" s="1" t="s">
        <v>9047</v>
      </c>
      <c r="D12">
        <v>420</v>
      </c>
    </row>
    <row r="13" spans="1:4">
      <c r="A13" s="1" t="s">
        <v>44</v>
      </c>
      <c r="B13" s="1" t="s">
        <v>9048</v>
      </c>
      <c r="C13" s="1" t="s">
        <v>9049</v>
      </c>
      <c r="D13">
        <v>4800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8EC11-39F4-4D66-93CB-3B803ADFE72B}">
  <dimension ref="A1:C11"/>
  <sheetViews>
    <sheetView workbookViewId="0">
      <selection activeCell="F9" sqref="F9"/>
    </sheetView>
  </sheetViews>
  <sheetFormatPr defaultRowHeight="15"/>
  <cols>
    <col min="1" max="1" width="27.85546875" bestFit="1" customWidth="1"/>
    <col min="2" max="2" width="16.85546875" bestFit="1" customWidth="1"/>
    <col min="3" max="3" width="15.42578125" bestFit="1" customWidth="1"/>
  </cols>
  <sheetData>
    <row r="1" spans="1:3">
      <c r="A1" s="7" t="s">
        <v>9086</v>
      </c>
      <c r="B1" t="s">
        <v>9095</v>
      </c>
    </row>
    <row r="3" spans="1:3">
      <c r="A3" s="7" t="s">
        <v>9092</v>
      </c>
      <c r="B3" t="s">
        <v>9094</v>
      </c>
      <c r="C3" t="s">
        <v>9096</v>
      </c>
    </row>
    <row r="4" spans="1:3">
      <c r="A4" s="8" t="s">
        <v>9055</v>
      </c>
      <c r="B4" s="1">
        <v>315</v>
      </c>
      <c r="C4" s="1">
        <v>33646.419999999976</v>
      </c>
    </row>
    <row r="5" spans="1:3">
      <c r="A5" s="8" t="s">
        <v>9053</v>
      </c>
      <c r="B5" s="1">
        <v>376</v>
      </c>
      <c r="C5" s="1">
        <v>29896.080000000024</v>
      </c>
    </row>
    <row r="6" spans="1:3">
      <c r="A6" s="8" t="s">
        <v>9057</v>
      </c>
      <c r="B6" s="1">
        <v>259</v>
      </c>
      <c r="C6" s="1">
        <v>14184.739999999996</v>
      </c>
    </row>
    <row r="7" spans="1:3">
      <c r="A7" s="8" t="s">
        <v>9056</v>
      </c>
      <c r="B7" s="1">
        <v>134</v>
      </c>
      <c r="C7" s="1">
        <v>11666.130000000006</v>
      </c>
    </row>
    <row r="8" spans="1:3">
      <c r="A8" s="8" t="s">
        <v>9059</v>
      </c>
      <c r="B8" s="1">
        <v>152</v>
      </c>
      <c r="C8" s="1">
        <v>10661.950000000008</v>
      </c>
    </row>
    <row r="9" spans="1:3">
      <c r="A9" s="8" t="s">
        <v>9061</v>
      </c>
      <c r="B9" s="1">
        <v>115</v>
      </c>
      <c r="C9" s="1">
        <v>4975.7500000000009</v>
      </c>
    </row>
    <row r="10" spans="1:3">
      <c r="A10" s="8" t="s">
        <v>9063</v>
      </c>
      <c r="B10" s="1">
        <v>108</v>
      </c>
      <c r="C10" s="1">
        <v>2863.8</v>
      </c>
    </row>
    <row r="11" spans="1:3">
      <c r="A11" s="8" t="s">
        <v>9093</v>
      </c>
      <c r="B11" s="1">
        <v>1459</v>
      </c>
      <c r="C11" s="1">
        <v>107894.86999999997</v>
      </c>
    </row>
  </sheetData>
  <conditionalFormatting pivot="1" sqref="C4:C10">
    <cfRule type="dataBar" priority="1">
      <dataBar>
        <cfvo type="min"/>
        <cfvo type="max"/>
        <color rgb="FFFF555A"/>
      </dataBar>
      <extLst>
        <ext xmlns:x14="http://schemas.microsoft.com/office/spreadsheetml/2009/9/main" uri="{B025F937-C7B1-47D3-B67F-A62EFF666E3E}">
          <x14:id>{91E949ED-6991-444F-97FB-1A2FBD36AE65}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1E949ED-6991-444F-97FB-1A2FBD36AE65}">
            <x14:dataBar minLength="0" maxLength="100" gradient="0">
              <x14:cfvo type="autoMin"/>
              <x14:cfvo type="autoMax"/>
              <x14:negativeFillColor rgb="FFFF0000"/>
              <x14:axisColor rgb="FF000000"/>
            </x14:dataBar>
          </x14:cfRule>
          <xm:sqref>C4:C10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AE30-D464-43EF-9A41-B2FB0D7CD7F9}">
  <dimension ref="A1:C16"/>
  <sheetViews>
    <sheetView workbookViewId="0">
      <selection activeCell="C11" sqref="C11"/>
    </sheetView>
  </sheetViews>
  <sheetFormatPr defaultRowHeight="15"/>
  <cols>
    <col min="1" max="1" width="14.42578125" bestFit="1" customWidth="1"/>
    <col min="2" max="2" width="16.85546875" bestFit="1" customWidth="1"/>
    <col min="3" max="3" width="15.42578125" bestFit="1" customWidth="1"/>
  </cols>
  <sheetData>
    <row r="1" spans="1:3">
      <c r="A1" s="7" t="s">
        <v>9086</v>
      </c>
      <c r="B1" t="s">
        <v>9095</v>
      </c>
    </row>
    <row r="3" spans="1:3">
      <c r="A3" s="7" t="s">
        <v>9092</v>
      </c>
      <c r="B3" t="s">
        <v>9094</v>
      </c>
      <c r="C3" t="s">
        <v>9096</v>
      </c>
    </row>
    <row r="4" spans="1:3">
      <c r="A4" s="8" t="s">
        <v>38</v>
      </c>
      <c r="B4" s="1">
        <v>80</v>
      </c>
      <c r="C4" s="1">
        <v>80360.039999999979</v>
      </c>
    </row>
    <row r="5" spans="1:3">
      <c r="A5" s="8" t="s">
        <v>44</v>
      </c>
      <c r="B5" s="1">
        <v>66</v>
      </c>
      <c r="C5" s="1">
        <v>12568.719999999996</v>
      </c>
    </row>
    <row r="6" spans="1:3">
      <c r="A6" s="8" t="s">
        <v>185</v>
      </c>
      <c r="B6" s="1">
        <v>68</v>
      </c>
      <c r="C6" s="1">
        <v>3310.9400000000005</v>
      </c>
    </row>
    <row r="7" spans="1:3">
      <c r="A7" s="8" t="s">
        <v>113</v>
      </c>
      <c r="B7" s="1">
        <v>68</v>
      </c>
      <c r="C7" s="1">
        <v>2750.8399999999997</v>
      </c>
    </row>
    <row r="8" spans="1:3">
      <c r="A8" s="8" t="s">
        <v>57</v>
      </c>
      <c r="B8" s="1">
        <v>288</v>
      </c>
      <c r="C8" s="1">
        <v>2628.2499999999991</v>
      </c>
    </row>
    <row r="9" spans="1:3">
      <c r="A9" s="8" t="s">
        <v>88</v>
      </c>
      <c r="B9" s="1">
        <v>179</v>
      </c>
      <c r="C9" s="1">
        <v>1896.08</v>
      </c>
    </row>
    <row r="10" spans="1:3">
      <c r="A10" s="8" t="s">
        <v>48</v>
      </c>
      <c r="B10" s="1">
        <v>75</v>
      </c>
      <c r="C10" s="1">
        <v>1396.7099999999991</v>
      </c>
    </row>
    <row r="11" spans="1:3">
      <c r="A11" s="8" t="s">
        <v>20</v>
      </c>
      <c r="B11" s="1">
        <v>179</v>
      </c>
      <c r="C11" s="1">
        <v>1048.2899999999995</v>
      </c>
    </row>
    <row r="12" spans="1:3">
      <c r="A12" s="8" t="s">
        <v>27</v>
      </c>
      <c r="B12" s="1">
        <v>69</v>
      </c>
      <c r="C12" s="1">
        <v>661.43</v>
      </c>
    </row>
    <row r="13" spans="1:3">
      <c r="A13" s="8" t="s">
        <v>31</v>
      </c>
      <c r="B13" s="1">
        <v>91</v>
      </c>
      <c r="C13" s="1">
        <v>517.9699999999998</v>
      </c>
    </row>
    <row r="14" spans="1:3">
      <c r="A14" s="8" t="s">
        <v>91</v>
      </c>
      <c r="B14" s="1">
        <v>86</v>
      </c>
      <c r="C14" s="1">
        <v>424.72</v>
      </c>
    </row>
    <row r="15" spans="1:3">
      <c r="A15" s="8" t="s">
        <v>41</v>
      </c>
      <c r="B15" s="1">
        <v>210</v>
      </c>
      <c r="C15" s="1">
        <v>330.87999999999988</v>
      </c>
    </row>
    <row r="16" spans="1:3">
      <c r="A16" s="8" t="s">
        <v>9093</v>
      </c>
      <c r="B16" s="1">
        <v>1459</v>
      </c>
      <c r="C16" s="1">
        <v>107894.86999999982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E727-6BA2-426E-8F23-21E66D02B2FA}">
  <dimension ref="A1:C16"/>
  <sheetViews>
    <sheetView workbookViewId="0">
      <selection activeCell="A3" sqref="A3"/>
    </sheetView>
  </sheetViews>
  <sheetFormatPr defaultRowHeight="15"/>
  <cols>
    <col min="1" max="1" width="14.42578125" bestFit="1" customWidth="1"/>
    <col min="2" max="2" width="16.85546875" bestFit="1" customWidth="1"/>
    <col min="3" max="3" width="15.42578125" bestFit="1" customWidth="1"/>
  </cols>
  <sheetData>
    <row r="1" spans="1:3">
      <c r="A1" s="7" t="s">
        <v>9086</v>
      </c>
      <c r="B1" t="s">
        <v>9095</v>
      </c>
    </row>
    <row r="3" spans="1:3">
      <c r="A3" s="7" t="s">
        <v>9092</v>
      </c>
      <c r="B3" t="s">
        <v>9094</v>
      </c>
      <c r="C3" t="s">
        <v>9096</v>
      </c>
    </row>
    <row r="4" spans="1:3">
      <c r="A4" s="8" t="s">
        <v>9106</v>
      </c>
      <c r="B4" s="1">
        <v>135</v>
      </c>
      <c r="C4" s="1">
        <v>10659.510000000006</v>
      </c>
    </row>
    <row r="5" spans="1:3">
      <c r="A5" s="8" t="s">
        <v>9107</v>
      </c>
      <c r="B5" s="1">
        <v>133</v>
      </c>
      <c r="C5" s="1">
        <v>4071.76</v>
      </c>
    </row>
    <row r="6" spans="1:3">
      <c r="A6" s="8" t="s">
        <v>9108</v>
      </c>
      <c r="B6" s="1">
        <v>137</v>
      </c>
      <c r="C6" s="1">
        <v>11882.73</v>
      </c>
    </row>
    <row r="7" spans="1:3">
      <c r="A7" s="8" t="s">
        <v>9109</v>
      </c>
      <c r="B7" s="1">
        <v>117</v>
      </c>
      <c r="C7" s="1">
        <v>6135.1200000000008</v>
      </c>
    </row>
    <row r="8" spans="1:3">
      <c r="A8" s="8" t="s">
        <v>9110</v>
      </c>
      <c r="B8" s="1">
        <v>141</v>
      </c>
      <c r="C8" s="1">
        <v>11018.490000000003</v>
      </c>
    </row>
    <row r="9" spans="1:3">
      <c r="A9" s="8" t="s">
        <v>9111</v>
      </c>
      <c r="B9" s="1">
        <v>127</v>
      </c>
      <c r="C9" s="1">
        <v>4128.7299999999987</v>
      </c>
    </row>
    <row r="10" spans="1:3">
      <c r="A10" s="8" t="s">
        <v>9112</v>
      </c>
      <c r="B10" s="1">
        <v>153</v>
      </c>
      <c r="C10" s="1">
        <v>13326.040000000003</v>
      </c>
    </row>
    <row r="11" spans="1:3">
      <c r="A11" s="8" t="s">
        <v>9113</v>
      </c>
      <c r="B11" s="1">
        <v>150</v>
      </c>
      <c r="C11" s="1">
        <v>13628.070000000002</v>
      </c>
    </row>
    <row r="12" spans="1:3">
      <c r="A12" s="8" t="s">
        <v>9114</v>
      </c>
      <c r="B12" s="1">
        <v>136</v>
      </c>
      <c r="C12" s="1">
        <v>16236.240000000003</v>
      </c>
    </row>
    <row r="13" spans="1:3">
      <c r="A13" s="8" t="s">
        <v>9115</v>
      </c>
      <c r="B13" s="1">
        <v>125</v>
      </c>
      <c r="C13" s="1">
        <v>8490.6699999999983</v>
      </c>
    </row>
    <row r="14" spans="1:3">
      <c r="A14" s="8" t="s">
        <v>9116</v>
      </c>
      <c r="B14" s="1">
        <v>92</v>
      </c>
      <c r="C14" s="1">
        <v>7903.1600000000026</v>
      </c>
    </row>
    <row r="15" spans="1:3">
      <c r="A15" s="8" t="s">
        <v>9117</v>
      </c>
      <c r="B15" s="1">
        <v>13</v>
      </c>
      <c r="C15" s="1">
        <v>414.34999999999985</v>
      </c>
    </row>
    <row r="16" spans="1:3">
      <c r="A16" s="8" t="s">
        <v>9093</v>
      </c>
      <c r="B16" s="1">
        <v>1459</v>
      </c>
      <c r="C16" s="1">
        <v>107894.86999999978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9FB4D-DD97-44AF-96B6-AF74D045296A}">
  <dimension ref="A1:W6095"/>
  <sheetViews>
    <sheetView zoomScale="60" zoomScaleNormal="60" workbookViewId="0">
      <selection activeCell="R8" sqref="R8"/>
    </sheetView>
  </sheetViews>
  <sheetFormatPr defaultRowHeight="15"/>
  <cols>
    <col min="1" max="1" width="10.7109375" bestFit="1" customWidth="1"/>
    <col min="2" max="2" width="12.28515625" bestFit="1" customWidth="1"/>
    <col min="3" max="3" width="10.85546875" bestFit="1" customWidth="1"/>
    <col min="4" max="4" width="10.7109375" bestFit="1" customWidth="1"/>
    <col min="5" max="5" width="11.42578125" bestFit="1" customWidth="1"/>
    <col min="6" max="6" width="7.85546875" bestFit="1" customWidth="1"/>
    <col min="7" max="7" width="14.7109375" bestFit="1" customWidth="1"/>
    <col min="8" max="8" width="14.42578125" bestFit="1" customWidth="1"/>
    <col min="9" max="9" width="16.28515625" bestFit="1" customWidth="1"/>
    <col min="10" max="10" width="18.140625" bestFit="1" customWidth="1"/>
    <col min="11" max="11" width="14.85546875" bestFit="1" customWidth="1"/>
    <col min="12" max="12" width="23.28515625" bestFit="1" customWidth="1"/>
    <col min="13" max="13" width="14.5703125" bestFit="1" customWidth="1"/>
    <col min="14" max="14" width="13.42578125" bestFit="1" customWidth="1"/>
    <col min="15" max="15" width="19.5703125" bestFit="1" customWidth="1"/>
    <col min="16" max="16" width="12"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9083</v>
      </c>
      <c r="R1" t="s">
        <v>9066</v>
      </c>
      <c r="S1" t="s">
        <v>9084</v>
      </c>
      <c r="T1" t="s">
        <v>9085</v>
      </c>
      <c r="U1" t="s">
        <v>9086</v>
      </c>
      <c r="V1" t="s">
        <v>9050</v>
      </c>
      <c r="W1" t="s">
        <v>9091</v>
      </c>
    </row>
    <row r="2" spans="1:23">
      <c r="A2" s="1" t="s">
        <v>16</v>
      </c>
      <c r="B2" s="1" t="s">
        <v>17</v>
      </c>
      <c r="C2" s="1" t="s">
        <v>18</v>
      </c>
      <c r="D2" s="1" t="s">
        <v>19</v>
      </c>
      <c r="E2" s="1" t="s">
        <v>20</v>
      </c>
      <c r="F2">
        <v>1</v>
      </c>
      <c r="G2" s="2">
        <v>46056</v>
      </c>
      <c r="H2" s="2">
        <v>46062</v>
      </c>
      <c r="I2">
        <v>142.59</v>
      </c>
      <c r="J2">
        <v>61.2</v>
      </c>
      <c r="K2">
        <v>61.2</v>
      </c>
      <c r="L2">
        <v>0</v>
      </c>
      <c r="M2" s="1" t="s">
        <v>21</v>
      </c>
      <c r="N2" s="1" t="s">
        <v>22</v>
      </c>
      <c r="O2" s="2">
        <v>46127</v>
      </c>
      <c r="P2" s="2">
        <v>46127</v>
      </c>
      <c r="Q2">
        <f>_xlfn.XLOOKUP(E2,CPT!$A$2:$A$13,CPT!$D$2:$D$13)</f>
        <v>145</v>
      </c>
      <c r="R2" s="1">
        <f>_xlfn.XLOOKUP(C2,Contract!$A$2:$A$9,Contract!$B$2:$B$9)</f>
        <v>0.38</v>
      </c>
      <c r="S2" s="1">
        <f t="shared" ref="S2:S65" si="0">ROUND(Q2*F2*R2,2)</f>
        <v>55.1</v>
      </c>
      <c r="T2" s="1">
        <f t="shared" ref="T2:T65" si="1">IF(M2="Paid",S2-J2,"")</f>
        <v>-6.1000000000000014</v>
      </c>
      <c r="U2" s="1" t="str">
        <f t="shared" ref="U2:U65" si="2">IF(M2&lt;&gt;"Paid","",IF(T2&gt;S2*0.05,"Underpaid","OK"))</f>
        <v>OK</v>
      </c>
      <c r="V2" s="1" t="str">
        <f>_xlfn.XLOOKUP(C2,Payers!$A$2:$A$9,Payers!$B$2:$B$9)</f>
        <v>Sunshine Medicare Advantage</v>
      </c>
      <c r="W2" s="1" t="str">
        <f t="shared" ref="W2:W65" si="3">TEXT(G2,"yyyy-mm")</f>
        <v>2026-02</v>
      </c>
    </row>
    <row r="3" spans="1:23">
      <c r="A3" s="1" t="s">
        <v>23</v>
      </c>
      <c r="B3" s="1" t="s">
        <v>24</v>
      </c>
      <c r="C3" s="1" t="s">
        <v>25</v>
      </c>
      <c r="D3" s="1" t="s">
        <v>26</v>
      </c>
      <c r="E3" s="1" t="s">
        <v>27</v>
      </c>
      <c r="F3">
        <v>1</v>
      </c>
      <c r="G3" s="2">
        <v>46218</v>
      </c>
      <c r="H3" s="2">
        <v>46223</v>
      </c>
      <c r="I3">
        <v>235.66</v>
      </c>
      <c r="J3">
        <v>77.459999999999994</v>
      </c>
      <c r="K3">
        <v>69.709999999999994</v>
      </c>
      <c r="L3">
        <v>7.75</v>
      </c>
      <c r="M3" s="1" t="s">
        <v>21</v>
      </c>
      <c r="N3" s="1" t="s">
        <v>22</v>
      </c>
      <c r="O3" s="2">
        <v>46243</v>
      </c>
      <c r="P3" s="2">
        <v>46243</v>
      </c>
      <c r="Q3">
        <f>_xlfn.XLOOKUP(E3,CPT!$A$2:$A$13,CPT!$D$2:$D$13)</f>
        <v>240</v>
      </c>
      <c r="R3" s="1">
        <f>_xlfn.XLOOKUP(C3,Contract!$A$2:$A$9,Contract!$B$2:$B$9)</f>
        <v>0.36</v>
      </c>
      <c r="S3" s="1">
        <f t="shared" si="0"/>
        <v>86.4</v>
      </c>
      <c r="T3" s="1">
        <f t="shared" si="1"/>
        <v>8.9400000000000119</v>
      </c>
      <c r="U3" s="1" t="str">
        <f t="shared" si="2"/>
        <v>Underpaid</v>
      </c>
      <c r="V3" s="1" t="str">
        <f>_xlfn.XLOOKUP(C3,Payers!$A$2:$A$9,Payers!$B$2:$B$9)</f>
        <v>Medicare Part B</v>
      </c>
      <c r="W3" s="1" t="str">
        <f t="shared" si="3"/>
        <v>2026-07</v>
      </c>
    </row>
    <row r="4" spans="1:23">
      <c r="A4" s="1" t="s">
        <v>28</v>
      </c>
      <c r="B4" s="1" t="s">
        <v>29</v>
      </c>
      <c r="C4" s="1" t="s">
        <v>18</v>
      </c>
      <c r="D4" s="1" t="s">
        <v>30</v>
      </c>
      <c r="E4" s="1" t="s">
        <v>31</v>
      </c>
      <c r="F4">
        <v>1</v>
      </c>
      <c r="G4" s="2">
        <v>46105</v>
      </c>
      <c r="H4" s="2">
        <v>46118</v>
      </c>
      <c r="I4">
        <v>60.72</v>
      </c>
      <c r="M4" s="1" t="s">
        <v>32</v>
      </c>
      <c r="N4" s="1" t="s">
        <v>33</v>
      </c>
      <c r="O4" s="2">
        <v>46147</v>
      </c>
      <c r="P4" s="2"/>
      <c r="Q4">
        <f>_xlfn.XLOOKUP(E4,CPT!$A$2:$A$13,CPT!$D$2:$D$13)</f>
        <v>62</v>
      </c>
      <c r="R4" s="1">
        <f>_xlfn.XLOOKUP(C4,Contract!$A$2:$A$9,Contract!$B$2:$B$9)</f>
        <v>0.38</v>
      </c>
      <c r="S4" s="1">
        <f t="shared" si="0"/>
        <v>23.56</v>
      </c>
      <c r="T4" s="1" t="str">
        <f t="shared" si="1"/>
        <v/>
      </c>
      <c r="U4" s="1" t="str">
        <f t="shared" si="2"/>
        <v/>
      </c>
      <c r="V4" s="1" t="str">
        <f>_xlfn.XLOOKUP(C4,Payers!$A$2:$A$9,Payers!$B$2:$B$9)</f>
        <v>Sunshine Medicare Advantage</v>
      </c>
      <c r="W4" s="1" t="str">
        <f t="shared" si="3"/>
        <v>2026-03</v>
      </c>
    </row>
    <row r="5" spans="1:23">
      <c r="A5" s="1" t="s">
        <v>34</v>
      </c>
      <c r="B5" s="1" t="s">
        <v>35</v>
      </c>
      <c r="C5" s="1" t="s">
        <v>36</v>
      </c>
      <c r="D5" s="1" t="s">
        <v>37</v>
      </c>
      <c r="E5" s="1" t="s">
        <v>38</v>
      </c>
      <c r="F5">
        <v>30</v>
      </c>
      <c r="G5" s="2">
        <v>45982</v>
      </c>
      <c r="H5" s="2">
        <v>45987</v>
      </c>
      <c r="I5">
        <v>42920.51</v>
      </c>
      <c r="J5">
        <v>11120.5</v>
      </c>
      <c r="K5">
        <v>11120.5</v>
      </c>
      <c r="L5">
        <v>0</v>
      </c>
      <c r="M5" s="1" t="s">
        <v>21</v>
      </c>
      <c r="N5" s="1" t="s">
        <v>22</v>
      </c>
      <c r="O5" s="2">
        <v>46013</v>
      </c>
      <c r="P5" s="2">
        <v>46013</v>
      </c>
      <c r="Q5">
        <f>_xlfn.XLOOKUP(E5,CPT!$A$2:$A$13,CPT!$D$2:$D$13)</f>
        <v>1450</v>
      </c>
      <c r="R5" s="1">
        <f>_xlfn.XLOOKUP(C5,Contract!$A$2:$A$9,Contract!$B$2:$B$9)</f>
        <v>0.27</v>
      </c>
      <c r="S5" s="1">
        <f t="shared" si="0"/>
        <v>11745</v>
      </c>
      <c r="T5" s="1">
        <f t="shared" si="1"/>
        <v>624.5</v>
      </c>
      <c r="U5" s="1" t="str">
        <f t="shared" si="2"/>
        <v>Underpaid</v>
      </c>
      <c r="V5" s="1" t="str">
        <f>_xlfn.XLOOKUP(C5,Payers!$A$2:$A$9,Payers!$B$2:$B$9)</f>
        <v>Florida Medicaid</v>
      </c>
      <c r="W5" s="1" t="str">
        <f t="shared" si="3"/>
        <v>2025-11</v>
      </c>
    </row>
    <row r="6" spans="1:23">
      <c r="A6" s="1" t="s">
        <v>39</v>
      </c>
      <c r="B6" s="1" t="s">
        <v>40</v>
      </c>
      <c r="C6" s="1" t="s">
        <v>25</v>
      </c>
      <c r="D6" s="1" t="s">
        <v>26</v>
      </c>
      <c r="E6" s="1" t="s">
        <v>41</v>
      </c>
      <c r="F6">
        <v>1</v>
      </c>
      <c r="G6" s="2">
        <v>46242</v>
      </c>
      <c r="H6" s="2">
        <v>46246</v>
      </c>
      <c r="I6">
        <v>38.31</v>
      </c>
      <c r="J6">
        <v>13.63</v>
      </c>
      <c r="K6">
        <v>13.63</v>
      </c>
      <c r="L6">
        <v>0</v>
      </c>
      <c r="M6" s="1" t="s">
        <v>21</v>
      </c>
      <c r="N6" s="1" t="s">
        <v>22</v>
      </c>
      <c r="O6" s="2">
        <v>46262</v>
      </c>
      <c r="P6" s="2">
        <v>46262</v>
      </c>
      <c r="Q6">
        <f>_xlfn.XLOOKUP(E6,CPT!$A$2:$A$13,CPT!$D$2:$D$13)</f>
        <v>38</v>
      </c>
      <c r="R6" s="1">
        <f>_xlfn.XLOOKUP(C6,Contract!$A$2:$A$9,Contract!$B$2:$B$9)</f>
        <v>0.36</v>
      </c>
      <c r="S6" s="1">
        <f t="shared" si="0"/>
        <v>13.68</v>
      </c>
      <c r="T6" s="1">
        <f t="shared" si="1"/>
        <v>4.9999999999998934E-2</v>
      </c>
      <c r="U6" s="1" t="str">
        <f t="shared" si="2"/>
        <v>OK</v>
      </c>
      <c r="V6" s="1" t="str">
        <f>_xlfn.XLOOKUP(C6,Payers!$A$2:$A$9,Payers!$B$2:$B$9)</f>
        <v>Medicare Part B</v>
      </c>
      <c r="W6" s="1" t="str">
        <f t="shared" si="3"/>
        <v>2026-08</v>
      </c>
    </row>
    <row r="7" spans="1:23">
      <c r="A7" s="1" t="s">
        <v>42</v>
      </c>
      <c r="B7" s="1" t="s">
        <v>43</v>
      </c>
      <c r="C7" s="1" t="s">
        <v>18</v>
      </c>
      <c r="D7" s="1" t="s">
        <v>26</v>
      </c>
      <c r="E7" s="1" t="s">
        <v>44</v>
      </c>
      <c r="F7">
        <v>1</v>
      </c>
      <c r="G7" s="2">
        <v>46048</v>
      </c>
      <c r="H7" s="2">
        <v>46055</v>
      </c>
      <c r="I7">
        <v>4892.68</v>
      </c>
      <c r="J7">
        <v>1618.87</v>
      </c>
      <c r="K7">
        <v>1456.98</v>
      </c>
      <c r="L7">
        <v>161.88999999999999</v>
      </c>
      <c r="M7" s="1" t="s">
        <v>21</v>
      </c>
      <c r="N7" s="1" t="s">
        <v>22</v>
      </c>
      <c r="O7" s="2">
        <v>46142</v>
      </c>
      <c r="P7" s="2">
        <v>46142</v>
      </c>
      <c r="Q7">
        <f>_xlfn.XLOOKUP(E7,CPT!$A$2:$A$13,CPT!$D$2:$D$13)</f>
        <v>4800</v>
      </c>
      <c r="R7" s="1">
        <f>_xlfn.XLOOKUP(C7,Contract!$A$2:$A$9,Contract!$B$2:$B$9)</f>
        <v>0.38</v>
      </c>
      <c r="S7" s="1">
        <f t="shared" si="0"/>
        <v>1824</v>
      </c>
      <c r="T7" s="1">
        <f t="shared" si="1"/>
        <v>205.13000000000011</v>
      </c>
      <c r="U7" s="1" t="str">
        <f t="shared" si="2"/>
        <v>Underpaid</v>
      </c>
      <c r="V7" s="1" t="str">
        <f>_xlfn.XLOOKUP(C7,Payers!$A$2:$A$9,Payers!$B$2:$B$9)</f>
        <v>Sunshine Medicare Advantage</v>
      </c>
      <c r="W7" s="1" t="str">
        <f t="shared" si="3"/>
        <v>2026-01</v>
      </c>
    </row>
    <row r="8" spans="1:23">
      <c r="A8" s="1" t="s">
        <v>45</v>
      </c>
      <c r="B8" s="1" t="s">
        <v>46</v>
      </c>
      <c r="C8" s="1" t="s">
        <v>47</v>
      </c>
      <c r="D8" s="1" t="s">
        <v>37</v>
      </c>
      <c r="E8" s="1" t="s">
        <v>48</v>
      </c>
      <c r="F8">
        <v>1</v>
      </c>
      <c r="G8" s="2">
        <v>46260</v>
      </c>
      <c r="H8" s="2">
        <v>46262</v>
      </c>
      <c r="I8">
        <v>418.96</v>
      </c>
      <c r="M8" s="1" t="s">
        <v>32</v>
      </c>
      <c r="N8" s="1" t="s">
        <v>49</v>
      </c>
      <c r="O8" s="2">
        <v>46289</v>
      </c>
      <c r="P8" s="2"/>
      <c r="Q8">
        <f>_xlfn.XLOOKUP(E8,CPT!$A$2:$A$13,CPT!$D$2:$D$13)</f>
        <v>420</v>
      </c>
      <c r="R8" s="1">
        <f>_xlfn.XLOOKUP(C8,Contract!$A$2:$A$9,Contract!$B$2:$B$9)</f>
        <v>0.28000000000000003</v>
      </c>
      <c r="S8" s="1">
        <f t="shared" si="0"/>
        <v>117.6</v>
      </c>
      <c r="T8" s="1" t="str">
        <f t="shared" si="1"/>
        <v/>
      </c>
      <c r="U8" s="1" t="str">
        <f t="shared" si="2"/>
        <v/>
      </c>
      <c r="V8" s="1" t="str">
        <f>_xlfn.XLOOKUP(C8,Payers!$A$2:$A$9,Payers!$B$2:$B$9)</f>
        <v>Coastal Medicaid MCO</v>
      </c>
      <c r="W8" s="1" t="str">
        <f t="shared" si="3"/>
        <v>2026-08</v>
      </c>
    </row>
    <row r="9" spans="1:23">
      <c r="A9" s="1" t="s">
        <v>50</v>
      </c>
      <c r="B9" s="1" t="s">
        <v>51</v>
      </c>
      <c r="C9" s="1" t="s">
        <v>52</v>
      </c>
      <c r="D9" s="1" t="s">
        <v>30</v>
      </c>
      <c r="E9" s="1" t="s">
        <v>31</v>
      </c>
      <c r="F9">
        <v>1</v>
      </c>
      <c r="G9" s="2">
        <v>45977</v>
      </c>
      <c r="H9" s="2">
        <v>45978</v>
      </c>
      <c r="I9">
        <v>63.34</v>
      </c>
      <c r="J9">
        <v>30.83</v>
      </c>
      <c r="K9">
        <v>24.66</v>
      </c>
      <c r="L9">
        <v>6.17</v>
      </c>
      <c r="M9" s="1" t="s">
        <v>21</v>
      </c>
      <c r="N9" s="1" t="s">
        <v>22</v>
      </c>
      <c r="O9" s="2">
        <v>46008</v>
      </c>
      <c r="P9" s="2">
        <v>46008</v>
      </c>
      <c r="Q9">
        <f>_xlfn.XLOOKUP(E9,CPT!$A$2:$A$13,CPT!$D$2:$D$13)</f>
        <v>62</v>
      </c>
      <c r="R9" s="1">
        <f>_xlfn.XLOOKUP(C9,Contract!$A$2:$A$9,Contract!$B$2:$B$9)</f>
        <v>0.47</v>
      </c>
      <c r="S9" s="1">
        <f t="shared" si="0"/>
        <v>29.14</v>
      </c>
      <c r="T9" s="1">
        <f t="shared" si="1"/>
        <v>-1.6899999999999977</v>
      </c>
      <c r="U9" s="1" t="str">
        <f t="shared" si="2"/>
        <v>OK</v>
      </c>
      <c r="V9" s="1" t="str">
        <f>_xlfn.XLOOKUP(C9,Payers!$A$2:$A$9,Payers!$B$2:$B$9)</f>
        <v>Keystone Commercial PPO</v>
      </c>
      <c r="W9" s="1" t="str">
        <f t="shared" si="3"/>
        <v>2025-11</v>
      </c>
    </row>
    <row r="10" spans="1:23">
      <c r="A10" s="1" t="s">
        <v>53</v>
      </c>
      <c r="B10" s="1" t="s">
        <v>54</v>
      </c>
      <c r="C10" s="1" t="s">
        <v>25</v>
      </c>
      <c r="D10" s="1" t="s">
        <v>19</v>
      </c>
      <c r="E10" s="1" t="s">
        <v>41</v>
      </c>
      <c r="F10">
        <v>1</v>
      </c>
      <c r="G10" s="2">
        <v>46214</v>
      </c>
      <c r="H10" s="2">
        <v>46215</v>
      </c>
      <c r="I10">
        <v>38.82</v>
      </c>
      <c r="J10">
        <v>14.77</v>
      </c>
      <c r="K10">
        <v>13.29</v>
      </c>
      <c r="L10">
        <v>1.48</v>
      </c>
      <c r="M10" s="1" t="s">
        <v>21</v>
      </c>
      <c r="N10" s="1" t="s">
        <v>22</v>
      </c>
      <c r="O10" s="2">
        <v>46228</v>
      </c>
      <c r="P10" s="2">
        <v>46228</v>
      </c>
      <c r="Q10">
        <f>_xlfn.XLOOKUP(E10,CPT!$A$2:$A$13,CPT!$D$2:$D$13)</f>
        <v>38</v>
      </c>
      <c r="R10" s="1">
        <f>_xlfn.XLOOKUP(C10,Contract!$A$2:$A$9,Contract!$B$2:$B$9)</f>
        <v>0.36</v>
      </c>
      <c r="S10" s="1">
        <f t="shared" si="0"/>
        <v>13.68</v>
      </c>
      <c r="T10" s="1">
        <f t="shared" si="1"/>
        <v>-1.0899999999999999</v>
      </c>
      <c r="U10" s="1" t="str">
        <f t="shared" si="2"/>
        <v>OK</v>
      </c>
      <c r="V10" s="1" t="str">
        <f>_xlfn.XLOOKUP(C10,Payers!$A$2:$A$9,Payers!$B$2:$B$9)</f>
        <v>Medicare Part B</v>
      </c>
      <c r="W10" s="1" t="str">
        <f t="shared" si="3"/>
        <v>2026-07</v>
      </c>
    </row>
    <row r="11" spans="1:23">
      <c r="A11" s="1" t="s">
        <v>55</v>
      </c>
      <c r="B11" s="1" t="s">
        <v>56</v>
      </c>
      <c r="C11" s="1" t="s">
        <v>52</v>
      </c>
      <c r="D11" s="1" t="s">
        <v>26</v>
      </c>
      <c r="E11" s="1" t="s">
        <v>57</v>
      </c>
      <c r="F11">
        <v>1</v>
      </c>
      <c r="G11" s="2">
        <v>46065</v>
      </c>
      <c r="H11" s="2">
        <v>46071</v>
      </c>
      <c r="I11">
        <v>215.95</v>
      </c>
      <c r="J11">
        <v>89.54</v>
      </c>
      <c r="K11">
        <v>80.59</v>
      </c>
      <c r="L11">
        <v>8.9499999999999993</v>
      </c>
      <c r="M11" s="1" t="s">
        <v>21</v>
      </c>
      <c r="N11" s="1" t="s">
        <v>22</v>
      </c>
      <c r="O11" s="2">
        <v>46113</v>
      </c>
      <c r="P11" s="2">
        <v>46113</v>
      </c>
      <c r="Q11">
        <f>_xlfn.XLOOKUP(E11,CPT!$A$2:$A$13,CPT!$D$2:$D$13)</f>
        <v>210</v>
      </c>
      <c r="R11" s="1">
        <f>_xlfn.XLOOKUP(C11,Contract!$A$2:$A$9,Contract!$B$2:$B$9)</f>
        <v>0.47</v>
      </c>
      <c r="S11" s="1">
        <f t="shared" si="0"/>
        <v>98.7</v>
      </c>
      <c r="T11" s="1">
        <f t="shared" si="1"/>
        <v>9.1599999999999966</v>
      </c>
      <c r="U11" s="1" t="str">
        <f t="shared" si="2"/>
        <v>Underpaid</v>
      </c>
      <c r="V11" s="1" t="str">
        <f>_xlfn.XLOOKUP(C11,Payers!$A$2:$A$9,Payers!$B$2:$B$9)</f>
        <v>Keystone Commercial PPO</v>
      </c>
      <c r="W11" s="1" t="str">
        <f t="shared" si="3"/>
        <v>2026-02</v>
      </c>
    </row>
    <row r="12" spans="1:23">
      <c r="A12" s="1" t="s">
        <v>58</v>
      </c>
      <c r="B12" s="1" t="s">
        <v>59</v>
      </c>
      <c r="C12" s="1" t="s">
        <v>60</v>
      </c>
      <c r="D12" s="1" t="s">
        <v>19</v>
      </c>
      <c r="E12" s="1" t="s">
        <v>57</v>
      </c>
      <c r="F12">
        <v>1</v>
      </c>
      <c r="G12" s="2">
        <v>46013</v>
      </c>
      <c r="H12" s="2">
        <v>46020</v>
      </c>
      <c r="I12">
        <v>210.5</v>
      </c>
      <c r="J12">
        <v>80.010000000000005</v>
      </c>
      <c r="K12">
        <v>72.010000000000005</v>
      </c>
      <c r="L12">
        <v>8</v>
      </c>
      <c r="M12" s="1" t="s">
        <v>21</v>
      </c>
      <c r="N12" s="1" t="s">
        <v>22</v>
      </c>
      <c r="O12" s="2">
        <v>46047</v>
      </c>
      <c r="P12" s="2">
        <v>46047</v>
      </c>
      <c r="Q12">
        <f>_xlfn.XLOOKUP(E12,CPT!$A$2:$A$13,CPT!$D$2:$D$13)</f>
        <v>210</v>
      </c>
      <c r="R12" s="1">
        <f>_xlfn.XLOOKUP(C12,Contract!$A$2:$A$9,Contract!$B$2:$B$9)</f>
        <v>0.45</v>
      </c>
      <c r="S12" s="1">
        <f t="shared" si="0"/>
        <v>94.5</v>
      </c>
      <c r="T12" s="1">
        <f t="shared" si="1"/>
        <v>14.489999999999995</v>
      </c>
      <c r="U12" s="1" t="str">
        <f t="shared" si="2"/>
        <v>Underpaid</v>
      </c>
      <c r="V12" s="1" t="str">
        <f>_xlfn.XLOOKUP(C12,Payers!$A$2:$A$9,Payers!$B$2:$B$9)</f>
        <v>Blue Horizon Commercial</v>
      </c>
      <c r="W12" s="1" t="str">
        <f t="shared" si="3"/>
        <v>2025-12</v>
      </c>
    </row>
    <row r="13" spans="1:23">
      <c r="A13" s="1" t="s">
        <v>61</v>
      </c>
      <c r="B13" s="1" t="s">
        <v>62</v>
      </c>
      <c r="C13" s="1" t="s">
        <v>25</v>
      </c>
      <c r="D13" s="1" t="s">
        <v>37</v>
      </c>
      <c r="E13" s="1" t="s">
        <v>38</v>
      </c>
      <c r="F13">
        <v>10</v>
      </c>
      <c r="G13" s="2">
        <v>46212</v>
      </c>
      <c r="H13" s="2">
        <v>46221</v>
      </c>
      <c r="I13">
        <v>14295.6</v>
      </c>
      <c r="J13">
        <v>4684.97</v>
      </c>
      <c r="K13">
        <v>4684.97</v>
      </c>
      <c r="L13">
        <v>0</v>
      </c>
      <c r="M13" s="1" t="s">
        <v>21</v>
      </c>
      <c r="N13" s="1" t="s">
        <v>22</v>
      </c>
      <c r="O13" s="2">
        <v>46239</v>
      </c>
      <c r="P13" s="2">
        <v>46239</v>
      </c>
      <c r="Q13">
        <f>_xlfn.XLOOKUP(E13,CPT!$A$2:$A$13,CPT!$D$2:$D$13)</f>
        <v>1450</v>
      </c>
      <c r="R13" s="1">
        <f>_xlfn.XLOOKUP(C13,Contract!$A$2:$A$9,Contract!$B$2:$B$9)</f>
        <v>0.36</v>
      </c>
      <c r="S13" s="1">
        <f t="shared" si="0"/>
        <v>5220</v>
      </c>
      <c r="T13" s="1">
        <f t="shared" si="1"/>
        <v>535.02999999999975</v>
      </c>
      <c r="U13" s="1" t="str">
        <f t="shared" si="2"/>
        <v>Underpaid</v>
      </c>
      <c r="V13" s="1" t="str">
        <f>_xlfn.XLOOKUP(C13,Payers!$A$2:$A$9,Payers!$B$2:$B$9)</f>
        <v>Medicare Part B</v>
      </c>
      <c r="W13" s="1" t="str">
        <f t="shared" si="3"/>
        <v>2026-07</v>
      </c>
    </row>
    <row r="14" spans="1:23">
      <c r="A14" s="1" t="s">
        <v>63</v>
      </c>
      <c r="B14" s="1" t="s">
        <v>64</v>
      </c>
      <c r="C14" s="1" t="s">
        <v>25</v>
      </c>
      <c r="D14" s="1" t="s">
        <v>26</v>
      </c>
      <c r="E14" s="1" t="s">
        <v>41</v>
      </c>
      <c r="F14">
        <v>1</v>
      </c>
      <c r="G14" s="2">
        <v>46155</v>
      </c>
      <c r="H14" s="2">
        <v>46158</v>
      </c>
      <c r="I14">
        <v>38.909999999999997</v>
      </c>
      <c r="J14">
        <v>12.11</v>
      </c>
      <c r="K14">
        <v>12.11</v>
      </c>
      <c r="L14">
        <v>0</v>
      </c>
      <c r="M14" s="1" t="s">
        <v>21</v>
      </c>
      <c r="N14" s="1" t="s">
        <v>22</v>
      </c>
      <c r="O14" s="2">
        <v>46182</v>
      </c>
      <c r="P14" s="2">
        <v>46182</v>
      </c>
      <c r="Q14">
        <f>_xlfn.XLOOKUP(E14,CPT!$A$2:$A$13,CPT!$D$2:$D$13)</f>
        <v>38</v>
      </c>
      <c r="R14" s="1">
        <f>_xlfn.XLOOKUP(C14,Contract!$A$2:$A$9,Contract!$B$2:$B$9)</f>
        <v>0.36</v>
      </c>
      <c r="S14" s="1">
        <f t="shared" si="0"/>
        <v>13.68</v>
      </c>
      <c r="T14" s="1">
        <f t="shared" si="1"/>
        <v>1.5700000000000003</v>
      </c>
      <c r="U14" s="1" t="str">
        <f t="shared" si="2"/>
        <v>Underpaid</v>
      </c>
      <c r="V14" s="1" t="str">
        <f>_xlfn.XLOOKUP(C14,Payers!$A$2:$A$9,Payers!$B$2:$B$9)</f>
        <v>Medicare Part B</v>
      </c>
      <c r="W14" s="1" t="str">
        <f t="shared" si="3"/>
        <v>2026-05</v>
      </c>
    </row>
    <row r="15" spans="1:23">
      <c r="A15" s="1" t="s">
        <v>65</v>
      </c>
      <c r="B15" s="1" t="s">
        <v>66</v>
      </c>
      <c r="C15" s="1" t="s">
        <v>60</v>
      </c>
      <c r="D15" s="1" t="s">
        <v>26</v>
      </c>
      <c r="E15" s="1" t="s">
        <v>41</v>
      </c>
      <c r="F15">
        <v>1</v>
      </c>
      <c r="G15" s="2">
        <v>45965</v>
      </c>
      <c r="H15" s="2">
        <v>45973</v>
      </c>
      <c r="I15">
        <v>38.92</v>
      </c>
      <c r="M15" s="1" t="s">
        <v>32</v>
      </c>
      <c r="N15" s="1" t="s">
        <v>33</v>
      </c>
      <c r="O15" s="2">
        <v>46002</v>
      </c>
      <c r="P15" s="2"/>
      <c r="Q15">
        <f>_xlfn.XLOOKUP(E15,CPT!$A$2:$A$13,CPT!$D$2:$D$13)</f>
        <v>38</v>
      </c>
      <c r="R15" s="1">
        <f>_xlfn.XLOOKUP(C15,Contract!$A$2:$A$9,Contract!$B$2:$B$9)</f>
        <v>0.45</v>
      </c>
      <c r="S15" s="1">
        <f t="shared" si="0"/>
        <v>17.100000000000001</v>
      </c>
      <c r="T15" s="1" t="str">
        <f t="shared" si="1"/>
        <v/>
      </c>
      <c r="U15" s="1" t="str">
        <f t="shared" si="2"/>
        <v/>
      </c>
      <c r="V15" s="1" t="str">
        <f>_xlfn.XLOOKUP(C15,Payers!$A$2:$A$9,Payers!$B$2:$B$9)</f>
        <v>Blue Horizon Commercial</v>
      </c>
      <c r="W15" s="1" t="str">
        <f t="shared" si="3"/>
        <v>2025-11</v>
      </c>
    </row>
    <row r="16" spans="1:23">
      <c r="A16" s="1" t="s">
        <v>67</v>
      </c>
      <c r="B16" s="1" t="s">
        <v>68</v>
      </c>
      <c r="C16" s="1" t="s">
        <v>60</v>
      </c>
      <c r="D16" s="1" t="s">
        <v>30</v>
      </c>
      <c r="E16" s="1" t="s">
        <v>31</v>
      </c>
      <c r="F16">
        <v>2</v>
      </c>
      <c r="G16" s="2">
        <v>46268</v>
      </c>
      <c r="H16" s="2">
        <v>46271</v>
      </c>
      <c r="I16">
        <v>122.92</v>
      </c>
      <c r="M16" s="1" t="s">
        <v>69</v>
      </c>
      <c r="N16" s="1" t="s">
        <v>22</v>
      </c>
      <c r="O16" s="2"/>
      <c r="P16" s="2"/>
      <c r="Q16">
        <f>_xlfn.XLOOKUP(E16,CPT!$A$2:$A$13,CPT!$D$2:$D$13)</f>
        <v>62</v>
      </c>
      <c r="R16" s="1">
        <f>_xlfn.XLOOKUP(C16,Contract!$A$2:$A$9,Contract!$B$2:$B$9)</f>
        <v>0.45</v>
      </c>
      <c r="S16" s="1">
        <f t="shared" si="0"/>
        <v>55.8</v>
      </c>
      <c r="T16" s="1" t="str">
        <f t="shared" si="1"/>
        <v/>
      </c>
      <c r="U16" s="1" t="str">
        <f t="shared" si="2"/>
        <v/>
      </c>
      <c r="V16" s="1" t="str">
        <f>_xlfn.XLOOKUP(C16,Payers!$A$2:$A$9,Payers!$B$2:$B$9)</f>
        <v>Blue Horizon Commercial</v>
      </c>
      <c r="W16" s="1" t="str">
        <f t="shared" si="3"/>
        <v>2026-09</v>
      </c>
    </row>
    <row r="17" spans="1:23">
      <c r="A17" s="1" t="s">
        <v>70</v>
      </c>
      <c r="B17" s="1" t="s">
        <v>71</v>
      </c>
      <c r="C17" s="1" t="s">
        <v>60</v>
      </c>
      <c r="D17" s="1" t="s">
        <v>30</v>
      </c>
      <c r="E17" s="1" t="s">
        <v>31</v>
      </c>
      <c r="F17">
        <v>2</v>
      </c>
      <c r="G17" s="2">
        <v>46205</v>
      </c>
      <c r="H17" s="2">
        <v>46206</v>
      </c>
      <c r="I17">
        <v>121.32</v>
      </c>
      <c r="J17">
        <v>47.38</v>
      </c>
      <c r="K17">
        <v>47.38</v>
      </c>
      <c r="L17">
        <v>0</v>
      </c>
      <c r="M17" s="1" t="s">
        <v>21</v>
      </c>
      <c r="N17" s="1" t="s">
        <v>22</v>
      </c>
      <c r="O17" s="2">
        <v>46239</v>
      </c>
      <c r="P17" s="2">
        <v>46239</v>
      </c>
      <c r="Q17">
        <f>_xlfn.XLOOKUP(E17,CPT!$A$2:$A$13,CPT!$D$2:$D$13)</f>
        <v>62</v>
      </c>
      <c r="R17" s="1">
        <f>_xlfn.XLOOKUP(C17,Contract!$A$2:$A$9,Contract!$B$2:$B$9)</f>
        <v>0.45</v>
      </c>
      <c r="S17" s="1">
        <f t="shared" si="0"/>
        <v>55.8</v>
      </c>
      <c r="T17" s="1">
        <f t="shared" si="1"/>
        <v>8.4199999999999946</v>
      </c>
      <c r="U17" s="1" t="str">
        <f t="shared" si="2"/>
        <v>Underpaid</v>
      </c>
      <c r="V17" s="1" t="str">
        <f>_xlfn.XLOOKUP(C17,Payers!$A$2:$A$9,Payers!$B$2:$B$9)</f>
        <v>Blue Horizon Commercial</v>
      </c>
      <c r="W17" s="1" t="str">
        <f t="shared" si="3"/>
        <v>2026-07</v>
      </c>
    </row>
    <row r="18" spans="1:23">
      <c r="A18" s="1" t="s">
        <v>72</v>
      </c>
      <c r="B18" s="1" t="s">
        <v>73</v>
      </c>
      <c r="C18" s="1" t="s">
        <v>36</v>
      </c>
      <c r="D18" s="1" t="s">
        <v>37</v>
      </c>
      <c r="E18" s="1" t="s">
        <v>57</v>
      </c>
      <c r="F18">
        <v>1</v>
      </c>
      <c r="G18" s="2">
        <v>45978</v>
      </c>
      <c r="H18" s="2">
        <v>45986</v>
      </c>
      <c r="I18">
        <v>215.37</v>
      </c>
      <c r="J18">
        <v>57.89</v>
      </c>
      <c r="K18">
        <v>57.89</v>
      </c>
      <c r="L18">
        <v>0</v>
      </c>
      <c r="M18" s="1" t="s">
        <v>21</v>
      </c>
      <c r="N18" s="1" t="s">
        <v>22</v>
      </c>
      <c r="O18" s="2">
        <v>46028</v>
      </c>
      <c r="P18" s="2">
        <v>46028</v>
      </c>
      <c r="Q18">
        <f>_xlfn.XLOOKUP(E18,CPT!$A$2:$A$13,CPT!$D$2:$D$13)</f>
        <v>210</v>
      </c>
      <c r="R18" s="1">
        <f>_xlfn.XLOOKUP(C18,Contract!$A$2:$A$9,Contract!$B$2:$B$9)</f>
        <v>0.27</v>
      </c>
      <c r="S18" s="1">
        <f t="shared" si="0"/>
        <v>56.7</v>
      </c>
      <c r="T18" s="1">
        <f t="shared" si="1"/>
        <v>-1.1899999999999977</v>
      </c>
      <c r="U18" s="1" t="str">
        <f t="shared" si="2"/>
        <v>OK</v>
      </c>
      <c r="V18" s="1" t="str">
        <f>_xlfn.XLOOKUP(C18,Payers!$A$2:$A$9,Payers!$B$2:$B$9)</f>
        <v>Florida Medicaid</v>
      </c>
      <c r="W18" s="1" t="str">
        <f t="shared" si="3"/>
        <v>2025-11</v>
      </c>
    </row>
    <row r="19" spans="1:23">
      <c r="A19" s="1" t="s">
        <v>74</v>
      </c>
      <c r="B19" s="1" t="s">
        <v>75</v>
      </c>
      <c r="C19" s="1" t="s">
        <v>76</v>
      </c>
      <c r="D19" s="1" t="s">
        <v>19</v>
      </c>
      <c r="E19" s="1" t="s">
        <v>41</v>
      </c>
      <c r="F19">
        <v>1</v>
      </c>
      <c r="G19" s="2">
        <v>46163</v>
      </c>
      <c r="H19" s="2">
        <v>46168</v>
      </c>
      <c r="I19">
        <v>37.51</v>
      </c>
      <c r="J19">
        <v>17.45</v>
      </c>
      <c r="K19">
        <v>13.96</v>
      </c>
      <c r="L19">
        <v>3.49</v>
      </c>
      <c r="M19" s="1" t="s">
        <v>21</v>
      </c>
      <c r="N19" s="1" t="s">
        <v>22</v>
      </c>
      <c r="O19" s="2">
        <v>46209</v>
      </c>
      <c r="P19" s="2">
        <v>46209</v>
      </c>
      <c r="Q19">
        <f>_xlfn.XLOOKUP(E19,CPT!$A$2:$A$13,CPT!$D$2:$D$13)</f>
        <v>38</v>
      </c>
      <c r="R19" s="1">
        <f>_xlfn.XLOOKUP(C19,Contract!$A$2:$A$9,Contract!$B$2:$B$9)</f>
        <v>0.43</v>
      </c>
      <c r="S19" s="1">
        <f t="shared" si="0"/>
        <v>16.34</v>
      </c>
      <c r="T19" s="1">
        <f t="shared" si="1"/>
        <v>-1.1099999999999994</v>
      </c>
      <c r="U19" s="1" t="str">
        <f t="shared" si="2"/>
        <v>OK</v>
      </c>
      <c r="V19" s="1" t="str">
        <f>_xlfn.XLOOKUP(C19,Payers!$A$2:$A$9,Payers!$B$2:$B$9)</f>
        <v>Summit Health Commercial</v>
      </c>
      <c r="W19" s="1" t="str">
        <f t="shared" si="3"/>
        <v>2026-05</v>
      </c>
    </row>
    <row r="20" spans="1:23">
      <c r="A20" s="1" t="s">
        <v>77</v>
      </c>
      <c r="B20" s="1" t="s">
        <v>78</v>
      </c>
      <c r="C20" s="1" t="s">
        <v>79</v>
      </c>
      <c r="D20" s="1" t="s">
        <v>26</v>
      </c>
      <c r="E20" s="1" t="s">
        <v>57</v>
      </c>
      <c r="F20">
        <v>1</v>
      </c>
      <c r="G20" s="2">
        <v>46227</v>
      </c>
      <c r="H20" s="2">
        <v>46228</v>
      </c>
      <c r="I20">
        <v>212.97</v>
      </c>
      <c r="M20" s="1" t="s">
        <v>69</v>
      </c>
      <c r="N20" s="1" t="s">
        <v>22</v>
      </c>
      <c r="O20" s="2"/>
      <c r="P20" s="2"/>
      <c r="Q20">
        <f>_xlfn.XLOOKUP(E20,CPT!$A$2:$A$13,CPT!$D$2:$D$13)</f>
        <v>210</v>
      </c>
      <c r="R20" s="1">
        <f>_xlfn.XLOOKUP(C20,Contract!$A$2:$A$9,Contract!$B$2:$B$9)</f>
        <v>1</v>
      </c>
      <c r="S20" s="1">
        <f t="shared" si="0"/>
        <v>210</v>
      </c>
      <c r="T20" s="1" t="str">
        <f t="shared" si="1"/>
        <v/>
      </c>
      <c r="U20" s="1" t="str">
        <f t="shared" si="2"/>
        <v/>
      </c>
      <c r="V20" s="1" t="str">
        <f>_xlfn.XLOOKUP(C20,Payers!$A$2:$A$9,Payers!$B$2:$B$9)</f>
        <v>Self-Pay</v>
      </c>
      <c r="W20" s="1" t="str">
        <f t="shared" si="3"/>
        <v>2026-07</v>
      </c>
    </row>
    <row r="21" spans="1:23">
      <c r="A21" s="1" t="s">
        <v>80</v>
      </c>
      <c r="B21" s="1" t="s">
        <v>81</v>
      </c>
      <c r="C21" s="1" t="s">
        <v>79</v>
      </c>
      <c r="D21" s="1" t="s">
        <v>19</v>
      </c>
      <c r="E21" s="1" t="s">
        <v>20</v>
      </c>
      <c r="F21">
        <v>1</v>
      </c>
      <c r="G21" s="2">
        <v>45972</v>
      </c>
      <c r="H21" s="2">
        <v>45973</v>
      </c>
      <c r="I21">
        <v>148.06</v>
      </c>
      <c r="J21">
        <v>148.06</v>
      </c>
      <c r="K21">
        <v>148.06</v>
      </c>
      <c r="L21">
        <v>0</v>
      </c>
      <c r="M21" s="1" t="s">
        <v>21</v>
      </c>
      <c r="N21" s="1" t="s">
        <v>22</v>
      </c>
      <c r="O21" s="2">
        <v>46055</v>
      </c>
      <c r="P21" s="2">
        <v>46055</v>
      </c>
      <c r="Q21">
        <f>_xlfn.XLOOKUP(E21,CPT!$A$2:$A$13,CPT!$D$2:$D$13)</f>
        <v>145</v>
      </c>
      <c r="R21" s="1">
        <f>_xlfn.XLOOKUP(C21,Contract!$A$2:$A$9,Contract!$B$2:$B$9)</f>
        <v>1</v>
      </c>
      <c r="S21" s="1">
        <f t="shared" si="0"/>
        <v>145</v>
      </c>
      <c r="T21" s="1">
        <f t="shared" si="1"/>
        <v>-3.0600000000000023</v>
      </c>
      <c r="U21" s="1" t="str">
        <f t="shared" si="2"/>
        <v>OK</v>
      </c>
      <c r="V21" s="1" t="str">
        <f>_xlfn.XLOOKUP(C21,Payers!$A$2:$A$9,Payers!$B$2:$B$9)</f>
        <v>Self-Pay</v>
      </c>
      <c r="W21" s="1" t="str">
        <f t="shared" si="3"/>
        <v>2025-11</v>
      </c>
    </row>
    <row r="22" spans="1:23">
      <c r="A22" s="1" t="s">
        <v>82</v>
      </c>
      <c r="B22" s="1" t="s">
        <v>83</v>
      </c>
      <c r="C22" s="1" t="s">
        <v>76</v>
      </c>
      <c r="D22" s="1" t="s">
        <v>26</v>
      </c>
      <c r="E22" s="1" t="s">
        <v>27</v>
      </c>
      <c r="F22">
        <v>1</v>
      </c>
      <c r="G22" s="2">
        <v>46235</v>
      </c>
      <c r="H22" s="2">
        <v>46236</v>
      </c>
      <c r="I22">
        <v>233.37</v>
      </c>
      <c r="J22">
        <v>101.79</v>
      </c>
      <c r="K22">
        <v>91.61</v>
      </c>
      <c r="L22">
        <v>10.18</v>
      </c>
      <c r="M22" s="1" t="s">
        <v>21</v>
      </c>
      <c r="N22" s="1" t="s">
        <v>22</v>
      </c>
      <c r="O22" s="2">
        <v>46264</v>
      </c>
      <c r="P22" s="2">
        <v>46264</v>
      </c>
      <c r="Q22">
        <f>_xlfn.XLOOKUP(E22,CPT!$A$2:$A$13,CPT!$D$2:$D$13)</f>
        <v>240</v>
      </c>
      <c r="R22" s="1">
        <f>_xlfn.XLOOKUP(C22,Contract!$A$2:$A$9,Contract!$B$2:$B$9)</f>
        <v>0.43</v>
      </c>
      <c r="S22" s="1">
        <f t="shared" si="0"/>
        <v>103.2</v>
      </c>
      <c r="T22" s="1">
        <f t="shared" si="1"/>
        <v>1.4099999999999966</v>
      </c>
      <c r="U22" s="1" t="str">
        <f t="shared" si="2"/>
        <v>OK</v>
      </c>
      <c r="V22" s="1" t="str">
        <f>_xlfn.XLOOKUP(C22,Payers!$A$2:$A$9,Payers!$B$2:$B$9)</f>
        <v>Summit Health Commercial</v>
      </c>
      <c r="W22" s="1" t="str">
        <f t="shared" si="3"/>
        <v>2026-08</v>
      </c>
    </row>
    <row r="23" spans="1:23">
      <c r="A23" s="1" t="s">
        <v>84</v>
      </c>
      <c r="B23" s="1" t="s">
        <v>85</v>
      </c>
      <c r="C23" s="1" t="s">
        <v>18</v>
      </c>
      <c r="D23" s="1" t="s">
        <v>26</v>
      </c>
      <c r="E23" s="1" t="s">
        <v>57</v>
      </c>
      <c r="F23">
        <v>1</v>
      </c>
      <c r="G23" s="2">
        <v>46084</v>
      </c>
      <c r="H23" s="2">
        <v>46095</v>
      </c>
      <c r="I23">
        <v>209.46</v>
      </c>
      <c r="J23">
        <v>67.89</v>
      </c>
      <c r="K23">
        <v>67.89</v>
      </c>
      <c r="L23">
        <v>0</v>
      </c>
      <c r="M23" s="1" t="s">
        <v>21</v>
      </c>
      <c r="N23" s="1" t="s">
        <v>22</v>
      </c>
      <c r="O23" s="2">
        <v>46158</v>
      </c>
      <c r="P23" s="2">
        <v>46158</v>
      </c>
      <c r="Q23">
        <f>_xlfn.XLOOKUP(E23,CPT!$A$2:$A$13,CPT!$D$2:$D$13)</f>
        <v>210</v>
      </c>
      <c r="R23" s="1">
        <f>_xlfn.XLOOKUP(C23,Contract!$A$2:$A$9,Contract!$B$2:$B$9)</f>
        <v>0.38</v>
      </c>
      <c r="S23" s="1">
        <f t="shared" si="0"/>
        <v>79.8</v>
      </c>
      <c r="T23" s="1">
        <f t="shared" si="1"/>
        <v>11.909999999999997</v>
      </c>
      <c r="U23" s="1" t="str">
        <f t="shared" si="2"/>
        <v>Underpaid</v>
      </c>
      <c r="V23" s="1" t="str">
        <f>_xlfn.XLOOKUP(C23,Payers!$A$2:$A$9,Payers!$B$2:$B$9)</f>
        <v>Sunshine Medicare Advantage</v>
      </c>
      <c r="W23" s="1" t="str">
        <f t="shared" si="3"/>
        <v>2026-03</v>
      </c>
    </row>
    <row r="24" spans="1:23">
      <c r="A24" s="1" t="s">
        <v>86</v>
      </c>
      <c r="B24" s="1" t="s">
        <v>87</v>
      </c>
      <c r="C24" s="1" t="s">
        <v>60</v>
      </c>
      <c r="D24" s="1" t="s">
        <v>19</v>
      </c>
      <c r="E24" s="1" t="s">
        <v>88</v>
      </c>
      <c r="F24">
        <v>1</v>
      </c>
      <c r="G24" s="2">
        <v>46109</v>
      </c>
      <c r="H24" s="2">
        <v>46118</v>
      </c>
      <c r="I24">
        <v>265.94</v>
      </c>
      <c r="J24">
        <v>106.93</v>
      </c>
      <c r="K24">
        <v>106.93</v>
      </c>
      <c r="L24">
        <v>0</v>
      </c>
      <c r="M24" s="1" t="s">
        <v>21</v>
      </c>
      <c r="N24" s="1" t="s">
        <v>22</v>
      </c>
      <c r="O24" s="2">
        <v>46152</v>
      </c>
      <c r="P24" s="2">
        <v>46152</v>
      </c>
      <c r="Q24">
        <f>_xlfn.XLOOKUP(E24,CPT!$A$2:$A$13,CPT!$D$2:$D$13)</f>
        <v>260</v>
      </c>
      <c r="R24" s="1">
        <f>_xlfn.XLOOKUP(C24,Contract!$A$2:$A$9,Contract!$B$2:$B$9)</f>
        <v>0.45</v>
      </c>
      <c r="S24" s="1">
        <f t="shared" si="0"/>
        <v>117</v>
      </c>
      <c r="T24" s="1">
        <f t="shared" si="1"/>
        <v>10.069999999999993</v>
      </c>
      <c r="U24" s="1" t="str">
        <f t="shared" si="2"/>
        <v>Underpaid</v>
      </c>
      <c r="V24" s="1" t="str">
        <f>_xlfn.XLOOKUP(C24,Payers!$A$2:$A$9,Payers!$B$2:$B$9)</f>
        <v>Blue Horizon Commercial</v>
      </c>
      <c r="W24" s="1" t="str">
        <f t="shared" si="3"/>
        <v>2026-03</v>
      </c>
    </row>
    <row r="25" spans="1:23">
      <c r="A25" s="1" t="s">
        <v>89</v>
      </c>
      <c r="B25" s="1" t="s">
        <v>90</v>
      </c>
      <c r="C25" s="1" t="s">
        <v>47</v>
      </c>
      <c r="D25" s="1" t="s">
        <v>30</v>
      </c>
      <c r="E25" s="1" t="s">
        <v>91</v>
      </c>
      <c r="F25">
        <v>1</v>
      </c>
      <c r="G25" s="2">
        <v>45984</v>
      </c>
      <c r="H25" s="2">
        <v>45993</v>
      </c>
      <c r="I25">
        <v>57.18</v>
      </c>
      <c r="M25" s="1" t="s">
        <v>32</v>
      </c>
      <c r="N25" s="1" t="s">
        <v>33</v>
      </c>
      <c r="O25" s="2">
        <v>46029</v>
      </c>
      <c r="P25" s="2"/>
      <c r="Q25">
        <f>_xlfn.XLOOKUP(E25,CPT!$A$2:$A$13,CPT!$D$2:$D$13)</f>
        <v>58</v>
      </c>
      <c r="R25" s="1">
        <f>_xlfn.XLOOKUP(C25,Contract!$A$2:$A$9,Contract!$B$2:$B$9)</f>
        <v>0.28000000000000003</v>
      </c>
      <c r="S25" s="1">
        <f t="shared" si="0"/>
        <v>16.239999999999998</v>
      </c>
      <c r="T25" s="1" t="str">
        <f t="shared" si="1"/>
        <v/>
      </c>
      <c r="U25" s="1" t="str">
        <f t="shared" si="2"/>
        <v/>
      </c>
      <c r="V25" s="1" t="str">
        <f>_xlfn.XLOOKUP(C25,Payers!$A$2:$A$9,Payers!$B$2:$B$9)</f>
        <v>Coastal Medicaid MCO</v>
      </c>
      <c r="W25" s="1" t="str">
        <f t="shared" si="3"/>
        <v>2025-11</v>
      </c>
    </row>
    <row r="26" spans="1:23">
      <c r="A26" s="1" t="s">
        <v>92</v>
      </c>
      <c r="B26" s="1" t="s">
        <v>93</v>
      </c>
      <c r="C26" s="1" t="s">
        <v>25</v>
      </c>
      <c r="D26" s="1" t="s">
        <v>30</v>
      </c>
      <c r="E26" s="1" t="s">
        <v>31</v>
      </c>
      <c r="F26">
        <v>1</v>
      </c>
      <c r="G26" s="2">
        <v>46072</v>
      </c>
      <c r="H26" s="2">
        <v>46078</v>
      </c>
      <c r="I26">
        <v>60.15</v>
      </c>
      <c r="J26">
        <v>23.28</v>
      </c>
      <c r="K26">
        <v>23.28</v>
      </c>
      <c r="L26">
        <v>0</v>
      </c>
      <c r="M26" s="1" t="s">
        <v>21</v>
      </c>
      <c r="N26" s="1" t="s">
        <v>22</v>
      </c>
      <c r="O26" s="2">
        <v>46090</v>
      </c>
      <c r="P26" s="2">
        <v>46090</v>
      </c>
      <c r="Q26">
        <f>_xlfn.XLOOKUP(E26,CPT!$A$2:$A$13,CPT!$D$2:$D$13)</f>
        <v>62</v>
      </c>
      <c r="R26" s="1">
        <f>_xlfn.XLOOKUP(C26,Contract!$A$2:$A$9,Contract!$B$2:$B$9)</f>
        <v>0.36</v>
      </c>
      <c r="S26" s="1">
        <f t="shared" si="0"/>
        <v>22.32</v>
      </c>
      <c r="T26" s="1">
        <f t="shared" si="1"/>
        <v>-0.96000000000000085</v>
      </c>
      <c r="U26" s="1" t="str">
        <f t="shared" si="2"/>
        <v>OK</v>
      </c>
      <c r="V26" s="1" t="str">
        <f>_xlfn.XLOOKUP(C26,Payers!$A$2:$A$9,Payers!$B$2:$B$9)</f>
        <v>Medicare Part B</v>
      </c>
      <c r="W26" s="1" t="str">
        <f t="shared" si="3"/>
        <v>2026-02</v>
      </c>
    </row>
    <row r="27" spans="1:23">
      <c r="A27" s="1" t="s">
        <v>94</v>
      </c>
      <c r="B27" s="1" t="s">
        <v>95</v>
      </c>
      <c r="C27" s="1" t="s">
        <v>47</v>
      </c>
      <c r="D27" s="1" t="s">
        <v>26</v>
      </c>
      <c r="E27" s="1" t="s">
        <v>41</v>
      </c>
      <c r="F27">
        <v>1</v>
      </c>
      <c r="G27" s="2">
        <v>46210</v>
      </c>
      <c r="H27" s="2">
        <v>46212</v>
      </c>
      <c r="I27">
        <v>36.94</v>
      </c>
      <c r="J27">
        <v>10.08</v>
      </c>
      <c r="K27">
        <v>10.08</v>
      </c>
      <c r="L27">
        <v>0</v>
      </c>
      <c r="M27" s="1" t="s">
        <v>21</v>
      </c>
      <c r="N27" s="1" t="s">
        <v>22</v>
      </c>
      <c r="O27" s="2">
        <v>46266</v>
      </c>
      <c r="P27" s="2">
        <v>46266</v>
      </c>
      <c r="Q27">
        <f>_xlfn.XLOOKUP(E27,CPT!$A$2:$A$13,CPT!$D$2:$D$13)</f>
        <v>38</v>
      </c>
      <c r="R27" s="1">
        <f>_xlfn.XLOOKUP(C27,Contract!$A$2:$A$9,Contract!$B$2:$B$9)</f>
        <v>0.28000000000000003</v>
      </c>
      <c r="S27" s="1">
        <f t="shared" si="0"/>
        <v>10.64</v>
      </c>
      <c r="T27" s="1">
        <f t="shared" si="1"/>
        <v>0.5600000000000005</v>
      </c>
      <c r="U27" s="1" t="str">
        <f t="shared" si="2"/>
        <v>Underpaid</v>
      </c>
      <c r="V27" s="1" t="str">
        <f>_xlfn.XLOOKUP(C27,Payers!$A$2:$A$9,Payers!$B$2:$B$9)</f>
        <v>Coastal Medicaid MCO</v>
      </c>
      <c r="W27" s="1" t="str">
        <f t="shared" si="3"/>
        <v>2026-07</v>
      </c>
    </row>
    <row r="28" spans="1:23">
      <c r="A28" s="1" t="s">
        <v>96</v>
      </c>
      <c r="B28" s="1" t="s">
        <v>97</v>
      </c>
      <c r="C28" s="1" t="s">
        <v>47</v>
      </c>
      <c r="D28" s="1" t="s">
        <v>19</v>
      </c>
      <c r="E28" s="1" t="s">
        <v>20</v>
      </c>
      <c r="F28">
        <v>1</v>
      </c>
      <c r="G28" s="2">
        <v>46038</v>
      </c>
      <c r="H28" s="2">
        <v>46043</v>
      </c>
      <c r="I28">
        <v>146.58000000000001</v>
      </c>
      <c r="M28" s="1" t="s">
        <v>32</v>
      </c>
      <c r="N28" s="1" t="s">
        <v>98</v>
      </c>
      <c r="O28" s="2">
        <v>46134</v>
      </c>
      <c r="P28" s="2"/>
      <c r="Q28">
        <f>_xlfn.XLOOKUP(E28,CPT!$A$2:$A$13,CPT!$D$2:$D$13)</f>
        <v>145</v>
      </c>
      <c r="R28" s="1">
        <f>_xlfn.XLOOKUP(C28,Contract!$A$2:$A$9,Contract!$B$2:$B$9)</f>
        <v>0.28000000000000003</v>
      </c>
      <c r="S28" s="1">
        <f t="shared" si="0"/>
        <v>40.6</v>
      </c>
      <c r="T28" s="1" t="str">
        <f t="shared" si="1"/>
        <v/>
      </c>
      <c r="U28" s="1" t="str">
        <f t="shared" si="2"/>
        <v/>
      </c>
      <c r="V28" s="1" t="str">
        <f>_xlfn.XLOOKUP(C28,Payers!$A$2:$A$9,Payers!$B$2:$B$9)</f>
        <v>Coastal Medicaid MCO</v>
      </c>
      <c r="W28" s="1" t="str">
        <f t="shared" si="3"/>
        <v>2026-01</v>
      </c>
    </row>
    <row r="29" spans="1:23">
      <c r="A29" s="1" t="s">
        <v>99</v>
      </c>
      <c r="B29" s="1" t="s">
        <v>100</v>
      </c>
      <c r="C29" s="1" t="s">
        <v>47</v>
      </c>
      <c r="D29" s="1" t="s">
        <v>30</v>
      </c>
      <c r="E29" s="1" t="s">
        <v>31</v>
      </c>
      <c r="F29">
        <v>1</v>
      </c>
      <c r="G29" s="2">
        <v>45943</v>
      </c>
      <c r="H29" s="2">
        <v>45945</v>
      </c>
      <c r="I29">
        <v>62.88</v>
      </c>
      <c r="J29">
        <v>19.53</v>
      </c>
      <c r="K29">
        <v>19.53</v>
      </c>
      <c r="L29">
        <v>0</v>
      </c>
      <c r="M29" s="1" t="s">
        <v>21</v>
      </c>
      <c r="N29" s="1" t="s">
        <v>22</v>
      </c>
      <c r="O29" s="2">
        <v>46001</v>
      </c>
      <c r="P29" s="2">
        <v>46001</v>
      </c>
      <c r="Q29">
        <f>_xlfn.XLOOKUP(E29,CPT!$A$2:$A$13,CPT!$D$2:$D$13)</f>
        <v>62</v>
      </c>
      <c r="R29" s="1">
        <f>_xlfn.XLOOKUP(C29,Contract!$A$2:$A$9,Contract!$B$2:$B$9)</f>
        <v>0.28000000000000003</v>
      </c>
      <c r="S29" s="1">
        <f t="shared" si="0"/>
        <v>17.36</v>
      </c>
      <c r="T29" s="1">
        <f t="shared" si="1"/>
        <v>-2.1700000000000017</v>
      </c>
      <c r="U29" s="1" t="str">
        <f t="shared" si="2"/>
        <v>OK</v>
      </c>
      <c r="V29" s="1" t="str">
        <f>_xlfn.XLOOKUP(C29,Payers!$A$2:$A$9,Payers!$B$2:$B$9)</f>
        <v>Coastal Medicaid MCO</v>
      </c>
      <c r="W29" s="1" t="str">
        <f t="shared" si="3"/>
        <v>2025-10</v>
      </c>
    </row>
    <row r="30" spans="1:23">
      <c r="A30" s="1" t="s">
        <v>101</v>
      </c>
      <c r="B30" s="1" t="s">
        <v>102</v>
      </c>
      <c r="C30" s="1" t="s">
        <v>60</v>
      </c>
      <c r="D30" s="1" t="s">
        <v>26</v>
      </c>
      <c r="E30" s="1" t="s">
        <v>41</v>
      </c>
      <c r="F30">
        <v>1</v>
      </c>
      <c r="G30" s="2">
        <v>45950</v>
      </c>
      <c r="H30" s="2">
        <v>45952</v>
      </c>
      <c r="I30">
        <v>38.82</v>
      </c>
      <c r="J30">
        <v>17.25</v>
      </c>
      <c r="K30">
        <v>17.25</v>
      </c>
      <c r="L30">
        <v>0</v>
      </c>
      <c r="M30" s="1" t="s">
        <v>21</v>
      </c>
      <c r="N30" s="1" t="s">
        <v>22</v>
      </c>
      <c r="O30" s="2">
        <v>45974</v>
      </c>
      <c r="P30" s="2">
        <v>45974</v>
      </c>
      <c r="Q30">
        <f>_xlfn.XLOOKUP(E30,CPT!$A$2:$A$13,CPT!$D$2:$D$13)</f>
        <v>38</v>
      </c>
      <c r="R30" s="1">
        <f>_xlfn.XLOOKUP(C30,Contract!$A$2:$A$9,Contract!$B$2:$B$9)</f>
        <v>0.45</v>
      </c>
      <c r="S30" s="1">
        <f t="shared" si="0"/>
        <v>17.100000000000001</v>
      </c>
      <c r="T30" s="1">
        <f t="shared" si="1"/>
        <v>-0.14999999999999858</v>
      </c>
      <c r="U30" s="1" t="str">
        <f t="shared" si="2"/>
        <v>OK</v>
      </c>
      <c r="V30" s="1" t="str">
        <f>_xlfn.XLOOKUP(C30,Payers!$A$2:$A$9,Payers!$B$2:$B$9)</f>
        <v>Blue Horizon Commercial</v>
      </c>
      <c r="W30" s="1" t="str">
        <f t="shared" si="3"/>
        <v>2025-10</v>
      </c>
    </row>
    <row r="31" spans="1:23">
      <c r="A31" s="1" t="s">
        <v>103</v>
      </c>
      <c r="B31" s="1" t="s">
        <v>104</v>
      </c>
      <c r="C31" s="1" t="s">
        <v>76</v>
      </c>
      <c r="D31" s="1" t="s">
        <v>26</v>
      </c>
      <c r="E31" s="1" t="s">
        <v>57</v>
      </c>
      <c r="F31">
        <v>1</v>
      </c>
      <c r="G31" s="2">
        <v>46073</v>
      </c>
      <c r="H31" s="2">
        <v>46087</v>
      </c>
      <c r="I31">
        <v>214.59</v>
      </c>
      <c r="J31">
        <v>95.78</v>
      </c>
      <c r="K31">
        <v>76.62</v>
      </c>
      <c r="L31">
        <v>19.16</v>
      </c>
      <c r="M31" s="1" t="s">
        <v>21</v>
      </c>
      <c r="N31" s="1" t="s">
        <v>22</v>
      </c>
      <c r="O31" s="2">
        <v>46135</v>
      </c>
      <c r="P31" s="2">
        <v>46135</v>
      </c>
      <c r="Q31">
        <f>_xlfn.XLOOKUP(E31,CPT!$A$2:$A$13,CPT!$D$2:$D$13)</f>
        <v>210</v>
      </c>
      <c r="R31" s="1">
        <f>_xlfn.XLOOKUP(C31,Contract!$A$2:$A$9,Contract!$B$2:$B$9)</f>
        <v>0.43</v>
      </c>
      <c r="S31" s="1">
        <f t="shared" si="0"/>
        <v>90.3</v>
      </c>
      <c r="T31" s="1">
        <f t="shared" si="1"/>
        <v>-5.480000000000004</v>
      </c>
      <c r="U31" s="1" t="str">
        <f t="shared" si="2"/>
        <v>OK</v>
      </c>
      <c r="V31" s="1" t="str">
        <f>_xlfn.XLOOKUP(C31,Payers!$A$2:$A$9,Payers!$B$2:$B$9)</f>
        <v>Summit Health Commercial</v>
      </c>
      <c r="W31" s="1" t="str">
        <f t="shared" si="3"/>
        <v>2026-02</v>
      </c>
    </row>
    <row r="32" spans="1:23">
      <c r="A32" s="1" t="s">
        <v>105</v>
      </c>
      <c r="B32" s="1" t="s">
        <v>106</v>
      </c>
      <c r="C32" s="1" t="s">
        <v>76</v>
      </c>
      <c r="D32" s="1" t="s">
        <v>30</v>
      </c>
      <c r="E32" s="1" t="s">
        <v>20</v>
      </c>
      <c r="F32">
        <v>1</v>
      </c>
      <c r="G32" s="2">
        <v>45945</v>
      </c>
      <c r="H32" s="2">
        <v>45960</v>
      </c>
      <c r="I32">
        <v>141.65</v>
      </c>
      <c r="J32">
        <v>56.14</v>
      </c>
      <c r="K32">
        <v>50.53</v>
      </c>
      <c r="L32">
        <v>5.61</v>
      </c>
      <c r="M32" s="1" t="s">
        <v>21</v>
      </c>
      <c r="N32" s="1" t="s">
        <v>22</v>
      </c>
      <c r="O32" s="2">
        <v>45999</v>
      </c>
      <c r="P32" s="2">
        <v>45999</v>
      </c>
      <c r="Q32">
        <f>_xlfn.XLOOKUP(E32,CPT!$A$2:$A$13,CPT!$D$2:$D$13)</f>
        <v>145</v>
      </c>
      <c r="R32" s="1">
        <f>_xlfn.XLOOKUP(C32,Contract!$A$2:$A$9,Contract!$B$2:$B$9)</f>
        <v>0.43</v>
      </c>
      <c r="S32" s="1">
        <f t="shared" si="0"/>
        <v>62.35</v>
      </c>
      <c r="T32" s="1">
        <f t="shared" si="1"/>
        <v>6.2100000000000009</v>
      </c>
      <c r="U32" s="1" t="str">
        <f t="shared" si="2"/>
        <v>Underpaid</v>
      </c>
      <c r="V32" s="1" t="str">
        <f>_xlfn.XLOOKUP(C32,Payers!$A$2:$A$9,Payers!$B$2:$B$9)</f>
        <v>Summit Health Commercial</v>
      </c>
      <c r="W32" s="1" t="str">
        <f t="shared" si="3"/>
        <v>2025-10</v>
      </c>
    </row>
    <row r="33" spans="1:23">
      <c r="A33" s="1" t="s">
        <v>107</v>
      </c>
      <c r="B33" s="1" t="s">
        <v>108</v>
      </c>
      <c r="C33" s="1" t="s">
        <v>76</v>
      </c>
      <c r="D33" s="1" t="s">
        <v>19</v>
      </c>
      <c r="E33" s="1" t="s">
        <v>20</v>
      </c>
      <c r="F33">
        <v>1</v>
      </c>
      <c r="G33" s="2">
        <v>46226</v>
      </c>
      <c r="H33" s="2">
        <v>46227</v>
      </c>
      <c r="I33">
        <v>142.30000000000001</v>
      </c>
      <c r="J33">
        <v>61.21</v>
      </c>
      <c r="K33">
        <v>61.21</v>
      </c>
      <c r="L33">
        <v>0</v>
      </c>
      <c r="M33" s="1" t="s">
        <v>21</v>
      </c>
      <c r="N33" s="1" t="s">
        <v>22</v>
      </c>
      <c r="O33" s="2">
        <v>46265</v>
      </c>
      <c r="P33" s="2">
        <v>46265</v>
      </c>
      <c r="Q33">
        <f>_xlfn.XLOOKUP(E33,CPT!$A$2:$A$13,CPT!$D$2:$D$13)</f>
        <v>145</v>
      </c>
      <c r="R33" s="1">
        <f>_xlfn.XLOOKUP(C33,Contract!$A$2:$A$9,Contract!$B$2:$B$9)</f>
        <v>0.43</v>
      </c>
      <c r="S33" s="1">
        <f t="shared" si="0"/>
        <v>62.35</v>
      </c>
      <c r="T33" s="1">
        <f t="shared" si="1"/>
        <v>1.1400000000000006</v>
      </c>
      <c r="U33" s="1" t="str">
        <f t="shared" si="2"/>
        <v>OK</v>
      </c>
      <c r="V33" s="1" t="str">
        <f>_xlfn.XLOOKUP(C33,Payers!$A$2:$A$9,Payers!$B$2:$B$9)</f>
        <v>Summit Health Commercial</v>
      </c>
      <c r="W33" s="1" t="str">
        <f t="shared" si="3"/>
        <v>2026-07</v>
      </c>
    </row>
    <row r="34" spans="1:23">
      <c r="A34" s="1" t="s">
        <v>109</v>
      </c>
      <c r="B34" s="1" t="s">
        <v>110</v>
      </c>
      <c r="C34" s="1" t="s">
        <v>25</v>
      </c>
      <c r="D34" s="1" t="s">
        <v>19</v>
      </c>
      <c r="E34" s="1" t="s">
        <v>88</v>
      </c>
      <c r="F34">
        <v>1</v>
      </c>
      <c r="G34" s="2">
        <v>46270</v>
      </c>
      <c r="H34" s="2">
        <v>46276</v>
      </c>
      <c r="I34">
        <v>265.43</v>
      </c>
      <c r="J34">
        <v>89.89</v>
      </c>
      <c r="K34">
        <v>80.900000000000006</v>
      </c>
      <c r="L34">
        <v>8.99</v>
      </c>
      <c r="M34" s="1" t="s">
        <v>21</v>
      </c>
      <c r="N34" s="1" t="s">
        <v>22</v>
      </c>
      <c r="O34" s="2">
        <v>46289</v>
      </c>
      <c r="P34" s="2">
        <v>46289</v>
      </c>
      <c r="Q34">
        <f>_xlfn.XLOOKUP(E34,CPT!$A$2:$A$13,CPT!$D$2:$D$13)</f>
        <v>260</v>
      </c>
      <c r="R34" s="1">
        <f>_xlfn.XLOOKUP(C34,Contract!$A$2:$A$9,Contract!$B$2:$B$9)</f>
        <v>0.36</v>
      </c>
      <c r="S34" s="1">
        <f t="shared" si="0"/>
        <v>93.6</v>
      </c>
      <c r="T34" s="1">
        <f t="shared" si="1"/>
        <v>3.7099999999999937</v>
      </c>
      <c r="U34" s="1" t="str">
        <f t="shared" si="2"/>
        <v>OK</v>
      </c>
      <c r="V34" s="1" t="str">
        <f>_xlfn.XLOOKUP(C34,Payers!$A$2:$A$9,Payers!$B$2:$B$9)</f>
        <v>Medicare Part B</v>
      </c>
      <c r="W34" s="1" t="str">
        <f t="shared" si="3"/>
        <v>2026-09</v>
      </c>
    </row>
    <row r="35" spans="1:23">
      <c r="A35" s="1" t="s">
        <v>111</v>
      </c>
      <c r="B35" s="1" t="s">
        <v>112</v>
      </c>
      <c r="C35" s="1" t="s">
        <v>25</v>
      </c>
      <c r="D35" s="1" t="s">
        <v>26</v>
      </c>
      <c r="E35" s="1" t="s">
        <v>113</v>
      </c>
      <c r="F35">
        <v>1</v>
      </c>
      <c r="G35" s="2">
        <v>46125</v>
      </c>
      <c r="H35" s="2">
        <v>46135</v>
      </c>
      <c r="I35">
        <v>1061.17</v>
      </c>
      <c r="J35">
        <v>358.36</v>
      </c>
      <c r="K35">
        <v>358.36</v>
      </c>
      <c r="L35">
        <v>0</v>
      </c>
      <c r="M35" s="1" t="s">
        <v>21</v>
      </c>
      <c r="N35" s="1" t="s">
        <v>22</v>
      </c>
      <c r="O35" s="2">
        <v>46155</v>
      </c>
      <c r="P35" s="2">
        <v>46155</v>
      </c>
      <c r="Q35">
        <f>_xlfn.XLOOKUP(E35,CPT!$A$2:$A$13,CPT!$D$2:$D$13)</f>
        <v>1050</v>
      </c>
      <c r="R35" s="1">
        <f>_xlfn.XLOOKUP(C35,Contract!$A$2:$A$9,Contract!$B$2:$B$9)</f>
        <v>0.36</v>
      </c>
      <c r="S35" s="1">
        <f t="shared" si="0"/>
        <v>378</v>
      </c>
      <c r="T35" s="1">
        <f t="shared" si="1"/>
        <v>19.639999999999986</v>
      </c>
      <c r="U35" s="1" t="str">
        <f t="shared" si="2"/>
        <v>Underpaid</v>
      </c>
      <c r="V35" s="1" t="str">
        <f>_xlfn.XLOOKUP(C35,Payers!$A$2:$A$9,Payers!$B$2:$B$9)</f>
        <v>Medicare Part B</v>
      </c>
      <c r="W35" s="1" t="str">
        <f t="shared" si="3"/>
        <v>2026-04</v>
      </c>
    </row>
    <row r="36" spans="1:23">
      <c r="A36" s="1" t="s">
        <v>114</v>
      </c>
      <c r="B36" s="1" t="s">
        <v>115</v>
      </c>
      <c r="C36" s="1" t="s">
        <v>36</v>
      </c>
      <c r="D36" s="1" t="s">
        <v>26</v>
      </c>
      <c r="E36" s="1" t="s">
        <v>113</v>
      </c>
      <c r="F36">
        <v>1</v>
      </c>
      <c r="G36" s="2">
        <v>46241</v>
      </c>
      <c r="H36" s="2">
        <v>46244</v>
      </c>
      <c r="I36">
        <v>1059.75</v>
      </c>
      <c r="J36">
        <v>260.64999999999998</v>
      </c>
      <c r="K36">
        <v>260.64999999999998</v>
      </c>
      <c r="L36">
        <v>0</v>
      </c>
      <c r="M36" s="1" t="s">
        <v>21</v>
      </c>
      <c r="N36" s="1" t="s">
        <v>22</v>
      </c>
      <c r="O36" s="2">
        <v>46258</v>
      </c>
      <c r="P36" s="2">
        <v>46258</v>
      </c>
      <c r="Q36">
        <f>_xlfn.XLOOKUP(E36,CPT!$A$2:$A$13,CPT!$D$2:$D$13)</f>
        <v>1050</v>
      </c>
      <c r="R36" s="1">
        <f>_xlfn.XLOOKUP(C36,Contract!$A$2:$A$9,Contract!$B$2:$B$9)</f>
        <v>0.27</v>
      </c>
      <c r="S36" s="1">
        <f t="shared" si="0"/>
        <v>283.5</v>
      </c>
      <c r="T36" s="1">
        <f t="shared" si="1"/>
        <v>22.850000000000023</v>
      </c>
      <c r="U36" s="1" t="str">
        <f t="shared" si="2"/>
        <v>Underpaid</v>
      </c>
      <c r="V36" s="1" t="str">
        <f>_xlfn.XLOOKUP(C36,Payers!$A$2:$A$9,Payers!$B$2:$B$9)</f>
        <v>Florida Medicaid</v>
      </c>
      <c r="W36" s="1" t="str">
        <f t="shared" si="3"/>
        <v>2026-08</v>
      </c>
    </row>
    <row r="37" spans="1:23">
      <c r="A37" s="1" t="s">
        <v>116</v>
      </c>
      <c r="B37" s="1" t="s">
        <v>117</v>
      </c>
      <c r="C37" s="1" t="s">
        <v>25</v>
      </c>
      <c r="D37" s="1" t="s">
        <v>26</v>
      </c>
      <c r="E37" s="1" t="s">
        <v>27</v>
      </c>
      <c r="F37">
        <v>1</v>
      </c>
      <c r="G37" s="2">
        <v>46248</v>
      </c>
      <c r="H37" s="2">
        <v>46255</v>
      </c>
      <c r="I37">
        <v>237.63</v>
      </c>
      <c r="J37">
        <v>90.15</v>
      </c>
      <c r="K37">
        <v>90.15</v>
      </c>
      <c r="L37">
        <v>0</v>
      </c>
      <c r="M37" s="1" t="s">
        <v>21</v>
      </c>
      <c r="N37" s="1" t="s">
        <v>22</v>
      </c>
      <c r="O37" s="2">
        <v>46274</v>
      </c>
      <c r="P37" s="2">
        <v>46274</v>
      </c>
      <c r="Q37">
        <f>_xlfn.XLOOKUP(E37,CPT!$A$2:$A$13,CPT!$D$2:$D$13)</f>
        <v>240</v>
      </c>
      <c r="R37" s="1">
        <f>_xlfn.XLOOKUP(C37,Contract!$A$2:$A$9,Contract!$B$2:$B$9)</f>
        <v>0.36</v>
      </c>
      <c r="S37" s="1">
        <f t="shared" si="0"/>
        <v>86.4</v>
      </c>
      <c r="T37" s="1">
        <f t="shared" si="1"/>
        <v>-3.75</v>
      </c>
      <c r="U37" s="1" t="str">
        <f t="shared" si="2"/>
        <v>OK</v>
      </c>
      <c r="V37" s="1" t="str">
        <f>_xlfn.XLOOKUP(C37,Payers!$A$2:$A$9,Payers!$B$2:$B$9)</f>
        <v>Medicare Part B</v>
      </c>
      <c r="W37" s="1" t="str">
        <f t="shared" si="3"/>
        <v>2026-08</v>
      </c>
    </row>
    <row r="38" spans="1:23">
      <c r="A38" s="1" t="s">
        <v>118</v>
      </c>
      <c r="B38" s="1" t="s">
        <v>119</v>
      </c>
      <c r="C38" s="1" t="s">
        <v>60</v>
      </c>
      <c r="D38" s="1" t="s">
        <v>26</v>
      </c>
      <c r="E38" s="1" t="s">
        <v>88</v>
      </c>
      <c r="F38">
        <v>1</v>
      </c>
      <c r="G38" s="2">
        <v>46174</v>
      </c>
      <c r="H38" s="2">
        <v>46180</v>
      </c>
      <c r="I38">
        <v>261.74</v>
      </c>
      <c r="J38">
        <v>131.93</v>
      </c>
      <c r="K38">
        <v>105.54</v>
      </c>
      <c r="L38">
        <v>26.39</v>
      </c>
      <c r="M38" s="1" t="s">
        <v>21</v>
      </c>
      <c r="N38" s="1" t="s">
        <v>22</v>
      </c>
      <c r="O38" s="2">
        <v>46196</v>
      </c>
      <c r="P38" s="2">
        <v>46196</v>
      </c>
      <c r="Q38">
        <f>_xlfn.XLOOKUP(E38,CPT!$A$2:$A$13,CPT!$D$2:$D$13)</f>
        <v>260</v>
      </c>
      <c r="R38" s="1">
        <f>_xlfn.XLOOKUP(C38,Contract!$A$2:$A$9,Contract!$B$2:$B$9)</f>
        <v>0.45</v>
      </c>
      <c r="S38" s="1">
        <f t="shared" si="0"/>
        <v>117</v>
      </c>
      <c r="T38" s="1">
        <f t="shared" si="1"/>
        <v>-14.930000000000007</v>
      </c>
      <c r="U38" s="1" t="str">
        <f t="shared" si="2"/>
        <v>OK</v>
      </c>
      <c r="V38" s="1" t="str">
        <f>_xlfn.XLOOKUP(C38,Payers!$A$2:$A$9,Payers!$B$2:$B$9)</f>
        <v>Blue Horizon Commercial</v>
      </c>
      <c r="W38" s="1" t="str">
        <f t="shared" si="3"/>
        <v>2026-06</v>
      </c>
    </row>
    <row r="39" spans="1:23">
      <c r="A39" s="1" t="s">
        <v>120</v>
      </c>
      <c r="B39" s="1" t="s">
        <v>121</v>
      </c>
      <c r="C39" s="1" t="s">
        <v>25</v>
      </c>
      <c r="D39" s="1" t="s">
        <v>19</v>
      </c>
      <c r="E39" s="1" t="s">
        <v>57</v>
      </c>
      <c r="F39">
        <v>1</v>
      </c>
      <c r="G39" s="2">
        <v>45933</v>
      </c>
      <c r="H39" s="2">
        <v>45941</v>
      </c>
      <c r="I39">
        <v>214.95</v>
      </c>
      <c r="J39">
        <v>84.08</v>
      </c>
      <c r="K39">
        <v>84.08</v>
      </c>
      <c r="L39">
        <v>0</v>
      </c>
      <c r="M39" s="1" t="s">
        <v>21</v>
      </c>
      <c r="N39" s="1" t="s">
        <v>22</v>
      </c>
      <c r="O39" s="2">
        <v>45955</v>
      </c>
      <c r="P39" s="2">
        <v>45955</v>
      </c>
      <c r="Q39">
        <f>_xlfn.XLOOKUP(E39,CPT!$A$2:$A$13,CPT!$D$2:$D$13)</f>
        <v>210</v>
      </c>
      <c r="R39" s="1">
        <f>_xlfn.XLOOKUP(C39,Contract!$A$2:$A$9,Contract!$B$2:$B$9)</f>
        <v>0.36</v>
      </c>
      <c r="S39" s="1">
        <f t="shared" si="0"/>
        <v>75.599999999999994</v>
      </c>
      <c r="T39" s="1">
        <f t="shared" si="1"/>
        <v>-8.480000000000004</v>
      </c>
      <c r="U39" s="1" t="str">
        <f t="shared" si="2"/>
        <v>OK</v>
      </c>
      <c r="V39" s="1" t="str">
        <f>_xlfn.XLOOKUP(C39,Payers!$A$2:$A$9,Payers!$B$2:$B$9)</f>
        <v>Medicare Part B</v>
      </c>
      <c r="W39" s="1" t="str">
        <f t="shared" si="3"/>
        <v>2025-10</v>
      </c>
    </row>
    <row r="40" spans="1:23">
      <c r="A40" s="1" t="s">
        <v>122</v>
      </c>
      <c r="B40" s="1" t="s">
        <v>123</v>
      </c>
      <c r="C40" s="1" t="s">
        <v>52</v>
      </c>
      <c r="D40" s="1" t="s">
        <v>30</v>
      </c>
      <c r="E40" s="1" t="s">
        <v>20</v>
      </c>
      <c r="F40">
        <v>1</v>
      </c>
      <c r="G40" s="2">
        <v>45956</v>
      </c>
      <c r="H40" s="2">
        <v>45966</v>
      </c>
      <c r="I40">
        <v>145.5</v>
      </c>
      <c r="M40" s="1" t="s">
        <v>32</v>
      </c>
      <c r="N40" s="1" t="s">
        <v>124</v>
      </c>
      <c r="O40" s="2">
        <v>46000</v>
      </c>
      <c r="P40" s="2"/>
      <c r="Q40">
        <f>_xlfn.XLOOKUP(E40,CPT!$A$2:$A$13,CPT!$D$2:$D$13)</f>
        <v>145</v>
      </c>
      <c r="R40" s="1">
        <f>_xlfn.XLOOKUP(C40,Contract!$A$2:$A$9,Contract!$B$2:$B$9)</f>
        <v>0.47</v>
      </c>
      <c r="S40" s="1">
        <f t="shared" si="0"/>
        <v>68.150000000000006</v>
      </c>
      <c r="T40" s="1" t="str">
        <f t="shared" si="1"/>
        <v/>
      </c>
      <c r="U40" s="1" t="str">
        <f t="shared" si="2"/>
        <v/>
      </c>
      <c r="V40" s="1" t="str">
        <f>_xlfn.XLOOKUP(C40,Payers!$A$2:$A$9,Payers!$B$2:$B$9)</f>
        <v>Keystone Commercial PPO</v>
      </c>
      <c r="W40" s="1" t="str">
        <f t="shared" si="3"/>
        <v>2025-10</v>
      </c>
    </row>
    <row r="41" spans="1:23">
      <c r="A41" s="1" t="s">
        <v>125</v>
      </c>
      <c r="B41" s="1" t="s">
        <v>126</v>
      </c>
      <c r="C41" s="1" t="s">
        <v>36</v>
      </c>
      <c r="D41" s="1" t="s">
        <v>19</v>
      </c>
      <c r="E41" s="1" t="s">
        <v>41</v>
      </c>
      <c r="F41">
        <v>1</v>
      </c>
      <c r="G41" s="2">
        <v>46211</v>
      </c>
      <c r="H41" s="2">
        <v>46212</v>
      </c>
      <c r="I41">
        <v>37.880000000000003</v>
      </c>
      <c r="J41">
        <v>10.07</v>
      </c>
      <c r="K41">
        <v>10.07</v>
      </c>
      <c r="L41">
        <v>0</v>
      </c>
      <c r="M41" s="1" t="s">
        <v>21</v>
      </c>
      <c r="N41" s="1" t="s">
        <v>22</v>
      </c>
      <c r="O41" s="2">
        <v>46248</v>
      </c>
      <c r="P41" s="2">
        <v>46248</v>
      </c>
      <c r="Q41">
        <f>_xlfn.XLOOKUP(E41,CPT!$A$2:$A$13,CPT!$D$2:$D$13)</f>
        <v>38</v>
      </c>
      <c r="R41" s="1">
        <f>_xlfn.XLOOKUP(C41,Contract!$A$2:$A$9,Contract!$B$2:$B$9)</f>
        <v>0.27</v>
      </c>
      <c r="S41" s="1">
        <f t="shared" si="0"/>
        <v>10.26</v>
      </c>
      <c r="T41" s="1">
        <f t="shared" si="1"/>
        <v>0.1899999999999995</v>
      </c>
      <c r="U41" s="1" t="str">
        <f t="shared" si="2"/>
        <v>OK</v>
      </c>
      <c r="V41" s="1" t="str">
        <f>_xlfn.XLOOKUP(C41,Payers!$A$2:$A$9,Payers!$B$2:$B$9)</f>
        <v>Florida Medicaid</v>
      </c>
      <c r="W41" s="1" t="str">
        <f t="shared" si="3"/>
        <v>2026-07</v>
      </c>
    </row>
    <row r="42" spans="1:23">
      <c r="A42" s="1" t="s">
        <v>127</v>
      </c>
      <c r="B42" s="1" t="s">
        <v>128</v>
      </c>
      <c r="C42" s="1" t="s">
        <v>25</v>
      </c>
      <c r="D42" s="1" t="s">
        <v>19</v>
      </c>
      <c r="E42" s="1" t="s">
        <v>41</v>
      </c>
      <c r="F42">
        <v>1</v>
      </c>
      <c r="G42" s="2">
        <v>46071</v>
      </c>
      <c r="H42" s="2">
        <v>46077</v>
      </c>
      <c r="I42">
        <v>37.86</v>
      </c>
      <c r="J42">
        <v>12.93</v>
      </c>
      <c r="K42">
        <v>12.93</v>
      </c>
      <c r="L42">
        <v>0</v>
      </c>
      <c r="M42" s="1" t="s">
        <v>21</v>
      </c>
      <c r="N42" s="1" t="s">
        <v>22</v>
      </c>
      <c r="O42" s="2">
        <v>46096</v>
      </c>
      <c r="P42" s="2">
        <v>46096</v>
      </c>
      <c r="Q42">
        <f>_xlfn.XLOOKUP(E42,CPT!$A$2:$A$13,CPT!$D$2:$D$13)</f>
        <v>38</v>
      </c>
      <c r="R42" s="1">
        <f>_xlfn.XLOOKUP(C42,Contract!$A$2:$A$9,Contract!$B$2:$B$9)</f>
        <v>0.36</v>
      </c>
      <c r="S42" s="1">
        <f t="shared" si="0"/>
        <v>13.68</v>
      </c>
      <c r="T42" s="1">
        <f t="shared" si="1"/>
        <v>0.75</v>
      </c>
      <c r="U42" s="1" t="str">
        <f t="shared" si="2"/>
        <v>Underpaid</v>
      </c>
      <c r="V42" s="1" t="str">
        <f>_xlfn.XLOOKUP(C42,Payers!$A$2:$A$9,Payers!$B$2:$B$9)</f>
        <v>Medicare Part B</v>
      </c>
      <c r="W42" s="1" t="str">
        <f t="shared" si="3"/>
        <v>2026-02</v>
      </c>
    </row>
    <row r="43" spans="1:23">
      <c r="A43" s="1" t="s">
        <v>129</v>
      </c>
      <c r="B43" s="1" t="s">
        <v>130</v>
      </c>
      <c r="C43" s="1" t="s">
        <v>18</v>
      </c>
      <c r="D43" s="1" t="s">
        <v>19</v>
      </c>
      <c r="E43" s="1" t="s">
        <v>57</v>
      </c>
      <c r="F43">
        <v>1</v>
      </c>
      <c r="G43" s="2">
        <v>45963</v>
      </c>
      <c r="H43" s="2">
        <v>45965</v>
      </c>
      <c r="I43">
        <v>208.93</v>
      </c>
      <c r="J43">
        <v>69.03</v>
      </c>
      <c r="K43">
        <v>55.22</v>
      </c>
      <c r="L43">
        <v>13.81</v>
      </c>
      <c r="M43" s="1" t="s">
        <v>21</v>
      </c>
      <c r="N43" s="1" t="s">
        <v>22</v>
      </c>
      <c r="O43" s="2">
        <v>46013</v>
      </c>
      <c r="P43" s="2">
        <v>46013</v>
      </c>
      <c r="Q43">
        <f>_xlfn.XLOOKUP(E43,CPT!$A$2:$A$13,CPT!$D$2:$D$13)</f>
        <v>210</v>
      </c>
      <c r="R43" s="1">
        <f>_xlfn.XLOOKUP(C43,Contract!$A$2:$A$9,Contract!$B$2:$B$9)</f>
        <v>0.38</v>
      </c>
      <c r="S43" s="1">
        <f t="shared" si="0"/>
        <v>79.8</v>
      </c>
      <c r="T43" s="1">
        <f t="shared" si="1"/>
        <v>10.769999999999996</v>
      </c>
      <c r="U43" s="1" t="str">
        <f t="shared" si="2"/>
        <v>Underpaid</v>
      </c>
      <c r="V43" s="1" t="str">
        <f>_xlfn.XLOOKUP(C43,Payers!$A$2:$A$9,Payers!$B$2:$B$9)</f>
        <v>Sunshine Medicare Advantage</v>
      </c>
      <c r="W43" s="1" t="str">
        <f t="shared" si="3"/>
        <v>2025-11</v>
      </c>
    </row>
    <row r="44" spans="1:23">
      <c r="A44" s="1" t="s">
        <v>131</v>
      </c>
      <c r="B44" s="1" t="s">
        <v>132</v>
      </c>
      <c r="C44" s="1" t="s">
        <v>47</v>
      </c>
      <c r="D44" s="1" t="s">
        <v>30</v>
      </c>
      <c r="E44" s="1" t="s">
        <v>20</v>
      </c>
      <c r="F44">
        <v>1</v>
      </c>
      <c r="G44" s="2">
        <v>45941</v>
      </c>
      <c r="H44" s="2">
        <v>45947</v>
      </c>
      <c r="I44">
        <v>148.1</v>
      </c>
      <c r="M44" s="1" t="s">
        <v>32</v>
      </c>
      <c r="N44" s="1" t="s">
        <v>124</v>
      </c>
      <c r="O44" s="2">
        <v>46035</v>
      </c>
      <c r="P44" s="2"/>
      <c r="Q44">
        <f>_xlfn.XLOOKUP(E44,CPT!$A$2:$A$13,CPT!$D$2:$D$13)</f>
        <v>145</v>
      </c>
      <c r="R44" s="1">
        <f>_xlfn.XLOOKUP(C44,Contract!$A$2:$A$9,Contract!$B$2:$B$9)</f>
        <v>0.28000000000000003</v>
      </c>
      <c r="S44" s="1">
        <f t="shared" si="0"/>
        <v>40.6</v>
      </c>
      <c r="T44" s="1" t="str">
        <f t="shared" si="1"/>
        <v/>
      </c>
      <c r="U44" s="1" t="str">
        <f t="shared" si="2"/>
        <v/>
      </c>
      <c r="V44" s="1" t="str">
        <f>_xlfn.XLOOKUP(C44,Payers!$A$2:$A$9,Payers!$B$2:$B$9)</f>
        <v>Coastal Medicaid MCO</v>
      </c>
      <c r="W44" s="1" t="str">
        <f t="shared" si="3"/>
        <v>2025-10</v>
      </c>
    </row>
    <row r="45" spans="1:23">
      <c r="A45" s="1" t="s">
        <v>133</v>
      </c>
      <c r="B45" s="1" t="s">
        <v>134</v>
      </c>
      <c r="C45" s="1" t="s">
        <v>52</v>
      </c>
      <c r="D45" s="1" t="s">
        <v>19</v>
      </c>
      <c r="E45" s="1" t="s">
        <v>88</v>
      </c>
      <c r="F45">
        <v>1</v>
      </c>
      <c r="G45" s="2">
        <v>45945</v>
      </c>
      <c r="H45" s="2">
        <v>45950</v>
      </c>
      <c r="I45">
        <v>258.27</v>
      </c>
      <c r="J45">
        <v>130.54</v>
      </c>
      <c r="K45">
        <v>104.43</v>
      </c>
      <c r="L45">
        <v>26.11</v>
      </c>
      <c r="M45" s="1" t="s">
        <v>21</v>
      </c>
      <c r="N45" s="1" t="s">
        <v>22</v>
      </c>
      <c r="O45" s="2">
        <v>45968</v>
      </c>
      <c r="P45" s="2">
        <v>45968</v>
      </c>
      <c r="Q45">
        <f>_xlfn.XLOOKUP(E45,CPT!$A$2:$A$13,CPT!$D$2:$D$13)</f>
        <v>260</v>
      </c>
      <c r="R45" s="1">
        <f>_xlfn.XLOOKUP(C45,Contract!$A$2:$A$9,Contract!$B$2:$B$9)</f>
        <v>0.47</v>
      </c>
      <c r="S45" s="1">
        <f t="shared" si="0"/>
        <v>122.2</v>
      </c>
      <c r="T45" s="1">
        <f t="shared" si="1"/>
        <v>-8.3399999999999892</v>
      </c>
      <c r="U45" s="1" t="str">
        <f t="shared" si="2"/>
        <v>OK</v>
      </c>
      <c r="V45" s="1" t="str">
        <f>_xlfn.XLOOKUP(C45,Payers!$A$2:$A$9,Payers!$B$2:$B$9)</f>
        <v>Keystone Commercial PPO</v>
      </c>
      <c r="W45" s="1" t="str">
        <f t="shared" si="3"/>
        <v>2025-10</v>
      </c>
    </row>
    <row r="46" spans="1:23">
      <c r="A46" s="1" t="s">
        <v>135</v>
      </c>
      <c r="B46" s="1" t="s">
        <v>136</v>
      </c>
      <c r="C46" s="1" t="s">
        <v>60</v>
      </c>
      <c r="D46" s="1" t="s">
        <v>30</v>
      </c>
      <c r="E46" s="1" t="s">
        <v>20</v>
      </c>
      <c r="F46">
        <v>1</v>
      </c>
      <c r="G46" s="2">
        <v>46132</v>
      </c>
      <c r="H46" s="2">
        <v>46254</v>
      </c>
      <c r="I46">
        <v>145.80000000000001</v>
      </c>
      <c r="M46" s="1" t="s">
        <v>32</v>
      </c>
      <c r="N46" s="1" t="s">
        <v>137</v>
      </c>
      <c r="O46" s="2">
        <v>46289</v>
      </c>
      <c r="P46" s="2"/>
      <c r="Q46">
        <f>_xlfn.XLOOKUP(E46,CPT!$A$2:$A$13,CPT!$D$2:$D$13)</f>
        <v>145</v>
      </c>
      <c r="R46" s="1">
        <f>_xlfn.XLOOKUP(C46,Contract!$A$2:$A$9,Contract!$B$2:$B$9)</f>
        <v>0.45</v>
      </c>
      <c r="S46" s="1">
        <f t="shared" si="0"/>
        <v>65.25</v>
      </c>
      <c r="T46" s="1" t="str">
        <f t="shared" si="1"/>
        <v/>
      </c>
      <c r="U46" s="1" t="str">
        <f t="shared" si="2"/>
        <v/>
      </c>
      <c r="V46" s="1" t="str">
        <f>_xlfn.XLOOKUP(C46,Payers!$A$2:$A$9,Payers!$B$2:$B$9)</f>
        <v>Blue Horizon Commercial</v>
      </c>
      <c r="W46" s="1" t="str">
        <f t="shared" si="3"/>
        <v>2026-04</v>
      </c>
    </row>
    <row r="47" spans="1:23">
      <c r="A47" s="1" t="s">
        <v>138</v>
      </c>
      <c r="B47" s="1" t="s">
        <v>139</v>
      </c>
      <c r="C47" s="1" t="s">
        <v>18</v>
      </c>
      <c r="D47" s="1" t="s">
        <v>19</v>
      </c>
      <c r="E47" s="1" t="s">
        <v>88</v>
      </c>
      <c r="F47">
        <v>1</v>
      </c>
      <c r="G47" s="2">
        <v>46125</v>
      </c>
      <c r="H47" s="2">
        <v>46138</v>
      </c>
      <c r="I47">
        <v>256.54000000000002</v>
      </c>
      <c r="J47">
        <v>108.35</v>
      </c>
      <c r="K47">
        <v>86.68</v>
      </c>
      <c r="L47">
        <v>21.67</v>
      </c>
      <c r="M47" s="1" t="s">
        <v>21</v>
      </c>
      <c r="N47" s="1" t="s">
        <v>22</v>
      </c>
      <c r="O47" s="2">
        <v>46194</v>
      </c>
      <c r="P47" s="2">
        <v>46194</v>
      </c>
      <c r="Q47">
        <f>_xlfn.XLOOKUP(E47,CPT!$A$2:$A$13,CPT!$D$2:$D$13)</f>
        <v>260</v>
      </c>
      <c r="R47" s="1">
        <f>_xlfn.XLOOKUP(C47,Contract!$A$2:$A$9,Contract!$B$2:$B$9)</f>
        <v>0.38</v>
      </c>
      <c r="S47" s="1">
        <f t="shared" si="0"/>
        <v>98.8</v>
      </c>
      <c r="T47" s="1">
        <f t="shared" si="1"/>
        <v>-9.5499999999999972</v>
      </c>
      <c r="U47" s="1" t="str">
        <f t="shared" si="2"/>
        <v>OK</v>
      </c>
      <c r="V47" s="1" t="str">
        <f>_xlfn.XLOOKUP(C47,Payers!$A$2:$A$9,Payers!$B$2:$B$9)</f>
        <v>Sunshine Medicare Advantage</v>
      </c>
      <c r="W47" s="1" t="str">
        <f t="shared" si="3"/>
        <v>2026-04</v>
      </c>
    </row>
    <row r="48" spans="1:23">
      <c r="A48" s="1" t="s">
        <v>140</v>
      </c>
      <c r="B48" s="1" t="s">
        <v>141</v>
      </c>
      <c r="C48" s="1" t="s">
        <v>60</v>
      </c>
      <c r="D48" s="1" t="s">
        <v>37</v>
      </c>
      <c r="E48" s="1" t="s">
        <v>38</v>
      </c>
      <c r="F48">
        <v>10</v>
      </c>
      <c r="G48" s="2">
        <v>46110</v>
      </c>
      <c r="H48" s="2">
        <v>46117</v>
      </c>
      <c r="I48">
        <v>14630.63</v>
      </c>
      <c r="J48">
        <v>7104.53</v>
      </c>
      <c r="K48">
        <v>7104.53</v>
      </c>
      <c r="L48">
        <v>0</v>
      </c>
      <c r="M48" s="1" t="s">
        <v>21</v>
      </c>
      <c r="N48" s="1" t="s">
        <v>22</v>
      </c>
      <c r="O48" s="2">
        <v>46150</v>
      </c>
      <c r="P48" s="2">
        <v>46150</v>
      </c>
      <c r="Q48">
        <f>_xlfn.XLOOKUP(E48,CPT!$A$2:$A$13,CPT!$D$2:$D$13)</f>
        <v>1450</v>
      </c>
      <c r="R48" s="1">
        <f>_xlfn.XLOOKUP(C48,Contract!$A$2:$A$9,Contract!$B$2:$B$9)</f>
        <v>0.45</v>
      </c>
      <c r="S48" s="1">
        <f t="shared" si="0"/>
        <v>6525</v>
      </c>
      <c r="T48" s="1">
        <f t="shared" si="1"/>
        <v>-579.52999999999975</v>
      </c>
      <c r="U48" s="1" t="str">
        <f t="shared" si="2"/>
        <v>OK</v>
      </c>
      <c r="V48" s="1" t="str">
        <f>_xlfn.XLOOKUP(C48,Payers!$A$2:$A$9,Payers!$B$2:$B$9)</f>
        <v>Blue Horizon Commercial</v>
      </c>
      <c r="W48" s="1" t="str">
        <f t="shared" si="3"/>
        <v>2026-03</v>
      </c>
    </row>
    <row r="49" spans="1:23">
      <c r="A49" s="1" t="s">
        <v>142</v>
      </c>
      <c r="B49" s="1" t="s">
        <v>143</v>
      </c>
      <c r="C49" s="1" t="s">
        <v>52</v>
      </c>
      <c r="D49" s="1" t="s">
        <v>26</v>
      </c>
      <c r="E49" s="1" t="s">
        <v>57</v>
      </c>
      <c r="F49">
        <v>1</v>
      </c>
      <c r="G49" s="2">
        <v>45989</v>
      </c>
      <c r="H49" s="2">
        <v>45990</v>
      </c>
      <c r="I49">
        <v>210.81</v>
      </c>
      <c r="J49">
        <v>107.88</v>
      </c>
      <c r="K49">
        <v>107.88</v>
      </c>
      <c r="L49">
        <v>0</v>
      </c>
      <c r="M49" s="1" t="s">
        <v>21</v>
      </c>
      <c r="N49" s="1" t="s">
        <v>22</v>
      </c>
      <c r="O49" s="2">
        <v>46032</v>
      </c>
      <c r="P49" s="2">
        <v>46032</v>
      </c>
      <c r="Q49">
        <f>_xlfn.XLOOKUP(E49,CPT!$A$2:$A$13,CPT!$D$2:$D$13)</f>
        <v>210</v>
      </c>
      <c r="R49" s="1">
        <f>_xlfn.XLOOKUP(C49,Contract!$A$2:$A$9,Contract!$B$2:$B$9)</f>
        <v>0.47</v>
      </c>
      <c r="S49" s="1">
        <f t="shared" si="0"/>
        <v>98.7</v>
      </c>
      <c r="T49" s="1">
        <f t="shared" si="1"/>
        <v>-9.1799999999999926</v>
      </c>
      <c r="U49" s="1" t="str">
        <f t="shared" si="2"/>
        <v>OK</v>
      </c>
      <c r="V49" s="1" t="str">
        <f>_xlfn.XLOOKUP(C49,Payers!$A$2:$A$9,Payers!$B$2:$B$9)</f>
        <v>Keystone Commercial PPO</v>
      </c>
      <c r="W49" s="1" t="str">
        <f t="shared" si="3"/>
        <v>2025-11</v>
      </c>
    </row>
    <row r="50" spans="1:23">
      <c r="A50" s="1" t="s">
        <v>144</v>
      </c>
      <c r="B50" s="1" t="s">
        <v>145</v>
      </c>
      <c r="C50" s="1" t="s">
        <v>36</v>
      </c>
      <c r="D50" s="1" t="s">
        <v>19</v>
      </c>
      <c r="E50" s="1" t="s">
        <v>20</v>
      </c>
      <c r="F50">
        <v>1</v>
      </c>
      <c r="G50" s="2">
        <v>46014</v>
      </c>
      <c r="H50" s="2">
        <v>46015</v>
      </c>
      <c r="I50">
        <v>149.04</v>
      </c>
      <c r="M50" s="1" t="s">
        <v>32</v>
      </c>
      <c r="N50" s="1" t="s">
        <v>33</v>
      </c>
      <c r="O50" s="2">
        <v>46066</v>
      </c>
      <c r="P50" s="2"/>
      <c r="Q50">
        <f>_xlfn.XLOOKUP(E50,CPT!$A$2:$A$13,CPT!$D$2:$D$13)</f>
        <v>145</v>
      </c>
      <c r="R50" s="1">
        <f>_xlfn.XLOOKUP(C50,Contract!$A$2:$A$9,Contract!$B$2:$B$9)</f>
        <v>0.27</v>
      </c>
      <c r="S50" s="1">
        <f t="shared" si="0"/>
        <v>39.15</v>
      </c>
      <c r="T50" s="1" t="str">
        <f t="shared" si="1"/>
        <v/>
      </c>
      <c r="U50" s="1" t="str">
        <f t="shared" si="2"/>
        <v/>
      </c>
      <c r="V50" s="1" t="str">
        <f>_xlfn.XLOOKUP(C50,Payers!$A$2:$A$9,Payers!$B$2:$B$9)</f>
        <v>Florida Medicaid</v>
      </c>
      <c r="W50" s="1" t="str">
        <f t="shared" si="3"/>
        <v>2025-12</v>
      </c>
    </row>
    <row r="51" spans="1:23">
      <c r="A51" s="1" t="s">
        <v>146</v>
      </c>
      <c r="B51" s="1" t="s">
        <v>147</v>
      </c>
      <c r="C51" s="1" t="s">
        <v>36</v>
      </c>
      <c r="D51" s="1" t="s">
        <v>37</v>
      </c>
      <c r="E51" s="1" t="s">
        <v>38</v>
      </c>
      <c r="F51">
        <v>5</v>
      </c>
      <c r="G51" s="2">
        <v>46220</v>
      </c>
      <c r="H51" s="2">
        <v>46223</v>
      </c>
      <c r="I51">
        <v>7183.53</v>
      </c>
      <c r="J51">
        <v>1943.15</v>
      </c>
      <c r="K51">
        <v>1748.83</v>
      </c>
      <c r="L51">
        <v>194.32</v>
      </c>
      <c r="M51" s="1" t="s">
        <v>21</v>
      </c>
      <c r="N51" s="1" t="s">
        <v>22</v>
      </c>
      <c r="O51" s="2">
        <v>46259</v>
      </c>
      <c r="P51" s="2">
        <v>46259</v>
      </c>
      <c r="Q51">
        <f>_xlfn.XLOOKUP(E51,CPT!$A$2:$A$13,CPT!$D$2:$D$13)</f>
        <v>1450</v>
      </c>
      <c r="R51" s="1">
        <f>_xlfn.XLOOKUP(C51,Contract!$A$2:$A$9,Contract!$B$2:$B$9)</f>
        <v>0.27</v>
      </c>
      <c r="S51" s="1">
        <f t="shared" si="0"/>
        <v>1957.5</v>
      </c>
      <c r="T51" s="1">
        <f t="shared" si="1"/>
        <v>14.349999999999909</v>
      </c>
      <c r="U51" s="1" t="str">
        <f t="shared" si="2"/>
        <v>OK</v>
      </c>
      <c r="V51" s="1" t="str">
        <f>_xlfn.XLOOKUP(C51,Payers!$A$2:$A$9,Payers!$B$2:$B$9)</f>
        <v>Florida Medicaid</v>
      </c>
      <c r="W51" s="1" t="str">
        <f t="shared" si="3"/>
        <v>2026-07</v>
      </c>
    </row>
    <row r="52" spans="1:23">
      <c r="A52" s="1" t="s">
        <v>148</v>
      </c>
      <c r="B52" s="1" t="s">
        <v>149</v>
      </c>
      <c r="C52" s="1" t="s">
        <v>60</v>
      </c>
      <c r="D52" s="1" t="s">
        <v>30</v>
      </c>
      <c r="E52" s="1" t="s">
        <v>91</v>
      </c>
      <c r="F52">
        <v>4</v>
      </c>
      <c r="G52" s="2">
        <v>46116</v>
      </c>
      <c r="H52" s="2">
        <v>46119</v>
      </c>
      <c r="I52">
        <v>237.45</v>
      </c>
      <c r="J52">
        <v>107.58</v>
      </c>
      <c r="K52">
        <v>86.06</v>
      </c>
      <c r="L52">
        <v>21.52</v>
      </c>
      <c r="M52" s="1" t="s">
        <v>21</v>
      </c>
      <c r="N52" s="1" t="s">
        <v>22</v>
      </c>
      <c r="O52" s="2">
        <v>46140</v>
      </c>
      <c r="P52" s="2">
        <v>46140</v>
      </c>
      <c r="Q52">
        <f>_xlfn.XLOOKUP(E52,CPT!$A$2:$A$13,CPT!$D$2:$D$13)</f>
        <v>58</v>
      </c>
      <c r="R52" s="1">
        <f>_xlfn.XLOOKUP(C52,Contract!$A$2:$A$9,Contract!$B$2:$B$9)</f>
        <v>0.45</v>
      </c>
      <c r="S52" s="1">
        <f t="shared" si="0"/>
        <v>104.4</v>
      </c>
      <c r="T52" s="1">
        <f t="shared" si="1"/>
        <v>-3.1799999999999926</v>
      </c>
      <c r="U52" s="1" t="str">
        <f t="shared" si="2"/>
        <v>OK</v>
      </c>
      <c r="V52" s="1" t="str">
        <f>_xlfn.XLOOKUP(C52,Payers!$A$2:$A$9,Payers!$B$2:$B$9)</f>
        <v>Blue Horizon Commercial</v>
      </c>
      <c r="W52" s="1" t="str">
        <f t="shared" si="3"/>
        <v>2026-04</v>
      </c>
    </row>
    <row r="53" spans="1:23">
      <c r="A53" s="1" t="s">
        <v>150</v>
      </c>
      <c r="B53" s="1" t="s">
        <v>151</v>
      </c>
      <c r="C53" s="1" t="s">
        <v>76</v>
      </c>
      <c r="D53" s="1" t="s">
        <v>19</v>
      </c>
      <c r="E53" s="1" t="s">
        <v>88</v>
      </c>
      <c r="F53">
        <v>1</v>
      </c>
      <c r="G53" s="2">
        <v>46056</v>
      </c>
      <c r="H53" s="2">
        <v>46057</v>
      </c>
      <c r="I53">
        <v>265.16000000000003</v>
      </c>
      <c r="J53">
        <v>104.32</v>
      </c>
      <c r="K53">
        <v>83.46</v>
      </c>
      <c r="L53">
        <v>20.86</v>
      </c>
      <c r="M53" s="1" t="s">
        <v>21</v>
      </c>
      <c r="N53" s="1" t="s">
        <v>22</v>
      </c>
      <c r="O53" s="2">
        <v>46078</v>
      </c>
      <c r="P53" s="2">
        <v>46078</v>
      </c>
      <c r="Q53">
        <f>_xlfn.XLOOKUP(E53,CPT!$A$2:$A$13,CPT!$D$2:$D$13)</f>
        <v>260</v>
      </c>
      <c r="R53" s="1">
        <f>_xlfn.XLOOKUP(C53,Contract!$A$2:$A$9,Contract!$B$2:$B$9)</f>
        <v>0.43</v>
      </c>
      <c r="S53" s="1">
        <f t="shared" si="0"/>
        <v>111.8</v>
      </c>
      <c r="T53" s="1">
        <f t="shared" si="1"/>
        <v>7.480000000000004</v>
      </c>
      <c r="U53" s="1" t="str">
        <f t="shared" si="2"/>
        <v>Underpaid</v>
      </c>
      <c r="V53" s="1" t="str">
        <f>_xlfn.XLOOKUP(C53,Payers!$A$2:$A$9,Payers!$B$2:$B$9)</f>
        <v>Summit Health Commercial</v>
      </c>
      <c r="W53" s="1" t="str">
        <f t="shared" si="3"/>
        <v>2026-02</v>
      </c>
    </row>
    <row r="54" spans="1:23">
      <c r="A54" s="1" t="s">
        <v>152</v>
      </c>
      <c r="B54" s="1" t="s">
        <v>153</v>
      </c>
      <c r="C54" s="1" t="s">
        <v>76</v>
      </c>
      <c r="D54" s="1" t="s">
        <v>19</v>
      </c>
      <c r="E54" s="1" t="s">
        <v>41</v>
      </c>
      <c r="F54">
        <v>1</v>
      </c>
      <c r="G54" s="2">
        <v>46184</v>
      </c>
      <c r="H54" s="2">
        <v>46185</v>
      </c>
      <c r="I54">
        <v>38.799999999999997</v>
      </c>
      <c r="J54">
        <v>18.12</v>
      </c>
      <c r="K54">
        <v>16.309999999999999</v>
      </c>
      <c r="L54">
        <v>1.81</v>
      </c>
      <c r="M54" s="1" t="s">
        <v>21</v>
      </c>
      <c r="N54" s="1" t="s">
        <v>22</v>
      </c>
      <c r="O54" s="2">
        <v>46206</v>
      </c>
      <c r="P54" s="2">
        <v>46206</v>
      </c>
      <c r="Q54">
        <f>_xlfn.XLOOKUP(E54,CPT!$A$2:$A$13,CPT!$D$2:$D$13)</f>
        <v>38</v>
      </c>
      <c r="R54" s="1">
        <f>_xlfn.XLOOKUP(C54,Contract!$A$2:$A$9,Contract!$B$2:$B$9)</f>
        <v>0.43</v>
      </c>
      <c r="S54" s="1">
        <f t="shared" si="0"/>
        <v>16.34</v>
      </c>
      <c r="T54" s="1">
        <f t="shared" si="1"/>
        <v>-1.7800000000000011</v>
      </c>
      <c r="U54" s="1" t="str">
        <f t="shared" si="2"/>
        <v>OK</v>
      </c>
      <c r="V54" s="1" t="str">
        <f>_xlfn.XLOOKUP(C54,Payers!$A$2:$A$9,Payers!$B$2:$B$9)</f>
        <v>Summit Health Commercial</v>
      </c>
      <c r="W54" s="1" t="str">
        <f t="shared" si="3"/>
        <v>2026-06</v>
      </c>
    </row>
    <row r="55" spans="1:23">
      <c r="A55" s="1" t="s">
        <v>154</v>
      </c>
      <c r="B55" s="1" t="s">
        <v>155</v>
      </c>
      <c r="C55" s="1" t="s">
        <v>60</v>
      </c>
      <c r="D55" s="1" t="s">
        <v>26</v>
      </c>
      <c r="E55" s="1" t="s">
        <v>57</v>
      </c>
      <c r="F55">
        <v>1</v>
      </c>
      <c r="G55" s="2">
        <v>46139</v>
      </c>
      <c r="H55" s="2">
        <v>46145</v>
      </c>
      <c r="I55">
        <v>209.86</v>
      </c>
      <c r="J55">
        <v>98.72</v>
      </c>
      <c r="K55">
        <v>78.98</v>
      </c>
      <c r="L55">
        <v>19.739999999999998</v>
      </c>
      <c r="M55" s="1" t="s">
        <v>21</v>
      </c>
      <c r="N55" s="1" t="s">
        <v>22</v>
      </c>
      <c r="O55" s="2">
        <v>46187</v>
      </c>
      <c r="P55" s="2">
        <v>46187</v>
      </c>
      <c r="Q55">
        <f>_xlfn.XLOOKUP(E55,CPT!$A$2:$A$13,CPT!$D$2:$D$13)</f>
        <v>210</v>
      </c>
      <c r="R55" s="1">
        <f>_xlfn.XLOOKUP(C55,Contract!$A$2:$A$9,Contract!$B$2:$B$9)</f>
        <v>0.45</v>
      </c>
      <c r="S55" s="1">
        <f t="shared" si="0"/>
        <v>94.5</v>
      </c>
      <c r="T55" s="1">
        <f t="shared" si="1"/>
        <v>-4.2199999999999989</v>
      </c>
      <c r="U55" s="1" t="str">
        <f t="shared" si="2"/>
        <v>OK</v>
      </c>
      <c r="V55" s="1" t="str">
        <f>_xlfn.XLOOKUP(C55,Payers!$A$2:$A$9,Payers!$B$2:$B$9)</f>
        <v>Blue Horizon Commercial</v>
      </c>
      <c r="W55" s="1" t="str">
        <f t="shared" si="3"/>
        <v>2026-04</v>
      </c>
    </row>
    <row r="56" spans="1:23">
      <c r="A56" s="1" t="s">
        <v>156</v>
      </c>
      <c r="B56" s="1" t="s">
        <v>157</v>
      </c>
      <c r="C56" s="1" t="s">
        <v>76</v>
      </c>
      <c r="D56" s="1" t="s">
        <v>37</v>
      </c>
      <c r="E56" s="1" t="s">
        <v>38</v>
      </c>
      <c r="F56">
        <v>10</v>
      </c>
      <c r="G56" s="2">
        <v>46138</v>
      </c>
      <c r="H56" s="2">
        <v>46142</v>
      </c>
      <c r="I56">
        <v>14331.4</v>
      </c>
      <c r="J56">
        <v>6185.61</v>
      </c>
      <c r="K56">
        <v>5567.05</v>
      </c>
      <c r="L56">
        <v>618.55999999999995</v>
      </c>
      <c r="M56" s="1" t="s">
        <v>21</v>
      </c>
      <c r="N56" s="1" t="s">
        <v>22</v>
      </c>
      <c r="O56" s="2">
        <v>46159</v>
      </c>
      <c r="P56" s="2">
        <v>46159</v>
      </c>
      <c r="Q56">
        <f>_xlfn.XLOOKUP(E56,CPT!$A$2:$A$13,CPT!$D$2:$D$13)</f>
        <v>1450</v>
      </c>
      <c r="R56" s="1">
        <f>_xlfn.XLOOKUP(C56,Contract!$A$2:$A$9,Contract!$B$2:$B$9)</f>
        <v>0.43</v>
      </c>
      <c r="S56" s="1">
        <f t="shared" si="0"/>
        <v>6235</v>
      </c>
      <c r="T56" s="1">
        <f t="shared" si="1"/>
        <v>49.390000000000327</v>
      </c>
      <c r="U56" s="1" t="str">
        <f t="shared" si="2"/>
        <v>OK</v>
      </c>
      <c r="V56" s="1" t="str">
        <f>_xlfn.XLOOKUP(C56,Payers!$A$2:$A$9,Payers!$B$2:$B$9)</f>
        <v>Summit Health Commercial</v>
      </c>
      <c r="W56" s="1" t="str">
        <f t="shared" si="3"/>
        <v>2026-04</v>
      </c>
    </row>
    <row r="57" spans="1:23">
      <c r="A57" s="1" t="s">
        <v>158</v>
      </c>
      <c r="B57" s="1" t="s">
        <v>159</v>
      </c>
      <c r="C57" s="1" t="s">
        <v>76</v>
      </c>
      <c r="D57" s="1" t="s">
        <v>37</v>
      </c>
      <c r="E57" s="1" t="s">
        <v>48</v>
      </c>
      <c r="F57">
        <v>1</v>
      </c>
      <c r="G57" s="2">
        <v>46049</v>
      </c>
      <c r="H57" s="2">
        <v>46050</v>
      </c>
      <c r="I57">
        <v>410.44</v>
      </c>
      <c r="M57" s="1" t="s">
        <v>32</v>
      </c>
      <c r="N57" s="1" t="s">
        <v>49</v>
      </c>
      <c r="O57" s="2">
        <v>46089</v>
      </c>
      <c r="P57" s="2"/>
      <c r="Q57">
        <f>_xlfn.XLOOKUP(E57,CPT!$A$2:$A$13,CPT!$D$2:$D$13)</f>
        <v>420</v>
      </c>
      <c r="R57" s="1">
        <f>_xlfn.XLOOKUP(C57,Contract!$A$2:$A$9,Contract!$B$2:$B$9)</f>
        <v>0.43</v>
      </c>
      <c r="S57" s="1">
        <f t="shared" si="0"/>
        <v>180.6</v>
      </c>
      <c r="T57" s="1" t="str">
        <f t="shared" si="1"/>
        <v/>
      </c>
      <c r="U57" s="1" t="str">
        <f t="shared" si="2"/>
        <v/>
      </c>
      <c r="V57" s="1" t="str">
        <f>_xlfn.XLOOKUP(C57,Payers!$A$2:$A$9,Payers!$B$2:$B$9)</f>
        <v>Summit Health Commercial</v>
      </c>
      <c r="W57" s="1" t="str">
        <f t="shared" si="3"/>
        <v>2026-01</v>
      </c>
    </row>
    <row r="58" spans="1:23">
      <c r="A58" s="1" t="s">
        <v>160</v>
      </c>
      <c r="B58" s="1" t="s">
        <v>161</v>
      </c>
      <c r="C58" s="1" t="s">
        <v>25</v>
      </c>
      <c r="D58" s="1" t="s">
        <v>30</v>
      </c>
      <c r="E58" s="1" t="s">
        <v>20</v>
      </c>
      <c r="F58">
        <v>1</v>
      </c>
      <c r="G58" s="2">
        <v>45982</v>
      </c>
      <c r="H58" s="2">
        <v>45984</v>
      </c>
      <c r="I58">
        <v>147.88999999999999</v>
      </c>
      <c r="J58">
        <v>56.69</v>
      </c>
      <c r="K58">
        <v>56.69</v>
      </c>
      <c r="L58">
        <v>0</v>
      </c>
      <c r="M58" s="1" t="s">
        <v>21</v>
      </c>
      <c r="N58" s="1" t="s">
        <v>22</v>
      </c>
      <c r="O58" s="2">
        <v>46003</v>
      </c>
      <c r="P58" s="2">
        <v>46003</v>
      </c>
      <c r="Q58">
        <f>_xlfn.XLOOKUP(E58,CPT!$A$2:$A$13,CPT!$D$2:$D$13)</f>
        <v>145</v>
      </c>
      <c r="R58" s="1">
        <f>_xlfn.XLOOKUP(C58,Contract!$A$2:$A$9,Contract!$B$2:$B$9)</f>
        <v>0.36</v>
      </c>
      <c r="S58" s="1">
        <f t="shared" si="0"/>
        <v>52.2</v>
      </c>
      <c r="T58" s="1">
        <f t="shared" si="1"/>
        <v>-4.4899999999999949</v>
      </c>
      <c r="U58" s="1" t="str">
        <f t="shared" si="2"/>
        <v>OK</v>
      </c>
      <c r="V58" s="1" t="str">
        <f>_xlfn.XLOOKUP(C58,Payers!$A$2:$A$9,Payers!$B$2:$B$9)</f>
        <v>Medicare Part B</v>
      </c>
      <c r="W58" s="1" t="str">
        <f t="shared" si="3"/>
        <v>2025-11</v>
      </c>
    </row>
    <row r="59" spans="1:23">
      <c r="A59" s="1" t="s">
        <v>162</v>
      </c>
      <c r="B59" s="1" t="s">
        <v>163</v>
      </c>
      <c r="C59" s="1" t="s">
        <v>25</v>
      </c>
      <c r="D59" s="1" t="s">
        <v>26</v>
      </c>
      <c r="E59" s="1" t="s">
        <v>57</v>
      </c>
      <c r="F59">
        <v>1</v>
      </c>
      <c r="G59" s="2">
        <v>46182</v>
      </c>
      <c r="H59" s="2">
        <v>46183</v>
      </c>
      <c r="I59">
        <v>204.99</v>
      </c>
      <c r="J59">
        <v>73.31</v>
      </c>
      <c r="K59">
        <v>65.98</v>
      </c>
      <c r="L59">
        <v>7.33</v>
      </c>
      <c r="M59" s="1" t="s">
        <v>21</v>
      </c>
      <c r="N59" s="1" t="s">
        <v>22</v>
      </c>
      <c r="O59" s="2">
        <v>46202</v>
      </c>
      <c r="P59" s="2">
        <v>46202</v>
      </c>
      <c r="Q59">
        <f>_xlfn.XLOOKUP(E59,CPT!$A$2:$A$13,CPT!$D$2:$D$13)</f>
        <v>210</v>
      </c>
      <c r="R59" s="1">
        <f>_xlfn.XLOOKUP(C59,Contract!$A$2:$A$9,Contract!$B$2:$B$9)</f>
        <v>0.36</v>
      </c>
      <c r="S59" s="1">
        <f t="shared" si="0"/>
        <v>75.599999999999994</v>
      </c>
      <c r="T59" s="1">
        <f t="shared" si="1"/>
        <v>2.289999999999992</v>
      </c>
      <c r="U59" s="1" t="str">
        <f t="shared" si="2"/>
        <v>OK</v>
      </c>
      <c r="V59" s="1" t="str">
        <f>_xlfn.XLOOKUP(C59,Payers!$A$2:$A$9,Payers!$B$2:$B$9)</f>
        <v>Medicare Part B</v>
      </c>
      <c r="W59" s="1" t="str">
        <f t="shared" si="3"/>
        <v>2026-06</v>
      </c>
    </row>
    <row r="60" spans="1:23">
      <c r="A60" s="1" t="s">
        <v>164</v>
      </c>
      <c r="B60" s="1" t="s">
        <v>165</v>
      </c>
      <c r="C60" s="1" t="s">
        <v>60</v>
      </c>
      <c r="D60" s="1" t="s">
        <v>37</v>
      </c>
      <c r="E60" s="1" t="s">
        <v>38</v>
      </c>
      <c r="F60">
        <v>20</v>
      </c>
      <c r="G60" s="2">
        <v>46219</v>
      </c>
      <c r="H60" s="2">
        <v>46221</v>
      </c>
      <c r="I60">
        <v>28278.21</v>
      </c>
      <c r="J60">
        <v>12393.33</v>
      </c>
      <c r="K60">
        <v>9914.66</v>
      </c>
      <c r="L60">
        <v>2478.67</v>
      </c>
      <c r="M60" s="1" t="s">
        <v>21</v>
      </c>
      <c r="N60" s="1" t="s">
        <v>22</v>
      </c>
      <c r="O60" s="2">
        <v>46239</v>
      </c>
      <c r="P60" s="2">
        <v>46239</v>
      </c>
      <c r="Q60">
        <f>_xlfn.XLOOKUP(E60,CPT!$A$2:$A$13,CPT!$D$2:$D$13)</f>
        <v>1450</v>
      </c>
      <c r="R60" s="1">
        <f>_xlfn.XLOOKUP(C60,Contract!$A$2:$A$9,Contract!$B$2:$B$9)</f>
        <v>0.45</v>
      </c>
      <c r="S60" s="1">
        <f t="shared" si="0"/>
        <v>13050</v>
      </c>
      <c r="T60" s="1">
        <f t="shared" si="1"/>
        <v>656.67000000000007</v>
      </c>
      <c r="U60" s="1" t="str">
        <f t="shared" si="2"/>
        <v>Underpaid</v>
      </c>
      <c r="V60" s="1" t="str">
        <f>_xlfn.XLOOKUP(C60,Payers!$A$2:$A$9,Payers!$B$2:$B$9)</f>
        <v>Blue Horizon Commercial</v>
      </c>
      <c r="W60" s="1" t="str">
        <f t="shared" si="3"/>
        <v>2026-07</v>
      </c>
    </row>
    <row r="61" spans="1:23">
      <c r="A61" s="1" t="s">
        <v>166</v>
      </c>
      <c r="B61" s="1" t="s">
        <v>167</v>
      </c>
      <c r="C61" s="1" t="s">
        <v>47</v>
      </c>
      <c r="D61" s="1" t="s">
        <v>30</v>
      </c>
      <c r="E61" s="1" t="s">
        <v>91</v>
      </c>
      <c r="F61">
        <v>1</v>
      </c>
      <c r="G61" s="2">
        <v>46150</v>
      </c>
      <c r="H61" s="2">
        <v>46151</v>
      </c>
      <c r="I61">
        <v>58.24</v>
      </c>
      <c r="M61" s="1" t="s">
        <v>32</v>
      </c>
      <c r="N61" s="1" t="s">
        <v>168</v>
      </c>
      <c r="O61" s="2">
        <v>46197</v>
      </c>
      <c r="P61" s="2"/>
      <c r="Q61">
        <f>_xlfn.XLOOKUP(E61,CPT!$A$2:$A$13,CPT!$D$2:$D$13)</f>
        <v>58</v>
      </c>
      <c r="R61" s="1">
        <f>_xlfn.XLOOKUP(C61,Contract!$A$2:$A$9,Contract!$B$2:$B$9)</f>
        <v>0.28000000000000003</v>
      </c>
      <c r="S61" s="1">
        <f t="shared" si="0"/>
        <v>16.239999999999998</v>
      </c>
      <c r="T61" s="1" t="str">
        <f t="shared" si="1"/>
        <v/>
      </c>
      <c r="U61" s="1" t="str">
        <f t="shared" si="2"/>
        <v/>
      </c>
      <c r="V61" s="1" t="str">
        <f>_xlfn.XLOOKUP(C61,Payers!$A$2:$A$9,Payers!$B$2:$B$9)</f>
        <v>Coastal Medicaid MCO</v>
      </c>
      <c r="W61" s="1" t="str">
        <f t="shared" si="3"/>
        <v>2026-05</v>
      </c>
    </row>
    <row r="62" spans="1:23">
      <c r="A62" s="1" t="s">
        <v>169</v>
      </c>
      <c r="B62" s="1" t="s">
        <v>170</v>
      </c>
      <c r="C62" s="1" t="s">
        <v>25</v>
      </c>
      <c r="D62" s="1" t="s">
        <v>26</v>
      </c>
      <c r="E62" s="1" t="s">
        <v>57</v>
      </c>
      <c r="F62">
        <v>1</v>
      </c>
      <c r="G62" s="2">
        <v>46011</v>
      </c>
      <c r="H62" s="2">
        <v>46014</v>
      </c>
      <c r="I62">
        <v>203.73</v>
      </c>
      <c r="J62">
        <v>68.58</v>
      </c>
      <c r="K62">
        <v>54.86</v>
      </c>
      <c r="L62">
        <v>13.72</v>
      </c>
      <c r="M62" s="1" t="s">
        <v>21</v>
      </c>
      <c r="N62" s="1" t="s">
        <v>22</v>
      </c>
      <c r="O62" s="2">
        <v>46032</v>
      </c>
      <c r="P62" s="2">
        <v>46032</v>
      </c>
      <c r="Q62">
        <f>_xlfn.XLOOKUP(E62,CPT!$A$2:$A$13,CPT!$D$2:$D$13)</f>
        <v>210</v>
      </c>
      <c r="R62" s="1">
        <f>_xlfn.XLOOKUP(C62,Contract!$A$2:$A$9,Contract!$B$2:$B$9)</f>
        <v>0.36</v>
      </c>
      <c r="S62" s="1">
        <f t="shared" si="0"/>
        <v>75.599999999999994</v>
      </c>
      <c r="T62" s="1">
        <f t="shared" si="1"/>
        <v>7.019999999999996</v>
      </c>
      <c r="U62" s="1" t="str">
        <f t="shared" si="2"/>
        <v>Underpaid</v>
      </c>
      <c r="V62" s="1" t="str">
        <f>_xlfn.XLOOKUP(C62,Payers!$A$2:$A$9,Payers!$B$2:$B$9)</f>
        <v>Medicare Part B</v>
      </c>
      <c r="W62" s="1" t="str">
        <f t="shared" si="3"/>
        <v>2025-12</v>
      </c>
    </row>
    <row r="63" spans="1:23">
      <c r="A63" s="1" t="s">
        <v>171</v>
      </c>
      <c r="B63" s="1" t="s">
        <v>172</v>
      </c>
      <c r="C63" s="1" t="s">
        <v>36</v>
      </c>
      <c r="D63" s="1" t="s">
        <v>37</v>
      </c>
      <c r="E63" s="1" t="s">
        <v>48</v>
      </c>
      <c r="F63">
        <v>1</v>
      </c>
      <c r="G63" s="2">
        <v>46251</v>
      </c>
      <c r="H63" s="2">
        <v>46258</v>
      </c>
      <c r="I63">
        <v>422.26</v>
      </c>
      <c r="M63" s="1" t="s">
        <v>69</v>
      </c>
      <c r="N63" s="1" t="s">
        <v>22</v>
      </c>
      <c r="O63" s="2"/>
      <c r="P63" s="2"/>
      <c r="Q63">
        <f>_xlfn.XLOOKUP(E63,CPT!$A$2:$A$13,CPT!$D$2:$D$13)</f>
        <v>420</v>
      </c>
      <c r="R63" s="1">
        <f>_xlfn.XLOOKUP(C63,Contract!$A$2:$A$9,Contract!$B$2:$B$9)</f>
        <v>0.27</v>
      </c>
      <c r="S63" s="1">
        <f t="shared" si="0"/>
        <v>113.4</v>
      </c>
      <c r="T63" s="1" t="str">
        <f t="shared" si="1"/>
        <v/>
      </c>
      <c r="U63" s="1" t="str">
        <f t="shared" si="2"/>
        <v/>
      </c>
      <c r="V63" s="1" t="str">
        <f>_xlfn.XLOOKUP(C63,Payers!$A$2:$A$9,Payers!$B$2:$B$9)</f>
        <v>Florida Medicaid</v>
      </c>
      <c r="W63" s="1" t="str">
        <f t="shared" si="3"/>
        <v>2026-08</v>
      </c>
    </row>
    <row r="64" spans="1:23">
      <c r="A64" s="1" t="s">
        <v>173</v>
      </c>
      <c r="B64" s="1" t="s">
        <v>174</v>
      </c>
      <c r="C64" s="1" t="s">
        <v>36</v>
      </c>
      <c r="D64" s="1" t="s">
        <v>37</v>
      </c>
      <c r="E64" s="1" t="s">
        <v>48</v>
      </c>
      <c r="F64">
        <v>1</v>
      </c>
      <c r="G64" s="2">
        <v>45967</v>
      </c>
      <c r="H64" s="2">
        <v>45974</v>
      </c>
      <c r="I64">
        <v>408.9</v>
      </c>
      <c r="J64">
        <v>121.54</v>
      </c>
      <c r="K64">
        <v>97.23</v>
      </c>
      <c r="L64">
        <v>24.31</v>
      </c>
      <c r="M64" s="1" t="s">
        <v>21</v>
      </c>
      <c r="N64" s="1" t="s">
        <v>22</v>
      </c>
      <c r="O64" s="2">
        <v>46025</v>
      </c>
      <c r="P64" s="2">
        <v>46025</v>
      </c>
      <c r="Q64">
        <f>_xlfn.XLOOKUP(E64,CPT!$A$2:$A$13,CPT!$D$2:$D$13)</f>
        <v>420</v>
      </c>
      <c r="R64" s="1">
        <f>_xlfn.XLOOKUP(C64,Contract!$A$2:$A$9,Contract!$B$2:$B$9)</f>
        <v>0.27</v>
      </c>
      <c r="S64" s="1">
        <f t="shared" si="0"/>
        <v>113.4</v>
      </c>
      <c r="T64" s="1">
        <f t="shared" si="1"/>
        <v>-8.14</v>
      </c>
      <c r="U64" s="1" t="str">
        <f t="shared" si="2"/>
        <v>OK</v>
      </c>
      <c r="V64" s="1" t="str">
        <f>_xlfn.XLOOKUP(C64,Payers!$A$2:$A$9,Payers!$B$2:$B$9)</f>
        <v>Florida Medicaid</v>
      </c>
      <c r="W64" s="1" t="str">
        <f t="shared" si="3"/>
        <v>2025-11</v>
      </c>
    </row>
    <row r="65" spans="1:23">
      <c r="A65" s="1" t="s">
        <v>175</v>
      </c>
      <c r="B65" s="1" t="s">
        <v>176</v>
      </c>
      <c r="C65" s="1" t="s">
        <v>47</v>
      </c>
      <c r="D65" s="1" t="s">
        <v>26</v>
      </c>
      <c r="E65" s="1" t="s">
        <v>113</v>
      </c>
      <c r="F65">
        <v>1</v>
      </c>
      <c r="G65" s="2">
        <v>46187</v>
      </c>
      <c r="H65" s="2">
        <v>46190</v>
      </c>
      <c r="I65">
        <v>1052.52</v>
      </c>
      <c r="J65">
        <v>329.23</v>
      </c>
      <c r="K65">
        <v>296.31</v>
      </c>
      <c r="L65">
        <v>32.92</v>
      </c>
      <c r="M65" s="1" t="s">
        <v>21</v>
      </c>
      <c r="N65" s="1" t="s">
        <v>22</v>
      </c>
      <c r="O65" s="2">
        <v>46241</v>
      </c>
      <c r="P65" s="2">
        <v>46241</v>
      </c>
      <c r="Q65">
        <f>_xlfn.XLOOKUP(E65,CPT!$A$2:$A$13,CPT!$D$2:$D$13)</f>
        <v>1050</v>
      </c>
      <c r="R65" s="1">
        <f>_xlfn.XLOOKUP(C65,Contract!$A$2:$A$9,Contract!$B$2:$B$9)</f>
        <v>0.28000000000000003</v>
      </c>
      <c r="S65" s="1">
        <f t="shared" si="0"/>
        <v>294</v>
      </c>
      <c r="T65" s="1">
        <f t="shared" si="1"/>
        <v>-35.230000000000018</v>
      </c>
      <c r="U65" s="1" t="str">
        <f t="shared" si="2"/>
        <v>OK</v>
      </c>
      <c r="V65" s="1" t="str">
        <f>_xlfn.XLOOKUP(C65,Payers!$A$2:$A$9,Payers!$B$2:$B$9)</f>
        <v>Coastal Medicaid MCO</v>
      </c>
      <c r="W65" s="1" t="str">
        <f t="shared" si="3"/>
        <v>2026-06</v>
      </c>
    </row>
    <row r="66" spans="1:23">
      <c r="A66" s="1" t="s">
        <v>177</v>
      </c>
      <c r="B66" s="1" t="s">
        <v>178</v>
      </c>
      <c r="C66" s="1" t="s">
        <v>60</v>
      </c>
      <c r="D66" s="1" t="s">
        <v>26</v>
      </c>
      <c r="E66" s="1" t="s">
        <v>88</v>
      </c>
      <c r="F66">
        <v>1</v>
      </c>
      <c r="G66" s="2">
        <v>46276</v>
      </c>
      <c r="H66" s="2">
        <v>46280</v>
      </c>
      <c r="I66">
        <v>265.24</v>
      </c>
      <c r="M66" s="1" t="s">
        <v>69</v>
      </c>
      <c r="N66" s="1" t="s">
        <v>22</v>
      </c>
      <c r="O66" s="2"/>
      <c r="P66" s="2"/>
      <c r="Q66">
        <f>_xlfn.XLOOKUP(E66,CPT!$A$2:$A$13,CPT!$D$2:$D$13)</f>
        <v>260</v>
      </c>
      <c r="R66" s="1">
        <f>_xlfn.XLOOKUP(C66,Contract!$A$2:$A$9,Contract!$B$2:$B$9)</f>
        <v>0.45</v>
      </c>
      <c r="S66" s="1">
        <f t="shared" ref="S66:S129" si="4">ROUND(Q66*F66*R66,2)</f>
        <v>117</v>
      </c>
      <c r="T66" s="1" t="str">
        <f t="shared" ref="T66:T129" si="5">IF(M66="Paid",S66-J66,"")</f>
        <v/>
      </c>
      <c r="U66" s="1" t="str">
        <f t="shared" ref="U66:U129" si="6">IF(M66&lt;&gt;"Paid","",IF(T66&gt;S66*0.05,"Underpaid","OK"))</f>
        <v/>
      </c>
      <c r="V66" s="1" t="str">
        <f>_xlfn.XLOOKUP(C66,Payers!$A$2:$A$9,Payers!$B$2:$B$9)</f>
        <v>Blue Horizon Commercial</v>
      </c>
      <c r="W66" s="1" t="str">
        <f t="shared" ref="W66:W129" si="7">TEXT(G66,"yyyy-mm")</f>
        <v>2026-09</v>
      </c>
    </row>
    <row r="67" spans="1:23">
      <c r="A67" s="1" t="s">
        <v>179</v>
      </c>
      <c r="B67" s="1" t="s">
        <v>180</v>
      </c>
      <c r="C67" s="1" t="s">
        <v>52</v>
      </c>
      <c r="D67" s="1" t="s">
        <v>37</v>
      </c>
      <c r="E67" s="1" t="s">
        <v>38</v>
      </c>
      <c r="F67">
        <v>30</v>
      </c>
      <c r="G67" s="2">
        <v>46264</v>
      </c>
      <c r="H67" s="2">
        <v>46265</v>
      </c>
      <c r="I67">
        <v>44585.95</v>
      </c>
      <c r="M67" s="1" t="s">
        <v>69</v>
      </c>
      <c r="N67" s="1" t="s">
        <v>22</v>
      </c>
      <c r="O67" s="2"/>
      <c r="P67" s="2"/>
      <c r="Q67">
        <f>_xlfn.XLOOKUP(E67,CPT!$A$2:$A$13,CPT!$D$2:$D$13)</f>
        <v>1450</v>
      </c>
      <c r="R67" s="1">
        <f>_xlfn.XLOOKUP(C67,Contract!$A$2:$A$9,Contract!$B$2:$B$9)</f>
        <v>0.47</v>
      </c>
      <c r="S67" s="1">
        <f t="shared" si="4"/>
        <v>20445</v>
      </c>
      <c r="T67" s="1" t="str">
        <f t="shared" si="5"/>
        <v/>
      </c>
      <c r="U67" s="1" t="str">
        <f t="shared" si="6"/>
        <v/>
      </c>
      <c r="V67" s="1" t="str">
        <f>_xlfn.XLOOKUP(C67,Payers!$A$2:$A$9,Payers!$B$2:$B$9)</f>
        <v>Keystone Commercial PPO</v>
      </c>
      <c r="W67" s="1" t="str">
        <f t="shared" si="7"/>
        <v>2026-08</v>
      </c>
    </row>
    <row r="68" spans="1:23">
      <c r="A68" s="1" t="s">
        <v>181</v>
      </c>
      <c r="B68" s="1" t="s">
        <v>182</v>
      </c>
      <c r="C68" s="1" t="s">
        <v>76</v>
      </c>
      <c r="D68" s="1" t="s">
        <v>30</v>
      </c>
      <c r="E68" s="1" t="s">
        <v>91</v>
      </c>
      <c r="F68">
        <v>1</v>
      </c>
      <c r="G68" s="2">
        <v>46101</v>
      </c>
      <c r="H68" s="2">
        <v>46109</v>
      </c>
      <c r="I68">
        <v>58.59</v>
      </c>
      <c r="J68">
        <v>23.4</v>
      </c>
      <c r="K68">
        <v>23.4</v>
      </c>
      <c r="L68">
        <v>0</v>
      </c>
      <c r="M68" s="1" t="s">
        <v>21</v>
      </c>
      <c r="N68" s="1" t="s">
        <v>22</v>
      </c>
      <c r="O68" s="2">
        <v>46157</v>
      </c>
      <c r="P68" s="2">
        <v>46157</v>
      </c>
      <c r="Q68">
        <f>_xlfn.XLOOKUP(E68,CPT!$A$2:$A$13,CPT!$D$2:$D$13)</f>
        <v>58</v>
      </c>
      <c r="R68" s="1">
        <f>_xlfn.XLOOKUP(C68,Contract!$A$2:$A$9,Contract!$B$2:$B$9)</f>
        <v>0.43</v>
      </c>
      <c r="S68" s="1">
        <f t="shared" si="4"/>
        <v>24.94</v>
      </c>
      <c r="T68" s="1">
        <f t="shared" si="5"/>
        <v>1.5400000000000027</v>
      </c>
      <c r="U68" s="1" t="str">
        <f t="shared" si="6"/>
        <v>Underpaid</v>
      </c>
      <c r="V68" s="1" t="str">
        <f>_xlfn.XLOOKUP(C68,Payers!$A$2:$A$9,Payers!$B$2:$B$9)</f>
        <v>Summit Health Commercial</v>
      </c>
      <c r="W68" s="1" t="str">
        <f t="shared" si="7"/>
        <v>2026-03</v>
      </c>
    </row>
    <row r="69" spans="1:23">
      <c r="A69" s="1" t="s">
        <v>183</v>
      </c>
      <c r="B69" s="1" t="s">
        <v>184</v>
      </c>
      <c r="C69" s="1" t="s">
        <v>76</v>
      </c>
      <c r="D69" s="1" t="s">
        <v>26</v>
      </c>
      <c r="E69" s="1" t="s">
        <v>185</v>
      </c>
      <c r="F69">
        <v>1</v>
      </c>
      <c r="G69" s="2">
        <v>46137</v>
      </c>
      <c r="H69" s="2">
        <v>46144</v>
      </c>
      <c r="I69">
        <v>1175.18</v>
      </c>
      <c r="M69" s="1" t="s">
        <v>32</v>
      </c>
      <c r="N69" s="1" t="s">
        <v>168</v>
      </c>
      <c r="O69" s="2">
        <v>46170</v>
      </c>
      <c r="P69" s="2"/>
      <c r="Q69">
        <f>_xlfn.XLOOKUP(E69,CPT!$A$2:$A$13,CPT!$D$2:$D$13)</f>
        <v>1150</v>
      </c>
      <c r="R69" s="1">
        <f>_xlfn.XLOOKUP(C69,Contract!$A$2:$A$9,Contract!$B$2:$B$9)</f>
        <v>0.43</v>
      </c>
      <c r="S69" s="1">
        <f t="shared" si="4"/>
        <v>494.5</v>
      </c>
      <c r="T69" s="1" t="str">
        <f t="shared" si="5"/>
        <v/>
      </c>
      <c r="U69" s="1" t="str">
        <f t="shared" si="6"/>
        <v/>
      </c>
      <c r="V69" s="1" t="str">
        <f>_xlfn.XLOOKUP(C69,Payers!$A$2:$A$9,Payers!$B$2:$B$9)</f>
        <v>Summit Health Commercial</v>
      </c>
      <c r="W69" s="1" t="str">
        <f t="shared" si="7"/>
        <v>2026-04</v>
      </c>
    </row>
    <row r="70" spans="1:23">
      <c r="A70" s="1" t="s">
        <v>186</v>
      </c>
      <c r="B70" s="1" t="s">
        <v>187</v>
      </c>
      <c r="C70" s="1" t="s">
        <v>60</v>
      </c>
      <c r="D70" s="1" t="s">
        <v>19</v>
      </c>
      <c r="E70" s="1" t="s">
        <v>20</v>
      </c>
      <c r="F70">
        <v>1</v>
      </c>
      <c r="G70" s="2">
        <v>46212</v>
      </c>
      <c r="H70" s="2">
        <v>46214</v>
      </c>
      <c r="I70">
        <v>141.79</v>
      </c>
      <c r="J70">
        <v>63.5</v>
      </c>
      <c r="K70">
        <v>63.5</v>
      </c>
      <c r="L70">
        <v>0</v>
      </c>
      <c r="M70" s="1" t="s">
        <v>21</v>
      </c>
      <c r="N70" s="1" t="s">
        <v>22</v>
      </c>
      <c r="O70" s="2">
        <v>46253</v>
      </c>
      <c r="P70" s="2">
        <v>46253</v>
      </c>
      <c r="Q70">
        <f>_xlfn.XLOOKUP(E70,CPT!$A$2:$A$13,CPT!$D$2:$D$13)</f>
        <v>145</v>
      </c>
      <c r="R70" s="1">
        <f>_xlfn.XLOOKUP(C70,Contract!$A$2:$A$9,Contract!$B$2:$B$9)</f>
        <v>0.45</v>
      </c>
      <c r="S70" s="1">
        <f t="shared" si="4"/>
        <v>65.25</v>
      </c>
      <c r="T70" s="1">
        <f t="shared" si="5"/>
        <v>1.75</v>
      </c>
      <c r="U70" s="1" t="str">
        <f t="shared" si="6"/>
        <v>OK</v>
      </c>
      <c r="V70" s="1" t="str">
        <f>_xlfn.XLOOKUP(C70,Payers!$A$2:$A$9,Payers!$B$2:$B$9)</f>
        <v>Blue Horizon Commercial</v>
      </c>
      <c r="W70" s="1" t="str">
        <f t="shared" si="7"/>
        <v>2026-07</v>
      </c>
    </row>
    <row r="71" spans="1:23">
      <c r="A71" s="1" t="s">
        <v>188</v>
      </c>
      <c r="B71" s="1" t="s">
        <v>189</v>
      </c>
      <c r="C71" s="1" t="s">
        <v>60</v>
      </c>
      <c r="D71" s="1" t="s">
        <v>26</v>
      </c>
      <c r="E71" s="1" t="s">
        <v>27</v>
      </c>
      <c r="F71">
        <v>1</v>
      </c>
      <c r="G71" s="2">
        <v>46139</v>
      </c>
      <c r="H71" s="2">
        <v>46159</v>
      </c>
      <c r="I71">
        <v>234.14</v>
      </c>
      <c r="J71">
        <v>104.1</v>
      </c>
      <c r="K71">
        <v>104.1</v>
      </c>
      <c r="L71">
        <v>0</v>
      </c>
      <c r="M71" s="1" t="s">
        <v>21</v>
      </c>
      <c r="N71" s="1" t="s">
        <v>22</v>
      </c>
      <c r="O71" s="2">
        <v>46189</v>
      </c>
      <c r="P71" s="2">
        <v>46189</v>
      </c>
      <c r="Q71">
        <f>_xlfn.XLOOKUP(E71,CPT!$A$2:$A$13,CPT!$D$2:$D$13)</f>
        <v>240</v>
      </c>
      <c r="R71" s="1">
        <f>_xlfn.XLOOKUP(C71,Contract!$A$2:$A$9,Contract!$B$2:$B$9)</f>
        <v>0.45</v>
      </c>
      <c r="S71" s="1">
        <f t="shared" si="4"/>
        <v>108</v>
      </c>
      <c r="T71" s="1">
        <f t="shared" si="5"/>
        <v>3.9000000000000057</v>
      </c>
      <c r="U71" s="1" t="str">
        <f t="shared" si="6"/>
        <v>OK</v>
      </c>
      <c r="V71" s="1" t="str">
        <f>_xlfn.XLOOKUP(C71,Payers!$A$2:$A$9,Payers!$B$2:$B$9)</f>
        <v>Blue Horizon Commercial</v>
      </c>
      <c r="W71" s="1" t="str">
        <f t="shared" si="7"/>
        <v>2026-04</v>
      </c>
    </row>
    <row r="72" spans="1:23">
      <c r="A72" s="1" t="s">
        <v>190</v>
      </c>
      <c r="B72" s="1" t="s">
        <v>191</v>
      </c>
      <c r="C72" s="1" t="s">
        <v>47</v>
      </c>
      <c r="D72" s="1" t="s">
        <v>30</v>
      </c>
      <c r="E72" s="1" t="s">
        <v>91</v>
      </c>
      <c r="F72">
        <v>3</v>
      </c>
      <c r="G72" s="2">
        <v>46080</v>
      </c>
      <c r="H72" s="2">
        <v>46083</v>
      </c>
      <c r="I72">
        <v>176.14</v>
      </c>
      <c r="J72">
        <v>48.48</v>
      </c>
      <c r="K72">
        <v>48.48</v>
      </c>
      <c r="L72">
        <v>0</v>
      </c>
      <c r="M72" s="1" t="s">
        <v>21</v>
      </c>
      <c r="N72" s="1" t="s">
        <v>22</v>
      </c>
      <c r="O72" s="2">
        <v>46151</v>
      </c>
      <c r="P72" s="2">
        <v>46151</v>
      </c>
      <c r="Q72">
        <f>_xlfn.XLOOKUP(E72,CPT!$A$2:$A$13,CPT!$D$2:$D$13)</f>
        <v>58</v>
      </c>
      <c r="R72" s="1">
        <f>_xlfn.XLOOKUP(C72,Contract!$A$2:$A$9,Contract!$B$2:$B$9)</f>
        <v>0.28000000000000003</v>
      </c>
      <c r="S72" s="1">
        <f t="shared" si="4"/>
        <v>48.72</v>
      </c>
      <c r="T72" s="1">
        <f t="shared" si="5"/>
        <v>0.24000000000000199</v>
      </c>
      <c r="U72" s="1" t="str">
        <f t="shared" si="6"/>
        <v>OK</v>
      </c>
      <c r="V72" s="1" t="str">
        <f>_xlfn.XLOOKUP(C72,Payers!$A$2:$A$9,Payers!$B$2:$B$9)</f>
        <v>Coastal Medicaid MCO</v>
      </c>
      <c r="W72" s="1" t="str">
        <f t="shared" si="7"/>
        <v>2026-02</v>
      </c>
    </row>
    <row r="73" spans="1:23">
      <c r="A73" s="1" t="s">
        <v>192</v>
      </c>
      <c r="B73" s="1" t="s">
        <v>193</v>
      </c>
      <c r="C73" s="1" t="s">
        <v>36</v>
      </c>
      <c r="D73" s="1" t="s">
        <v>26</v>
      </c>
      <c r="E73" s="1" t="s">
        <v>44</v>
      </c>
      <c r="F73">
        <v>1</v>
      </c>
      <c r="G73" s="2">
        <v>46105</v>
      </c>
      <c r="H73" s="2">
        <v>46108</v>
      </c>
      <c r="I73">
        <v>4925.0600000000004</v>
      </c>
      <c r="J73">
        <v>1239.93</v>
      </c>
      <c r="K73">
        <v>1115.94</v>
      </c>
      <c r="L73">
        <v>123.99</v>
      </c>
      <c r="M73" s="1" t="s">
        <v>21</v>
      </c>
      <c r="N73" s="1" t="s">
        <v>22</v>
      </c>
      <c r="O73" s="2">
        <v>46154</v>
      </c>
      <c r="P73" s="2">
        <v>46154</v>
      </c>
      <c r="Q73">
        <f>_xlfn.XLOOKUP(E73,CPT!$A$2:$A$13,CPT!$D$2:$D$13)</f>
        <v>4800</v>
      </c>
      <c r="R73" s="1">
        <f>_xlfn.XLOOKUP(C73,Contract!$A$2:$A$9,Contract!$B$2:$B$9)</f>
        <v>0.27</v>
      </c>
      <c r="S73" s="1">
        <f t="shared" si="4"/>
        <v>1296</v>
      </c>
      <c r="T73" s="1">
        <f t="shared" si="5"/>
        <v>56.069999999999936</v>
      </c>
      <c r="U73" s="1" t="str">
        <f t="shared" si="6"/>
        <v>OK</v>
      </c>
      <c r="V73" s="1" t="str">
        <f>_xlfn.XLOOKUP(C73,Payers!$A$2:$A$9,Payers!$B$2:$B$9)</f>
        <v>Florida Medicaid</v>
      </c>
      <c r="W73" s="1" t="str">
        <f t="shared" si="7"/>
        <v>2026-03</v>
      </c>
    </row>
    <row r="74" spans="1:23">
      <c r="A74" s="1" t="s">
        <v>194</v>
      </c>
      <c r="B74" s="1" t="s">
        <v>195</v>
      </c>
      <c r="C74" s="1" t="s">
        <v>47</v>
      </c>
      <c r="D74" s="1" t="s">
        <v>19</v>
      </c>
      <c r="E74" s="1" t="s">
        <v>41</v>
      </c>
      <c r="F74">
        <v>1</v>
      </c>
      <c r="G74" s="2">
        <v>46159</v>
      </c>
      <c r="H74" s="2">
        <v>46161</v>
      </c>
      <c r="I74">
        <v>38.090000000000003</v>
      </c>
      <c r="J74">
        <v>10.77</v>
      </c>
      <c r="K74">
        <v>10.77</v>
      </c>
      <c r="L74">
        <v>0</v>
      </c>
      <c r="M74" s="1" t="s">
        <v>21</v>
      </c>
      <c r="N74" s="1" t="s">
        <v>22</v>
      </c>
      <c r="O74" s="2">
        <v>46206</v>
      </c>
      <c r="P74" s="2">
        <v>46206</v>
      </c>
      <c r="Q74">
        <f>_xlfn.XLOOKUP(E74,CPT!$A$2:$A$13,CPT!$D$2:$D$13)</f>
        <v>38</v>
      </c>
      <c r="R74" s="1">
        <f>_xlfn.XLOOKUP(C74,Contract!$A$2:$A$9,Contract!$B$2:$B$9)</f>
        <v>0.28000000000000003</v>
      </c>
      <c r="S74" s="1">
        <f t="shared" si="4"/>
        <v>10.64</v>
      </c>
      <c r="T74" s="1">
        <f t="shared" si="5"/>
        <v>-0.12999999999999901</v>
      </c>
      <c r="U74" s="1" t="str">
        <f t="shared" si="6"/>
        <v>OK</v>
      </c>
      <c r="V74" s="1" t="str">
        <f>_xlfn.XLOOKUP(C74,Payers!$A$2:$A$9,Payers!$B$2:$B$9)</f>
        <v>Coastal Medicaid MCO</v>
      </c>
      <c r="W74" s="1" t="str">
        <f t="shared" si="7"/>
        <v>2026-05</v>
      </c>
    </row>
    <row r="75" spans="1:23">
      <c r="A75" s="1" t="s">
        <v>196</v>
      </c>
      <c r="B75" s="1" t="s">
        <v>197</v>
      </c>
      <c r="C75" s="1" t="s">
        <v>60</v>
      </c>
      <c r="D75" s="1" t="s">
        <v>26</v>
      </c>
      <c r="E75" s="1" t="s">
        <v>113</v>
      </c>
      <c r="F75">
        <v>1</v>
      </c>
      <c r="G75" s="2">
        <v>46141</v>
      </c>
      <c r="H75" s="2">
        <v>46147</v>
      </c>
      <c r="I75">
        <v>1021.25</v>
      </c>
      <c r="J75">
        <v>504.09</v>
      </c>
      <c r="K75">
        <v>403.27</v>
      </c>
      <c r="L75">
        <v>100.82</v>
      </c>
      <c r="M75" s="1" t="s">
        <v>21</v>
      </c>
      <c r="N75" s="1" t="s">
        <v>22</v>
      </c>
      <c r="O75" s="2">
        <v>46177</v>
      </c>
      <c r="P75" s="2">
        <v>46177</v>
      </c>
      <c r="Q75">
        <f>_xlfn.XLOOKUP(E75,CPT!$A$2:$A$13,CPT!$D$2:$D$13)</f>
        <v>1050</v>
      </c>
      <c r="R75" s="1">
        <f>_xlfn.XLOOKUP(C75,Contract!$A$2:$A$9,Contract!$B$2:$B$9)</f>
        <v>0.45</v>
      </c>
      <c r="S75" s="1">
        <f t="shared" si="4"/>
        <v>472.5</v>
      </c>
      <c r="T75" s="1">
        <f t="shared" si="5"/>
        <v>-31.589999999999975</v>
      </c>
      <c r="U75" s="1" t="str">
        <f t="shared" si="6"/>
        <v>OK</v>
      </c>
      <c r="V75" s="1" t="str">
        <f>_xlfn.XLOOKUP(C75,Payers!$A$2:$A$9,Payers!$B$2:$B$9)</f>
        <v>Blue Horizon Commercial</v>
      </c>
      <c r="W75" s="1" t="str">
        <f t="shared" si="7"/>
        <v>2026-04</v>
      </c>
    </row>
    <row r="76" spans="1:23">
      <c r="A76" s="1" t="s">
        <v>198</v>
      </c>
      <c r="B76" s="1" t="s">
        <v>199</v>
      </c>
      <c r="C76" s="1" t="s">
        <v>79</v>
      </c>
      <c r="D76" s="1" t="s">
        <v>37</v>
      </c>
      <c r="E76" s="1" t="s">
        <v>57</v>
      </c>
      <c r="F76">
        <v>1</v>
      </c>
      <c r="G76" s="2">
        <v>46184</v>
      </c>
      <c r="H76" s="2">
        <v>46185</v>
      </c>
      <c r="I76">
        <v>215.86</v>
      </c>
      <c r="J76">
        <v>215.86</v>
      </c>
      <c r="K76">
        <v>215.86</v>
      </c>
      <c r="L76">
        <v>0</v>
      </c>
      <c r="M76" s="1" t="s">
        <v>21</v>
      </c>
      <c r="N76" s="1" t="s">
        <v>22</v>
      </c>
      <c r="O76" s="2">
        <v>46254</v>
      </c>
      <c r="P76" s="2">
        <v>46254</v>
      </c>
      <c r="Q76">
        <f>_xlfn.XLOOKUP(E76,CPT!$A$2:$A$13,CPT!$D$2:$D$13)</f>
        <v>210</v>
      </c>
      <c r="R76" s="1">
        <f>_xlfn.XLOOKUP(C76,Contract!$A$2:$A$9,Contract!$B$2:$B$9)</f>
        <v>1</v>
      </c>
      <c r="S76" s="1">
        <f t="shared" si="4"/>
        <v>210</v>
      </c>
      <c r="T76" s="1">
        <f t="shared" si="5"/>
        <v>-5.8600000000000136</v>
      </c>
      <c r="U76" s="1" t="str">
        <f t="shared" si="6"/>
        <v>OK</v>
      </c>
      <c r="V76" s="1" t="str">
        <f>_xlfn.XLOOKUP(C76,Payers!$A$2:$A$9,Payers!$B$2:$B$9)</f>
        <v>Self-Pay</v>
      </c>
      <c r="W76" s="1" t="str">
        <f t="shared" si="7"/>
        <v>2026-06</v>
      </c>
    </row>
    <row r="77" spans="1:23">
      <c r="A77" s="1" t="s">
        <v>200</v>
      </c>
      <c r="B77" s="1" t="s">
        <v>201</v>
      </c>
      <c r="C77" s="1" t="s">
        <v>60</v>
      </c>
      <c r="D77" s="1" t="s">
        <v>19</v>
      </c>
      <c r="E77" s="1" t="s">
        <v>41</v>
      </c>
      <c r="F77">
        <v>1</v>
      </c>
      <c r="G77" s="2">
        <v>46004</v>
      </c>
      <c r="H77" s="2">
        <v>46009</v>
      </c>
      <c r="I77">
        <v>37.79</v>
      </c>
      <c r="J77">
        <v>16.84</v>
      </c>
      <c r="K77">
        <v>15.16</v>
      </c>
      <c r="L77">
        <v>1.68</v>
      </c>
      <c r="M77" s="1" t="s">
        <v>21</v>
      </c>
      <c r="N77" s="1" t="s">
        <v>22</v>
      </c>
      <c r="O77" s="2">
        <v>46040</v>
      </c>
      <c r="P77" s="2">
        <v>46040</v>
      </c>
      <c r="Q77">
        <f>_xlfn.XLOOKUP(E77,CPT!$A$2:$A$13,CPT!$D$2:$D$13)</f>
        <v>38</v>
      </c>
      <c r="R77" s="1">
        <f>_xlfn.XLOOKUP(C77,Contract!$A$2:$A$9,Contract!$B$2:$B$9)</f>
        <v>0.45</v>
      </c>
      <c r="S77" s="1">
        <f t="shared" si="4"/>
        <v>17.100000000000001</v>
      </c>
      <c r="T77" s="1">
        <f t="shared" si="5"/>
        <v>0.26000000000000156</v>
      </c>
      <c r="U77" s="1" t="str">
        <f t="shared" si="6"/>
        <v>OK</v>
      </c>
      <c r="V77" s="1" t="str">
        <f>_xlfn.XLOOKUP(C77,Payers!$A$2:$A$9,Payers!$B$2:$B$9)</f>
        <v>Blue Horizon Commercial</v>
      </c>
      <c r="W77" s="1" t="str">
        <f t="shared" si="7"/>
        <v>2025-12</v>
      </c>
    </row>
    <row r="78" spans="1:23">
      <c r="A78" s="1" t="s">
        <v>202</v>
      </c>
      <c r="B78" s="1" t="s">
        <v>203</v>
      </c>
      <c r="C78" s="1" t="s">
        <v>25</v>
      </c>
      <c r="D78" s="1" t="s">
        <v>19</v>
      </c>
      <c r="E78" s="1" t="s">
        <v>41</v>
      </c>
      <c r="F78">
        <v>1</v>
      </c>
      <c r="G78" s="2">
        <v>46099</v>
      </c>
      <c r="H78" s="2">
        <v>46107</v>
      </c>
      <c r="I78">
        <v>38.799999999999997</v>
      </c>
      <c r="J78">
        <v>13.17</v>
      </c>
      <c r="K78">
        <v>13.17</v>
      </c>
      <c r="L78">
        <v>0</v>
      </c>
      <c r="M78" s="1" t="s">
        <v>21</v>
      </c>
      <c r="N78" s="1" t="s">
        <v>22</v>
      </c>
      <c r="O78" s="2">
        <v>46123</v>
      </c>
      <c r="P78" s="2">
        <v>46123</v>
      </c>
      <c r="Q78">
        <f>_xlfn.XLOOKUP(E78,CPT!$A$2:$A$13,CPT!$D$2:$D$13)</f>
        <v>38</v>
      </c>
      <c r="R78" s="1">
        <f>_xlfn.XLOOKUP(C78,Contract!$A$2:$A$9,Contract!$B$2:$B$9)</f>
        <v>0.36</v>
      </c>
      <c r="S78" s="1">
        <f t="shared" si="4"/>
        <v>13.68</v>
      </c>
      <c r="T78" s="1">
        <f t="shared" si="5"/>
        <v>0.50999999999999979</v>
      </c>
      <c r="U78" s="1" t="str">
        <f t="shared" si="6"/>
        <v>OK</v>
      </c>
      <c r="V78" s="1" t="str">
        <f>_xlfn.XLOOKUP(C78,Payers!$A$2:$A$9,Payers!$B$2:$B$9)</f>
        <v>Medicare Part B</v>
      </c>
      <c r="W78" s="1" t="str">
        <f t="shared" si="7"/>
        <v>2026-03</v>
      </c>
    </row>
    <row r="79" spans="1:23">
      <c r="A79" s="1" t="s">
        <v>204</v>
      </c>
      <c r="B79" s="1" t="s">
        <v>205</v>
      </c>
      <c r="C79" s="1" t="s">
        <v>18</v>
      </c>
      <c r="D79" s="1" t="s">
        <v>26</v>
      </c>
      <c r="E79" s="1" t="s">
        <v>41</v>
      </c>
      <c r="F79">
        <v>1</v>
      </c>
      <c r="G79" s="2">
        <v>46078</v>
      </c>
      <c r="H79" s="2">
        <v>46084</v>
      </c>
      <c r="I79">
        <v>39.130000000000003</v>
      </c>
      <c r="J79">
        <v>13.1</v>
      </c>
      <c r="K79">
        <v>13.1</v>
      </c>
      <c r="L79">
        <v>0</v>
      </c>
      <c r="M79" s="1" t="s">
        <v>21</v>
      </c>
      <c r="N79" s="1" t="s">
        <v>22</v>
      </c>
      <c r="O79" s="2">
        <v>46110</v>
      </c>
      <c r="P79" s="2">
        <v>46110</v>
      </c>
      <c r="Q79">
        <f>_xlfn.XLOOKUP(E79,CPT!$A$2:$A$13,CPT!$D$2:$D$13)</f>
        <v>38</v>
      </c>
      <c r="R79" s="1">
        <f>_xlfn.XLOOKUP(C79,Contract!$A$2:$A$9,Contract!$B$2:$B$9)</f>
        <v>0.38</v>
      </c>
      <c r="S79" s="1">
        <f t="shared" si="4"/>
        <v>14.44</v>
      </c>
      <c r="T79" s="1">
        <f t="shared" si="5"/>
        <v>1.3399999999999999</v>
      </c>
      <c r="U79" s="1" t="str">
        <f t="shared" si="6"/>
        <v>Underpaid</v>
      </c>
      <c r="V79" s="1" t="str">
        <f>_xlfn.XLOOKUP(C79,Payers!$A$2:$A$9,Payers!$B$2:$B$9)</f>
        <v>Sunshine Medicare Advantage</v>
      </c>
      <c r="W79" s="1" t="str">
        <f t="shared" si="7"/>
        <v>2026-02</v>
      </c>
    </row>
    <row r="80" spans="1:23">
      <c r="A80" s="1" t="s">
        <v>206</v>
      </c>
      <c r="B80" s="1" t="s">
        <v>207</v>
      </c>
      <c r="C80" s="1" t="s">
        <v>47</v>
      </c>
      <c r="D80" s="1" t="s">
        <v>26</v>
      </c>
      <c r="E80" s="1" t="s">
        <v>185</v>
      </c>
      <c r="F80">
        <v>1</v>
      </c>
      <c r="G80" s="2">
        <v>45954</v>
      </c>
      <c r="H80" s="2">
        <v>45955</v>
      </c>
      <c r="I80">
        <v>1137.8800000000001</v>
      </c>
      <c r="M80" s="1" t="s">
        <v>32</v>
      </c>
      <c r="N80" s="1" t="s">
        <v>49</v>
      </c>
      <c r="O80" s="2">
        <v>45992</v>
      </c>
      <c r="P80" s="2"/>
      <c r="Q80">
        <f>_xlfn.XLOOKUP(E80,CPT!$A$2:$A$13,CPT!$D$2:$D$13)</f>
        <v>1150</v>
      </c>
      <c r="R80" s="1">
        <f>_xlfn.XLOOKUP(C80,Contract!$A$2:$A$9,Contract!$B$2:$B$9)</f>
        <v>0.28000000000000003</v>
      </c>
      <c r="S80" s="1">
        <f t="shared" si="4"/>
        <v>322</v>
      </c>
      <c r="T80" s="1" t="str">
        <f t="shared" si="5"/>
        <v/>
      </c>
      <c r="U80" s="1" t="str">
        <f t="shared" si="6"/>
        <v/>
      </c>
      <c r="V80" s="1" t="str">
        <f>_xlfn.XLOOKUP(C80,Payers!$A$2:$A$9,Payers!$B$2:$B$9)</f>
        <v>Coastal Medicaid MCO</v>
      </c>
      <c r="W80" s="1" t="str">
        <f t="shared" si="7"/>
        <v>2025-10</v>
      </c>
    </row>
    <row r="81" spans="1:23">
      <c r="A81" s="1" t="s">
        <v>208</v>
      </c>
      <c r="B81" s="1" t="s">
        <v>209</v>
      </c>
      <c r="C81" s="1" t="s">
        <v>52</v>
      </c>
      <c r="D81" s="1" t="s">
        <v>19</v>
      </c>
      <c r="E81" s="1" t="s">
        <v>57</v>
      </c>
      <c r="F81">
        <v>1</v>
      </c>
      <c r="G81" s="2">
        <v>46229</v>
      </c>
      <c r="H81" s="2">
        <v>46232</v>
      </c>
      <c r="I81">
        <v>205.5</v>
      </c>
      <c r="J81">
        <v>89.71</v>
      </c>
      <c r="K81">
        <v>89.71</v>
      </c>
      <c r="L81">
        <v>0</v>
      </c>
      <c r="M81" s="1" t="s">
        <v>21</v>
      </c>
      <c r="N81" s="1" t="s">
        <v>22</v>
      </c>
      <c r="O81" s="2">
        <v>46287</v>
      </c>
      <c r="P81" s="2">
        <v>46287</v>
      </c>
      <c r="Q81">
        <f>_xlfn.XLOOKUP(E81,CPT!$A$2:$A$13,CPT!$D$2:$D$13)</f>
        <v>210</v>
      </c>
      <c r="R81" s="1">
        <f>_xlfn.XLOOKUP(C81,Contract!$A$2:$A$9,Contract!$B$2:$B$9)</f>
        <v>0.47</v>
      </c>
      <c r="S81" s="1">
        <f t="shared" si="4"/>
        <v>98.7</v>
      </c>
      <c r="T81" s="1">
        <f t="shared" si="5"/>
        <v>8.9900000000000091</v>
      </c>
      <c r="U81" s="1" t="str">
        <f t="shared" si="6"/>
        <v>Underpaid</v>
      </c>
      <c r="V81" s="1" t="str">
        <f>_xlfn.XLOOKUP(C81,Payers!$A$2:$A$9,Payers!$B$2:$B$9)</f>
        <v>Keystone Commercial PPO</v>
      </c>
      <c r="W81" s="1" t="str">
        <f t="shared" si="7"/>
        <v>2026-07</v>
      </c>
    </row>
    <row r="82" spans="1:23">
      <c r="A82" s="1" t="s">
        <v>210</v>
      </c>
      <c r="B82" s="1" t="s">
        <v>211</v>
      </c>
      <c r="C82" s="1" t="s">
        <v>18</v>
      </c>
      <c r="D82" s="1" t="s">
        <v>19</v>
      </c>
      <c r="E82" s="1" t="s">
        <v>88</v>
      </c>
      <c r="F82">
        <v>1</v>
      </c>
      <c r="G82" s="2">
        <v>46011</v>
      </c>
      <c r="H82" s="2">
        <v>46023</v>
      </c>
      <c r="I82">
        <v>253.35</v>
      </c>
      <c r="J82">
        <v>90.85</v>
      </c>
      <c r="K82">
        <v>72.680000000000007</v>
      </c>
      <c r="L82">
        <v>18.170000000000002</v>
      </c>
      <c r="M82" s="1" t="s">
        <v>21</v>
      </c>
      <c r="N82" s="1" t="s">
        <v>22</v>
      </c>
      <c r="O82" s="2">
        <v>46098</v>
      </c>
      <c r="P82" s="2">
        <v>46098</v>
      </c>
      <c r="Q82">
        <f>_xlfn.XLOOKUP(E82,CPT!$A$2:$A$13,CPT!$D$2:$D$13)</f>
        <v>260</v>
      </c>
      <c r="R82" s="1">
        <f>_xlfn.XLOOKUP(C82,Contract!$A$2:$A$9,Contract!$B$2:$B$9)</f>
        <v>0.38</v>
      </c>
      <c r="S82" s="1">
        <f t="shared" si="4"/>
        <v>98.8</v>
      </c>
      <c r="T82" s="1">
        <f t="shared" si="5"/>
        <v>7.9500000000000028</v>
      </c>
      <c r="U82" s="1" t="str">
        <f t="shared" si="6"/>
        <v>Underpaid</v>
      </c>
      <c r="V82" s="1" t="str">
        <f>_xlfn.XLOOKUP(C82,Payers!$A$2:$A$9,Payers!$B$2:$B$9)</f>
        <v>Sunshine Medicare Advantage</v>
      </c>
      <c r="W82" s="1" t="str">
        <f t="shared" si="7"/>
        <v>2025-12</v>
      </c>
    </row>
    <row r="83" spans="1:23">
      <c r="A83" s="1" t="s">
        <v>212</v>
      </c>
      <c r="B83" s="1" t="s">
        <v>213</v>
      </c>
      <c r="C83" s="1" t="s">
        <v>36</v>
      </c>
      <c r="D83" s="1" t="s">
        <v>26</v>
      </c>
      <c r="E83" s="1" t="s">
        <v>113</v>
      </c>
      <c r="F83">
        <v>1</v>
      </c>
      <c r="G83" s="2">
        <v>45985</v>
      </c>
      <c r="H83" s="2">
        <v>45989</v>
      </c>
      <c r="I83">
        <v>1033.44</v>
      </c>
      <c r="J83">
        <v>321.8</v>
      </c>
      <c r="K83">
        <v>289.62</v>
      </c>
      <c r="L83">
        <v>32.18</v>
      </c>
      <c r="M83" s="1" t="s">
        <v>21</v>
      </c>
      <c r="N83" s="1" t="s">
        <v>22</v>
      </c>
      <c r="O83" s="2">
        <v>46024</v>
      </c>
      <c r="P83" s="2">
        <v>46024</v>
      </c>
      <c r="Q83">
        <f>_xlfn.XLOOKUP(E83,CPT!$A$2:$A$13,CPT!$D$2:$D$13)</f>
        <v>1050</v>
      </c>
      <c r="R83" s="1">
        <f>_xlfn.XLOOKUP(C83,Contract!$A$2:$A$9,Contract!$B$2:$B$9)</f>
        <v>0.27</v>
      </c>
      <c r="S83" s="1">
        <f t="shared" si="4"/>
        <v>283.5</v>
      </c>
      <c r="T83" s="1">
        <f t="shared" si="5"/>
        <v>-38.300000000000011</v>
      </c>
      <c r="U83" s="1" t="str">
        <f t="shared" si="6"/>
        <v>OK</v>
      </c>
      <c r="V83" s="1" t="str">
        <f>_xlfn.XLOOKUP(C83,Payers!$A$2:$A$9,Payers!$B$2:$B$9)</f>
        <v>Florida Medicaid</v>
      </c>
      <c r="W83" s="1" t="str">
        <f t="shared" si="7"/>
        <v>2025-11</v>
      </c>
    </row>
    <row r="84" spans="1:23">
      <c r="A84" s="1" t="s">
        <v>214</v>
      </c>
      <c r="B84" s="1" t="s">
        <v>215</v>
      </c>
      <c r="C84" s="1" t="s">
        <v>76</v>
      </c>
      <c r="D84" s="1" t="s">
        <v>30</v>
      </c>
      <c r="E84" s="1" t="s">
        <v>20</v>
      </c>
      <c r="F84">
        <v>1</v>
      </c>
      <c r="G84" s="2">
        <v>45935</v>
      </c>
      <c r="H84" s="2">
        <v>45940</v>
      </c>
      <c r="I84">
        <v>145.57</v>
      </c>
      <c r="M84" s="1" t="s">
        <v>32</v>
      </c>
      <c r="N84" s="1" t="s">
        <v>98</v>
      </c>
      <c r="O84" s="2">
        <v>45978</v>
      </c>
      <c r="P84" s="2"/>
      <c r="Q84">
        <f>_xlfn.XLOOKUP(E84,CPT!$A$2:$A$13,CPT!$D$2:$D$13)</f>
        <v>145</v>
      </c>
      <c r="R84" s="1">
        <f>_xlfn.XLOOKUP(C84,Contract!$A$2:$A$9,Contract!$B$2:$B$9)</f>
        <v>0.43</v>
      </c>
      <c r="S84" s="1">
        <f t="shared" si="4"/>
        <v>62.35</v>
      </c>
      <c r="T84" s="1" t="str">
        <f t="shared" si="5"/>
        <v/>
      </c>
      <c r="U84" s="1" t="str">
        <f t="shared" si="6"/>
        <v/>
      </c>
      <c r="V84" s="1" t="str">
        <f>_xlfn.XLOOKUP(C84,Payers!$A$2:$A$9,Payers!$B$2:$B$9)</f>
        <v>Summit Health Commercial</v>
      </c>
      <c r="W84" s="1" t="str">
        <f t="shared" si="7"/>
        <v>2025-10</v>
      </c>
    </row>
    <row r="85" spans="1:23">
      <c r="A85" s="1" t="s">
        <v>216</v>
      </c>
      <c r="B85" s="1" t="s">
        <v>217</v>
      </c>
      <c r="C85" s="1" t="s">
        <v>18</v>
      </c>
      <c r="D85" s="1" t="s">
        <v>37</v>
      </c>
      <c r="E85" s="1" t="s">
        <v>57</v>
      </c>
      <c r="F85">
        <v>1</v>
      </c>
      <c r="G85" s="2">
        <v>46279</v>
      </c>
      <c r="H85" s="2">
        <v>46283</v>
      </c>
      <c r="I85">
        <v>214.26</v>
      </c>
      <c r="M85" s="1" t="s">
        <v>69</v>
      </c>
      <c r="N85" s="1" t="s">
        <v>22</v>
      </c>
      <c r="O85" s="2"/>
      <c r="P85" s="2"/>
      <c r="Q85">
        <f>_xlfn.XLOOKUP(E85,CPT!$A$2:$A$13,CPT!$D$2:$D$13)</f>
        <v>210</v>
      </c>
      <c r="R85" s="1">
        <f>_xlfn.XLOOKUP(C85,Contract!$A$2:$A$9,Contract!$B$2:$B$9)</f>
        <v>0.38</v>
      </c>
      <c r="S85" s="1">
        <f t="shared" si="4"/>
        <v>79.8</v>
      </c>
      <c r="T85" s="1" t="str">
        <f t="shared" si="5"/>
        <v/>
      </c>
      <c r="U85" s="1" t="str">
        <f t="shared" si="6"/>
        <v/>
      </c>
      <c r="V85" s="1" t="str">
        <f>_xlfn.XLOOKUP(C85,Payers!$A$2:$A$9,Payers!$B$2:$B$9)</f>
        <v>Sunshine Medicare Advantage</v>
      </c>
      <c r="W85" s="1" t="str">
        <f t="shared" si="7"/>
        <v>2026-09</v>
      </c>
    </row>
    <row r="86" spans="1:23">
      <c r="A86" s="1" t="s">
        <v>218</v>
      </c>
      <c r="B86" s="1" t="s">
        <v>219</v>
      </c>
      <c r="C86" s="1" t="s">
        <v>25</v>
      </c>
      <c r="D86" s="1" t="s">
        <v>37</v>
      </c>
      <c r="E86" s="1" t="s">
        <v>38</v>
      </c>
      <c r="F86">
        <v>5</v>
      </c>
      <c r="G86" s="2">
        <v>45998</v>
      </c>
      <c r="H86" s="2">
        <v>46000</v>
      </c>
      <c r="I86">
        <v>7428.19</v>
      </c>
      <c r="J86">
        <v>2425.2199999999998</v>
      </c>
      <c r="K86">
        <v>2182.6999999999998</v>
      </c>
      <c r="L86">
        <v>242.52</v>
      </c>
      <c r="M86" s="1" t="s">
        <v>21</v>
      </c>
      <c r="N86" s="1" t="s">
        <v>22</v>
      </c>
      <c r="O86" s="2">
        <v>46020</v>
      </c>
      <c r="P86" s="2">
        <v>46020</v>
      </c>
      <c r="Q86">
        <f>_xlfn.XLOOKUP(E86,CPT!$A$2:$A$13,CPT!$D$2:$D$13)</f>
        <v>1450</v>
      </c>
      <c r="R86" s="1">
        <f>_xlfn.XLOOKUP(C86,Contract!$A$2:$A$9,Contract!$B$2:$B$9)</f>
        <v>0.36</v>
      </c>
      <c r="S86" s="1">
        <f t="shared" si="4"/>
        <v>2610</v>
      </c>
      <c r="T86" s="1">
        <f t="shared" si="5"/>
        <v>184.7800000000002</v>
      </c>
      <c r="U86" s="1" t="str">
        <f t="shared" si="6"/>
        <v>Underpaid</v>
      </c>
      <c r="V86" s="1" t="str">
        <f>_xlfn.XLOOKUP(C86,Payers!$A$2:$A$9,Payers!$B$2:$B$9)</f>
        <v>Medicare Part B</v>
      </c>
      <c r="W86" s="1" t="str">
        <f t="shared" si="7"/>
        <v>2025-12</v>
      </c>
    </row>
    <row r="87" spans="1:23">
      <c r="A87" s="1" t="s">
        <v>220</v>
      </c>
      <c r="B87" s="1" t="s">
        <v>221</v>
      </c>
      <c r="C87" s="1" t="s">
        <v>36</v>
      </c>
      <c r="D87" s="1" t="s">
        <v>19</v>
      </c>
      <c r="E87" s="1" t="s">
        <v>88</v>
      </c>
      <c r="F87">
        <v>1</v>
      </c>
      <c r="G87" s="2">
        <v>46062</v>
      </c>
      <c r="H87" s="2">
        <v>46074</v>
      </c>
      <c r="I87">
        <v>266.45999999999998</v>
      </c>
      <c r="J87">
        <v>67.36</v>
      </c>
      <c r="K87">
        <v>60.62</v>
      </c>
      <c r="L87">
        <v>6.74</v>
      </c>
      <c r="M87" s="1" t="s">
        <v>21</v>
      </c>
      <c r="N87" s="1" t="s">
        <v>22</v>
      </c>
      <c r="O87" s="2">
        <v>46090</v>
      </c>
      <c r="P87" s="2">
        <v>46090</v>
      </c>
      <c r="Q87">
        <f>_xlfn.XLOOKUP(E87,CPT!$A$2:$A$13,CPT!$D$2:$D$13)</f>
        <v>260</v>
      </c>
      <c r="R87" s="1">
        <f>_xlfn.XLOOKUP(C87,Contract!$A$2:$A$9,Contract!$B$2:$B$9)</f>
        <v>0.27</v>
      </c>
      <c r="S87" s="1">
        <f t="shared" si="4"/>
        <v>70.2</v>
      </c>
      <c r="T87" s="1">
        <f t="shared" si="5"/>
        <v>2.8400000000000034</v>
      </c>
      <c r="U87" s="1" t="str">
        <f t="shared" si="6"/>
        <v>OK</v>
      </c>
      <c r="V87" s="1" t="str">
        <f>_xlfn.XLOOKUP(C87,Payers!$A$2:$A$9,Payers!$B$2:$B$9)</f>
        <v>Florida Medicaid</v>
      </c>
      <c r="W87" s="1" t="str">
        <f t="shared" si="7"/>
        <v>2026-02</v>
      </c>
    </row>
    <row r="88" spans="1:23">
      <c r="A88" s="1" t="s">
        <v>222</v>
      </c>
      <c r="B88" s="1" t="s">
        <v>223</v>
      </c>
      <c r="C88" s="1" t="s">
        <v>60</v>
      </c>
      <c r="D88" s="1" t="s">
        <v>26</v>
      </c>
      <c r="E88" s="1" t="s">
        <v>88</v>
      </c>
      <c r="F88">
        <v>1</v>
      </c>
      <c r="G88" s="2">
        <v>46046</v>
      </c>
      <c r="H88" s="2">
        <v>46052</v>
      </c>
      <c r="I88">
        <v>265.62</v>
      </c>
      <c r="J88">
        <v>136.91</v>
      </c>
      <c r="K88">
        <v>109.53</v>
      </c>
      <c r="L88">
        <v>27.38</v>
      </c>
      <c r="M88" s="1" t="s">
        <v>21</v>
      </c>
      <c r="N88" s="1" t="s">
        <v>22</v>
      </c>
      <c r="O88" s="2">
        <v>46082</v>
      </c>
      <c r="P88" s="2">
        <v>46082</v>
      </c>
      <c r="Q88">
        <f>_xlfn.XLOOKUP(E88,CPT!$A$2:$A$13,CPT!$D$2:$D$13)</f>
        <v>260</v>
      </c>
      <c r="R88" s="1">
        <f>_xlfn.XLOOKUP(C88,Contract!$A$2:$A$9,Contract!$B$2:$B$9)</f>
        <v>0.45</v>
      </c>
      <c r="S88" s="1">
        <f t="shared" si="4"/>
        <v>117</v>
      </c>
      <c r="T88" s="1">
        <f t="shared" si="5"/>
        <v>-19.909999999999997</v>
      </c>
      <c r="U88" s="1" t="str">
        <f t="shared" si="6"/>
        <v>OK</v>
      </c>
      <c r="V88" s="1" t="str">
        <f>_xlfn.XLOOKUP(C88,Payers!$A$2:$A$9,Payers!$B$2:$B$9)</f>
        <v>Blue Horizon Commercial</v>
      </c>
      <c r="W88" s="1" t="str">
        <f t="shared" si="7"/>
        <v>2026-01</v>
      </c>
    </row>
    <row r="89" spans="1:23">
      <c r="A89" s="1" t="s">
        <v>224</v>
      </c>
      <c r="B89" s="1" t="s">
        <v>225</v>
      </c>
      <c r="C89" s="1" t="s">
        <v>52</v>
      </c>
      <c r="D89" s="1" t="s">
        <v>26</v>
      </c>
      <c r="E89" s="1" t="s">
        <v>88</v>
      </c>
      <c r="F89">
        <v>1</v>
      </c>
      <c r="G89" s="2">
        <v>46275</v>
      </c>
      <c r="H89" s="2">
        <v>46277</v>
      </c>
      <c r="I89">
        <v>263.88</v>
      </c>
      <c r="M89" s="1" t="s">
        <v>69</v>
      </c>
      <c r="N89" s="1" t="s">
        <v>22</v>
      </c>
      <c r="O89" s="2"/>
      <c r="P89" s="2"/>
      <c r="Q89">
        <f>_xlfn.XLOOKUP(E89,CPT!$A$2:$A$13,CPT!$D$2:$D$13)</f>
        <v>260</v>
      </c>
      <c r="R89" s="1">
        <f>_xlfn.XLOOKUP(C89,Contract!$A$2:$A$9,Contract!$B$2:$B$9)</f>
        <v>0.47</v>
      </c>
      <c r="S89" s="1">
        <f t="shared" si="4"/>
        <v>122.2</v>
      </c>
      <c r="T89" s="1" t="str">
        <f t="shared" si="5"/>
        <v/>
      </c>
      <c r="U89" s="1" t="str">
        <f t="shared" si="6"/>
        <v/>
      </c>
      <c r="V89" s="1" t="str">
        <f>_xlfn.XLOOKUP(C89,Payers!$A$2:$A$9,Payers!$B$2:$B$9)</f>
        <v>Keystone Commercial PPO</v>
      </c>
      <c r="W89" s="1" t="str">
        <f t="shared" si="7"/>
        <v>2026-09</v>
      </c>
    </row>
    <row r="90" spans="1:23">
      <c r="A90" s="1" t="s">
        <v>226</v>
      </c>
      <c r="B90" s="1" t="s">
        <v>227</v>
      </c>
      <c r="C90" s="1" t="s">
        <v>52</v>
      </c>
      <c r="D90" s="1" t="s">
        <v>26</v>
      </c>
      <c r="E90" s="1" t="s">
        <v>57</v>
      </c>
      <c r="F90">
        <v>1</v>
      </c>
      <c r="G90" s="2">
        <v>46248</v>
      </c>
      <c r="H90" s="2">
        <v>46252</v>
      </c>
      <c r="I90">
        <v>214.84</v>
      </c>
      <c r="M90" s="1" t="s">
        <v>69</v>
      </c>
      <c r="N90" s="1" t="s">
        <v>22</v>
      </c>
      <c r="O90" s="2"/>
      <c r="P90" s="2"/>
      <c r="Q90">
        <f>_xlfn.XLOOKUP(E90,CPT!$A$2:$A$13,CPT!$D$2:$D$13)</f>
        <v>210</v>
      </c>
      <c r="R90" s="1">
        <f>_xlfn.XLOOKUP(C90,Contract!$A$2:$A$9,Contract!$B$2:$B$9)</f>
        <v>0.47</v>
      </c>
      <c r="S90" s="1">
        <f t="shared" si="4"/>
        <v>98.7</v>
      </c>
      <c r="T90" s="1" t="str">
        <f t="shared" si="5"/>
        <v/>
      </c>
      <c r="U90" s="1" t="str">
        <f t="shared" si="6"/>
        <v/>
      </c>
      <c r="V90" s="1" t="str">
        <f>_xlfn.XLOOKUP(C90,Payers!$A$2:$A$9,Payers!$B$2:$B$9)</f>
        <v>Keystone Commercial PPO</v>
      </c>
      <c r="W90" s="1" t="str">
        <f t="shared" si="7"/>
        <v>2026-08</v>
      </c>
    </row>
    <row r="91" spans="1:23">
      <c r="A91" s="1" t="s">
        <v>228</v>
      </c>
      <c r="B91" s="1" t="s">
        <v>229</v>
      </c>
      <c r="C91" s="1" t="s">
        <v>60</v>
      </c>
      <c r="D91" s="1" t="s">
        <v>26</v>
      </c>
      <c r="E91" s="1" t="s">
        <v>113</v>
      </c>
      <c r="F91">
        <v>1</v>
      </c>
      <c r="G91" s="2">
        <v>45954</v>
      </c>
      <c r="H91" s="2">
        <v>45956</v>
      </c>
      <c r="I91">
        <v>1078.1099999999999</v>
      </c>
      <c r="J91">
        <v>424.35</v>
      </c>
      <c r="K91">
        <v>424.35</v>
      </c>
      <c r="L91">
        <v>0</v>
      </c>
      <c r="M91" s="1" t="s">
        <v>21</v>
      </c>
      <c r="N91" s="1" t="s">
        <v>22</v>
      </c>
      <c r="O91" s="2">
        <v>45990</v>
      </c>
      <c r="P91" s="2">
        <v>45990</v>
      </c>
      <c r="Q91">
        <f>_xlfn.XLOOKUP(E91,CPT!$A$2:$A$13,CPT!$D$2:$D$13)</f>
        <v>1050</v>
      </c>
      <c r="R91" s="1">
        <f>_xlfn.XLOOKUP(C91,Contract!$A$2:$A$9,Contract!$B$2:$B$9)</f>
        <v>0.45</v>
      </c>
      <c r="S91" s="1">
        <f t="shared" si="4"/>
        <v>472.5</v>
      </c>
      <c r="T91" s="1">
        <f t="shared" si="5"/>
        <v>48.149999999999977</v>
      </c>
      <c r="U91" s="1" t="str">
        <f t="shared" si="6"/>
        <v>Underpaid</v>
      </c>
      <c r="V91" s="1" t="str">
        <f>_xlfn.XLOOKUP(C91,Payers!$A$2:$A$9,Payers!$B$2:$B$9)</f>
        <v>Blue Horizon Commercial</v>
      </c>
      <c r="W91" s="1" t="str">
        <f t="shared" si="7"/>
        <v>2025-10</v>
      </c>
    </row>
    <row r="92" spans="1:23">
      <c r="A92" s="1" t="s">
        <v>230</v>
      </c>
      <c r="B92" s="1" t="s">
        <v>231</v>
      </c>
      <c r="C92" s="1" t="s">
        <v>25</v>
      </c>
      <c r="D92" s="1" t="s">
        <v>19</v>
      </c>
      <c r="E92" s="1" t="s">
        <v>41</v>
      </c>
      <c r="F92">
        <v>1</v>
      </c>
      <c r="G92" s="2">
        <v>46010</v>
      </c>
      <c r="H92" s="2">
        <v>46015</v>
      </c>
      <c r="I92">
        <v>38.880000000000003</v>
      </c>
      <c r="J92">
        <v>14.5</v>
      </c>
      <c r="K92">
        <v>13.05</v>
      </c>
      <c r="L92">
        <v>1.45</v>
      </c>
      <c r="M92" s="1" t="s">
        <v>21</v>
      </c>
      <c r="N92" s="1" t="s">
        <v>22</v>
      </c>
      <c r="O92" s="2">
        <v>46037</v>
      </c>
      <c r="P92" s="2">
        <v>46037</v>
      </c>
      <c r="Q92">
        <f>_xlfn.XLOOKUP(E92,CPT!$A$2:$A$13,CPT!$D$2:$D$13)</f>
        <v>38</v>
      </c>
      <c r="R92" s="1">
        <f>_xlfn.XLOOKUP(C92,Contract!$A$2:$A$9,Contract!$B$2:$B$9)</f>
        <v>0.36</v>
      </c>
      <c r="S92" s="1">
        <f t="shared" si="4"/>
        <v>13.68</v>
      </c>
      <c r="T92" s="1">
        <f t="shared" si="5"/>
        <v>-0.82000000000000028</v>
      </c>
      <c r="U92" s="1" t="str">
        <f t="shared" si="6"/>
        <v>OK</v>
      </c>
      <c r="V92" s="1" t="str">
        <f>_xlfn.XLOOKUP(C92,Payers!$A$2:$A$9,Payers!$B$2:$B$9)</f>
        <v>Medicare Part B</v>
      </c>
      <c r="W92" s="1" t="str">
        <f t="shared" si="7"/>
        <v>2025-12</v>
      </c>
    </row>
    <row r="93" spans="1:23">
      <c r="A93" s="1" t="s">
        <v>232</v>
      </c>
      <c r="B93" s="1" t="s">
        <v>233</v>
      </c>
      <c r="C93" s="1" t="s">
        <v>36</v>
      </c>
      <c r="D93" s="1" t="s">
        <v>19</v>
      </c>
      <c r="E93" s="1" t="s">
        <v>57</v>
      </c>
      <c r="F93">
        <v>1</v>
      </c>
      <c r="G93" s="2">
        <v>45981</v>
      </c>
      <c r="H93" s="2">
        <v>45983</v>
      </c>
      <c r="I93">
        <v>216.06</v>
      </c>
      <c r="J93">
        <v>60.96</v>
      </c>
      <c r="K93">
        <v>60.96</v>
      </c>
      <c r="L93">
        <v>0</v>
      </c>
      <c r="M93" s="1" t="s">
        <v>21</v>
      </c>
      <c r="N93" s="1" t="s">
        <v>22</v>
      </c>
      <c r="O93" s="2">
        <v>46019</v>
      </c>
      <c r="P93" s="2">
        <v>46019</v>
      </c>
      <c r="Q93">
        <f>_xlfn.XLOOKUP(E93,CPT!$A$2:$A$13,CPT!$D$2:$D$13)</f>
        <v>210</v>
      </c>
      <c r="R93" s="1">
        <f>_xlfn.XLOOKUP(C93,Contract!$A$2:$A$9,Contract!$B$2:$B$9)</f>
        <v>0.27</v>
      </c>
      <c r="S93" s="1">
        <f t="shared" si="4"/>
        <v>56.7</v>
      </c>
      <c r="T93" s="1">
        <f t="shared" si="5"/>
        <v>-4.259999999999998</v>
      </c>
      <c r="U93" s="1" t="str">
        <f t="shared" si="6"/>
        <v>OK</v>
      </c>
      <c r="V93" s="1" t="str">
        <f>_xlfn.XLOOKUP(C93,Payers!$A$2:$A$9,Payers!$B$2:$B$9)</f>
        <v>Florida Medicaid</v>
      </c>
      <c r="W93" s="1" t="str">
        <f t="shared" si="7"/>
        <v>2025-11</v>
      </c>
    </row>
    <row r="94" spans="1:23">
      <c r="A94" s="1" t="s">
        <v>234</v>
      </c>
      <c r="B94" s="1" t="s">
        <v>235</v>
      </c>
      <c r="C94" s="1" t="s">
        <v>47</v>
      </c>
      <c r="D94" s="1" t="s">
        <v>26</v>
      </c>
      <c r="E94" s="1" t="s">
        <v>88</v>
      </c>
      <c r="F94">
        <v>1</v>
      </c>
      <c r="G94" s="2">
        <v>46163</v>
      </c>
      <c r="H94" s="2">
        <v>46164</v>
      </c>
      <c r="I94">
        <v>253.63</v>
      </c>
      <c r="J94">
        <v>81.13</v>
      </c>
      <c r="K94">
        <v>81.13</v>
      </c>
      <c r="L94">
        <v>0</v>
      </c>
      <c r="M94" s="1" t="s">
        <v>21</v>
      </c>
      <c r="N94" s="1" t="s">
        <v>22</v>
      </c>
      <c r="O94" s="2">
        <v>46240</v>
      </c>
      <c r="P94" s="2">
        <v>46240</v>
      </c>
      <c r="Q94">
        <f>_xlfn.XLOOKUP(E94,CPT!$A$2:$A$13,CPT!$D$2:$D$13)</f>
        <v>260</v>
      </c>
      <c r="R94" s="1">
        <f>_xlfn.XLOOKUP(C94,Contract!$A$2:$A$9,Contract!$B$2:$B$9)</f>
        <v>0.28000000000000003</v>
      </c>
      <c r="S94" s="1">
        <f t="shared" si="4"/>
        <v>72.8</v>
      </c>
      <c r="T94" s="1">
        <f t="shared" si="5"/>
        <v>-8.3299999999999983</v>
      </c>
      <c r="U94" s="1" t="str">
        <f t="shared" si="6"/>
        <v>OK</v>
      </c>
      <c r="V94" s="1" t="str">
        <f>_xlfn.XLOOKUP(C94,Payers!$A$2:$A$9,Payers!$B$2:$B$9)</f>
        <v>Coastal Medicaid MCO</v>
      </c>
      <c r="W94" s="1" t="str">
        <f t="shared" si="7"/>
        <v>2026-05</v>
      </c>
    </row>
    <row r="95" spans="1:23">
      <c r="A95" s="1" t="s">
        <v>236</v>
      </c>
      <c r="B95" s="1" t="s">
        <v>237</v>
      </c>
      <c r="C95" s="1" t="s">
        <v>36</v>
      </c>
      <c r="D95" s="1" t="s">
        <v>19</v>
      </c>
      <c r="E95" s="1" t="s">
        <v>20</v>
      </c>
      <c r="F95">
        <v>1</v>
      </c>
      <c r="G95" s="2">
        <v>46214</v>
      </c>
      <c r="H95" s="2">
        <v>46215</v>
      </c>
      <c r="I95">
        <v>142.44999999999999</v>
      </c>
      <c r="J95">
        <v>36.409999999999997</v>
      </c>
      <c r="K95">
        <v>36.409999999999997</v>
      </c>
      <c r="L95">
        <v>0</v>
      </c>
      <c r="M95" s="1" t="s">
        <v>21</v>
      </c>
      <c r="N95" s="1" t="s">
        <v>22</v>
      </c>
      <c r="O95" s="2">
        <v>46258</v>
      </c>
      <c r="P95" s="2">
        <v>46258</v>
      </c>
      <c r="Q95">
        <f>_xlfn.XLOOKUP(E95,CPT!$A$2:$A$13,CPT!$D$2:$D$13)</f>
        <v>145</v>
      </c>
      <c r="R95" s="1">
        <f>_xlfn.XLOOKUP(C95,Contract!$A$2:$A$9,Contract!$B$2:$B$9)</f>
        <v>0.27</v>
      </c>
      <c r="S95" s="1">
        <f t="shared" si="4"/>
        <v>39.15</v>
      </c>
      <c r="T95" s="1">
        <f t="shared" si="5"/>
        <v>2.740000000000002</v>
      </c>
      <c r="U95" s="1" t="str">
        <f t="shared" si="6"/>
        <v>Underpaid</v>
      </c>
      <c r="V95" s="1" t="str">
        <f>_xlfn.XLOOKUP(C95,Payers!$A$2:$A$9,Payers!$B$2:$B$9)</f>
        <v>Florida Medicaid</v>
      </c>
      <c r="W95" s="1" t="str">
        <f t="shared" si="7"/>
        <v>2026-07</v>
      </c>
    </row>
    <row r="96" spans="1:23">
      <c r="A96" s="1" t="s">
        <v>238</v>
      </c>
      <c r="B96" s="1" t="s">
        <v>239</v>
      </c>
      <c r="C96" s="1" t="s">
        <v>76</v>
      </c>
      <c r="D96" s="1" t="s">
        <v>30</v>
      </c>
      <c r="E96" s="1" t="s">
        <v>31</v>
      </c>
      <c r="F96">
        <v>1</v>
      </c>
      <c r="G96" s="2">
        <v>46005</v>
      </c>
      <c r="H96" s="2">
        <v>46012</v>
      </c>
      <c r="I96">
        <v>62.15</v>
      </c>
      <c r="J96">
        <v>23.53</v>
      </c>
      <c r="K96">
        <v>21.18</v>
      </c>
      <c r="L96">
        <v>2.35</v>
      </c>
      <c r="M96" s="1" t="s">
        <v>21</v>
      </c>
      <c r="N96" s="1" t="s">
        <v>22</v>
      </c>
      <c r="O96" s="2">
        <v>46033</v>
      </c>
      <c r="P96" s="2">
        <v>46033</v>
      </c>
      <c r="Q96">
        <f>_xlfn.XLOOKUP(E96,CPT!$A$2:$A$13,CPT!$D$2:$D$13)</f>
        <v>62</v>
      </c>
      <c r="R96" s="1">
        <f>_xlfn.XLOOKUP(C96,Contract!$A$2:$A$9,Contract!$B$2:$B$9)</f>
        <v>0.43</v>
      </c>
      <c r="S96" s="1">
        <f t="shared" si="4"/>
        <v>26.66</v>
      </c>
      <c r="T96" s="1">
        <f t="shared" si="5"/>
        <v>3.129999999999999</v>
      </c>
      <c r="U96" s="1" t="str">
        <f t="shared" si="6"/>
        <v>Underpaid</v>
      </c>
      <c r="V96" s="1" t="str">
        <f>_xlfn.XLOOKUP(C96,Payers!$A$2:$A$9,Payers!$B$2:$B$9)</f>
        <v>Summit Health Commercial</v>
      </c>
      <c r="W96" s="1" t="str">
        <f t="shared" si="7"/>
        <v>2025-12</v>
      </c>
    </row>
    <row r="97" spans="1:23">
      <c r="A97" s="1" t="s">
        <v>240</v>
      </c>
      <c r="B97" s="1" t="s">
        <v>241</v>
      </c>
      <c r="C97" s="1" t="s">
        <v>60</v>
      </c>
      <c r="D97" s="1" t="s">
        <v>26</v>
      </c>
      <c r="E97" s="1" t="s">
        <v>88</v>
      </c>
      <c r="F97">
        <v>1</v>
      </c>
      <c r="G97" s="2">
        <v>46146</v>
      </c>
      <c r="H97" s="2">
        <v>46152</v>
      </c>
      <c r="I97">
        <v>260.41000000000003</v>
      </c>
      <c r="J97">
        <v>127.32</v>
      </c>
      <c r="K97">
        <v>127.32</v>
      </c>
      <c r="L97">
        <v>0</v>
      </c>
      <c r="M97" s="1" t="s">
        <v>21</v>
      </c>
      <c r="N97" s="1" t="s">
        <v>22</v>
      </c>
      <c r="O97" s="2">
        <v>46191</v>
      </c>
      <c r="P97" s="2">
        <v>46191</v>
      </c>
      <c r="Q97">
        <f>_xlfn.XLOOKUP(E97,CPT!$A$2:$A$13,CPT!$D$2:$D$13)</f>
        <v>260</v>
      </c>
      <c r="R97" s="1">
        <f>_xlfn.XLOOKUP(C97,Contract!$A$2:$A$9,Contract!$B$2:$B$9)</f>
        <v>0.45</v>
      </c>
      <c r="S97" s="1">
        <f t="shared" si="4"/>
        <v>117</v>
      </c>
      <c r="T97" s="1">
        <f t="shared" si="5"/>
        <v>-10.319999999999993</v>
      </c>
      <c r="U97" s="1" t="str">
        <f t="shared" si="6"/>
        <v>OK</v>
      </c>
      <c r="V97" s="1" t="str">
        <f>_xlfn.XLOOKUP(C97,Payers!$A$2:$A$9,Payers!$B$2:$B$9)</f>
        <v>Blue Horizon Commercial</v>
      </c>
      <c r="W97" s="1" t="str">
        <f t="shared" si="7"/>
        <v>2026-05</v>
      </c>
    </row>
    <row r="98" spans="1:23">
      <c r="A98" s="1" t="s">
        <v>242</v>
      </c>
      <c r="B98" s="1" t="s">
        <v>243</v>
      </c>
      <c r="C98" s="1" t="s">
        <v>18</v>
      </c>
      <c r="D98" s="1" t="s">
        <v>19</v>
      </c>
      <c r="E98" s="1" t="s">
        <v>20</v>
      </c>
      <c r="F98">
        <v>1</v>
      </c>
      <c r="G98" s="2">
        <v>46268</v>
      </c>
      <c r="H98" s="2">
        <v>46271</v>
      </c>
      <c r="I98">
        <v>145.19</v>
      </c>
      <c r="M98" s="1" t="s">
        <v>69</v>
      </c>
      <c r="N98" s="1" t="s">
        <v>22</v>
      </c>
      <c r="O98" s="2"/>
      <c r="P98" s="2"/>
      <c r="Q98">
        <f>_xlfn.XLOOKUP(E98,CPT!$A$2:$A$13,CPT!$D$2:$D$13)</f>
        <v>145</v>
      </c>
      <c r="R98" s="1">
        <f>_xlfn.XLOOKUP(C98,Contract!$A$2:$A$9,Contract!$B$2:$B$9)</f>
        <v>0.38</v>
      </c>
      <c r="S98" s="1">
        <f t="shared" si="4"/>
        <v>55.1</v>
      </c>
      <c r="T98" s="1" t="str">
        <f t="shared" si="5"/>
        <v/>
      </c>
      <c r="U98" s="1" t="str">
        <f t="shared" si="6"/>
        <v/>
      </c>
      <c r="V98" s="1" t="str">
        <f>_xlfn.XLOOKUP(C98,Payers!$A$2:$A$9,Payers!$B$2:$B$9)</f>
        <v>Sunshine Medicare Advantage</v>
      </c>
      <c r="W98" s="1" t="str">
        <f t="shared" si="7"/>
        <v>2026-09</v>
      </c>
    </row>
    <row r="99" spans="1:23">
      <c r="A99" s="1" t="s">
        <v>244</v>
      </c>
      <c r="B99" s="1" t="s">
        <v>245</v>
      </c>
      <c r="C99" s="1" t="s">
        <v>47</v>
      </c>
      <c r="D99" s="1" t="s">
        <v>26</v>
      </c>
      <c r="E99" s="1" t="s">
        <v>41</v>
      </c>
      <c r="F99">
        <v>1</v>
      </c>
      <c r="G99" s="2">
        <v>45968</v>
      </c>
      <c r="H99" s="2">
        <v>45970</v>
      </c>
      <c r="I99">
        <v>38.909999999999997</v>
      </c>
      <c r="M99" s="1" t="s">
        <v>32</v>
      </c>
      <c r="N99" s="1" t="s">
        <v>33</v>
      </c>
      <c r="O99" s="2">
        <v>46033</v>
      </c>
      <c r="P99" s="2"/>
      <c r="Q99">
        <f>_xlfn.XLOOKUP(E99,CPT!$A$2:$A$13,CPT!$D$2:$D$13)</f>
        <v>38</v>
      </c>
      <c r="R99" s="1">
        <f>_xlfn.XLOOKUP(C99,Contract!$A$2:$A$9,Contract!$B$2:$B$9)</f>
        <v>0.28000000000000003</v>
      </c>
      <c r="S99" s="1">
        <f t="shared" si="4"/>
        <v>10.64</v>
      </c>
      <c r="T99" s="1" t="str">
        <f t="shared" si="5"/>
        <v/>
      </c>
      <c r="U99" s="1" t="str">
        <f t="shared" si="6"/>
        <v/>
      </c>
      <c r="V99" s="1" t="str">
        <f>_xlfn.XLOOKUP(C99,Payers!$A$2:$A$9,Payers!$B$2:$B$9)</f>
        <v>Coastal Medicaid MCO</v>
      </c>
      <c r="W99" s="1" t="str">
        <f t="shared" si="7"/>
        <v>2025-11</v>
      </c>
    </row>
    <row r="100" spans="1:23">
      <c r="A100" s="1" t="s">
        <v>246</v>
      </c>
      <c r="B100" s="1" t="s">
        <v>247</v>
      </c>
      <c r="C100" s="1" t="s">
        <v>52</v>
      </c>
      <c r="D100" s="1" t="s">
        <v>19</v>
      </c>
      <c r="E100" s="1" t="s">
        <v>41</v>
      </c>
      <c r="F100">
        <v>1</v>
      </c>
      <c r="G100" s="2">
        <v>46151</v>
      </c>
      <c r="H100" s="2">
        <v>46156</v>
      </c>
      <c r="I100">
        <v>37.090000000000003</v>
      </c>
      <c r="J100">
        <v>18.350000000000001</v>
      </c>
      <c r="K100">
        <v>18.350000000000001</v>
      </c>
      <c r="L100">
        <v>0</v>
      </c>
      <c r="M100" s="1" t="s">
        <v>21</v>
      </c>
      <c r="N100" s="1" t="s">
        <v>22</v>
      </c>
      <c r="O100" s="2">
        <v>46203</v>
      </c>
      <c r="P100" s="2">
        <v>46203</v>
      </c>
      <c r="Q100">
        <f>_xlfn.XLOOKUP(E100,CPT!$A$2:$A$13,CPT!$D$2:$D$13)</f>
        <v>38</v>
      </c>
      <c r="R100" s="1">
        <f>_xlfn.XLOOKUP(C100,Contract!$A$2:$A$9,Contract!$B$2:$B$9)</f>
        <v>0.47</v>
      </c>
      <c r="S100" s="1">
        <f t="shared" si="4"/>
        <v>17.86</v>
      </c>
      <c r="T100" s="1">
        <f t="shared" si="5"/>
        <v>-0.49000000000000199</v>
      </c>
      <c r="U100" s="1" t="str">
        <f t="shared" si="6"/>
        <v>OK</v>
      </c>
      <c r="V100" s="1" t="str">
        <f>_xlfn.XLOOKUP(C100,Payers!$A$2:$A$9,Payers!$B$2:$B$9)</f>
        <v>Keystone Commercial PPO</v>
      </c>
      <c r="W100" s="1" t="str">
        <f t="shared" si="7"/>
        <v>2026-05</v>
      </c>
    </row>
    <row r="101" spans="1:23">
      <c r="A101" s="1" t="s">
        <v>248</v>
      </c>
      <c r="B101" s="1" t="s">
        <v>249</v>
      </c>
      <c r="C101" s="1" t="s">
        <v>52</v>
      </c>
      <c r="D101" s="1" t="s">
        <v>19</v>
      </c>
      <c r="E101" s="1" t="s">
        <v>57</v>
      </c>
      <c r="F101">
        <v>1</v>
      </c>
      <c r="G101" s="2">
        <v>46163</v>
      </c>
      <c r="H101" s="2">
        <v>46169</v>
      </c>
      <c r="I101">
        <v>208.72</v>
      </c>
      <c r="J101">
        <v>92.87</v>
      </c>
      <c r="K101">
        <v>83.58</v>
      </c>
      <c r="L101">
        <v>9.2899999999999991</v>
      </c>
      <c r="M101" s="1" t="s">
        <v>21</v>
      </c>
      <c r="N101" s="1" t="s">
        <v>22</v>
      </c>
      <c r="O101" s="2">
        <v>46192</v>
      </c>
      <c r="P101" s="2">
        <v>46192</v>
      </c>
      <c r="Q101">
        <f>_xlfn.XLOOKUP(E101,CPT!$A$2:$A$13,CPT!$D$2:$D$13)</f>
        <v>210</v>
      </c>
      <c r="R101" s="1">
        <f>_xlfn.XLOOKUP(C101,Contract!$A$2:$A$9,Contract!$B$2:$B$9)</f>
        <v>0.47</v>
      </c>
      <c r="S101" s="1">
        <f t="shared" si="4"/>
        <v>98.7</v>
      </c>
      <c r="T101" s="1">
        <f t="shared" si="5"/>
        <v>5.8299999999999983</v>
      </c>
      <c r="U101" s="1" t="str">
        <f t="shared" si="6"/>
        <v>Underpaid</v>
      </c>
      <c r="V101" s="1" t="str">
        <f>_xlfn.XLOOKUP(C101,Payers!$A$2:$A$9,Payers!$B$2:$B$9)</f>
        <v>Keystone Commercial PPO</v>
      </c>
      <c r="W101" s="1" t="str">
        <f t="shared" si="7"/>
        <v>2026-05</v>
      </c>
    </row>
    <row r="102" spans="1:23">
      <c r="A102" s="1" t="s">
        <v>250</v>
      </c>
      <c r="B102" s="1" t="s">
        <v>251</v>
      </c>
      <c r="C102" s="1" t="s">
        <v>47</v>
      </c>
      <c r="D102" s="1" t="s">
        <v>30</v>
      </c>
      <c r="E102" s="1" t="s">
        <v>20</v>
      </c>
      <c r="F102">
        <v>1</v>
      </c>
      <c r="G102" s="2">
        <v>45965</v>
      </c>
      <c r="H102" s="2">
        <v>45966</v>
      </c>
      <c r="I102">
        <v>141.44</v>
      </c>
      <c r="J102">
        <v>37.9</v>
      </c>
      <c r="K102">
        <v>34.11</v>
      </c>
      <c r="L102">
        <v>3.79</v>
      </c>
      <c r="M102" s="1" t="s">
        <v>21</v>
      </c>
      <c r="N102" s="1" t="s">
        <v>22</v>
      </c>
      <c r="O102" s="2">
        <v>46031</v>
      </c>
      <c r="P102" s="2">
        <v>46031</v>
      </c>
      <c r="Q102">
        <f>_xlfn.XLOOKUP(E102,CPT!$A$2:$A$13,CPT!$D$2:$D$13)</f>
        <v>145</v>
      </c>
      <c r="R102" s="1">
        <f>_xlfn.XLOOKUP(C102,Contract!$A$2:$A$9,Contract!$B$2:$B$9)</f>
        <v>0.28000000000000003</v>
      </c>
      <c r="S102" s="1">
        <f t="shared" si="4"/>
        <v>40.6</v>
      </c>
      <c r="T102" s="1">
        <f t="shared" si="5"/>
        <v>2.7000000000000028</v>
      </c>
      <c r="U102" s="1" t="str">
        <f t="shared" si="6"/>
        <v>Underpaid</v>
      </c>
      <c r="V102" s="1" t="str">
        <f>_xlfn.XLOOKUP(C102,Payers!$A$2:$A$9,Payers!$B$2:$B$9)</f>
        <v>Coastal Medicaid MCO</v>
      </c>
      <c r="W102" s="1" t="str">
        <f t="shared" si="7"/>
        <v>2025-11</v>
      </c>
    </row>
    <row r="103" spans="1:23">
      <c r="A103" s="1" t="s">
        <v>252</v>
      </c>
      <c r="B103" s="1" t="s">
        <v>253</v>
      </c>
      <c r="C103" s="1" t="s">
        <v>47</v>
      </c>
      <c r="D103" s="1" t="s">
        <v>26</v>
      </c>
      <c r="E103" s="1" t="s">
        <v>185</v>
      </c>
      <c r="F103">
        <v>1</v>
      </c>
      <c r="G103" s="2">
        <v>46147</v>
      </c>
      <c r="H103" s="2">
        <v>46153</v>
      </c>
      <c r="I103">
        <v>1175.4000000000001</v>
      </c>
      <c r="J103">
        <v>338.18</v>
      </c>
      <c r="K103">
        <v>304.36</v>
      </c>
      <c r="L103">
        <v>33.82</v>
      </c>
      <c r="M103" s="1" t="s">
        <v>21</v>
      </c>
      <c r="N103" s="1" t="s">
        <v>22</v>
      </c>
      <c r="O103" s="2">
        <v>46218</v>
      </c>
      <c r="P103" s="2">
        <v>46218</v>
      </c>
      <c r="Q103">
        <f>_xlfn.XLOOKUP(E103,CPT!$A$2:$A$13,CPT!$D$2:$D$13)</f>
        <v>1150</v>
      </c>
      <c r="R103" s="1">
        <f>_xlfn.XLOOKUP(C103,Contract!$A$2:$A$9,Contract!$B$2:$B$9)</f>
        <v>0.28000000000000003</v>
      </c>
      <c r="S103" s="1">
        <f t="shared" si="4"/>
        <v>322</v>
      </c>
      <c r="T103" s="1">
        <f t="shared" si="5"/>
        <v>-16.180000000000007</v>
      </c>
      <c r="U103" s="1" t="str">
        <f t="shared" si="6"/>
        <v>OK</v>
      </c>
      <c r="V103" s="1" t="str">
        <f>_xlfn.XLOOKUP(C103,Payers!$A$2:$A$9,Payers!$B$2:$B$9)</f>
        <v>Coastal Medicaid MCO</v>
      </c>
      <c r="W103" s="1" t="str">
        <f t="shared" si="7"/>
        <v>2026-05</v>
      </c>
    </row>
    <row r="104" spans="1:23">
      <c r="A104" s="1" t="s">
        <v>254</v>
      </c>
      <c r="B104" s="1" t="s">
        <v>255</v>
      </c>
      <c r="C104" s="1" t="s">
        <v>60</v>
      </c>
      <c r="D104" s="1" t="s">
        <v>19</v>
      </c>
      <c r="E104" s="1" t="s">
        <v>57</v>
      </c>
      <c r="F104">
        <v>1</v>
      </c>
      <c r="G104" s="2">
        <v>46177</v>
      </c>
      <c r="H104" s="2">
        <v>46178</v>
      </c>
      <c r="I104">
        <v>206.53</v>
      </c>
      <c r="J104">
        <v>89.11</v>
      </c>
      <c r="K104">
        <v>71.290000000000006</v>
      </c>
      <c r="L104">
        <v>17.82</v>
      </c>
      <c r="M104" s="1" t="s">
        <v>21</v>
      </c>
      <c r="N104" s="1" t="s">
        <v>22</v>
      </c>
      <c r="O104" s="2">
        <v>46206</v>
      </c>
      <c r="P104" s="2">
        <v>46206</v>
      </c>
      <c r="Q104">
        <f>_xlfn.XLOOKUP(E104,CPT!$A$2:$A$13,CPT!$D$2:$D$13)</f>
        <v>210</v>
      </c>
      <c r="R104" s="1">
        <f>_xlfn.XLOOKUP(C104,Contract!$A$2:$A$9,Contract!$B$2:$B$9)</f>
        <v>0.45</v>
      </c>
      <c r="S104" s="1">
        <f t="shared" si="4"/>
        <v>94.5</v>
      </c>
      <c r="T104" s="1">
        <f t="shared" si="5"/>
        <v>5.3900000000000006</v>
      </c>
      <c r="U104" s="1" t="str">
        <f t="shared" si="6"/>
        <v>Underpaid</v>
      </c>
      <c r="V104" s="1" t="str">
        <f>_xlfn.XLOOKUP(C104,Payers!$A$2:$A$9,Payers!$B$2:$B$9)</f>
        <v>Blue Horizon Commercial</v>
      </c>
      <c r="W104" s="1" t="str">
        <f t="shared" si="7"/>
        <v>2026-06</v>
      </c>
    </row>
    <row r="105" spans="1:23">
      <c r="A105" s="1" t="s">
        <v>256</v>
      </c>
      <c r="B105" s="1" t="s">
        <v>257</v>
      </c>
      <c r="C105" s="1" t="s">
        <v>25</v>
      </c>
      <c r="D105" s="1" t="s">
        <v>19</v>
      </c>
      <c r="E105" s="1" t="s">
        <v>20</v>
      </c>
      <c r="F105">
        <v>1</v>
      </c>
      <c r="G105" s="2">
        <v>46267</v>
      </c>
      <c r="H105" s="2">
        <v>46269</v>
      </c>
      <c r="I105">
        <v>147.87</v>
      </c>
      <c r="J105">
        <v>56.59</v>
      </c>
      <c r="K105">
        <v>50.93</v>
      </c>
      <c r="L105">
        <v>5.66</v>
      </c>
      <c r="M105" s="1" t="s">
        <v>21</v>
      </c>
      <c r="N105" s="1" t="s">
        <v>22</v>
      </c>
      <c r="O105" s="2">
        <v>46279</v>
      </c>
      <c r="P105" s="2">
        <v>46279</v>
      </c>
      <c r="Q105">
        <f>_xlfn.XLOOKUP(E105,CPT!$A$2:$A$13,CPT!$D$2:$D$13)</f>
        <v>145</v>
      </c>
      <c r="R105" s="1">
        <f>_xlfn.XLOOKUP(C105,Contract!$A$2:$A$9,Contract!$B$2:$B$9)</f>
        <v>0.36</v>
      </c>
      <c r="S105" s="1">
        <f t="shared" si="4"/>
        <v>52.2</v>
      </c>
      <c r="T105" s="1">
        <f t="shared" si="5"/>
        <v>-4.3900000000000006</v>
      </c>
      <c r="U105" s="1" t="str">
        <f t="shared" si="6"/>
        <v>OK</v>
      </c>
      <c r="V105" s="1" t="str">
        <f>_xlfn.XLOOKUP(C105,Payers!$A$2:$A$9,Payers!$B$2:$B$9)</f>
        <v>Medicare Part B</v>
      </c>
      <c r="W105" s="1" t="str">
        <f t="shared" si="7"/>
        <v>2026-09</v>
      </c>
    </row>
    <row r="106" spans="1:23">
      <c r="A106" s="1" t="s">
        <v>258</v>
      </c>
      <c r="B106" s="1" t="s">
        <v>259</v>
      </c>
      <c r="C106" s="1" t="s">
        <v>47</v>
      </c>
      <c r="D106" s="1" t="s">
        <v>19</v>
      </c>
      <c r="E106" s="1" t="s">
        <v>57</v>
      </c>
      <c r="F106">
        <v>1</v>
      </c>
      <c r="G106" s="2">
        <v>46220</v>
      </c>
      <c r="H106" s="2">
        <v>46221</v>
      </c>
      <c r="I106">
        <v>211.98</v>
      </c>
      <c r="M106" s="1" t="s">
        <v>69</v>
      </c>
      <c r="N106" s="1" t="s">
        <v>22</v>
      </c>
      <c r="O106" s="2"/>
      <c r="P106" s="2"/>
      <c r="Q106">
        <f>_xlfn.XLOOKUP(E106,CPT!$A$2:$A$13,CPT!$D$2:$D$13)</f>
        <v>210</v>
      </c>
      <c r="R106" s="1">
        <f>_xlfn.XLOOKUP(C106,Contract!$A$2:$A$9,Contract!$B$2:$B$9)</f>
        <v>0.28000000000000003</v>
      </c>
      <c r="S106" s="1">
        <f t="shared" si="4"/>
        <v>58.8</v>
      </c>
      <c r="T106" s="1" t="str">
        <f t="shared" si="5"/>
        <v/>
      </c>
      <c r="U106" s="1" t="str">
        <f t="shared" si="6"/>
        <v/>
      </c>
      <c r="V106" s="1" t="str">
        <f>_xlfn.XLOOKUP(C106,Payers!$A$2:$A$9,Payers!$B$2:$B$9)</f>
        <v>Coastal Medicaid MCO</v>
      </c>
      <c r="W106" s="1" t="str">
        <f t="shared" si="7"/>
        <v>2026-07</v>
      </c>
    </row>
    <row r="107" spans="1:23">
      <c r="A107" s="1" t="s">
        <v>260</v>
      </c>
      <c r="B107" s="1" t="s">
        <v>261</v>
      </c>
      <c r="C107" s="1" t="s">
        <v>60</v>
      </c>
      <c r="D107" s="1" t="s">
        <v>19</v>
      </c>
      <c r="E107" s="1" t="s">
        <v>88</v>
      </c>
      <c r="F107">
        <v>1</v>
      </c>
      <c r="G107" s="2">
        <v>46090</v>
      </c>
      <c r="H107" s="2">
        <v>46096</v>
      </c>
      <c r="I107">
        <v>263.45999999999998</v>
      </c>
      <c r="J107">
        <v>103.25</v>
      </c>
      <c r="K107">
        <v>103.25</v>
      </c>
      <c r="L107">
        <v>0</v>
      </c>
      <c r="M107" s="1" t="s">
        <v>21</v>
      </c>
      <c r="N107" s="1" t="s">
        <v>22</v>
      </c>
      <c r="O107" s="2">
        <v>46129</v>
      </c>
      <c r="P107" s="2">
        <v>46129</v>
      </c>
      <c r="Q107">
        <f>_xlfn.XLOOKUP(E107,CPT!$A$2:$A$13,CPT!$D$2:$D$13)</f>
        <v>260</v>
      </c>
      <c r="R107" s="1">
        <f>_xlfn.XLOOKUP(C107,Contract!$A$2:$A$9,Contract!$B$2:$B$9)</f>
        <v>0.45</v>
      </c>
      <c r="S107" s="1">
        <f t="shared" si="4"/>
        <v>117</v>
      </c>
      <c r="T107" s="1">
        <f t="shared" si="5"/>
        <v>13.75</v>
      </c>
      <c r="U107" s="1" t="str">
        <f t="shared" si="6"/>
        <v>Underpaid</v>
      </c>
      <c r="V107" s="1" t="str">
        <f>_xlfn.XLOOKUP(C107,Payers!$A$2:$A$9,Payers!$B$2:$B$9)</f>
        <v>Blue Horizon Commercial</v>
      </c>
      <c r="W107" s="1" t="str">
        <f t="shared" si="7"/>
        <v>2026-03</v>
      </c>
    </row>
    <row r="108" spans="1:23">
      <c r="A108" s="1" t="s">
        <v>262</v>
      </c>
      <c r="B108" s="1" t="s">
        <v>263</v>
      </c>
      <c r="C108" s="1" t="s">
        <v>60</v>
      </c>
      <c r="D108" s="1" t="s">
        <v>26</v>
      </c>
      <c r="E108" s="1" t="s">
        <v>27</v>
      </c>
      <c r="F108">
        <v>1</v>
      </c>
      <c r="G108" s="2">
        <v>45972</v>
      </c>
      <c r="H108" s="2">
        <v>45977</v>
      </c>
      <c r="I108">
        <v>236.72</v>
      </c>
      <c r="J108">
        <v>104.6</v>
      </c>
      <c r="K108">
        <v>104.6</v>
      </c>
      <c r="L108">
        <v>0</v>
      </c>
      <c r="M108" s="1" t="s">
        <v>21</v>
      </c>
      <c r="N108" s="1" t="s">
        <v>22</v>
      </c>
      <c r="O108" s="2">
        <v>46002</v>
      </c>
      <c r="P108" s="2">
        <v>46002</v>
      </c>
      <c r="Q108">
        <f>_xlfn.XLOOKUP(E108,CPT!$A$2:$A$13,CPT!$D$2:$D$13)</f>
        <v>240</v>
      </c>
      <c r="R108" s="1">
        <f>_xlfn.XLOOKUP(C108,Contract!$A$2:$A$9,Contract!$B$2:$B$9)</f>
        <v>0.45</v>
      </c>
      <c r="S108" s="1">
        <f t="shared" si="4"/>
        <v>108</v>
      </c>
      <c r="T108" s="1">
        <f t="shared" si="5"/>
        <v>3.4000000000000057</v>
      </c>
      <c r="U108" s="1" t="str">
        <f t="shared" si="6"/>
        <v>OK</v>
      </c>
      <c r="V108" s="1" t="str">
        <f>_xlfn.XLOOKUP(C108,Payers!$A$2:$A$9,Payers!$B$2:$B$9)</f>
        <v>Blue Horizon Commercial</v>
      </c>
      <c r="W108" s="1" t="str">
        <f t="shared" si="7"/>
        <v>2025-11</v>
      </c>
    </row>
    <row r="109" spans="1:23">
      <c r="A109" s="1" t="s">
        <v>264</v>
      </c>
      <c r="B109" s="1" t="s">
        <v>265</v>
      </c>
      <c r="C109" s="1" t="s">
        <v>18</v>
      </c>
      <c r="D109" s="1" t="s">
        <v>19</v>
      </c>
      <c r="E109" s="1" t="s">
        <v>88</v>
      </c>
      <c r="F109">
        <v>1</v>
      </c>
      <c r="G109" s="2">
        <v>46234</v>
      </c>
      <c r="H109" s="2">
        <v>46239</v>
      </c>
      <c r="I109">
        <v>259.79000000000002</v>
      </c>
      <c r="M109" s="1" t="s">
        <v>69</v>
      </c>
      <c r="N109" s="1" t="s">
        <v>22</v>
      </c>
      <c r="O109" s="2"/>
      <c r="P109" s="2"/>
      <c r="Q109">
        <f>_xlfn.XLOOKUP(E109,CPT!$A$2:$A$13,CPT!$D$2:$D$13)</f>
        <v>260</v>
      </c>
      <c r="R109" s="1">
        <f>_xlfn.XLOOKUP(C109,Contract!$A$2:$A$9,Contract!$B$2:$B$9)</f>
        <v>0.38</v>
      </c>
      <c r="S109" s="1">
        <f t="shared" si="4"/>
        <v>98.8</v>
      </c>
      <c r="T109" s="1" t="str">
        <f t="shared" si="5"/>
        <v/>
      </c>
      <c r="U109" s="1" t="str">
        <f t="shared" si="6"/>
        <v/>
      </c>
      <c r="V109" s="1" t="str">
        <f>_xlfn.XLOOKUP(C109,Payers!$A$2:$A$9,Payers!$B$2:$B$9)</f>
        <v>Sunshine Medicare Advantage</v>
      </c>
      <c r="W109" s="1" t="str">
        <f t="shared" si="7"/>
        <v>2026-07</v>
      </c>
    </row>
    <row r="110" spans="1:23">
      <c r="A110" s="1" t="s">
        <v>266</v>
      </c>
      <c r="B110" s="1" t="s">
        <v>267</v>
      </c>
      <c r="C110" s="1" t="s">
        <v>18</v>
      </c>
      <c r="D110" s="1" t="s">
        <v>26</v>
      </c>
      <c r="E110" s="1" t="s">
        <v>57</v>
      </c>
      <c r="F110">
        <v>1</v>
      </c>
      <c r="G110" s="2">
        <v>46061</v>
      </c>
      <c r="H110" s="2">
        <v>46062</v>
      </c>
      <c r="I110">
        <v>207.35</v>
      </c>
      <c r="J110">
        <v>77.599999999999994</v>
      </c>
      <c r="K110">
        <v>77.599999999999994</v>
      </c>
      <c r="L110">
        <v>0</v>
      </c>
      <c r="M110" s="1" t="s">
        <v>21</v>
      </c>
      <c r="N110" s="1" t="s">
        <v>22</v>
      </c>
      <c r="O110" s="2">
        <v>46127</v>
      </c>
      <c r="P110" s="2">
        <v>46127</v>
      </c>
      <c r="Q110">
        <f>_xlfn.XLOOKUP(E110,CPT!$A$2:$A$13,CPT!$D$2:$D$13)</f>
        <v>210</v>
      </c>
      <c r="R110" s="1">
        <f>_xlfn.XLOOKUP(C110,Contract!$A$2:$A$9,Contract!$B$2:$B$9)</f>
        <v>0.38</v>
      </c>
      <c r="S110" s="1">
        <f t="shared" si="4"/>
        <v>79.8</v>
      </c>
      <c r="T110" s="1">
        <f t="shared" si="5"/>
        <v>2.2000000000000028</v>
      </c>
      <c r="U110" s="1" t="str">
        <f t="shared" si="6"/>
        <v>OK</v>
      </c>
      <c r="V110" s="1" t="str">
        <f>_xlfn.XLOOKUP(C110,Payers!$A$2:$A$9,Payers!$B$2:$B$9)</f>
        <v>Sunshine Medicare Advantage</v>
      </c>
      <c r="W110" s="1" t="str">
        <f t="shared" si="7"/>
        <v>2026-02</v>
      </c>
    </row>
    <row r="111" spans="1:23">
      <c r="A111" s="1" t="s">
        <v>268</v>
      </c>
      <c r="B111" s="1" t="s">
        <v>269</v>
      </c>
      <c r="C111" s="1" t="s">
        <v>60</v>
      </c>
      <c r="D111" s="1" t="s">
        <v>19</v>
      </c>
      <c r="E111" s="1" t="s">
        <v>88</v>
      </c>
      <c r="F111">
        <v>1</v>
      </c>
      <c r="G111" s="2">
        <v>45952</v>
      </c>
      <c r="H111" s="2">
        <v>45955</v>
      </c>
      <c r="I111">
        <v>259.01</v>
      </c>
      <c r="M111" s="1" t="s">
        <v>32</v>
      </c>
      <c r="N111" s="1" t="s">
        <v>33</v>
      </c>
      <c r="O111" s="2">
        <v>45990</v>
      </c>
      <c r="P111" s="2"/>
      <c r="Q111">
        <f>_xlfn.XLOOKUP(E111,CPT!$A$2:$A$13,CPT!$D$2:$D$13)</f>
        <v>260</v>
      </c>
      <c r="R111" s="1">
        <f>_xlfn.XLOOKUP(C111,Contract!$A$2:$A$9,Contract!$B$2:$B$9)</f>
        <v>0.45</v>
      </c>
      <c r="S111" s="1">
        <f t="shared" si="4"/>
        <v>117</v>
      </c>
      <c r="T111" s="1" t="str">
        <f t="shared" si="5"/>
        <v/>
      </c>
      <c r="U111" s="1" t="str">
        <f t="shared" si="6"/>
        <v/>
      </c>
      <c r="V111" s="1" t="str">
        <f>_xlfn.XLOOKUP(C111,Payers!$A$2:$A$9,Payers!$B$2:$B$9)</f>
        <v>Blue Horizon Commercial</v>
      </c>
      <c r="W111" s="1" t="str">
        <f t="shared" si="7"/>
        <v>2025-10</v>
      </c>
    </row>
    <row r="112" spans="1:23">
      <c r="A112" s="1" t="s">
        <v>270</v>
      </c>
      <c r="B112" s="1" t="s">
        <v>271</v>
      </c>
      <c r="C112" s="1" t="s">
        <v>76</v>
      </c>
      <c r="D112" s="1" t="s">
        <v>19</v>
      </c>
      <c r="E112" s="1" t="s">
        <v>20</v>
      </c>
      <c r="F112">
        <v>1</v>
      </c>
      <c r="G112" s="2">
        <v>46097</v>
      </c>
      <c r="H112" s="2">
        <v>46109</v>
      </c>
      <c r="I112">
        <v>142.15</v>
      </c>
      <c r="J112">
        <v>64.349999999999994</v>
      </c>
      <c r="K112">
        <v>64.349999999999994</v>
      </c>
      <c r="L112">
        <v>0</v>
      </c>
      <c r="M112" s="1" t="s">
        <v>21</v>
      </c>
      <c r="N112" s="1" t="s">
        <v>22</v>
      </c>
      <c r="O112" s="2">
        <v>46134</v>
      </c>
      <c r="P112" s="2">
        <v>46134</v>
      </c>
      <c r="Q112">
        <f>_xlfn.XLOOKUP(E112,CPT!$A$2:$A$13,CPT!$D$2:$D$13)</f>
        <v>145</v>
      </c>
      <c r="R112" s="1">
        <f>_xlfn.XLOOKUP(C112,Contract!$A$2:$A$9,Contract!$B$2:$B$9)</f>
        <v>0.43</v>
      </c>
      <c r="S112" s="1">
        <f t="shared" si="4"/>
        <v>62.35</v>
      </c>
      <c r="T112" s="1">
        <f t="shared" si="5"/>
        <v>-1.9999999999999929</v>
      </c>
      <c r="U112" s="1" t="str">
        <f t="shared" si="6"/>
        <v>OK</v>
      </c>
      <c r="V112" s="1" t="str">
        <f>_xlfn.XLOOKUP(C112,Payers!$A$2:$A$9,Payers!$B$2:$B$9)</f>
        <v>Summit Health Commercial</v>
      </c>
      <c r="W112" s="1" t="str">
        <f t="shared" si="7"/>
        <v>2026-03</v>
      </c>
    </row>
    <row r="113" spans="1:23">
      <c r="A113" s="1" t="s">
        <v>272</v>
      </c>
      <c r="B113" s="1" t="s">
        <v>273</v>
      </c>
      <c r="C113" s="1" t="s">
        <v>25</v>
      </c>
      <c r="D113" s="1" t="s">
        <v>19</v>
      </c>
      <c r="E113" s="1" t="s">
        <v>41</v>
      </c>
      <c r="F113">
        <v>1</v>
      </c>
      <c r="G113" s="2">
        <v>46133</v>
      </c>
      <c r="H113" s="2">
        <v>46139</v>
      </c>
      <c r="I113">
        <v>38.840000000000003</v>
      </c>
      <c r="J113">
        <v>15.2</v>
      </c>
      <c r="K113">
        <v>15.2</v>
      </c>
      <c r="L113">
        <v>0</v>
      </c>
      <c r="M113" s="1" t="s">
        <v>21</v>
      </c>
      <c r="N113" s="1" t="s">
        <v>22</v>
      </c>
      <c r="O113" s="2">
        <v>46161</v>
      </c>
      <c r="P113" s="2">
        <v>46161</v>
      </c>
      <c r="Q113">
        <f>_xlfn.XLOOKUP(E113,CPT!$A$2:$A$13,CPT!$D$2:$D$13)</f>
        <v>38</v>
      </c>
      <c r="R113" s="1">
        <f>_xlfn.XLOOKUP(C113,Contract!$A$2:$A$9,Contract!$B$2:$B$9)</f>
        <v>0.36</v>
      </c>
      <c r="S113" s="1">
        <f t="shared" si="4"/>
        <v>13.68</v>
      </c>
      <c r="T113" s="1">
        <f t="shared" si="5"/>
        <v>-1.5199999999999996</v>
      </c>
      <c r="U113" s="1" t="str">
        <f t="shared" si="6"/>
        <v>OK</v>
      </c>
      <c r="V113" s="1" t="str">
        <f>_xlfn.XLOOKUP(C113,Payers!$A$2:$A$9,Payers!$B$2:$B$9)</f>
        <v>Medicare Part B</v>
      </c>
      <c r="W113" s="1" t="str">
        <f t="shared" si="7"/>
        <v>2026-04</v>
      </c>
    </row>
    <row r="114" spans="1:23">
      <c r="A114" s="1" t="s">
        <v>274</v>
      </c>
      <c r="B114" s="1" t="s">
        <v>275</v>
      </c>
      <c r="C114" s="1" t="s">
        <v>47</v>
      </c>
      <c r="D114" s="1" t="s">
        <v>19</v>
      </c>
      <c r="E114" s="1" t="s">
        <v>57</v>
      </c>
      <c r="F114">
        <v>1</v>
      </c>
      <c r="G114" s="2">
        <v>46109</v>
      </c>
      <c r="H114" s="2">
        <v>46122</v>
      </c>
      <c r="I114">
        <v>208.12</v>
      </c>
      <c r="J114">
        <v>51.7</v>
      </c>
      <c r="K114">
        <v>51.7</v>
      </c>
      <c r="L114">
        <v>0</v>
      </c>
      <c r="M114" s="1" t="s">
        <v>21</v>
      </c>
      <c r="N114" s="1" t="s">
        <v>22</v>
      </c>
      <c r="O114" s="2">
        <v>46194</v>
      </c>
      <c r="P114" s="2">
        <v>46194</v>
      </c>
      <c r="Q114">
        <f>_xlfn.XLOOKUP(E114,CPT!$A$2:$A$13,CPT!$D$2:$D$13)</f>
        <v>210</v>
      </c>
      <c r="R114" s="1">
        <f>_xlfn.XLOOKUP(C114,Contract!$A$2:$A$9,Contract!$B$2:$B$9)</f>
        <v>0.28000000000000003</v>
      </c>
      <c r="S114" s="1">
        <f t="shared" si="4"/>
        <v>58.8</v>
      </c>
      <c r="T114" s="1">
        <f t="shared" si="5"/>
        <v>7.0999999999999943</v>
      </c>
      <c r="U114" s="1" t="str">
        <f t="shared" si="6"/>
        <v>Underpaid</v>
      </c>
      <c r="V114" s="1" t="str">
        <f>_xlfn.XLOOKUP(C114,Payers!$A$2:$A$9,Payers!$B$2:$B$9)</f>
        <v>Coastal Medicaid MCO</v>
      </c>
      <c r="W114" s="1" t="str">
        <f t="shared" si="7"/>
        <v>2026-03</v>
      </c>
    </row>
    <row r="115" spans="1:23">
      <c r="A115" s="1" t="s">
        <v>276</v>
      </c>
      <c r="B115" s="1" t="s">
        <v>277</v>
      </c>
      <c r="C115" s="1" t="s">
        <v>25</v>
      </c>
      <c r="D115" s="1" t="s">
        <v>26</v>
      </c>
      <c r="E115" s="1" t="s">
        <v>44</v>
      </c>
      <c r="F115">
        <v>1</v>
      </c>
      <c r="G115" s="2">
        <v>46021</v>
      </c>
      <c r="H115" s="2">
        <v>46025</v>
      </c>
      <c r="I115">
        <v>4929.97</v>
      </c>
      <c r="J115">
        <v>1809.98</v>
      </c>
      <c r="K115">
        <v>1447.98</v>
      </c>
      <c r="L115">
        <v>362</v>
      </c>
      <c r="M115" s="1" t="s">
        <v>21</v>
      </c>
      <c r="N115" s="1" t="s">
        <v>22</v>
      </c>
      <c r="O115" s="2">
        <v>46045</v>
      </c>
      <c r="P115" s="2">
        <v>46045</v>
      </c>
      <c r="Q115">
        <f>_xlfn.XLOOKUP(E115,CPT!$A$2:$A$13,CPT!$D$2:$D$13)</f>
        <v>4800</v>
      </c>
      <c r="R115" s="1">
        <f>_xlfn.XLOOKUP(C115,Contract!$A$2:$A$9,Contract!$B$2:$B$9)</f>
        <v>0.36</v>
      </c>
      <c r="S115" s="1">
        <f t="shared" si="4"/>
        <v>1728</v>
      </c>
      <c r="T115" s="1">
        <f t="shared" si="5"/>
        <v>-81.980000000000018</v>
      </c>
      <c r="U115" s="1" t="str">
        <f t="shared" si="6"/>
        <v>OK</v>
      </c>
      <c r="V115" s="1" t="str">
        <f>_xlfn.XLOOKUP(C115,Payers!$A$2:$A$9,Payers!$B$2:$B$9)</f>
        <v>Medicare Part B</v>
      </c>
      <c r="W115" s="1" t="str">
        <f t="shared" si="7"/>
        <v>2025-12</v>
      </c>
    </row>
    <row r="116" spans="1:23">
      <c r="A116" s="1" t="s">
        <v>278</v>
      </c>
      <c r="B116" s="1" t="s">
        <v>157</v>
      </c>
      <c r="C116" s="1" t="s">
        <v>25</v>
      </c>
      <c r="D116" s="1" t="s">
        <v>30</v>
      </c>
      <c r="E116" s="1" t="s">
        <v>20</v>
      </c>
      <c r="F116">
        <v>1</v>
      </c>
      <c r="G116" s="2">
        <v>46250</v>
      </c>
      <c r="H116" s="2">
        <v>46265</v>
      </c>
      <c r="I116">
        <v>143.46</v>
      </c>
      <c r="J116">
        <v>51.15</v>
      </c>
      <c r="K116">
        <v>51.15</v>
      </c>
      <c r="L116">
        <v>0</v>
      </c>
      <c r="M116" s="1" t="s">
        <v>21</v>
      </c>
      <c r="N116" s="1" t="s">
        <v>22</v>
      </c>
      <c r="O116" s="2">
        <v>46276</v>
      </c>
      <c r="P116" s="2">
        <v>46276</v>
      </c>
      <c r="Q116">
        <f>_xlfn.XLOOKUP(E116,CPT!$A$2:$A$13,CPT!$D$2:$D$13)</f>
        <v>145</v>
      </c>
      <c r="R116" s="1">
        <f>_xlfn.XLOOKUP(C116,Contract!$A$2:$A$9,Contract!$B$2:$B$9)</f>
        <v>0.36</v>
      </c>
      <c r="S116" s="1">
        <f t="shared" si="4"/>
        <v>52.2</v>
      </c>
      <c r="T116" s="1">
        <f t="shared" si="5"/>
        <v>1.0500000000000043</v>
      </c>
      <c r="U116" s="1" t="str">
        <f t="shared" si="6"/>
        <v>OK</v>
      </c>
      <c r="V116" s="1" t="str">
        <f>_xlfn.XLOOKUP(C116,Payers!$A$2:$A$9,Payers!$B$2:$B$9)</f>
        <v>Medicare Part B</v>
      </c>
      <c r="W116" s="1" t="str">
        <f t="shared" si="7"/>
        <v>2026-08</v>
      </c>
    </row>
    <row r="117" spans="1:23">
      <c r="A117" s="1" t="s">
        <v>279</v>
      </c>
      <c r="B117" s="1" t="s">
        <v>280</v>
      </c>
      <c r="C117" s="1" t="s">
        <v>52</v>
      </c>
      <c r="D117" s="1" t="s">
        <v>19</v>
      </c>
      <c r="E117" s="1" t="s">
        <v>88</v>
      </c>
      <c r="F117">
        <v>1</v>
      </c>
      <c r="G117" s="2">
        <v>45950</v>
      </c>
      <c r="H117" s="2">
        <v>45958</v>
      </c>
      <c r="I117">
        <v>253.09</v>
      </c>
      <c r="M117" s="1" t="s">
        <v>32</v>
      </c>
      <c r="N117" s="1" t="s">
        <v>281</v>
      </c>
      <c r="O117" s="2">
        <v>45985</v>
      </c>
      <c r="P117" s="2"/>
      <c r="Q117">
        <f>_xlfn.XLOOKUP(E117,CPT!$A$2:$A$13,CPT!$D$2:$D$13)</f>
        <v>260</v>
      </c>
      <c r="R117" s="1">
        <f>_xlfn.XLOOKUP(C117,Contract!$A$2:$A$9,Contract!$B$2:$B$9)</f>
        <v>0.47</v>
      </c>
      <c r="S117" s="1">
        <f t="shared" si="4"/>
        <v>122.2</v>
      </c>
      <c r="T117" s="1" t="str">
        <f t="shared" si="5"/>
        <v/>
      </c>
      <c r="U117" s="1" t="str">
        <f t="shared" si="6"/>
        <v/>
      </c>
      <c r="V117" s="1" t="str">
        <f>_xlfn.XLOOKUP(C117,Payers!$A$2:$A$9,Payers!$B$2:$B$9)</f>
        <v>Keystone Commercial PPO</v>
      </c>
      <c r="W117" s="1" t="str">
        <f t="shared" si="7"/>
        <v>2025-10</v>
      </c>
    </row>
    <row r="118" spans="1:23">
      <c r="A118" s="1" t="s">
        <v>282</v>
      </c>
      <c r="B118" s="1" t="s">
        <v>283</v>
      </c>
      <c r="C118" s="1" t="s">
        <v>52</v>
      </c>
      <c r="D118" s="1" t="s">
        <v>19</v>
      </c>
      <c r="E118" s="1" t="s">
        <v>20</v>
      </c>
      <c r="F118">
        <v>1</v>
      </c>
      <c r="G118" s="2">
        <v>46223</v>
      </c>
      <c r="H118" s="2">
        <v>46225</v>
      </c>
      <c r="I118">
        <v>146.32</v>
      </c>
      <c r="J118">
        <v>61.63</v>
      </c>
      <c r="K118">
        <v>55.47</v>
      </c>
      <c r="L118">
        <v>6.16</v>
      </c>
      <c r="M118" s="1" t="s">
        <v>21</v>
      </c>
      <c r="N118" s="1" t="s">
        <v>22</v>
      </c>
      <c r="O118" s="2">
        <v>46275</v>
      </c>
      <c r="P118" s="2">
        <v>46275</v>
      </c>
      <c r="Q118">
        <f>_xlfn.XLOOKUP(E118,CPT!$A$2:$A$13,CPT!$D$2:$D$13)</f>
        <v>145</v>
      </c>
      <c r="R118" s="1">
        <f>_xlfn.XLOOKUP(C118,Contract!$A$2:$A$9,Contract!$B$2:$B$9)</f>
        <v>0.47</v>
      </c>
      <c r="S118" s="1">
        <f t="shared" si="4"/>
        <v>68.150000000000006</v>
      </c>
      <c r="T118" s="1">
        <f t="shared" si="5"/>
        <v>6.5200000000000031</v>
      </c>
      <c r="U118" s="1" t="str">
        <f t="shared" si="6"/>
        <v>Underpaid</v>
      </c>
      <c r="V118" s="1" t="str">
        <f>_xlfn.XLOOKUP(C118,Payers!$A$2:$A$9,Payers!$B$2:$B$9)</f>
        <v>Keystone Commercial PPO</v>
      </c>
      <c r="W118" s="1" t="str">
        <f t="shared" si="7"/>
        <v>2026-07</v>
      </c>
    </row>
    <row r="119" spans="1:23">
      <c r="A119" s="1" t="s">
        <v>284</v>
      </c>
      <c r="B119" s="1" t="s">
        <v>285</v>
      </c>
      <c r="C119" s="1" t="s">
        <v>60</v>
      </c>
      <c r="D119" s="1" t="s">
        <v>26</v>
      </c>
      <c r="E119" s="1" t="s">
        <v>41</v>
      </c>
      <c r="F119">
        <v>1</v>
      </c>
      <c r="G119" s="2">
        <v>46057</v>
      </c>
      <c r="H119" s="2">
        <v>46076</v>
      </c>
      <c r="I119">
        <v>38.47</v>
      </c>
      <c r="J119">
        <v>17.899999999999999</v>
      </c>
      <c r="K119">
        <v>16.11</v>
      </c>
      <c r="L119">
        <v>1.79</v>
      </c>
      <c r="M119" s="1" t="s">
        <v>21</v>
      </c>
      <c r="N119" s="1" t="s">
        <v>22</v>
      </c>
      <c r="O119" s="2">
        <v>46105</v>
      </c>
      <c r="P119" s="2">
        <v>46105</v>
      </c>
      <c r="Q119">
        <f>_xlfn.XLOOKUP(E119,CPT!$A$2:$A$13,CPT!$D$2:$D$13)</f>
        <v>38</v>
      </c>
      <c r="R119" s="1">
        <f>_xlfn.XLOOKUP(C119,Contract!$A$2:$A$9,Contract!$B$2:$B$9)</f>
        <v>0.45</v>
      </c>
      <c r="S119" s="1">
        <f t="shared" si="4"/>
        <v>17.100000000000001</v>
      </c>
      <c r="T119" s="1">
        <f t="shared" si="5"/>
        <v>-0.79999999999999716</v>
      </c>
      <c r="U119" s="1" t="str">
        <f t="shared" si="6"/>
        <v>OK</v>
      </c>
      <c r="V119" s="1" t="str">
        <f>_xlfn.XLOOKUP(C119,Payers!$A$2:$A$9,Payers!$B$2:$B$9)</f>
        <v>Blue Horizon Commercial</v>
      </c>
      <c r="W119" s="1" t="str">
        <f t="shared" si="7"/>
        <v>2026-02</v>
      </c>
    </row>
    <row r="120" spans="1:23">
      <c r="A120" s="1" t="s">
        <v>286</v>
      </c>
      <c r="B120" s="1" t="s">
        <v>287</v>
      </c>
      <c r="C120" s="1" t="s">
        <v>76</v>
      </c>
      <c r="D120" s="1" t="s">
        <v>30</v>
      </c>
      <c r="E120" s="1" t="s">
        <v>91</v>
      </c>
      <c r="F120">
        <v>4</v>
      </c>
      <c r="G120" s="2">
        <v>46104</v>
      </c>
      <c r="H120" s="2">
        <v>46111</v>
      </c>
      <c r="I120">
        <v>233.36</v>
      </c>
      <c r="M120" s="1" t="s">
        <v>32</v>
      </c>
      <c r="N120" s="1" t="s">
        <v>33</v>
      </c>
      <c r="O120" s="2">
        <v>46139</v>
      </c>
      <c r="P120" s="2"/>
      <c r="Q120">
        <f>_xlfn.XLOOKUP(E120,CPT!$A$2:$A$13,CPT!$D$2:$D$13)</f>
        <v>58</v>
      </c>
      <c r="R120" s="1">
        <f>_xlfn.XLOOKUP(C120,Contract!$A$2:$A$9,Contract!$B$2:$B$9)</f>
        <v>0.43</v>
      </c>
      <c r="S120" s="1">
        <f t="shared" si="4"/>
        <v>99.76</v>
      </c>
      <c r="T120" s="1" t="str">
        <f t="shared" si="5"/>
        <v/>
      </c>
      <c r="U120" s="1" t="str">
        <f t="shared" si="6"/>
        <v/>
      </c>
      <c r="V120" s="1" t="str">
        <f>_xlfn.XLOOKUP(C120,Payers!$A$2:$A$9,Payers!$B$2:$B$9)</f>
        <v>Summit Health Commercial</v>
      </c>
      <c r="W120" s="1" t="str">
        <f t="shared" si="7"/>
        <v>2026-03</v>
      </c>
    </row>
    <row r="121" spans="1:23">
      <c r="A121" s="1" t="s">
        <v>288</v>
      </c>
      <c r="B121" s="1" t="s">
        <v>289</v>
      </c>
      <c r="C121" s="1" t="s">
        <v>76</v>
      </c>
      <c r="D121" s="1" t="s">
        <v>19</v>
      </c>
      <c r="E121" s="1" t="s">
        <v>57</v>
      </c>
      <c r="F121">
        <v>1</v>
      </c>
      <c r="G121" s="2">
        <v>46229</v>
      </c>
      <c r="H121" s="2">
        <v>46239</v>
      </c>
      <c r="I121">
        <v>212.06</v>
      </c>
      <c r="J121">
        <v>95.06</v>
      </c>
      <c r="K121">
        <v>76.05</v>
      </c>
      <c r="L121">
        <v>19.010000000000002</v>
      </c>
      <c r="M121" s="1" t="s">
        <v>21</v>
      </c>
      <c r="N121" s="1" t="s">
        <v>22</v>
      </c>
      <c r="O121" s="2">
        <v>46286</v>
      </c>
      <c r="P121" s="2">
        <v>46286</v>
      </c>
      <c r="Q121">
        <f>_xlfn.XLOOKUP(E121,CPT!$A$2:$A$13,CPT!$D$2:$D$13)</f>
        <v>210</v>
      </c>
      <c r="R121" s="1">
        <f>_xlfn.XLOOKUP(C121,Contract!$A$2:$A$9,Contract!$B$2:$B$9)</f>
        <v>0.43</v>
      </c>
      <c r="S121" s="1">
        <f t="shared" si="4"/>
        <v>90.3</v>
      </c>
      <c r="T121" s="1">
        <f t="shared" si="5"/>
        <v>-4.7600000000000051</v>
      </c>
      <c r="U121" s="1" t="str">
        <f t="shared" si="6"/>
        <v>OK</v>
      </c>
      <c r="V121" s="1" t="str">
        <f>_xlfn.XLOOKUP(C121,Payers!$A$2:$A$9,Payers!$B$2:$B$9)</f>
        <v>Summit Health Commercial</v>
      </c>
      <c r="W121" s="1" t="str">
        <f t="shared" si="7"/>
        <v>2026-07</v>
      </c>
    </row>
    <row r="122" spans="1:23">
      <c r="A122" s="1" t="s">
        <v>290</v>
      </c>
      <c r="B122" s="1" t="s">
        <v>291</v>
      </c>
      <c r="C122" s="1" t="s">
        <v>76</v>
      </c>
      <c r="D122" s="1" t="s">
        <v>19</v>
      </c>
      <c r="E122" s="1" t="s">
        <v>20</v>
      </c>
      <c r="F122">
        <v>1</v>
      </c>
      <c r="G122" s="2">
        <v>46123</v>
      </c>
      <c r="H122" s="2">
        <v>46125</v>
      </c>
      <c r="I122">
        <v>146.25</v>
      </c>
      <c r="M122" s="1" t="s">
        <v>32</v>
      </c>
      <c r="N122" s="1" t="s">
        <v>168</v>
      </c>
      <c r="O122" s="2">
        <v>46178</v>
      </c>
      <c r="P122" s="2"/>
      <c r="Q122">
        <f>_xlfn.XLOOKUP(E122,CPT!$A$2:$A$13,CPT!$D$2:$D$13)</f>
        <v>145</v>
      </c>
      <c r="R122" s="1">
        <f>_xlfn.XLOOKUP(C122,Contract!$A$2:$A$9,Contract!$B$2:$B$9)</f>
        <v>0.43</v>
      </c>
      <c r="S122" s="1">
        <f t="shared" si="4"/>
        <v>62.35</v>
      </c>
      <c r="T122" s="1" t="str">
        <f t="shared" si="5"/>
        <v/>
      </c>
      <c r="U122" s="1" t="str">
        <f t="shared" si="6"/>
        <v/>
      </c>
      <c r="V122" s="1" t="str">
        <f>_xlfn.XLOOKUP(C122,Payers!$A$2:$A$9,Payers!$B$2:$B$9)</f>
        <v>Summit Health Commercial</v>
      </c>
      <c r="W122" s="1" t="str">
        <f t="shared" si="7"/>
        <v>2026-04</v>
      </c>
    </row>
    <row r="123" spans="1:23">
      <c r="A123" s="1" t="s">
        <v>292</v>
      </c>
      <c r="B123" s="1" t="s">
        <v>293</v>
      </c>
      <c r="C123" s="1" t="s">
        <v>60</v>
      </c>
      <c r="D123" s="1" t="s">
        <v>19</v>
      </c>
      <c r="E123" s="1" t="s">
        <v>88</v>
      </c>
      <c r="F123">
        <v>1</v>
      </c>
      <c r="G123" s="2">
        <v>46089</v>
      </c>
      <c r="H123" s="2">
        <v>46090</v>
      </c>
      <c r="I123">
        <v>255.01</v>
      </c>
      <c r="J123">
        <v>114.26</v>
      </c>
      <c r="K123">
        <v>114.26</v>
      </c>
      <c r="L123">
        <v>0</v>
      </c>
      <c r="M123" s="1" t="s">
        <v>21</v>
      </c>
      <c r="N123" s="1" t="s">
        <v>22</v>
      </c>
      <c r="O123" s="2">
        <v>46117</v>
      </c>
      <c r="P123" s="2">
        <v>46117</v>
      </c>
      <c r="Q123">
        <f>_xlfn.XLOOKUP(E123,CPT!$A$2:$A$13,CPT!$D$2:$D$13)</f>
        <v>260</v>
      </c>
      <c r="R123" s="1">
        <f>_xlfn.XLOOKUP(C123,Contract!$A$2:$A$9,Contract!$B$2:$B$9)</f>
        <v>0.45</v>
      </c>
      <c r="S123" s="1">
        <f t="shared" si="4"/>
        <v>117</v>
      </c>
      <c r="T123" s="1">
        <f t="shared" si="5"/>
        <v>2.7399999999999949</v>
      </c>
      <c r="U123" s="1" t="str">
        <f t="shared" si="6"/>
        <v>OK</v>
      </c>
      <c r="V123" s="1" t="str">
        <f>_xlfn.XLOOKUP(C123,Payers!$A$2:$A$9,Payers!$B$2:$B$9)</f>
        <v>Blue Horizon Commercial</v>
      </c>
      <c r="W123" s="1" t="str">
        <f t="shared" si="7"/>
        <v>2026-03</v>
      </c>
    </row>
    <row r="124" spans="1:23">
      <c r="A124" s="1" t="s">
        <v>294</v>
      </c>
      <c r="B124" s="1" t="s">
        <v>295</v>
      </c>
      <c r="C124" s="1" t="s">
        <v>36</v>
      </c>
      <c r="D124" s="1" t="s">
        <v>26</v>
      </c>
      <c r="E124" s="1" t="s">
        <v>185</v>
      </c>
      <c r="F124">
        <v>1</v>
      </c>
      <c r="G124" s="2">
        <v>45982</v>
      </c>
      <c r="H124" s="2">
        <v>45986</v>
      </c>
      <c r="I124">
        <v>1150.53</v>
      </c>
      <c r="J124">
        <v>313.20999999999998</v>
      </c>
      <c r="K124">
        <v>313.20999999999998</v>
      </c>
      <c r="L124">
        <v>0</v>
      </c>
      <c r="M124" s="1" t="s">
        <v>21</v>
      </c>
      <c r="N124" s="1" t="s">
        <v>22</v>
      </c>
      <c r="O124" s="2">
        <v>46013</v>
      </c>
      <c r="P124" s="2">
        <v>46013</v>
      </c>
      <c r="Q124">
        <f>_xlfn.XLOOKUP(E124,CPT!$A$2:$A$13,CPT!$D$2:$D$13)</f>
        <v>1150</v>
      </c>
      <c r="R124" s="1">
        <f>_xlfn.XLOOKUP(C124,Contract!$A$2:$A$9,Contract!$B$2:$B$9)</f>
        <v>0.27</v>
      </c>
      <c r="S124" s="1">
        <f t="shared" si="4"/>
        <v>310.5</v>
      </c>
      <c r="T124" s="1">
        <f t="shared" si="5"/>
        <v>-2.7099999999999795</v>
      </c>
      <c r="U124" s="1" t="str">
        <f t="shared" si="6"/>
        <v>OK</v>
      </c>
      <c r="V124" s="1" t="str">
        <f>_xlfn.XLOOKUP(C124,Payers!$A$2:$A$9,Payers!$B$2:$B$9)</f>
        <v>Florida Medicaid</v>
      </c>
      <c r="W124" s="1" t="str">
        <f t="shared" si="7"/>
        <v>2025-11</v>
      </c>
    </row>
    <row r="125" spans="1:23">
      <c r="A125" s="1" t="s">
        <v>296</v>
      </c>
      <c r="B125" s="1" t="s">
        <v>297</v>
      </c>
      <c r="C125" s="1" t="s">
        <v>60</v>
      </c>
      <c r="D125" s="1" t="s">
        <v>19</v>
      </c>
      <c r="E125" s="1" t="s">
        <v>57</v>
      </c>
      <c r="F125">
        <v>1</v>
      </c>
      <c r="G125" s="2">
        <v>46285</v>
      </c>
      <c r="H125" s="2">
        <v>46292</v>
      </c>
      <c r="I125">
        <v>213.42</v>
      </c>
      <c r="M125" s="1" t="s">
        <v>69</v>
      </c>
      <c r="N125" s="1" t="s">
        <v>22</v>
      </c>
      <c r="O125" s="2"/>
      <c r="P125" s="2"/>
      <c r="Q125">
        <f>_xlfn.XLOOKUP(E125,CPT!$A$2:$A$13,CPT!$D$2:$D$13)</f>
        <v>210</v>
      </c>
      <c r="R125" s="1">
        <f>_xlfn.XLOOKUP(C125,Contract!$A$2:$A$9,Contract!$B$2:$B$9)</f>
        <v>0.45</v>
      </c>
      <c r="S125" s="1">
        <f t="shared" si="4"/>
        <v>94.5</v>
      </c>
      <c r="T125" s="1" t="str">
        <f t="shared" si="5"/>
        <v/>
      </c>
      <c r="U125" s="1" t="str">
        <f t="shared" si="6"/>
        <v/>
      </c>
      <c r="V125" s="1" t="str">
        <f>_xlfn.XLOOKUP(C125,Payers!$A$2:$A$9,Payers!$B$2:$B$9)</f>
        <v>Blue Horizon Commercial</v>
      </c>
      <c r="W125" s="1" t="str">
        <f t="shared" si="7"/>
        <v>2026-09</v>
      </c>
    </row>
    <row r="126" spans="1:23">
      <c r="A126" s="1" t="s">
        <v>298</v>
      </c>
      <c r="B126" s="1" t="s">
        <v>299</v>
      </c>
      <c r="C126" s="1" t="s">
        <v>79</v>
      </c>
      <c r="D126" s="1" t="s">
        <v>19</v>
      </c>
      <c r="E126" s="1" t="s">
        <v>57</v>
      </c>
      <c r="F126">
        <v>1</v>
      </c>
      <c r="G126" s="2">
        <v>46243</v>
      </c>
      <c r="H126" s="2">
        <v>46249</v>
      </c>
      <c r="I126">
        <v>207.29</v>
      </c>
      <c r="M126" s="1" t="s">
        <v>69</v>
      </c>
      <c r="N126" s="1" t="s">
        <v>22</v>
      </c>
      <c r="O126" s="2"/>
      <c r="P126" s="2"/>
      <c r="Q126">
        <f>_xlfn.XLOOKUP(E126,CPT!$A$2:$A$13,CPT!$D$2:$D$13)</f>
        <v>210</v>
      </c>
      <c r="R126" s="1">
        <f>_xlfn.XLOOKUP(C126,Contract!$A$2:$A$9,Contract!$B$2:$B$9)</f>
        <v>1</v>
      </c>
      <c r="S126" s="1">
        <f t="shared" si="4"/>
        <v>210</v>
      </c>
      <c r="T126" s="1" t="str">
        <f t="shared" si="5"/>
        <v/>
      </c>
      <c r="U126" s="1" t="str">
        <f t="shared" si="6"/>
        <v/>
      </c>
      <c r="V126" s="1" t="str">
        <f>_xlfn.XLOOKUP(C126,Payers!$A$2:$A$9,Payers!$B$2:$B$9)</f>
        <v>Self-Pay</v>
      </c>
      <c r="W126" s="1" t="str">
        <f t="shared" si="7"/>
        <v>2026-08</v>
      </c>
    </row>
    <row r="127" spans="1:23">
      <c r="A127" s="1" t="s">
        <v>300</v>
      </c>
      <c r="B127" s="1" t="s">
        <v>301</v>
      </c>
      <c r="C127" s="1" t="s">
        <v>76</v>
      </c>
      <c r="D127" s="1" t="s">
        <v>37</v>
      </c>
      <c r="E127" s="1" t="s">
        <v>38</v>
      </c>
      <c r="F127">
        <v>30</v>
      </c>
      <c r="G127" s="2">
        <v>46223</v>
      </c>
      <c r="H127" s="2">
        <v>46225</v>
      </c>
      <c r="I127">
        <v>43399.98</v>
      </c>
      <c r="J127">
        <v>18711.990000000002</v>
      </c>
      <c r="K127">
        <v>18711.990000000002</v>
      </c>
      <c r="L127">
        <v>0</v>
      </c>
      <c r="M127" s="1" t="s">
        <v>21</v>
      </c>
      <c r="N127" s="1" t="s">
        <v>22</v>
      </c>
      <c r="O127" s="2">
        <v>46255</v>
      </c>
      <c r="P127" s="2">
        <v>46255</v>
      </c>
      <c r="Q127">
        <f>_xlfn.XLOOKUP(E127,CPT!$A$2:$A$13,CPT!$D$2:$D$13)</f>
        <v>1450</v>
      </c>
      <c r="R127" s="1">
        <f>_xlfn.XLOOKUP(C127,Contract!$A$2:$A$9,Contract!$B$2:$B$9)</f>
        <v>0.43</v>
      </c>
      <c r="S127" s="1">
        <f t="shared" si="4"/>
        <v>18705</v>
      </c>
      <c r="T127" s="1">
        <f t="shared" si="5"/>
        <v>-6.9900000000016007</v>
      </c>
      <c r="U127" s="1" t="str">
        <f t="shared" si="6"/>
        <v>OK</v>
      </c>
      <c r="V127" s="1" t="str">
        <f>_xlfn.XLOOKUP(C127,Payers!$A$2:$A$9,Payers!$B$2:$B$9)</f>
        <v>Summit Health Commercial</v>
      </c>
      <c r="W127" s="1" t="str">
        <f t="shared" si="7"/>
        <v>2026-07</v>
      </c>
    </row>
    <row r="128" spans="1:23">
      <c r="A128" s="1" t="s">
        <v>302</v>
      </c>
      <c r="B128" s="1" t="s">
        <v>303</v>
      </c>
      <c r="C128" s="1" t="s">
        <v>60</v>
      </c>
      <c r="D128" s="1" t="s">
        <v>26</v>
      </c>
      <c r="E128" s="1" t="s">
        <v>27</v>
      </c>
      <c r="F128">
        <v>1</v>
      </c>
      <c r="G128" s="2">
        <v>46059</v>
      </c>
      <c r="H128" s="2">
        <v>46062</v>
      </c>
      <c r="I128">
        <v>233.55</v>
      </c>
      <c r="J128">
        <v>119.3</v>
      </c>
      <c r="K128">
        <v>119.3</v>
      </c>
      <c r="L128">
        <v>0</v>
      </c>
      <c r="M128" s="1" t="s">
        <v>21</v>
      </c>
      <c r="N128" s="1" t="s">
        <v>22</v>
      </c>
      <c r="O128" s="2">
        <v>46087</v>
      </c>
      <c r="P128" s="2">
        <v>46087</v>
      </c>
      <c r="Q128">
        <f>_xlfn.XLOOKUP(E128,CPT!$A$2:$A$13,CPT!$D$2:$D$13)</f>
        <v>240</v>
      </c>
      <c r="R128" s="1">
        <f>_xlfn.XLOOKUP(C128,Contract!$A$2:$A$9,Contract!$B$2:$B$9)</f>
        <v>0.45</v>
      </c>
      <c r="S128" s="1">
        <f t="shared" si="4"/>
        <v>108</v>
      </c>
      <c r="T128" s="1">
        <f t="shared" si="5"/>
        <v>-11.299999999999997</v>
      </c>
      <c r="U128" s="1" t="str">
        <f t="shared" si="6"/>
        <v>OK</v>
      </c>
      <c r="V128" s="1" t="str">
        <f>_xlfn.XLOOKUP(C128,Payers!$A$2:$A$9,Payers!$B$2:$B$9)</f>
        <v>Blue Horizon Commercial</v>
      </c>
      <c r="W128" s="1" t="str">
        <f t="shared" si="7"/>
        <v>2026-02</v>
      </c>
    </row>
    <row r="129" spans="1:23">
      <c r="A129" s="1" t="s">
        <v>304</v>
      </c>
      <c r="B129" s="1" t="s">
        <v>305</v>
      </c>
      <c r="C129" s="1" t="s">
        <v>76</v>
      </c>
      <c r="D129" s="1" t="s">
        <v>26</v>
      </c>
      <c r="E129" s="1" t="s">
        <v>57</v>
      </c>
      <c r="F129">
        <v>1</v>
      </c>
      <c r="G129" s="2">
        <v>46193</v>
      </c>
      <c r="H129" s="2">
        <v>46196</v>
      </c>
      <c r="I129">
        <v>205.56</v>
      </c>
      <c r="J129">
        <v>80.28</v>
      </c>
      <c r="K129">
        <v>64.22</v>
      </c>
      <c r="L129">
        <v>16.059999999999999</v>
      </c>
      <c r="M129" s="1" t="s">
        <v>21</v>
      </c>
      <c r="N129" s="1" t="s">
        <v>22</v>
      </c>
      <c r="O129" s="2">
        <v>46216</v>
      </c>
      <c r="P129" s="2">
        <v>46216</v>
      </c>
      <c r="Q129">
        <f>_xlfn.XLOOKUP(E129,CPT!$A$2:$A$13,CPT!$D$2:$D$13)</f>
        <v>210</v>
      </c>
      <c r="R129" s="1">
        <f>_xlfn.XLOOKUP(C129,Contract!$A$2:$A$9,Contract!$B$2:$B$9)</f>
        <v>0.43</v>
      </c>
      <c r="S129" s="1">
        <f t="shared" si="4"/>
        <v>90.3</v>
      </c>
      <c r="T129" s="1">
        <f t="shared" si="5"/>
        <v>10.019999999999996</v>
      </c>
      <c r="U129" s="1" t="str">
        <f t="shared" si="6"/>
        <v>Underpaid</v>
      </c>
      <c r="V129" s="1" t="str">
        <f>_xlfn.XLOOKUP(C129,Payers!$A$2:$A$9,Payers!$B$2:$B$9)</f>
        <v>Summit Health Commercial</v>
      </c>
      <c r="W129" s="1" t="str">
        <f t="shared" si="7"/>
        <v>2026-06</v>
      </c>
    </row>
    <row r="130" spans="1:23">
      <c r="A130" s="1" t="s">
        <v>306</v>
      </c>
      <c r="B130" s="1" t="s">
        <v>293</v>
      </c>
      <c r="C130" s="1" t="s">
        <v>60</v>
      </c>
      <c r="D130" s="1" t="s">
        <v>30</v>
      </c>
      <c r="E130" s="1" t="s">
        <v>91</v>
      </c>
      <c r="F130">
        <v>1</v>
      </c>
      <c r="G130" s="2">
        <v>46188</v>
      </c>
      <c r="H130" s="2">
        <v>46209</v>
      </c>
      <c r="I130">
        <v>57.08</v>
      </c>
      <c r="M130" s="1" t="s">
        <v>32</v>
      </c>
      <c r="N130" s="1" t="s">
        <v>49</v>
      </c>
      <c r="O130" s="2">
        <v>46228</v>
      </c>
      <c r="P130" s="2"/>
      <c r="Q130">
        <f>_xlfn.XLOOKUP(E130,CPT!$A$2:$A$13,CPT!$D$2:$D$13)</f>
        <v>58</v>
      </c>
      <c r="R130" s="1">
        <f>_xlfn.XLOOKUP(C130,Contract!$A$2:$A$9,Contract!$B$2:$B$9)</f>
        <v>0.45</v>
      </c>
      <c r="S130" s="1">
        <f t="shared" ref="S130:S193" si="8">ROUND(Q130*F130*R130,2)</f>
        <v>26.1</v>
      </c>
      <c r="T130" s="1" t="str">
        <f t="shared" ref="T130:T193" si="9">IF(M130="Paid",S130-J130,"")</f>
        <v/>
      </c>
      <c r="U130" s="1" t="str">
        <f t="shared" ref="U130:U193" si="10">IF(M130&lt;&gt;"Paid","",IF(T130&gt;S130*0.05,"Underpaid","OK"))</f>
        <v/>
      </c>
      <c r="V130" s="1" t="str">
        <f>_xlfn.XLOOKUP(C130,Payers!$A$2:$A$9,Payers!$B$2:$B$9)</f>
        <v>Blue Horizon Commercial</v>
      </c>
      <c r="W130" s="1" t="str">
        <f t="shared" ref="W130:W193" si="11">TEXT(G130,"yyyy-mm")</f>
        <v>2026-06</v>
      </c>
    </row>
    <row r="131" spans="1:23">
      <c r="A131" s="1" t="s">
        <v>307</v>
      </c>
      <c r="B131" s="1" t="s">
        <v>308</v>
      </c>
      <c r="C131" s="1" t="s">
        <v>47</v>
      </c>
      <c r="D131" s="1" t="s">
        <v>19</v>
      </c>
      <c r="E131" s="1" t="s">
        <v>20</v>
      </c>
      <c r="F131">
        <v>1</v>
      </c>
      <c r="G131" s="2">
        <v>45940</v>
      </c>
      <c r="H131" s="2">
        <v>45948</v>
      </c>
      <c r="I131">
        <v>142.88</v>
      </c>
      <c r="J131">
        <v>42.68</v>
      </c>
      <c r="K131">
        <v>34.14</v>
      </c>
      <c r="L131">
        <v>8.5399999999999991</v>
      </c>
      <c r="M131" s="1" t="s">
        <v>21</v>
      </c>
      <c r="N131" s="1" t="s">
        <v>22</v>
      </c>
      <c r="O131" s="2">
        <v>45982</v>
      </c>
      <c r="P131" s="2">
        <v>45982</v>
      </c>
      <c r="Q131">
        <f>_xlfn.XLOOKUP(E131,CPT!$A$2:$A$13,CPT!$D$2:$D$13)</f>
        <v>145</v>
      </c>
      <c r="R131" s="1">
        <f>_xlfn.XLOOKUP(C131,Contract!$A$2:$A$9,Contract!$B$2:$B$9)</f>
        <v>0.28000000000000003</v>
      </c>
      <c r="S131" s="1">
        <f t="shared" si="8"/>
        <v>40.6</v>
      </c>
      <c r="T131" s="1">
        <f t="shared" si="9"/>
        <v>-2.0799999999999983</v>
      </c>
      <c r="U131" s="1" t="str">
        <f t="shared" si="10"/>
        <v>OK</v>
      </c>
      <c r="V131" s="1" t="str">
        <f>_xlfn.XLOOKUP(C131,Payers!$A$2:$A$9,Payers!$B$2:$B$9)</f>
        <v>Coastal Medicaid MCO</v>
      </c>
      <c r="W131" s="1" t="str">
        <f t="shared" si="11"/>
        <v>2025-10</v>
      </c>
    </row>
    <row r="132" spans="1:23">
      <c r="A132" s="1" t="s">
        <v>309</v>
      </c>
      <c r="B132" s="1" t="s">
        <v>310</v>
      </c>
      <c r="C132" s="1" t="s">
        <v>76</v>
      </c>
      <c r="D132" s="1" t="s">
        <v>37</v>
      </c>
      <c r="E132" s="1" t="s">
        <v>38</v>
      </c>
      <c r="F132">
        <v>10</v>
      </c>
      <c r="G132" s="2">
        <v>45955</v>
      </c>
      <c r="H132" s="2">
        <v>45962</v>
      </c>
      <c r="I132">
        <v>14430.25</v>
      </c>
      <c r="J132">
        <v>5422.08</v>
      </c>
      <c r="K132">
        <v>5422.08</v>
      </c>
      <c r="L132">
        <v>0</v>
      </c>
      <c r="M132" s="1" t="s">
        <v>21</v>
      </c>
      <c r="N132" s="1" t="s">
        <v>22</v>
      </c>
      <c r="O132" s="2">
        <v>46004</v>
      </c>
      <c r="P132" s="2">
        <v>46004</v>
      </c>
      <c r="Q132">
        <f>_xlfn.XLOOKUP(E132,CPT!$A$2:$A$13,CPT!$D$2:$D$13)</f>
        <v>1450</v>
      </c>
      <c r="R132" s="1">
        <f>_xlfn.XLOOKUP(C132,Contract!$A$2:$A$9,Contract!$B$2:$B$9)</f>
        <v>0.43</v>
      </c>
      <c r="S132" s="1">
        <f t="shared" si="8"/>
        <v>6235</v>
      </c>
      <c r="T132" s="1">
        <f t="shared" si="9"/>
        <v>812.92000000000007</v>
      </c>
      <c r="U132" s="1" t="str">
        <f t="shared" si="10"/>
        <v>Underpaid</v>
      </c>
      <c r="V132" s="1" t="str">
        <f>_xlfn.XLOOKUP(C132,Payers!$A$2:$A$9,Payers!$B$2:$B$9)</f>
        <v>Summit Health Commercial</v>
      </c>
      <c r="W132" s="1" t="str">
        <f t="shared" si="11"/>
        <v>2025-10</v>
      </c>
    </row>
    <row r="133" spans="1:23">
      <c r="A133" s="1" t="s">
        <v>311</v>
      </c>
      <c r="B133" s="1" t="s">
        <v>312</v>
      </c>
      <c r="C133" s="1" t="s">
        <v>18</v>
      </c>
      <c r="D133" s="1" t="s">
        <v>19</v>
      </c>
      <c r="E133" s="1" t="s">
        <v>57</v>
      </c>
      <c r="F133">
        <v>1</v>
      </c>
      <c r="G133" s="2">
        <v>46080</v>
      </c>
      <c r="H133" s="2">
        <v>46084</v>
      </c>
      <c r="I133">
        <v>209.11</v>
      </c>
      <c r="J133">
        <v>77.91</v>
      </c>
      <c r="K133">
        <v>77.91</v>
      </c>
      <c r="L133">
        <v>0</v>
      </c>
      <c r="M133" s="1" t="s">
        <v>21</v>
      </c>
      <c r="N133" s="1" t="s">
        <v>22</v>
      </c>
      <c r="O133" s="2">
        <v>46124</v>
      </c>
      <c r="P133" s="2">
        <v>46124</v>
      </c>
      <c r="Q133">
        <f>_xlfn.XLOOKUP(E133,CPT!$A$2:$A$13,CPT!$D$2:$D$13)</f>
        <v>210</v>
      </c>
      <c r="R133" s="1">
        <f>_xlfn.XLOOKUP(C133,Contract!$A$2:$A$9,Contract!$B$2:$B$9)</f>
        <v>0.38</v>
      </c>
      <c r="S133" s="1">
        <f t="shared" si="8"/>
        <v>79.8</v>
      </c>
      <c r="T133" s="1">
        <f t="shared" si="9"/>
        <v>1.8900000000000006</v>
      </c>
      <c r="U133" s="1" t="str">
        <f t="shared" si="10"/>
        <v>OK</v>
      </c>
      <c r="V133" s="1" t="str">
        <f>_xlfn.XLOOKUP(C133,Payers!$A$2:$A$9,Payers!$B$2:$B$9)</f>
        <v>Sunshine Medicare Advantage</v>
      </c>
      <c r="W133" s="1" t="str">
        <f t="shared" si="11"/>
        <v>2026-02</v>
      </c>
    </row>
    <row r="134" spans="1:23">
      <c r="A134" s="1" t="s">
        <v>313</v>
      </c>
      <c r="B134" s="1" t="s">
        <v>314</v>
      </c>
      <c r="C134" s="1" t="s">
        <v>79</v>
      </c>
      <c r="D134" s="1" t="s">
        <v>26</v>
      </c>
      <c r="E134" s="1" t="s">
        <v>113</v>
      </c>
      <c r="F134">
        <v>1</v>
      </c>
      <c r="G134" s="2">
        <v>46060</v>
      </c>
      <c r="H134" s="2">
        <v>46062</v>
      </c>
      <c r="I134">
        <v>1065.58</v>
      </c>
      <c r="M134" s="1" t="s">
        <v>32</v>
      </c>
      <c r="N134" s="1" t="s">
        <v>315</v>
      </c>
      <c r="O134" s="2">
        <v>46131</v>
      </c>
      <c r="P134" s="2"/>
      <c r="Q134">
        <f>_xlfn.XLOOKUP(E134,CPT!$A$2:$A$13,CPT!$D$2:$D$13)</f>
        <v>1050</v>
      </c>
      <c r="R134" s="1">
        <f>_xlfn.XLOOKUP(C134,Contract!$A$2:$A$9,Contract!$B$2:$B$9)</f>
        <v>1</v>
      </c>
      <c r="S134" s="1">
        <f t="shared" si="8"/>
        <v>1050</v>
      </c>
      <c r="T134" s="1" t="str">
        <f t="shared" si="9"/>
        <v/>
      </c>
      <c r="U134" s="1" t="str">
        <f t="shared" si="10"/>
        <v/>
      </c>
      <c r="V134" s="1" t="str">
        <f>_xlfn.XLOOKUP(C134,Payers!$A$2:$A$9,Payers!$B$2:$B$9)</f>
        <v>Self-Pay</v>
      </c>
      <c r="W134" s="1" t="str">
        <f t="shared" si="11"/>
        <v>2026-02</v>
      </c>
    </row>
    <row r="135" spans="1:23">
      <c r="A135" s="1" t="s">
        <v>316</v>
      </c>
      <c r="B135" s="1" t="s">
        <v>317</v>
      </c>
      <c r="C135" s="1" t="s">
        <v>76</v>
      </c>
      <c r="D135" s="1" t="s">
        <v>26</v>
      </c>
      <c r="E135" s="1" t="s">
        <v>88</v>
      </c>
      <c r="F135">
        <v>1</v>
      </c>
      <c r="G135" s="2">
        <v>46104</v>
      </c>
      <c r="H135" s="2">
        <v>46105</v>
      </c>
      <c r="I135">
        <v>264.89</v>
      </c>
      <c r="J135">
        <v>111.99</v>
      </c>
      <c r="K135">
        <v>89.59</v>
      </c>
      <c r="L135">
        <v>22.4</v>
      </c>
      <c r="M135" s="1" t="s">
        <v>21</v>
      </c>
      <c r="N135" s="1" t="s">
        <v>22</v>
      </c>
      <c r="O135" s="2">
        <v>46133</v>
      </c>
      <c r="P135" s="2">
        <v>46133</v>
      </c>
      <c r="Q135">
        <f>_xlfn.XLOOKUP(E135,CPT!$A$2:$A$13,CPT!$D$2:$D$13)</f>
        <v>260</v>
      </c>
      <c r="R135" s="1">
        <f>_xlfn.XLOOKUP(C135,Contract!$A$2:$A$9,Contract!$B$2:$B$9)</f>
        <v>0.43</v>
      </c>
      <c r="S135" s="1">
        <f t="shared" si="8"/>
        <v>111.8</v>
      </c>
      <c r="T135" s="1">
        <f t="shared" si="9"/>
        <v>-0.18999999999999773</v>
      </c>
      <c r="U135" s="1" t="str">
        <f t="shared" si="10"/>
        <v>OK</v>
      </c>
      <c r="V135" s="1" t="str">
        <f>_xlfn.XLOOKUP(C135,Payers!$A$2:$A$9,Payers!$B$2:$B$9)</f>
        <v>Summit Health Commercial</v>
      </c>
      <c r="W135" s="1" t="str">
        <f t="shared" si="11"/>
        <v>2026-03</v>
      </c>
    </row>
    <row r="136" spans="1:23">
      <c r="A136" s="1" t="s">
        <v>318</v>
      </c>
      <c r="B136" s="1" t="s">
        <v>319</v>
      </c>
      <c r="C136" s="1" t="s">
        <v>60</v>
      </c>
      <c r="D136" s="1" t="s">
        <v>26</v>
      </c>
      <c r="E136" s="1" t="s">
        <v>57</v>
      </c>
      <c r="F136">
        <v>1</v>
      </c>
      <c r="G136" s="2">
        <v>46165</v>
      </c>
      <c r="H136" s="2">
        <v>46166</v>
      </c>
      <c r="I136">
        <v>204.17</v>
      </c>
      <c r="J136">
        <v>102.9</v>
      </c>
      <c r="K136">
        <v>82.32</v>
      </c>
      <c r="L136">
        <v>20.58</v>
      </c>
      <c r="M136" s="1" t="s">
        <v>21</v>
      </c>
      <c r="N136" s="1" t="s">
        <v>22</v>
      </c>
      <c r="O136" s="2">
        <v>46191</v>
      </c>
      <c r="P136" s="2">
        <v>46191</v>
      </c>
      <c r="Q136">
        <f>_xlfn.XLOOKUP(E136,CPT!$A$2:$A$13,CPT!$D$2:$D$13)</f>
        <v>210</v>
      </c>
      <c r="R136" s="1">
        <f>_xlfn.XLOOKUP(C136,Contract!$A$2:$A$9,Contract!$B$2:$B$9)</f>
        <v>0.45</v>
      </c>
      <c r="S136" s="1">
        <f t="shared" si="8"/>
        <v>94.5</v>
      </c>
      <c r="T136" s="1">
        <f t="shared" si="9"/>
        <v>-8.4000000000000057</v>
      </c>
      <c r="U136" s="1" t="str">
        <f t="shared" si="10"/>
        <v>OK</v>
      </c>
      <c r="V136" s="1" t="str">
        <f>_xlfn.XLOOKUP(C136,Payers!$A$2:$A$9,Payers!$B$2:$B$9)</f>
        <v>Blue Horizon Commercial</v>
      </c>
      <c r="W136" s="1" t="str">
        <f t="shared" si="11"/>
        <v>2026-05</v>
      </c>
    </row>
    <row r="137" spans="1:23">
      <c r="A137" s="1" t="s">
        <v>320</v>
      </c>
      <c r="B137" s="1" t="s">
        <v>321</v>
      </c>
      <c r="C137" s="1" t="s">
        <v>60</v>
      </c>
      <c r="D137" s="1" t="s">
        <v>19</v>
      </c>
      <c r="E137" s="1" t="s">
        <v>88</v>
      </c>
      <c r="F137">
        <v>1</v>
      </c>
      <c r="G137" s="2">
        <v>46262</v>
      </c>
      <c r="H137" s="2">
        <v>46264</v>
      </c>
      <c r="I137">
        <v>255.18</v>
      </c>
      <c r="M137" s="1" t="s">
        <v>69</v>
      </c>
      <c r="N137" s="1" t="s">
        <v>22</v>
      </c>
      <c r="O137" s="2"/>
      <c r="P137" s="2"/>
      <c r="Q137">
        <f>_xlfn.XLOOKUP(E137,CPT!$A$2:$A$13,CPT!$D$2:$D$13)</f>
        <v>260</v>
      </c>
      <c r="R137" s="1">
        <f>_xlfn.XLOOKUP(C137,Contract!$A$2:$A$9,Contract!$B$2:$B$9)</f>
        <v>0.45</v>
      </c>
      <c r="S137" s="1">
        <f t="shared" si="8"/>
        <v>117</v>
      </c>
      <c r="T137" s="1" t="str">
        <f t="shared" si="9"/>
        <v/>
      </c>
      <c r="U137" s="1" t="str">
        <f t="shared" si="10"/>
        <v/>
      </c>
      <c r="V137" s="1" t="str">
        <f>_xlfn.XLOOKUP(C137,Payers!$A$2:$A$9,Payers!$B$2:$B$9)</f>
        <v>Blue Horizon Commercial</v>
      </c>
      <c r="W137" s="1" t="str">
        <f t="shared" si="11"/>
        <v>2026-08</v>
      </c>
    </row>
    <row r="138" spans="1:23">
      <c r="A138" s="1" t="s">
        <v>322</v>
      </c>
      <c r="B138" s="1" t="s">
        <v>323</v>
      </c>
      <c r="C138" s="1" t="s">
        <v>76</v>
      </c>
      <c r="D138" s="1" t="s">
        <v>26</v>
      </c>
      <c r="E138" s="1" t="s">
        <v>44</v>
      </c>
      <c r="F138">
        <v>1</v>
      </c>
      <c r="G138" s="2">
        <v>46135</v>
      </c>
      <c r="H138" s="2">
        <v>46145</v>
      </c>
      <c r="I138">
        <v>4870.07</v>
      </c>
      <c r="J138">
        <v>2388.79</v>
      </c>
      <c r="K138">
        <v>2149.91</v>
      </c>
      <c r="L138">
        <v>238.88</v>
      </c>
      <c r="M138" s="1" t="s">
        <v>21</v>
      </c>
      <c r="N138" s="1" t="s">
        <v>22</v>
      </c>
      <c r="O138" s="2">
        <v>46165</v>
      </c>
      <c r="P138" s="2">
        <v>46165</v>
      </c>
      <c r="Q138">
        <f>_xlfn.XLOOKUP(E138,CPT!$A$2:$A$13,CPT!$D$2:$D$13)</f>
        <v>4800</v>
      </c>
      <c r="R138" s="1">
        <f>_xlfn.XLOOKUP(C138,Contract!$A$2:$A$9,Contract!$B$2:$B$9)</f>
        <v>0.43</v>
      </c>
      <c r="S138" s="1">
        <f t="shared" si="8"/>
        <v>2064</v>
      </c>
      <c r="T138" s="1">
        <f t="shared" si="9"/>
        <v>-324.78999999999996</v>
      </c>
      <c r="U138" s="1" t="str">
        <f t="shared" si="10"/>
        <v>OK</v>
      </c>
      <c r="V138" s="1" t="str">
        <f>_xlfn.XLOOKUP(C138,Payers!$A$2:$A$9,Payers!$B$2:$B$9)</f>
        <v>Summit Health Commercial</v>
      </c>
      <c r="W138" s="1" t="str">
        <f t="shared" si="11"/>
        <v>2026-04</v>
      </c>
    </row>
    <row r="139" spans="1:23">
      <c r="A139" s="1" t="s">
        <v>324</v>
      </c>
      <c r="B139" s="1" t="s">
        <v>325</v>
      </c>
      <c r="C139" s="1" t="s">
        <v>60</v>
      </c>
      <c r="D139" s="1" t="s">
        <v>26</v>
      </c>
      <c r="E139" s="1" t="s">
        <v>113</v>
      </c>
      <c r="F139">
        <v>1</v>
      </c>
      <c r="G139" s="2">
        <v>46239</v>
      </c>
      <c r="H139" s="2">
        <v>46240</v>
      </c>
      <c r="I139">
        <v>1081.19</v>
      </c>
      <c r="J139">
        <v>426.38</v>
      </c>
      <c r="K139">
        <v>383.74</v>
      </c>
      <c r="L139">
        <v>42.64</v>
      </c>
      <c r="M139" s="1" t="s">
        <v>21</v>
      </c>
      <c r="N139" s="1" t="s">
        <v>22</v>
      </c>
      <c r="O139" s="2">
        <v>46268</v>
      </c>
      <c r="P139" s="2">
        <v>46268</v>
      </c>
      <c r="Q139">
        <f>_xlfn.XLOOKUP(E139,CPT!$A$2:$A$13,CPT!$D$2:$D$13)</f>
        <v>1050</v>
      </c>
      <c r="R139" s="1">
        <f>_xlfn.XLOOKUP(C139,Contract!$A$2:$A$9,Contract!$B$2:$B$9)</f>
        <v>0.45</v>
      </c>
      <c r="S139" s="1">
        <f t="shared" si="8"/>
        <v>472.5</v>
      </c>
      <c r="T139" s="1">
        <f t="shared" si="9"/>
        <v>46.120000000000005</v>
      </c>
      <c r="U139" s="1" t="str">
        <f t="shared" si="10"/>
        <v>Underpaid</v>
      </c>
      <c r="V139" s="1" t="str">
        <f>_xlfn.XLOOKUP(C139,Payers!$A$2:$A$9,Payers!$B$2:$B$9)</f>
        <v>Blue Horizon Commercial</v>
      </c>
      <c r="W139" s="1" t="str">
        <f t="shared" si="11"/>
        <v>2026-08</v>
      </c>
    </row>
    <row r="140" spans="1:23">
      <c r="A140" s="1" t="s">
        <v>326</v>
      </c>
      <c r="B140" s="1" t="s">
        <v>327</v>
      </c>
      <c r="C140" s="1" t="s">
        <v>25</v>
      </c>
      <c r="D140" s="1" t="s">
        <v>26</v>
      </c>
      <c r="E140" s="1" t="s">
        <v>113</v>
      </c>
      <c r="F140">
        <v>1</v>
      </c>
      <c r="G140" s="2">
        <v>46149</v>
      </c>
      <c r="H140" s="2">
        <v>46152</v>
      </c>
      <c r="I140">
        <v>1029</v>
      </c>
      <c r="J140">
        <v>396.58</v>
      </c>
      <c r="K140">
        <v>317.26</v>
      </c>
      <c r="L140">
        <v>79.319999999999993</v>
      </c>
      <c r="M140" s="1" t="s">
        <v>21</v>
      </c>
      <c r="N140" s="1" t="s">
        <v>22</v>
      </c>
      <c r="O140" s="2">
        <v>46176</v>
      </c>
      <c r="P140" s="2">
        <v>46176</v>
      </c>
      <c r="Q140">
        <f>_xlfn.XLOOKUP(E140,CPT!$A$2:$A$13,CPT!$D$2:$D$13)</f>
        <v>1050</v>
      </c>
      <c r="R140" s="1">
        <f>_xlfn.XLOOKUP(C140,Contract!$A$2:$A$9,Contract!$B$2:$B$9)</f>
        <v>0.36</v>
      </c>
      <c r="S140" s="1">
        <f t="shared" si="8"/>
        <v>378</v>
      </c>
      <c r="T140" s="1">
        <f t="shared" si="9"/>
        <v>-18.579999999999984</v>
      </c>
      <c r="U140" s="1" t="str">
        <f t="shared" si="10"/>
        <v>OK</v>
      </c>
      <c r="V140" s="1" t="str">
        <f>_xlfn.XLOOKUP(C140,Payers!$A$2:$A$9,Payers!$B$2:$B$9)</f>
        <v>Medicare Part B</v>
      </c>
      <c r="W140" s="1" t="str">
        <f t="shared" si="11"/>
        <v>2026-05</v>
      </c>
    </row>
    <row r="141" spans="1:23">
      <c r="A141" s="1" t="s">
        <v>328</v>
      </c>
      <c r="B141" s="1" t="s">
        <v>329</v>
      </c>
      <c r="C141" s="1" t="s">
        <v>60</v>
      </c>
      <c r="D141" s="1" t="s">
        <v>19</v>
      </c>
      <c r="E141" s="1" t="s">
        <v>20</v>
      </c>
      <c r="F141">
        <v>1</v>
      </c>
      <c r="G141" s="2">
        <v>46257</v>
      </c>
      <c r="H141" s="2">
        <v>46260</v>
      </c>
      <c r="I141">
        <v>144.18</v>
      </c>
      <c r="J141">
        <v>58.02</v>
      </c>
      <c r="K141">
        <v>58.02</v>
      </c>
      <c r="L141">
        <v>0</v>
      </c>
      <c r="M141" s="1" t="s">
        <v>21</v>
      </c>
      <c r="N141" s="1" t="s">
        <v>22</v>
      </c>
      <c r="O141" s="2">
        <v>46281</v>
      </c>
      <c r="P141" s="2">
        <v>46281</v>
      </c>
      <c r="Q141">
        <f>_xlfn.XLOOKUP(E141,CPT!$A$2:$A$13,CPT!$D$2:$D$13)</f>
        <v>145</v>
      </c>
      <c r="R141" s="1">
        <f>_xlfn.XLOOKUP(C141,Contract!$A$2:$A$9,Contract!$B$2:$B$9)</f>
        <v>0.45</v>
      </c>
      <c r="S141" s="1">
        <f t="shared" si="8"/>
        <v>65.25</v>
      </c>
      <c r="T141" s="1">
        <f t="shared" si="9"/>
        <v>7.2299999999999969</v>
      </c>
      <c r="U141" s="1" t="str">
        <f t="shared" si="10"/>
        <v>Underpaid</v>
      </c>
      <c r="V141" s="1" t="str">
        <f>_xlfn.XLOOKUP(C141,Payers!$A$2:$A$9,Payers!$B$2:$B$9)</f>
        <v>Blue Horizon Commercial</v>
      </c>
      <c r="W141" s="1" t="str">
        <f t="shared" si="11"/>
        <v>2026-08</v>
      </c>
    </row>
    <row r="142" spans="1:23">
      <c r="A142" s="1" t="s">
        <v>330</v>
      </c>
      <c r="B142" s="1" t="s">
        <v>331</v>
      </c>
      <c r="C142" s="1" t="s">
        <v>36</v>
      </c>
      <c r="D142" s="1" t="s">
        <v>30</v>
      </c>
      <c r="E142" s="1" t="s">
        <v>20</v>
      </c>
      <c r="F142">
        <v>1</v>
      </c>
      <c r="G142" s="2">
        <v>45948</v>
      </c>
      <c r="H142" s="2">
        <v>45950</v>
      </c>
      <c r="I142">
        <v>141.75</v>
      </c>
      <c r="J142">
        <v>43.62</v>
      </c>
      <c r="K142">
        <v>34.9</v>
      </c>
      <c r="L142">
        <v>8.7200000000000006</v>
      </c>
      <c r="M142" s="1" t="s">
        <v>21</v>
      </c>
      <c r="N142" s="1" t="s">
        <v>22</v>
      </c>
      <c r="O142" s="2">
        <v>45996</v>
      </c>
      <c r="P142" s="2">
        <v>45996</v>
      </c>
      <c r="Q142">
        <f>_xlfn.XLOOKUP(E142,CPT!$A$2:$A$13,CPT!$D$2:$D$13)</f>
        <v>145</v>
      </c>
      <c r="R142" s="1">
        <f>_xlfn.XLOOKUP(C142,Contract!$A$2:$A$9,Contract!$B$2:$B$9)</f>
        <v>0.27</v>
      </c>
      <c r="S142" s="1">
        <f t="shared" si="8"/>
        <v>39.15</v>
      </c>
      <c r="T142" s="1">
        <f t="shared" si="9"/>
        <v>-4.4699999999999989</v>
      </c>
      <c r="U142" s="1" t="str">
        <f t="shared" si="10"/>
        <v>OK</v>
      </c>
      <c r="V142" s="1" t="str">
        <f>_xlfn.XLOOKUP(C142,Payers!$A$2:$A$9,Payers!$B$2:$B$9)</f>
        <v>Florida Medicaid</v>
      </c>
      <c r="W142" s="1" t="str">
        <f t="shared" si="11"/>
        <v>2025-10</v>
      </c>
    </row>
    <row r="143" spans="1:23">
      <c r="A143" s="1" t="s">
        <v>332</v>
      </c>
      <c r="B143" s="1" t="s">
        <v>333</v>
      </c>
      <c r="C143" s="1" t="s">
        <v>25</v>
      </c>
      <c r="D143" s="1" t="s">
        <v>19</v>
      </c>
      <c r="E143" s="1" t="s">
        <v>20</v>
      </c>
      <c r="F143">
        <v>1</v>
      </c>
      <c r="G143" s="2">
        <v>46202</v>
      </c>
      <c r="H143" s="2">
        <v>46204</v>
      </c>
      <c r="I143">
        <v>143.84</v>
      </c>
      <c r="J143">
        <v>59.2</v>
      </c>
      <c r="K143">
        <v>59.2</v>
      </c>
      <c r="L143">
        <v>0</v>
      </c>
      <c r="M143" s="1" t="s">
        <v>21</v>
      </c>
      <c r="N143" s="1" t="s">
        <v>22</v>
      </c>
      <c r="O143" s="2">
        <v>46222</v>
      </c>
      <c r="P143" s="2">
        <v>46222</v>
      </c>
      <c r="Q143">
        <f>_xlfn.XLOOKUP(E143,CPT!$A$2:$A$13,CPT!$D$2:$D$13)</f>
        <v>145</v>
      </c>
      <c r="R143" s="1">
        <f>_xlfn.XLOOKUP(C143,Contract!$A$2:$A$9,Contract!$B$2:$B$9)</f>
        <v>0.36</v>
      </c>
      <c r="S143" s="1">
        <f t="shared" si="8"/>
        <v>52.2</v>
      </c>
      <c r="T143" s="1">
        <f t="shared" si="9"/>
        <v>-7</v>
      </c>
      <c r="U143" s="1" t="str">
        <f t="shared" si="10"/>
        <v>OK</v>
      </c>
      <c r="V143" s="1" t="str">
        <f>_xlfn.XLOOKUP(C143,Payers!$A$2:$A$9,Payers!$B$2:$B$9)</f>
        <v>Medicare Part B</v>
      </c>
      <c r="W143" s="1" t="str">
        <f t="shared" si="11"/>
        <v>2026-06</v>
      </c>
    </row>
    <row r="144" spans="1:23">
      <c r="A144" s="1" t="s">
        <v>334</v>
      </c>
      <c r="B144" s="1" t="s">
        <v>335</v>
      </c>
      <c r="C144" s="1" t="s">
        <v>76</v>
      </c>
      <c r="D144" s="1" t="s">
        <v>26</v>
      </c>
      <c r="E144" s="1" t="s">
        <v>27</v>
      </c>
      <c r="F144">
        <v>1</v>
      </c>
      <c r="G144" s="2">
        <v>46218</v>
      </c>
      <c r="H144" s="2">
        <v>46224</v>
      </c>
      <c r="I144">
        <v>234.5</v>
      </c>
      <c r="J144">
        <v>91.35</v>
      </c>
      <c r="K144">
        <v>73.08</v>
      </c>
      <c r="L144">
        <v>18.27</v>
      </c>
      <c r="M144" s="1" t="s">
        <v>21</v>
      </c>
      <c r="N144" s="1" t="s">
        <v>22</v>
      </c>
      <c r="O144" s="2">
        <v>46244</v>
      </c>
      <c r="P144" s="2">
        <v>46244</v>
      </c>
      <c r="Q144">
        <f>_xlfn.XLOOKUP(E144,CPT!$A$2:$A$13,CPT!$D$2:$D$13)</f>
        <v>240</v>
      </c>
      <c r="R144" s="1">
        <f>_xlfn.XLOOKUP(C144,Contract!$A$2:$A$9,Contract!$B$2:$B$9)</f>
        <v>0.43</v>
      </c>
      <c r="S144" s="1">
        <f t="shared" si="8"/>
        <v>103.2</v>
      </c>
      <c r="T144" s="1">
        <f t="shared" si="9"/>
        <v>11.850000000000009</v>
      </c>
      <c r="U144" s="1" t="str">
        <f t="shared" si="10"/>
        <v>Underpaid</v>
      </c>
      <c r="V144" s="1" t="str">
        <f>_xlfn.XLOOKUP(C144,Payers!$A$2:$A$9,Payers!$B$2:$B$9)</f>
        <v>Summit Health Commercial</v>
      </c>
      <c r="W144" s="1" t="str">
        <f t="shared" si="11"/>
        <v>2026-07</v>
      </c>
    </row>
    <row r="145" spans="1:23">
      <c r="A145" s="1" t="s">
        <v>336</v>
      </c>
      <c r="B145" s="1" t="s">
        <v>337</v>
      </c>
      <c r="C145" s="1" t="s">
        <v>60</v>
      </c>
      <c r="D145" s="1" t="s">
        <v>26</v>
      </c>
      <c r="E145" s="1" t="s">
        <v>44</v>
      </c>
      <c r="F145">
        <v>1</v>
      </c>
      <c r="G145" s="2">
        <v>46019</v>
      </c>
      <c r="H145" s="2">
        <v>46022</v>
      </c>
      <c r="I145">
        <v>4914.82</v>
      </c>
      <c r="M145" s="1" t="s">
        <v>32</v>
      </c>
      <c r="N145" s="1" t="s">
        <v>33</v>
      </c>
      <c r="O145" s="2">
        <v>46041</v>
      </c>
      <c r="P145" s="2"/>
      <c r="Q145">
        <f>_xlfn.XLOOKUP(E145,CPT!$A$2:$A$13,CPT!$D$2:$D$13)</f>
        <v>4800</v>
      </c>
      <c r="R145" s="1">
        <f>_xlfn.XLOOKUP(C145,Contract!$A$2:$A$9,Contract!$B$2:$B$9)</f>
        <v>0.45</v>
      </c>
      <c r="S145" s="1">
        <f t="shared" si="8"/>
        <v>2160</v>
      </c>
      <c r="T145" s="1" t="str">
        <f t="shared" si="9"/>
        <v/>
      </c>
      <c r="U145" s="1" t="str">
        <f t="shared" si="10"/>
        <v/>
      </c>
      <c r="V145" s="1" t="str">
        <f>_xlfn.XLOOKUP(C145,Payers!$A$2:$A$9,Payers!$B$2:$B$9)</f>
        <v>Blue Horizon Commercial</v>
      </c>
      <c r="W145" s="1" t="str">
        <f t="shared" si="11"/>
        <v>2025-12</v>
      </c>
    </row>
    <row r="146" spans="1:23">
      <c r="A146" s="1" t="s">
        <v>338</v>
      </c>
      <c r="B146" s="1" t="s">
        <v>339</v>
      </c>
      <c r="C146" s="1" t="s">
        <v>25</v>
      </c>
      <c r="D146" s="1" t="s">
        <v>37</v>
      </c>
      <c r="E146" s="1" t="s">
        <v>57</v>
      </c>
      <c r="F146">
        <v>1</v>
      </c>
      <c r="G146" s="2">
        <v>46084</v>
      </c>
      <c r="H146" s="2">
        <v>46089</v>
      </c>
      <c r="I146">
        <v>214.43</v>
      </c>
      <c r="J146">
        <v>80.5</v>
      </c>
      <c r="K146">
        <v>80.5</v>
      </c>
      <c r="L146">
        <v>0</v>
      </c>
      <c r="M146" s="1" t="s">
        <v>21</v>
      </c>
      <c r="N146" s="1" t="s">
        <v>22</v>
      </c>
      <c r="O146" s="2">
        <v>46108</v>
      </c>
      <c r="P146" s="2">
        <v>46108</v>
      </c>
      <c r="Q146">
        <f>_xlfn.XLOOKUP(E146,CPT!$A$2:$A$13,CPT!$D$2:$D$13)</f>
        <v>210</v>
      </c>
      <c r="R146" s="1">
        <f>_xlfn.XLOOKUP(C146,Contract!$A$2:$A$9,Contract!$B$2:$B$9)</f>
        <v>0.36</v>
      </c>
      <c r="S146" s="1">
        <f t="shared" si="8"/>
        <v>75.599999999999994</v>
      </c>
      <c r="T146" s="1">
        <f t="shared" si="9"/>
        <v>-4.9000000000000057</v>
      </c>
      <c r="U146" s="1" t="str">
        <f t="shared" si="10"/>
        <v>OK</v>
      </c>
      <c r="V146" s="1" t="str">
        <f>_xlfn.XLOOKUP(C146,Payers!$A$2:$A$9,Payers!$B$2:$B$9)</f>
        <v>Medicare Part B</v>
      </c>
      <c r="W146" s="1" t="str">
        <f t="shared" si="11"/>
        <v>2026-03</v>
      </c>
    </row>
    <row r="147" spans="1:23">
      <c r="A147" s="1" t="s">
        <v>340</v>
      </c>
      <c r="B147" s="1" t="s">
        <v>341</v>
      </c>
      <c r="C147" s="1" t="s">
        <v>36</v>
      </c>
      <c r="D147" s="1" t="s">
        <v>37</v>
      </c>
      <c r="E147" s="1" t="s">
        <v>38</v>
      </c>
      <c r="F147">
        <v>20</v>
      </c>
      <c r="G147" s="2">
        <v>45944</v>
      </c>
      <c r="H147" s="2">
        <v>45946</v>
      </c>
      <c r="I147">
        <v>29094</v>
      </c>
      <c r="J147">
        <v>7981.6</v>
      </c>
      <c r="K147">
        <v>7981.6</v>
      </c>
      <c r="L147">
        <v>0</v>
      </c>
      <c r="M147" s="1" t="s">
        <v>21</v>
      </c>
      <c r="N147" s="1" t="s">
        <v>22</v>
      </c>
      <c r="O147" s="2">
        <v>45972</v>
      </c>
      <c r="P147" s="2">
        <v>45972</v>
      </c>
      <c r="Q147">
        <f>_xlfn.XLOOKUP(E147,CPT!$A$2:$A$13,CPT!$D$2:$D$13)</f>
        <v>1450</v>
      </c>
      <c r="R147" s="1">
        <f>_xlfn.XLOOKUP(C147,Contract!$A$2:$A$9,Contract!$B$2:$B$9)</f>
        <v>0.27</v>
      </c>
      <c r="S147" s="1">
        <f t="shared" si="8"/>
        <v>7830</v>
      </c>
      <c r="T147" s="1">
        <f t="shared" si="9"/>
        <v>-151.60000000000036</v>
      </c>
      <c r="U147" s="1" t="str">
        <f t="shared" si="10"/>
        <v>OK</v>
      </c>
      <c r="V147" s="1" t="str">
        <f>_xlfn.XLOOKUP(C147,Payers!$A$2:$A$9,Payers!$B$2:$B$9)</f>
        <v>Florida Medicaid</v>
      </c>
      <c r="W147" s="1" t="str">
        <f t="shared" si="11"/>
        <v>2025-10</v>
      </c>
    </row>
    <row r="148" spans="1:23">
      <c r="A148" s="1" t="s">
        <v>342</v>
      </c>
      <c r="B148" s="1" t="s">
        <v>343</v>
      </c>
      <c r="C148" s="1" t="s">
        <v>18</v>
      </c>
      <c r="D148" s="1" t="s">
        <v>26</v>
      </c>
      <c r="E148" s="1" t="s">
        <v>41</v>
      </c>
      <c r="F148">
        <v>1</v>
      </c>
      <c r="G148" s="2">
        <v>46200</v>
      </c>
      <c r="H148" s="2">
        <v>46203</v>
      </c>
      <c r="I148">
        <v>37.799999999999997</v>
      </c>
      <c r="J148">
        <v>12.77</v>
      </c>
      <c r="K148">
        <v>10.220000000000001</v>
      </c>
      <c r="L148">
        <v>2.5499999999999998</v>
      </c>
      <c r="M148" s="1" t="s">
        <v>21</v>
      </c>
      <c r="N148" s="1" t="s">
        <v>22</v>
      </c>
      <c r="O148" s="2">
        <v>46252</v>
      </c>
      <c r="P148" s="2">
        <v>46252</v>
      </c>
      <c r="Q148">
        <f>_xlfn.XLOOKUP(E148,CPT!$A$2:$A$13,CPT!$D$2:$D$13)</f>
        <v>38</v>
      </c>
      <c r="R148" s="1">
        <f>_xlfn.XLOOKUP(C148,Contract!$A$2:$A$9,Contract!$B$2:$B$9)</f>
        <v>0.38</v>
      </c>
      <c r="S148" s="1">
        <f t="shared" si="8"/>
        <v>14.44</v>
      </c>
      <c r="T148" s="1">
        <f t="shared" si="9"/>
        <v>1.67</v>
      </c>
      <c r="U148" s="1" t="str">
        <f t="shared" si="10"/>
        <v>Underpaid</v>
      </c>
      <c r="V148" s="1" t="str">
        <f>_xlfn.XLOOKUP(C148,Payers!$A$2:$A$9,Payers!$B$2:$B$9)</f>
        <v>Sunshine Medicare Advantage</v>
      </c>
      <c r="W148" s="1" t="str">
        <f t="shared" si="11"/>
        <v>2026-06</v>
      </c>
    </row>
    <row r="149" spans="1:23">
      <c r="A149" s="1" t="s">
        <v>344</v>
      </c>
      <c r="B149" s="1" t="s">
        <v>345</v>
      </c>
      <c r="C149" s="1" t="s">
        <v>47</v>
      </c>
      <c r="D149" s="1" t="s">
        <v>19</v>
      </c>
      <c r="E149" s="1" t="s">
        <v>57</v>
      </c>
      <c r="F149">
        <v>1</v>
      </c>
      <c r="G149" s="2">
        <v>46213</v>
      </c>
      <c r="H149" s="2">
        <v>46214</v>
      </c>
      <c r="I149">
        <v>211.76</v>
      </c>
      <c r="J149">
        <v>57.84</v>
      </c>
      <c r="K149">
        <v>57.84</v>
      </c>
      <c r="L149">
        <v>0</v>
      </c>
      <c r="M149" s="1" t="s">
        <v>21</v>
      </c>
      <c r="N149" s="1" t="s">
        <v>22</v>
      </c>
      <c r="O149" s="2">
        <v>46281</v>
      </c>
      <c r="P149" s="2">
        <v>46281</v>
      </c>
      <c r="Q149">
        <f>_xlfn.XLOOKUP(E149,CPT!$A$2:$A$13,CPT!$D$2:$D$13)</f>
        <v>210</v>
      </c>
      <c r="R149" s="1">
        <f>_xlfn.XLOOKUP(C149,Contract!$A$2:$A$9,Contract!$B$2:$B$9)</f>
        <v>0.28000000000000003</v>
      </c>
      <c r="S149" s="1">
        <f t="shared" si="8"/>
        <v>58.8</v>
      </c>
      <c r="T149" s="1">
        <f t="shared" si="9"/>
        <v>0.95999999999999375</v>
      </c>
      <c r="U149" s="1" t="str">
        <f t="shared" si="10"/>
        <v>OK</v>
      </c>
      <c r="V149" s="1" t="str">
        <f>_xlfn.XLOOKUP(C149,Payers!$A$2:$A$9,Payers!$B$2:$B$9)</f>
        <v>Coastal Medicaid MCO</v>
      </c>
      <c r="W149" s="1" t="str">
        <f t="shared" si="11"/>
        <v>2026-07</v>
      </c>
    </row>
    <row r="150" spans="1:23">
      <c r="A150" s="1" t="s">
        <v>346</v>
      </c>
      <c r="B150" s="1" t="s">
        <v>347</v>
      </c>
      <c r="C150" s="1" t="s">
        <v>76</v>
      </c>
      <c r="D150" s="1" t="s">
        <v>26</v>
      </c>
      <c r="E150" s="1" t="s">
        <v>57</v>
      </c>
      <c r="F150">
        <v>1</v>
      </c>
      <c r="G150" s="2">
        <v>46013</v>
      </c>
      <c r="H150" s="2">
        <v>46018</v>
      </c>
      <c r="I150">
        <v>207.77</v>
      </c>
      <c r="J150">
        <v>101.01</v>
      </c>
      <c r="K150">
        <v>90.91</v>
      </c>
      <c r="L150">
        <v>10.1</v>
      </c>
      <c r="M150" s="1" t="s">
        <v>21</v>
      </c>
      <c r="N150" s="1" t="s">
        <v>22</v>
      </c>
      <c r="O150" s="2">
        <v>46064</v>
      </c>
      <c r="P150" s="2">
        <v>46064</v>
      </c>
      <c r="Q150">
        <f>_xlfn.XLOOKUP(E150,CPT!$A$2:$A$13,CPT!$D$2:$D$13)</f>
        <v>210</v>
      </c>
      <c r="R150" s="1">
        <f>_xlfn.XLOOKUP(C150,Contract!$A$2:$A$9,Contract!$B$2:$B$9)</f>
        <v>0.43</v>
      </c>
      <c r="S150" s="1">
        <f t="shared" si="8"/>
        <v>90.3</v>
      </c>
      <c r="T150" s="1">
        <f t="shared" si="9"/>
        <v>-10.710000000000008</v>
      </c>
      <c r="U150" s="1" t="str">
        <f t="shared" si="10"/>
        <v>OK</v>
      </c>
      <c r="V150" s="1" t="str">
        <f>_xlfn.XLOOKUP(C150,Payers!$A$2:$A$9,Payers!$B$2:$B$9)</f>
        <v>Summit Health Commercial</v>
      </c>
      <c r="W150" s="1" t="str">
        <f t="shared" si="11"/>
        <v>2025-12</v>
      </c>
    </row>
    <row r="151" spans="1:23">
      <c r="A151" s="1" t="s">
        <v>348</v>
      </c>
      <c r="B151" s="1" t="s">
        <v>349</v>
      </c>
      <c r="C151" s="1" t="s">
        <v>60</v>
      </c>
      <c r="D151" s="1" t="s">
        <v>19</v>
      </c>
      <c r="E151" s="1" t="s">
        <v>88</v>
      </c>
      <c r="F151">
        <v>1</v>
      </c>
      <c r="G151" s="2">
        <v>46086</v>
      </c>
      <c r="H151" s="2">
        <v>46087</v>
      </c>
      <c r="I151">
        <v>261.79000000000002</v>
      </c>
      <c r="J151">
        <v>121.17</v>
      </c>
      <c r="K151">
        <v>121.17</v>
      </c>
      <c r="L151">
        <v>0</v>
      </c>
      <c r="M151" s="1" t="s">
        <v>21</v>
      </c>
      <c r="N151" s="1" t="s">
        <v>22</v>
      </c>
      <c r="O151" s="2">
        <v>46105</v>
      </c>
      <c r="P151" s="2">
        <v>46105</v>
      </c>
      <c r="Q151">
        <f>_xlfn.XLOOKUP(E151,CPT!$A$2:$A$13,CPT!$D$2:$D$13)</f>
        <v>260</v>
      </c>
      <c r="R151" s="1">
        <f>_xlfn.XLOOKUP(C151,Contract!$A$2:$A$9,Contract!$B$2:$B$9)</f>
        <v>0.45</v>
      </c>
      <c r="S151" s="1">
        <f t="shared" si="8"/>
        <v>117</v>
      </c>
      <c r="T151" s="1">
        <f t="shared" si="9"/>
        <v>-4.1700000000000017</v>
      </c>
      <c r="U151" s="1" t="str">
        <f t="shared" si="10"/>
        <v>OK</v>
      </c>
      <c r="V151" s="1" t="str">
        <f>_xlfn.XLOOKUP(C151,Payers!$A$2:$A$9,Payers!$B$2:$B$9)</f>
        <v>Blue Horizon Commercial</v>
      </c>
      <c r="W151" s="1" t="str">
        <f t="shared" si="11"/>
        <v>2026-03</v>
      </c>
    </row>
    <row r="152" spans="1:23">
      <c r="A152" s="1" t="s">
        <v>350</v>
      </c>
      <c r="B152" s="1" t="s">
        <v>351</v>
      </c>
      <c r="C152" s="1" t="s">
        <v>47</v>
      </c>
      <c r="D152" s="1" t="s">
        <v>37</v>
      </c>
      <c r="E152" s="1" t="s">
        <v>57</v>
      </c>
      <c r="F152">
        <v>1</v>
      </c>
      <c r="G152" s="2">
        <v>46103</v>
      </c>
      <c r="H152" s="2">
        <v>46107</v>
      </c>
      <c r="I152">
        <v>214.32</v>
      </c>
      <c r="J152">
        <v>51.02</v>
      </c>
      <c r="K152">
        <v>45.92</v>
      </c>
      <c r="L152">
        <v>5.0999999999999996</v>
      </c>
      <c r="M152" s="1" t="s">
        <v>21</v>
      </c>
      <c r="N152" s="1" t="s">
        <v>22</v>
      </c>
      <c r="O152" s="2">
        <v>46193</v>
      </c>
      <c r="P152" s="2">
        <v>46193</v>
      </c>
      <c r="Q152">
        <f>_xlfn.XLOOKUP(E152,CPT!$A$2:$A$13,CPT!$D$2:$D$13)</f>
        <v>210</v>
      </c>
      <c r="R152" s="1">
        <f>_xlfn.XLOOKUP(C152,Contract!$A$2:$A$9,Contract!$B$2:$B$9)</f>
        <v>0.28000000000000003</v>
      </c>
      <c r="S152" s="1">
        <f t="shared" si="8"/>
        <v>58.8</v>
      </c>
      <c r="T152" s="1">
        <f t="shared" si="9"/>
        <v>7.779999999999994</v>
      </c>
      <c r="U152" s="1" t="str">
        <f t="shared" si="10"/>
        <v>Underpaid</v>
      </c>
      <c r="V152" s="1" t="str">
        <f>_xlfn.XLOOKUP(C152,Payers!$A$2:$A$9,Payers!$B$2:$B$9)</f>
        <v>Coastal Medicaid MCO</v>
      </c>
      <c r="W152" s="1" t="str">
        <f t="shared" si="11"/>
        <v>2026-03</v>
      </c>
    </row>
    <row r="153" spans="1:23">
      <c r="A153" s="1" t="s">
        <v>352</v>
      </c>
      <c r="B153" s="1" t="s">
        <v>353</v>
      </c>
      <c r="C153" s="1" t="s">
        <v>52</v>
      </c>
      <c r="D153" s="1" t="s">
        <v>26</v>
      </c>
      <c r="E153" s="1" t="s">
        <v>27</v>
      </c>
      <c r="F153">
        <v>1</v>
      </c>
      <c r="G153" s="2">
        <v>46258</v>
      </c>
      <c r="H153" s="2">
        <v>46267</v>
      </c>
      <c r="I153">
        <v>233.24</v>
      </c>
      <c r="M153" s="1" t="s">
        <v>69</v>
      </c>
      <c r="N153" s="1" t="s">
        <v>22</v>
      </c>
      <c r="O153" s="2"/>
      <c r="P153" s="2"/>
      <c r="Q153">
        <f>_xlfn.XLOOKUP(E153,CPT!$A$2:$A$13,CPT!$D$2:$D$13)</f>
        <v>240</v>
      </c>
      <c r="R153" s="1">
        <f>_xlfn.XLOOKUP(C153,Contract!$A$2:$A$9,Contract!$B$2:$B$9)</f>
        <v>0.47</v>
      </c>
      <c r="S153" s="1">
        <f t="shared" si="8"/>
        <v>112.8</v>
      </c>
      <c r="T153" s="1" t="str">
        <f t="shared" si="9"/>
        <v/>
      </c>
      <c r="U153" s="1" t="str">
        <f t="shared" si="10"/>
        <v/>
      </c>
      <c r="V153" s="1" t="str">
        <f>_xlfn.XLOOKUP(C153,Payers!$A$2:$A$9,Payers!$B$2:$B$9)</f>
        <v>Keystone Commercial PPO</v>
      </c>
      <c r="W153" s="1" t="str">
        <f t="shared" si="11"/>
        <v>2026-08</v>
      </c>
    </row>
    <row r="154" spans="1:23">
      <c r="A154" s="1" t="s">
        <v>354</v>
      </c>
      <c r="B154" s="1" t="s">
        <v>355</v>
      </c>
      <c r="C154" s="1" t="s">
        <v>76</v>
      </c>
      <c r="D154" s="1" t="s">
        <v>19</v>
      </c>
      <c r="E154" s="1" t="s">
        <v>41</v>
      </c>
      <c r="F154">
        <v>1</v>
      </c>
      <c r="G154" s="2">
        <v>45968</v>
      </c>
      <c r="H154" s="2">
        <v>45969</v>
      </c>
      <c r="I154">
        <v>38.43</v>
      </c>
      <c r="J154">
        <v>16.25</v>
      </c>
      <c r="K154">
        <v>14.63</v>
      </c>
      <c r="L154">
        <v>1.62</v>
      </c>
      <c r="M154" s="1" t="s">
        <v>21</v>
      </c>
      <c r="N154" s="1" t="s">
        <v>22</v>
      </c>
      <c r="O154" s="2">
        <v>45998</v>
      </c>
      <c r="P154" s="2">
        <v>45998</v>
      </c>
      <c r="Q154">
        <f>_xlfn.XLOOKUP(E154,CPT!$A$2:$A$13,CPT!$D$2:$D$13)</f>
        <v>38</v>
      </c>
      <c r="R154" s="1">
        <f>_xlfn.XLOOKUP(C154,Contract!$A$2:$A$9,Contract!$B$2:$B$9)</f>
        <v>0.43</v>
      </c>
      <c r="S154" s="1">
        <f t="shared" si="8"/>
        <v>16.34</v>
      </c>
      <c r="T154" s="1">
        <f t="shared" si="9"/>
        <v>8.9999999999999858E-2</v>
      </c>
      <c r="U154" s="1" t="str">
        <f t="shared" si="10"/>
        <v>OK</v>
      </c>
      <c r="V154" s="1" t="str">
        <f>_xlfn.XLOOKUP(C154,Payers!$A$2:$A$9,Payers!$B$2:$B$9)</f>
        <v>Summit Health Commercial</v>
      </c>
      <c r="W154" s="1" t="str">
        <f t="shared" si="11"/>
        <v>2025-11</v>
      </c>
    </row>
    <row r="155" spans="1:23">
      <c r="A155" s="1" t="s">
        <v>356</v>
      </c>
      <c r="B155" s="1" t="s">
        <v>357</v>
      </c>
      <c r="C155" s="1" t="s">
        <v>79</v>
      </c>
      <c r="D155" s="1" t="s">
        <v>30</v>
      </c>
      <c r="E155" s="1" t="s">
        <v>91</v>
      </c>
      <c r="F155">
        <v>1</v>
      </c>
      <c r="G155" s="2">
        <v>45997</v>
      </c>
      <c r="H155" s="2">
        <v>45998</v>
      </c>
      <c r="I155">
        <v>58.05</v>
      </c>
      <c r="M155" s="1" t="s">
        <v>69</v>
      </c>
      <c r="N155" s="1" t="s">
        <v>22</v>
      </c>
      <c r="O155" s="2"/>
      <c r="P155" s="2"/>
      <c r="Q155">
        <f>_xlfn.XLOOKUP(E155,CPT!$A$2:$A$13,CPT!$D$2:$D$13)</f>
        <v>58</v>
      </c>
      <c r="R155" s="1">
        <f>_xlfn.XLOOKUP(C155,Contract!$A$2:$A$9,Contract!$B$2:$B$9)</f>
        <v>1</v>
      </c>
      <c r="S155" s="1">
        <f t="shared" si="8"/>
        <v>58</v>
      </c>
      <c r="T155" s="1" t="str">
        <f t="shared" si="9"/>
        <v/>
      </c>
      <c r="U155" s="1" t="str">
        <f t="shared" si="10"/>
        <v/>
      </c>
      <c r="V155" s="1" t="str">
        <f>_xlfn.XLOOKUP(C155,Payers!$A$2:$A$9,Payers!$B$2:$B$9)</f>
        <v>Self-Pay</v>
      </c>
      <c r="W155" s="1" t="str">
        <f t="shared" si="11"/>
        <v>2025-12</v>
      </c>
    </row>
    <row r="156" spans="1:23">
      <c r="A156" s="1" t="s">
        <v>358</v>
      </c>
      <c r="B156" s="1" t="s">
        <v>359</v>
      </c>
      <c r="C156" s="1" t="s">
        <v>47</v>
      </c>
      <c r="D156" s="1" t="s">
        <v>26</v>
      </c>
      <c r="E156" s="1" t="s">
        <v>185</v>
      </c>
      <c r="F156">
        <v>1</v>
      </c>
      <c r="G156" s="2">
        <v>46246</v>
      </c>
      <c r="H156" s="2">
        <v>46260</v>
      </c>
      <c r="I156">
        <v>1144.3499999999999</v>
      </c>
      <c r="M156" s="1" t="s">
        <v>69</v>
      </c>
      <c r="N156" s="1" t="s">
        <v>22</v>
      </c>
      <c r="O156" s="2"/>
      <c r="P156" s="2"/>
      <c r="Q156">
        <f>_xlfn.XLOOKUP(E156,CPT!$A$2:$A$13,CPT!$D$2:$D$13)</f>
        <v>1150</v>
      </c>
      <c r="R156" s="1">
        <f>_xlfn.XLOOKUP(C156,Contract!$A$2:$A$9,Contract!$B$2:$B$9)</f>
        <v>0.28000000000000003</v>
      </c>
      <c r="S156" s="1">
        <f t="shared" si="8"/>
        <v>322</v>
      </c>
      <c r="T156" s="1" t="str">
        <f t="shared" si="9"/>
        <v/>
      </c>
      <c r="U156" s="1" t="str">
        <f t="shared" si="10"/>
        <v/>
      </c>
      <c r="V156" s="1" t="str">
        <f>_xlfn.XLOOKUP(C156,Payers!$A$2:$A$9,Payers!$B$2:$B$9)</f>
        <v>Coastal Medicaid MCO</v>
      </c>
      <c r="W156" s="1" t="str">
        <f t="shared" si="11"/>
        <v>2026-08</v>
      </c>
    </row>
    <row r="157" spans="1:23">
      <c r="A157" s="1" t="s">
        <v>360</v>
      </c>
      <c r="B157" s="1" t="s">
        <v>361</v>
      </c>
      <c r="C157" s="1" t="s">
        <v>60</v>
      </c>
      <c r="D157" s="1" t="s">
        <v>37</v>
      </c>
      <c r="E157" s="1" t="s">
        <v>48</v>
      </c>
      <c r="F157">
        <v>1</v>
      </c>
      <c r="G157" s="2">
        <v>46170</v>
      </c>
      <c r="H157" s="2">
        <v>46172</v>
      </c>
      <c r="I157">
        <v>419.97</v>
      </c>
      <c r="M157" s="1" t="s">
        <v>32</v>
      </c>
      <c r="N157" s="1" t="s">
        <v>124</v>
      </c>
      <c r="O157" s="2">
        <v>46194</v>
      </c>
      <c r="P157" s="2"/>
      <c r="Q157">
        <f>_xlfn.XLOOKUP(E157,CPT!$A$2:$A$13,CPT!$D$2:$D$13)</f>
        <v>420</v>
      </c>
      <c r="R157" s="1">
        <f>_xlfn.XLOOKUP(C157,Contract!$A$2:$A$9,Contract!$B$2:$B$9)</f>
        <v>0.45</v>
      </c>
      <c r="S157" s="1">
        <f t="shared" si="8"/>
        <v>189</v>
      </c>
      <c r="T157" s="1" t="str">
        <f t="shared" si="9"/>
        <v/>
      </c>
      <c r="U157" s="1" t="str">
        <f t="shared" si="10"/>
        <v/>
      </c>
      <c r="V157" s="1" t="str">
        <f>_xlfn.XLOOKUP(C157,Payers!$A$2:$A$9,Payers!$B$2:$B$9)</f>
        <v>Blue Horizon Commercial</v>
      </c>
      <c r="W157" s="1" t="str">
        <f t="shared" si="11"/>
        <v>2026-05</v>
      </c>
    </row>
    <row r="158" spans="1:23">
      <c r="A158" s="1" t="s">
        <v>362</v>
      </c>
      <c r="B158" s="1" t="s">
        <v>363</v>
      </c>
      <c r="C158" s="1" t="s">
        <v>18</v>
      </c>
      <c r="D158" s="1" t="s">
        <v>30</v>
      </c>
      <c r="E158" s="1" t="s">
        <v>20</v>
      </c>
      <c r="F158">
        <v>1</v>
      </c>
      <c r="G158" s="2">
        <v>46077</v>
      </c>
      <c r="H158" s="2">
        <v>46085</v>
      </c>
      <c r="I158">
        <v>145.32</v>
      </c>
      <c r="J158">
        <v>59.52</v>
      </c>
      <c r="K158">
        <v>47.62</v>
      </c>
      <c r="L158">
        <v>11.9</v>
      </c>
      <c r="M158" s="1" t="s">
        <v>21</v>
      </c>
      <c r="N158" s="1" t="s">
        <v>22</v>
      </c>
      <c r="O158" s="2">
        <v>46138</v>
      </c>
      <c r="P158" s="2">
        <v>46138</v>
      </c>
      <c r="Q158">
        <f>_xlfn.XLOOKUP(E158,CPT!$A$2:$A$13,CPT!$D$2:$D$13)</f>
        <v>145</v>
      </c>
      <c r="R158" s="1">
        <f>_xlfn.XLOOKUP(C158,Contract!$A$2:$A$9,Contract!$B$2:$B$9)</f>
        <v>0.38</v>
      </c>
      <c r="S158" s="1">
        <f t="shared" si="8"/>
        <v>55.1</v>
      </c>
      <c r="T158" s="1">
        <f t="shared" si="9"/>
        <v>-4.4200000000000017</v>
      </c>
      <c r="U158" s="1" t="str">
        <f t="shared" si="10"/>
        <v>OK</v>
      </c>
      <c r="V158" s="1" t="str">
        <f>_xlfn.XLOOKUP(C158,Payers!$A$2:$A$9,Payers!$B$2:$B$9)</f>
        <v>Sunshine Medicare Advantage</v>
      </c>
      <c r="W158" s="1" t="str">
        <f t="shared" si="11"/>
        <v>2026-02</v>
      </c>
    </row>
    <row r="159" spans="1:23">
      <c r="A159" s="1" t="s">
        <v>364</v>
      </c>
      <c r="B159" s="1" t="s">
        <v>365</v>
      </c>
      <c r="C159" s="1" t="s">
        <v>76</v>
      </c>
      <c r="D159" s="1" t="s">
        <v>19</v>
      </c>
      <c r="E159" s="1" t="s">
        <v>57</v>
      </c>
      <c r="F159">
        <v>1</v>
      </c>
      <c r="G159" s="2">
        <v>46078</v>
      </c>
      <c r="H159" s="2">
        <v>46081</v>
      </c>
      <c r="I159">
        <v>204.63</v>
      </c>
      <c r="J159">
        <v>81.48</v>
      </c>
      <c r="K159">
        <v>81.48</v>
      </c>
      <c r="L159">
        <v>0</v>
      </c>
      <c r="M159" s="1" t="s">
        <v>21</v>
      </c>
      <c r="N159" s="1" t="s">
        <v>22</v>
      </c>
      <c r="O159" s="2">
        <v>46103</v>
      </c>
      <c r="P159" s="2">
        <v>46103</v>
      </c>
      <c r="Q159">
        <f>_xlfn.XLOOKUP(E159,CPT!$A$2:$A$13,CPT!$D$2:$D$13)</f>
        <v>210</v>
      </c>
      <c r="R159" s="1">
        <f>_xlfn.XLOOKUP(C159,Contract!$A$2:$A$9,Contract!$B$2:$B$9)</f>
        <v>0.43</v>
      </c>
      <c r="S159" s="1">
        <f t="shared" si="8"/>
        <v>90.3</v>
      </c>
      <c r="T159" s="1">
        <f t="shared" si="9"/>
        <v>8.8199999999999932</v>
      </c>
      <c r="U159" s="1" t="str">
        <f t="shared" si="10"/>
        <v>Underpaid</v>
      </c>
      <c r="V159" s="1" t="str">
        <f>_xlfn.XLOOKUP(C159,Payers!$A$2:$A$9,Payers!$B$2:$B$9)</f>
        <v>Summit Health Commercial</v>
      </c>
      <c r="W159" s="1" t="str">
        <f t="shared" si="11"/>
        <v>2026-02</v>
      </c>
    </row>
    <row r="160" spans="1:23">
      <c r="A160" s="1" t="s">
        <v>366</v>
      </c>
      <c r="B160" s="1" t="s">
        <v>367</v>
      </c>
      <c r="C160" s="1" t="s">
        <v>76</v>
      </c>
      <c r="D160" s="1" t="s">
        <v>30</v>
      </c>
      <c r="E160" s="1" t="s">
        <v>91</v>
      </c>
      <c r="F160">
        <v>3</v>
      </c>
      <c r="G160" s="2">
        <v>46104</v>
      </c>
      <c r="H160" s="2">
        <v>46110</v>
      </c>
      <c r="I160">
        <v>178.58</v>
      </c>
      <c r="J160">
        <v>76.34</v>
      </c>
      <c r="K160">
        <v>68.709999999999994</v>
      </c>
      <c r="L160">
        <v>7.63</v>
      </c>
      <c r="M160" s="1" t="s">
        <v>21</v>
      </c>
      <c r="N160" s="1" t="s">
        <v>22</v>
      </c>
      <c r="O160" s="2">
        <v>46147</v>
      </c>
      <c r="P160" s="2">
        <v>46147</v>
      </c>
      <c r="Q160">
        <f>_xlfn.XLOOKUP(E160,CPT!$A$2:$A$13,CPT!$D$2:$D$13)</f>
        <v>58</v>
      </c>
      <c r="R160" s="1">
        <f>_xlfn.XLOOKUP(C160,Contract!$A$2:$A$9,Contract!$B$2:$B$9)</f>
        <v>0.43</v>
      </c>
      <c r="S160" s="1">
        <f t="shared" si="8"/>
        <v>74.819999999999993</v>
      </c>
      <c r="T160" s="1">
        <f t="shared" si="9"/>
        <v>-1.5200000000000102</v>
      </c>
      <c r="U160" s="1" t="str">
        <f t="shared" si="10"/>
        <v>OK</v>
      </c>
      <c r="V160" s="1" t="str">
        <f>_xlfn.XLOOKUP(C160,Payers!$A$2:$A$9,Payers!$B$2:$B$9)</f>
        <v>Summit Health Commercial</v>
      </c>
      <c r="W160" s="1" t="str">
        <f t="shared" si="11"/>
        <v>2026-03</v>
      </c>
    </row>
    <row r="161" spans="1:23">
      <c r="A161" s="1" t="s">
        <v>368</v>
      </c>
      <c r="B161" s="1" t="s">
        <v>369</v>
      </c>
      <c r="C161" s="1" t="s">
        <v>60</v>
      </c>
      <c r="D161" s="1" t="s">
        <v>19</v>
      </c>
      <c r="E161" s="1" t="s">
        <v>41</v>
      </c>
      <c r="F161">
        <v>1</v>
      </c>
      <c r="G161" s="2">
        <v>46194</v>
      </c>
      <c r="H161" s="2">
        <v>46205</v>
      </c>
      <c r="I161">
        <v>37.18</v>
      </c>
      <c r="J161">
        <v>16.170000000000002</v>
      </c>
      <c r="K161">
        <v>14.55</v>
      </c>
      <c r="L161">
        <v>1.62</v>
      </c>
      <c r="M161" s="1" t="s">
        <v>21</v>
      </c>
      <c r="N161" s="1" t="s">
        <v>22</v>
      </c>
      <c r="O161" s="2">
        <v>46234</v>
      </c>
      <c r="P161" s="2">
        <v>46234</v>
      </c>
      <c r="Q161">
        <f>_xlfn.XLOOKUP(E161,CPT!$A$2:$A$13,CPT!$D$2:$D$13)</f>
        <v>38</v>
      </c>
      <c r="R161" s="1">
        <f>_xlfn.XLOOKUP(C161,Contract!$A$2:$A$9,Contract!$B$2:$B$9)</f>
        <v>0.45</v>
      </c>
      <c r="S161" s="1">
        <f t="shared" si="8"/>
        <v>17.100000000000001</v>
      </c>
      <c r="T161" s="1">
        <f t="shared" si="9"/>
        <v>0.92999999999999972</v>
      </c>
      <c r="U161" s="1" t="str">
        <f t="shared" si="10"/>
        <v>Underpaid</v>
      </c>
      <c r="V161" s="1" t="str">
        <f>_xlfn.XLOOKUP(C161,Payers!$A$2:$A$9,Payers!$B$2:$B$9)</f>
        <v>Blue Horizon Commercial</v>
      </c>
      <c r="W161" s="1" t="str">
        <f t="shared" si="11"/>
        <v>2026-06</v>
      </c>
    </row>
    <row r="162" spans="1:23">
      <c r="A162" s="1" t="s">
        <v>370</v>
      </c>
      <c r="B162" s="1" t="s">
        <v>371</v>
      </c>
      <c r="C162" s="1" t="s">
        <v>52</v>
      </c>
      <c r="D162" s="1" t="s">
        <v>26</v>
      </c>
      <c r="E162" s="1" t="s">
        <v>44</v>
      </c>
      <c r="F162">
        <v>1</v>
      </c>
      <c r="G162" s="2">
        <v>46181</v>
      </c>
      <c r="H162" s="2">
        <v>46183</v>
      </c>
      <c r="I162">
        <v>4860.12</v>
      </c>
      <c r="J162">
        <v>2202.36</v>
      </c>
      <c r="K162">
        <v>1982.12</v>
      </c>
      <c r="L162">
        <v>220.24</v>
      </c>
      <c r="M162" s="1" t="s">
        <v>21</v>
      </c>
      <c r="N162" s="1" t="s">
        <v>22</v>
      </c>
      <c r="O162" s="2">
        <v>46210</v>
      </c>
      <c r="P162" s="2">
        <v>46210</v>
      </c>
      <c r="Q162">
        <f>_xlfn.XLOOKUP(E162,CPT!$A$2:$A$13,CPT!$D$2:$D$13)</f>
        <v>4800</v>
      </c>
      <c r="R162" s="1">
        <f>_xlfn.XLOOKUP(C162,Contract!$A$2:$A$9,Contract!$B$2:$B$9)</f>
        <v>0.47</v>
      </c>
      <c r="S162" s="1">
        <f t="shared" si="8"/>
        <v>2256</v>
      </c>
      <c r="T162" s="1">
        <f t="shared" si="9"/>
        <v>53.639999999999873</v>
      </c>
      <c r="U162" s="1" t="str">
        <f t="shared" si="10"/>
        <v>OK</v>
      </c>
      <c r="V162" s="1" t="str">
        <f>_xlfn.XLOOKUP(C162,Payers!$A$2:$A$9,Payers!$B$2:$B$9)</f>
        <v>Keystone Commercial PPO</v>
      </c>
      <c r="W162" s="1" t="str">
        <f t="shared" si="11"/>
        <v>2026-06</v>
      </c>
    </row>
    <row r="163" spans="1:23">
      <c r="A163" s="1" t="s">
        <v>372</v>
      </c>
      <c r="B163" s="1" t="s">
        <v>373</v>
      </c>
      <c r="C163" s="1" t="s">
        <v>25</v>
      </c>
      <c r="D163" s="1" t="s">
        <v>30</v>
      </c>
      <c r="E163" s="1" t="s">
        <v>20</v>
      </c>
      <c r="F163">
        <v>1</v>
      </c>
      <c r="G163" s="2">
        <v>46236</v>
      </c>
      <c r="H163" s="2">
        <v>46250</v>
      </c>
      <c r="I163">
        <v>144.78</v>
      </c>
      <c r="J163">
        <v>53.38</v>
      </c>
      <c r="K163">
        <v>53.38</v>
      </c>
      <c r="L163">
        <v>0</v>
      </c>
      <c r="M163" s="1" t="s">
        <v>21</v>
      </c>
      <c r="N163" s="1" t="s">
        <v>22</v>
      </c>
      <c r="O163" s="2">
        <v>46255</v>
      </c>
      <c r="P163" s="2">
        <v>46255</v>
      </c>
      <c r="Q163">
        <f>_xlfn.XLOOKUP(E163,CPT!$A$2:$A$13,CPT!$D$2:$D$13)</f>
        <v>145</v>
      </c>
      <c r="R163" s="1">
        <f>_xlfn.XLOOKUP(C163,Contract!$A$2:$A$9,Contract!$B$2:$B$9)</f>
        <v>0.36</v>
      </c>
      <c r="S163" s="1">
        <f t="shared" si="8"/>
        <v>52.2</v>
      </c>
      <c r="T163" s="1">
        <f t="shared" si="9"/>
        <v>-1.1799999999999997</v>
      </c>
      <c r="U163" s="1" t="str">
        <f t="shared" si="10"/>
        <v>OK</v>
      </c>
      <c r="V163" s="1" t="str">
        <f>_xlfn.XLOOKUP(C163,Payers!$A$2:$A$9,Payers!$B$2:$B$9)</f>
        <v>Medicare Part B</v>
      </c>
      <c r="W163" s="1" t="str">
        <f t="shared" si="11"/>
        <v>2026-08</v>
      </c>
    </row>
    <row r="164" spans="1:23">
      <c r="A164" s="1" t="s">
        <v>374</v>
      </c>
      <c r="B164" s="1" t="s">
        <v>375</v>
      </c>
      <c r="C164" s="1" t="s">
        <v>60</v>
      </c>
      <c r="D164" s="1" t="s">
        <v>19</v>
      </c>
      <c r="E164" s="1" t="s">
        <v>41</v>
      </c>
      <c r="F164">
        <v>1</v>
      </c>
      <c r="G164" s="2">
        <v>46279</v>
      </c>
      <c r="H164" s="2">
        <v>46283</v>
      </c>
      <c r="I164">
        <v>37.409999999999997</v>
      </c>
      <c r="M164" s="1" t="s">
        <v>69</v>
      </c>
      <c r="N164" s="1" t="s">
        <v>22</v>
      </c>
      <c r="O164" s="2"/>
      <c r="P164" s="2"/>
      <c r="Q164">
        <f>_xlfn.XLOOKUP(E164,CPT!$A$2:$A$13,CPT!$D$2:$D$13)</f>
        <v>38</v>
      </c>
      <c r="R164" s="1">
        <f>_xlfn.XLOOKUP(C164,Contract!$A$2:$A$9,Contract!$B$2:$B$9)</f>
        <v>0.45</v>
      </c>
      <c r="S164" s="1">
        <f t="shared" si="8"/>
        <v>17.100000000000001</v>
      </c>
      <c r="T164" s="1" t="str">
        <f t="shared" si="9"/>
        <v/>
      </c>
      <c r="U164" s="1" t="str">
        <f t="shared" si="10"/>
        <v/>
      </c>
      <c r="V164" s="1" t="str">
        <f>_xlfn.XLOOKUP(C164,Payers!$A$2:$A$9,Payers!$B$2:$B$9)</f>
        <v>Blue Horizon Commercial</v>
      </c>
      <c r="W164" s="1" t="str">
        <f t="shared" si="11"/>
        <v>2026-09</v>
      </c>
    </row>
    <row r="165" spans="1:23">
      <c r="A165" s="1" t="s">
        <v>376</v>
      </c>
      <c r="B165" s="1" t="s">
        <v>377</v>
      </c>
      <c r="C165" s="1" t="s">
        <v>52</v>
      </c>
      <c r="D165" s="1" t="s">
        <v>37</v>
      </c>
      <c r="E165" s="1" t="s">
        <v>48</v>
      </c>
      <c r="F165">
        <v>1</v>
      </c>
      <c r="G165" s="2">
        <v>46244</v>
      </c>
      <c r="H165" s="2">
        <v>46253</v>
      </c>
      <c r="I165">
        <v>430.6</v>
      </c>
      <c r="M165" s="1" t="s">
        <v>69</v>
      </c>
      <c r="N165" s="1" t="s">
        <v>22</v>
      </c>
      <c r="O165" s="2"/>
      <c r="P165" s="2"/>
      <c r="Q165">
        <f>_xlfn.XLOOKUP(E165,CPT!$A$2:$A$13,CPT!$D$2:$D$13)</f>
        <v>420</v>
      </c>
      <c r="R165" s="1">
        <f>_xlfn.XLOOKUP(C165,Contract!$A$2:$A$9,Contract!$B$2:$B$9)</f>
        <v>0.47</v>
      </c>
      <c r="S165" s="1">
        <f t="shared" si="8"/>
        <v>197.4</v>
      </c>
      <c r="T165" s="1" t="str">
        <f t="shared" si="9"/>
        <v/>
      </c>
      <c r="U165" s="1" t="str">
        <f t="shared" si="10"/>
        <v/>
      </c>
      <c r="V165" s="1" t="str">
        <f>_xlfn.XLOOKUP(C165,Payers!$A$2:$A$9,Payers!$B$2:$B$9)</f>
        <v>Keystone Commercial PPO</v>
      </c>
      <c r="W165" s="1" t="str">
        <f t="shared" si="11"/>
        <v>2026-08</v>
      </c>
    </row>
    <row r="166" spans="1:23">
      <c r="A166" s="1" t="s">
        <v>378</v>
      </c>
      <c r="B166" s="1" t="s">
        <v>379</v>
      </c>
      <c r="C166" s="1" t="s">
        <v>79</v>
      </c>
      <c r="D166" s="1" t="s">
        <v>19</v>
      </c>
      <c r="E166" s="1" t="s">
        <v>88</v>
      </c>
      <c r="F166">
        <v>1</v>
      </c>
      <c r="G166" s="2">
        <v>46175</v>
      </c>
      <c r="H166" s="2">
        <v>46177</v>
      </c>
      <c r="I166">
        <v>260.39999999999998</v>
      </c>
      <c r="M166" s="1" t="s">
        <v>69</v>
      </c>
      <c r="N166" s="1" t="s">
        <v>22</v>
      </c>
      <c r="O166" s="2"/>
      <c r="P166" s="2"/>
      <c r="Q166">
        <f>_xlfn.XLOOKUP(E166,CPT!$A$2:$A$13,CPT!$D$2:$D$13)</f>
        <v>260</v>
      </c>
      <c r="R166" s="1">
        <f>_xlfn.XLOOKUP(C166,Contract!$A$2:$A$9,Contract!$B$2:$B$9)</f>
        <v>1</v>
      </c>
      <c r="S166" s="1">
        <f t="shared" si="8"/>
        <v>260</v>
      </c>
      <c r="T166" s="1" t="str">
        <f t="shared" si="9"/>
        <v/>
      </c>
      <c r="U166" s="1" t="str">
        <f t="shared" si="10"/>
        <v/>
      </c>
      <c r="V166" s="1" t="str">
        <f>_xlfn.XLOOKUP(C166,Payers!$A$2:$A$9,Payers!$B$2:$B$9)</f>
        <v>Self-Pay</v>
      </c>
      <c r="W166" s="1" t="str">
        <f t="shared" si="11"/>
        <v>2026-06</v>
      </c>
    </row>
    <row r="167" spans="1:23">
      <c r="A167" s="1" t="s">
        <v>380</v>
      </c>
      <c r="B167" s="1" t="s">
        <v>381</v>
      </c>
      <c r="C167" s="1" t="s">
        <v>25</v>
      </c>
      <c r="D167" s="1" t="s">
        <v>30</v>
      </c>
      <c r="E167" s="1" t="s">
        <v>20</v>
      </c>
      <c r="F167">
        <v>1</v>
      </c>
      <c r="G167" s="2">
        <v>46285</v>
      </c>
      <c r="H167" s="2">
        <v>46288</v>
      </c>
      <c r="I167">
        <v>142.94999999999999</v>
      </c>
      <c r="M167" s="1" t="s">
        <v>69</v>
      </c>
      <c r="N167" s="1" t="s">
        <v>22</v>
      </c>
      <c r="O167" s="2"/>
      <c r="P167" s="2"/>
      <c r="Q167">
        <f>_xlfn.XLOOKUP(E167,CPT!$A$2:$A$13,CPT!$D$2:$D$13)</f>
        <v>145</v>
      </c>
      <c r="R167" s="1">
        <f>_xlfn.XLOOKUP(C167,Contract!$A$2:$A$9,Contract!$B$2:$B$9)</f>
        <v>0.36</v>
      </c>
      <c r="S167" s="1">
        <f t="shared" si="8"/>
        <v>52.2</v>
      </c>
      <c r="T167" s="1" t="str">
        <f t="shared" si="9"/>
        <v/>
      </c>
      <c r="U167" s="1" t="str">
        <f t="shared" si="10"/>
        <v/>
      </c>
      <c r="V167" s="1" t="str">
        <f>_xlfn.XLOOKUP(C167,Payers!$A$2:$A$9,Payers!$B$2:$B$9)</f>
        <v>Medicare Part B</v>
      </c>
      <c r="W167" s="1" t="str">
        <f t="shared" si="11"/>
        <v>2026-09</v>
      </c>
    </row>
    <row r="168" spans="1:23">
      <c r="A168" s="1" t="s">
        <v>382</v>
      </c>
      <c r="B168" s="1" t="s">
        <v>383</v>
      </c>
      <c r="C168" s="1" t="s">
        <v>60</v>
      </c>
      <c r="D168" s="1" t="s">
        <v>37</v>
      </c>
      <c r="E168" s="1" t="s">
        <v>57</v>
      </c>
      <c r="F168">
        <v>1</v>
      </c>
      <c r="G168" s="2">
        <v>46291</v>
      </c>
      <c r="H168" s="2">
        <v>46294</v>
      </c>
      <c r="I168">
        <v>209.86</v>
      </c>
      <c r="M168" s="1" t="s">
        <v>69</v>
      </c>
      <c r="N168" s="1" t="s">
        <v>22</v>
      </c>
      <c r="O168" s="2"/>
      <c r="P168" s="2"/>
      <c r="Q168">
        <f>_xlfn.XLOOKUP(E168,CPT!$A$2:$A$13,CPT!$D$2:$D$13)</f>
        <v>210</v>
      </c>
      <c r="R168" s="1">
        <f>_xlfn.XLOOKUP(C168,Contract!$A$2:$A$9,Contract!$B$2:$B$9)</f>
        <v>0.45</v>
      </c>
      <c r="S168" s="1">
        <f t="shared" si="8"/>
        <v>94.5</v>
      </c>
      <c r="T168" s="1" t="str">
        <f t="shared" si="9"/>
        <v/>
      </c>
      <c r="U168" s="1" t="str">
        <f t="shared" si="10"/>
        <v/>
      </c>
      <c r="V168" s="1" t="str">
        <f>_xlfn.XLOOKUP(C168,Payers!$A$2:$A$9,Payers!$B$2:$B$9)</f>
        <v>Blue Horizon Commercial</v>
      </c>
      <c r="W168" s="1" t="str">
        <f t="shared" si="11"/>
        <v>2026-09</v>
      </c>
    </row>
    <row r="169" spans="1:23">
      <c r="A169" s="1" t="s">
        <v>384</v>
      </c>
      <c r="B169" s="1" t="s">
        <v>283</v>
      </c>
      <c r="C169" s="1" t="s">
        <v>47</v>
      </c>
      <c r="D169" s="1" t="s">
        <v>37</v>
      </c>
      <c r="E169" s="1" t="s">
        <v>48</v>
      </c>
      <c r="F169">
        <v>1</v>
      </c>
      <c r="G169" s="2">
        <v>46133</v>
      </c>
      <c r="H169" s="2">
        <v>46146</v>
      </c>
      <c r="I169">
        <v>428.02</v>
      </c>
      <c r="J169">
        <v>111.63</v>
      </c>
      <c r="K169">
        <v>100.47</v>
      </c>
      <c r="L169">
        <v>11.16</v>
      </c>
      <c r="M169" s="1" t="s">
        <v>21</v>
      </c>
      <c r="N169" s="1" t="s">
        <v>22</v>
      </c>
      <c r="O169" s="2">
        <v>46192</v>
      </c>
      <c r="P169" s="2">
        <v>46192</v>
      </c>
      <c r="Q169">
        <f>_xlfn.XLOOKUP(E169,CPT!$A$2:$A$13,CPT!$D$2:$D$13)</f>
        <v>420</v>
      </c>
      <c r="R169" s="1">
        <f>_xlfn.XLOOKUP(C169,Contract!$A$2:$A$9,Contract!$B$2:$B$9)</f>
        <v>0.28000000000000003</v>
      </c>
      <c r="S169" s="1">
        <f t="shared" si="8"/>
        <v>117.6</v>
      </c>
      <c r="T169" s="1">
        <f t="shared" si="9"/>
        <v>5.9699999999999989</v>
      </c>
      <c r="U169" s="1" t="str">
        <f t="shared" si="10"/>
        <v>Underpaid</v>
      </c>
      <c r="V169" s="1" t="str">
        <f>_xlfn.XLOOKUP(C169,Payers!$A$2:$A$9,Payers!$B$2:$B$9)</f>
        <v>Coastal Medicaid MCO</v>
      </c>
      <c r="W169" s="1" t="str">
        <f t="shared" si="11"/>
        <v>2026-04</v>
      </c>
    </row>
    <row r="170" spans="1:23">
      <c r="A170" s="1" t="s">
        <v>385</v>
      </c>
      <c r="B170" s="1" t="s">
        <v>386</v>
      </c>
      <c r="C170" s="1" t="s">
        <v>25</v>
      </c>
      <c r="D170" s="1" t="s">
        <v>26</v>
      </c>
      <c r="E170" s="1" t="s">
        <v>113</v>
      </c>
      <c r="F170">
        <v>1</v>
      </c>
      <c r="G170" s="2">
        <v>46176</v>
      </c>
      <c r="H170" s="2">
        <v>46184</v>
      </c>
      <c r="I170">
        <v>1031.98</v>
      </c>
      <c r="J170">
        <v>378.68</v>
      </c>
      <c r="K170">
        <v>378.68</v>
      </c>
      <c r="L170">
        <v>0</v>
      </c>
      <c r="M170" s="1" t="s">
        <v>21</v>
      </c>
      <c r="N170" s="1" t="s">
        <v>22</v>
      </c>
      <c r="O170" s="2">
        <v>46201</v>
      </c>
      <c r="P170" s="2">
        <v>46201</v>
      </c>
      <c r="Q170">
        <f>_xlfn.XLOOKUP(E170,CPT!$A$2:$A$13,CPT!$D$2:$D$13)</f>
        <v>1050</v>
      </c>
      <c r="R170" s="1">
        <f>_xlfn.XLOOKUP(C170,Contract!$A$2:$A$9,Contract!$B$2:$B$9)</f>
        <v>0.36</v>
      </c>
      <c r="S170" s="1">
        <f t="shared" si="8"/>
        <v>378</v>
      </c>
      <c r="T170" s="1">
        <f t="shared" si="9"/>
        <v>-0.68000000000000682</v>
      </c>
      <c r="U170" s="1" t="str">
        <f t="shared" si="10"/>
        <v>OK</v>
      </c>
      <c r="V170" s="1" t="str">
        <f>_xlfn.XLOOKUP(C170,Payers!$A$2:$A$9,Payers!$B$2:$B$9)</f>
        <v>Medicare Part B</v>
      </c>
      <c r="W170" s="1" t="str">
        <f t="shared" si="11"/>
        <v>2026-06</v>
      </c>
    </row>
    <row r="171" spans="1:23">
      <c r="A171" s="1" t="s">
        <v>387</v>
      </c>
      <c r="B171" s="1" t="s">
        <v>388</v>
      </c>
      <c r="C171" s="1" t="s">
        <v>60</v>
      </c>
      <c r="D171" s="1" t="s">
        <v>26</v>
      </c>
      <c r="E171" s="1" t="s">
        <v>27</v>
      </c>
      <c r="F171">
        <v>1</v>
      </c>
      <c r="G171" s="2">
        <v>46050</v>
      </c>
      <c r="H171" s="2">
        <v>46053</v>
      </c>
      <c r="I171">
        <v>233.56</v>
      </c>
      <c r="J171">
        <v>92.04</v>
      </c>
      <c r="K171">
        <v>92.04</v>
      </c>
      <c r="L171">
        <v>0</v>
      </c>
      <c r="M171" s="1" t="s">
        <v>21</v>
      </c>
      <c r="N171" s="1" t="s">
        <v>22</v>
      </c>
      <c r="O171" s="2">
        <v>46085</v>
      </c>
      <c r="P171" s="2">
        <v>46085</v>
      </c>
      <c r="Q171">
        <f>_xlfn.XLOOKUP(E171,CPT!$A$2:$A$13,CPT!$D$2:$D$13)</f>
        <v>240</v>
      </c>
      <c r="R171" s="1">
        <f>_xlfn.XLOOKUP(C171,Contract!$A$2:$A$9,Contract!$B$2:$B$9)</f>
        <v>0.45</v>
      </c>
      <c r="S171" s="1">
        <f t="shared" si="8"/>
        <v>108</v>
      </c>
      <c r="T171" s="1">
        <f t="shared" si="9"/>
        <v>15.959999999999994</v>
      </c>
      <c r="U171" s="1" t="str">
        <f t="shared" si="10"/>
        <v>Underpaid</v>
      </c>
      <c r="V171" s="1" t="str">
        <f>_xlfn.XLOOKUP(C171,Payers!$A$2:$A$9,Payers!$B$2:$B$9)</f>
        <v>Blue Horizon Commercial</v>
      </c>
      <c r="W171" s="1" t="str">
        <f t="shared" si="11"/>
        <v>2026-01</v>
      </c>
    </row>
    <row r="172" spans="1:23">
      <c r="A172" s="1" t="s">
        <v>389</v>
      </c>
      <c r="B172" s="1" t="s">
        <v>390</v>
      </c>
      <c r="C172" s="1" t="s">
        <v>76</v>
      </c>
      <c r="D172" s="1" t="s">
        <v>30</v>
      </c>
      <c r="E172" s="1" t="s">
        <v>31</v>
      </c>
      <c r="F172">
        <v>2</v>
      </c>
      <c r="G172" s="2">
        <v>46174</v>
      </c>
      <c r="H172" s="2">
        <v>46180</v>
      </c>
      <c r="I172">
        <v>125.12</v>
      </c>
      <c r="J172">
        <v>46.15</v>
      </c>
      <c r="K172">
        <v>46.15</v>
      </c>
      <c r="L172">
        <v>0</v>
      </c>
      <c r="M172" s="1" t="s">
        <v>21</v>
      </c>
      <c r="N172" s="1" t="s">
        <v>22</v>
      </c>
      <c r="O172" s="2">
        <v>46213</v>
      </c>
      <c r="P172" s="2">
        <v>46213</v>
      </c>
      <c r="Q172">
        <f>_xlfn.XLOOKUP(E172,CPT!$A$2:$A$13,CPT!$D$2:$D$13)</f>
        <v>62</v>
      </c>
      <c r="R172" s="1">
        <f>_xlfn.XLOOKUP(C172,Contract!$A$2:$A$9,Contract!$B$2:$B$9)</f>
        <v>0.43</v>
      </c>
      <c r="S172" s="1">
        <f t="shared" si="8"/>
        <v>53.32</v>
      </c>
      <c r="T172" s="1">
        <f t="shared" si="9"/>
        <v>7.1700000000000017</v>
      </c>
      <c r="U172" s="1" t="str">
        <f t="shared" si="10"/>
        <v>Underpaid</v>
      </c>
      <c r="V172" s="1" t="str">
        <f>_xlfn.XLOOKUP(C172,Payers!$A$2:$A$9,Payers!$B$2:$B$9)</f>
        <v>Summit Health Commercial</v>
      </c>
      <c r="W172" s="1" t="str">
        <f t="shared" si="11"/>
        <v>2026-06</v>
      </c>
    </row>
    <row r="173" spans="1:23">
      <c r="A173" s="1" t="s">
        <v>391</v>
      </c>
      <c r="B173" s="1" t="s">
        <v>392</v>
      </c>
      <c r="C173" s="1" t="s">
        <v>47</v>
      </c>
      <c r="D173" s="1" t="s">
        <v>37</v>
      </c>
      <c r="E173" s="1" t="s">
        <v>38</v>
      </c>
      <c r="F173">
        <v>30</v>
      </c>
      <c r="G173" s="2">
        <v>46020</v>
      </c>
      <c r="H173" s="2">
        <v>46021</v>
      </c>
      <c r="I173">
        <v>44497.66</v>
      </c>
      <c r="J173">
        <v>14335.12</v>
      </c>
      <c r="K173">
        <v>11468.1</v>
      </c>
      <c r="L173">
        <v>2867.02</v>
      </c>
      <c r="M173" s="1" t="s">
        <v>21</v>
      </c>
      <c r="N173" s="1" t="s">
        <v>22</v>
      </c>
      <c r="O173" s="2">
        <v>46055</v>
      </c>
      <c r="P173" s="2">
        <v>46055</v>
      </c>
      <c r="Q173">
        <f>_xlfn.XLOOKUP(E173,CPT!$A$2:$A$13,CPT!$D$2:$D$13)</f>
        <v>1450</v>
      </c>
      <c r="R173" s="1">
        <f>_xlfn.XLOOKUP(C173,Contract!$A$2:$A$9,Contract!$B$2:$B$9)</f>
        <v>0.28000000000000003</v>
      </c>
      <c r="S173" s="1">
        <f t="shared" si="8"/>
        <v>12180</v>
      </c>
      <c r="T173" s="1">
        <f t="shared" si="9"/>
        <v>-2155.1200000000008</v>
      </c>
      <c r="U173" s="1" t="str">
        <f t="shared" si="10"/>
        <v>OK</v>
      </c>
      <c r="V173" s="1" t="str">
        <f>_xlfn.XLOOKUP(C173,Payers!$A$2:$A$9,Payers!$B$2:$B$9)</f>
        <v>Coastal Medicaid MCO</v>
      </c>
      <c r="W173" s="1" t="str">
        <f t="shared" si="11"/>
        <v>2025-12</v>
      </c>
    </row>
    <row r="174" spans="1:23">
      <c r="A174" s="1" t="s">
        <v>393</v>
      </c>
      <c r="B174" s="1" t="s">
        <v>394</v>
      </c>
      <c r="C174" s="1" t="s">
        <v>47</v>
      </c>
      <c r="D174" s="1" t="s">
        <v>19</v>
      </c>
      <c r="E174" s="1" t="s">
        <v>88</v>
      </c>
      <c r="F174">
        <v>1</v>
      </c>
      <c r="G174" s="2">
        <v>45935</v>
      </c>
      <c r="H174" s="2">
        <v>45939</v>
      </c>
      <c r="I174">
        <v>256.85000000000002</v>
      </c>
      <c r="J174">
        <v>67.98</v>
      </c>
      <c r="K174">
        <v>54.38</v>
      </c>
      <c r="L174">
        <v>13.6</v>
      </c>
      <c r="M174" s="1" t="s">
        <v>21</v>
      </c>
      <c r="N174" s="1" t="s">
        <v>22</v>
      </c>
      <c r="O174" s="2">
        <v>45974</v>
      </c>
      <c r="P174" s="2">
        <v>45974</v>
      </c>
      <c r="Q174">
        <f>_xlfn.XLOOKUP(E174,CPT!$A$2:$A$13,CPT!$D$2:$D$13)</f>
        <v>260</v>
      </c>
      <c r="R174" s="1">
        <f>_xlfn.XLOOKUP(C174,Contract!$A$2:$A$9,Contract!$B$2:$B$9)</f>
        <v>0.28000000000000003</v>
      </c>
      <c r="S174" s="1">
        <f t="shared" si="8"/>
        <v>72.8</v>
      </c>
      <c r="T174" s="1">
        <f t="shared" si="9"/>
        <v>4.8199999999999932</v>
      </c>
      <c r="U174" s="1" t="str">
        <f t="shared" si="10"/>
        <v>Underpaid</v>
      </c>
      <c r="V174" s="1" t="str">
        <f>_xlfn.XLOOKUP(C174,Payers!$A$2:$A$9,Payers!$B$2:$B$9)</f>
        <v>Coastal Medicaid MCO</v>
      </c>
      <c r="W174" s="1" t="str">
        <f t="shared" si="11"/>
        <v>2025-10</v>
      </c>
    </row>
    <row r="175" spans="1:23">
      <c r="A175" s="1" t="s">
        <v>395</v>
      </c>
      <c r="B175" s="1" t="s">
        <v>396</v>
      </c>
      <c r="C175" s="1" t="s">
        <v>76</v>
      </c>
      <c r="D175" s="1" t="s">
        <v>30</v>
      </c>
      <c r="E175" s="1" t="s">
        <v>91</v>
      </c>
      <c r="F175">
        <v>1</v>
      </c>
      <c r="G175" s="2">
        <v>45988</v>
      </c>
      <c r="H175" s="2">
        <v>45991</v>
      </c>
      <c r="I175">
        <v>56.83</v>
      </c>
      <c r="J175">
        <v>26.08</v>
      </c>
      <c r="K175">
        <v>23.47</v>
      </c>
      <c r="L175">
        <v>2.61</v>
      </c>
      <c r="M175" s="1" t="s">
        <v>21</v>
      </c>
      <c r="N175" s="1" t="s">
        <v>22</v>
      </c>
      <c r="O175" s="2">
        <v>46026</v>
      </c>
      <c r="P175" s="2">
        <v>46026</v>
      </c>
      <c r="Q175">
        <f>_xlfn.XLOOKUP(E175,CPT!$A$2:$A$13,CPT!$D$2:$D$13)</f>
        <v>58</v>
      </c>
      <c r="R175" s="1">
        <f>_xlfn.XLOOKUP(C175,Contract!$A$2:$A$9,Contract!$B$2:$B$9)</f>
        <v>0.43</v>
      </c>
      <c r="S175" s="1">
        <f t="shared" si="8"/>
        <v>24.94</v>
      </c>
      <c r="T175" s="1">
        <f t="shared" si="9"/>
        <v>-1.139999999999997</v>
      </c>
      <c r="U175" s="1" t="str">
        <f t="shared" si="10"/>
        <v>OK</v>
      </c>
      <c r="V175" s="1" t="str">
        <f>_xlfn.XLOOKUP(C175,Payers!$A$2:$A$9,Payers!$B$2:$B$9)</f>
        <v>Summit Health Commercial</v>
      </c>
      <c r="W175" s="1" t="str">
        <f t="shared" si="11"/>
        <v>2025-11</v>
      </c>
    </row>
    <row r="176" spans="1:23">
      <c r="A176" s="1" t="s">
        <v>397</v>
      </c>
      <c r="B176" s="1" t="s">
        <v>398</v>
      </c>
      <c r="C176" s="1" t="s">
        <v>60</v>
      </c>
      <c r="D176" s="1" t="s">
        <v>37</v>
      </c>
      <c r="E176" s="1" t="s">
        <v>38</v>
      </c>
      <c r="F176">
        <v>30</v>
      </c>
      <c r="G176" s="2">
        <v>46258</v>
      </c>
      <c r="H176" s="2">
        <v>46261</v>
      </c>
      <c r="I176">
        <v>44353.440000000002</v>
      </c>
      <c r="M176" s="1" t="s">
        <v>32</v>
      </c>
      <c r="N176" s="1" t="s">
        <v>33</v>
      </c>
      <c r="O176" s="2">
        <v>46293</v>
      </c>
      <c r="P176" s="2"/>
      <c r="Q176">
        <f>_xlfn.XLOOKUP(E176,CPT!$A$2:$A$13,CPT!$D$2:$D$13)</f>
        <v>1450</v>
      </c>
      <c r="R176" s="1">
        <f>_xlfn.XLOOKUP(C176,Contract!$A$2:$A$9,Contract!$B$2:$B$9)</f>
        <v>0.45</v>
      </c>
      <c r="S176" s="1">
        <f t="shared" si="8"/>
        <v>19575</v>
      </c>
      <c r="T176" s="1" t="str">
        <f t="shared" si="9"/>
        <v/>
      </c>
      <c r="U176" s="1" t="str">
        <f t="shared" si="10"/>
        <v/>
      </c>
      <c r="V176" s="1" t="str">
        <f>_xlfn.XLOOKUP(C176,Payers!$A$2:$A$9,Payers!$B$2:$B$9)</f>
        <v>Blue Horizon Commercial</v>
      </c>
      <c r="W176" s="1" t="str">
        <f t="shared" si="11"/>
        <v>2026-08</v>
      </c>
    </row>
    <row r="177" spans="1:23">
      <c r="A177" s="1" t="s">
        <v>399</v>
      </c>
      <c r="B177" s="1" t="s">
        <v>400</v>
      </c>
      <c r="C177" s="1" t="s">
        <v>18</v>
      </c>
      <c r="D177" s="1" t="s">
        <v>19</v>
      </c>
      <c r="E177" s="1" t="s">
        <v>41</v>
      </c>
      <c r="F177">
        <v>1</v>
      </c>
      <c r="G177" s="2">
        <v>46099</v>
      </c>
      <c r="H177" s="2">
        <v>46105</v>
      </c>
      <c r="I177">
        <v>37.549999999999997</v>
      </c>
      <c r="M177" s="1" t="s">
        <v>32</v>
      </c>
      <c r="N177" s="1" t="s">
        <v>98</v>
      </c>
      <c r="O177" s="2">
        <v>46167</v>
      </c>
      <c r="P177" s="2"/>
      <c r="Q177">
        <f>_xlfn.XLOOKUP(E177,CPT!$A$2:$A$13,CPT!$D$2:$D$13)</f>
        <v>38</v>
      </c>
      <c r="R177" s="1">
        <f>_xlfn.XLOOKUP(C177,Contract!$A$2:$A$9,Contract!$B$2:$B$9)</f>
        <v>0.38</v>
      </c>
      <c r="S177" s="1">
        <f t="shared" si="8"/>
        <v>14.44</v>
      </c>
      <c r="T177" s="1" t="str">
        <f t="shared" si="9"/>
        <v/>
      </c>
      <c r="U177" s="1" t="str">
        <f t="shared" si="10"/>
        <v/>
      </c>
      <c r="V177" s="1" t="str">
        <f>_xlfn.XLOOKUP(C177,Payers!$A$2:$A$9,Payers!$B$2:$B$9)</f>
        <v>Sunshine Medicare Advantage</v>
      </c>
      <c r="W177" s="1" t="str">
        <f t="shared" si="11"/>
        <v>2026-03</v>
      </c>
    </row>
    <row r="178" spans="1:23">
      <c r="A178" s="1" t="s">
        <v>401</v>
      </c>
      <c r="B178" s="1" t="s">
        <v>402</v>
      </c>
      <c r="C178" s="1" t="s">
        <v>76</v>
      </c>
      <c r="D178" s="1" t="s">
        <v>19</v>
      </c>
      <c r="E178" s="1" t="s">
        <v>57</v>
      </c>
      <c r="F178">
        <v>1</v>
      </c>
      <c r="G178" s="2">
        <v>46188</v>
      </c>
      <c r="H178" s="2">
        <v>46197</v>
      </c>
      <c r="I178">
        <v>215.33</v>
      </c>
      <c r="J178">
        <v>97.5</v>
      </c>
      <c r="K178">
        <v>87.75</v>
      </c>
      <c r="L178">
        <v>9.75</v>
      </c>
      <c r="M178" s="1" t="s">
        <v>21</v>
      </c>
      <c r="N178" s="1" t="s">
        <v>22</v>
      </c>
      <c r="O178" s="2">
        <v>46214</v>
      </c>
      <c r="P178" s="2">
        <v>46214</v>
      </c>
      <c r="Q178">
        <f>_xlfn.XLOOKUP(E178,CPT!$A$2:$A$13,CPT!$D$2:$D$13)</f>
        <v>210</v>
      </c>
      <c r="R178" s="1">
        <f>_xlfn.XLOOKUP(C178,Contract!$A$2:$A$9,Contract!$B$2:$B$9)</f>
        <v>0.43</v>
      </c>
      <c r="S178" s="1">
        <f t="shared" si="8"/>
        <v>90.3</v>
      </c>
      <c r="T178" s="1">
        <f t="shared" si="9"/>
        <v>-7.2000000000000028</v>
      </c>
      <c r="U178" s="1" t="str">
        <f t="shared" si="10"/>
        <v>OK</v>
      </c>
      <c r="V178" s="1" t="str">
        <f>_xlfn.XLOOKUP(C178,Payers!$A$2:$A$9,Payers!$B$2:$B$9)</f>
        <v>Summit Health Commercial</v>
      </c>
      <c r="W178" s="1" t="str">
        <f t="shared" si="11"/>
        <v>2026-06</v>
      </c>
    </row>
    <row r="179" spans="1:23">
      <c r="A179" s="1" t="s">
        <v>403</v>
      </c>
      <c r="B179" s="1" t="s">
        <v>404</v>
      </c>
      <c r="C179" s="1" t="s">
        <v>52</v>
      </c>
      <c r="D179" s="1" t="s">
        <v>26</v>
      </c>
      <c r="E179" s="1" t="s">
        <v>57</v>
      </c>
      <c r="F179">
        <v>1</v>
      </c>
      <c r="G179" s="2">
        <v>46163</v>
      </c>
      <c r="H179" s="2">
        <v>46167</v>
      </c>
      <c r="I179">
        <v>213.12</v>
      </c>
      <c r="J179">
        <v>102.24</v>
      </c>
      <c r="K179">
        <v>81.790000000000006</v>
      </c>
      <c r="L179">
        <v>20.45</v>
      </c>
      <c r="M179" s="1" t="s">
        <v>21</v>
      </c>
      <c r="N179" s="1" t="s">
        <v>22</v>
      </c>
      <c r="O179" s="2">
        <v>46187</v>
      </c>
      <c r="P179" s="2">
        <v>46187</v>
      </c>
      <c r="Q179">
        <f>_xlfn.XLOOKUP(E179,CPT!$A$2:$A$13,CPT!$D$2:$D$13)</f>
        <v>210</v>
      </c>
      <c r="R179" s="1">
        <f>_xlfn.XLOOKUP(C179,Contract!$A$2:$A$9,Contract!$B$2:$B$9)</f>
        <v>0.47</v>
      </c>
      <c r="S179" s="1">
        <f t="shared" si="8"/>
        <v>98.7</v>
      </c>
      <c r="T179" s="1">
        <f t="shared" si="9"/>
        <v>-3.539999999999992</v>
      </c>
      <c r="U179" s="1" t="str">
        <f t="shared" si="10"/>
        <v>OK</v>
      </c>
      <c r="V179" s="1" t="str">
        <f>_xlfn.XLOOKUP(C179,Payers!$A$2:$A$9,Payers!$B$2:$B$9)</f>
        <v>Keystone Commercial PPO</v>
      </c>
      <c r="W179" s="1" t="str">
        <f t="shared" si="11"/>
        <v>2026-05</v>
      </c>
    </row>
    <row r="180" spans="1:23">
      <c r="A180" s="1" t="s">
        <v>405</v>
      </c>
      <c r="B180" s="1" t="s">
        <v>406</v>
      </c>
      <c r="C180" s="1" t="s">
        <v>18</v>
      </c>
      <c r="D180" s="1" t="s">
        <v>19</v>
      </c>
      <c r="E180" s="1" t="s">
        <v>57</v>
      </c>
      <c r="F180">
        <v>1</v>
      </c>
      <c r="G180" s="2">
        <v>46279</v>
      </c>
      <c r="H180" s="2">
        <v>46288</v>
      </c>
      <c r="I180">
        <v>213.21</v>
      </c>
      <c r="M180" s="1" t="s">
        <v>69</v>
      </c>
      <c r="N180" s="1" t="s">
        <v>22</v>
      </c>
      <c r="O180" s="2"/>
      <c r="P180" s="2"/>
      <c r="Q180">
        <f>_xlfn.XLOOKUP(E180,CPT!$A$2:$A$13,CPT!$D$2:$D$13)</f>
        <v>210</v>
      </c>
      <c r="R180" s="1">
        <f>_xlfn.XLOOKUP(C180,Contract!$A$2:$A$9,Contract!$B$2:$B$9)</f>
        <v>0.38</v>
      </c>
      <c r="S180" s="1">
        <f t="shared" si="8"/>
        <v>79.8</v>
      </c>
      <c r="T180" s="1" t="str">
        <f t="shared" si="9"/>
        <v/>
      </c>
      <c r="U180" s="1" t="str">
        <f t="shared" si="10"/>
        <v/>
      </c>
      <c r="V180" s="1" t="str">
        <f>_xlfn.XLOOKUP(C180,Payers!$A$2:$A$9,Payers!$B$2:$B$9)</f>
        <v>Sunshine Medicare Advantage</v>
      </c>
      <c r="W180" s="1" t="str">
        <f t="shared" si="11"/>
        <v>2026-09</v>
      </c>
    </row>
    <row r="181" spans="1:23">
      <c r="A181" s="1" t="s">
        <v>407</v>
      </c>
      <c r="B181" s="1" t="s">
        <v>408</v>
      </c>
      <c r="C181" s="1" t="s">
        <v>60</v>
      </c>
      <c r="D181" s="1" t="s">
        <v>30</v>
      </c>
      <c r="E181" s="1" t="s">
        <v>20</v>
      </c>
      <c r="F181">
        <v>1</v>
      </c>
      <c r="G181" s="2">
        <v>46205</v>
      </c>
      <c r="H181" s="2">
        <v>46207</v>
      </c>
      <c r="I181">
        <v>141.94999999999999</v>
      </c>
      <c r="J181">
        <v>58.02</v>
      </c>
      <c r="K181">
        <v>46.42</v>
      </c>
      <c r="L181">
        <v>11.6</v>
      </c>
      <c r="M181" s="1" t="s">
        <v>21</v>
      </c>
      <c r="N181" s="1" t="s">
        <v>22</v>
      </c>
      <c r="O181" s="2">
        <v>46240</v>
      </c>
      <c r="P181" s="2">
        <v>46240</v>
      </c>
      <c r="Q181">
        <f>_xlfn.XLOOKUP(E181,CPT!$A$2:$A$13,CPT!$D$2:$D$13)</f>
        <v>145</v>
      </c>
      <c r="R181" s="1">
        <f>_xlfn.XLOOKUP(C181,Contract!$A$2:$A$9,Contract!$B$2:$B$9)</f>
        <v>0.45</v>
      </c>
      <c r="S181" s="1">
        <f t="shared" si="8"/>
        <v>65.25</v>
      </c>
      <c r="T181" s="1">
        <f t="shared" si="9"/>
        <v>7.2299999999999969</v>
      </c>
      <c r="U181" s="1" t="str">
        <f t="shared" si="10"/>
        <v>Underpaid</v>
      </c>
      <c r="V181" s="1" t="str">
        <f>_xlfn.XLOOKUP(C181,Payers!$A$2:$A$9,Payers!$B$2:$B$9)</f>
        <v>Blue Horizon Commercial</v>
      </c>
      <c r="W181" s="1" t="str">
        <f t="shared" si="11"/>
        <v>2026-07</v>
      </c>
    </row>
    <row r="182" spans="1:23">
      <c r="A182" s="1" t="s">
        <v>409</v>
      </c>
      <c r="B182" s="1" t="s">
        <v>410</v>
      </c>
      <c r="C182" s="1" t="s">
        <v>36</v>
      </c>
      <c r="D182" s="1" t="s">
        <v>30</v>
      </c>
      <c r="E182" s="1" t="s">
        <v>91</v>
      </c>
      <c r="F182">
        <v>1</v>
      </c>
      <c r="G182" s="2">
        <v>46163</v>
      </c>
      <c r="H182" s="2">
        <v>46287</v>
      </c>
      <c r="I182">
        <v>58.05</v>
      </c>
      <c r="M182" s="1" t="s">
        <v>69</v>
      </c>
      <c r="N182" s="1" t="s">
        <v>22</v>
      </c>
      <c r="O182" s="2"/>
      <c r="P182" s="2"/>
      <c r="Q182">
        <f>_xlfn.XLOOKUP(E182,CPT!$A$2:$A$13,CPT!$D$2:$D$13)</f>
        <v>58</v>
      </c>
      <c r="R182" s="1">
        <f>_xlfn.XLOOKUP(C182,Contract!$A$2:$A$9,Contract!$B$2:$B$9)</f>
        <v>0.27</v>
      </c>
      <c r="S182" s="1">
        <f t="shared" si="8"/>
        <v>15.66</v>
      </c>
      <c r="T182" s="1" t="str">
        <f t="shared" si="9"/>
        <v/>
      </c>
      <c r="U182" s="1" t="str">
        <f t="shared" si="10"/>
        <v/>
      </c>
      <c r="V182" s="1" t="str">
        <f>_xlfn.XLOOKUP(C182,Payers!$A$2:$A$9,Payers!$B$2:$B$9)</f>
        <v>Florida Medicaid</v>
      </c>
      <c r="W182" s="1" t="str">
        <f t="shared" si="11"/>
        <v>2026-05</v>
      </c>
    </row>
    <row r="183" spans="1:23">
      <c r="A183" s="1" t="s">
        <v>411</v>
      </c>
      <c r="B183" s="1" t="s">
        <v>412</v>
      </c>
      <c r="C183" s="1" t="s">
        <v>60</v>
      </c>
      <c r="D183" s="1" t="s">
        <v>37</v>
      </c>
      <c r="E183" s="1" t="s">
        <v>57</v>
      </c>
      <c r="F183">
        <v>1</v>
      </c>
      <c r="G183" s="2">
        <v>46147</v>
      </c>
      <c r="H183" s="2">
        <v>46148</v>
      </c>
      <c r="I183">
        <v>208.04</v>
      </c>
      <c r="J183">
        <v>106.28</v>
      </c>
      <c r="K183">
        <v>106.28</v>
      </c>
      <c r="L183">
        <v>0</v>
      </c>
      <c r="M183" s="1" t="s">
        <v>21</v>
      </c>
      <c r="N183" s="1" t="s">
        <v>22</v>
      </c>
      <c r="O183" s="2">
        <v>46176</v>
      </c>
      <c r="P183" s="2">
        <v>46176</v>
      </c>
      <c r="Q183">
        <f>_xlfn.XLOOKUP(E183,CPT!$A$2:$A$13,CPT!$D$2:$D$13)</f>
        <v>210</v>
      </c>
      <c r="R183" s="1">
        <f>_xlfn.XLOOKUP(C183,Contract!$A$2:$A$9,Contract!$B$2:$B$9)</f>
        <v>0.45</v>
      </c>
      <c r="S183" s="1">
        <f t="shared" si="8"/>
        <v>94.5</v>
      </c>
      <c r="T183" s="1">
        <f t="shared" si="9"/>
        <v>-11.780000000000001</v>
      </c>
      <c r="U183" s="1" t="str">
        <f t="shared" si="10"/>
        <v>OK</v>
      </c>
      <c r="V183" s="1" t="str">
        <f>_xlfn.XLOOKUP(C183,Payers!$A$2:$A$9,Payers!$B$2:$B$9)</f>
        <v>Blue Horizon Commercial</v>
      </c>
      <c r="W183" s="1" t="str">
        <f t="shared" si="11"/>
        <v>2026-05</v>
      </c>
    </row>
    <row r="184" spans="1:23">
      <c r="A184" s="1" t="s">
        <v>413</v>
      </c>
      <c r="B184" s="1" t="s">
        <v>414</v>
      </c>
      <c r="C184" s="1" t="s">
        <v>60</v>
      </c>
      <c r="D184" s="1" t="s">
        <v>26</v>
      </c>
      <c r="E184" s="1" t="s">
        <v>113</v>
      </c>
      <c r="F184">
        <v>1</v>
      </c>
      <c r="G184" s="2">
        <v>46000</v>
      </c>
      <c r="H184" s="2">
        <v>46016</v>
      </c>
      <c r="I184">
        <v>1066.75</v>
      </c>
      <c r="J184">
        <v>468.14</v>
      </c>
      <c r="K184">
        <v>374.51</v>
      </c>
      <c r="L184">
        <v>93.63</v>
      </c>
      <c r="M184" s="1" t="s">
        <v>21</v>
      </c>
      <c r="N184" s="1" t="s">
        <v>22</v>
      </c>
      <c r="O184" s="2">
        <v>46052</v>
      </c>
      <c r="P184" s="2">
        <v>46052</v>
      </c>
      <c r="Q184">
        <f>_xlfn.XLOOKUP(E184,CPT!$A$2:$A$13,CPT!$D$2:$D$13)</f>
        <v>1050</v>
      </c>
      <c r="R184" s="1">
        <f>_xlfn.XLOOKUP(C184,Contract!$A$2:$A$9,Contract!$B$2:$B$9)</f>
        <v>0.45</v>
      </c>
      <c r="S184" s="1">
        <f t="shared" si="8"/>
        <v>472.5</v>
      </c>
      <c r="T184" s="1">
        <f t="shared" si="9"/>
        <v>4.3600000000000136</v>
      </c>
      <c r="U184" s="1" t="str">
        <f t="shared" si="10"/>
        <v>OK</v>
      </c>
      <c r="V184" s="1" t="str">
        <f>_xlfn.XLOOKUP(C184,Payers!$A$2:$A$9,Payers!$B$2:$B$9)</f>
        <v>Blue Horizon Commercial</v>
      </c>
      <c r="W184" s="1" t="str">
        <f t="shared" si="11"/>
        <v>2025-12</v>
      </c>
    </row>
    <row r="185" spans="1:23">
      <c r="A185" s="1" t="s">
        <v>415</v>
      </c>
      <c r="B185" s="1" t="s">
        <v>416</v>
      </c>
      <c r="C185" s="1" t="s">
        <v>47</v>
      </c>
      <c r="D185" s="1" t="s">
        <v>26</v>
      </c>
      <c r="E185" s="1" t="s">
        <v>41</v>
      </c>
      <c r="F185">
        <v>1</v>
      </c>
      <c r="G185" s="2">
        <v>45999</v>
      </c>
      <c r="H185" s="2">
        <v>46001</v>
      </c>
      <c r="I185">
        <v>38.35</v>
      </c>
      <c r="M185" s="1" t="s">
        <v>32</v>
      </c>
      <c r="N185" s="1" t="s">
        <v>98</v>
      </c>
      <c r="O185" s="2">
        <v>46061</v>
      </c>
      <c r="P185" s="2"/>
      <c r="Q185">
        <f>_xlfn.XLOOKUP(E185,CPT!$A$2:$A$13,CPT!$D$2:$D$13)</f>
        <v>38</v>
      </c>
      <c r="R185" s="1">
        <f>_xlfn.XLOOKUP(C185,Contract!$A$2:$A$9,Contract!$B$2:$B$9)</f>
        <v>0.28000000000000003</v>
      </c>
      <c r="S185" s="1">
        <f t="shared" si="8"/>
        <v>10.64</v>
      </c>
      <c r="T185" s="1" t="str">
        <f t="shared" si="9"/>
        <v/>
      </c>
      <c r="U185" s="1" t="str">
        <f t="shared" si="10"/>
        <v/>
      </c>
      <c r="V185" s="1" t="str">
        <f>_xlfn.XLOOKUP(C185,Payers!$A$2:$A$9,Payers!$B$2:$B$9)</f>
        <v>Coastal Medicaid MCO</v>
      </c>
      <c r="W185" s="1" t="str">
        <f t="shared" si="11"/>
        <v>2025-12</v>
      </c>
    </row>
    <row r="186" spans="1:23">
      <c r="A186" s="1" t="s">
        <v>417</v>
      </c>
      <c r="B186" s="1" t="s">
        <v>418</v>
      </c>
      <c r="C186" s="1" t="s">
        <v>79</v>
      </c>
      <c r="D186" s="1" t="s">
        <v>30</v>
      </c>
      <c r="E186" s="1" t="s">
        <v>31</v>
      </c>
      <c r="F186">
        <v>4</v>
      </c>
      <c r="G186" s="2">
        <v>46168</v>
      </c>
      <c r="H186" s="2">
        <v>46171</v>
      </c>
      <c r="I186">
        <v>251.26</v>
      </c>
      <c r="M186" s="1" t="s">
        <v>69</v>
      </c>
      <c r="N186" s="1" t="s">
        <v>22</v>
      </c>
      <c r="O186" s="2"/>
      <c r="P186" s="2"/>
      <c r="Q186">
        <f>_xlfn.XLOOKUP(E186,CPT!$A$2:$A$13,CPT!$D$2:$D$13)</f>
        <v>62</v>
      </c>
      <c r="R186" s="1">
        <f>_xlfn.XLOOKUP(C186,Contract!$A$2:$A$9,Contract!$B$2:$B$9)</f>
        <v>1</v>
      </c>
      <c r="S186" s="1">
        <f t="shared" si="8"/>
        <v>248</v>
      </c>
      <c r="T186" s="1" t="str">
        <f t="shared" si="9"/>
        <v/>
      </c>
      <c r="U186" s="1" t="str">
        <f t="shared" si="10"/>
        <v/>
      </c>
      <c r="V186" s="1" t="str">
        <f>_xlfn.XLOOKUP(C186,Payers!$A$2:$A$9,Payers!$B$2:$B$9)</f>
        <v>Self-Pay</v>
      </c>
      <c r="W186" s="1" t="str">
        <f t="shared" si="11"/>
        <v>2026-05</v>
      </c>
    </row>
    <row r="187" spans="1:23">
      <c r="A187" s="1" t="s">
        <v>419</v>
      </c>
      <c r="B187" s="1" t="s">
        <v>420</v>
      </c>
      <c r="C187" s="1" t="s">
        <v>36</v>
      </c>
      <c r="D187" s="1" t="s">
        <v>37</v>
      </c>
      <c r="E187" s="1" t="s">
        <v>38</v>
      </c>
      <c r="F187">
        <v>5</v>
      </c>
      <c r="G187" s="2">
        <v>46145</v>
      </c>
      <c r="H187" s="2">
        <v>46146</v>
      </c>
      <c r="I187">
        <v>7137.19</v>
      </c>
      <c r="J187">
        <v>1894.93</v>
      </c>
      <c r="K187">
        <v>1894.93</v>
      </c>
      <c r="L187">
        <v>0</v>
      </c>
      <c r="M187" s="1" t="s">
        <v>21</v>
      </c>
      <c r="N187" s="1" t="s">
        <v>22</v>
      </c>
      <c r="O187" s="2">
        <v>46187</v>
      </c>
      <c r="P187" s="2">
        <v>46187</v>
      </c>
      <c r="Q187">
        <f>_xlfn.XLOOKUP(E187,CPT!$A$2:$A$13,CPT!$D$2:$D$13)</f>
        <v>1450</v>
      </c>
      <c r="R187" s="1">
        <f>_xlfn.XLOOKUP(C187,Contract!$A$2:$A$9,Contract!$B$2:$B$9)</f>
        <v>0.27</v>
      </c>
      <c r="S187" s="1">
        <f t="shared" si="8"/>
        <v>1957.5</v>
      </c>
      <c r="T187" s="1">
        <f t="shared" si="9"/>
        <v>62.569999999999936</v>
      </c>
      <c r="U187" s="1" t="str">
        <f t="shared" si="10"/>
        <v>OK</v>
      </c>
      <c r="V187" s="1" t="str">
        <f>_xlfn.XLOOKUP(C187,Payers!$A$2:$A$9,Payers!$B$2:$B$9)</f>
        <v>Florida Medicaid</v>
      </c>
      <c r="W187" s="1" t="str">
        <f t="shared" si="11"/>
        <v>2026-05</v>
      </c>
    </row>
    <row r="188" spans="1:23">
      <c r="A188" s="1" t="s">
        <v>421</v>
      </c>
      <c r="B188" s="1" t="s">
        <v>422</v>
      </c>
      <c r="C188" s="1" t="s">
        <v>52</v>
      </c>
      <c r="D188" s="1" t="s">
        <v>37</v>
      </c>
      <c r="E188" s="1" t="s">
        <v>48</v>
      </c>
      <c r="F188">
        <v>1</v>
      </c>
      <c r="G188" s="2">
        <v>46207</v>
      </c>
      <c r="H188" s="2">
        <v>46215</v>
      </c>
      <c r="I188">
        <v>412.88</v>
      </c>
      <c r="M188" s="1" t="s">
        <v>32</v>
      </c>
      <c r="N188" s="1" t="s">
        <v>49</v>
      </c>
      <c r="O188" s="2">
        <v>46268</v>
      </c>
      <c r="P188" s="2"/>
      <c r="Q188">
        <f>_xlfn.XLOOKUP(E188,CPT!$A$2:$A$13,CPT!$D$2:$D$13)</f>
        <v>420</v>
      </c>
      <c r="R188" s="1">
        <f>_xlfn.XLOOKUP(C188,Contract!$A$2:$A$9,Contract!$B$2:$B$9)</f>
        <v>0.47</v>
      </c>
      <c r="S188" s="1">
        <f t="shared" si="8"/>
        <v>197.4</v>
      </c>
      <c r="T188" s="1" t="str">
        <f t="shared" si="9"/>
        <v/>
      </c>
      <c r="U188" s="1" t="str">
        <f t="shared" si="10"/>
        <v/>
      </c>
      <c r="V188" s="1" t="str">
        <f>_xlfn.XLOOKUP(C188,Payers!$A$2:$A$9,Payers!$B$2:$B$9)</f>
        <v>Keystone Commercial PPO</v>
      </c>
      <c r="W188" s="1" t="str">
        <f t="shared" si="11"/>
        <v>2026-07</v>
      </c>
    </row>
    <row r="189" spans="1:23">
      <c r="A189" s="1" t="s">
        <v>423</v>
      </c>
      <c r="B189" s="1" t="s">
        <v>424</v>
      </c>
      <c r="C189" s="1" t="s">
        <v>60</v>
      </c>
      <c r="D189" s="1" t="s">
        <v>37</v>
      </c>
      <c r="E189" s="1" t="s">
        <v>48</v>
      </c>
      <c r="F189">
        <v>1</v>
      </c>
      <c r="G189" s="2">
        <v>46004</v>
      </c>
      <c r="H189" s="2">
        <v>46007</v>
      </c>
      <c r="I189">
        <v>432.24</v>
      </c>
      <c r="J189">
        <v>180.9</v>
      </c>
      <c r="K189">
        <v>180.9</v>
      </c>
      <c r="L189">
        <v>0</v>
      </c>
      <c r="M189" s="1" t="s">
        <v>21</v>
      </c>
      <c r="N189" s="1" t="s">
        <v>22</v>
      </c>
      <c r="O189" s="2">
        <v>46022</v>
      </c>
      <c r="P189" s="2">
        <v>46022</v>
      </c>
      <c r="Q189">
        <f>_xlfn.XLOOKUP(E189,CPT!$A$2:$A$13,CPT!$D$2:$D$13)</f>
        <v>420</v>
      </c>
      <c r="R189" s="1">
        <f>_xlfn.XLOOKUP(C189,Contract!$A$2:$A$9,Contract!$B$2:$B$9)</f>
        <v>0.45</v>
      </c>
      <c r="S189" s="1">
        <f t="shared" si="8"/>
        <v>189</v>
      </c>
      <c r="T189" s="1">
        <f t="shared" si="9"/>
        <v>8.0999999999999943</v>
      </c>
      <c r="U189" s="1" t="str">
        <f t="shared" si="10"/>
        <v>OK</v>
      </c>
      <c r="V189" s="1" t="str">
        <f>_xlfn.XLOOKUP(C189,Payers!$A$2:$A$9,Payers!$B$2:$B$9)</f>
        <v>Blue Horizon Commercial</v>
      </c>
      <c r="W189" s="1" t="str">
        <f t="shared" si="11"/>
        <v>2025-12</v>
      </c>
    </row>
    <row r="190" spans="1:23">
      <c r="A190" s="1" t="s">
        <v>425</v>
      </c>
      <c r="B190" s="1" t="s">
        <v>426</v>
      </c>
      <c r="C190" s="1" t="s">
        <v>52</v>
      </c>
      <c r="D190" s="1" t="s">
        <v>37</v>
      </c>
      <c r="E190" s="1" t="s">
        <v>57</v>
      </c>
      <c r="F190">
        <v>1</v>
      </c>
      <c r="G190" s="2">
        <v>46107</v>
      </c>
      <c r="H190" s="2">
        <v>46112</v>
      </c>
      <c r="I190">
        <v>215.56</v>
      </c>
      <c r="J190">
        <v>96.11</v>
      </c>
      <c r="K190">
        <v>76.89</v>
      </c>
      <c r="L190">
        <v>19.22</v>
      </c>
      <c r="M190" s="1" t="s">
        <v>21</v>
      </c>
      <c r="N190" s="1" t="s">
        <v>22</v>
      </c>
      <c r="O190" s="2">
        <v>46150</v>
      </c>
      <c r="P190" s="2">
        <v>46150</v>
      </c>
      <c r="Q190">
        <f>_xlfn.XLOOKUP(E190,CPT!$A$2:$A$13,CPT!$D$2:$D$13)</f>
        <v>210</v>
      </c>
      <c r="R190" s="1">
        <f>_xlfn.XLOOKUP(C190,Contract!$A$2:$A$9,Contract!$B$2:$B$9)</f>
        <v>0.47</v>
      </c>
      <c r="S190" s="1">
        <f t="shared" si="8"/>
        <v>98.7</v>
      </c>
      <c r="T190" s="1">
        <f t="shared" si="9"/>
        <v>2.5900000000000034</v>
      </c>
      <c r="U190" s="1" t="str">
        <f t="shared" si="10"/>
        <v>OK</v>
      </c>
      <c r="V190" s="1" t="str">
        <f>_xlfn.XLOOKUP(C190,Payers!$A$2:$A$9,Payers!$B$2:$B$9)</f>
        <v>Keystone Commercial PPO</v>
      </c>
      <c r="W190" s="1" t="str">
        <f t="shared" si="11"/>
        <v>2026-03</v>
      </c>
    </row>
    <row r="191" spans="1:23">
      <c r="A191" s="1" t="s">
        <v>427</v>
      </c>
      <c r="B191" s="1" t="s">
        <v>428</v>
      </c>
      <c r="C191" s="1" t="s">
        <v>76</v>
      </c>
      <c r="D191" s="1" t="s">
        <v>37</v>
      </c>
      <c r="E191" s="1" t="s">
        <v>48</v>
      </c>
      <c r="F191">
        <v>1</v>
      </c>
      <c r="G191" s="2">
        <v>46046</v>
      </c>
      <c r="H191" s="2">
        <v>46051</v>
      </c>
      <c r="I191">
        <v>414.98</v>
      </c>
      <c r="J191">
        <v>200.29</v>
      </c>
      <c r="K191">
        <v>160.22999999999999</v>
      </c>
      <c r="L191">
        <v>40.06</v>
      </c>
      <c r="M191" s="1" t="s">
        <v>21</v>
      </c>
      <c r="N191" s="1" t="s">
        <v>22</v>
      </c>
      <c r="O191" s="2">
        <v>46085</v>
      </c>
      <c r="P191" s="2">
        <v>46085</v>
      </c>
      <c r="Q191">
        <f>_xlfn.XLOOKUP(E191,CPT!$A$2:$A$13,CPT!$D$2:$D$13)</f>
        <v>420</v>
      </c>
      <c r="R191" s="1">
        <f>_xlfn.XLOOKUP(C191,Contract!$A$2:$A$9,Contract!$B$2:$B$9)</f>
        <v>0.43</v>
      </c>
      <c r="S191" s="1">
        <f t="shared" si="8"/>
        <v>180.6</v>
      </c>
      <c r="T191" s="1">
        <f t="shared" si="9"/>
        <v>-19.689999999999998</v>
      </c>
      <c r="U191" s="1" t="str">
        <f t="shared" si="10"/>
        <v>OK</v>
      </c>
      <c r="V191" s="1" t="str">
        <f>_xlfn.XLOOKUP(C191,Payers!$A$2:$A$9,Payers!$B$2:$B$9)</f>
        <v>Summit Health Commercial</v>
      </c>
      <c r="W191" s="1" t="str">
        <f t="shared" si="11"/>
        <v>2026-01</v>
      </c>
    </row>
    <row r="192" spans="1:23">
      <c r="A192" s="1" t="s">
        <v>429</v>
      </c>
      <c r="B192" s="1" t="s">
        <v>430</v>
      </c>
      <c r="C192" s="1" t="s">
        <v>76</v>
      </c>
      <c r="D192" s="1" t="s">
        <v>19</v>
      </c>
      <c r="E192" s="1" t="s">
        <v>57</v>
      </c>
      <c r="F192">
        <v>1</v>
      </c>
      <c r="G192" s="2">
        <v>46061</v>
      </c>
      <c r="H192" s="2">
        <v>46066</v>
      </c>
      <c r="I192">
        <v>206.26</v>
      </c>
      <c r="J192">
        <v>97.7</v>
      </c>
      <c r="K192">
        <v>97.7</v>
      </c>
      <c r="L192">
        <v>0</v>
      </c>
      <c r="M192" s="1" t="s">
        <v>21</v>
      </c>
      <c r="N192" s="1" t="s">
        <v>22</v>
      </c>
      <c r="O192" s="2">
        <v>46110</v>
      </c>
      <c r="P192" s="2">
        <v>46110</v>
      </c>
      <c r="Q192">
        <f>_xlfn.XLOOKUP(E192,CPT!$A$2:$A$13,CPT!$D$2:$D$13)</f>
        <v>210</v>
      </c>
      <c r="R192" s="1">
        <f>_xlfn.XLOOKUP(C192,Contract!$A$2:$A$9,Contract!$B$2:$B$9)</f>
        <v>0.43</v>
      </c>
      <c r="S192" s="1">
        <f t="shared" si="8"/>
        <v>90.3</v>
      </c>
      <c r="T192" s="1">
        <f t="shared" si="9"/>
        <v>-7.4000000000000057</v>
      </c>
      <c r="U192" s="1" t="str">
        <f t="shared" si="10"/>
        <v>OK</v>
      </c>
      <c r="V192" s="1" t="str">
        <f>_xlfn.XLOOKUP(C192,Payers!$A$2:$A$9,Payers!$B$2:$B$9)</f>
        <v>Summit Health Commercial</v>
      </c>
      <c r="W192" s="1" t="str">
        <f t="shared" si="11"/>
        <v>2026-02</v>
      </c>
    </row>
    <row r="193" spans="1:23">
      <c r="A193" s="1" t="s">
        <v>431</v>
      </c>
      <c r="B193" s="1" t="s">
        <v>432</v>
      </c>
      <c r="C193" s="1" t="s">
        <v>25</v>
      </c>
      <c r="D193" s="1" t="s">
        <v>26</v>
      </c>
      <c r="E193" s="1" t="s">
        <v>41</v>
      </c>
      <c r="F193">
        <v>1</v>
      </c>
      <c r="G193" s="2">
        <v>45951</v>
      </c>
      <c r="H193" s="2">
        <v>45952</v>
      </c>
      <c r="I193">
        <v>38.85</v>
      </c>
      <c r="J193">
        <v>14.96</v>
      </c>
      <c r="K193">
        <v>14.96</v>
      </c>
      <c r="L193">
        <v>0</v>
      </c>
      <c r="M193" s="1" t="s">
        <v>21</v>
      </c>
      <c r="N193" s="1" t="s">
        <v>22</v>
      </c>
      <c r="O193" s="2">
        <v>45974</v>
      </c>
      <c r="P193" s="2">
        <v>45974</v>
      </c>
      <c r="Q193">
        <f>_xlfn.XLOOKUP(E193,CPT!$A$2:$A$13,CPT!$D$2:$D$13)</f>
        <v>38</v>
      </c>
      <c r="R193" s="1">
        <f>_xlfn.XLOOKUP(C193,Contract!$A$2:$A$9,Contract!$B$2:$B$9)</f>
        <v>0.36</v>
      </c>
      <c r="S193" s="1">
        <f t="shared" si="8"/>
        <v>13.68</v>
      </c>
      <c r="T193" s="1">
        <f t="shared" si="9"/>
        <v>-1.2800000000000011</v>
      </c>
      <c r="U193" s="1" t="str">
        <f t="shared" si="10"/>
        <v>OK</v>
      </c>
      <c r="V193" s="1" t="str">
        <f>_xlfn.XLOOKUP(C193,Payers!$A$2:$A$9,Payers!$B$2:$B$9)</f>
        <v>Medicare Part B</v>
      </c>
      <c r="W193" s="1" t="str">
        <f t="shared" si="11"/>
        <v>2025-10</v>
      </c>
    </row>
    <row r="194" spans="1:23">
      <c r="A194" s="1" t="s">
        <v>433</v>
      </c>
      <c r="B194" s="1" t="s">
        <v>434</v>
      </c>
      <c r="C194" s="1" t="s">
        <v>76</v>
      </c>
      <c r="D194" s="1" t="s">
        <v>26</v>
      </c>
      <c r="E194" s="1" t="s">
        <v>185</v>
      </c>
      <c r="F194">
        <v>1</v>
      </c>
      <c r="G194" s="2">
        <v>45938</v>
      </c>
      <c r="H194" s="2">
        <v>45939</v>
      </c>
      <c r="I194">
        <v>1130.1099999999999</v>
      </c>
      <c r="J194">
        <v>520.23</v>
      </c>
      <c r="K194">
        <v>520.23</v>
      </c>
      <c r="L194">
        <v>0</v>
      </c>
      <c r="M194" s="1" t="s">
        <v>21</v>
      </c>
      <c r="N194" s="1" t="s">
        <v>22</v>
      </c>
      <c r="O194" s="2">
        <v>45971</v>
      </c>
      <c r="P194" s="2">
        <v>45971</v>
      </c>
      <c r="Q194">
        <f>_xlfn.XLOOKUP(E194,CPT!$A$2:$A$13,CPT!$D$2:$D$13)</f>
        <v>1150</v>
      </c>
      <c r="R194" s="1">
        <f>_xlfn.XLOOKUP(C194,Contract!$A$2:$A$9,Contract!$B$2:$B$9)</f>
        <v>0.43</v>
      </c>
      <c r="S194" s="1">
        <f t="shared" ref="S194:S257" si="12">ROUND(Q194*F194*R194,2)</f>
        <v>494.5</v>
      </c>
      <c r="T194" s="1">
        <f t="shared" ref="T194:T257" si="13">IF(M194="Paid",S194-J194,"")</f>
        <v>-25.730000000000018</v>
      </c>
      <c r="U194" s="1" t="str">
        <f t="shared" ref="U194:U257" si="14">IF(M194&lt;&gt;"Paid","",IF(T194&gt;S194*0.05,"Underpaid","OK"))</f>
        <v>OK</v>
      </c>
      <c r="V194" s="1" t="str">
        <f>_xlfn.XLOOKUP(C194,Payers!$A$2:$A$9,Payers!$B$2:$B$9)</f>
        <v>Summit Health Commercial</v>
      </c>
      <c r="W194" s="1" t="str">
        <f t="shared" ref="W194:W257" si="15">TEXT(G194,"yyyy-mm")</f>
        <v>2025-10</v>
      </c>
    </row>
    <row r="195" spans="1:23">
      <c r="A195" s="1" t="s">
        <v>435</v>
      </c>
      <c r="B195" s="1" t="s">
        <v>436</v>
      </c>
      <c r="C195" s="1" t="s">
        <v>76</v>
      </c>
      <c r="D195" s="1" t="s">
        <v>30</v>
      </c>
      <c r="E195" s="1" t="s">
        <v>20</v>
      </c>
      <c r="F195">
        <v>1</v>
      </c>
      <c r="G195" s="2">
        <v>46075</v>
      </c>
      <c r="H195" s="2">
        <v>46079</v>
      </c>
      <c r="I195">
        <v>143.96</v>
      </c>
      <c r="J195">
        <v>61.79</v>
      </c>
      <c r="K195">
        <v>49.43</v>
      </c>
      <c r="L195">
        <v>12.36</v>
      </c>
      <c r="M195" s="1" t="s">
        <v>21</v>
      </c>
      <c r="N195" s="1" t="s">
        <v>22</v>
      </c>
      <c r="O195" s="2">
        <v>46089</v>
      </c>
      <c r="P195" s="2">
        <v>46089</v>
      </c>
      <c r="Q195">
        <f>_xlfn.XLOOKUP(E195,CPT!$A$2:$A$13,CPT!$D$2:$D$13)</f>
        <v>145</v>
      </c>
      <c r="R195" s="1">
        <f>_xlfn.XLOOKUP(C195,Contract!$A$2:$A$9,Contract!$B$2:$B$9)</f>
        <v>0.43</v>
      </c>
      <c r="S195" s="1">
        <f t="shared" si="12"/>
        <v>62.35</v>
      </c>
      <c r="T195" s="1">
        <f t="shared" si="13"/>
        <v>0.56000000000000227</v>
      </c>
      <c r="U195" s="1" t="str">
        <f t="shared" si="14"/>
        <v>OK</v>
      </c>
      <c r="V195" s="1" t="str">
        <f>_xlfn.XLOOKUP(C195,Payers!$A$2:$A$9,Payers!$B$2:$B$9)</f>
        <v>Summit Health Commercial</v>
      </c>
      <c r="W195" s="1" t="str">
        <f t="shared" si="15"/>
        <v>2026-02</v>
      </c>
    </row>
    <row r="196" spans="1:23">
      <c r="A196" s="1" t="s">
        <v>437</v>
      </c>
      <c r="B196" s="1" t="s">
        <v>161</v>
      </c>
      <c r="C196" s="1" t="s">
        <v>52</v>
      </c>
      <c r="D196" s="1" t="s">
        <v>26</v>
      </c>
      <c r="E196" s="1" t="s">
        <v>41</v>
      </c>
      <c r="F196">
        <v>1</v>
      </c>
      <c r="G196" s="2">
        <v>46094</v>
      </c>
      <c r="H196" s="2">
        <v>46096</v>
      </c>
      <c r="I196">
        <v>38.94</v>
      </c>
      <c r="J196">
        <v>18.760000000000002</v>
      </c>
      <c r="K196">
        <v>16.88</v>
      </c>
      <c r="L196">
        <v>1.88</v>
      </c>
      <c r="M196" s="1" t="s">
        <v>21</v>
      </c>
      <c r="N196" s="1" t="s">
        <v>22</v>
      </c>
      <c r="O196" s="2">
        <v>46142</v>
      </c>
      <c r="P196" s="2">
        <v>46142</v>
      </c>
      <c r="Q196">
        <f>_xlfn.XLOOKUP(E196,CPT!$A$2:$A$13,CPT!$D$2:$D$13)</f>
        <v>38</v>
      </c>
      <c r="R196" s="1">
        <f>_xlfn.XLOOKUP(C196,Contract!$A$2:$A$9,Contract!$B$2:$B$9)</f>
        <v>0.47</v>
      </c>
      <c r="S196" s="1">
        <f t="shared" si="12"/>
        <v>17.86</v>
      </c>
      <c r="T196" s="1">
        <f t="shared" si="13"/>
        <v>-0.90000000000000213</v>
      </c>
      <c r="U196" s="1" t="str">
        <f t="shared" si="14"/>
        <v>OK</v>
      </c>
      <c r="V196" s="1" t="str">
        <f>_xlfn.XLOOKUP(C196,Payers!$A$2:$A$9,Payers!$B$2:$B$9)</f>
        <v>Keystone Commercial PPO</v>
      </c>
      <c r="W196" s="1" t="str">
        <f t="shared" si="15"/>
        <v>2026-03</v>
      </c>
    </row>
    <row r="197" spans="1:23">
      <c r="A197" s="1" t="s">
        <v>438</v>
      </c>
      <c r="B197" s="1" t="s">
        <v>439</v>
      </c>
      <c r="C197" s="1" t="s">
        <v>18</v>
      </c>
      <c r="D197" s="1" t="s">
        <v>30</v>
      </c>
      <c r="E197" s="1" t="s">
        <v>20</v>
      </c>
      <c r="F197">
        <v>1</v>
      </c>
      <c r="G197" s="2">
        <v>46082</v>
      </c>
      <c r="H197" s="2">
        <v>46084</v>
      </c>
      <c r="I197">
        <v>141.97999999999999</v>
      </c>
      <c r="J197">
        <v>54.3</v>
      </c>
      <c r="K197">
        <v>48.87</v>
      </c>
      <c r="L197">
        <v>5.43</v>
      </c>
      <c r="M197" s="1" t="s">
        <v>21</v>
      </c>
      <c r="N197" s="1" t="s">
        <v>22</v>
      </c>
      <c r="O197" s="2">
        <v>46144</v>
      </c>
      <c r="P197" s="2">
        <v>46144</v>
      </c>
      <c r="Q197">
        <f>_xlfn.XLOOKUP(E197,CPT!$A$2:$A$13,CPT!$D$2:$D$13)</f>
        <v>145</v>
      </c>
      <c r="R197" s="1">
        <f>_xlfn.XLOOKUP(C197,Contract!$A$2:$A$9,Contract!$B$2:$B$9)</f>
        <v>0.38</v>
      </c>
      <c r="S197" s="1">
        <f t="shared" si="12"/>
        <v>55.1</v>
      </c>
      <c r="T197" s="1">
        <f t="shared" si="13"/>
        <v>0.80000000000000426</v>
      </c>
      <c r="U197" s="1" t="str">
        <f t="shared" si="14"/>
        <v>OK</v>
      </c>
      <c r="V197" s="1" t="str">
        <f>_xlfn.XLOOKUP(C197,Payers!$A$2:$A$9,Payers!$B$2:$B$9)</f>
        <v>Sunshine Medicare Advantage</v>
      </c>
      <c r="W197" s="1" t="str">
        <f t="shared" si="15"/>
        <v>2026-03</v>
      </c>
    </row>
    <row r="198" spans="1:23">
      <c r="A198" s="1" t="s">
        <v>440</v>
      </c>
      <c r="B198" s="1" t="s">
        <v>426</v>
      </c>
      <c r="C198" s="1" t="s">
        <v>60</v>
      </c>
      <c r="D198" s="1" t="s">
        <v>37</v>
      </c>
      <c r="E198" s="1" t="s">
        <v>48</v>
      </c>
      <c r="F198">
        <v>1</v>
      </c>
      <c r="G198" s="2">
        <v>46259</v>
      </c>
      <c r="H198" s="2">
        <v>46262</v>
      </c>
      <c r="I198">
        <v>426.04</v>
      </c>
      <c r="M198" s="1" t="s">
        <v>69</v>
      </c>
      <c r="N198" s="1" t="s">
        <v>22</v>
      </c>
      <c r="O198" s="2"/>
      <c r="P198" s="2"/>
      <c r="Q198">
        <f>_xlfn.XLOOKUP(E198,CPT!$A$2:$A$13,CPT!$D$2:$D$13)</f>
        <v>420</v>
      </c>
      <c r="R198" s="1">
        <f>_xlfn.XLOOKUP(C198,Contract!$A$2:$A$9,Contract!$B$2:$B$9)</f>
        <v>0.45</v>
      </c>
      <c r="S198" s="1">
        <f t="shared" si="12"/>
        <v>189</v>
      </c>
      <c r="T198" s="1" t="str">
        <f t="shared" si="13"/>
        <v/>
      </c>
      <c r="U198" s="1" t="str">
        <f t="shared" si="14"/>
        <v/>
      </c>
      <c r="V198" s="1" t="str">
        <f>_xlfn.XLOOKUP(C198,Payers!$A$2:$A$9,Payers!$B$2:$B$9)</f>
        <v>Blue Horizon Commercial</v>
      </c>
      <c r="W198" s="1" t="str">
        <f t="shared" si="15"/>
        <v>2026-08</v>
      </c>
    </row>
    <row r="199" spans="1:23">
      <c r="A199" s="1" t="s">
        <v>441</v>
      </c>
      <c r="B199" s="1" t="s">
        <v>293</v>
      </c>
      <c r="C199" s="1" t="s">
        <v>79</v>
      </c>
      <c r="D199" s="1" t="s">
        <v>30</v>
      </c>
      <c r="E199" s="1" t="s">
        <v>20</v>
      </c>
      <c r="F199">
        <v>1</v>
      </c>
      <c r="G199" s="2">
        <v>45961</v>
      </c>
      <c r="H199" s="2">
        <v>46098</v>
      </c>
      <c r="I199">
        <v>145.21</v>
      </c>
      <c r="M199" s="1" t="s">
        <v>69</v>
      </c>
      <c r="N199" s="1" t="s">
        <v>22</v>
      </c>
      <c r="O199" s="2"/>
      <c r="P199" s="2"/>
      <c r="Q199">
        <f>_xlfn.XLOOKUP(E199,CPT!$A$2:$A$13,CPT!$D$2:$D$13)</f>
        <v>145</v>
      </c>
      <c r="R199" s="1">
        <f>_xlfn.XLOOKUP(C199,Contract!$A$2:$A$9,Contract!$B$2:$B$9)</f>
        <v>1</v>
      </c>
      <c r="S199" s="1">
        <f t="shared" si="12"/>
        <v>145</v>
      </c>
      <c r="T199" s="1" t="str">
        <f t="shared" si="13"/>
        <v/>
      </c>
      <c r="U199" s="1" t="str">
        <f t="shared" si="14"/>
        <v/>
      </c>
      <c r="V199" s="1" t="str">
        <f>_xlfn.XLOOKUP(C199,Payers!$A$2:$A$9,Payers!$B$2:$B$9)</f>
        <v>Self-Pay</v>
      </c>
      <c r="W199" s="1" t="str">
        <f t="shared" si="15"/>
        <v>2025-10</v>
      </c>
    </row>
    <row r="200" spans="1:23">
      <c r="A200" s="1" t="s">
        <v>442</v>
      </c>
      <c r="B200" s="1" t="s">
        <v>443</v>
      </c>
      <c r="C200" s="1" t="s">
        <v>60</v>
      </c>
      <c r="D200" s="1" t="s">
        <v>30</v>
      </c>
      <c r="E200" s="1" t="s">
        <v>31</v>
      </c>
      <c r="F200">
        <v>1</v>
      </c>
      <c r="G200" s="2">
        <v>46008</v>
      </c>
      <c r="H200" s="2">
        <v>46143</v>
      </c>
      <c r="I200">
        <v>60.95</v>
      </c>
      <c r="M200" s="1" t="s">
        <v>32</v>
      </c>
      <c r="N200" s="1" t="s">
        <v>137</v>
      </c>
      <c r="O200" s="2">
        <v>46161</v>
      </c>
      <c r="P200" s="2"/>
      <c r="Q200">
        <f>_xlfn.XLOOKUP(E200,CPT!$A$2:$A$13,CPT!$D$2:$D$13)</f>
        <v>62</v>
      </c>
      <c r="R200" s="1">
        <f>_xlfn.XLOOKUP(C200,Contract!$A$2:$A$9,Contract!$B$2:$B$9)</f>
        <v>0.45</v>
      </c>
      <c r="S200" s="1">
        <f t="shared" si="12"/>
        <v>27.9</v>
      </c>
      <c r="T200" s="1" t="str">
        <f t="shared" si="13"/>
        <v/>
      </c>
      <c r="U200" s="1" t="str">
        <f t="shared" si="14"/>
        <v/>
      </c>
      <c r="V200" s="1" t="str">
        <f>_xlfn.XLOOKUP(C200,Payers!$A$2:$A$9,Payers!$B$2:$B$9)</f>
        <v>Blue Horizon Commercial</v>
      </c>
      <c r="W200" s="1" t="str">
        <f t="shared" si="15"/>
        <v>2025-12</v>
      </c>
    </row>
    <row r="201" spans="1:23">
      <c r="A201" s="1" t="s">
        <v>444</v>
      </c>
      <c r="B201" s="1" t="s">
        <v>445</v>
      </c>
      <c r="C201" s="1" t="s">
        <v>60</v>
      </c>
      <c r="D201" s="1" t="s">
        <v>19</v>
      </c>
      <c r="E201" s="1" t="s">
        <v>41</v>
      </c>
      <c r="F201">
        <v>1</v>
      </c>
      <c r="G201" s="2">
        <v>46202</v>
      </c>
      <c r="H201" s="2">
        <v>46206</v>
      </c>
      <c r="I201">
        <v>38.51</v>
      </c>
      <c r="J201">
        <v>17.34</v>
      </c>
      <c r="K201">
        <v>13.87</v>
      </c>
      <c r="L201">
        <v>3.47</v>
      </c>
      <c r="M201" s="1" t="s">
        <v>21</v>
      </c>
      <c r="N201" s="1" t="s">
        <v>22</v>
      </c>
      <c r="O201" s="2">
        <v>46235</v>
      </c>
      <c r="P201" s="2">
        <v>46235</v>
      </c>
      <c r="Q201">
        <f>_xlfn.XLOOKUP(E201,CPT!$A$2:$A$13,CPT!$D$2:$D$13)</f>
        <v>38</v>
      </c>
      <c r="R201" s="1">
        <f>_xlfn.XLOOKUP(C201,Contract!$A$2:$A$9,Contract!$B$2:$B$9)</f>
        <v>0.45</v>
      </c>
      <c r="S201" s="1">
        <f t="shared" si="12"/>
        <v>17.100000000000001</v>
      </c>
      <c r="T201" s="1">
        <f t="shared" si="13"/>
        <v>-0.23999999999999844</v>
      </c>
      <c r="U201" s="1" t="str">
        <f t="shared" si="14"/>
        <v>OK</v>
      </c>
      <c r="V201" s="1" t="str">
        <f>_xlfn.XLOOKUP(C201,Payers!$A$2:$A$9,Payers!$B$2:$B$9)</f>
        <v>Blue Horizon Commercial</v>
      </c>
      <c r="W201" s="1" t="str">
        <f t="shared" si="15"/>
        <v>2026-06</v>
      </c>
    </row>
    <row r="202" spans="1:23">
      <c r="A202" s="1" t="s">
        <v>446</v>
      </c>
      <c r="B202" s="1" t="s">
        <v>447</v>
      </c>
      <c r="C202" s="1" t="s">
        <v>60</v>
      </c>
      <c r="D202" s="1" t="s">
        <v>30</v>
      </c>
      <c r="E202" s="1" t="s">
        <v>31</v>
      </c>
      <c r="F202">
        <v>3</v>
      </c>
      <c r="G202" s="2">
        <v>45980</v>
      </c>
      <c r="H202" s="2">
        <v>45981</v>
      </c>
      <c r="I202">
        <v>182.08</v>
      </c>
      <c r="J202">
        <v>76</v>
      </c>
      <c r="K202">
        <v>60.8</v>
      </c>
      <c r="L202">
        <v>15.2</v>
      </c>
      <c r="M202" s="1" t="s">
        <v>21</v>
      </c>
      <c r="N202" s="1" t="s">
        <v>22</v>
      </c>
      <c r="O202" s="2">
        <v>46002</v>
      </c>
      <c r="P202" s="2">
        <v>46002</v>
      </c>
      <c r="Q202">
        <f>_xlfn.XLOOKUP(E202,CPT!$A$2:$A$13,CPT!$D$2:$D$13)</f>
        <v>62</v>
      </c>
      <c r="R202" s="1">
        <f>_xlfn.XLOOKUP(C202,Contract!$A$2:$A$9,Contract!$B$2:$B$9)</f>
        <v>0.45</v>
      </c>
      <c r="S202" s="1">
        <f t="shared" si="12"/>
        <v>83.7</v>
      </c>
      <c r="T202" s="1">
        <f t="shared" si="13"/>
        <v>7.7000000000000028</v>
      </c>
      <c r="U202" s="1" t="str">
        <f t="shared" si="14"/>
        <v>Underpaid</v>
      </c>
      <c r="V202" s="1" t="str">
        <f>_xlfn.XLOOKUP(C202,Payers!$A$2:$A$9,Payers!$B$2:$B$9)</f>
        <v>Blue Horizon Commercial</v>
      </c>
      <c r="W202" s="1" t="str">
        <f t="shared" si="15"/>
        <v>2025-11</v>
      </c>
    </row>
    <row r="203" spans="1:23">
      <c r="A203" s="1" t="s">
        <v>448</v>
      </c>
      <c r="B203" s="1" t="s">
        <v>449</v>
      </c>
      <c r="C203" s="1" t="s">
        <v>76</v>
      </c>
      <c r="D203" s="1" t="s">
        <v>19</v>
      </c>
      <c r="E203" s="1" t="s">
        <v>57</v>
      </c>
      <c r="F203">
        <v>1</v>
      </c>
      <c r="G203" s="2">
        <v>45972</v>
      </c>
      <c r="H203" s="2">
        <v>45980</v>
      </c>
      <c r="I203">
        <v>211.94</v>
      </c>
      <c r="J203">
        <v>79.150000000000006</v>
      </c>
      <c r="K203">
        <v>63.32</v>
      </c>
      <c r="L203">
        <v>15.83</v>
      </c>
      <c r="M203" s="1" t="s">
        <v>21</v>
      </c>
      <c r="N203" s="1" t="s">
        <v>22</v>
      </c>
      <c r="O203" s="2">
        <v>46017</v>
      </c>
      <c r="P203" s="2">
        <v>46017</v>
      </c>
      <c r="Q203">
        <f>_xlfn.XLOOKUP(E203,CPT!$A$2:$A$13,CPT!$D$2:$D$13)</f>
        <v>210</v>
      </c>
      <c r="R203" s="1">
        <f>_xlfn.XLOOKUP(C203,Contract!$A$2:$A$9,Contract!$B$2:$B$9)</f>
        <v>0.43</v>
      </c>
      <c r="S203" s="1">
        <f t="shared" si="12"/>
        <v>90.3</v>
      </c>
      <c r="T203" s="1">
        <f t="shared" si="13"/>
        <v>11.149999999999991</v>
      </c>
      <c r="U203" s="1" t="str">
        <f t="shared" si="14"/>
        <v>Underpaid</v>
      </c>
      <c r="V203" s="1" t="str">
        <f>_xlfn.XLOOKUP(C203,Payers!$A$2:$A$9,Payers!$B$2:$B$9)</f>
        <v>Summit Health Commercial</v>
      </c>
      <c r="W203" s="1" t="str">
        <f t="shared" si="15"/>
        <v>2025-11</v>
      </c>
    </row>
    <row r="204" spans="1:23">
      <c r="A204" s="1" t="s">
        <v>450</v>
      </c>
      <c r="B204" s="1" t="s">
        <v>451</v>
      </c>
      <c r="C204" s="1" t="s">
        <v>25</v>
      </c>
      <c r="D204" s="1" t="s">
        <v>19</v>
      </c>
      <c r="E204" s="1" t="s">
        <v>20</v>
      </c>
      <c r="F204">
        <v>1</v>
      </c>
      <c r="G204" s="2">
        <v>46290</v>
      </c>
      <c r="H204" s="2">
        <v>46293</v>
      </c>
      <c r="I204">
        <v>142.13999999999999</v>
      </c>
      <c r="M204" s="1" t="s">
        <v>69</v>
      </c>
      <c r="N204" s="1" t="s">
        <v>22</v>
      </c>
      <c r="O204" s="2"/>
      <c r="P204" s="2"/>
      <c r="Q204">
        <f>_xlfn.XLOOKUP(E204,CPT!$A$2:$A$13,CPT!$D$2:$D$13)</f>
        <v>145</v>
      </c>
      <c r="R204" s="1">
        <f>_xlfn.XLOOKUP(C204,Contract!$A$2:$A$9,Contract!$B$2:$B$9)</f>
        <v>0.36</v>
      </c>
      <c r="S204" s="1">
        <f t="shared" si="12"/>
        <v>52.2</v>
      </c>
      <c r="T204" s="1" t="str">
        <f t="shared" si="13"/>
        <v/>
      </c>
      <c r="U204" s="1" t="str">
        <f t="shared" si="14"/>
        <v/>
      </c>
      <c r="V204" s="1" t="str">
        <f>_xlfn.XLOOKUP(C204,Payers!$A$2:$A$9,Payers!$B$2:$B$9)</f>
        <v>Medicare Part B</v>
      </c>
      <c r="W204" s="1" t="str">
        <f t="shared" si="15"/>
        <v>2026-09</v>
      </c>
    </row>
    <row r="205" spans="1:23">
      <c r="A205" s="1" t="s">
        <v>452</v>
      </c>
      <c r="B205" s="1" t="s">
        <v>453</v>
      </c>
      <c r="C205" s="1" t="s">
        <v>25</v>
      </c>
      <c r="D205" s="1" t="s">
        <v>30</v>
      </c>
      <c r="E205" s="1" t="s">
        <v>20</v>
      </c>
      <c r="F205">
        <v>1</v>
      </c>
      <c r="G205" s="2">
        <v>46022</v>
      </c>
      <c r="H205" s="2">
        <v>46024</v>
      </c>
      <c r="I205">
        <v>148.72999999999999</v>
      </c>
      <c r="J205">
        <v>57.74</v>
      </c>
      <c r="K205">
        <v>46.19</v>
      </c>
      <c r="L205">
        <v>11.55</v>
      </c>
      <c r="M205" s="1" t="s">
        <v>21</v>
      </c>
      <c r="N205" s="1" t="s">
        <v>22</v>
      </c>
      <c r="O205" s="2">
        <v>46037</v>
      </c>
      <c r="P205" s="2">
        <v>46037</v>
      </c>
      <c r="Q205">
        <f>_xlfn.XLOOKUP(E205,CPT!$A$2:$A$13,CPT!$D$2:$D$13)</f>
        <v>145</v>
      </c>
      <c r="R205" s="1">
        <f>_xlfn.XLOOKUP(C205,Contract!$A$2:$A$9,Contract!$B$2:$B$9)</f>
        <v>0.36</v>
      </c>
      <c r="S205" s="1">
        <f t="shared" si="12"/>
        <v>52.2</v>
      </c>
      <c r="T205" s="1">
        <f t="shared" si="13"/>
        <v>-5.5399999999999991</v>
      </c>
      <c r="U205" s="1" t="str">
        <f t="shared" si="14"/>
        <v>OK</v>
      </c>
      <c r="V205" s="1" t="str">
        <f>_xlfn.XLOOKUP(C205,Payers!$A$2:$A$9,Payers!$B$2:$B$9)</f>
        <v>Medicare Part B</v>
      </c>
      <c r="W205" s="1" t="str">
        <f t="shared" si="15"/>
        <v>2025-12</v>
      </c>
    </row>
    <row r="206" spans="1:23">
      <c r="A206" s="1" t="s">
        <v>454</v>
      </c>
      <c r="B206" s="1" t="s">
        <v>455</v>
      </c>
      <c r="C206" s="1" t="s">
        <v>76</v>
      </c>
      <c r="D206" s="1" t="s">
        <v>26</v>
      </c>
      <c r="E206" s="1" t="s">
        <v>27</v>
      </c>
      <c r="F206">
        <v>1</v>
      </c>
      <c r="G206" s="2">
        <v>46130</v>
      </c>
      <c r="H206" s="2">
        <v>46134</v>
      </c>
      <c r="I206">
        <v>242.55</v>
      </c>
      <c r="J206">
        <v>111.42</v>
      </c>
      <c r="K206">
        <v>111.42</v>
      </c>
      <c r="L206">
        <v>0</v>
      </c>
      <c r="M206" s="1" t="s">
        <v>21</v>
      </c>
      <c r="N206" s="1" t="s">
        <v>22</v>
      </c>
      <c r="O206" s="2">
        <v>46169</v>
      </c>
      <c r="P206" s="2">
        <v>46169</v>
      </c>
      <c r="Q206">
        <f>_xlfn.XLOOKUP(E206,CPT!$A$2:$A$13,CPT!$D$2:$D$13)</f>
        <v>240</v>
      </c>
      <c r="R206" s="1">
        <f>_xlfn.XLOOKUP(C206,Contract!$A$2:$A$9,Contract!$B$2:$B$9)</f>
        <v>0.43</v>
      </c>
      <c r="S206" s="1">
        <f t="shared" si="12"/>
        <v>103.2</v>
      </c>
      <c r="T206" s="1">
        <f t="shared" si="13"/>
        <v>-8.2199999999999989</v>
      </c>
      <c r="U206" s="1" t="str">
        <f t="shared" si="14"/>
        <v>OK</v>
      </c>
      <c r="V206" s="1" t="str">
        <f>_xlfn.XLOOKUP(C206,Payers!$A$2:$A$9,Payers!$B$2:$B$9)</f>
        <v>Summit Health Commercial</v>
      </c>
      <c r="W206" s="1" t="str">
        <f t="shared" si="15"/>
        <v>2026-04</v>
      </c>
    </row>
    <row r="207" spans="1:23">
      <c r="A207" s="1" t="s">
        <v>456</v>
      </c>
      <c r="B207" s="1" t="s">
        <v>457</v>
      </c>
      <c r="C207" s="1" t="s">
        <v>60</v>
      </c>
      <c r="D207" s="1" t="s">
        <v>37</v>
      </c>
      <c r="E207" s="1" t="s">
        <v>48</v>
      </c>
      <c r="F207">
        <v>1</v>
      </c>
      <c r="G207" s="2">
        <v>46154</v>
      </c>
      <c r="H207" s="2">
        <v>46155</v>
      </c>
      <c r="I207">
        <v>413.25</v>
      </c>
      <c r="J207">
        <v>192.55</v>
      </c>
      <c r="K207">
        <v>154.04</v>
      </c>
      <c r="L207">
        <v>38.51</v>
      </c>
      <c r="M207" s="1" t="s">
        <v>21</v>
      </c>
      <c r="N207" s="1" t="s">
        <v>22</v>
      </c>
      <c r="O207" s="2">
        <v>46170</v>
      </c>
      <c r="P207" s="2">
        <v>46170</v>
      </c>
      <c r="Q207">
        <f>_xlfn.XLOOKUP(E207,CPT!$A$2:$A$13,CPT!$D$2:$D$13)</f>
        <v>420</v>
      </c>
      <c r="R207" s="1">
        <f>_xlfn.XLOOKUP(C207,Contract!$A$2:$A$9,Contract!$B$2:$B$9)</f>
        <v>0.45</v>
      </c>
      <c r="S207" s="1">
        <f t="shared" si="12"/>
        <v>189</v>
      </c>
      <c r="T207" s="1">
        <f t="shared" si="13"/>
        <v>-3.5500000000000114</v>
      </c>
      <c r="U207" s="1" t="str">
        <f t="shared" si="14"/>
        <v>OK</v>
      </c>
      <c r="V207" s="1" t="str">
        <f>_xlfn.XLOOKUP(C207,Payers!$A$2:$A$9,Payers!$B$2:$B$9)</f>
        <v>Blue Horizon Commercial</v>
      </c>
      <c r="W207" s="1" t="str">
        <f t="shared" si="15"/>
        <v>2026-05</v>
      </c>
    </row>
    <row r="208" spans="1:23">
      <c r="A208" s="1" t="s">
        <v>458</v>
      </c>
      <c r="B208" s="1" t="s">
        <v>379</v>
      </c>
      <c r="C208" s="1" t="s">
        <v>76</v>
      </c>
      <c r="D208" s="1" t="s">
        <v>26</v>
      </c>
      <c r="E208" s="1" t="s">
        <v>41</v>
      </c>
      <c r="F208">
        <v>1</v>
      </c>
      <c r="G208" s="2">
        <v>46161</v>
      </c>
      <c r="H208" s="2">
        <v>46163</v>
      </c>
      <c r="I208">
        <v>37.979999999999997</v>
      </c>
      <c r="J208">
        <v>15.89</v>
      </c>
      <c r="K208">
        <v>15.89</v>
      </c>
      <c r="L208">
        <v>0</v>
      </c>
      <c r="M208" s="1" t="s">
        <v>21</v>
      </c>
      <c r="N208" s="1" t="s">
        <v>22</v>
      </c>
      <c r="O208" s="2">
        <v>46188</v>
      </c>
      <c r="P208" s="2">
        <v>46188</v>
      </c>
      <c r="Q208">
        <f>_xlfn.XLOOKUP(E208,CPT!$A$2:$A$13,CPT!$D$2:$D$13)</f>
        <v>38</v>
      </c>
      <c r="R208" s="1">
        <f>_xlfn.XLOOKUP(C208,Contract!$A$2:$A$9,Contract!$B$2:$B$9)</f>
        <v>0.43</v>
      </c>
      <c r="S208" s="1">
        <f t="shared" si="12"/>
        <v>16.34</v>
      </c>
      <c r="T208" s="1">
        <f t="shared" si="13"/>
        <v>0.44999999999999929</v>
      </c>
      <c r="U208" s="1" t="str">
        <f t="shared" si="14"/>
        <v>OK</v>
      </c>
      <c r="V208" s="1" t="str">
        <f>_xlfn.XLOOKUP(C208,Payers!$A$2:$A$9,Payers!$B$2:$B$9)</f>
        <v>Summit Health Commercial</v>
      </c>
      <c r="W208" s="1" t="str">
        <f t="shared" si="15"/>
        <v>2026-05</v>
      </c>
    </row>
    <row r="209" spans="1:23">
      <c r="A209" s="1" t="s">
        <v>459</v>
      </c>
      <c r="B209" s="1" t="s">
        <v>460</v>
      </c>
      <c r="C209" s="1" t="s">
        <v>18</v>
      </c>
      <c r="D209" s="1" t="s">
        <v>19</v>
      </c>
      <c r="E209" s="1" t="s">
        <v>57</v>
      </c>
      <c r="F209">
        <v>1</v>
      </c>
      <c r="G209" s="2">
        <v>45973</v>
      </c>
      <c r="H209" s="2">
        <v>45975</v>
      </c>
      <c r="I209">
        <v>207.08</v>
      </c>
      <c r="J209">
        <v>70.69</v>
      </c>
      <c r="K209">
        <v>56.55</v>
      </c>
      <c r="L209">
        <v>14.14</v>
      </c>
      <c r="M209" s="1" t="s">
        <v>21</v>
      </c>
      <c r="N209" s="1" t="s">
        <v>22</v>
      </c>
      <c r="O209" s="2">
        <v>46006</v>
      </c>
      <c r="P209" s="2">
        <v>46006</v>
      </c>
      <c r="Q209">
        <f>_xlfn.XLOOKUP(E209,CPT!$A$2:$A$13,CPT!$D$2:$D$13)</f>
        <v>210</v>
      </c>
      <c r="R209" s="1">
        <f>_xlfn.XLOOKUP(C209,Contract!$A$2:$A$9,Contract!$B$2:$B$9)</f>
        <v>0.38</v>
      </c>
      <c r="S209" s="1">
        <f t="shared" si="12"/>
        <v>79.8</v>
      </c>
      <c r="T209" s="1">
        <f t="shared" si="13"/>
        <v>9.11</v>
      </c>
      <c r="U209" s="1" t="str">
        <f t="shared" si="14"/>
        <v>Underpaid</v>
      </c>
      <c r="V209" s="1" t="str">
        <f>_xlfn.XLOOKUP(C209,Payers!$A$2:$A$9,Payers!$B$2:$B$9)</f>
        <v>Sunshine Medicare Advantage</v>
      </c>
      <c r="W209" s="1" t="str">
        <f t="shared" si="15"/>
        <v>2025-11</v>
      </c>
    </row>
    <row r="210" spans="1:23">
      <c r="A210" s="1" t="s">
        <v>461</v>
      </c>
      <c r="B210" s="1" t="s">
        <v>462</v>
      </c>
      <c r="C210" s="1" t="s">
        <v>60</v>
      </c>
      <c r="D210" s="1" t="s">
        <v>19</v>
      </c>
      <c r="E210" s="1" t="s">
        <v>20</v>
      </c>
      <c r="F210">
        <v>1</v>
      </c>
      <c r="G210" s="2">
        <v>46088</v>
      </c>
      <c r="H210" s="2">
        <v>46094</v>
      </c>
      <c r="I210">
        <v>144.52000000000001</v>
      </c>
      <c r="M210" s="1" t="s">
        <v>32</v>
      </c>
      <c r="N210" s="1" t="s">
        <v>33</v>
      </c>
      <c r="O210" s="2">
        <v>46112</v>
      </c>
      <c r="P210" s="2"/>
      <c r="Q210">
        <f>_xlfn.XLOOKUP(E210,CPT!$A$2:$A$13,CPT!$D$2:$D$13)</f>
        <v>145</v>
      </c>
      <c r="R210" s="1">
        <f>_xlfn.XLOOKUP(C210,Contract!$A$2:$A$9,Contract!$B$2:$B$9)</f>
        <v>0.45</v>
      </c>
      <c r="S210" s="1">
        <f t="shared" si="12"/>
        <v>65.25</v>
      </c>
      <c r="T210" s="1" t="str">
        <f t="shared" si="13"/>
        <v/>
      </c>
      <c r="U210" s="1" t="str">
        <f t="shared" si="14"/>
        <v/>
      </c>
      <c r="V210" s="1" t="str">
        <f>_xlfn.XLOOKUP(C210,Payers!$A$2:$A$9,Payers!$B$2:$B$9)</f>
        <v>Blue Horizon Commercial</v>
      </c>
      <c r="W210" s="1" t="str">
        <f t="shared" si="15"/>
        <v>2026-03</v>
      </c>
    </row>
    <row r="211" spans="1:23">
      <c r="A211" s="1" t="s">
        <v>463</v>
      </c>
      <c r="B211" s="1" t="s">
        <v>464</v>
      </c>
      <c r="C211" s="1" t="s">
        <v>60</v>
      </c>
      <c r="D211" s="1" t="s">
        <v>26</v>
      </c>
      <c r="E211" s="1" t="s">
        <v>113</v>
      </c>
      <c r="F211">
        <v>1</v>
      </c>
      <c r="G211" s="2">
        <v>46142</v>
      </c>
      <c r="H211" s="2">
        <v>46143</v>
      </c>
      <c r="I211">
        <v>1042.93</v>
      </c>
      <c r="J211">
        <v>528.48</v>
      </c>
      <c r="K211">
        <v>528.48</v>
      </c>
      <c r="L211">
        <v>0</v>
      </c>
      <c r="M211" s="1" t="s">
        <v>21</v>
      </c>
      <c r="N211" s="1" t="s">
        <v>22</v>
      </c>
      <c r="O211" s="2">
        <v>46167</v>
      </c>
      <c r="P211" s="2">
        <v>46167</v>
      </c>
      <c r="Q211">
        <f>_xlfn.XLOOKUP(E211,CPT!$A$2:$A$13,CPT!$D$2:$D$13)</f>
        <v>1050</v>
      </c>
      <c r="R211" s="1">
        <f>_xlfn.XLOOKUP(C211,Contract!$A$2:$A$9,Contract!$B$2:$B$9)</f>
        <v>0.45</v>
      </c>
      <c r="S211" s="1">
        <f t="shared" si="12"/>
        <v>472.5</v>
      </c>
      <c r="T211" s="1">
        <f t="shared" si="13"/>
        <v>-55.980000000000018</v>
      </c>
      <c r="U211" s="1" t="str">
        <f t="shared" si="14"/>
        <v>OK</v>
      </c>
      <c r="V211" s="1" t="str">
        <f>_xlfn.XLOOKUP(C211,Payers!$A$2:$A$9,Payers!$B$2:$B$9)</f>
        <v>Blue Horizon Commercial</v>
      </c>
      <c r="W211" s="1" t="str">
        <f t="shared" si="15"/>
        <v>2026-04</v>
      </c>
    </row>
    <row r="212" spans="1:23">
      <c r="A212" s="1" t="s">
        <v>465</v>
      </c>
      <c r="B212" s="1" t="s">
        <v>466</v>
      </c>
      <c r="C212" s="1" t="s">
        <v>60</v>
      </c>
      <c r="D212" s="1" t="s">
        <v>19</v>
      </c>
      <c r="E212" s="1" t="s">
        <v>41</v>
      </c>
      <c r="F212">
        <v>1</v>
      </c>
      <c r="G212" s="2">
        <v>46068</v>
      </c>
      <c r="H212" s="2">
        <v>46071</v>
      </c>
      <c r="I212">
        <v>37.549999999999997</v>
      </c>
      <c r="M212" s="1" t="s">
        <v>32</v>
      </c>
      <c r="N212" s="1" t="s">
        <v>124</v>
      </c>
      <c r="O212" s="2">
        <v>46095</v>
      </c>
      <c r="P212" s="2"/>
      <c r="Q212">
        <f>_xlfn.XLOOKUP(E212,CPT!$A$2:$A$13,CPT!$D$2:$D$13)</f>
        <v>38</v>
      </c>
      <c r="R212" s="1">
        <f>_xlfn.XLOOKUP(C212,Contract!$A$2:$A$9,Contract!$B$2:$B$9)</f>
        <v>0.45</v>
      </c>
      <c r="S212" s="1">
        <f t="shared" si="12"/>
        <v>17.100000000000001</v>
      </c>
      <c r="T212" s="1" t="str">
        <f t="shared" si="13"/>
        <v/>
      </c>
      <c r="U212" s="1" t="str">
        <f t="shared" si="14"/>
        <v/>
      </c>
      <c r="V212" s="1" t="str">
        <f>_xlfn.XLOOKUP(C212,Payers!$A$2:$A$9,Payers!$B$2:$B$9)</f>
        <v>Blue Horizon Commercial</v>
      </c>
      <c r="W212" s="1" t="str">
        <f t="shared" si="15"/>
        <v>2026-02</v>
      </c>
    </row>
    <row r="213" spans="1:23">
      <c r="A213" s="1" t="s">
        <v>467</v>
      </c>
      <c r="B213" s="1" t="s">
        <v>468</v>
      </c>
      <c r="C213" s="1" t="s">
        <v>25</v>
      </c>
      <c r="D213" s="1" t="s">
        <v>37</v>
      </c>
      <c r="E213" s="1" t="s">
        <v>48</v>
      </c>
      <c r="F213">
        <v>1</v>
      </c>
      <c r="G213" s="2">
        <v>46031</v>
      </c>
      <c r="H213" s="2">
        <v>46032</v>
      </c>
      <c r="I213">
        <v>418.94</v>
      </c>
      <c r="M213" s="1" t="s">
        <v>32</v>
      </c>
      <c r="N213" s="1" t="s">
        <v>49</v>
      </c>
      <c r="O213" s="2">
        <v>46050</v>
      </c>
      <c r="P213" s="2"/>
      <c r="Q213">
        <f>_xlfn.XLOOKUP(E213,CPT!$A$2:$A$13,CPT!$D$2:$D$13)</f>
        <v>420</v>
      </c>
      <c r="R213" s="1">
        <f>_xlfn.XLOOKUP(C213,Contract!$A$2:$A$9,Contract!$B$2:$B$9)</f>
        <v>0.36</v>
      </c>
      <c r="S213" s="1">
        <f t="shared" si="12"/>
        <v>151.19999999999999</v>
      </c>
      <c r="T213" s="1" t="str">
        <f t="shared" si="13"/>
        <v/>
      </c>
      <c r="U213" s="1" t="str">
        <f t="shared" si="14"/>
        <v/>
      </c>
      <c r="V213" s="1" t="str">
        <f>_xlfn.XLOOKUP(C213,Payers!$A$2:$A$9,Payers!$B$2:$B$9)</f>
        <v>Medicare Part B</v>
      </c>
      <c r="W213" s="1" t="str">
        <f t="shared" si="15"/>
        <v>2026-01</v>
      </c>
    </row>
    <row r="214" spans="1:23">
      <c r="A214" s="1" t="s">
        <v>469</v>
      </c>
      <c r="B214" s="1" t="s">
        <v>470</v>
      </c>
      <c r="C214" s="1" t="s">
        <v>52</v>
      </c>
      <c r="D214" s="1" t="s">
        <v>26</v>
      </c>
      <c r="E214" s="1" t="s">
        <v>185</v>
      </c>
      <c r="F214">
        <v>1</v>
      </c>
      <c r="G214" s="2">
        <v>46264</v>
      </c>
      <c r="H214" s="2">
        <v>46265</v>
      </c>
      <c r="I214">
        <v>1182.72</v>
      </c>
      <c r="M214" s="1" t="s">
        <v>69</v>
      </c>
      <c r="N214" s="1" t="s">
        <v>22</v>
      </c>
      <c r="O214" s="2"/>
      <c r="P214" s="2"/>
      <c r="Q214">
        <f>_xlfn.XLOOKUP(E214,CPT!$A$2:$A$13,CPT!$D$2:$D$13)</f>
        <v>1150</v>
      </c>
      <c r="R214" s="1">
        <f>_xlfn.XLOOKUP(C214,Contract!$A$2:$A$9,Contract!$B$2:$B$9)</f>
        <v>0.47</v>
      </c>
      <c r="S214" s="1">
        <f t="shared" si="12"/>
        <v>540.5</v>
      </c>
      <c r="T214" s="1" t="str">
        <f t="shared" si="13"/>
        <v/>
      </c>
      <c r="U214" s="1" t="str">
        <f t="shared" si="14"/>
        <v/>
      </c>
      <c r="V214" s="1" t="str">
        <f>_xlfn.XLOOKUP(C214,Payers!$A$2:$A$9,Payers!$B$2:$B$9)</f>
        <v>Keystone Commercial PPO</v>
      </c>
      <c r="W214" s="1" t="str">
        <f t="shared" si="15"/>
        <v>2026-08</v>
      </c>
    </row>
    <row r="215" spans="1:23">
      <c r="A215" s="1" t="s">
        <v>471</v>
      </c>
      <c r="B215" s="1" t="s">
        <v>472</v>
      </c>
      <c r="C215" s="1" t="s">
        <v>18</v>
      </c>
      <c r="D215" s="1" t="s">
        <v>30</v>
      </c>
      <c r="E215" s="1" t="s">
        <v>91</v>
      </c>
      <c r="F215">
        <v>2</v>
      </c>
      <c r="G215" s="2">
        <v>46255</v>
      </c>
      <c r="H215" s="2">
        <v>46262</v>
      </c>
      <c r="I215">
        <v>119.26</v>
      </c>
      <c r="M215" s="1" t="s">
        <v>69</v>
      </c>
      <c r="N215" s="1" t="s">
        <v>22</v>
      </c>
      <c r="O215" s="2"/>
      <c r="P215" s="2"/>
      <c r="Q215">
        <f>_xlfn.XLOOKUP(E215,CPT!$A$2:$A$13,CPT!$D$2:$D$13)</f>
        <v>58</v>
      </c>
      <c r="R215" s="1">
        <f>_xlfn.XLOOKUP(C215,Contract!$A$2:$A$9,Contract!$B$2:$B$9)</f>
        <v>0.38</v>
      </c>
      <c r="S215" s="1">
        <f t="shared" si="12"/>
        <v>44.08</v>
      </c>
      <c r="T215" s="1" t="str">
        <f t="shared" si="13"/>
        <v/>
      </c>
      <c r="U215" s="1" t="str">
        <f t="shared" si="14"/>
        <v/>
      </c>
      <c r="V215" s="1" t="str">
        <f>_xlfn.XLOOKUP(C215,Payers!$A$2:$A$9,Payers!$B$2:$B$9)</f>
        <v>Sunshine Medicare Advantage</v>
      </c>
      <c r="W215" s="1" t="str">
        <f t="shared" si="15"/>
        <v>2026-08</v>
      </c>
    </row>
    <row r="216" spans="1:23">
      <c r="A216" s="1" t="s">
        <v>473</v>
      </c>
      <c r="B216" s="1" t="s">
        <v>474</v>
      </c>
      <c r="C216" s="1" t="s">
        <v>60</v>
      </c>
      <c r="D216" s="1" t="s">
        <v>26</v>
      </c>
      <c r="E216" s="1" t="s">
        <v>27</v>
      </c>
      <c r="F216">
        <v>1</v>
      </c>
      <c r="G216" s="2">
        <v>46210</v>
      </c>
      <c r="H216" s="2">
        <v>46216</v>
      </c>
      <c r="I216">
        <v>235.39</v>
      </c>
      <c r="M216" s="1" t="s">
        <v>32</v>
      </c>
      <c r="N216" s="1" t="s">
        <v>168</v>
      </c>
      <c r="O216" s="2">
        <v>46247</v>
      </c>
      <c r="P216" s="2"/>
      <c r="Q216">
        <f>_xlfn.XLOOKUP(E216,CPT!$A$2:$A$13,CPT!$D$2:$D$13)</f>
        <v>240</v>
      </c>
      <c r="R216" s="1">
        <f>_xlfn.XLOOKUP(C216,Contract!$A$2:$A$9,Contract!$B$2:$B$9)</f>
        <v>0.45</v>
      </c>
      <c r="S216" s="1">
        <f t="shared" si="12"/>
        <v>108</v>
      </c>
      <c r="T216" s="1" t="str">
        <f t="shared" si="13"/>
        <v/>
      </c>
      <c r="U216" s="1" t="str">
        <f t="shared" si="14"/>
        <v/>
      </c>
      <c r="V216" s="1" t="str">
        <f>_xlfn.XLOOKUP(C216,Payers!$A$2:$A$9,Payers!$B$2:$B$9)</f>
        <v>Blue Horizon Commercial</v>
      </c>
      <c r="W216" s="1" t="str">
        <f t="shared" si="15"/>
        <v>2026-07</v>
      </c>
    </row>
    <row r="217" spans="1:23">
      <c r="A217" s="1" t="s">
        <v>475</v>
      </c>
      <c r="B217" s="1" t="s">
        <v>476</v>
      </c>
      <c r="C217" s="1" t="s">
        <v>18</v>
      </c>
      <c r="D217" s="1" t="s">
        <v>30</v>
      </c>
      <c r="E217" s="1" t="s">
        <v>91</v>
      </c>
      <c r="F217">
        <v>4</v>
      </c>
      <c r="G217" s="2">
        <v>46002</v>
      </c>
      <c r="H217" s="2">
        <v>46004</v>
      </c>
      <c r="I217">
        <v>229.26</v>
      </c>
      <c r="J217">
        <v>84.34</v>
      </c>
      <c r="K217">
        <v>67.47</v>
      </c>
      <c r="L217">
        <v>16.87</v>
      </c>
      <c r="M217" s="1" t="s">
        <v>21</v>
      </c>
      <c r="N217" s="1" t="s">
        <v>22</v>
      </c>
      <c r="O217" s="2">
        <v>46082</v>
      </c>
      <c r="P217" s="2">
        <v>46082</v>
      </c>
      <c r="Q217">
        <f>_xlfn.XLOOKUP(E217,CPT!$A$2:$A$13,CPT!$D$2:$D$13)</f>
        <v>58</v>
      </c>
      <c r="R217" s="1">
        <f>_xlfn.XLOOKUP(C217,Contract!$A$2:$A$9,Contract!$B$2:$B$9)</f>
        <v>0.38</v>
      </c>
      <c r="S217" s="1">
        <f t="shared" si="12"/>
        <v>88.16</v>
      </c>
      <c r="T217" s="1">
        <f t="shared" si="13"/>
        <v>3.8199999999999932</v>
      </c>
      <c r="U217" s="1" t="str">
        <f t="shared" si="14"/>
        <v>OK</v>
      </c>
      <c r="V217" s="1" t="str">
        <f>_xlfn.XLOOKUP(C217,Payers!$A$2:$A$9,Payers!$B$2:$B$9)</f>
        <v>Sunshine Medicare Advantage</v>
      </c>
      <c r="W217" s="1" t="str">
        <f t="shared" si="15"/>
        <v>2025-12</v>
      </c>
    </row>
    <row r="218" spans="1:23">
      <c r="A218" s="1" t="s">
        <v>477</v>
      </c>
      <c r="B218" s="1" t="s">
        <v>478</v>
      </c>
      <c r="C218" s="1" t="s">
        <v>25</v>
      </c>
      <c r="D218" s="1" t="s">
        <v>19</v>
      </c>
      <c r="E218" s="1" t="s">
        <v>41</v>
      </c>
      <c r="F218">
        <v>1</v>
      </c>
      <c r="G218" s="2">
        <v>46285</v>
      </c>
      <c r="H218" s="2">
        <v>46286</v>
      </c>
      <c r="I218">
        <v>37.81</v>
      </c>
      <c r="M218" s="1" t="s">
        <v>69</v>
      </c>
      <c r="N218" s="1" t="s">
        <v>22</v>
      </c>
      <c r="O218" s="2"/>
      <c r="P218" s="2"/>
      <c r="Q218">
        <f>_xlfn.XLOOKUP(E218,CPT!$A$2:$A$13,CPT!$D$2:$D$13)</f>
        <v>38</v>
      </c>
      <c r="R218" s="1">
        <f>_xlfn.XLOOKUP(C218,Contract!$A$2:$A$9,Contract!$B$2:$B$9)</f>
        <v>0.36</v>
      </c>
      <c r="S218" s="1">
        <f t="shared" si="12"/>
        <v>13.68</v>
      </c>
      <c r="T218" s="1" t="str">
        <f t="shared" si="13"/>
        <v/>
      </c>
      <c r="U218" s="1" t="str">
        <f t="shared" si="14"/>
        <v/>
      </c>
      <c r="V218" s="1" t="str">
        <f>_xlfn.XLOOKUP(C218,Payers!$A$2:$A$9,Payers!$B$2:$B$9)</f>
        <v>Medicare Part B</v>
      </c>
      <c r="W218" s="1" t="str">
        <f t="shared" si="15"/>
        <v>2026-09</v>
      </c>
    </row>
    <row r="219" spans="1:23">
      <c r="A219" s="1" t="s">
        <v>479</v>
      </c>
      <c r="B219" s="1" t="s">
        <v>480</v>
      </c>
      <c r="C219" s="1" t="s">
        <v>25</v>
      </c>
      <c r="D219" s="1" t="s">
        <v>26</v>
      </c>
      <c r="E219" s="1" t="s">
        <v>57</v>
      </c>
      <c r="F219">
        <v>1</v>
      </c>
      <c r="G219" s="2">
        <v>46112</v>
      </c>
      <c r="H219" s="2">
        <v>46116</v>
      </c>
      <c r="I219">
        <v>205.8</v>
      </c>
      <c r="J219">
        <v>77.430000000000007</v>
      </c>
      <c r="K219">
        <v>61.94</v>
      </c>
      <c r="L219">
        <v>15.49</v>
      </c>
      <c r="M219" s="1" t="s">
        <v>21</v>
      </c>
      <c r="N219" s="1" t="s">
        <v>22</v>
      </c>
      <c r="O219" s="2">
        <v>46127</v>
      </c>
      <c r="P219" s="2">
        <v>46127</v>
      </c>
      <c r="Q219">
        <f>_xlfn.XLOOKUP(E219,CPT!$A$2:$A$13,CPT!$D$2:$D$13)</f>
        <v>210</v>
      </c>
      <c r="R219" s="1">
        <f>_xlfn.XLOOKUP(C219,Contract!$A$2:$A$9,Contract!$B$2:$B$9)</f>
        <v>0.36</v>
      </c>
      <c r="S219" s="1">
        <f t="shared" si="12"/>
        <v>75.599999999999994</v>
      </c>
      <c r="T219" s="1">
        <f t="shared" si="13"/>
        <v>-1.8300000000000125</v>
      </c>
      <c r="U219" s="1" t="str">
        <f t="shared" si="14"/>
        <v>OK</v>
      </c>
      <c r="V219" s="1" t="str">
        <f>_xlfn.XLOOKUP(C219,Payers!$A$2:$A$9,Payers!$B$2:$B$9)</f>
        <v>Medicare Part B</v>
      </c>
      <c r="W219" s="1" t="str">
        <f t="shared" si="15"/>
        <v>2026-03</v>
      </c>
    </row>
    <row r="220" spans="1:23">
      <c r="A220" s="1" t="s">
        <v>481</v>
      </c>
      <c r="B220" s="1" t="s">
        <v>482</v>
      </c>
      <c r="C220" s="1" t="s">
        <v>52</v>
      </c>
      <c r="D220" s="1" t="s">
        <v>26</v>
      </c>
      <c r="E220" s="1" t="s">
        <v>44</v>
      </c>
      <c r="F220">
        <v>1</v>
      </c>
      <c r="G220" s="2">
        <v>45936</v>
      </c>
      <c r="H220" s="2">
        <v>45938</v>
      </c>
      <c r="I220">
        <v>4684.3999999999996</v>
      </c>
      <c r="J220">
        <v>2253.31</v>
      </c>
      <c r="K220">
        <v>2027.98</v>
      </c>
      <c r="L220">
        <v>225.33</v>
      </c>
      <c r="M220" s="1" t="s">
        <v>21</v>
      </c>
      <c r="N220" s="1" t="s">
        <v>22</v>
      </c>
      <c r="O220" s="2">
        <v>45979</v>
      </c>
      <c r="P220" s="2">
        <v>45979</v>
      </c>
      <c r="Q220">
        <f>_xlfn.XLOOKUP(E220,CPT!$A$2:$A$13,CPT!$D$2:$D$13)</f>
        <v>4800</v>
      </c>
      <c r="R220" s="1">
        <f>_xlfn.XLOOKUP(C220,Contract!$A$2:$A$9,Contract!$B$2:$B$9)</f>
        <v>0.47</v>
      </c>
      <c r="S220" s="1">
        <f t="shared" si="12"/>
        <v>2256</v>
      </c>
      <c r="T220" s="1">
        <f t="shared" si="13"/>
        <v>2.6900000000000546</v>
      </c>
      <c r="U220" s="1" t="str">
        <f t="shared" si="14"/>
        <v>OK</v>
      </c>
      <c r="V220" s="1" t="str">
        <f>_xlfn.XLOOKUP(C220,Payers!$A$2:$A$9,Payers!$B$2:$B$9)</f>
        <v>Keystone Commercial PPO</v>
      </c>
      <c r="W220" s="1" t="str">
        <f t="shared" si="15"/>
        <v>2025-10</v>
      </c>
    </row>
    <row r="221" spans="1:23">
      <c r="A221" s="1" t="s">
        <v>483</v>
      </c>
      <c r="B221" s="1" t="s">
        <v>484</v>
      </c>
      <c r="C221" s="1" t="s">
        <v>76</v>
      </c>
      <c r="D221" s="1" t="s">
        <v>19</v>
      </c>
      <c r="E221" s="1" t="s">
        <v>57</v>
      </c>
      <c r="F221">
        <v>1</v>
      </c>
      <c r="G221" s="2">
        <v>45943</v>
      </c>
      <c r="H221" s="2">
        <v>45945</v>
      </c>
      <c r="I221">
        <v>209.78</v>
      </c>
      <c r="J221">
        <v>78.13</v>
      </c>
      <c r="K221">
        <v>78.13</v>
      </c>
      <c r="L221">
        <v>0</v>
      </c>
      <c r="M221" s="1" t="s">
        <v>21</v>
      </c>
      <c r="N221" s="1" t="s">
        <v>22</v>
      </c>
      <c r="O221" s="2">
        <v>45970</v>
      </c>
      <c r="P221" s="2">
        <v>45970</v>
      </c>
      <c r="Q221">
        <f>_xlfn.XLOOKUP(E221,CPT!$A$2:$A$13,CPT!$D$2:$D$13)</f>
        <v>210</v>
      </c>
      <c r="R221" s="1">
        <f>_xlfn.XLOOKUP(C221,Contract!$A$2:$A$9,Contract!$B$2:$B$9)</f>
        <v>0.43</v>
      </c>
      <c r="S221" s="1">
        <f t="shared" si="12"/>
        <v>90.3</v>
      </c>
      <c r="T221" s="1">
        <f t="shared" si="13"/>
        <v>12.170000000000002</v>
      </c>
      <c r="U221" s="1" t="str">
        <f t="shared" si="14"/>
        <v>Underpaid</v>
      </c>
      <c r="V221" s="1" t="str">
        <f>_xlfn.XLOOKUP(C221,Payers!$A$2:$A$9,Payers!$B$2:$B$9)</f>
        <v>Summit Health Commercial</v>
      </c>
      <c r="W221" s="1" t="str">
        <f t="shared" si="15"/>
        <v>2025-10</v>
      </c>
    </row>
    <row r="222" spans="1:23">
      <c r="A222" s="1" t="s">
        <v>485</v>
      </c>
      <c r="B222" s="1" t="s">
        <v>486</v>
      </c>
      <c r="C222" s="1" t="s">
        <v>36</v>
      </c>
      <c r="D222" s="1" t="s">
        <v>26</v>
      </c>
      <c r="E222" s="1" t="s">
        <v>113</v>
      </c>
      <c r="F222">
        <v>1</v>
      </c>
      <c r="G222" s="2">
        <v>46197</v>
      </c>
      <c r="H222" s="2">
        <v>46200</v>
      </c>
      <c r="I222">
        <v>1048.92</v>
      </c>
      <c r="J222">
        <v>300.55</v>
      </c>
      <c r="K222">
        <v>300.55</v>
      </c>
      <c r="L222">
        <v>0</v>
      </c>
      <c r="M222" s="1" t="s">
        <v>21</v>
      </c>
      <c r="N222" s="1" t="s">
        <v>22</v>
      </c>
      <c r="O222" s="2">
        <v>46235</v>
      </c>
      <c r="P222" s="2">
        <v>46235</v>
      </c>
      <c r="Q222">
        <f>_xlfn.XLOOKUP(E222,CPT!$A$2:$A$13,CPT!$D$2:$D$13)</f>
        <v>1050</v>
      </c>
      <c r="R222" s="1">
        <f>_xlfn.XLOOKUP(C222,Contract!$A$2:$A$9,Contract!$B$2:$B$9)</f>
        <v>0.27</v>
      </c>
      <c r="S222" s="1">
        <f t="shared" si="12"/>
        <v>283.5</v>
      </c>
      <c r="T222" s="1">
        <f t="shared" si="13"/>
        <v>-17.050000000000011</v>
      </c>
      <c r="U222" s="1" t="str">
        <f t="shared" si="14"/>
        <v>OK</v>
      </c>
      <c r="V222" s="1" t="str">
        <f>_xlfn.XLOOKUP(C222,Payers!$A$2:$A$9,Payers!$B$2:$B$9)</f>
        <v>Florida Medicaid</v>
      </c>
      <c r="W222" s="1" t="str">
        <f t="shared" si="15"/>
        <v>2026-06</v>
      </c>
    </row>
    <row r="223" spans="1:23">
      <c r="A223" s="1" t="s">
        <v>487</v>
      </c>
      <c r="B223" s="1" t="s">
        <v>488</v>
      </c>
      <c r="C223" s="1" t="s">
        <v>60</v>
      </c>
      <c r="D223" s="1" t="s">
        <v>30</v>
      </c>
      <c r="E223" s="1" t="s">
        <v>20</v>
      </c>
      <c r="F223">
        <v>1</v>
      </c>
      <c r="G223" s="2">
        <v>46015</v>
      </c>
      <c r="H223" s="2">
        <v>46021</v>
      </c>
      <c r="I223">
        <v>148.74</v>
      </c>
      <c r="J223">
        <v>63.41</v>
      </c>
      <c r="K223">
        <v>50.73</v>
      </c>
      <c r="L223">
        <v>12.68</v>
      </c>
      <c r="M223" s="1" t="s">
        <v>21</v>
      </c>
      <c r="N223" s="1" t="s">
        <v>22</v>
      </c>
      <c r="O223" s="2">
        <v>46055</v>
      </c>
      <c r="P223" s="2">
        <v>46055</v>
      </c>
      <c r="Q223">
        <f>_xlfn.XLOOKUP(E223,CPT!$A$2:$A$13,CPT!$D$2:$D$13)</f>
        <v>145</v>
      </c>
      <c r="R223" s="1">
        <f>_xlfn.XLOOKUP(C223,Contract!$A$2:$A$9,Contract!$B$2:$B$9)</f>
        <v>0.45</v>
      </c>
      <c r="S223" s="1">
        <f t="shared" si="12"/>
        <v>65.25</v>
      </c>
      <c r="T223" s="1">
        <f t="shared" si="13"/>
        <v>1.8400000000000034</v>
      </c>
      <c r="U223" s="1" t="str">
        <f t="shared" si="14"/>
        <v>OK</v>
      </c>
      <c r="V223" s="1" t="str">
        <f>_xlfn.XLOOKUP(C223,Payers!$A$2:$A$9,Payers!$B$2:$B$9)</f>
        <v>Blue Horizon Commercial</v>
      </c>
      <c r="W223" s="1" t="str">
        <f t="shared" si="15"/>
        <v>2025-12</v>
      </c>
    </row>
    <row r="224" spans="1:23">
      <c r="A224" s="1" t="s">
        <v>489</v>
      </c>
      <c r="B224" s="1" t="s">
        <v>490</v>
      </c>
      <c r="C224" s="1" t="s">
        <v>25</v>
      </c>
      <c r="D224" s="1" t="s">
        <v>26</v>
      </c>
      <c r="E224" s="1" t="s">
        <v>113</v>
      </c>
      <c r="F224">
        <v>1</v>
      </c>
      <c r="G224" s="2">
        <v>46026</v>
      </c>
      <c r="H224" s="2">
        <v>46029</v>
      </c>
      <c r="I224">
        <v>1058.8499999999999</v>
      </c>
      <c r="M224" s="1" t="s">
        <v>32</v>
      </c>
      <c r="N224" s="1" t="s">
        <v>33</v>
      </c>
      <c r="O224" s="2">
        <v>46042</v>
      </c>
      <c r="P224" s="2"/>
      <c r="Q224">
        <f>_xlfn.XLOOKUP(E224,CPT!$A$2:$A$13,CPT!$D$2:$D$13)</f>
        <v>1050</v>
      </c>
      <c r="R224" s="1">
        <f>_xlfn.XLOOKUP(C224,Contract!$A$2:$A$9,Contract!$B$2:$B$9)</f>
        <v>0.36</v>
      </c>
      <c r="S224" s="1">
        <f t="shared" si="12"/>
        <v>378</v>
      </c>
      <c r="T224" s="1" t="str">
        <f t="shared" si="13"/>
        <v/>
      </c>
      <c r="U224" s="1" t="str">
        <f t="shared" si="14"/>
        <v/>
      </c>
      <c r="V224" s="1" t="str">
        <f>_xlfn.XLOOKUP(C224,Payers!$A$2:$A$9,Payers!$B$2:$B$9)</f>
        <v>Medicare Part B</v>
      </c>
      <c r="W224" s="1" t="str">
        <f t="shared" si="15"/>
        <v>2026-01</v>
      </c>
    </row>
    <row r="225" spans="1:23">
      <c r="A225" s="1" t="s">
        <v>491</v>
      </c>
      <c r="B225" s="1" t="s">
        <v>492</v>
      </c>
      <c r="C225" s="1" t="s">
        <v>76</v>
      </c>
      <c r="D225" s="1" t="s">
        <v>19</v>
      </c>
      <c r="E225" s="1" t="s">
        <v>88</v>
      </c>
      <c r="F225">
        <v>1</v>
      </c>
      <c r="G225" s="2">
        <v>46165</v>
      </c>
      <c r="H225" s="2">
        <v>46170</v>
      </c>
      <c r="I225">
        <v>253.98</v>
      </c>
      <c r="J225">
        <v>124.31</v>
      </c>
      <c r="K225">
        <v>111.88</v>
      </c>
      <c r="L225">
        <v>12.43</v>
      </c>
      <c r="M225" s="1" t="s">
        <v>21</v>
      </c>
      <c r="N225" s="1" t="s">
        <v>22</v>
      </c>
      <c r="O225" s="2">
        <v>46196</v>
      </c>
      <c r="P225" s="2">
        <v>46196</v>
      </c>
      <c r="Q225">
        <f>_xlfn.XLOOKUP(E225,CPT!$A$2:$A$13,CPT!$D$2:$D$13)</f>
        <v>260</v>
      </c>
      <c r="R225" s="1">
        <f>_xlfn.XLOOKUP(C225,Contract!$A$2:$A$9,Contract!$B$2:$B$9)</f>
        <v>0.43</v>
      </c>
      <c r="S225" s="1">
        <f t="shared" si="12"/>
        <v>111.8</v>
      </c>
      <c r="T225" s="1">
        <f t="shared" si="13"/>
        <v>-12.510000000000005</v>
      </c>
      <c r="U225" s="1" t="str">
        <f t="shared" si="14"/>
        <v>OK</v>
      </c>
      <c r="V225" s="1" t="str">
        <f>_xlfn.XLOOKUP(C225,Payers!$A$2:$A$9,Payers!$B$2:$B$9)</f>
        <v>Summit Health Commercial</v>
      </c>
      <c r="W225" s="1" t="str">
        <f t="shared" si="15"/>
        <v>2026-05</v>
      </c>
    </row>
    <row r="226" spans="1:23">
      <c r="A226" s="1" t="s">
        <v>493</v>
      </c>
      <c r="B226" s="1" t="s">
        <v>494</v>
      </c>
      <c r="C226" s="1" t="s">
        <v>25</v>
      </c>
      <c r="D226" s="1" t="s">
        <v>19</v>
      </c>
      <c r="E226" s="1" t="s">
        <v>41</v>
      </c>
      <c r="F226">
        <v>1</v>
      </c>
      <c r="G226" s="2">
        <v>46109</v>
      </c>
      <c r="H226" s="2">
        <v>46112</v>
      </c>
      <c r="I226">
        <v>37.659999999999997</v>
      </c>
      <c r="J226">
        <v>14.29</v>
      </c>
      <c r="K226">
        <v>14.29</v>
      </c>
      <c r="L226">
        <v>0</v>
      </c>
      <c r="M226" s="1" t="s">
        <v>21</v>
      </c>
      <c r="N226" s="1" t="s">
        <v>22</v>
      </c>
      <c r="O226" s="2">
        <v>46133</v>
      </c>
      <c r="P226" s="2">
        <v>46133</v>
      </c>
      <c r="Q226">
        <f>_xlfn.XLOOKUP(E226,CPT!$A$2:$A$13,CPT!$D$2:$D$13)</f>
        <v>38</v>
      </c>
      <c r="R226" s="1">
        <f>_xlfn.XLOOKUP(C226,Contract!$A$2:$A$9,Contract!$B$2:$B$9)</f>
        <v>0.36</v>
      </c>
      <c r="S226" s="1">
        <f t="shared" si="12"/>
        <v>13.68</v>
      </c>
      <c r="T226" s="1">
        <f t="shared" si="13"/>
        <v>-0.60999999999999943</v>
      </c>
      <c r="U226" s="1" t="str">
        <f t="shared" si="14"/>
        <v>OK</v>
      </c>
      <c r="V226" s="1" t="str">
        <f>_xlfn.XLOOKUP(C226,Payers!$A$2:$A$9,Payers!$B$2:$B$9)</f>
        <v>Medicare Part B</v>
      </c>
      <c r="W226" s="1" t="str">
        <f t="shared" si="15"/>
        <v>2026-03</v>
      </c>
    </row>
    <row r="227" spans="1:23">
      <c r="A227" s="1" t="s">
        <v>495</v>
      </c>
      <c r="B227" s="1" t="s">
        <v>496</v>
      </c>
      <c r="C227" s="1" t="s">
        <v>76</v>
      </c>
      <c r="D227" s="1" t="s">
        <v>26</v>
      </c>
      <c r="E227" s="1" t="s">
        <v>88</v>
      </c>
      <c r="F227">
        <v>1</v>
      </c>
      <c r="G227" s="2">
        <v>45990</v>
      </c>
      <c r="H227" s="2">
        <v>45995</v>
      </c>
      <c r="I227">
        <v>255.06</v>
      </c>
      <c r="J227">
        <v>106.26</v>
      </c>
      <c r="K227">
        <v>106.26</v>
      </c>
      <c r="L227">
        <v>0</v>
      </c>
      <c r="M227" s="1" t="s">
        <v>21</v>
      </c>
      <c r="N227" s="1" t="s">
        <v>22</v>
      </c>
      <c r="O227" s="2">
        <v>46006</v>
      </c>
      <c r="P227" s="2">
        <v>46006</v>
      </c>
      <c r="Q227">
        <f>_xlfn.XLOOKUP(E227,CPT!$A$2:$A$13,CPT!$D$2:$D$13)</f>
        <v>260</v>
      </c>
      <c r="R227" s="1">
        <f>_xlfn.XLOOKUP(C227,Contract!$A$2:$A$9,Contract!$B$2:$B$9)</f>
        <v>0.43</v>
      </c>
      <c r="S227" s="1">
        <f t="shared" si="12"/>
        <v>111.8</v>
      </c>
      <c r="T227" s="1">
        <f t="shared" si="13"/>
        <v>5.539999999999992</v>
      </c>
      <c r="U227" s="1" t="str">
        <f t="shared" si="14"/>
        <v>OK</v>
      </c>
      <c r="V227" s="1" t="str">
        <f>_xlfn.XLOOKUP(C227,Payers!$A$2:$A$9,Payers!$B$2:$B$9)</f>
        <v>Summit Health Commercial</v>
      </c>
      <c r="W227" s="1" t="str">
        <f t="shared" si="15"/>
        <v>2025-11</v>
      </c>
    </row>
    <row r="228" spans="1:23">
      <c r="A228" s="1" t="s">
        <v>497</v>
      </c>
      <c r="B228" s="1" t="s">
        <v>498</v>
      </c>
      <c r="C228" s="1" t="s">
        <v>52</v>
      </c>
      <c r="D228" s="1" t="s">
        <v>19</v>
      </c>
      <c r="E228" s="1" t="s">
        <v>57</v>
      </c>
      <c r="F228">
        <v>1</v>
      </c>
      <c r="G228" s="2">
        <v>46206</v>
      </c>
      <c r="H228" s="2">
        <v>46211</v>
      </c>
      <c r="I228">
        <v>212.44</v>
      </c>
      <c r="J228">
        <v>102.09</v>
      </c>
      <c r="K228">
        <v>91.88</v>
      </c>
      <c r="L228">
        <v>10.210000000000001</v>
      </c>
      <c r="M228" s="1" t="s">
        <v>21</v>
      </c>
      <c r="N228" s="1" t="s">
        <v>22</v>
      </c>
      <c r="O228" s="2">
        <v>46248</v>
      </c>
      <c r="P228" s="2">
        <v>46248</v>
      </c>
      <c r="Q228">
        <f>_xlfn.XLOOKUP(E228,CPT!$A$2:$A$13,CPT!$D$2:$D$13)</f>
        <v>210</v>
      </c>
      <c r="R228" s="1">
        <f>_xlfn.XLOOKUP(C228,Contract!$A$2:$A$9,Contract!$B$2:$B$9)</f>
        <v>0.47</v>
      </c>
      <c r="S228" s="1">
        <f t="shared" si="12"/>
        <v>98.7</v>
      </c>
      <c r="T228" s="1">
        <f t="shared" si="13"/>
        <v>-3.3900000000000006</v>
      </c>
      <c r="U228" s="1" t="str">
        <f t="shared" si="14"/>
        <v>OK</v>
      </c>
      <c r="V228" s="1" t="str">
        <f>_xlfn.XLOOKUP(C228,Payers!$A$2:$A$9,Payers!$B$2:$B$9)</f>
        <v>Keystone Commercial PPO</v>
      </c>
      <c r="W228" s="1" t="str">
        <f t="shared" si="15"/>
        <v>2026-07</v>
      </c>
    </row>
    <row r="229" spans="1:23">
      <c r="A229" s="1" t="s">
        <v>499</v>
      </c>
      <c r="B229" s="1" t="s">
        <v>500</v>
      </c>
      <c r="C229" s="1" t="s">
        <v>47</v>
      </c>
      <c r="D229" s="1" t="s">
        <v>19</v>
      </c>
      <c r="E229" s="1" t="s">
        <v>20</v>
      </c>
      <c r="F229">
        <v>1</v>
      </c>
      <c r="G229" s="2">
        <v>45935</v>
      </c>
      <c r="H229" s="2">
        <v>45936</v>
      </c>
      <c r="I229">
        <v>144.87</v>
      </c>
      <c r="J229">
        <v>41.19</v>
      </c>
      <c r="K229">
        <v>32.950000000000003</v>
      </c>
      <c r="L229">
        <v>8.24</v>
      </c>
      <c r="M229" s="1" t="s">
        <v>21</v>
      </c>
      <c r="N229" s="1" t="s">
        <v>22</v>
      </c>
      <c r="O229" s="2">
        <v>45997</v>
      </c>
      <c r="P229" s="2">
        <v>45997</v>
      </c>
      <c r="Q229">
        <f>_xlfn.XLOOKUP(E229,CPT!$A$2:$A$13,CPT!$D$2:$D$13)</f>
        <v>145</v>
      </c>
      <c r="R229" s="1">
        <f>_xlfn.XLOOKUP(C229,Contract!$A$2:$A$9,Contract!$B$2:$B$9)</f>
        <v>0.28000000000000003</v>
      </c>
      <c r="S229" s="1">
        <f t="shared" si="12"/>
        <v>40.6</v>
      </c>
      <c r="T229" s="1">
        <f t="shared" si="13"/>
        <v>-0.58999999999999631</v>
      </c>
      <c r="U229" s="1" t="str">
        <f t="shared" si="14"/>
        <v>OK</v>
      </c>
      <c r="V229" s="1" t="str">
        <f>_xlfn.XLOOKUP(C229,Payers!$A$2:$A$9,Payers!$B$2:$B$9)</f>
        <v>Coastal Medicaid MCO</v>
      </c>
      <c r="W229" s="1" t="str">
        <f t="shared" si="15"/>
        <v>2025-10</v>
      </c>
    </row>
    <row r="230" spans="1:23">
      <c r="A230" s="1" t="s">
        <v>501</v>
      </c>
      <c r="B230" s="1" t="s">
        <v>502</v>
      </c>
      <c r="C230" s="1" t="s">
        <v>18</v>
      </c>
      <c r="D230" s="1" t="s">
        <v>37</v>
      </c>
      <c r="E230" s="1" t="s">
        <v>48</v>
      </c>
      <c r="F230">
        <v>1</v>
      </c>
      <c r="G230" s="2">
        <v>46158</v>
      </c>
      <c r="H230" s="2">
        <v>46159</v>
      </c>
      <c r="I230">
        <v>419.72</v>
      </c>
      <c r="M230" s="1" t="s">
        <v>32</v>
      </c>
      <c r="N230" s="1" t="s">
        <v>33</v>
      </c>
      <c r="O230" s="2">
        <v>46207</v>
      </c>
      <c r="P230" s="2"/>
      <c r="Q230">
        <f>_xlfn.XLOOKUP(E230,CPT!$A$2:$A$13,CPT!$D$2:$D$13)</f>
        <v>420</v>
      </c>
      <c r="R230" s="1">
        <f>_xlfn.XLOOKUP(C230,Contract!$A$2:$A$9,Contract!$B$2:$B$9)</f>
        <v>0.38</v>
      </c>
      <c r="S230" s="1">
        <f t="shared" si="12"/>
        <v>159.6</v>
      </c>
      <c r="T230" s="1" t="str">
        <f t="shared" si="13"/>
        <v/>
      </c>
      <c r="U230" s="1" t="str">
        <f t="shared" si="14"/>
        <v/>
      </c>
      <c r="V230" s="1" t="str">
        <f>_xlfn.XLOOKUP(C230,Payers!$A$2:$A$9,Payers!$B$2:$B$9)</f>
        <v>Sunshine Medicare Advantage</v>
      </c>
      <c r="W230" s="1" t="str">
        <f t="shared" si="15"/>
        <v>2026-05</v>
      </c>
    </row>
    <row r="231" spans="1:23">
      <c r="A231" s="1" t="s">
        <v>503</v>
      </c>
      <c r="B231" s="1" t="s">
        <v>504</v>
      </c>
      <c r="C231" s="1" t="s">
        <v>25</v>
      </c>
      <c r="D231" s="1" t="s">
        <v>19</v>
      </c>
      <c r="E231" s="1" t="s">
        <v>41</v>
      </c>
      <c r="F231">
        <v>1</v>
      </c>
      <c r="G231" s="2">
        <v>45988</v>
      </c>
      <c r="H231" s="2">
        <v>45990</v>
      </c>
      <c r="I231">
        <v>38.17</v>
      </c>
      <c r="J231">
        <v>15.84</v>
      </c>
      <c r="K231">
        <v>15.84</v>
      </c>
      <c r="L231">
        <v>0</v>
      </c>
      <c r="M231" s="1" t="s">
        <v>21</v>
      </c>
      <c r="N231" s="1" t="s">
        <v>22</v>
      </c>
      <c r="O231" s="2">
        <v>46014</v>
      </c>
      <c r="P231" s="2">
        <v>46014</v>
      </c>
      <c r="Q231">
        <f>_xlfn.XLOOKUP(E231,CPT!$A$2:$A$13,CPT!$D$2:$D$13)</f>
        <v>38</v>
      </c>
      <c r="R231" s="1">
        <f>_xlfn.XLOOKUP(C231,Contract!$A$2:$A$9,Contract!$B$2:$B$9)</f>
        <v>0.36</v>
      </c>
      <c r="S231" s="1">
        <f t="shared" si="12"/>
        <v>13.68</v>
      </c>
      <c r="T231" s="1">
        <f t="shared" si="13"/>
        <v>-2.16</v>
      </c>
      <c r="U231" s="1" t="str">
        <f t="shared" si="14"/>
        <v>OK</v>
      </c>
      <c r="V231" s="1" t="str">
        <f>_xlfn.XLOOKUP(C231,Payers!$A$2:$A$9,Payers!$B$2:$B$9)</f>
        <v>Medicare Part B</v>
      </c>
      <c r="W231" s="1" t="str">
        <f t="shared" si="15"/>
        <v>2025-11</v>
      </c>
    </row>
    <row r="232" spans="1:23">
      <c r="A232" s="1" t="s">
        <v>505</v>
      </c>
      <c r="B232" s="1" t="s">
        <v>301</v>
      </c>
      <c r="C232" s="1" t="s">
        <v>60</v>
      </c>
      <c r="D232" s="1" t="s">
        <v>37</v>
      </c>
      <c r="E232" s="1" t="s">
        <v>57</v>
      </c>
      <c r="F232">
        <v>1</v>
      </c>
      <c r="G232" s="2">
        <v>46148</v>
      </c>
      <c r="H232" s="2">
        <v>46156</v>
      </c>
      <c r="I232">
        <v>204.99</v>
      </c>
      <c r="J232">
        <v>86.44</v>
      </c>
      <c r="K232">
        <v>77.8</v>
      </c>
      <c r="L232">
        <v>8.64</v>
      </c>
      <c r="M232" s="1" t="s">
        <v>21</v>
      </c>
      <c r="N232" s="1" t="s">
        <v>22</v>
      </c>
      <c r="O232" s="2">
        <v>46193</v>
      </c>
      <c r="P232" s="2">
        <v>46193</v>
      </c>
      <c r="Q232">
        <f>_xlfn.XLOOKUP(E232,CPT!$A$2:$A$13,CPT!$D$2:$D$13)</f>
        <v>210</v>
      </c>
      <c r="R232" s="1">
        <f>_xlfn.XLOOKUP(C232,Contract!$A$2:$A$9,Contract!$B$2:$B$9)</f>
        <v>0.45</v>
      </c>
      <c r="S232" s="1">
        <f t="shared" si="12"/>
        <v>94.5</v>
      </c>
      <c r="T232" s="1">
        <f t="shared" si="13"/>
        <v>8.0600000000000023</v>
      </c>
      <c r="U232" s="1" t="str">
        <f t="shared" si="14"/>
        <v>Underpaid</v>
      </c>
      <c r="V232" s="1" t="str">
        <f>_xlfn.XLOOKUP(C232,Payers!$A$2:$A$9,Payers!$B$2:$B$9)</f>
        <v>Blue Horizon Commercial</v>
      </c>
      <c r="W232" s="1" t="str">
        <f t="shared" si="15"/>
        <v>2026-05</v>
      </c>
    </row>
    <row r="233" spans="1:23">
      <c r="A233" s="1" t="s">
        <v>506</v>
      </c>
      <c r="B233" s="1" t="s">
        <v>507</v>
      </c>
      <c r="C233" s="1" t="s">
        <v>79</v>
      </c>
      <c r="D233" s="1" t="s">
        <v>26</v>
      </c>
      <c r="E233" s="1" t="s">
        <v>44</v>
      </c>
      <c r="F233">
        <v>1</v>
      </c>
      <c r="G233" s="2">
        <v>46052</v>
      </c>
      <c r="H233" s="2">
        <v>46058</v>
      </c>
      <c r="I233">
        <v>4716.4399999999996</v>
      </c>
      <c r="J233">
        <v>4716.4399999999996</v>
      </c>
      <c r="K233">
        <v>4716.4399999999996</v>
      </c>
      <c r="L233">
        <v>0</v>
      </c>
      <c r="M233" s="1" t="s">
        <v>21</v>
      </c>
      <c r="N233" s="1" t="s">
        <v>22</v>
      </c>
      <c r="O233" s="2">
        <v>46132</v>
      </c>
      <c r="P233" s="2">
        <v>46132</v>
      </c>
      <c r="Q233">
        <f>_xlfn.XLOOKUP(E233,CPT!$A$2:$A$13,CPT!$D$2:$D$13)</f>
        <v>4800</v>
      </c>
      <c r="R233" s="1">
        <f>_xlfn.XLOOKUP(C233,Contract!$A$2:$A$9,Contract!$B$2:$B$9)</f>
        <v>1</v>
      </c>
      <c r="S233" s="1">
        <f t="shared" si="12"/>
        <v>4800</v>
      </c>
      <c r="T233" s="1">
        <f t="shared" si="13"/>
        <v>83.5600000000004</v>
      </c>
      <c r="U233" s="1" t="str">
        <f t="shared" si="14"/>
        <v>OK</v>
      </c>
      <c r="V233" s="1" t="str">
        <f>_xlfn.XLOOKUP(C233,Payers!$A$2:$A$9,Payers!$B$2:$B$9)</f>
        <v>Self-Pay</v>
      </c>
      <c r="W233" s="1" t="str">
        <f t="shared" si="15"/>
        <v>2026-01</v>
      </c>
    </row>
    <row r="234" spans="1:23">
      <c r="A234" s="1" t="s">
        <v>508</v>
      </c>
      <c r="B234" s="1" t="s">
        <v>509</v>
      </c>
      <c r="C234" s="1" t="s">
        <v>25</v>
      </c>
      <c r="D234" s="1" t="s">
        <v>19</v>
      </c>
      <c r="E234" s="1" t="s">
        <v>57</v>
      </c>
      <c r="F234">
        <v>1</v>
      </c>
      <c r="G234" s="2">
        <v>46036</v>
      </c>
      <c r="H234" s="2">
        <v>46043</v>
      </c>
      <c r="I234">
        <v>213.95</v>
      </c>
      <c r="J234">
        <v>77.8</v>
      </c>
      <c r="K234">
        <v>70.02</v>
      </c>
      <c r="L234">
        <v>7.78</v>
      </c>
      <c r="M234" s="1" t="s">
        <v>21</v>
      </c>
      <c r="N234" s="1" t="s">
        <v>22</v>
      </c>
      <c r="O234" s="2">
        <v>46058</v>
      </c>
      <c r="P234" s="2">
        <v>46058</v>
      </c>
      <c r="Q234">
        <f>_xlfn.XLOOKUP(E234,CPT!$A$2:$A$13,CPT!$D$2:$D$13)</f>
        <v>210</v>
      </c>
      <c r="R234" s="1">
        <f>_xlfn.XLOOKUP(C234,Contract!$A$2:$A$9,Contract!$B$2:$B$9)</f>
        <v>0.36</v>
      </c>
      <c r="S234" s="1">
        <f t="shared" si="12"/>
        <v>75.599999999999994</v>
      </c>
      <c r="T234" s="1">
        <f t="shared" si="13"/>
        <v>-2.2000000000000028</v>
      </c>
      <c r="U234" s="1" t="str">
        <f t="shared" si="14"/>
        <v>OK</v>
      </c>
      <c r="V234" s="1" t="str">
        <f>_xlfn.XLOOKUP(C234,Payers!$A$2:$A$9,Payers!$B$2:$B$9)</f>
        <v>Medicare Part B</v>
      </c>
      <c r="W234" s="1" t="str">
        <f t="shared" si="15"/>
        <v>2026-01</v>
      </c>
    </row>
    <row r="235" spans="1:23">
      <c r="A235" s="1" t="s">
        <v>510</v>
      </c>
      <c r="B235" s="1" t="s">
        <v>511</v>
      </c>
      <c r="C235" s="1" t="s">
        <v>60</v>
      </c>
      <c r="D235" s="1" t="s">
        <v>19</v>
      </c>
      <c r="E235" s="1" t="s">
        <v>20</v>
      </c>
      <c r="F235">
        <v>1</v>
      </c>
      <c r="G235" s="2">
        <v>46141</v>
      </c>
      <c r="H235" s="2">
        <v>46161</v>
      </c>
      <c r="I235">
        <v>148.63999999999999</v>
      </c>
      <c r="J235">
        <v>59.12</v>
      </c>
      <c r="K235">
        <v>59.12</v>
      </c>
      <c r="L235">
        <v>0</v>
      </c>
      <c r="M235" s="1" t="s">
        <v>21</v>
      </c>
      <c r="N235" s="1" t="s">
        <v>22</v>
      </c>
      <c r="O235" s="2">
        <v>46186</v>
      </c>
      <c r="P235" s="2">
        <v>46186</v>
      </c>
      <c r="Q235">
        <f>_xlfn.XLOOKUP(E235,CPT!$A$2:$A$13,CPT!$D$2:$D$13)</f>
        <v>145</v>
      </c>
      <c r="R235" s="1">
        <f>_xlfn.XLOOKUP(C235,Contract!$A$2:$A$9,Contract!$B$2:$B$9)</f>
        <v>0.45</v>
      </c>
      <c r="S235" s="1">
        <f t="shared" si="12"/>
        <v>65.25</v>
      </c>
      <c r="T235" s="1">
        <f t="shared" si="13"/>
        <v>6.1300000000000026</v>
      </c>
      <c r="U235" s="1" t="str">
        <f t="shared" si="14"/>
        <v>Underpaid</v>
      </c>
      <c r="V235" s="1" t="str">
        <f>_xlfn.XLOOKUP(C235,Payers!$A$2:$A$9,Payers!$B$2:$B$9)</f>
        <v>Blue Horizon Commercial</v>
      </c>
      <c r="W235" s="1" t="str">
        <f t="shared" si="15"/>
        <v>2026-04</v>
      </c>
    </row>
    <row r="236" spans="1:23">
      <c r="A236" s="1" t="s">
        <v>512</v>
      </c>
      <c r="B236" s="1" t="s">
        <v>513</v>
      </c>
      <c r="C236" s="1" t="s">
        <v>36</v>
      </c>
      <c r="D236" s="1" t="s">
        <v>26</v>
      </c>
      <c r="E236" s="1" t="s">
        <v>185</v>
      </c>
      <c r="F236">
        <v>1</v>
      </c>
      <c r="G236" s="2">
        <v>46277</v>
      </c>
      <c r="H236" s="2">
        <v>46278</v>
      </c>
      <c r="I236">
        <v>1142.5999999999999</v>
      </c>
      <c r="M236" s="1" t="s">
        <v>69</v>
      </c>
      <c r="N236" s="1" t="s">
        <v>22</v>
      </c>
      <c r="O236" s="2"/>
      <c r="P236" s="2"/>
      <c r="Q236">
        <f>_xlfn.XLOOKUP(E236,CPT!$A$2:$A$13,CPT!$D$2:$D$13)</f>
        <v>1150</v>
      </c>
      <c r="R236" s="1">
        <f>_xlfn.XLOOKUP(C236,Contract!$A$2:$A$9,Contract!$B$2:$B$9)</f>
        <v>0.27</v>
      </c>
      <c r="S236" s="1">
        <f t="shared" si="12"/>
        <v>310.5</v>
      </c>
      <c r="T236" s="1" t="str">
        <f t="shared" si="13"/>
        <v/>
      </c>
      <c r="U236" s="1" t="str">
        <f t="shared" si="14"/>
        <v/>
      </c>
      <c r="V236" s="1" t="str">
        <f>_xlfn.XLOOKUP(C236,Payers!$A$2:$A$9,Payers!$B$2:$B$9)</f>
        <v>Florida Medicaid</v>
      </c>
      <c r="W236" s="1" t="str">
        <f t="shared" si="15"/>
        <v>2026-09</v>
      </c>
    </row>
    <row r="237" spans="1:23">
      <c r="A237" s="1" t="s">
        <v>514</v>
      </c>
      <c r="B237" s="1" t="s">
        <v>515</v>
      </c>
      <c r="C237" s="1" t="s">
        <v>76</v>
      </c>
      <c r="D237" s="1" t="s">
        <v>30</v>
      </c>
      <c r="E237" s="1" t="s">
        <v>31</v>
      </c>
      <c r="F237">
        <v>4</v>
      </c>
      <c r="G237" s="2">
        <v>46073</v>
      </c>
      <c r="H237" s="2">
        <v>46075</v>
      </c>
      <c r="I237">
        <v>254.49</v>
      </c>
      <c r="J237">
        <v>91.95</v>
      </c>
      <c r="K237">
        <v>91.95</v>
      </c>
      <c r="L237">
        <v>0</v>
      </c>
      <c r="M237" s="1" t="s">
        <v>21</v>
      </c>
      <c r="N237" s="1" t="s">
        <v>22</v>
      </c>
      <c r="O237" s="2">
        <v>46109</v>
      </c>
      <c r="P237" s="2">
        <v>46109</v>
      </c>
      <c r="Q237">
        <f>_xlfn.XLOOKUP(E237,CPT!$A$2:$A$13,CPT!$D$2:$D$13)</f>
        <v>62</v>
      </c>
      <c r="R237" s="1">
        <f>_xlfn.XLOOKUP(C237,Contract!$A$2:$A$9,Contract!$B$2:$B$9)</f>
        <v>0.43</v>
      </c>
      <c r="S237" s="1">
        <f t="shared" si="12"/>
        <v>106.64</v>
      </c>
      <c r="T237" s="1">
        <f t="shared" si="13"/>
        <v>14.689999999999998</v>
      </c>
      <c r="U237" s="1" t="str">
        <f t="shared" si="14"/>
        <v>Underpaid</v>
      </c>
      <c r="V237" s="1" t="str">
        <f>_xlfn.XLOOKUP(C237,Payers!$A$2:$A$9,Payers!$B$2:$B$9)</f>
        <v>Summit Health Commercial</v>
      </c>
      <c r="W237" s="1" t="str">
        <f t="shared" si="15"/>
        <v>2026-02</v>
      </c>
    </row>
    <row r="238" spans="1:23">
      <c r="A238" s="1" t="s">
        <v>516</v>
      </c>
      <c r="B238" s="1" t="s">
        <v>517</v>
      </c>
      <c r="C238" s="1" t="s">
        <v>25</v>
      </c>
      <c r="D238" s="1" t="s">
        <v>30</v>
      </c>
      <c r="E238" s="1" t="s">
        <v>20</v>
      </c>
      <c r="F238">
        <v>1</v>
      </c>
      <c r="G238" s="2">
        <v>46114</v>
      </c>
      <c r="H238" s="2">
        <v>46121</v>
      </c>
      <c r="I238">
        <v>148.05000000000001</v>
      </c>
      <c r="J238">
        <v>58.68</v>
      </c>
      <c r="K238">
        <v>52.81</v>
      </c>
      <c r="L238">
        <v>5.87</v>
      </c>
      <c r="M238" s="1" t="s">
        <v>21</v>
      </c>
      <c r="N238" s="1" t="s">
        <v>22</v>
      </c>
      <c r="O238" s="2">
        <v>46134</v>
      </c>
      <c r="P238" s="2">
        <v>46134</v>
      </c>
      <c r="Q238">
        <f>_xlfn.XLOOKUP(E238,CPT!$A$2:$A$13,CPT!$D$2:$D$13)</f>
        <v>145</v>
      </c>
      <c r="R238" s="1">
        <f>_xlfn.XLOOKUP(C238,Contract!$A$2:$A$9,Contract!$B$2:$B$9)</f>
        <v>0.36</v>
      </c>
      <c r="S238" s="1">
        <f t="shared" si="12"/>
        <v>52.2</v>
      </c>
      <c r="T238" s="1">
        <f t="shared" si="13"/>
        <v>-6.4799999999999969</v>
      </c>
      <c r="U238" s="1" t="str">
        <f t="shared" si="14"/>
        <v>OK</v>
      </c>
      <c r="V238" s="1" t="str">
        <f>_xlfn.XLOOKUP(C238,Payers!$A$2:$A$9,Payers!$B$2:$B$9)</f>
        <v>Medicare Part B</v>
      </c>
      <c r="W238" s="1" t="str">
        <f t="shared" si="15"/>
        <v>2026-04</v>
      </c>
    </row>
    <row r="239" spans="1:23">
      <c r="A239" s="1" t="s">
        <v>518</v>
      </c>
      <c r="B239" s="1" t="s">
        <v>519</v>
      </c>
      <c r="C239" s="1" t="s">
        <v>25</v>
      </c>
      <c r="D239" s="1" t="s">
        <v>19</v>
      </c>
      <c r="E239" s="1" t="s">
        <v>57</v>
      </c>
      <c r="F239">
        <v>1</v>
      </c>
      <c r="G239" s="2">
        <v>46179</v>
      </c>
      <c r="H239" s="2">
        <v>46188</v>
      </c>
      <c r="I239">
        <v>213.63</v>
      </c>
      <c r="J239">
        <v>66.040000000000006</v>
      </c>
      <c r="K239">
        <v>52.83</v>
      </c>
      <c r="L239">
        <v>13.21</v>
      </c>
      <c r="M239" s="1" t="s">
        <v>21</v>
      </c>
      <c r="N239" s="1" t="s">
        <v>22</v>
      </c>
      <c r="O239" s="2">
        <v>46206</v>
      </c>
      <c r="P239" s="2">
        <v>46206</v>
      </c>
      <c r="Q239">
        <f>_xlfn.XLOOKUP(E239,CPT!$A$2:$A$13,CPT!$D$2:$D$13)</f>
        <v>210</v>
      </c>
      <c r="R239" s="1">
        <f>_xlfn.XLOOKUP(C239,Contract!$A$2:$A$9,Contract!$B$2:$B$9)</f>
        <v>0.36</v>
      </c>
      <c r="S239" s="1">
        <f t="shared" si="12"/>
        <v>75.599999999999994</v>
      </c>
      <c r="T239" s="1">
        <f t="shared" si="13"/>
        <v>9.5599999999999881</v>
      </c>
      <c r="U239" s="1" t="str">
        <f t="shared" si="14"/>
        <v>Underpaid</v>
      </c>
      <c r="V239" s="1" t="str">
        <f>_xlfn.XLOOKUP(C239,Payers!$A$2:$A$9,Payers!$B$2:$B$9)</f>
        <v>Medicare Part B</v>
      </c>
      <c r="W239" s="1" t="str">
        <f t="shared" si="15"/>
        <v>2026-06</v>
      </c>
    </row>
    <row r="240" spans="1:23">
      <c r="A240" s="1" t="s">
        <v>520</v>
      </c>
      <c r="B240" s="1" t="s">
        <v>521</v>
      </c>
      <c r="C240" s="1" t="s">
        <v>60</v>
      </c>
      <c r="D240" s="1" t="s">
        <v>26</v>
      </c>
      <c r="E240" s="1" t="s">
        <v>44</v>
      </c>
      <c r="F240">
        <v>1</v>
      </c>
      <c r="G240" s="2">
        <v>46164</v>
      </c>
      <c r="H240" s="2">
        <v>46177</v>
      </c>
      <c r="I240">
        <v>4656.1899999999996</v>
      </c>
      <c r="M240" s="1" t="s">
        <v>32</v>
      </c>
      <c r="N240" s="1" t="s">
        <v>33</v>
      </c>
      <c r="O240" s="2">
        <v>46202</v>
      </c>
      <c r="P240" s="2"/>
      <c r="Q240">
        <f>_xlfn.XLOOKUP(E240,CPT!$A$2:$A$13,CPT!$D$2:$D$13)</f>
        <v>4800</v>
      </c>
      <c r="R240" s="1">
        <f>_xlfn.XLOOKUP(C240,Contract!$A$2:$A$9,Contract!$B$2:$B$9)</f>
        <v>0.45</v>
      </c>
      <c r="S240" s="1">
        <f t="shared" si="12"/>
        <v>2160</v>
      </c>
      <c r="T240" s="1" t="str">
        <f t="shared" si="13"/>
        <v/>
      </c>
      <c r="U240" s="1" t="str">
        <f t="shared" si="14"/>
        <v/>
      </c>
      <c r="V240" s="1" t="str">
        <f>_xlfn.XLOOKUP(C240,Payers!$A$2:$A$9,Payers!$B$2:$B$9)</f>
        <v>Blue Horizon Commercial</v>
      </c>
      <c r="W240" s="1" t="str">
        <f t="shared" si="15"/>
        <v>2026-05</v>
      </c>
    </row>
    <row r="241" spans="1:23">
      <c r="A241" s="1" t="s">
        <v>522</v>
      </c>
      <c r="B241" s="1" t="s">
        <v>369</v>
      </c>
      <c r="C241" s="1" t="s">
        <v>76</v>
      </c>
      <c r="D241" s="1" t="s">
        <v>37</v>
      </c>
      <c r="E241" s="1" t="s">
        <v>38</v>
      </c>
      <c r="F241">
        <v>10</v>
      </c>
      <c r="G241" s="2">
        <v>46087</v>
      </c>
      <c r="H241" s="2">
        <v>46088</v>
      </c>
      <c r="I241">
        <v>14438.43</v>
      </c>
      <c r="M241" s="1" t="s">
        <v>32</v>
      </c>
      <c r="N241" s="1" t="s">
        <v>315</v>
      </c>
      <c r="O241" s="2">
        <v>46115</v>
      </c>
      <c r="P241" s="2"/>
      <c r="Q241">
        <f>_xlfn.XLOOKUP(E241,CPT!$A$2:$A$13,CPT!$D$2:$D$13)</f>
        <v>1450</v>
      </c>
      <c r="R241" s="1">
        <f>_xlfn.XLOOKUP(C241,Contract!$A$2:$A$9,Contract!$B$2:$B$9)</f>
        <v>0.43</v>
      </c>
      <c r="S241" s="1">
        <f t="shared" si="12"/>
        <v>6235</v>
      </c>
      <c r="T241" s="1" t="str">
        <f t="shared" si="13"/>
        <v/>
      </c>
      <c r="U241" s="1" t="str">
        <f t="shared" si="14"/>
        <v/>
      </c>
      <c r="V241" s="1" t="str">
        <f>_xlfn.XLOOKUP(C241,Payers!$A$2:$A$9,Payers!$B$2:$B$9)</f>
        <v>Summit Health Commercial</v>
      </c>
      <c r="W241" s="1" t="str">
        <f t="shared" si="15"/>
        <v>2026-03</v>
      </c>
    </row>
    <row r="242" spans="1:23">
      <c r="A242" s="1" t="s">
        <v>523</v>
      </c>
      <c r="B242" s="1" t="s">
        <v>524</v>
      </c>
      <c r="C242" s="1" t="s">
        <v>52</v>
      </c>
      <c r="D242" s="1" t="s">
        <v>26</v>
      </c>
      <c r="E242" s="1" t="s">
        <v>44</v>
      </c>
      <c r="F242">
        <v>1</v>
      </c>
      <c r="G242" s="2">
        <v>45998</v>
      </c>
      <c r="H242" s="2">
        <v>46000</v>
      </c>
      <c r="I242">
        <v>4793.58</v>
      </c>
      <c r="M242" s="1" t="s">
        <v>32</v>
      </c>
      <c r="N242" s="1" t="s">
        <v>168</v>
      </c>
      <c r="O242" s="2">
        <v>46037</v>
      </c>
      <c r="P242" s="2"/>
      <c r="Q242">
        <f>_xlfn.XLOOKUP(E242,CPT!$A$2:$A$13,CPT!$D$2:$D$13)</f>
        <v>4800</v>
      </c>
      <c r="R242" s="1">
        <f>_xlfn.XLOOKUP(C242,Contract!$A$2:$A$9,Contract!$B$2:$B$9)</f>
        <v>0.47</v>
      </c>
      <c r="S242" s="1">
        <f t="shared" si="12"/>
        <v>2256</v>
      </c>
      <c r="T242" s="1" t="str">
        <f t="shared" si="13"/>
        <v/>
      </c>
      <c r="U242" s="1" t="str">
        <f t="shared" si="14"/>
        <v/>
      </c>
      <c r="V242" s="1" t="str">
        <f>_xlfn.XLOOKUP(C242,Payers!$A$2:$A$9,Payers!$B$2:$B$9)</f>
        <v>Keystone Commercial PPO</v>
      </c>
      <c r="W242" s="1" t="str">
        <f t="shared" si="15"/>
        <v>2025-12</v>
      </c>
    </row>
    <row r="243" spans="1:23">
      <c r="A243" s="1" t="s">
        <v>525</v>
      </c>
      <c r="B243" s="1" t="s">
        <v>526</v>
      </c>
      <c r="C243" s="1" t="s">
        <v>25</v>
      </c>
      <c r="D243" s="1" t="s">
        <v>37</v>
      </c>
      <c r="E243" s="1" t="s">
        <v>38</v>
      </c>
      <c r="F243">
        <v>10</v>
      </c>
      <c r="G243" s="2">
        <v>46277</v>
      </c>
      <c r="H243" s="2">
        <v>46281</v>
      </c>
      <c r="I243">
        <v>14124.52</v>
      </c>
      <c r="M243" s="1" t="s">
        <v>69</v>
      </c>
      <c r="N243" s="1" t="s">
        <v>22</v>
      </c>
      <c r="O243" s="2"/>
      <c r="P243" s="2"/>
      <c r="Q243">
        <f>_xlfn.XLOOKUP(E243,CPT!$A$2:$A$13,CPT!$D$2:$D$13)</f>
        <v>1450</v>
      </c>
      <c r="R243" s="1">
        <f>_xlfn.XLOOKUP(C243,Contract!$A$2:$A$9,Contract!$B$2:$B$9)</f>
        <v>0.36</v>
      </c>
      <c r="S243" s="1">
        <f t="shared" si="12"/>
        <v>5220</v>
      </c>
      <c r="T243" s="1" t="str">
        <f t="shared" si="13"/>
        <v/>
      </c>
      <c r="U243" s="1" t="str">
        <f t="shared" si="14"/>
        <v/>
      </c>
      <c r="V243" s="1" t="str">
        <f>_xlfn.XLOOKUP(C243,Payers!$A$2:$A$9,Payers!$B$2:$B$9)</f>
        <v>Medicare Part B</v>
      </c>
      <c r="W243" s="1" t="str">
        <f t="shared" si="15"/>
        <v>2026-09</v>
      </c>
    </row>
    <row r="244" spans="1:23">
      <c r="A244" s="1" t="s">
        <v>527</v>
      </c>
      <c r="B244" s="1" t="s">
        <v>528</v>
      </c>
      <c r="C244" s="1" t="s">
        <v>18</v>
      </c>
      <c r="D244" s="1" t="s">
        <v>37</v>
      </c>
      <c r="E244" s="1" t="s">
        <v>57</v>
      </c>
      <c r="F244">
        <v>1</v>
      </c>
      <c r="G244" s="2">
        <v>46141</v>
      </c>
      <c r="H244" s="2">
        <v>46144</v>
      </c>
      <c r="I244">
        <v>211.46</v>
      </c>
      <c r="M244" s="1" t="s">
        <v>32</v>
      </c>
      <c r="N244" s="1" t="s">
        <v>281</v>
      </c>
      <c r="O244" s="2">
        <v>46214</v>
      </c>
      <c r="P244" s="2"/>
      <c r="Q244">
        <f>_xlfn.XLOOKUP(E244,CPT!$A$2:$A$13,CPT!$D$2:$D$13)</f>
        <v>210</v>
      </c>
      <c r="R244" s="1">
        <f>_xlfn.XLOOKUP(C244,Contract!$A$2:$A$9,Contract!$B$2:$B$9)</f>
        <v>0.38</v>
      </c>
      <c r="S244" s="1">
        <f t="shared" si="12"/>
        <v>79.8</v>
      </c>
      <c r="T244" s="1" t="str">
        <f t="shared" si="13"/>
        <v/>
      </c>
      <c r="U244" s="1" t="str">
        <f t="shared" si="14"/>
        <v/>
      </c>
      <c r="V244" s="1" t="str">
        <f>_xlfn.XLOOKUP(C244,Payers!$A$2:$A$9,Payers!$B$2:$B$9)</f>
        <v>Sunshine Medicare Advantage</v>
      </c>
      <c r="W244" s="1" t="str">
        <f t="shared" si="15"/>
        <v>2026-04</v>
      </c>
    </row>
    <row r="245" spans="1:23">
      <c r="A245" s="1" t="s">
        <v>529</v>
      </c>
      <c r="B245" s="1" t="s">
        <v>530</v>
      </c>
      <c r="C245" s="1" t="s">
        <v>76</v>
      </c>
      <c r="D245" s="1" t="s">
        <v>26</v>
      </c>
      <c r="E245" s="1" t="s">
        <v>57</v>
      </c>
      <c r="F245">
        <v>1</v>
      </c>
      <c r="G245" s="2">
        <v>46261</v>
      </c>
      <c r="H245" s="2">
        <v>46265</v>
      </c>
      <c r="I245">
        <v>204.76</v>
      </c>
      <c r="M245" s="1" t="s">
        <v>69</v>
      </c>
      <c r="N245" s="1" t="s">
        <v>22</v>
      </c>
      <c r="O245" s="2"/>
      <c r="P245" s="2"/>
      <c r="Q245">
        <f>_xlfn.XLOOKUP(E245,CPT!$A$2:$A$13,CPT!$D$2:$D$13)</f>
        <v>210</v>
      </c>
      <c r="R245" s="1">
        <f>_xlfn.XLOOKUP(C245,Contract!$A$2:$A$9,Contract!$B$2:$B$9)</f>
        <v>0.43</v>
      </c>
      <c r="S245" s="1">
        <f t="shared" si="12"/>
        <v>90.3</v>
      </c>
      <c r="T245" s="1" t="str">
        <f t="shared" si="13"/>
        <v/>
      </c>
      <c r="U245" s="1" t="str">
        <f t="shared" si="14"/>
        <v/>
      </c>
      <c r="V245" s="1" t="str">
        <f>_xlfn.XLOOKUP(C245,Payers!$A$2:$A$9,Payers!$B$2:$B$9)</f>
        <v>Summit Health Commercial</v>
      </c>
      <c r="W245" s="1" t="str">
        <f t="shared" si="15"/>
        <v>2026-08</v>
      </c>
    </row>
    <row r="246" spans="1:23">
      <c r="A246" s="1" t="s">
        <v>531</v>
      </c>
      <c r="B246" s="1" t="s">
        <v>532</v>
      </c>
      <c r="C246" s="1" t="s">
        <v>36</v>
      </c>
      <c r="D246" s="1" t="s">
        <v>30</v>
      </c>
      <c r="E246" s="1" t="s">
        <v>31</v>
      </c>
      <c r="F246">
        <v>1</v>
      </c>
      <c r="G246" s="2">
        <v>46268</v>
      </c>
      <c r="H246" s="2">
        <v>46272</v>
      </c>
      <c r="I246">
        <v>60.9</v>
      </c>
      <c r="M246" s="1" t="s">
        <v>69</v>
      </c>
      <c r="N246" s="1" t="s">
        <v>22</v>
      </c>
      <c r="O246" s="2"/>
      <c r="P246" s="2"/>
      <c r="Q246">
        <f>_xlfn.XLOOKUP(E246,CPT!$A$2:$A$13,CPT!$D$2:$D$13)</f>
        <v>62</v>
      </c>
      <c r="R246" s="1">
        <f>_xlfn.XLOOKUP(C246,Contract!$A$2:$A$9,Contract!$B$2:$B$9)</f>
        <v>0.27</v>
      </c>
      <c r="S246" s="1">
        <f t="shared" si="12"/>
        <v>16.739999999999998</v>
      </c>
      <c r="T246" s="1" t="str">
        <f t="shared" si="13"/>
        <v/>
      </c>
      <c r="U246" s="1" t="str">
        <f t="shared" si="14"/>
        <v/>
      </c>
      <c r="V246" s="1" t="str">
        <f>_xlfn.XLOOKUP(C246,Payers!$A$2:$A$9,Payers!$B$2:$B$9)</f>
        <v>Florida Medicaid</v>
      </c>
      <c r="W246" s="1" t="str">
        <f t="shared" si="15"/>
        <v>2026-09</v>
      </c>
    </row>
    <row r="247" spans="1:23">
      <c r="A247" s="1" t="s">
        <v>533</v>
      </c>
      <c r="B247" s="1" t="s">
        <v>534</v>
      </c>
      <c r="C247" s="1" t="s">
        <v>76</v>
      </c>
      <c r="D247" s="1" t="s">
        <v>19</v>
      </c>
      <c r="E247" s="1" t="s">
        <v>20</v>
      </c>
      <c r="F247">
        <v>1</v>
      </c>
      <c r="G247" s="2">
        <v>46257</v>
      </c>
      <c r="H247" s="2">
        <v>46261</v>
      </c>
      <c r="I247">
        <v>145.82</v>
      </c>
      <c r="J247">
        <v>71.78</v>
      </c>
      <c r="K247">
        <v>64.599999999999994</v>
      </c>
      <c r="L247">
        <v>7.18</v>
      </c>
      <c r="M247" s="1" t="s">
        <v>21</v>
      </c>
      <c r="N247" s="1" t="s">
        <v>22</v>
      </c>
      <c r="O247" s="2">
        <v>46276</v>
      </c>
      <c r="P247" s="2">
        <v>46276</v>
      </c>
      <c r="Q247">
        <f>_xlfn.XLOOKUP(E247,CPT!$A$2:$A$13,CPT!$D$2:$D$13)</f>
        <v>145</v>
      </c>
      <c r="R247" s="1">
        <f>_xlfn.XLOOKUP(C247,Contract!$A$2:$A$9,Contract!$B$2:$B$9)</f>
        <v>0.43</v>
      </c>
      <c r="S247" s="1">
        <f t="shared" si="12"/>
        <v>62.35</v>
      </c>
      <c r="T247" s="1">
        <f t="shared" si="13"/>
        <v>-9.43</v>
      </c>
      <c r="U247" s="1" t="str">
        <f t="shared" si="14"/>
        <v>OK</v>
      </c>
      <c r="V247" s="1" t="str">
        <f>_xlfn.XLOOKUP(C247,Payers!$A$2:$A$9,Payers!$B$2:$B$9)</f>
        <v>Summit Health Commercial</v>
      </c>
      <c r="W247" s="1" t="str">
        <f t="shared" si="15"/>
        <v>2026-08</v>
      </c>
    </row>
    <row r="248" spans="1:23">
      <c r="A248" s="1" t="s">
        <v>535</v>
      </c>
      <c r="B248" s="1" t="s">
        <v>536</v>
      </c>
      <c r="C248" s="1" t="s">
        <v>76</v>
      </c>
      <c r="D248" s="1" t="s">
        <v>19</v>
      </c>
      <c r="E248" s="1" t="s">
        <v>41</v>
      </c>
      <c r="F248">
        <v>1</v>
      </c>
      <c r="G248" s="2">
        <v>46280</v>
      </c>
      <c r="H248" s="2">
        <v>46283</v>
      </c>
      <c r="I248">
        <v>37.25</v>
      </c>
      <c r="M248" s="1" t="s">
        <v>69</v>
      </c>
      <c r="N248" s="1" t="s">
        <v>22</v>
      </c>
      <c r="O248" s="2"/>
      <c r="P248" s="2"/>
      <c r="Q248">
        <f>_xlfn.XLOOKUP(E248,CPT!$A$2:$A$13,CPT!$D$2:$D$13)</f>
        <v>38</v>
      </c>
      <c r="R248" s="1">
        <f>_xlfn.XLOOKUP(C248,Contract!$A$2:$A$9,Contract!$B$2:$B$9)</f>
        <v>0.43</v>
      </c>
      <c r="S248" s="1">
        <f t="shared" si="12"/>
        <v>16.34</v>
      </c>
      <c r="T248" s="1" t="str">
        <f t="shared" si="13"/>
        <v/>
      </c>
      <c r="U248" s="1" t="str">
        <f t="shared" si="14"/>
        <v/>
      </c>
      <c r="V248" s="1" t="str">
        <f>_xlfn.XLOOKUP(C248,Payers!$A$2:$A$9,Payers!$B$2:$B$9)</f>
        <v>Summit Health Commercial</v>
      </c>
      <c r="W248" s="1" t="str">
        <f t="shared" si="15"/>
        <v>2026-09</v>
      </c>
    </row>
    <row r="249" spans="1:23">
      <c r="A249" s="1" t="s">
        <v>537</v>
      </c>
      <c r="B249" s="1" t="s">
        <v>538</v>
      </c>
      <c r="C249" s="1" t="s">
        <v>47</v>
      </c>
      <c r="D249" s="1" t="s">
        <v>26</v>
      </c>
      <c r="E249" s="1" t="s">
        <v>88</v>
      </c>
      <c r="F249">
        <v>1</v>
      </c>
      <c r="G249" s="2">
        <v>46134</v>
      </c>
      <c r="H249" s="2">
        <v>46138</v>
      </c>
      <c r="I249">
        <v>260.10000000000002</v>
      </c>
      <c r="J249">
        <v>70.66</v>
      </c>
      <c r="K249">
        <v>56.53</v>
      </c>
      <c r="L249">
        <v>14.13</v>
      </c>
      <c r="M249" s="1" t="s">
        <v>21</v>
      </c>
      <c r="N249" s="1" t="s">
        <v>22</v>
      </c>
      <c r="O249" s="2">
        <v>46197</v>
      </c>
      <c r="P249" s="2">
        <v>46197</v>
      </c>
      <c r="Q249">
        <f>_xlfn.XLOOKUP(E249,CPT!$A$2:$A$13,CPT!$D$2:$D$13)</f>
        <v>260</v>
      </c>
      <c r="R249" s="1">
        <f>_xlfn.XLOOKUP(C249,Contract!$A$2:$A$9,Contract!$B$2:$B$9)</f>
        <v>0.28000000000000003</v>
      </c>
      <c r="S249" s="1">
        <f t="shared" si="12"/>
        <v>72.8</v>
      </c>
      <c r="T249" s="1">
        <f t="shared" si="13"/>
        <v>2.1400000000000006</v>
      </c>
      <c r="U249" s="1" t="str">
        <f t="shared" si="14"/>
        <v>OK</v>
      </c>
      <c r="V249" s="1" t="str">
        <f>_xlfn.XLOOKUP(C249,Payers!$A$2:$A$9,Payers!$B$2:$B$9)</f>
        <v>Coastal Medicaid MCO</v>
      </c>
      <c r="W249" s="1" t="str">
        <f t="shared" si="15"/>
        <v>2026-04</v>
      </c>
    </row>
    <row r="250" spans="1:23">
      <c r="A250" s="1" t="s">
        <v>539</v>
      </c>
      <c r="B250" s="1" t="s">
        <v>540</v>
      </c>
      <c r="C250" s="1" t="s">
        <v>25</v>
      </c>
      <c r="D250" s="1" t="s">
        <v>37</v>
      </c>
      <c r="E250" s="1" t="s">
        <v>57</v>
      </c>
      <c r="F250">
        <v>1</v>
      </c>
      <c r="G250" s="2">
        <v>46073</v>
      </c>
      <c r="H250" s="2">
        <v>46074</v>
      </c>
      <c r="I250">
        <v>204.75</v>
      </c>
      <c r="J250">
        <v>84.59</v>
      </c>
      <c r="K250">
        <v>84.59</v>
      </c>
      <c r="L250">
        <v>0</v>
      </c>
      <c r="M250" s="1" t="s">
        <v>21</v>
      </c>
      <c r="N250" s="1" t="s">
        <v>22</v>
      </c>
      <c r="O250" s="2">
        <v>46094</v>
      </c>
      <c r="P250" s="2">
        <v>46094</v>
      </c>
      <c r="Q250">
        <f>_xlfn.XLOOKUP(E250,CPT!$A$2:$A$13,CPT!$D$2:$D$13)</f>
        <v>210</v>
      </c>
      <c r="R250" s="1">
        <f>_xlfn.XLOOKUP(C250,Contract!$A$2:$A$9,Contract!$B$2:$B$9)</f>
        <v>0.36</v>
      </c>
      <c r="S250" s="1">
        <f t="shared" si="12"/>
        <v>75.599999999999994</v>
      </c>
      <c r="T250" s="1">
        <f t="shared" si="13"/>
        <v>-8.9900000000000091</v>
      </c>
      <c r="U250" s="1" t="str">
        <f t="shared" si="14"/>
        <v>OK</v>
      </c>
      <c r="V250" s="1" t="str">
        <f>_xlfn.XLOOKUP(C250,Payers!$A$2:$A$9,Payers!$B$2:$B$9)</f>
        <v>Medicare Part B</v>
      </c>
      <c r="W250" s="1" t="str">
        <f t="shared" si="15"/>
        <v>2026-02</v>
      </c>
    </row>
    <row r="251" spans="1:23">
      <c r="A251" s="1" t="s">
        <v>541</v>
      </c>
      <c r="B251" s="1" t="s">
        <v>542</v>
      </c>
      <c r="C251" s="1" t="s">
        <v>79</v>
      </c>
      <c r="D251" s="1" t="s">
        <v>37</v>
      </c>
      <c r="E251" s="1" t="s">
        <v>57</v>
      </c>
      <c r="F251">
        <v>1</v>
      </c>
      <c r="G251" s="2">
        <v>46053</v>
      </c>
      <c r="H251" s="2">
        <v>46054</v>
      </c>
      <c r="I251">
        <v>204.43</v>
      </c>
      <c r="M251" s="1" t="s">
        <v>69</v>
      </c>
      <c r="N251" s="1" t="s">
        <v>22</v>
      </c>
      <c r="O251" s="2"/>
      <c r="P251" s="2"/>
      <c r="Q251">
        <f>_xlfn.XLOOKUP(E251,CPT!$A$2:$A$13,CPT!$D$2:$D$13)</f>
        <v>210</v>
      </c>
      <c r="R251" s="1">
        <f>_xlfn.XLOOKUP(C251,Contract!$A$2:$A$9,Contract!$B$2:$B$9)</f>
        <v>1</v>
      </c>
      <c r="S251" s="1">
        <f t="shared" si="12"/>
        <v>210</v>
      </c>
      <c r="T251" s="1" t="str">
        <f t="shared" si="13"/>
        <v/>
      </c>
      <c r="U251" s="1" t="str">
        <f t="shared" si="14"/>
        <v/>
      </c>
      <c r="V251" s="1" t="str">
        <f>_xlfn.XLOOKUP(C251,Payers!$A$2:$A$9,Payers!$B$2:$B$9)</f>
        <v>Self-Pay</v>
      </c>
      <c r="W251" s="1" t="str">
        <f t="shared" si="15"/>
        <v>2026-01</v>
      </c>
    </row>
    <row r="252" spans="1:23">
      <c r="A252" s="1" t="s">
        <v>543</v>
      </c>
      <c r="B252" s="1" t="s">
        <v>544</v>
      </c>
      <c r="C252" s="1" t="s">
        <v>18</v>
      </c>
      <c r="D252" s="1" t="s">
        <v>26</v>
      </c>
      <c r="E252" s="1" t="s">
        <v>41</v>
      </c>
      <c r="F252">
        <v>1</v>
      </c>
      <c r="G252" s="2">
        <v>46020</v>
      </c>
      <c r="H252" s="2">
        <v>46025</v>
      </c>
      <c r="I252">
        <v>37.130000000000003</v>
      </c>
      <c r="J252">
        <v>12.72</v>
      </c>
      <c r="K252">
        <v>11.45</v>
      </c>
      <c r="L252">
        <v>1.27</v>
      </c>
      <c r="M252" s="1" t="s">
        <v>21</v>
      </c>
      <c r="N252" s="1" t="s">
        <v>22</v>
      </c>
      <c r="O252" s="2">
        <v>46095</v>
      </c>
      <c r="P252" s="2">
        <v>46095</v>
      </c>
      <c r="Q252">
        <f>_xlfn.XLOOKUP(E252,CPT!$A$2:$A$13,CPT!$D$2:$D$13)</f>
        <v>38</v>
      </c>
      <c r="R252" s="1">
        <f>_xlfn.XLOOKUP(C252,Contract!$A$2:$A$9,Contract!$B$2:$B$9)</f>
        <v>0.38</v>
      </c>
      <c r="S252" s="1">
        <f t="shared" si="12"/>
        <v>14.44</v>
      </c>
      <c r="T252" s="1">
        <f t="shared" si="13"/>
        <v>1.7199999999999989</v>
      </c>
      <c r="U252" s="1" t="str">
        <f t="shared" si="14"/>
        <v>Underpaid</v>
      </c>
      <c r="V252" s="1" t="str">
        <f>_xlfn.XLOOKUP(C252,Payers!$A$2:$A$9,Payers!$B$2:$B$9)</f>
        <v>Sunshine Medicare Advantage</v>
      </c>
      <c r="W252" s="1" t="str">
        <f t="shared" si="15"/>
        <v>2025-12</v>
      </c>
    </row>
    <row r="253" spans="1:23">
      <c r="A253" s="1" t="s">
        <v>545</v>
      </c>
      <c r="B253" s="1" t="s">
        <v>546</v>
      </c>
      <c r="C253" s="1" t="s">
        <v>18</v>
      </c>
      <c r="D253" s="1" t="s">
        <v>19</v>
      </c>
      <c r="E253" s="1" t="s">
        <v>88</v>
      </c>
      <c r="F253">
        <v>1</v>
      </c>
      <c r="G253" s="2">
        <v>45991</v>
      </c>
      <c r="H253" s="2">
        <v>45992</v>
      </c>
      <c r="I253">
        <v>264.23</v>
      </c>
      <c r="J253">
        <v>93.9</v>
      </c>
      <c r="K253">
        <v>93.9</v>
      </c>
      <c r="L253">
        <v>0</v>
      </c>
      <c r="M253" s="1" t="s">
        <v>21</v>
      </c>
      <c r="N253" s="1" t="s">
        <v>22</v>
      </c>
      <c r="O253" s="2">
        <v>46038</v>
      </c>
      <c r="P253" s="2">
        <v>46038</v>
      </c>
      <c r="Q253">
        <f>_xlfn.XLOOKUP(E253,CPT!$A$2:$A$13,CPT!$D$2:$D$13)</f>
        <v>260</v>
      </c>
      <c r="R253" s="1">
        <f>_xlfn.XLOOKUP(C253,Contract!$A$2:$A$9,Contract!$B$2:$B$9)</f>
        <v>0.38</v>
      </c>
      <c r="S253" s="1">
        <f t="shared" si="12"/>
        <v>98.8</v>
      </c>
      <c r="T253" s="1">
        <f t="shared" si="13"/>
        <v>4.8999999999999915</v>
      </c>
      <c r="U253" s="1" t="str">
        <f t="shared" si="14"/>
        <v>OK</v>
      </c>
      <c r="V253" s="1" t="str">
        <f>_xlfn.XLOOKUP(C253,Payers!$A$2:$A$9,Payers!$B$2:$B$9)</f>
        <v>Sunshine Medicare Advantage</v>
      </c>
      <c r="W253" s="1" t="str">
        <f t="shared" si="15"/>
        <v>2025-11</v>
      </c>
    </row>
    <row r="254" spans="1:23">
      <c r="A254" s="1" t="s">
        <v>547</v>
      </c>
      <c r="B254" s="1" t="s">
        <v>548</v>
      </c>
      <c r="C254" s="1" t="s">
        <v>25</v>
      </c>
      <c r="D254" s="1" t="s">
        <v>37</v>
      </c>
      <c r="E254" s="1" t="s">
        <v>57</v>
      </c>
      <c r="F254">
        <v>1</v>
      </c>
      <c r="G254" s="2">
        <v>46185</v>
      </c>
      <c r="H254" s="2">
        <v>46187</v>
      </c>
      <c r="I254">
        <v>209.44</v>
      </c>
      <c r="J254">
        <v>76.97</v>
      </c>
      <c r="K254">
        <v>76.97</v>
      </c>
      <c r="L254">
        <v>0</v>
      </c>
      <c r="M254" s="1" t="s">
        <v>21</v>
      </c>
      <c r="N254" s="1" t="s">
        <v>22</v>
      </c>
      <c r="O254" s="2">
        <v>46202</v>
      </c>
      <c r="P254" s="2">
        <v>46202</v>
      </c>
      <c r="Q254">
        <f>_xlfn.XLOOKUP(E254,CPT!$A$2:$A$13,CPT!$D$2:$D$13)</f>
        <v>210</v>
      </c>
      <c r="R254" s="1">
        <f>_xlfn.XLOOKUP(C254,Contract!$A$2:$A$9,Contract!$B$2:$B$9)</f>
        <v>0.36</v>
      </c>
      <c r="S254" s="1">
        <f t="shared" si="12"/>
        <v>75.599999999999994</v>
      </c>
      <c r="T254" s="1">
        <f t="shared" si="13"/>
        <v>-1.3700000000000045</v>
      </c>
      <c r="U254" s="1" t="str">
        <f t="shared" si="14"/>
        <v>OK</v>
      </c>
      <c r="V254" s="1" t="str">
        <f>_xlfn.XLOOKUP(C254,Payers!$A$2:$A$9,Payers!$B$2:$B$9)</f>
        <v>Medicare Part B</v>
      </c>
      <c r="W254" s="1" t="str">
        <f t="shared" si="15"/>
        <v>2026-06</v>
      </c>
    </row>
    <row r="255" spans="1:23">
      <c r="A255" s="1" t="s">
        <v>549</v>
      </c>
      <c r="B255" s="1" t="s">
        <v>550</v>
      </c>
      <c r="C255" s="1" t="s">
        <v>60</v>
      </c>
      <c r="D255" s="1" t="s">
        <v>37</v>
      </c>
      <c r="E255" s="1" t="s">
        <v>38</v>
      </c>
      <c r="F255">
        <v>5</v>
      </c>
      <c r="G255" s="2">
        <v>46191</v>
      </c>
      <c r="H255" s="2">
        <v>46199</v>
      </c>
      <c r="I255">
        <v>7051.66</v>
      </c>
      <c r="J255">
        <v>3145.37</v>
      </c>
      <c r="K255">
        <v>2516.3000000000002</v>
      </c>
      <c r="L255">
        <v>629.07000000000005</v>
      </c>
      <c r="M255" s="1" t="s">
        <v>21</v>
      </c>
      <c r="N255" s="1" t="s">
        <v>22</v>
      </c>
      <c r="O255" s="2">
        <v>46231</v>
      </c>
      <c r="P255" s="2">
        <v>46231</v>
      </c>
      <c r="Q255">
        <f>_xlfn.XLOOKUP(E255,CPT!$A$2:$A$13,CPT!$D$2:$D$13)</f>
        <v>1450</v>
      </c>
      <c r="R255" s="1">
        <f>_xlfn.XLOOKUP(C255,Contract!$A$2:$A$9,Contract!$B$2:$B$9)</f>
        <v>0.45</v>
      </c>
      <c r="S255" s="1">
        <f t="shared" si="12"/>
        <v>3262.5</v>
      </c>
      <c r="T255" s="1">
        <f t="shared" si="13"/>
        <v>117.13000000000011</v>
      </c>
      <c r="U255" s="1" t="str">
        <f t="shared" si="14"/>
        <v>OK</v>
      </c>
      <c r="V255" s="1" t="str">
        <f>_xlfn.XLOOKUP(C255,Payers!$A$2:$A$9,Payers!$B$2:$B$9)</f>
        <v>Blue Horizon Commercial</v>
      </c>
      <c r="W255" s="1" t="str">
        <f t="shared" si="15"/>
        <v>2026-06</v>
      </c>
    </row>
    <row r="256" spans="1:23">
      <c r="A256" s="1" t="s">
        <v>551</v>
      </c>
      <c r="B256" s="1" t="s">
        <v>552</v>
      </c>
      <c r="C256" s="1" t="s">
        <v>60</v>
      </c>
      <c r="D256" s="1" t="s">
        <v>26</v>
      </c>
      <c r="E256" s="1" t="s">
        <v>44</v>
      </c>
      <c r="F256">
        <v>1</v>
      </c>
      <c r="G256" s="2">
        <v>46266</v>
      </c>
      <c r="H256" s="2">
        <v>46268</v>
      </c>
      <c r="I256">
        <v>4776.78</v>
      </c>
      <c r="J256">
        <v>2296.87</v>
      </c>
      <c r="K256">
        <v>2067.1799999999998</v>
      </c>
      <c r="L256">
        <v>229.69</v>
      </c>
      <c r="M256" s="1" t="s">
        <v>21</v>
      </c>
      <c r="N256" s="1" t="s">
        <v>22</v>
      </c>
      <c r="O256" s="2">
        <v>46295</v>
      </c>
      <c r="P256" s="2">
        <v>46295</v>
      </c>
      <c r="Q256">
        <f>_xlfn.XLOOKUP(E256,CPT!$A$2:$A$13,CPT!$D$2:$D$13)</f>
        <v>4800</v>
      </c>
      <c r="R256" s="1">
        <f>_xlfn.XLOOKUP(C256,Contract!$A$2:$A$9,Contract!$B$2:$B$9)</f>
        <v>0.45</v>
      </c>
      <c r="S256" s="1">
        <f t="shared" si="12"/>
        <v>2160</v>
      </c>
      <c r="T256" s="1">
        <f t="shared" si="13"/>
        <v>-136.86999999999989</v>
      </c>
      <c r="U256" s="1" t="str">
        <f t="shared" si="14"/>
        <v>OK</v>
      </c>
      <c r="V256" s="1" t="str">
        <f>_xlfn.XLOOKUP(C256,Payers!$A$2:$A$9,Payers!$B$2:$B$9)</f>
        <v>Blue Horizon Commercial</v>
      </c>
      <c r="W256" s="1" t="str">
        <f t="shared" si="15"/>
        <v>2026-09</v>
      </c>
    </row>
    <row r="257" spans="1:23">
      <c r="A257" s="1" t="s">
        <v>553</v>
      </c>
      <c r="B257" s="1" t="s">
        <v>554</v>
      </c>
      <c r="C257" s="1" t="s">
        <v>60</v>
      </c>
      <c r="D257" s="1" t="s">
        <v>19</v>
      </c>
      <c r="E257" s="1" t="s">
        <v>20</v>
      </c>
      <c r="F257">
        <v>1</v>
      </c>
      <c r="G257" s="2">
        <v>46195</v>
      </c>
      <c r="H257" s="2">
        <v>46208</v>
      </c>
      <c r="I257">
        <v>149.19</v>
      </c>
      <c r="M257" s="1" t="s">
        <v>32</v>
      </c>
      <c r="N257" s="1" t="s">
        <v>124</v>
      </c>
      <c r="O257" s="2">
        <v>46239</v>
      </c>
      <c r="P257" s="2"/>
      <c r="Q257">
        <f>_xlfn.XLOOKUP(E257,CPT!$A$2:$A$13,CPT!$D$2:$D$13)</f>
        <v>145</v>
      </c>
      <c r="R257" s="1">
        <f>_xlfn.XLOOKUP(C257,Contract!$A$2:$A$9,Contract!$B$2:$B$9)</f>
        <v>0.45</v>
      </c>
      <c r="S257" s="1">
        <f t="shared" si="12"/>
        <v>65.25</v>
      </c>
      <c r="T257" s="1" t="str">
        <f t="shared" si="13"/>
        <v/>
      </c>
      <c r="U257" s="1" t="str">
        <f t="shared" si="14"/>
        <v/>
      </c>
      <c r="V257" s="1" t="str">
        <f>_xlfn.XLOOKUP(C257,Payers!$A$2:$A$9,Payers!$B$2:$B$9)</f>
        <v>Blue Horizon Commercial</v>
      </c>
      <c r="W257" s="1" t="str">
        <f t="shared" si="15"/>
        <v>2026-06</v>
      </c>
    </row>
    <row r="258" spans="1:23">
      <c r="A258" s="1" t="s">
        <v>555</v>
      </c>
      <c r="B258" s="1" t="s">
        <v>556</v>
      </c>
      <c r="C258" s="1" t="s">
        <v>60</v>
      </c>
      <c r="D258" s="1" t="s">
        <v>19</v>
      </c>
      <c r="E258" s="1" t="s">
        <v>88</v>
      </c>
      <c r="F258">
        <v>1</v>
      </c>
      <c r="G258" s="2">
        <v>46219</v>
      </c>
      <c r="H258" s="2">
        <v>46225</v>
      </c>
      <c r="I258">
        <v>264.44</v>
      </c>
      <c r="J258">
        <v>114.12</v>
      </c>
      <c r="K258">
        <v>114.12</v>
      </c>
      <c r="L258">
        <v>0</v>
      </c>
      <c r="M258" s="1" t="s">
        <v>21</v>
      </c>
      <c r="N258" s="1" t="s">
        <v>22</v>
      </c>
      <c r="O258" s="2">
        <v>46281</v>
      </c>
      <c r="P258" s="2">
        <v>46281</v>
      </c>
      <c r="Q258">
        <f>_xlfn.XLOOKUP(E258,CPT!$A$2:$A$13,CPT!$D$2:$D$13)</f>
        <v>260</v>
      </c>
      <c r="R258" s="1">
        <f>_xlfn.XLOOKUP(C258,Contract!$A$2:$A$9,Contract!$B$2:$B$9)</f>
        <v>0.45</v>
      </c>
      <c r="S258" s="1">
        <f t="shared" ref="S258:S321" si="16">ROUND(Q258*F258*R258,2)</f>
        <v>117</v>
      </c>
      <c r="T258" s="1">
        <f t="shared" ref="T258:T321" si="17">IF(M258="Paid",S258-J258,"")</f>
        <v>2.8799999999999955</v>
      </c>
      <c r="U258" s="1" t="str">
        <f t="shared" ref="U258:U321" si="18">IF(M258&lt;&gt;"Paid","",IF(T258&gt;S258*0.05,"Underpaid","OK"))</f>
        <v>OK</v>
      </c>
      <c r="V258" s="1" t="str">
        <f>_xlfn.XLOOKUP(C258,Payers!$A$2:$A$9,Payers!$B$2:$B$9)</f>
        <v>Blue Horizon Commercial</v>
      </c>
      <c r="W258" s="1" t="str">
        <f t="shared" ref="W258:W321" si="19">TEXT(G258,"yyyy-mm")</f>
        <v>2026-07</v>
      </c>
    </row>
    <row r="259" spans="1:23">
      <c r="A259" s="1" t="s">
        <v>557</v>
      </c>
      <c r="B259" s="1" t="s">
        <v>558</v>
      </c>
      <c r="C259" s="1" t="s">
        <v>60</v>
      </c>
      <c r="D259" s="1" t="s">
        <v>30</v>
      </c>
      <c r="E259" s="1" t="s">
        <v>31</v>
      </c>
      <c r="F259">
        <v>1</v>
      </c>
      <c r="G259" s="2">
        <v>46140</v>
      </c>
      <c r="H259" s="2">
        <v>46142</v>
      </c>
      <c r="I259">
        <v>61.01</v>
      </c>
      <c r="J259">
        <v>31.31</v>
      </c>
      <c r="K259">
        <v>31.31</v>
      </c>
      <c r="L259">
        <v>0</v>
      </c>
      <c r="M259" s="1" t="s">
        <v>21</v>
      </c>
      <c r="N259" s="1" t="s">
        <v>22</v>
      </c>
      <c r="O259" s="2">
        <v>46164</v>
      </c>
      <c r="P259" s="2">
        <v>46164</v>
      </c>
      <c r="Q259">
        <f>_xlfn.XLOOKUP(E259,CPT!$A$2:$A$13,CPT!$D$2:$D$13)</f>
        <v>62</v>
      </c>
      <c r="R259" s="1">
        <f>_xlfn.XLOOKUP(C259,Contract!$A$2:$A$9,Contract!$B$2:$B$9)</f>
        <v>0.45</v>
      </c>
      <c r="S259" s="1">
        <f t="shared" si="16"/>
        <v>27.9</v>
      </c>
      <c r="T259" s="1">
        <f t="shared" si="17"/>
        <v>-3.41</v>
      </c>
      <c r="U259" s="1" t="str">
        <f t="shared" si="18"/>
        <v>OK</v>
      </c>
      <c r="V259" s="1" t="str">
        <f>_xlfn.XLOOKUP(C259,Payers!$A$2:$A$9,Payers!$B$2:$B$9)</f>
        <v>Blue Horizon Commercial</v>
      </c>
      <c r="W259" s="1" t="str">
        <f t="shared" si="19"/>
        <v>2026-04</v>
      </c>
    </row>
    <row r="260" spans="1:23">
      <c r="A260" s="1" t="s">
        <v>559</v>
      </c>
      <c r="B260" s="1" t="s">
        <v>560</v>
      </c>
      <c r="C260" s="1" t="s">
        <v>18</v>
      </c>
      <c r="D260" s="1" t="s">
        <v>37</v>
      </c>
      <c r="E260" s="1" t="s">
        <v>57</v>
      </c>
      <c r="F260">
        <v>1</v>
      </c>
      <c r="G260" s="2">
        <v>45984</v>
      </c>
      <c r="H260" s="2">
        <v>46001</v>
      </c>
      <c r="I260">
        <v>206.29</v>
      </c>
      <c r="J260">
        <v>90.23</v>
      </c>
      <c r="K260">
        <v>81.209999999999994</v>
      </c>
      <c r="L260">
        <v>9.02</v>
      </c>
      <c r="M260" s="1" t="s">
        <v>21</v>
      </c>
      <c r="N260" s="1" t="s">
        <v>22</v>
      </c>
      <c r="O260" s="2">
        <v>46061</v>
      </c>
      <c r="P260" s="2">
        <v>46061</v>
      </c>
      <c r="Q260">
        <f>_xlfn.XLOOKUP(E260,CPT!$A$2:$A$13,CPT!$D$2:$D$13)</f>
        <v>210</v>
      </c>
      <c r="R260" s="1">
        <f>_xlfn.XLOOKUP(C260,Contract!$A$2:$A$9,Contract!$B$2:$B$9)</f>
        <v>0.38</v>
      </c>
      <c r="S260" s="1">
        <f t="shared" si="16"/>
        <v>79.8</v>
      </c>
      <c r="T260" s="1">
        <f t="shared" si="17"/>
        <v>-10.430000000000007</v>
      </c>
      <c r="U260" s="1" t="str">
        <f t="shared" si="18"/>
        <v>OK</v>
      </c>
      <c r="V260" s="1" t="str">
        <f>_xlfn.XLOOKUP(C260,Payers!$A$2:$A$9,Payers!$B$2:$B$9)</f>
        <v>Sunshine Medicare Advantage</v>
      </c>
      <c r="W260" s="1" t="str">
        <f t="shared" si="19"/>
        <v>2025-11</v>
      </c>
    </row>
    <row r="261" spans="1:23">
      <c r="A261" s="1" t="s">
        <v>561</v>
      </c>
      <c r="B261" s="1" t="s">
        <v>562</v>
      </c>
      <c r="C261" s="1" t="s">
        <v>47</v>
      </c>
      <c r="D261" s="1" t="s">
        <v>26</v>
      </c>
      <c r="E261" s="1" t="s">
        <v>57</v>
      </c>
      <c r="F261">
        <v>1</v>
      </c>
      <c r="G261" s="2">
        <v>46197</v>
      </c>
      <c r="H261" s="2">
        <v>46207</v>
      </c>
      <c r="I261">
        <v>208.9</v>
      </c>
      <c r="J261">
        <v>62.78</v>
      </c>
      <c r="K261">
        <v>62.78</v>
      </c>
      <c r="L261">
        <v>0</v>
      </c>
      <c r="M261" s="1" t="s">
        <v>21</v>
      </c>
      <c r="N261" s="1" t="s">
        <v>22</v>
      </c>
      <c r="O261" s="2">
        <v>46266</v>
      </c>
      <c r="P261" s="2">
        <v>46266</v>
      </c>
      <c r="Q261">
        <f>_xlfn.XLOOKUP(E261,CPT!$A$2:$A$13,CPT!$D$2:$D$13)</f>
        <v>210</v>
      </c>
      <c r="R261" s="1">
        <f>_xlfn.XLOOKUP(C261,Contract!$A$2:$A$9,Contract!$B$2:$B$9)</f>
        <v>0.28000000000000003</v>
      </c>
      <c r="S261" s="1">
        <f t="shared" si="16"/>
        <v>58.8</v>
      </c>
      <c r="T261" s="1">
        <f t="shared" si="17"/>
        <v>-3.980000000000004</v>
      </c>
      <c r="U261" s="1" t="str">
        <f t="shared" si="18"/>
        <v>OK</v>
      </c>
      <c r="V261" s="1" t="str">
        <f>_xlfn.XLOOKUP(C261,Payers!$A$2:$A$9,Payers!$B$2:$B$9)</f>
        <v>Coastal Medicaid MCO</v>
      </c>
      <c r="W261" s="1" t="str">
        <f t="shared" si="19"/>
        <v>2026-06</v>
      </c>
    </row>
    <row r="262" spans="1:23">
      <c r="A262" s="1" t="s">
        <v>563</v>
      </c>
      <c r="B262" s="1" t="s">
        <v>564</v>
      </c>
      <c r="C262" s="1" t="s">
        <v>76</v>
      </c>
      <c r="D262" s="1" t="s">
        <v>26</v>
      </c>
      <c r="E262" s="1" t="s">
        <v>44</v>
      </c>
      <c r="F262">
        <v>1</v>
      </c>
      <c r="G262" s="2">
        <v>46234</v>
      </c>
      <c r="H262" s="2">
        <v>46237</v>
      </c>
      <c r="I262">
        <v>4819.53</v>
      </c>
      <c r="J262">
        <v>1891.62</v>
      </c>
      <c r="K262">
        <v>1513.3</v>
      </c>
      <c r="L262">
        <v>378.32</v>
      </c>
      <c r="M262" s="1" t="s">
        <v>21</v>
      </c>
      <c r="N262" s="1" t="s">
        <v>22</v>
      </c>
      <c r="O262" s="2">
        <v>46268</v>
      </c>
      <c r="P262" s="2">
        <v>46268</v>
      </c>
      <c r="Q262">
        <f>_xlfn.XLOOKUP(E262,CPT!$A$2:$A$13,CPT!$D$2:$D$13)</f>
        <v>4800</v>
      </c>
      <c r="R262" s="1">
        <f>_xlfn.XLOOKUP(C262,Contract!$A$2:$A$9,Contract!$B$2:$B$9)</f>
        <v>0.43</v>
      </c>
      <c r="S262" s="1">
        <f t="shared" si="16"/>
        <v>2064</v>
      </c>
      <c r="T262" s="1">
        <f t="shared" si="17"/>
        <v>172.38000000000011</v>
      </c>
      <c r="U262" s="1" t="str">
        <f t="shared" si="18"/>
        <v>Underpaid</v>
      </c>
      <c r="V262" s="1" t="str">
        <f>_xlfn.XLOOKUP(C262,Payers!$A$2:$A$9,Payers!$B$2:$B$9)</f>
        <v>Summit Health Commercial</v>
      </c>
      <c r="W262" s="1" t="str">
        <f t="shared" si="19"/>
        <v>2026-07</v>
      </c>
    </row>
    <row r="263" spans="1:23">
      <c r="A263" s="1" t="s">
        <v>565</v>
      </c>
      <c r="B263" s="1" t="s">
        <v>566</v>
      </c>
      <c r="C263" s="1" t="s">
        <v>76</v>
      </c>
      <c r="D263" s="1" t="s">
        <v>30</v>
      </c>
      <c r="E263" s="1" t="s">
        <v>91</v>
      </c>
      <c r="F263">
        <v>1</v>
      </c>
      <c r="G263" s="2">
        <v>46070</v>
      </c>
      <c r="H263" s="2">
        <v>46071</v>
      </c>
      <c r="I263">
        <v>56.52</v>
      </c>
      <c r="J263">
        <v>21.57</v>
      </c>
      <c r="K263">
        <v>21.57</v>
      </c>
      <c r="L263">
        <v>0</v>
      </c>
      <c r="M263" s="1" t="s">
        <v>21</v>
      </c>
      <c r="N263" s="1" t="s">
        <v>22</v>
      </c>
      <c r="O263" s="2">
        <v>46111</v>
      </c>
      <c r="P263" s="2">
        <v>46111</v>
      </c>
      <c r="Q263">
        <f>_xlfn.XLOOKUP(E263,CPT!$A$2:$A$13,CPT!$D$2:$D$13)</f>
        <v>58</v>
      </c>
      <c r="R263" s="1">
        <f>_xlfn.XLOOKUP(C263,Contract!$A$2:$A$9,Contract!$B$2:$B$9)</f>
        <v>0.43</v>
      </c>
      <c r="S263" s="1">
        <f t="shared" si="16"/>
        <v>24.94</v>
      </c>
      <c r="T263" s="1">
        <f t="shared" si="17"/>
        <v>3.370000000000001</v>
      </c>
      <c r="U263" s="1" t="str">
        <f t="shared" si="18"/>
        <v>Underpaid</v>
      </c>
      <c r="V263" s="1" t="str">
        <f>_xlfn.XLOOKUP(C263,Payers!$A$2:$A$9,Payers!$B$2:$B$9)</f>
        <v>Summit Health Commercial</v>
      </c>
      <c r="W263" s="1" t="str">
        <f t="shared" si="19"/>
        <v>2026-02</v>
      </c>
    </row>
    <row r="264" spans="1:23">
      <c r="A264" s="1" t="s">
        <v>567</v>
      </c>
      <c r="B264" s="1" t="s">
        <v>568</v>
      </c>
      <c r="C264" s="1" t="s">
        <v>60</v>
      </c>
      <c r="D264" s="1" t="s">
        <v>19</v>
      </c>
      <c r="E264" s="1" t="s">
        <v>41</v>
      </c>
      <c r="F264">
        <v>1</v>
      </c>
      <c r="G264" s="2">
        <v>46114</v>
      </c>
      <c r="H264" s="2">
        <v>46115</v>
      </c>
      <c r="I264">
        <v>39.06</v>
      </c>
      <c r="J264">
        <v>16.29</v>
      </c>
      <c r="K264">
        <v>14.66</v>
      </c>
      <c r="L264">
        <v>1.63</v>
      </c>
      <c r="M264" s="1" t="s">
        <v>21</v>
      </c>
      <c r="N264" s="1" t="s">
        <v>22</v>
      </c>
      <c r="O264" s="2">
        <v>46146</v>
      </c>
      <c r="P264" s="2">
        <v>46146</v>
      </c>
      <c r="Q264">
        <f>_xlfn.XLOOKUP(E264,CPT!$A$2:$A$13,CPT!$D$2:$D$13)</f>
        <v>38</v>
      </c>
      <c r="R264" s="1">
        <f>_xlfn.XLOOKUP(C264,Contract!$A$2:$A$9,Contract!$B$2:$B$9)</f>
        <v>0.45</v>
      </c>
      <c r="S264" s="1">
        <f t="shared" si="16"/>
        <v>17.100000000000001</v>
      </c>
      <c r="T264" s="1">
        <f t="shared" si="17"/>
        <v>0.81000000000000227</v>
      </c>
      <c r="U264" s="1" t="str">
        <f t="shared" si="18"/>
        <v>OK</v>
      </c>
      <c r="V264" s="1" t="str">
        <f>_xlfn.XLOOKUP(C264,Payers!$A$2:$A$9,Payers!$B$2:$B$9)</f>
        <v>Blue Horizon Commercial</v>
      </c>
      <c r="W264" s="1" t="str">
        <f t="shared" si="19"/>
        <v>2026-04</v>
      </c>
    </row>
    <row r="265" spans="1:23">
      <c r="A265" s="1" t="s">
        <v>569</v>
      </c>
      <c r="B265" s="1" t="s">
        <v>570</v>
      </c>
      <c r="C265" s="1" t="s">
        <v>60</v>
      </c>
      <c r="D265" s="1" t="s">
        <v>37</v>
      </c>
      <c r="E265" s="1" t="s">
        <v>57</v>
      </c>
      <c r="F265">
        <v>1</v>
      </c>
      <c r="G265" s="2">
        <v>46098</v>
      </c>
      <c r="H265" s="2">
        <v>46103</v>
      </c>
      <c r="I265">
        <v>205.57</v>
      </c>
      <c r="J265">
        <v>89.52</v>
      </c>
      <c r="K265">
        <v>89.52</v>
      </c>
      <c r="L265">
        <v>0</v>
      </c>
      <c r="M265" s="1" t="s">
        <v>21</v>
      </c>
      <c r="N265" s="1" t="s">
        <v>22</v>
      </c>
      <c r="O265" s="2">
        <v>46134</v>
      </c>
      <c r="P265" s="2">
        <v>46134</v>
      </c>
      <c r="Q265">
        <f>_xlfn.XLOOKUP(E265,CPT!$A$2:$A$13,CPT!$D$2:$D$13)</f>
        <v>210</v>
      </c>
      <c r="R265" s="1">
        <f>_xlfn.XLOOKUP(C265,Contract!$A$2:$A$9,Contract!$B$2:$B$9)</f>
        <v>0.45</v>
      </c>
      <c r="S265" s="1">
        <f t="shared" si="16"/>
        <v>94.5</v>
      </c>
      <c r="T265" s="1">
        <f t="shared" si="17"/>
        <v>4.980000000000004</v>
      </c>
      <c r="U265" s="1" t="str">
        <f t="shared" si="18"/>
        <v>Underpaid</v>
      </c>
      <c r="V265" s="1" t="str">
        <f>_xlfn.XLOOKUP(C265,Payers!$A$2:$A$9,Payers!$B$2:$B$9)</f>
        <v>Blue Horizon Commercial</v>
      </c>
      <c r="W265" s="1" t="str">
        <f t="shared" si="19"/>
        <v>2026-03</v>
      </c>
    </row>
    <row r="266" spans="1:23">
      <c r="A266" s="1" t="s">
        <v>571</v>
      </c>
      <c r="B266" s="1" t="s">
        <v>572</v>
      </c>
      <c r="C266" s="1" t="s">
        <v>79</v>
      </c>
      <c r="D266" s="1" t="s">
        <v>26</v>
      </c>
      <c r="E266" s="1" t="s">
        <v>44</v>
      </c>
      <c r="F266">
        <v>1</v>
      </c>
      <c r="G266" s="2">
        <v>45946</v>
      </c>
      <c r="H266" s="2">
        <v>45954</v>
      </c>
      <c r="I266">
        <v>4930.2</v>
      </c>
      <c r="M266" s="1" t="s">
        <v>69</v>
      </c>
      <c r="N266" s="1" t="s">
        <v>22</v>
      </c>
      <c r="O266" s="2"/>
      <c r="P266" s="2"/>
      <c r="Q266">
        <f>_xlfn.XLOOKUP(E266,CPT!$A$2:$A$13,CPT!$D$2:$D$13)</f>
        <v>4800</v>
      </c>
      <c r="R266" s="1">
        <f>_xlfn.XLOOKUP(C266,Contract!$A$2:$A$9,Contract!$B$2:$B$9)</f>
        <v>1</v>
      </c>
      <c r="S266" s="1">
        <f t="shared" si="16"/>
        <v>4800</v>
      </c>
      <c r="T266" s="1" t="str">
        <f t="shared" si="17"/>
        <v/>
      </c>
      <c r="U266" s="1" t="str">
        <f t="shared" si="18"/>
        <v/>
      </c>
      <c r="V266" s="1" t="str">
        <f>_xlfn.XLOOKUP(C266,Payers!$A$2:$A$9,Payers!$B$2:$B$9)</f>
        <v>Self-Pay</v>
      </c>
      <c r="W266" s="1" t="str">
        <f t="shared" si="19"/>
        <v>2025-10</v>
      </c>
    </row>
    <row r="267" spans="1:23">
      <c r="A267" s="1" t="s">
        <v>573</v>
      </c>
      <c r="B267" s="1" t="s">
        <v>574</v>
      </c>
      <c r="C267" s="1" t="s">
        <v>60</v>
      </c>
      <c r="D267" s="1" t="s">
        <v>26</v>
      </c>
      <c r="E267" s="1" t="s">
        <v>88</v>
      </c>
      <c r="F267">
        <v>1</v>
      </c>
      <c r="G267" s="2">
        <v>46044</v>
      </c>
      <c r="H267" s="2">
        <v>46051</v>
      </c>
      <c r="I267">
        <v>254.24</v>
      </c>
      <c r="J267">
        <v>119.05</v>
      </c>
      <c r="K267">
        <v>119.05</v>
      </c>
      <c r="L267">
        <v>0</v>
      </c>
      <c r="M267" s="1" t="s">
        <v>21</v>
      </c>
      <c r="N267" s="1" t="s">
        <v>22</v>
      </c>
      <c r="O267" s="2">
        <v>46077</v>
      </c>
      <c r="P267" s="2">
        <v>46077</v>
      </c>
      <c r="Q267">
        <f>_xlfn.XLOOKUP(E267,CPT!$A$2:$A$13,CPT!$D$2:$D$13)</f>
        <v>260</v>
      </c>
      <c r="R267" s="1">
        <f>_xlfn.XLOOKUP(C267,Contract!$A$2:$A$9,Contract!$B$2:$B$9)</f>
        <v>0.45</v>
      </c>
      <c r="S267" s="1">
        <f t="shared" si="16"/>
        <v>117</v>
      </c>
      <c r="T267" s="1">
        <f t="shared" si="17"/>
        <v>-2.0499999999999972</v>
      </c>
      <c r="U267" s="1" t="str">
        <f t="shared" si="18"/>
        <v>OK</v>
      </c>
      <c r="V267" s="1" t="str">
        <f>_xlfn.XLOOKUP(C267,Payers!$A$2:$A$9,Payers!$B$2:$B$9)</f>
        <v>Blue Horizon Commercial</v>
      </c>
      <c r="W267" s="1" t="str">
        <f t="shared" si="19"/>
        <v>2026-01</v>
      </c>
    </row>
    <row r="268" spans="1:23">
      <c r="A268" s="1" t="s">
        <v>575</v>
      </c>
      <c r="B268" s="1" t="s">
        <v>576</v>
      </c>
      <c r="C268" s="1" t="s">
        <v>60</v>
      </c>
      <c r="D268" s="1" t="s">
        <v>19</v>
      </c>
      <c r="E268" s="1" t="s">
        <v>20</v>
      </c>
      <c r="F268">
        <v>1</v>
      </c>
      <c r="G268" s="2">
        <v>45964</v>
      </c>
      <c r="H268" s="2">
        <v>45969</v>
      </c>
      <c r="I268">
        <v>142.37</v>
      </c>
      <c r="J268">
        <v>55.93</v>
      </c>
      <c r="K268">
        <v>55.93</v>
      </c>
      <c r="L268">
        <v>0</v>
      </c>
      <c r="M268" s="1" t="s">
        <v>21</v>
      </c>
      <c r="N268" s="1" t="s">
        <v>22</v>
      </c>
      <c r="O268" s="2">
        <v>46005</v>
      </c>
      <c r="P268" s="2">
        <v>46005</v>
      </c>
      <c r="Q268">
        <f>_xlfn.XLOOKUP(E268,CPT!$A$2:$A$13,CPT!$D$2:$D$13)</f>
        <v>145</v>
      </c>
      <c r="R268" s="1">
        <f>_xlfn.XLOOKUP(C268,Contract!$A$2:$A$9,Contract!$B$2:$B$9)</f>
        <v>0.45</v>
      </c>
      <c r="S268" s="1">
        <f t="shared" si="16"/>
        <v>65.25</v>
      </c>
      <c r="T268" s="1">
        <f t="shared" si="17"/>
        <v>9.32</v>
      </c>
      <c r="U268" s="1" t="str">
        <f t="shared" si="18"/>
        <v>Underpaid</v>
      </c>
      <c r="V268" s="1" t="str">
        <f>_xlfn.XLOOKUP(C268,Payers!$A$2:$A$9,Payers!$B$2:$B$9)</f>
        <v>Blue Horizon Commercial</v>
      </c>
      <c r="W268" s="1" t="str">
        <f t="shared" si="19"/>
        <v>2025-11</v>
      </c>
    </row>
    <row r="269" spans="1:23">
      <c r="A269" s="1" t="s">
        <v>577</v>
      </c>
      <c r="B269" s="1" t="s">
        <v>578</v>
      </c>
      <c r="C269" s="1" t="s">
        <v>60</v>
      </c>
      <c r="D269" s="1" t="s">
        <v>19</v>
      </c>
      <c r="E269" s="1" t="s">
        <v>88</v>
      </c>
      <c r="F269">
        <v>1</v>
      </c>
      <c r="G269" s="2">
        <v>46026</v>
      </c>
      <c r="H269" s="2">
        <v>46029</v>
      </c>
      <c r="I269">
        <v>256.49</v>
      </c>
      <c r="J269">
        <v>119.52</v>
      </c>
      <c r="K269">
        <v>119.52</v>
      </c>
      <c r="L269">
        <v>0</v>
      </c>
      <c r="M269" s="1" t="s">
        <v>21</v>
      </c>
      <c r="N269" s="1" t="s">
        <v>22</v>
      </c>
      <c r="O269" s="2">
        <v>46044</v>
      </c>
      <c r="P269" s="2">
        <v>46044</v>
      </c>
      <c r="Q269">
        <f>_xlfn.XLOOKUP(E269,CPT!$A$2:$A$13,CPT!$D$2:$D$13)</f>
        <v>260</v>
      </c>
      <c r="R269" s="1">
        <f>_xlfn.XLOOKUP(C269,Contract!$A$2:$A$9,Contract!$B$2:$B$9)</f>
        <v>0.45</v>
      </c>
      <c r="S269" s="1">
        <f t="shared" si="16"/>
        <v>117</v>
      </c>
      <c r="T269" s="1">
        <f t="shared" si="17"/>
        <v>-2.519999999999996</v>
      </c>
      <c r="U269" s="1" t="str">
        <f t="shared" si="18"/>
        <v>OK</v>
      </c>
      <c r="V269" s="1" t="str">
        <f>_xlfn.XLOOKUP(C269,Payers!$A$2:$A$9,Payers!$B$2:$B$9)</f>
        <v>Blue Horizon Commercial</v>
      </c>
      <c r="W269" s="1" t="str">
        <f t="shared" si="19"/>
        <v>2026-01</v>
      </c>
    </row>
    <row r="270" spans="1:23">
      <c r="A270" s="1" t="s">
        <v>579</v>
      </c>
      <c r="B270" s="1" t="s">
        <v>580</v>
      </c>
      <c r="C270" s="1" t="s">
        <v>47</v>
      </c>
      <c r="D270" s="1" t="s">
        <v>26</v>
      </c>
      <c r="E270" s="1" t="s">
        <v>113</v>
      </c>
      <c r="F270">
        <v>1</v>
      </c>
      <c r="G270" s="2">
        <v>46176</v>
      </c>
      <c r="H270" s="2">
        <v>46178</v>
      </c>
      <c r="I270">
        <v>1022.34</v>
      </c>
      <c r="M270" s="1" t="s">
        <v>32</v>
      </c>
      <c r="N270" s="1" t="s">
        <v>315</v>
      </c>
      <c r="O270" s="2">
        <v>46213</v>
      </c>
      <c r="P270" s="2"/>
      <c r="Q270">
        <f>_xlfn.XLOOKUP(E270,CPT!$A$2:$A$13,CPT!$D$2:$D$13)</f>
        <v>1050</v>
      </c>
      <c r="R270" s="1">
        <f>_xlfn.XLOOKUP(C270,Contract!$A$2:$A$9,Contract!$B$2:$B$9)</f>
        <v>0.28000000000000003</v>
      </c>
      <c r="S270" s="1">
        <f t="shared" si="16"/>
        <v>294</v>
      </c>
      <c r="T270" s="1" t="str">
        <f t="shared" si="17"/>
        <v/>
      </c>
      <c r="U270" s="1" t="str">
        <f t="shared" si="18"/>
        <v/>
      </c>
      <c r="V270" s="1" t="str">
        <f>_xlfn.XLOOKUP(C270,Payers!$A$2:$A$9,Payers!$B$2:$B$9)</f>
        <v>Coastal Medicaid MCO</v>
      </c>
      <c r="W270" s="1" t="str">
        <f t="shared" si="19"/>
        <v>2026-06</v>
      </c>
    </row>
    <row r="271" spans="1:23">
      <c r="A271" s="1" t="s">
        <v>581</v>
      </c>
      <c r="B271" s="1" t="s">
        <v>582</v>
      </c>
      <c r="C271" s="1" t="s">
        <v>76</v>
      </c>
      <c r="D271" s="1" t="s">
        <v>19</v>
      </c>
      <c r="E271" s="1" t="s">
        <v>41</v>
      </c>
      <c r="F271">
        <v>1</v>
      </c>
      <c r="G271" s="2">
        <v>46220</v>
      </c>
      <c r="H271" s="2">
        <v>46222</v>
      </c>
      <c r="I271">
        <v>38.01</v>
      </c>
      <c r="J271">
        <v>15.33</v>
      </c>
      <c r="K271">
        <v>15.33</v>
      </c>
      <c r="L271">
        <v>0</v>
      </c>
      <c r="M271" s="1" t="s">
        <v>21</v>
      </c>
      <c r="N271" s="1" t="s">
        <v>22</v>
      </c>
      <c r="O271" s="2">
        <v>46251</v>
      </c>
      <c r="P271" s="2">
        <v>46251</v>
      </c>
      <c r="Q271">
        <f>_xlfn.XLOOKUP(E271,CPT!$A$2:$A$13,CPT!$D$2:$D$13)</f>
        <v>38</v>
      </c>
      <c r="R271" s="1">
        <f>_xlfn.XLOOKUP(C271,Contract!$A$2:$A$9,Contract!$B$2:$B$9)</f>
        <v>0.43</v>
      </c>
      <c r="S271" s="1">
        <f t="shared" si="16"/>
        <v>16.34</v>
      </c>
      <c r="T271" s="1">
        <f t="shared" si="17"/>
        <v>1.0099999999999998</v>
      </c>
      <c r="U271" s="1" t="str">
        <f t="shared" si="18"/>
        <v>Underpaid</v>
      </c>
      <c r="V271" s="1" t="str">
        <f>_xlfn.XLOOKUP(C271,Payers!$A$2:$A$9,Payers!$B$2:$B$9)</f>
        <v>Summit Health Commercial</v>
      </c>
      <c r="W271" s="1" t="str">
        <f t="shared" si="19"/>
        <v>2026-07</v>
      </c>
    </row>
    <row r="272" spans="1:23">
      <c r="A272" s="1" t="s">
        <v>583</v>
      </c>
      <c r="B272" s="1" t="s">
        <v>584</v>
      </c>
      <c r="C272" s="1" t="s">
        <v>60</v>
      </c>
      <c r="D272" s="1" t="s">
        <v>30</v>
      </c>
      <c r="E272" s="1" t="s">
        <v>91</v>
      </c>
      <c r="F272">
        <v>3</v>
      </c>
      <c r="G272" s="2">
        <v>46172</v>
      </c>
      <c r="H272" s="2">
        <v>46176</v>
      </c>
      <c r="I272">
        <v>172.51</v>
      </c>
      <c r="J272">
        <v>71.540000000000006</v>
      </c>
      <c r="K272">
        <v>71.540000000000006</v>
      </c>
      <c r="L272">
        <v>0</v>
      </c>
      <c r="M272" s="1" t="s">
        <v>21</v>
      </c>
      <c r="N272" s="1" t="s">
        <v>22</v>
      </c>
      <c r="O272" s="2">
        <v>46204</v>
      </c>
      <c r="P272" s="2">
        <v>46204</v>
      </c>
      <c r="Q272">
        <f>_xlfn.XLOOKUP(E272,CPT!$A$2:$A$13,CPT!$D$2:$D$13)</f>
        <v>58</v>
      </c>
      <c r="R272" s="1">
        <f>_xlfn.XLOOKUP(C272,Contract!$A$2:$A$9,Contract!$B$2:$B$9)</f>
        <v>0.45</v>
      </c>
      <c r="S272" s="1">
        <f t="shared" si="16"/>
        <v>78.3</v>
      </c>
      <c r="T272" s="1">
        <f t="shared" si="17"/>
        <v>6.7599999999999909</v>
      </c>
      <c r="U272" s="1" t="str">
        <f t="shared" si="18"/>
        <v>Underpaid</v>
      </c>
      <c r="V272" s="1" t="str">
        <f>_xlfn.XLOOKUP(C272,Payers!$A$2:$A$9,Payers!$B$2:$B$9)</f>
        <v>Blue Horizon Commercial</v>
      </c>
      <c r="W272" s="1" t="str">
        <f t="shared" si="19"/>
        <v>2026-05</v>
      </c>
    </row>
    <row r="273" spans="1:23">
      <c r="A273" s="1" t="s">
        <v>585</v>
      </c>
      <c r="B273" s="1" t="s">
        <v>586</v>
      </c>
      <c r="C273" s="1" t="s">
        <v>25</v>
      </c>
      <c r="D273" s="1" t="s">
        <v>30</v>
      </c>
      <c r="E273" s="1" t="s">
        <v>31</v>
      </c>
      <c r="F273">
        <v>1</v>
      </c>
      <c r="G273" s="2">
        <v>46129</v>
      </c>
      <c r="H273" s="2">
        <v>46149</v>
      </c>
      <c r="I273">
        <v>63.62</v>
      </c>
      <c r="J273">
        <v>21.61</v>
      </c>
      <c r="K273">
        <v>19.45</v>
      </c>
      <c r="L273">
        <v>2.16</v>
      </c>
      <c r="M273" s="1" t="s">
        <v>21</v>
      </c>
      <c r="N273" s="1" t="s">
        <v>22</v>
      </c>
      <c r="O273" s="2">
        <v>46173</v>
      </c>
      <c r="P273" s="2">
        <v>46173</v>
      </c>
      <c r="Q273">
        <f>_xlfn.XLOOKUP(E273,CPT!$A$2:$A$13,CPT!$D$2:$D$13)</f>
        <v>62</v>
      </c>
      <c r="R273" s="1">
        <f>_xlfn.XLOOKUP(C273,Contract!$A$2:$A$9,Contract!$B$2:$B$9)</f>
        <v>0.36</v>
      </c>
      <c r="S273" s="1">
        <f t="shared" si="16"/>
        <v>22.32</v>
      </c>
      <c r="T273" s="1">
        <f t="shared" si="17"/>
        <v>0.71000000000000085</v>
      </c>
      <c r="U273" s="1" t="str">
        <f t="shared" si="18"/>
        <v>OK</v>
      </c>
      <c r="V273" s="1" t="str">
        <f>_xlfn.XLOOKUP(C273,Payers!$A$2:$A$9,Payers!$B$2:$B$9)</f>
        <v>Medicare Part B</v>
      </c>
      <c r="W273" s="1" t="str">
        <f t="shared" si="19"/>
        <v>2026-04</v>
      </c>
    </row>
    <row r="274" spans="1:23">
      <c r="A274" s="1" t="s">
        <v>587</v>
      </c>
      <c r="B274" s="1" t="s">
        <v>588</v>
      </c>
      <c r="C274" s="1" t="s">
        <v>76</v>
      </c>
      <c r="D274" s="1" t="s">
        <v>26</v>
      </c>
      <c r="E274" s="1" t="s">
        <v>41</v>
      </c>
      <c r="F274">
        <v>1</v>
      </c>
      <c r="G274" s="2">
        <v>46221</v>
      </c>
      <c r="H274" s="2">
        <v>46225</v>
      </c>
      <c r="I274">
        <v>38.15</v>
      </c>
      <c r="J274">
        <v>18.79</v>
      </c>
      <c r="K274">
        <v>16.91</v>
      </c>
      <c r="L274">
        <v>1.88</v>
      </c>
      <c r="M274" s="1" t="s">
        <v>21</v>
      </c>
      <c r="N274" s="1" t="s">
        <v>22</v>
      </c>
      <c r="O274" s="2">
        <v>46265</v>
      </c>
      <c r="P274" s="2">
        <v>46265</v>
      </c>
      <c r="Q274">
        <f>_xlfn.XLOOKUP(E274,CPT!$A$2:$A$13,CPT!$D$2:$D$13)</f>
        <v>38</v>
      </c>
      <c r="R274" s="1">
        <f>_xlfn.XLOOKUP(C274,Contract!$A$2:$A$9,Contract!$B$2:$B$9)</f>
        <v>0.43</v>
      </c>
      <c r="S274" s="1">
        <f t="shared" si="16"/>
        <v>16.34</v>
      </c>
      <c r="T274" s="1">
        <f t="shared" si="17"/>
        <v>-2.4499999999999993</v>
      </c>
      <c r="U274" s="1" t="str">
        <f t="shared" si="18"/>
        <v>OK</v>
      </c>
      <c r="V274" s="1" t="str">
        <f>_xlfn.XLOOKUP(C274,Payers!$A$2:$A$9,Payers!$B$2:$B$9)</f>
        <v>Summit Health Commercial</v>
      </c>
      <c r="W274" s="1" t="str">
        <f t="shared" si="19"/>
        <v>2026-07</v>
      </c>
    </row>
    <row r="275" spans="1:23">
      <c r="A275" s="1" t="s">
        <v>589</v>
      </c>
      <c r="B275" s="1" t="s">
        <v>590</v>
      </c>
      <c r="C275" s="1" t="s">
        <v>60</v>
      </c>
      <c r="D275" s="1" t="s">
        <v>19</v>
      </c>
      <c r="E275" s="1" t="s">
        <v>20</v>
      </c>
      <c r="F275">
        <v>1</v>
      </c>
      <c r="G275" s="2">
        <v>46239</v>
      </c>
      <c r="H275" s="2">
        <v>46242</v>
      </c>
      <c r="I275">
        <v>142.55000000000001</v>
      </c>
      <c r="M275" s="1" t="s">
        <v>32</v>
      </c>
      <c r="N275" s="1" t="s">
        <v>281</v>
      </c>
      <c r="O275" s="2">
        <v>46263</v>
      </c>
      <c r="P275" s="2"/>
      <c r="Q275">
        <f>_xlfn.XLOOKUP(E275,CPT!$A$2:$A$13,CPT!$D$2:$D$13)</f>
        <v>145</v>
      </c>
      <c r="R275" s="1">
        <f>_xlfn.XLOOKUP(C275,Contract!$A$2:$A$9,Contract!$B$2:$B$9)</f>
        <v>0.45</v>
      </c>
      <c r="S275" s="1">
        <f t="shared" si="16"/>
        <v>65.25</v>
      </c>
      <c r="T275" s="1" t="str">
        <f t="shared" si="17"/>
        <v/>
      </c>
      <c r="U275" s="1" t="str">
        <f t="shared" si="18"/>
        <v/>
      </c>
      <c r="V275" s="1" t="str">
        <f>_xlfn.XLOOKUP(C275,Payers!$A$2:$A$9,Payers!$B$2:$B$9)</f>
        <v>Blue Horizon Commercial</v>
      </c>
      <c r="W275" s="1" t="str">
        <f t="shared" si="19"/>
        <v>2026-08</v>
      </c>
    </row>
    <row r="276" spans="1:23">
      <c r="A276" s="1" t="s">
        <v>591</v>
      </c>
      <c r="B276" s="1" t="s">
        <v>592</v>
      </c>
      <c r="C276" s="1" t="s">
        <v>25</v>
      </c>
      <c r="D276" s="1" t="s">
        <v>26</v>
      </c>
      <c r="E276" s="1" t="s">
        <v>57</v>
      </c>
      <c r="F276">
        <v>1</v>
      </c>
      <c r="G276" s="2">
        <v>46003</v>
      </c>
      <c r="H276" s="2">
        <v>46011</v>
      </c>
      <c r="I276">
        <v>213.46</v>
      </c>
      <c r="J276">
        <v>87.86</v>
      </c>
      <c r="K276">
        <v>70.290000000000006</v>
      </c>
      <c r="L276">
        <v>17.57</v>
      </c>
      <c r="M276" s="1" t="s">
        <v>21</v>
      </c>
      <c r="N276" s="1" t="s">
        <v>22</v>
      </c>
      <c r="O276" s="2">
        <v>46019</v>
      </c>
      <c r="P276" s="2">
        <v>46019</v>
      </c>
      <c r="Q276">
        <f>_xlfn.XLOOKUP(E276,CPT!$A$2:$A$13,CPT!$D$2:$D$13)</f>
        <v>210</v>
      </c>
      <c r="R276" s="1">
        <f>_xlfn.XLOOKUP(C276,Contract!$A$2:$A$9,Contract!$B$2:$B$9)</f>
        <v>0.36</v>
      </c>
      <c r="S276" s="1">
        <f t="shared" si="16"/>
        <v>75.599999999999994</v>
      </c>
      <c r="T276" s="1">
        <f t="shared" si="17"/>
        <v>-12.260000000000005</v>
      </c>
      <c r="U276" s="1" t="str">
        <f t="shared" si="18"/>
        <v>OK</v>
      </c>
      <c r="V276" s="1" t="str">
        <f>_xlfn.XLOOKUP(C276,Payers!$A$2:$A$9,Payers!$B$2:$B$9)</f>
        <v>Medicare Part B</v>
      </c>
      <c r="W276" s="1" t="str">
        <f t="shared" si="19"/>
        <v>2025-12</v>
      </c>
    </row>
    <row r="277" spans="1:23">
      <c r="A277" s="1" t="s">
        <v>593</v>
      </c>
      <c r="B277" s="1" t="s">
        <v>594</v>
      </c>
      <c r="C277" s="1" t="s">
        <v>76</v>
      </c>
      <c r="D277" s="1" t="s">
        <v>26</v>
      </c>
      <c r="E277" s="1" t="s">
        <v>185</v>
      </c>
      <c r="F277">
        <v>1</v>
      </c>
      <c r="G277" s="2">
        <v>46011</v>
      </c>
      <c r="H277" s="2">
        <v>46014</v>
      </c>
      <c r="I277">
        <v>1166.03</v>
      </c>
      <c r="J277">
        <v>496.49</v>
      </c>
      <c r="K277">
        <v>446.84</v>
      </c>
      <c r="L277">
        <v>49.65</v>
      </c>
      <c r="M277" s="1" t="s">
        <v>21</v>
      </c>
      <c r="N277" s="1" t="s">
        <v>22</v>
      </c>
      <c r="O277" s="2">
        <v>46062</v>
      </c>
      <c r="P277" s="2">
        <v>46062</v>
      </c>
      <c r="Q277">
        <f>_xlfn.XLOOKUP(E277,CPT!$A$2:$A$13,CPT!$D$2:$D$13)</f>
        <v>1150</v>
      </c>
      <c r="R277" s="1">
        <f>_xlfn.XLOOKUP(C277,Contract!$A$2:$A$9,Contract!$B$2:$B$9)</f>
        <v>0.43</v>
      </c>
      <c r="S277" s="1">
        <f t="shared" si="16"/>
        <v>494.5</v>
      </c>
      <c r="T277" s="1">
        <f t="shared" si="17"/>
        <v>-1.9900000000000091</v>
      </c>
      <c r="U277" s="1" t="str">
        <f t="shared" si="18"/>
        <v>OK</v>
      </c>
      <c r="V277" s="1" t="str">
        <f>_xlfn.XLOOKUP(C277,Payers!$A$2:$A$9,Payers!$B$2:$B$9)</f>
        <v>Summit Health Commercial</v>
      </c>
      <c r="W277" s="1" t="str">
        <f t="shared" si="19"/>
        <v>2025-12</v>
      </c>
    </row>
    <row r="278" spans="1:23">
      <c r="A278" s="1" t="s">
        <v>595</v>
      </c>
      <c r="B278" s="1" t="s">
        <v>596</v>
      </c>
      <c r="C278" s="1" t="s">
        <v>18</v>
      </c>
      <c r="D278" s="1" t="s">
        <v>37</v>
      </c>
      <c r="E278" s="1" t="s">
        <v>57</v>
      </c>
      <c r="F278">
        <v>1</v>
      </c>
      <c r="G278" s="2">
        <v>46245</v>
      </c>
      <c r="H278" s="2">
        <v>46247</v>
      </c>
      <c r="I278">
        <v>213.62</v>
      </c>
      <c r="J278">
        <v>73.459999999999994</v>
      </c>
      <c r="K278">
        <v>73.459999999999994</v>
      </c>
      <c r="L278">
        <v>0</v>
      </c>
      <c r="M278" s="1" t="s">
        <v>21</v>
      </c>
      <c r="N278" s="1" t="s">
        <v>22</v>
      </c>
      <c r="O278" s="2">
        <v>46290</v>
      </c>
      <c r="P278" s="2">
        <v>46290</v>
      </c>
      <c r="Q278">
        <f>_xlfn.XLOOKUP(E278,CPT!$A$2:$A$13,CPT!$D$2:$D$13)</f>
        <v>210</v>
      </c>
      <c r="R278" s="1">
        <f>_xlfn.XLOOKUP(C278,Contract!$A$2:$A$9,Contract!$B$2:$B$9)</f>
        <v>0.38</v>
      </c>
      <c r="S278" s="1">
        <f t="shared" si="16"/>
        <v>79.8</v>
      </c>
      <c r="T278" s="1">
        <f t="shared" si="17"/>
        <v>6.3400000000000034</v>
      </c>
      <c r="U278" s="1" t="str">
        <f t="shared" si="18"/>
        <v>Underpaid</v>
      </c>
      <c r="V278" s="1" t="str">
        <f>_xlfn.XLOOKUP(C278,Payers!$A$2:$A$9,Payers!$B$2:$B$9)</f>
        <v>Sunshine Medicare Advantage</v>
      </c>
      <c r="W278" s="1" t="str">
        <f t="shared" si="19"/>
        <v>2026-08</v>
      </c>
    </row>
    <row r="279" spans="1:23">
      <c r="A279" s="1" t="s">
        <v>597</v>
      </c>
      <c r="B279" s="1" t="s">
        <v>299</v>
      </c>
      <c r="C279" s="1" t="s">
        <v>47</v>
      </c>
      <c r="D279" s="1" t="s">
        <v>37</v>
      </c>
      <c r="E279" s="1" t="s">
        <v>57</v>
      </c>
      <c r="F279">
        <v>1</v>
      </c>
      <c r="G279" s="2">
        <v>46131</v>
      </c>
      <c r="H279" s="2">
        <v>46137</v>
      </c>
      <c r="I279">
        <v>214.42</v>
      </c>
      <c r="J279">
        <v>53.91</v>
      </c>
      <c r="K279">
        <v>48.52</v>
      </c>
      <c r="L279">
        <v>5.39</v>
      </c>
      <c r="M279" s="1" t="s">
        <v>21</v>
      </c>
      <c r="N279" s="1" t="s">
        <v>22</v>
      </c>
      <c r="O279" s="2">
        <v>46224</v>
      </c>
      <c r="P279" s="2">
        <v>46224</v>
      </c>
      <c r="Q279">
        <f>_xlfn.XLOOKUP(E279,CPT!$A$2:$A$13,CPT!$D$2:$D$13)</f>
        <v>210</v>
      </c>
      <c r="R279" s="1">
        <f>_xlfn.XLOOKUP(C279,Contract!$A$2:$A$9,Contract!$B$2:$B$9)</f>
        <v>0.28000000000000003</v>
      </c>
      <c r="S279" s="1">
        <f t="shared" si="16"/>
        <v>58.8</v>
      </c>
      <c r="T279" s="1">
        <f t="shared" si="17"/>
        <v>4.8900000000000006</v>
      </c>
      <c r="U279" s="1" t="str">
        <f t="shared" si="18"/>
        <v>Underpaid</v>
      </c>
      <c r="V279" s="1" t="str">
        <f>_xlfn.XLOOKUP(C279,Payers!$A$2:$A$9,Payers!$B$2:$B$9)</f>
        <v>Coastal Medicaid MCO</v>
      </c>
      <c r="W279" s="1" t="str">
        <f t="shared" si="19"/>
        <v>2026-04</v>
      </c>
    </row>
    <row r="280" spans="1:23">
      <c r="A280" s="1" t="s">
        <v>598</v>
      </c>
      <c r="B280" s="1" t="s">
        <v>599</v>
      </c>
      <c r="C280" s="1" t="s">
        <v>25</v>
      </c>
      <c r="D280" s="1" t="s">
        <v>30</v>
      </c>
      <c r="E280" s="1" t="s">
        <v>31</v>
      </c>
      <c r="F280">
        <v>2</v>
      </c>
      <c r="G280" s="2">
        <v>45984</v>
      </c>
      <c r="H280" s="2">
        <v>45990</v>
      </c>
      <c r="I280">
        <v>121.33</v>
      </c>
      <c r="J280">
        <v>39.17</v>
      </c>
      <c r="K280">
        <v>35.25</v>
      </c>
      <c r="L280">
        <v>3.92</v>
      </c>
      <c r="M280" s="1" t="s">
        <v>21</v>
      </c>
      <c r="N280" s="1" t="s">
        <v>22</v>
      </c>
      <c r="O280" s="2">
        <v>46009</v>
      </c>
      <c r="P280" s="2">
        <v>46009</v>
      </c>
      <c r="Q280">
        <f>_xlfn.XLOOKUP(E280,CPT!$A$2:$A$13,CPT!$D$2:$D$13)</f>
        <v>62</v>
      </c>
      <c r="R280" s="1">
        <f>_xlfn.XLOOKUP(C280,Contract!$A$2:$A$9,Contract!$B$2:$B$9)</f>
        <v>0.36</v>
      </c>
      <c r="S280" s="1">
        <f t="shared" si="16"/>
        <v>44.64</v>
      </c>
      <c r="T280" s="1">
        <f t="shared" si="17"/>
        <v>5.4699999999999989</v>
      </c>
      <c r="U280" s="1" t="str">
        <f t="shared" si="18"/>
        <v>Underpaid</v>
      </c>
      <c r="V280" s="1" t="str">
        <f>_xlfn.XLOOKUP(C280,Payers!$A$2:$A$9,Payers!$B$2:$B$9)</f>
        <v>Medicare Part B</v>
      </c>
      <c r="W280" s="1" t="str">
        <f t="shared" si="19"/>
        <v>2025-11</v>
      </c>
    </row>
    <row r="281" spans="1:23">
      <c r="A281" s="1" t="s">
        <v>600</v>
      </c>
      <c r="B281" s="1" t="s">
        <v>556</v>
      </c>
      <c r="C281" s="1" t="s">
        <v>76</v>
      </c>
      <c r="D281" s="1" t="s">
        <v>26</v>
      </c>
      <c r="E281" s="1" t="s">
        <v>57</v>
      </c>
      <c r="F281">
        <v>1</v>
      </c>
      <c r="G281" s="2">
        <v>45965</v>
      </c>
      <c r="H281" s="2">
        <v>45972</v>
      </c>
      <c r="I281">
        <v>208.12</v>
      </c>
      <c r="J281">
        <v>76.459999999999994</v>
      </c>
      <c r="K281">
        <v>61.17</v>
      </c>
      <c r="L281">
        <v>15.29</v>
      </c>
      <c r="M281" s="1" t="s">
        <v>21</v>
      </c>
      <c r="N281" s="1" t="s">
        <v>22</v>
      </c>
      <c r="O281" s="2">
        <v>46001</v>
      </c>
      <c r="P281" s="2">
        <v>46001</v>
      </c>
      <c r="Q281">
        <f>_xlfn.XLOOKUP(E281,CPT!$A$2:$A$13,CPT!$D$2:$D$13)</f>
        <v>210</v>
      </c>
      <c r="R281" s="1">
        <f>_xlfn.XLOOKUP(C281,Contract!$A$2:$A$9,Contract!$B$2:$B$9)</f>
        <v>0.43</v>
      </c>
      <c r="S281" s="1">
        <f t="shared" si="16"/>
        <v>90.3</v>
      </c>
      <c r="T281" s="1">
        <f t="shared" si="17"/>
        <v>13.840000000000003</v>
      </c>
      <c r="U281" s="1" t="str">
        <f t="shared" si="18"/>
        <v>Underpaid</v>
      </c>
      <c r="V281" s="1" t="str">
        <f>_xlfn.XLOOKUP(C281,Payers!$A$2:$A$9,Payers!$B$2:$B$9)</f>
        <v>Summit Health Commercial</v>
      </c>
      <c r="W281" s="1" t="str">
        <f t="shared" si="19"/>
        <v>2025-11</v>
      </c>
    </row>
    <row r="282" spans="1:23">
      <c r="A282" s="1" t="s">
        <v>601</v>
      </c>
      <c r="B282" s="1" t="s">
        <v>602</v>
      </c>
      <c r="C282" s="1" t="s">
        <v>47</v>
      </c>
      <c r="D282" s="1" t="s">
        <v>19</v>
      </c>
      <c r="E282" s="1" t="s">
        <v>57</v>
      </c>
      <c r="F282">
        <v>1</v>
      </c>
      <c r="G282" s="2">
        <v>46183</v>
      </c>
      <c r="H282" s="2">
        <v>46185</v>
      </c>
      <c r="I282">
        <v>214.81</v>
      </c>
      <c r="J282">
        <v>66.06</v>
      </c>
      <c r="K282">
        <v>66.06</v>
      </c>
      <c r="L282">
        <v>0</v>
      </c>
      <c r="M282" s="1" t="s">
        <v>21</v>
      </c>
      <c r="N282" s="1" t="s">
        <v>22</v>
      </c>
      <c r="O282" s="2">
        <v>46251</v>
      </c>
      <c r="P282" s="2">
        <v>46251</v>
      </c>
      <c r="Q282">
        <f>_xlfn.XLOOKUP(E282,CPT!$A$2:$A$13,CPT!$D$2:$D$13)</f>
        <v>210</v>
      </c>
      <c r="R282" s="1">
        <f>_xlfn.XLOOKUP(C282,Contract!$A$2:$A$9,Contract!$B$2:$B$9)</f>
        <v>0.28000000000000003</v>
      </c>
      <c r="S282" s="1">
        <f t="shared" si="16"/>
        <v>58.8</v>
      </c>
      <c r="T282" s="1">
        <f t="shared" si="17"/>
        <v>-7.2600000000000051</v>
      </c>
      <c r="U282" s="1" t="str">
        <f t="shared" si="18"/>
        <v>OK</v>
      </c>
      <c r="V282" s="1" t="str">
        <f>_xlfn.XLOOKUP(C282,Payers!$A$2:$A$9,Payers!$B$2:$B$9)</f>
        <v>Coastal Medicaid MCO</v>
      </c>
      <c r="W282" s="1" t="str">
        <f t="shared" si="19"/>
        <v>2026-06</v>
      </c>
    </row>
    <row r="283" spans="1:23">
      <c r="A283" s="1" t="s">
        <v>603</v>
      </c>
      <c r="B283" s="1" t="s">
        <v>604</v>
      </c>
      <c r="C283" s="1" t="s">
        <v>76</v>
      </c>
      <c r="D283" s="1" t="s">
        <v>19</v>
      </c>
      <c r="E283" s="1" t="s">
        <v>20</v>
      </c>
      <c r="F283">
        <v>1</v>
      </c>
      <c r="G283" s="2">
        <v>46094</v>
      </c>
      <c r="H283" s="2">
        <v>46095</v>
      </c>
      <c r="I283">
        <v>142.91999999999999</v>
      </c>
      <c r="J283">
        <v>68.47</v>
      </c>
      <c r="K283">
        <v>68.47</v>
      </c>
      <c r="L283">
        <v>0</v>
      </c>
      <c r="M283" s="1" t="s">
        <v>21</v>
      </c>
      <c r="N283" s="1" t="s">
        <v>22</v>
      </c>
      <c r="O283" s="2">
        <v>46114</v>
      </c>
      <c r="P283" s="2">
        <v>46114</v>
      </c>
      <c r="Q283">
        <f>_xlfn.XLOOKUP(E283,CPT!$A$2:$A$13,CPT!$D$2:$D$13)</f>
        <v>145</v>
      </c>
      <c r="R283" s="1">
        <f>_xlfn.XLOOKUP(C283,Contract!$A$2:$A$9,Contract!$B$2:$B$9)</f>
        <v>0.43</v>
      </c>
      <c r="S283" s="1">
        <f t="shared" si="16"/>
        <v>62.35</v>
      </c>
      <c r="T283" s="1">
        <f t="shared" si="17"/>
        <v>-6.1199999999999974</v>
      </c>
      <c r="U283" s="1" t="str">
        <f t="shared" si="18"/>
        <v>OK</v>
      </c>
      <c r="V283" s="1" t="str">
        <f>_xlfn.XLOOKUP(C283,Payers!$A$2:$A$9,Payers!$B$2:$B$9)</f>
        <v>Summit Health Commercial</v>
      </c>
      <c r="W283" s="1" t="str">
        <f t="shared" si="19"/>
        <v>2026-03</v>
      </c>
    </row>
    <row r="284" spans="1:23">
      <c r="A284" s="1" t="s">
        <v>605</v>
      </c>
      <c r="B284" s="1" t="s">
        <v>606</v>
      </c>
      <c r="C284" s="1" t="s">
        <v>76</v>
      </c>
      <c r="D284" s="1" t="s">
        <v>26</v>
      </c>
      <c r="E284" s="1" t="s">
        <v>88</v>
      </c>
      <c r="F284">
        <v>1</v>
      </c>
      <c r="G284" s="2">
        <v>46245</v>
      </c>
      <c r="H284" s="2">
        <v>46250</v>
      </c>
      <c r="I284">
        <v>266.13</v>
      </c>
      <c r="J284">
        <v>119.21</v>
      </c>
      <c r="K284">
        <v>119.21</v>
      </c>
      <c r="L284">
        <v>0</v>
      </c>
      <c r="M284" s="1" t="s">
        <v>21</v>
      </c>
      <c r="N284" s="1" t="s">
        <v>22</v>
      </c>
      <c r="O284" s="2">
        <v>46273</v>
      </c>
      <c r="P284" s="2">
        <v>46273</v>
      </c>
      <c r="Q284">
        <f>_xlfn.XLOOKUP(E284,CPT!$A$2:$A$13,CPT!$D$2:$D$13)</f>
        <v>260</v>
      </c>
      <c r="R284" s="1">
        <f>_xlfn.XLOOKUP(C284,Contract!$A$2:$A$9,Contract!$B$2:$B$9)</f>
        <v>0.43</v>
      </c>
      <c r="S284" s="1">
        <f t="shared" si="16"/>
        <v>111.8</v>
      </c>
      <c r="T284" s="1">
        <f t="shared" si="17"/>
        <v>-7.4099999999999966</v>
      </c>
      <c r="U284" s="1" t="str">
        <f t="shared" si="18"/>
        <v>OK</v>
      </c>
      <c r="V284" s="1" t="str">
        <f>_xlfn.XLOOKUP(C284,Payers!$A$2:$A$9,Payers!$B$2:$B$9)</f>
        <v>Summit Health Commercial</v>
      </c>
      <c r="W284" s="1" t="str">
        <f t="shared" si="19"/>
        <v>2026-08</v>
      </c>
    </row>
    <row r="285" spans="1:23">
      <c r="A285" s="1" t="s">
        <v>607</v>
      </c>
      <c r="B285" s="1" t="s">
        <v>608</v>
      </c>
      <c r="C285" s="1" t="s">
        <v>76</v>
      </c>
      <c r="D285" s="1" t="s">
        <v>26</v>
      </c>
      <c r="E285" s="1" t="s">
        <v>57</v>
      </c>
      <c r="F285">
        <v>1</v>
      </c>
      <c r="G285" s="2">
        <v>46214</v>
      </c>
      <c r="H285" s="2">
        <v>46220</v>
      </c>
      <c r="I285">
        <v>212.8</v>
      </c>
      <c r="J285">
        <v>84.79</v>
      </c>
      <c r="K285">
        <v>84.79</v>
      </c>
      <c r="L285">
        <v>0</v>
      </c>
      <c r="M285" s="1" t="s">
        <v>21</v>
      </c>
      <c r="N285" s="1" t="s">
        <v>22</v>
      </c>
      <c r="O285" s="2">
        <v>46245</v>
      </c>
      <c r="P285" s="2">
        <v>46245</v>
      </c>
      <c r="Q285">
        <f>_xlfn.XLOOKUP(E285,CPT!$A$2:$A$13,CPT!$D$2:$D$13)</f>
        <v>210</v>
      </c>
      <c r="R285" s="1">
        <f>_xlfn.XLOOKUP(C285,Contract!$A$2:$A$9,Contract!$B$2:$B$9)</f>
        <v>0.43</v>
      </c>
      <c r="S285" s="1">
        <f t="shared" si="16"/>
        <v>90.3</v>
      </c>
      <c r="T285" s="1">
        <f t="shared" si="17"/>
        <v>5.5099999999999909</v>
      </c>
      <c r="U285" s="1" t="str">
        <f t="shared" si="18"/>
        <v>Underpaid</v>
      </c>
      <c r="V285" s="1" t="str">
        <f>_xlfn.XLOOKUP(C285,Payers!$A$2:$A$9,Payers!$B$2:$B$9)</f>
        <v>Summit Health Commercial</v>
      </c>
      <c r="W285" s="1" t="str">
        <f t="shared" si="19"/>
        <v>2026-07</v>
      </c>
    </row>
    <row r="286" spans="1:23">
      <c r="A286" s="1" t="s">
        <v>609</v>
      </c>
      <c r="B286" s="1" t="s">
        <v>610</v>
      </c>
      <c r="C286" s="1" t="s">
        <v>25</v>
      </c>
      <c r="D286" s="1" t="s">
        <v>26</v>
      </c>
      <c r="E286" s="1" t="s">
        <v>27</v>
      </c>
      <c r="F286">
        <v>1</v>
      </c>
      <c r="G286" s="2">
        <v>46182</v>
      </c>
      <c r="H286" s="2">
        <v>46184</v>
      </c>
      <c r="I286">
        <v>235.01</v>
      </c>
      <c r="J286">
        <v>79.2</v>
      </c>
      <c r="K286">
        <v>79.2</v>
      </c>
      <c r="L286">
        <v>0</v>
      </c>
      <c r="M286" s="1" t="s">
        <v>21</v>
      </c>
      <c r="N286" s="1" t="s">
        <v>22</v>
      </c>
      <c r="O286" s="2">
        <v>46198</v>
      </c>
      <c r="P286" s="2">
        <v>46198</v>
      </c>
      <c r="Q286">
        <f>_xlfn.XLOOKUP(E286,CPT!$A$2:$A$13,CPT!$D$2:$D$13)</f>
        <v>240</v>
      </c>
      <c r="R286" s="1">
        <f>_xlfn.XLOOKUP(C286,Contract!$A$2:$A$9,Contract!$B$2:$B$9)</f>
        <v>0.36</v>
      </c>
      <c r="S286" s="1">
        <f t="shared" si="16"/>
        <v>86.4</v>
      </c>
      <c r="T286" s="1">
        <f t="shared" si="17"/>
        <v>7.2000000000000028</v>
      </c>
      <c r="U286" s="1" t="str">
        <f t="shared" si="18"/>
        <v>Underpaid</v>
      </c>
      <c r="V286" s="1" t="str">
        <f>_xlfn.XLOOKUP(C286,Payers!$A$2:$A$9,Payers!$B$2:$B$9)</f>
        <v>Medicare Part B</v>
      </c>
      <c r="W286" s="1" t="str">
        <f t="shared" si="19"/>
        <v>2026-06</v>
      </c>
    </row>
    <row r="287" spans="1:23">
      <c r="A287" s="1" t="s">
        <v>611</v>
      </c>
      <c r="B287" s="1" t="s">
        <v>612</v>
      </c>
      <c r="C287" s="1" t="s">
        <v>25</v>
      </c>
      <c r="D287" s="1" t="s">
        <v>26</v>
      </c>
      <c r="E287" s="1" t="s">
        <v>57</v>
      </c>
      <c r="F287">
        <v>1</v>
      </c>
      <c r="G287" s="2">
        <v>45972</v>
      </c>
      <c r="H287" s="2">
        <v>45973</v>
      </c>
      <c r="I287">
        <v>209.67</v>
      </c>
      <c r="J287">
        <v>74.8</v>
      </c>
      <c r="K287">
        <v>67.319999999999993</v>
      </c>
      <c r="L287">
        <v>7.48</v>
      </c>
      <c r="M287" s="1" t="s">
        <v>21</v>
      </c>
      <c r="N287" s="1" t="s">
        <v>22</v>
      </c>
      <c r="O287" s="2">
        <v>45984</v>
      </c>
      <c r="P287" s="2">
        <v>45984</v>
      </c>
      <c r="Q287">
        <f>_xlfn.XLOOKUP(E287,CPT!$A$2:$A$13,CPT!$D$2:$D$13)</f>
        <v>210</v>
      </c>
      <c r="R287" s="1">
        <f>_xlfn.XLOOKUP(C287,Contract!$A$2:$A$9,Contract!$B$2:$B$9)</f>
        <v>0.36</v>
      </c>
      <c r="S287" s="1">
        <f t="shared" si="16"/>
        <v>75.599999999999994</v>
      </c>
      <c r="T287" s="1">
        <f t="shared" si="17"/>
        <v>0.79999999999999716</v>
      </c>
      <c r="U287" s="1" t="str">
        <f t="shared" si="18"/>
        <v>OK</v>
      </c>
      <c r="V287" s="1" t="str">
        <f>_xlfn.XLOOKUP(C287,Payers!$A$2:$A$9,Payers!$B$2:$B$9)</f>
        <v>Medicare Part B</v>
      </c>
      <c r="W287" s="1" t="str">
        <f t="shared" si="19"/>
        <v>2025-11</v>
      </c>
    </row>
    <row r="288" spans="1:23">
      <c r="A288" s="1" t="s">
        <v>613</v>
      </c>
      <c r="B288" s="1" t="s">
        <v>614</v>
      </c>
      <c r="C288" s="1" t="s">
        <v>60</v>
      </c>
      <c r="D288" s="1" t="s">
        <v>37</v>
      </c>
      <c r="E288" s="1" t="s">
        <v>48</v>
      </c>
      <c r="F288">
        <v>1</v>
      </c>
      <c r="G288" s="2">
        <v>46126</v>
      </c>
      <c r="H288" s="2">
        <v>46129</v>
      </c>
      <c r="I288">
        <v>416.71</v>
      </c>
      <c r="J288">
        <v>185.48</v>
      </c>
      <c r="K288">
        <v>185.48</v>
      </c>
      <c r="L288">
        <v>0</v>
      </c>
      <c r="M288" s="1" t="s">
        <v>21</v>
      </c>
      <c r="N288" s="1" t="s">
        <v>22</v>
      </c>
      <c r="O288" s="2">
        <v>46157</v>
      </c>
      <c r="P288" s="2">
        <v>46157</v>
      </c>
      <c r="Q288">
        <f>_xlfn.XLOOKUP(E288,CPT!$A$2:$A$13,CPT!$D$2:$D$13)</f>
        <v>420</v>
      </c>
      <c r="R288" s="1">
        <f>_xlfn.XLOOKUP(C288,Contract!$A$2:$A$9,Contract!$B$2:$B$9)</f>
        <v>0.45</v>
      </c>
      <c r="S288" s="1">
        <f t="shared" si="16"/>
        <v>189</v>
      </c>
      <c r="T288" s="1">
        <f t="shared" si="17"/>
        <v>3.5200000000000102</v>
      </c>
      <c r="U288" s="1" t="str">
        <f t="shared" si="18"/>
        <v>OK</v>
      </c>
      <c r="V288" s="1" t="str">
        <f>_xlfn.XLOOKUP(C288,Payers!$A$2:$A$9,Payers!$B$2:$B$9)</f>
        <v>Blue Horizon Commercial</v>
      </c>
      <c r="W288" s="1" t="str">
        <f t="shared" si="19"/>
        <v>2026-04</v>
      </c>
    </row>
    <row r="289" spans="1:23">
      <c r="A289" s="1" t="s">
        <v>615</v>
      </c>
      <c r="B289" s="1" t="s">
        <v>616</v>
      </c>
      <c r="C289" s="1" t="s">
        <v>60</v>
      </c>
      <c r="D289" s="1" t="s">
        <v>37</v>
      </c>
      <c r="E289" s="1" t="s">
        <v>57</v>
      </c>
      <c r="F289">
        <v>1</v>
      </c>
      <c r="G289" s="2">
        <v>46273</v>
      </c>
      <c r="H289" s="2">
        <v>46277</v>
      </c>
      <c r="I289">
        <v>208.03</v>
      </c>
      <c r="M289" s="1" t="s">
        <v>69</v>
      </c>
      <c r="N289" s="1" t="s">
        <v>22</v>
      </c>
      <c r="O289" s="2"/>
      <c r="P289" s="2"/>
      <c r="Q289">
        <f>_xlfn.XLOOKUP(E289,CPT!$A$2:$A$13,CPT!$D$2:$D$13)</f>
        <v>210</v>
      </c>
      <c r="R289" s="1">
        <f>_xlfn.XLOOKUP(C289,Contract!$A$2:$A$9,Contract!$B$2:$B$9)</f>
        <v>0.45</v>
      </c>
      <c r="S289" s="1">
        <f t="shared" si="16"/>
        <v>94.5</v>
      </c>
      <c r="T289" s="1" t="str">
        <f t="shared" si="17"/>
        <v/>
      </c>
      <c r="U289" s="1" t="str">
        <f t="shared" si="18"/>
        <v/>
      </c>
      <c r="V289" s="1" t="str">
        <f>_xlfn.XLOOKUP(C289,Payers!$A$2:$A$9,Payers!$B$2:$B$9)</f>
        <v>Blue Horizon Commercial</v>
      </c>
      <c r="W289" s="1" t="str">
        <f t="shared" si="19"/>
        <v>2026-09</v>
      </c>
    </row>
    <row r="290" spans="1:23">
      <c r="A290" s="1" t="s">
        <v>617</v>
      </c>
      <c r="B290" s="1" t="s">
        <v>618</v>
      </c>
      <c r="C290" s="1" t="s">
        <v>36</v>
      </c>
      <c r="D290" s="1" t="s">
        <v>26</v>
      </c>
      <c r="E290" s="1" t="s">
        <v>113</v>
      </c>
      <c r="F290">
        <v>1</v>
      </c>
      <c r="G290" s="2">
        <v>46145</v>
      </c>
      <c r="H290" s="2">
        <v>46150</v>
      </c>
      <c r="I290">
        <v>1079.33</v>
      </c>
      <c r="J290">
        <v>298.01</v>
      </c>
      <c r="K290">
        <v>238.41</v>
      </c>
      <c r="L290">
        <v>59.6</v>
      </c>
      <c r="M290" s="1" t="s">
        <v>21</v>
      </c>
      <c r="N290" s="1" t="s">
        <v>22</v>
      </c>
      <c r="O290" s="2">
        <v>46190</v>
      </c>
      <c r="P290" s="2">
        <v>46190</v>
      </c>
      <c r="Q290">
        <f>_xlfn.XLOOKUP(E290,CPT!$A$2:$A$13,CPT!$D$2:$D$13)</f>
        <v>1050</v>
      </c>
      <c r="R290" s="1">
        <f>_xlfn.XLOOKUP(C290,Contract!$A$2:$A$9,Contract!$B$2:$B$9)</f>
        <v>0.27</v>
      </c>
      <c r="S290" s="1">
        <f t="shared" si="16"/>
        <v>283.5</v>
      </c>
      <c r="T290" s="1">
        <f t="shared" si="17"/>
        <v>-14.509999999999991</v>
      </c>
      <c r="U290" s="1" t="str">
        <f t="shared" si="18"/>
        <v>OK</v>
      </c>
      <c r="V290" s="1" t="str">
        <f>_xlfn.XLOOKUP(C290,Payers!$A$2:$A$9,Payers!$B$2:$B$9)</f>
        <v>Florida Medicaid</v>
      </c>
      <c r="W290" s="1" t="str">
        <f t="shared" si="19"/>
        <v>2026-05</v>
      </c>
    </row>
    <row r="291" spans="1:23">
      <c r="A291" s="1" t="s">
        <v>619</v>
      </c>
      <c r="B291" s="1" t="s">
        <v>620</v>
      </c>
      <c r="C291" s="1" t="s">
        <v>25</v>
      </c>
      <c r="D291" s="1" t="s">
        <v>37</v>
      </c>
      <c r="E291" s="1" t="s">
        <v>57</v>
      </c>
      <c r="F291">
        <v>1</v>
      </c>
      <c r="G291" s="2">
        <v>46195</v>
      </c>
      <c r="H291" s="2">
        <v>46200</v>
      </c>
      <c r="I291">
        <v>213.79</v>
      </c>
      <c r="J291">
        <v>67.87</v>
      </c>
      <c r="K291">
        <v>54.3</v>
      </c>
      <c r="L291">
        <v>13.57</v>
      </c>
      <c r="M291" s="1" t="s">
        <v>21</v>
      </c>
      <c r="N291" s="1" t="s">
        <v>22</v>
      </c>
      <c r="O291" s="2">
        <v>46222</v>
      </c>
      <c r="P291" s="2">
        <v>46222</v>
      </c>
      <c r="Q291">
        <f>_xlfn.XLOOKUP(E291,CPT!$A$2:$A$13,CPT!$D$2:$D$13)</f>
        <v>210</v>
      </c>
      <c r="R291" s="1">
        <f>_xlfn.XLOOKUP(C291,Contract!$A$2:$A$9,Contract!$B$2:$B$9)</f>
        <v>0.36</v>
      </c>
      <c r="S291" s="1">
        <f t="shared" si="16"/>
        <v>75.599999999999994</v>
      </c>
      <c r="T291" s="1">
        <f t="shared" si="17"/>
        <v>7.7299999999999898</v>
      </c>
      <c r="U291" s="1" t="str">
        <f t="shared" si="18"/>
        <v>Underpaid</v>
      </c>
      <c r="V291" s="1" t="str">
        <f>_xlfn.XLOOKUP(C291,Payers!$A$2:$A$9,Payers!$B$2:$B$9)</f>
        <v>Medicare Part B</v>
      </c>
      <c r="W291" s="1" t="str">
        <f t="shared" si="19"/>
        <v>2026-06</v>
      </c>
    </row>
    <row r="292" spans="1:23">
      <c r="A292" s="1" t="s">
        <v>621</v>
      </c>
      <c r="B292" s="1" t="s">
        <v>337</v>
      </c>
      <c r="C292" s="1" t="s">
        <v>79</v>
      </c>
      <c r="D292" s="1" t="s">
        <v>30</v>
      </c>
      <c r="E292" s="1" t="s">
        <v>31</v>
      </c>
      <c r="F292">
        <v>1</v>
      </c>
      <c r="G292" s="2">
        <v>46029</v>
      </c>
      <c r="H292" s="2">
        <v>46030</v>
      </c>
      <c r="I292">
        <v>60.3</v>
      </c>
      <c r="J292">
        <v>60.3</v>
      </c>
      <c r="K292">
        <v>60.3</v>
      </c>
      <c r="L292">
        <v>0</v>
      </c>
      <c r="M292" s="1" t="s">
        <v>21</v>
      </c>
      <c r="N292" s="1" t="s">
        <v>22</v>
      </c>
      <c r="O292" s="2">
        <v>46110</v>
      </c>
      <c r="P292" s="2">
        <v>46110</v>
      </c>
      <c r="Q292">
        <f>_xlfn.XLOOKUP(E292,CPT!$A$2:$A$13,CPT!$D$2:$D$13)</f>
        <v>62</v>
      </c>
      <c r="R292" s="1">
        <f>_xlfn.XLOOKUP(C292,Contract!$A$2:$A$9,Contract!$B$2:$B$9)</f>
        <v>1</v>
      </c>
      <c r="S292" s="1">
        <f t="shared" si="16"/>
        <v>62</v>
      </c>
      <c r="T292" s="1">
        <f t="shared" si="17"/>
        <v>1.7000000000000028</v>
      </c>
      <c r="U292" s="1" t="str">
        <f t="shared" si="18"/>
        <v>OK</v>
      </c>
      <c r="V292" s="1" t="str">
        <f>_xlfn.XLOOKUP(C292,Payers!$A$2:$A$9,Payers!$B$2:$B$9)</f>
        <v>Self-Pay</v>
      </c>
      <c r="W292" s="1" t="str">
        <f t="shared" si="19"/>
        <v>2026-01</v>
      </c>
    </row>
    <row r="293" spans="1:23">
      <c r="A293" s="1" t="s">
        <v>622</v>
      </c>
      <c r="B293" s="1" t="s">
        <v>623</v>
      </c>
      <c r="C293" s="1" t="s">
        <v>60</v>
      </c>
      <c r="D293" s="1" t="s">
        <v>30</v>
      </c>
      <c r="E293" s="1" t="s">
        <v>31</v>
      </c>
      <c r="F293">
        <v>2</v>
      </c>
      <c r="G293" s="2">
        <v>46215</v>
      </c>
      <c r="H293" s="2">
        <v>46223</v>
      </c>
      <c r="I293">
        <v>124.39</v>
      </c>
      <c r="J293">
        <v>47.48</v>
      </c>
      <c r="K293">
        <v>37.979999999999997</v>
      </c>
      <c r="L293">
        <v>9.5</v>
      </c>
      <c r="M293" s="1" t="s">
        <v>21</v>
      </c>
      <c r="N293" s="1" t="s">
        <v>22</v>
      </c>
      <c r="O293" s="2">
        <v>46246</v>
      </c>
      <c r="P293" s="2">
        <v>46246</v>
      </c>
      <c r="Q293">
        <f>_xlfn.XLOOKUP(E293,CPT!$A$2:$A$13,CPT!$D$2:$D$13)</f>
        <v>62</v>
      </c>
      <c r="R293" s="1">
        <f>_xlfn.XLOOKUP(C293,Contract!$A$2:$A$9,Contract!$B$2:$B$9)</f>
        <v>0.45</v>
      </c>
      <c r="S293" s="1">
        <f t="shared" si="16"/>
        <v>55.8</v>
      </c>
      <c r="T293" s="1">
        <f t="shared" si="17"/>
        <v>8.32</v>
      </c>
      <c r="U293" s="1" t="str">
        <f t="shared" si="18"/>
        <v>Underpaid</v>
      </c>
      <c r="V293" s="1" t="str">
        <f>_xlfn.XLOOKUP(C293,Payers!$A$2:$A$9,Payers!$B$2:$B$9)</f>
        <v>Blue Horizon Commercial</v>
      </c>
      <c r="W293" s="1" t="str">
        <f t="shared" si="19"/>
        <v>2026-07</v>
      </c>
    </row>
    <row r="294" spans="1:23">
      <c r="A294" s="1" t="s">
        <v>624</v>
      </c>
      <c r="B294" s="1" t="s">
        <v>625</v>
      </c>
      <c r="C294" s="1" t="s">
        <v>25</v>
      </c>
      <c r="D294" s="1" t="s">
        <v>19</v>
      </c>
      <c r="E294" s="1" t="s">
        <v>57</v>
      </c>
      <c r="F294">
        <v>1</v>
      </c>
      <c r="G294" s="2">
        <v>46229</v>
      </c>
      <c r="H294" s="2">
        <v>46241</v>
      </c>
      <c r="I294">
        <v>213.26</v>
      </c>
      <c r="J294">
        <v>78.27</v>
      </c>
      <c r="K294">
        <v>70.44</v>
      </c>
      <c r="L294">
        <v>7.83</v>
      </c>
      <c r="M294" s="1" t="s">
        <v>21</v>
      </c>
      <c r="N294" s="1" t="s">
        <v>22</v>
      </c>
      <c r="O294" s="2">
        <v>46262</v>
      </c>
      <c r="P294" s="2">
        <v>46262</v>
      </c>
      <c r="Q294">
        <f>_xlfn.XLOOKUP(E294,CPT!$A$2:$A$13,CPT!$D$2:$D$13)</f>
        <v>210</v>
      </c>
      <c r="R294" s="1">
        <f>_xlfn.XLOOKUP(C294,Contract!$A$2:$A$9,Contract!$B$2:$B$9)</f>
        <v>0.36</v>
      </c>
      <c r="S294" s="1">
        <f t="shared" si="16"/>
        <v>75.599999999999994</v>
      </c>
      <c r="T294" s="1">
        <f t="shared" si="17"/>
        <v>-2.6700000000000017</v>
      </c>
      <c r="U294" s="1" t="str">
        <f t="shared" si="18"/>
        <v>OK</v>
      </c>
      <c r="V294" s="1" t="str">
        <f>_xlfn.XLOOKUP(C294,Payers!$A$2:$A$9,Payers!$B$2:$B$9)</f>
        <v>Medicare Part B</v>
      </c>
      <c r="W294" s="1" t="str">
        <f t="shared" si="19"/>
        <v>2026-07</v>
      </c>
    </row>
    <row r="295" spans="1:23">
      <c r="A295" s="1" t="s">
        <v>626</v>
      </c>
      <c r="B295" s="1" t="s">
        <v>627</v>
      </c>
      <c r="C295" s="1" t="s">
        <v>52</v>
      </c>
      <c r="D295" s="1" t="s">
        <v>26</v>
      </c>
      <c r="E295" s="1" t="s">
        <v>41</v>
      </c>
      <c r="F295">
        <v>1</v>
      </c>
      <c r="G295" s="2">
        <v>46242</v>
      </c>
      <c r="H295" s="2">
        <v>46243</v>
      </c>
      <c r="I295">
        <v>37.94</v>
      </c>
      <c r="J295">
        <v>18.59</v>
      </c>
      <c r="K295">
        <v>14.87</v>
      </c>
      <c r="L295">
        <v>3.72</v>
      </c>
      <c r="M295" s="1" t="s">
        <v>21</v>
      </c>
      <c r="N295" s="1" t="s">
        <v>22</v>
      </c>
      <c r="O295" s="2">
        <v>46294</v>
      </c>
      <c r="P295" s="2">
        <v>46294</v>
      </c>
      <c r="Q295">
        <f>_xlfn.XLOOKUP(E295,CPT!$A$2:$A$13,CPT!$D$2:$D$13)</f>
        <v>38</v>
      </c>
      <c r="R295" s="1">
        <f>_xlfn.XLOOKUP(C295,Contract!$A$2:$A$9,Contract!$B$2:$B$9)</f>
        <v>0.47</v>
      </c>
      <c r="S295" s="1">
        <f t="shared" si="16"/>
        <v>17.86</v>
      </c>
      <c r="T295" s="1">
        <f t="shared" si="17"/>
        <v>-0.73000000000000043</v>
      </c>
      <c r="U295" s="1" t="str">
        <f t="shared" si="18"/>
        <v>OK</v>
      </c>
      <c r="V295" s="1" t="str">
        <f>_xlfn.XLOOKUP(C295,Payers!$A$2:$A$9,Payers!$B$2:$B$9)</f>
        <v>Keystone Commercial PPO</v>
      </c>
      <c r="W295" s="1" t="str">
        <f t="shared" si="19"/>
        <v>2026-08</v>
      </c>
    </row>
    <row r="296" spans="1:23">
      <c r="A296" s="1" t="s">
        <v>628</v>
      </c>
      <c r="B296" s="1" t="s">
        <v>629</v>
      </c>
      <c r="C296" s="1" t="s">
        <v>18</v>
      </c>
      <c r="D296" s="1" t="s">
        <v>19</v>
      </c>
      <c r="E296" s="1" t="s">
        <v>88</v>
      </c>
      <c r="F296">
        <v>1</v>
      </c>
      <c r="G296" s="2">
        <v>45956</v>
      </c>
      <c r="H296" s="2">
        <v>45967</v>
      </c>
      <c r="I296">
        <v>263.83</v>
      </c>
      <c r="J296">
        <v>85.85</v>
      </c>
      <c r="K296">
        <v>77.27</v>
      </c>
      <c r="L296">
        <v>8.58</v>
      </c>
      <c r="M296" s="1" t="s">
        <v>21</v>
      </c>
      <c r="N296" s="1" t="s">
        <v>22</v>
      </c>
      <c r="O296" s="2">
        <v>46024</v>
      </c>
      <c r="P296" s="2">
        <v>46024</v>
      </c>
      <c r="Q296">
        <f>_xlfn.XLOOKUP(E296,CPT!$A$2:$A$13,CPT!$D$2:$D$13)</f>
        <v>260</v>
      </c>
      <c r="R296" s="1">
        <f>_xlfn.XLOOKUP(C296,Contract!$A$2:$A$9,Contract!$B$2:$B$9)</f>
        <v>0.38</v>
      </c>
      <c r="S296" s="1">
        <f t="shared" si="16"/>
        <v>98.8</v>
      </c>
      <c r="T296" s="1">
        <f t="shared" si="17"/>
        <v>12.950000000000003</v>
      </c>
      <c r="U296" s="1" t="str">
        <f t="shared" si="18"/>
        <v>Underpaid</v>
      </c>
      <c r="V296" s="1" t="str">
        <f>_xlfn.XLOOKUP(C296,Payers!$A$2:$A$9,Payers!$B$2:$B$9)</f>
        <v>Sunshine Medicare Advantage</v>
      </c>
      <c r="W296" s="1" t="str">
        <f t="shared" si="19"/>
        <v>2025-10</v>
      </c>
    </row>
    <row r="297" spans="1:23">
      <c r="A297" s="1" t="s">
        <v>630</v>
      </c>
      <c r="B297" s="1" t="s">
        <v>631</v>
      </c>
      <c r="C297" s="1" t="s">
        <v>79</v>
      </c>
      <c r="D297" s="1" t="s">
        <v>19</v>
      </c>
      <c r="E297" s="1" t="s">
        <v>20</v>
      </c>
      <c r="F297">
        <v>1</v>
      </c>
      <c r="G297" s="2">
        <v>46047</v>
      </c>
      <c r="H297" s="2">
        <v>46062</v>
      </c>
      <c r="I297">
        <v>141.82</v>
      </c>
      <c r="J297">
        <v>141.82</v>
      </c>
      <c r="K297">
        <v>141.82</v>
      </c>
      <c r="L297">
        <v>0</v>
      </c>
      <c r="M297" s="1" t="s">
        <v>21</v>
      </c>
      <c r="N297" s="1" t="s">
        <v>22</v>
      </c>
      <c r="O297" s="2">
        <v>46119</v>
      </c>
      <c r="P297" s="2">
        <v>46119</v>
      </c>
      <c r="Q297">
        <f>_xlfn.XLOOKUP(E297,CPT!$A$2:$A$13,CPT!$D$2:$D$13)</f>
        <v>145</v>
      </c>
      <c r="R297" s="1">
        <f>_xlfn.XLOOKUP(C297,Contract!$A$2:$A$9,Contract!$B$2:$B$9)</f>
        <v>1</v>
      </c>
      <c r="S297" s="1">
        <f t="shared" si="16"/>
        <v>145</v>
      </c>
      <c r="T297" s="1">
        <f t="shared" si="17"/>
        <v>3.1800000000000068</v>
      </c>
      <c r="U297" s="1" t="str">
        <f t="shared" si="18"/>
        <v>OK</v>
      </c>
      <c r="V297" s="1" t="str">
        <f>_xlfn.XLOOKUP(C297,Payers!$A$2:$A$9,Payers!$B$2:$B$9)</f>
        <v>Self-Pay</v>
      </c>
      <c r="W297" s="1" t="str">
        <f t="shared" si="19"/>
        <v>2026-01</v>
      </c>
    </row>
    <row r="298" spans="1:23">
      <c r="A298" s="1" t="s">
        <v>632</v>
      </c>
      <c r="B298" s="1" t="s">
        <v>633</v>
      </c>
      <c r="C298" s="1" t="s">
        <v>25</v>
      </c>
      <c r="D298" s="1" t="s">
        <v>37</v>
      </c>
      <c r="E298" s="1" t="s">
        <v>57</v>
      </c>
      <c r="F298">
        <v>1</v>
      </c>
      <c r="G298" s="2">
        <v>46027</v>
      </c>
      <c r="H298" s="2">
        <v>46037</v>
      </c>
      <c r="I298">
        <v>209.27</v>
      </c>
      <c r="J298">
        <v>74.97</v>
      </c>
      <c r="K298">
        <v>74.97</v>
      </c>
      <c r="L298">
        <v>0</v>
      </c>
      <c r="M298" s="1" t="s">
        <v>21</v>
      </c>
      <c r="N298" s="1" t="s">
        <v>22</v>
      </c>
      <c r="O298" s="2">
        <v>46049</v>
      </c>
      <c r="P298" s="2">
        <v>46049</v>
      </c>
      <c r="Q298">
        <f>_xlfn.XLOOKUP(E298,CPT!$A$2:$A$13,CPT!$D$2:$D$13)</f>
        <v>210</v>
      </c>
      <c r="R298" s="1">
        <f>_xlfn.XLOOKUP(C298,Contract!$A$2:$A$9,Contract!$B$2:$B$9)</f>
        <v>0.36</v>
      </c>
      <c r="S298" s="1">
        <f t="shared" si="16"/>
        <v>75.599999999999994</v>
      </c>
      <c r="T298" s="1">
        <f t="shared" si="17"/>
        <v>0.62999999999999545</v>
      </c>
      <c r="U298" s="1" t="str">
        <f t="shared" si="18"/>
        <v>OK</v>
      </c>
      <c r="V298" s="1" t="str">
        <f>_xlfn.XLOOKUP(C298,Payers!$A$2:$A$9,Payers!$B$2:$B$9)</f>
        <v>Medicare Part B</v>
      </c>
      <c r="W298" s="1" t="str">
        <f t="shared" si="19"/>
        <v>2026-01</v>
      </c>
    </row>
    <row r="299" spans="1:23">
      <c r="A299" s="1" t="s">
        <v>634</v>
      </c>
      <c r="B299" s="1" t="s">
        <v>635</v>
      </c>
      <c r="C299" s="1" t="s">
        <v>76</v>
      </c>
      <c r="D299" s="1" t="s">
        <v>37</v>
      </c>
      <c r="E299" s="1" t="s">
        <v>38</v>
      </c>
      <c r="F299">
        <v>30</v>
      </c>
      <c r="G299" s="2">
        <v>46190</v>
      </c>
      <c r="H299" s="2">
        <v>46198</v>
      </c>
      <c r="I299">
        <v>42549.05</v>
      </c>
      <c r="J299">
        <v>15524.03</v>
      </c>
      <c r="K299">
        <v>15524.03</v>
      </c>
      <c r="L299">
        <v>0</v>
      </c>
      <c r="M299" s="1" t="s">
        <v>21</v>
      </c>
      <c r="N299" s="1" t="s">
        <v>22</v>
      </c>
      <c r="O299" s="2">
        <v>46229</v>
      </c>
      <c r="P299" s="2">
        <v>46229</v>
      </c>
      <c r="Q299">
        <f>_xlfn.XLOOKUP(E299,CPT!$A$2:$A$13,CPT!$D$2:$D$13)</f>
        <v>1450</v>
      </c>
      <c r="R299" s="1">
        <f>_xlfn.XLOOKUP(C299,Contract!$A$2:$A$9,Contract!$B$2:$B$9)</f>
        <v>0.43</v>
      </c>
      <c r="S299" s="1">
        <f t="shared" si="16"/>
        <v>18705</v>
      </c>
      <c r="T299" s="1">
        <f t="shared" si="17"/>
        <v>3180.9699999999993</v>
      </c>
      <c r="U299" s="1" t="str">
        <f t="shared" si="18"/>
        <v>Underpaid</v>
      </c>
      <c r="V299" s="1" t="str">
        <f>_xlfn.XLOOKUP(C299,Payers!$A$2:$A$9,Payers!$B$2:$B$9)</f>
        <v>Summit Health Commercial</v>
      </c>
      <c r="W299" s="1" t="str">
        <f t="shared" si="19"/>
        <v>2026-06</v>
      </c>
    </row>
    <row r="300" spans="1:23">
      <c r="A300" s="1" t="s">
        <v>636</v>
      </c>
      <c r="B300" s="1" t="s">
        <v>637</v>
      </c>
      <c r="C300" s="1" t="s">
        <v>76</v>
      </c>
      <c r="D300" s="1" t="s">
        <v>26</v>
      </c>
      <c r="E300" s="1" t="s">
        <v>88</v>
      </c>
      <c r="F300">
        <v>1</v>
      </c>
      <c r="G300" s="2">
        <v>46164</v>
      </c>
      <c r="H300" s="2">
        <v>46166</v>
      </c>
      <c r="I300">
        <v>252.99</v>
      </c>
      <c r="J300">
        <v>103.72</v>
      </c>
      <c r="K300">
        <v>103.72</v>
      </c>
      <c r="L300">
        <v>0</v>
      </c>
      <c r="M300" s="1" t="s">
        <v>21</v>
      </c>
      <c r="N300" s="1" t="s">
        <v>22</v>
      </c>
      <c r="O300" s="2">
        <v>46188</v>
      </c>
      <c r="P300" s="2">
        <v>46188</v>
      </c>
      <c r="Q300">
        <f>_xlfn.XLOOKUP(E300,CPT!$A$2:$A$13,CPT!$D$2:$D$13)</f>
        <v>260</v>
      </c>
      <c r="R300" s="1">
        <f>_xlfn.XLOOKUP(C300,Contract!$A$2:$A$9,Contract!$B$2:$B$9)</f>
        <v>0.43</v>
      </c>
      <c r="S300" s="1">
        <f t="shared" si="16"/>
        <v>111.8</v>
      </c>
      <c r="T300" s="1">
        <f t="shared" si="17"/>
        <v>8.0799999999999983</v>
      </c>
      <c r="U300" s="1" t="str">
        <f t="shared" si="18"/>
        <v>Underpaid</v>
      </c>
      <c r="V300" s="1" t="str">
        <f>_xlfn.XLOOKUP(C300,Payers!$A$2:$A$9,Payers!$B$2:$B$9)</f>
        <v>Summit Health Commercial</v>
      </c>
      <c r="W300" s="1" t="str">
        <f t="shared" si="19"/>
        <v>2026-05</v>
      </c>
    </row>
    <row r="301" spans="1:23">
      <c r="A301" s="1" t="s">
        <v>638</v>
      </c>
      <c r="B301" s="1" t="s">
        <v>639</v>
      </c>
      <c r="C301" s="1" t="s">
        <v>52</v>
      </c>
      <c r="D301" s="1" t="s">
        <v>26</v>
      </c>
      <c r="E301" s="1" t="s">
        <v>185</v>
      </c>
      <c r="F301">
        <v>1</v>
      </c>
      <c r="G301" s="2">
        <v>46159</v>
      </c>
      <c r="H301" s="2">
        <v>46168</v>
      </c>
      <c r="I301">
        <v>1127.75</v>
      </c>
      <c r="J301">
        <v>507.96</v>
      </c>
      <c r="K301">
        <v>507.96</v>
      </c>
      <c r="L301">
        <v>0</v>
      </c>
      <c r="M301" s="1" t="s">
        <v>21</v>
      </c>
      <c r="N301" s="1" t="s">
        <v>22</v>
      </c>
      <c r="O301" s="2">
        <v>46216</v>
      </c>
      <c r="P301" s="2">
        <v>46216</v>
      </c>
      <c r="Q301">
        <f>_xlfn.XLOOKUP(E301,CPT!$A$2:$A$13,CPT!$D$2:$D$13)</f>
        <v>1150</v>
      </c>
      <c r="R301" s="1">
        <f>_xlfn.XLOOKUP(C301,Contract!$A$2:$A$9,Contract!$B$2:$B$9)</f>
        <v>0.47</v>
      </c>
      <c r="S301" s="1">
        <f t="shared" si="16"/>
        <v>540.5</v>
      </c>
      <c r="T301" s="1">
        <f t="shared" si="17"/>
        <v>32.54000000000002</v>
      </c>
      <c r="U301" s="1" t="str">
        <f t="shared" si="18"/>
        <v>Underpaid</v>
      </c>
      <c r="V301" s="1" t="str">
        <f>_xlfn.XLOOKUP(C301,Payers!$A$2:$A$9,Payers!$B$2:$B$9)</f>
        <v>Keystone Commercial PPO</v>
      </c>
      <c r="W301" s="1" t="str">
        <f t="shared" si="19"/>
        <v>2026-05</v>
      </c>
    </row>
    <row r="302" spans="1:23">
      <c r="A302" s="1" t="s">
        <v>640</v>
      </c>
      <c r="B302" s="1" t="s">
        <v>641</v>
      </c>
      <c r="C302" s="1" t="s">
        <v>36</v>
      </c>
      <c r="D302" s="1" t="s">
        <v>30</v>
      </c>
      <c r="E302" s="1" t="s">
        <v>20</v>
      </c>
      <c r="F302">
        <v>1</v>
      </c>
      <c r="G302" s="2">
        <v>45977</v>
      </c>
      <c r="H302" s="2">
        <v>45979</v>
      </c>
      <c r="I302">
        <v>143.13</v>
      </c>
      <c r="J302">
        <v>44.23</v>
      </c>
      <c r="K302">
        <v>44.23</v>
      </c>
      <c r="L302">
        <v>0</v>
      </c>
      <c r="M302" s="1" t="s">
        <v>21</v>
      </c>
      <c r="N302" s="1" t="s">
        <v>22</v>
      </c>
      <c r="O302" s="2">
        <v>46029</v>
      </c>
      <c r="P302" s="2">
        <v>46029</v>
      </c>
      <c r="Q302">
        <f>_xlfn.XLOOKUP(E302,CPT!$A$2:$A$13,CPT!$D$2:$D$13)</f>
        <v>145</v>
      </c>
      <c r="R302" s="1">
        <f>_xlfn.XLOOKUP(C302,Contract!$A$2:$A$9,Contract!$B$2:$B$9)</f>
        <v>0.27</v>
      </c>
      <c r="S302" s="1">
        <f t="shared" si="16"/>
        <v>39.15</v>
      </c>
      <c r="T302" s="1">
        <f t="shared" si="17"/>
        <v>-5.0799999999999983</v>
      </c>
      <c r="U302" s="1" t="str">
        <f t="shared" si="18"/>
        <v>OK</v>
      </c>
      <c r="V302" s="1" t="str">
        <f>_xlfn.XLOOKUP(C302,Payers!$A$2:$A$9,Payers!$B$2:$B$9)</f>
        <v>Florida Medicaid</v>
      </c>
      <c r="W302" s="1" t="str">
        <f t="shared" si="19"/>
        <v>2025-11</v>
      </c>
    </row>
    <row r="303" spans="1:23">
      <c r="A303" s="1" t="s">
        <v>642</v>
      </c>
      <c r="B303" s="1" t="s">
        <v>643</v>
      </c>
      <c r="C303" s="1" t="s">
        <v>60</v>
      </c>
      <c r="D303" s="1" t="s">
        <v>37</v>
      </c>
      <c r="E303" s="1" t="s">
        <v>57</v>
      </c>
      <c r="F303">
        <v>1</v>
      </c>
      <c r="G303" s="2">
        <v>46280</v>
      </c>
      <c r="H303" s="2">
        <v>46290</v>
      </c>
      <c r="I303">
        <v>203.81</v>
      </c>
      <c r="M303" s="1" t="s">
        <v>69</v>
      </c>
      <c r="N303" s="1" t="s">
        <v>22</v>
      </c>
      <c r="O303" s="2"/>
      <c r="P303" s="2"/>
      <c r="Q303">
        <f>_xlfn.XLOOKUP(E303,CPT!$A$2:$A$13,CPT!$D$2:$D$13)</f>
        <v>210</v>
      </c>
      <c r="R303" s="1">
        <f>_xlfn.XLOOKUP(C303,Contract!$A$2:$A$9,Contract!$B$2:$B$9)</f>
        <v>0.45</v>
      </c>
      <c r="S303" s="1">
        <f t="shared" si="16"/>
        <v>94.5</v>
      </c>
      <c r="T303" s="1" t="str">
        <f t="shared" si="17"/>
        <v/>
      </c>
      <c r="U303" s="1" t="str">
        <f t="shared" si="18"/>
        <v/>
      </c>
      <c r="V303" s="1" t="str">
        <f>_xlfn.XLOOKUP(C303,Payers!$A$2:$A$9,Payers!$B$2:$B$9)</f>
        <v>Blue Horizon Commercial</v>
      </c>
      <c r="W303" s="1" t="str">
        <f t="shared" si="19"/>
        <v>2026-09</v>
      </c>
    </row>
    <row r="304" spans="1:23">
      <c r="A304" s="1" t="s">
        <v>644</v>
      </c>
      <c r="B304" s="1" t="s">
        <v>645</v>
      </c>
      <c r="C304" s="1" t="s">
        <v>36</v>
      </c>
      <c r="D304" s="1" t="s">
        <v>26</v>
      </c>
      <c r="E304" s="1" t="s">
        <v>27</v>
      </c>
      <c r="F304">
        <v>1</v>
      </c>
      <c r="G304" s="2">
        <v>46087</v>
      </c>
      <c r="H304" s="2">
        <v>46092</v>
      </c>
      <c r="I304">
        <v>243.06</v>
      </c>
      <c r="J304">
        <v>73.7</v>
      </c>
      <c r="K304">
        <v>73.7</v>
      </c>
      <c r="L304">
        <v>0</v>
      </c>
      <c r="M304" s="1" t="s">
        <v>21</v>
      </c>
      <c r="N304" s="1" t="s">
        <v>22</v>
      </c>
      <c r="O304" s="2">
        <v>46139</v>
      </c>
      <c r="P304" s="2">
        <v>46139</v>
      </c>
      <c r="Q304">
        <f>_xlfn.XLOOKUP(E304,CPT!$A$2:$A$13,CPT!$D$2:$D$13)</f>
        <v>240</v>
      </c>
      <c r="R304" s="1">
        <f>_xlfn.XLOOKUP(C304,Contract!$A$2:$A$9,Contract!$B$2:$B$9)</f>
        <v>0.27</v>
      </c>
      <c r="S304" s="1">
        <f t="shared" si="16"/>
        <v>64.8</v>
      </c>
      <c r="T304" s="1">
        <f t="shared" si="17"/>
        <v>-8.9000000000000057</v>
      </c>
      <c r="U304" s="1" t="str">
        <f t="shared" si="18"/>
        <v>OK</v>
      </c>
      <c r="V304" s="1" t="str">
        <f>_xlfn.XLOOKUP(C304,Payers!$A$2:$A$9,Payers!$B$2:$B$9)</f>
        <v>Florida Medicaid</v>
      </c>
      <c r="W304" s="1" t="str">
        <f t="shared" si="19"/>
        <v>2026-03</v>
      </c>
    </row>
    <row r="305" spans="1:23">
      <c r="A305" s="1" t="s">
        <v>646</v>
      </c>
      <c r="B305" s="1" t="s">
        <v>647</v>
      </c>
      <c r="C305" s="1" t="s">
        <v>36</v>
      </c>
      <c r="D305" s="1" t="s">
        <v>26</v>
      </c>
      <c r="E305" s="1" t="s">
        <v>27</v>
      </c>
      <c r="F305">
        <v>1</v>
      </c>
      <c r="G305" s="2">
        <v>46134</v>
      </c>
      <c r="H305" s="2">
        <v>46135</v>
      </c>
      <c r="I305">
        <v>241.22</v>
      </c>
      <c r="J305">
        <v>74.58</v>
      </c>
      <c r="K305">
        <v>67.12</v>
      </c>
      <c r="L305">
        <v>7.46</v>
      </c>
      <c r="M305" s="1" t="s">
        <v>21</v>
      </c>
      <c r="N305" s="1" t="s">
        <v>22</v>
      </c>
      <c r="O305" s="2">
        <v>46164</v>
      </c>
      <c r="P305" s="2">
        <v>46164</v>
      </c>
      <c r="Q305">
        <f>_xlfn.XLOOKUP(E305,CPT!$A$2:$A$13,CPT!$D$2:$D$13)</f>
        <v>240</v>
      </c>
      <c r="R305" s="1">
        <f>_xlfn.XLOOKUP(C305,Contract!$A$2:$A$9,Contract!$B$2:$B$9)</f>
        <v>0.27</v>
      </c>
      <c r="S305" s="1">
        <f t="shared" si="16"/>
        <v>64.8</v>
      </c>
      <c r="T305" s="1">
        <f t="shared" si="17"/>
        <v>-9.7800000000000011</v>
      </c>
      <c r="U305" s="1" t="str">
        <f t="shared" si="18"/>
        <v>OK</v>
      </c>
      <c r="V305" s="1" t="str">
        <f>_xlfn.XLOOKUP(C305,Payers!$A$2:$A$9,Payers!$B$2:$B$9)</f>
        <v>Florida Medicaid</v>
      </c>
      <c r="W305" s="1" t="str">
        <f t="shared" si="19"/>
        <v>2026-04</v>
      </c>
    </row>
    <row r="306" spans="1:23">
      <c r="A306" s="1" t="s">
        <v>648</v>
      </c>
      <c r="B306" s="1" t="s">
        <v>649</v>
      </c>
      <c r="C306" s="1" t="s">
        <v>76</v>
      </c>
      <c r="D306" s="1" t="s">
        <v>37</v>
      </c>
      <c r="E306" s="1" t="s">
        <v>57</v>
      </c>
      <c r="F306">
        <v>1</v>
      </c>
      <c r="G306" s="2">
        <v>46281</v>
      </c>
      <c r="H306" s="2">
        <v>46282</v>
      </c>
      <c r="I306">
        <v>205.06</v>
      </c>
      <c r="M306" s="1" t="s">
        <v>69</v>
      </c>
      <c r="N306" s="1" t="s">
        <v>22</v>
      </c>
      <c r="O306" s="2"/>
      <c r="P306" s="2"/>
      <c r="Q306">
        <f>_xlfn.XLOOKUP(E306,CPT!$A$2:$A$13,CPT!$D$2:$D$13)</f>
        <v>210</v>
      </c>
      <c r="R306" s="1">
        <f>_xlfn.XLOOKUP(C306,Contract!$A$2:$A$9,Contract!$B$2:$B$9)</f>
        <v>0.43</v>
      </c>
      <c r="S306" s="1">
        <f t="shared" si="16"/>
        <v>90.3</v>
      </c>
      <c r="T306" s="1" t="str">
        <f t="shared" si="17"/>
        <v/>
      </c>
      <c r="U306" s="1" t="str">
        <f t="shared" si="18"/>
        <v/>
      </c>
      <c r="V306" s="1" t="str">
        <f>_xlfn.XLOOKUP(C306,Payers!$A$2:$A$9,Payers!$B$2:$B$9)</f>
        <v>Summit Health Commercial</v>
      </c>
      <c r="W306" s="1" t="str">
        <f t="shared" si="19"/>
        <v>2026-09</v>
      </c>
    </row>
    <row r="307" spans="1:23">
      <c r="A307" s="1" t="s">
        <v>650</v>
      </c>
      <c r="B307" s="1" t="s">
        <v>651</v>
      </c>
      <c r="C307" s="1" t="s">
        <v>76</v>
      </c>
      <c r="D307" s="1" t="s">
        <v>30</v>
      </c>
      <c r="E307" s="1" t="s">
        <v>20</v>
      </c>
      <c r="F307">
        <v>1</v>
      </c>
      <c r="G307" s="2">
        <v>46007</v>
      </c>
      <c r="H307" s="2">
        <v>46140</v>
      </c>
      <c r="I307">
        <v>145.15</v>
      </c>
      <c r="M307" s="1" t="s">
        <v>32</v>
      </c>
      <c r="N307" s="1" t="s">
        <v>137</v>
      </c>
      <c r="O307" s="2">
        <v>46166</v>
      </c>
      <c r="P307" s="2"/>
      <c r="Q307">
        <f>_xlfn.XLOOKUP(E307,CPT!$A$2:$A$13,CPT!$D$2:$D$13)</f>
        <v>145</v>
      </c>
      <c r="R307" s="1">
        <f>_xlfn.XLOOKUP(C307,Contract!$A$2:$A$9,Contract!$B$2:$B$9)</f>
        <v>0.43</v>
      </c>
      <c r="S307" s="1">
        <f t="shared" si="16"/>
        <v>62.35</v>
      </c>
      <c r="T307" s="1" t="str">
        <f t="shared" si="17"/>
        <v/>
      </c>
      <c r="U307" s="1" t="str">
        <f t="shared" si="18"/>
        <v/>
      </c>
      <c r="V307" s="1" t="str">
        <f>_xlfn.XLOOKUP(C307,Payers!$A$2:$A$9,Payers!$B$2:$B$9)</f>
        <v>Summit Health Commercial</v>
      </c>
      <c r="W307" s="1" t="str">
        <f t="shared" si="19"/>
        <v>2025-12</v>
      </c>
    </row>
    <row r="308" spans="1:23">
      <c r="A308" s="1" t="s">
        <v>652</v>
      </c>
      <c r="B308" s="1" t="s">
        <v>653</v>
      </c>
      <c r="C308" s="1" t="s">
        <v>52</v>
      </c>
      <c r="D308" s="1" t="s">
        <v>37</v>
      </c>
      <c r="E308" s="1" t="s">
        <v>57</v>
      </c>
      <c r="F308">
        <v>1</v>
      </c>
      <c r="G308" s="2">
        <v>46082</v>
      </c>
      <c r="H308" s="2">
        <v>46085</v>
      </c>
      <c r="I308">
        <v>206.97</v>
      </c>
      <c r="J308">
        <v>83.66</v>
      </c>
      <c r="K308">
        <v>83.66</v>
      </c>
      <c r="L308">
        <v>0</v>
      </c>
      <c r="M308" s="1" t="s">
        <v>21</v>
      </c>
      <c r="N308" s="1" t="s">
        <v>22</v>
      </c>
      <c r="O308" s="2">
        <v>46125</v>
      </c>
      <c r="P308" s="2">
        <v>46125</v>
      </c>
      <c r="Q308">
        <f>_xlfn.XLOOKUP(E308,CPT!$A$2:$A$13,CPT!$D$2:$D$13)</f>
        <v>210</v>
      </c>
      <c r="R308" s="1">
        <f>_xlfn.XLOOKUP(C308,Contract!$A$2:$A$9,Contract!$B$2:$B$9)</f>
        <v>0.47</v>
      </c>
      <c r="S308" s="1">
        <f t="shared" si="16"/>
        <v>98.7</v>
      </c>
      <c r="T308" s="1">
        <f t="shared" si="17"/>
        <v>15.040000000000006</v>
      </c>
      <c r="U308" s="1" t="str">
        <f t="shared" si="18"/>
        <v>Underpaid</v>
      </c>
      <c r="V308" s="1" t="str">
        <f>_xlfn.XLOOKUP(C308,Payers!$A$2:$A$9,Payers!$B$2:$B$9)</f>
        <v>Keystone Commercial PPO</v>
      </c>
      <c r="W308" s="1" t="str">
        <f t="shared" si="19"/>
        <v>2026-03</v>
      </c>
    </row>
    <row r="309" spans="1:23">
      <c r="A309" s="1" t="s">
        <v>654</v>
      </c>
      <c r="B309" s="1" t="s">
        <v>655</v>
      </c>
      <c r="C309" s="1" t="s">
        <v>18</v>
      </c>
      <c r="D309" s="1" t="s">
        <v>37</v>
      </c>
      <c r="E309" s="1" t="s">
        <v>38</v>
      </c>
      <c r="F309">
        <v>30</v>
      </c>
      <c r="G309" s="2">
        <v>46257</v>
      </c>
      <c r="H309" s="2">
        <v>46262</v>
      </c>
      <c r="I309">
        <v>44561.03</v>
      </c>
      <c r="J309">
        <v>18876.27</v>
      </c>
      <c r="K309">
        <v>18876.27</v>
      </c>
      <c r="L309">
        <v>0</v>
      </c>
      <c r="M309" s="1" t="s">
        <v>21</v>
      </c>
      <c r="N309" s="1" t="s">
        <v>22</v>
      </c>
      <c r="O309" s="2">
        <v>46294</v>
      </c>
      <c r="P309" s="2">
        <v>46294</v>
      </c>
      <c r="Q309">
        <f>_xlfn.XLOOKUP(E309,CPT!$A$2:$A$13,CPT!$D$2:$D$13)</f>
        <v>1450</v>
      </c>
      <c r="R309" s="1">
        <f>_xlfn.XLOOKUP(C309,Contract!$A$2:$A$9,Contract!$B$2:$B$9)</f>
        <v>0.38</v>
      </c>
      <c r="S309" s="1">
        <f t="shared" si="16"/>
        <v>16530</v>
      </c>
      <c r="T309" s="1">
        <f t="shared" si="17"/>
        <v>-2346.2700000000004</v>
      </c>
      <c r="U309" s="1" t="str">
        <f t="shared" si="18"/>
        <v>OK</v>
      </c>
      <c r="V309" s="1" t="str">
        <f>_xlfn.XLOOKUP(C309,Payers!$A$2:$A$9,Payers!$B$2:$B$9)</f>
        <v>Sunshine Medicare Advantage</v>
      </c>
      <c r="W309" s="1" t="str">
        <f t="shared" si="19"/>
        <v>2026-08</v>
      </c>
    </row>
    <row r="310" spans="1:23">
      <c r="A310" s="1" t="s">
        <v>656</v>
      </c>
      <c r="B310" s="1" t="s">
        <v>657</v>
      </c>
      <c r="C310" s="1" t="s">
        <v>18</v>
      </c>
      <c r="D310" s="1" t="s">
        <v>26</v>
      </c>
      <c r="E310" s="1" t="s">
        <v>57</v>
      </c>
      <c r="F310">
        <v>1</v>
      </c>
      <c r="G310" s="2">
        <v>46217</v>
      </c>
      <c r="H310" s="2">
        <v>46218</v>
      </c>
      <c r="I310">
        <v>213.31</v>
      </c>
      <c r="J310">
        <v>77.42</v>
      </c>
      <c r="K310">
        <v>69.680000000000007</v>
      </c>
      <c r="L310">
        <v>7.74</v>
      </c>
      <c r="M310" s="1" t="s">
        <v>21</v>
      </c>
      <c r="N310" s="1" t="s">
        <v>22</v>
      </c>
      <c r="O310" s="2">
        <v>46282</v>
      </c>
      <c r="P310" s="2">
        <v>46282</v>
      </c>
      <c r="Q310">
        <f>_xlfn.XLOOKUP(E310,CPT!$A$2:$A$13,CPT!$D$2:$D$13)</f>
        <v>210</v>
      </c>
      <c r="R310" s="1">
        <f>_xlfn.XLOOKUP(C310,Contract!$A$2:$A$9,Contract!$B$2:$B$9)</f>
        <v>0.38</v>
      </c>
      <c r="S310" s="1">
        <f t="shared" si="16"/>
        <v>79.8</v>
      </c>
      <c r="T310" s="1">
        <f t="shared" si="17"/>
        <v>2.3799999999999955</v>
      </c>
      <c r="U310" s="1" t="str">
        <f t="shared" si="18"/>
        <v>OK</v>
      </c>
      <c r="V310" s="1" t="str">
        <f>_xlfn.XLOOKUP(C310,Payers!$A$2:$A$9,Payers!$B$2:$B$9)</f>
        <v>Sunshine Medicare Advantage</v>
      </c>
      <c r="W310" s="1" t="str">
        <f t="shared" si="19"/>
        <v>2026-07</v>
      </c>
    </row>
    <row r="311" spans="1:23">
      <c r="A311" s="1" t="s">
        <v>658</v>
      </c>
      <c r="B311" s="1" t="s">
        <v>659</v>
      </c>
      <c r="C311" s="1" t="s">
        <v>76</v>
      </c>
      <c r="D311" s="1" t="s">
        <v>37</v>
      </c>
      <c r="E311" s="1" t="s">
        <v>48</v>
      </c>
      <c r="F311">
        <v>1</v>
      </c>
      <c r="G311" s="2">
        <v>46230</v>
      </c>
      <c r="H311" s="2">
        <v>46238</v>
      </c>
      <c r="I311">
        <v>414.81</v>
      </c>
      <c r="J311">
        <v>197.55</v>
      </c>
      <c r="K311">
        <v>197.55</v>
      </c>
      <c r="L311">
        <v>0</v>
      </c>
      <c r="M311" s="1" t="s">
        <v>21</v>
      </c>
      <c r="N311" s="1" t="s">
        <v>22</v>
      </c>
      <c r="O311" s="2">
        <v>46274</v>
      </c>
      <c r="P311" s="2">
        <v>46274</v>
      </c>
      <c r="Q311">
        <f>_xlfn.XLOOKUP(E311,CPT!$A$2:$A$13,CPT!$D$2:$D$13)</f>
        <v>420</v>
      </c>
      <c r="R311" s="1">
        <f>_xlfn.XLOOKUP(C311,Contract!$A$2:$A$9,Contract!$B$2:$B$9)</f>
        <v>0.43</v>
      </c>
      <c r="S311" s="1">
        <f t="shared" si="16"/>
        <v>180.6</v>
      </c>
      <c r="T311" s="1">
        <f t="shared" si="17"/>
        <v>-16.950000000000017</v>
      </c>
      <c r="U311" s="1" t="str">
        <f t="shared" si="18"/>
        <v>OK</v>
      </c>
      <c r="V311" s="1" t="str">
        <f>_xlfn.XLOOKUP(C311,Payers!$A$2:$A$9,Payers!$B$2:$B$9)</f>
        <v>Summit Health Commercial</v>
      </c>
      <c r="W311" s="1" t="str">
        <f t="shared" si="19"/>
        <v>2026-07</v>
      </c>
    </row>
    <row r="312" spans="1:23">
      <c r="A312" s="1" t="s">
        <v>660</v>
      </c>
      <c r="B312" s="1" t="s">
        <v>661</v>
      </c>
      <c r="C312" s="1" t="s">
        <v>76</v>
      </c>
      <c r="D312" s="1" t="s">
        <v>26</v>
      </c>
      <c r="E312" s="1" t="s">
        <v>57</v>
      </c>
      <c r="F312">
        <v>1</v>
      </c>
      <c r="G312" s="2">
        <v>46222</v>
      </c>
      <c r="H312" s="2">
        <v>46240</v>
      </c>
      <c r="I312">
        <v>214.95</v>
      </c>
      <c r="J312">
        <v>102.25</v>
      </c>
      <c r="K312">
        <v>92.02</v>
      </c>
      <c r="L312">
        <v>10.23</v>
      </c>
      <c r="M312" s="1" t="s">
        <v>21</v>
      </c>
      <c r="N312" s="1" t="s">
        <v>22</v>
      </c>
      <c r="O312" s="2">
        <v>46273</v>
      </c>
      <c r="P312" s="2">
        <v>46273</v>
      </c>
      <c r="Q312">
        <f>_xlfn.XLOOKUP(E312,CPT!$A$2:$A$13,CPT!$D$2:$D$13)</f>
        <v>210</v>
      </c>
      <c r="R312" s="1">
        <f>_xlfn.XLOOKUP(C312,Contract!$A$2:$A$9,Contract!$B$2:$B$9)</f>
        <v>0.43</v>
      </c>
      <c r="S312" s="1">
        <f t="shared" si="16"/>
        <v>90.3</v>
      </c>
      <c r="T312" s="1">
        <f t="shared" si="17"/>
        <v>-11.950000000000003</v>
      </c>
      <c r="U312" s="1" t="str">
        <f t="shared" si="18"/>
        <v>OK</v>
      </c>
      <c r="V312" s="1" t="str">
        <f>_xlfn.XLOOKUP(C312,Payers!$A$2:$A$9,Payers!$B$2:$B$9)</f>
        <v>Summit Health Commercial</v>
      </c>
      <c r="W312" s="1" t="str">
        <f t="shared" si="19"/>
        <v>2026-07</v>
      </c>
    </row>
    <row r="313" spans="1:23">
      <c r="A313" s="1" t="s">
        <v>662</v>
      </c>
      <c r="B313" s="1" t="s">
        <v>663</v>
      </c>
      <c r="C313" s="1" t="s">
        <v>25</v>
      </c>
      <c r="D313" s="1" t="s">
        <v>30</v>
      </c>
      <c r="E313" s="1" t="s">
        <v>91</v>
      </c>
      <c r="F313">
        <v>2</v>
      </c>
      <c r="G313" s="2">
        <v>45933</v>
      </c>
      <c r="H313" s="2">
        <v>45939</v>
      </c>
      <c r="I313">
        <v>114.42</v>
      </c>
      <c r="J313">
        <v>41.06</v>
      </c>
      <c r="K313">
        <v>41.06</v>
      </c>
      <c r="L313">
        <v>0</v>
      </c>
      <c r="M313" s="1" t="s">
        <v>21</v>
      </c>
      <c r="N313" s="1" t="s">
        <v>22</v>
      </c>
      <c r="O313" s="2">
        <v>45959</v>
      </c>
      <c r="P313" s="2">
        <v>45959</v>
      </c>
      <c r="Q313">
        <f>_xlfn.XLOOKUP(E313,CPT!$A$2:$A$13,CPT!$D$2:$D$13)</f>
        <v>58</v>
      </c>
      <c r="R313" s="1">
        <f>_xlfn.XLOOKUP(C313,Contract!$A$2:$A$9,Contract!$B$2:$B$9)</f>
        <v>0.36</v>
      </c>
      <c r="S313" s="1">
        <f t="shared" si="16"/>
        <v>41.76</v>
      </c>
      <c r="T313" s="1">
        <f t="shared" si="17"/>
        <v>0.69999999999999574</v>
      </c>
      <c r="U313" s="1" t="str">
        <f t="shared" si="18"/>
        <v>OK</v>
      </c>
      <c r="V313" s="1" t="str">
        <f>_xlfn.XLOOKUP(C313,Payers!$A$2:$A$9,Payers!$B$2:$B$9)</f>
        <v>Medicare Part B</v>
      </c>
      <c r="W313" s="1" t="str">
        <f t="shared" si="19"/>
        <v>2025-10</v>
      </c>
    </row>
    <row r="314" spans="1:23">
      <c r="A314" s="1" t="s">
        <v>664</v>
      </c>
      <c r="B314" s="1" t="s">
        <v>665</v>
      </c>
      <c r="C314" s="1" t="s">
        <v>76</v>
      </c>
      <c r="D314" s="1" t="s">
        <v>19</v>
      </c>
      <c r="E314" s="1" t="s">
        <v>41</v>
      </c>
      <c r="F314">
        <v>1</v>
      </c>
      <c r="G314" s="2">
        <v>46175</v>
      </c>
      <c r="H314" s="2">
        <v>46176</v>
      </c>
      <c r="I314">
        <v>37.729999999999997</v>
      </c>
      <c r="J314">
        <v>15.49</v>
      </c>
      <c r="K314">
        <v>15.49</v>
      </c>
      <c r="L314">
        <v>0</v>
      </c>
      <c r="M314" s="1" t="s">
        <v>21</v>
      </c>
      <c r="N314" s="1" t="s">
        <v>22</v>
      </c>
      <c r="O314" s="2">
        <v>46216</v>
      </c>
      <c r="P314" s="2">
        <v>46216</v>
      </c>
      <c r="Q314">
        <f>_xlfn.XLOOKUP(E314,CPT!$A$2:$A$13,CPT!$D$2:$D$13)</f>
        <v>38</v>
      </c>
      <c r="R314" s="1">
        <f>_xlfn.XLOOKUP(C314,Contract!$A$2:$A$9,Contract!$B$2:$B$9)</f>
        <v>0.43</v>
      </c>
      <c r="S314" s="1">
        <f t="shared" si="16"/>
        <v>16.34</v>
      </c>
      <c r="T314" s="1">
        <f t="shared" si="17"/>
        <v>0.84999999999999964</v>
      </c>
      <c r="U314" s="1" t="str">
        <f t="shared" si="18"/>
        <v>Underpaid</v>
      </c>
      <c r="V314" s="1" t="str">
        <f>_xlfn.XLOOKUP(C314,Payers!$A$2:$A$9,Payers!$B$2:$B$9)</f>
        <v>Summit Health Commercial</v>
      </c>
      <c r="W314" s="1" t="str">
        <f t="shared" si="19"/>
        <v>2026-06</v>
      </c>
    </row>
    <row r="315" spans="1:23">
      <c r="A315" s="1" t="s">
        <v>666</v>
      </c>
      <c r="B315" s="1" t="s">
        <v>667</v>
      </c>
      <c r="C315" s="1" t="s">
        <v>18</v>
      </c>
      <c r="D315" s="1" t="s">
        <v>37</v>
      </c>
      <c r="E315" s="1" t="s">
        <v>57</v>
      </c>
      <c r="F315">
        <v>1</v>
      </c>
      <c r="G315" s="2">
        <v>46046</v>
      </c>
      <c r="H315" s="2">
        <v>46048</v>
      </c>
      <c r="I315">
        <v>212.44</v>
      </c>
      <c r="M315" s="1" t="s">
        <v>32</v>
      </c>
      <c r="N315" s="1" t="s">
        <v>124</v>
      </c>
      <c r="O315" s="2">
        <v>46101</v>
      </c>
      <c r="P315" s="2"/>
      <c r="Q315">
        <f>_xlfn.XLOOKUP(E315,CPT!$A$2:$A$13,CPT!$D$2:$D$13)</f>
        <v>210</v>
      </c>
      <c r="R315" s="1">
        <f>_xlfn.XLOOKUP(C315,Contract!$A$2:$A$9,Contract!$B$2:$B$9)</f>
        <v>0.38</v>
      </c>
      <c r="S315" s="1">
        <f t="shared" si="16"/>
        <v>79.8</v>
      </c>
      <c r="T315" s="1" t="str">
        <f t="shared" si="17"/>
        <v/>
      </c>
      <c r="U315" s="1" t="str">
        <f t="shared" si="18"/>
        <v/>
      </c>
      <c r="V315" s="1" t="str">
        <f>_xlfn.XLOOKUP(C315,Payers!$A$2:$A$9,Payers!$B$2:$B$9)</f>
        <v>Sunshine Medicare Advantage</v>
      </c>
      <c r="W315" s="1" t="str">
        <f t="shared" si="19"/>
        <v>2026-01</v>
      </c>
    </row>
    <row r="316" spans="1:23">
      <c r="A316" s="1" t="s">
        <v>668</v>
      </c>
      <c r="B316" s="1" t="s">
        <v>669</v>
      </c>
      <c r="C316" s="1" t="s">
        <v>52</v>
      </c>
      <c r="D316" s="1" t="s">
        <v>19</v>
      </c>
      <c r="E316" s="1" t="s">
        <v>88</v>
      </c>
      <c r="F316">
        <v>1</v>
      </c>
      <c r="G316" s="2">
        <v>46282</v>
      </c>
      <c r="H316" s="2">
        <v>46284</v>
      </c>
      <c r="I316">
        <v>267.73</v>
      </c>
      <c r="M316" s="1" t="s">
        <v>69</v>
      </c>
      <c r="N316" s="1" t="s">
        <v>22</v>
      </c>
      <c r="O316" s="2"/>
      <c r="P316" s="2"/>
      <c r="Q316">
        <f>_xlfn.XLOOKUP(E316,CPT!$A$2:$A$13,CPT!$D$2:$D$13)</f>
        <v>260</v>
      </c>
      <c r="R316" s="1">
        <f>_xlfn.XLOOKUP(C316,Contract!$A$2:$A$9,Contract!$B$2:$B$9)</f>
        <v>0.47</v>
      </c>
      <c r="S316" s="1">
        <f t="shared" si="16"/>
        <v>122.2</v>
      </c>
      <c r="T316" s="1" t="str">
        <f t="shared" si="17"/>
        <v/>
      </c>
      <c r="U316" s="1" t="str">
        <f t="shared" si="18"/>
        <v/>
      </c>
      <c r="V316" s="1" t="str">
        <f>_xlfn.XLOOKUP(C316,Payers!$A$2:$A$9,Payers!$B$2:$B$9)</f>
        <v>Keystone Commercial PPO</v>
      </c>
      <c r="W316" s="1" t="str">
        <f t="shared" si="19"/>
        <v>2026-09</v>
      </c>
    </row>
    <row r="317" spans="1:23">
      <c r="A317" s="1" t="s">
        <v>670</v>
      </c>
      <c r="B317" s="1" t="s">
        <v>671</v>
      </c>
      <c r="C317" s="1" t="s">
        <v>60</v>
      </c>
      <c r="D317" s="1" t="s">
        <v>19</v>
      </c>
      <c r="E317" s="1" t="s">
        <v>57</v>
      </c>
      <c r="F317">
        <v>1</v>
      </c>
      <c r="G317" s="2">
        <v>45998</v>
      </c>
      <c r="H317" s="2">
        <v>45999</v>
      </c>
      <c r="I317">
        <v>206.36</v>
      </c>
      <c r="J317">
        <v>81.97</v>
      </c>
      <c r="K317">
        <v>81.97</v>
      </c>
      <c r="L317">
        <v>0</v>
      </c>
      <c r="M317" s="1" t="s">
        <v>21</v>
      </c>
      <c r="N317" s="1" t="s">
        <v>22</v>
      </c>
      <c r="O317" s="2">
        <v>46045</v>
      </c>
      <c r="P317" s="2">
        <v>46045</v>
      </c>
      <c r="Q317">
        <f>_xlfn.XLOOKUP(E317,CPT!$A$2:$A$13,CPT!$D$2:$D$13)</f>
        <v>210</v>
      </c>
      <c r="R317" s="1">
        <f>_xlfn.XLOOKUP(C317,Contract!$A$2:$A$9,Contract!$B$2:$B$9)</f>
        <v>0.45</v>
      </c>
      <c r="S317" s="1">
        <f t="shared" si="16"/>
        <v>94.5</v>
      </c>
      <c r="T317" s="1">
        <f t="shared" si="17"/>
        <v>12.530000000000001</v>
      </c>
      <c r="U317" s="1" t="str">
        <f t="shared" si="18"/>
        <v>Underpaid</v>
      </c>
      <c r="V317" s="1" t="str">
        <f>_xlfn.XLOOKUP(C317,Payers!$A$2:$A$9,Payers!$B$2:$B$9)</f>
        <v>Blue Horizon Commercial</v>
      </c>
      <c r="W317" s="1" t="str">
        <f t="shared" si="19"/>
        <v>2025-12</v>
      </c>
    </row>
    <row r="318" spans="1:23">
      <c r="A318" s="1" t="s">
        <v>672</v>
      </c>
      <c r="B318" s="1" t="s">
        <v>673</v>
      </c>
      <c r="C318" s="1" t="s">
        <v>18</v>
      </c>
      <c r="D318" s="1" t="s">
        <v>30</v>
      </c>
      <c r="E318" s="1" t="s">
        <v>91</v>
      </c>
      <c r="F318">
        <v>1</v>
      </c>
      <c r="G318" s="2">
        <v>46250</v>
      </c>
      <c r="H318" s="2">
        <v>46251</v>
      </c>
      <c r="I318">
        <v>58.33</v>
      </c>
      <c r="M318" s="1" t="s">
        <v>69</v>
      </c>
      <c r="N318" s="1" t="s">
        <v>22</v>
      </c>
      <c r="O318" s="2"/>
      <c r="P318" s="2"/>
      <c r="Q318">
        <f>_xlfn.XLOOKUP(E318,CPT!$A$2:$A$13,CPT!$D$2:$D$13)</f>
        <v>58</v>
      </c>
      <c r="R318" s="1">
        <f>_xlfn.XLOOKUP(C318,Contract!$A$2:$A$9,Contract!$B$2:$B$9)</f>
        <v>0.38</v>
      </c>
      <c r="S318" s="1">
        <f t="shared" si="16"/>
        <v>22.04</v>
      </c>
      <c r="T318" s="1" t="str">
        <f t="shared" si="17"/>
        <v/>
      </c>
      <c r="U318" s="1" t="str">
        <f t="shared" si="18"/>
        <v/>
      </c>
      <c r="V318" s="1" t="str">
        <f>_xlfn.XLOOKUP(C318,Payers!$A$2:$A$9,Payers!$B$2:$B$9)</f>
        <v>Sunshine Medicare Advantage</v>
      </c>
      <c r="W318" s="1" t="str">
        <f t="shared" si="19"/>
        <v>2026-08</v>
      </c>
    </row>
    <row r="319" spans="1:23">
      <c r="A319" s="1" t="s">
        <v>674</v>
      </c>
      <c r="B319" s="1" t="s">
        <v>675</v>
      </c>
      <c r="C319" s="1" t="s">
        <v>18</v>
      </c>
      <c r="D319" s="1" t="s">
        <v>19</v>
      </c>
      <c r="E319" s="1" t="s">
        <v>41</v>
      </c>
      <c r="F319">
        <v>1</v>
      </c>
      <c r="G319" s="2">
        <v>46036</v>
      </c>
      <c r="H319" s="2">
        <v>46040</v>
      </c>
      <c r="I319">
        <v>38.450000000000003</v>
      </c>
      <c r="J319">
        <v>15.45</v>
      </c>
      <c r="K319">
        <v>13.91</v>
      </c>
      <c r="L319">
        <v>1.54</v>
      </c>
      <c r="M319" s="1" t="s">
        <v>21</v>
      </c>
      <c r="N319" s="1" t="s">
        <v>22</v>
      </c>
      <c r="O319" s="2">
        <v>46103</v>
      </c>
      <c r="P319" s="2">
        <v>46103</v>
      </c>
      <c r="Q319">
        <f>_xlfn.XLOOKUP(E319,CPT!$A$2:$A$13,CPT!$D$2:$D$13)</f>
        <v>38</v>
      </c>
      <c r="R319" s="1">
        <f>_xlfn.XLOOKUP(C319,Contract!$A$2:$A$9,Contract!$B$2:$B$9)</f>
        <v>0.38</v>
      </c>
      <c r="S319" s="1">
        <f t="shared" si="16"/>
        <v>14.44</v>
      </c>
      <c r="T319" s="1">
        <f t="shared" si="17"/>
        <v>-1.0099999999999998</v>
      </c>
      <c r="U319" s="1" t="str">
        <f t="shared" si="18"/>
        <v>OK</v>
      </c>
      <c r="V319" s="1" t="str">
        <f>_xlfn.XLOOKUP(C319,Payers!$A$2:$A$9,Payers!$B$2:$B$9)</f>
        <v>Sunshine Medicare Advantage</v>
      </c>
      <c r="W319" s="1" t="str">
        <f t="shared" si="19"/>
        <v>2026-01</v>
      </c>
    </row>
    <row r="320" spans="1:23">
      <c r="A320" s="1" t="s">
        <v>676</v>
      </c>
      <c r="B320" s="1" t="s">
        <v>345</v>
      </c>
      <c r="C320" s="1" t="s">
        <v>52</v>
      </c>
      <c r="D320" s="1" t="s">
        <v>19</v>
      </c>
      <c r="E320" s="1" t="s">
        <v>57</v>
      </c>
      <c r="F320">
        <v>1</v>
      </c>
      <c r="G320" s="2">
        <v>45984</v>
      </c>
      <c r="H320" s="2">
        <v>45988</v>
      </c>
      <c r="I320">
        <v>210.15</v>
      </c>
      <c r="J320">
        <v>108.09</v>
      </c>
      <c r="K320">
        <v>97.28</v>
      </c>
      <c r="L320">
        <v>10.81</v>
      </c>
      <c r="M320" s="1" t="s">
        <v>21</v>
      </c>
      <c r="N320" s="1" t="s">
        <v>22</v>
      </c>
      <c r="O320" s="2">
        <v>46014</v>
      </c>
      <c r="P320" s="2">
        <v>46014</v>
      </c>
      <c r="Q320">
        <f>_xlfn.XLOOKUP(E320,CPT!$A$2:$A$13,CPT!$D$2:$D$13)</f>
        <v>210</v>
      </c>
      <c r="R320" s="1">
        <f>_xlfn.XLOOKUP(C320,Contract!$A$2:$A$9,Contract!$B$2:$B$9)</f>
        <v>0.47</v>
      </c>
      <c r="S320" s="1">
        <f t="shared" si="16"/>
        <v>98.7</v>
      </c>
      <c r="T320" s="1">
        <f t="shared" si="17"/>
        <v>-9.39</v>
      </c>
      <c r="U320" s="1" t="str">
        <f t="shared" si="18"/>
        <v>OK</v>
      </c>
      <c r="V320" s="1" t="str">
        <f>_xlfn.XLOOKUP(C320,Payers!$A$2:$A$9,Payers!$B$2:$B$9)</f>
        <v>Keystone Commercial PPO</v>
      </c>
      <c r="W320" s="1" t="str">
        <f t="shared" si="19"/>
        <v>2025-11</v>
      </c>
    </row>
    <row r="321" spans="1:23">
      <c r="A321" s="1" t="s">
        <v>677</v>
      </c>
      <c r="B321" s="1" t="s">
        <v>678</v>
      </c>
      <c r="C321" s="1" t="s">
        <v>76</v>
      </c>
      <c r="D321" s="1" t="s">
        <v>19</v>
      </c>
      <c r="E321" s="1" t="s">
        <v>57</v>
      </c>
      <c r="F321">
        <v>1</v>
      </c>
      <c r="G321" s="2">
        <v>46140</v>
      </c>
      <c r="H321" s="2">
        <v>46141</v>
      </c>
      <c r="I321">
        <v>207.42</v>
      </c>
      <c r="J321">
        <v>80.61</v>
      </c>
      <c r="K321">
        <v>64.489999999999995</v>
      </c>
      <c r="L321">
        <v>16.12</v>
      </c>
      <c r="M321" s="1" t="s">
        <v>21</v>
      </c>
      <c r="N321" s="1" t="s">
        <v>22</v>
      </c>
      <c r="O321" s="2">
        <v>46173</v>
      </c>
      <c r="P321" s="2">
        <v>46173</v>
      </c>
      <c r="Q321">
        <f>_xlfn.XLOOKUP(E321,CPT!$A$2:$A$13,CPT!$D$2:$D$13)</f>
        <v>210</v>
      </c>
      <c r="R321" s="1">
        <f>_xlfn.XLOOKUP(C321,Contract!$A$2:$A$9,Contract!$B$2:$B$9)</f>
        <v>0.43</v>
      </c>
      <c r="S321" s="1">
        <f t="shared" si="16"/>
        <v>90.3</v>
      </c>
      <c r="T321" s="1">
        <f t="shared" si="17"/>
        <v>9.6899999999999977</v>
      </c>
      <c r="U321" s="1" t="str">
        <f t="shared" si="18"/>
        <v>Underpaid</v>
      </c>
      <c r="V321" s="1" t="str">
        <f>_xlfn.XLOOKUP(C321,Payers!$A$2:$A$9,Payers!$B$2:$B$9)</f>
        <v>Summit Health Commercial</v>
      </c>
      <c r="W321" s="1" t="str">
        <f t="shared" si="19"/>
        <v>2026-04</v>
      </c>
    </row>
    <row r="322" spans="1:23">
      <c r="A322" s="1" t="s">
        <v>679</v>
      </c>
      <c r="B322" s="1" t="s">
        <v>680</v>
      </c>
      <c r="C322" s="1" t="s">
        <v>18</v>
      </c>
      <c r="D322" s="1" t="s">
        <v>26</v>
      </c>
      <c r="E322" s="1" t="s">
        <v>88</v>
      </c>
      <c r="F322">
        <v>1</v>
      </c>
      <c r="G322" s="2">
        <v>45987</v>
      </c>
      <c r="H322" s="2">
        <v>45992</v>
      </c>
      <c r="I322">
        <v>265.23</v>
      </c>
      <c r="M322" s="1" t="s">
        <v>32</v>
      </c>
      <c r="N322" s="1" t="s">
        <v>33</v>
      </c>
      <c r="O322" s="2">
        <v>46042</v>
      </c>
      <c r="P322" s="2"/>
      <c r="Q322">
        <f>_xlfn.XLOOKUP(E322,CPT!$A$2:$A$13,CPT!$D$2:$D$13)</f>
        <v>260</v>
      </c>
      <c r="R322" s="1">
        <f>_xlfn.XLOOKUP(C322,Contract!$A$2:$A$9,Contract!$B$2:$B$9)</f>
        <v>0.38</v>
      </c>
      <c r="S322" s="1">
        <f t="shared" ref="S322:S385" si="20">ROUND(Q322*F322*R322,2)</f>
        <v>98.8</v>
      </c>
      <c r="T322" s="1" t="str">
        <f t="shared" ref="T322:T385" si="21">IF(M322="Paid",S322-J322,"")</f>
        <v/>
      </c>
      <c r="U322" s="1" t="str">
        <f t="shared" ref="U322:U385" si="22">IF(M322&lt;&gt;"Paid","",IF(T322&gt;S322*0.05,"Underpaid","OK"))</f>
        <v/>
      </c>
      <c r="V322" s="1" t="str">
        <f>_xlfn.XLOOKUP(C322,Payers!$A$2:$A$9,Payers!$B$2:$B$9)</f>
        <v>Sunshine Medicare Advantage</v>
      </c>
      <c r="W322" s="1" t="str">
        <f t="shared" ref="W322:W385" si="23">TEXT(G322,"yyyy-mm")</f>
        <v>2025-11</v>
      </c>
    </row>
    <row r="323" spans="1:23">
      <c r="A323" s="1" t="s">
        <v>681</v>
      </c>
      <c r="B323" s="1" t="s">
        <v>682</v>
      </c>
      <c r="C323" s="1" t="s">
        <v>76</v>
      </c>
      <c r="D323" s="1" t="s">
        <v>19</v>
      </c>
      <c r="E323" s="1" t="s">
        <v>88</v>
      </c>
      <c r="F323">
        <v>1</v>
      </c>
      <c r="G323" s="2">
        <v>45956</v>
      </c>
      <c r="H323" s="2">
        <v>45957</v>
      </c>
      <c r="I323">
        <v>253.76</v>
      </c>
      <c r="M323" s="1" t="s">
        <v>32</v>
      </c>
      <c r="N323" s="1" t="s">
        <v>33</v>
      </c>
      <c r="O323" s="2">
        <v>45984</v>
      </c>
      <c r="P323" s="2"/>
      <c r="Q323">
        <f>_xlfn.XLOOKUP(E323,CPT!$A$2:$A$13,CPT!$D$2:$D$13)</f>
        <v>260</v>
      </c>
      <c r="R323" s="1">
        <f>_xlfn.XLOOKUP(C323,Contract!$A$2:$A$9,Contract!$B$2:$B$9)</f>
        <v>0.43</v>
      </c>
      <c r="S323" s="1">
        <f t="shared" si="20"/>
        <v>111.8</v>
      </c>
      <c r="T323" s="1" t="str">
        <f t="shared" si="21"/>
        <v/>
      </c>
      <c r="U323" s="1" t="str">
        <f t="shared" si="22"/>
        <v/>
      </c>
      <c r="V323" s="1" t="str">
        <f>_xlfn.XLOOKUP(C323,Payers!$A$2:$A$9,Payers!$B$2:$B$9)</f>
        <v>Summit Health Commercial</v>
      </c>
      <c r="W323" s="1" t="str">
        <f t="shared" si="23"/>
        <v>2025-10</v>
      </c>
    </row>
    <row r="324" spans="1:23">
      <c r="A324" s="1" t="s">
        <v>683</v>
      </c>
      <c r="B324" s="1" t="s">
        <v>684</v>
      </c>
      <c r="C324" s="1" t="s">
        <v>36</v>
      </c>
      <c r="D324" s="1" t="s">
        <v>30</v>
      </c>
      <c r="E324" s="1" t="s">
        <v>31</v>
      </c>
      <c r="F324">
        <v>4</v>
      </c>
      <c r="G324" s="2">
        <v>46270</v>
      </c>
      <c r="H324" s="2">
        <v>46272</v>
      </c>
      <c r="I324">
        <v>243.1</v>
      </c>
      <c r="M324" s="1" t="s">
        <v>69</v>
      </c>
      <c r="N324" s="1" t="s">
        <v>22</v>
      </c>
      <c r="O324" s="2"/>
      <c r="P324" s="2"/>
      <c r="Q324">
        <f>_xlfn.XLOOKUP(E324,CPT!$A$2:$A$13,CPT!$D$2:$D$13)</f>
        <v>62</v>
      </c>
      <c r="R324" s="1">
        <f>_xlfn.XLOOKUP(C324,Contract!$A$2:$A$9,Contract!$B$2:$B$9)</f>
        <v>0.27</v>
      </c>
      <c r="S324" s="1">
        <f t="shared" si="20"/>
        <v>66.959999999999994</v>
      </c>
      <c r="T324" s="1" t="str">
        <f t="shared" si="21"/>
        <v/>
      </c>
      <c r="U324" s="1" t="str">
        <f t="shared" si="22"/>
        <v/>
      </c>
      <c r="V324" s="1" t="str">
        <f>_xlfn.XLOOKUP(C324,Payers!$A$2:$A$9,Payers!$B$2:$B$9)</f>
        <v>Florida Medicaid</v>
      </c>
      <c r="W324" s="1" t="str">
        <f t="shared" si="23"/>
        <v>2026-09</v>
      </c>
    </row>
    <row r="325" spans="1:23">
      <c r="A325" s="1" t="s">
        <v>685</v>
      </c>
      <c r="B325" s="1" t="s">
        <v>686</v>
      </c>
      <c r="C325" s="1" t="s">
        <v>79</v>
      </c>
      <c r="D325" s="1" t="s">
        <v>26</v>
      </c>
      <c r="E325" s="1" t="s">
        <v>113</v>
      </c>
      <c r="F325">
        <v>1</v>
      </c>
      <c r="G325" s="2">
        <v>46070</v>
      </c>
      <c r="H325" s="2">
        <v>46075</v>
      </c>
      <c r="I325">
        <v>1071.1500000000001</v>
      </c>
      <c r="M325" s="1" t="s">
        <v>69</v>
      </c>
      <c r="N325" s="1" t="s">
        <v>22</v>
      </c>
      <c r="O325" s="2"/>
      <c r="P325" s="2"/>
      <c r="Q325">
        <f>_xlfn.XLOOKUP(E325,CPT!$A$2:$A$13,CPT!$D$2:$D$13)</f>
        <v>1050</v>
      </c>
      <c r="R325" s="1">
        <f>_xlfn.XLOOKUP(C325,Contract!$A$2:$A$9,Contract!$B$2:$B$9)</f>
        <v>1</v>
      </c>
      <c r="S325" s="1">
        <f t="shared" si="20"/>
        <v>1050</v>
      </c>
      <c r="T325" s="1" t="str">
        <f t="shared" si="21"/>
        <v/>
      </c>
      <c r="U325" s="1" t="str">
        <f t="shared" si="22"/>
        <v/>
      </c>
      <c r="V325" s="1" t="str">
        <f>_xlfn.XLOOKUP(C325,Payers!$A$2:$A$9,Payers!$B$2:$B$9)</f>
        <v>Self-Pay</v>
      </c>
      <c r="W325" s="1" t="str">
        <f t="shared" si="23"/>
        <v>2026-02</v>
      </c>
    </row>
    <row r="326" spans="1:23">
      <c r="A326" s="1" t="s">
        <v>687</v>
      </c>
      <c r="B326" s="1" t="s">
        <v>688</v>
      </c>
      <c r="C326" s="1" t="s">
        <v>18</v>
      </c>
      <c r="D326" s="1" t="s">
        <v>26</v>
      </c>
      <c r="E326" s="1" t="s">
        <v>57</v>
      </c>
      <c r="F326">
        <v>1</v>
      </c>
      <c r="G326" s="2">
        <v>45961</v>
      </c>
      <c r="H326" s="2">
        <v>45969</v>
      </c>
      <c r="I326">
        <v>216.07</v>
      </c>
      <c r="M326" s="1" t="s">
        <v>32</v>
      </c>
      <c r="N326" s="1" t="s">
        <v>281</v>
      </c>
      <c r="O326" s="2">
        <v>46005</v>
      </c>
      <c r="P326" s="2"/>
      <c r="Q326">
        <f>_xlfn.XLOOKUP(E326,CPT!$A$2:$A$13,CPT!$D$2:$D$13)</f>
        <v>210</v>
      </c>
      <c r="R326" s="1">
        <f>_xlfn.XLOOKUP(C326,Contract!$A$2:$A$9,Contract!$B$2:$B$9)</f>
        <v>0.38</v>
      </c>
      <c r="S326" s="1">
        <f t="shared" si="20"/>
        <v>79.8</v>
      </c>
      <c r="T326" s="1" t="str">
        <f t="shared" si="21"/>
        <v/>
      </c>
      <c r="U326" s="1" t="str">
        <f t="shared" si="22"/>
        <v/>
      </c>
      <c r="V326" s="1" t="str">
        <f>_xlfn.XLOOKUP(C326,Payers!$A$2:$A$9,Payers!$B$2:$B$9)</f>
        <v>Sunshine Medicare Advantage</v>
      </c>
      <c r="W326" s="1" t="str">
        <f t="shared" si="23"/>
        <v>2025-10</v>
      </c>
    </row>
    <row r="327" spans="1:23">
      <c r="A327" s="1" t="s">
        <v>689</v>
      </c>
      <c r="B327" s="1" t="s">
        <v>690</v>
      </c>
      <c r="C327" s="1" t="s">
        <v>47</v>
      </c>
      <c r="D327" s="1" t="s">
        <v>26</v>
      </c>
      <c r="E327" s="1" t="s">
        <v>41</v>
      </c>
      <c r="F327">
        <v>1</v>
      </c>
      <c r="G327" s="2">
        <v>46199</v>
      </c>
      <c r="H327" s="2">
        <v>46203</v>
      </c>
      <c r="I327">
        <v>38.61</v>
      </c>
      <c r="J327">
        <v>12.37</v>
      </c>
      <c r="K327">
        <v>11.13</v>
      </c>
      <c r="L327">
        <v>1.24</v>
      </c>
      <c r="M327" s="1" t="s">
        <v>21</v>
      </c>
      <c r="N327" s="1" t="s">
        <v>22</v>
      </c>
      <c r="O327" s="2">
        <v>46255</v>
      </c>
      <c r="P327" s="2">
        <v>46255</v>
      </c>
      <c r="Q327">
        <f>_xlfn.XLOOKUP(E327,CPT!$A$2:$A$13,CPT!$D$2:$D$13)</f>
        <v>38</v>
      </c>
      <c r="R327" s="1">
        <f>_xlfn.XLOOKUP(C327,Contract!$A$2:$A$9,Contract!$B$2:$B$9)</f>
        <v>0.28000000000000003</v>
      </c>
      <c r="S327" s="1">
        <f t="shared" si="20"/>
        <v>10.64</v>
      </c>
      <c r="T327" s="1">
        <f t="shared" si="21"/>
        <v>-1.7299999999999986</v>
      </c>
      <c r="U327" s="1" t="str">
        <f t="shared" si="22"/>
        <v>OK</v>
      </c>
      <c r="V327" s="1" t="str">
        <f>_xlfn.XLOOKUP(C327,Payers!$A$2:$A$9,Payers!$B$2:$B$9)</f>
        <v>Coastal Medicaid MCO</v>
      </c>
      <c r="W327" s="1" t="str">
        <f t="shared" si="23"/>
        <v>2026-06</v>
      </c>
    </row>
    <row r="328" spans="1:23">
      <c r="A328" s="1" t="s">
        <v>691</v>
      </c>
      <c r="B328" s="1" t="s">
        <v>692</v>
      </c>
      <c r="C328" s="1" t="s">
        <v>52</v>
      </c>
      <c r="D328" s="1" t="s">
        <v>19</v>
      </c>
      <c r="E328" s="1" t="s">
        <v>20</v>
      </c>
      <c r="F328">
        <v>1</v>
      </c>
      <c r="G328" s="2">
        <v>46058</v>
      </c>
      <c r="H328" s="2">
        <v>46063</v>
      </c>
      <c r="I328">
        <v>144.84</v>
      </c>
      <c r="J328">
        <v>60.96</v>
      </c>
      <c r="K328">
        <v>60.96</v>
      </c>
      <c r="L328">
        <v>0</v>
      </c>
      <c r="M328" s="1" t="s">
        <v>21</v>
      </c>
      <c r="N328" s="1" t="s">
        <v>22</v>
      </c>
      <c r="O328" s="2">
        <v>46121</v>
      </c>
      <c r="P328" s="2">
        <v>46121</v>
      </c>
      <c r="Q328">
        <f>_xlfn.XLOOKUP(E328,CPT!$A$2:$A$13,CPT!$D$2:$D$13)</f>
        <v>145</v>
      </c>
      <c r="R328" s="1">
        <f>_xlfn.XLOOKUP(C328,Contract!$A$2:$A$9,Contract!$B$2:$B$9)</f>
        <v>0.47</v>
      </c>
      <c r="S328" s="1">
        <f t="shared" si="20"/>
        <v>68.150000000000006</v>
      </c>
      <c r="T328" s="1">
        <f t="shared" si="21"/>
        <v>7.1900000000000048</v>
      </c>
      <c r="U328" s="1" t="str">
        <f t="shared" si="22"/>
        <v>Underpaid</v>
      </c>
      <c r="V328" s="1" t="str">
        <f>_xlfn.XLOOKUP(C328,Payers!$A$2:$A$9,Payers!$B$2:$B$9)</f>
        <v>Keystone Commercial PPO</v>
      </c>
      <c r="W328" s="1" t="str">
        <f t="shared" si="23"/>
        <v>2026-02</v>
      </c>
    </row>
    <row r="329" spans="1:23">
      <c r="A329" s="1" t="s">
        <v>693</v>
      </c>
      <c r="B329" s="1" t="s">
        <v>694</v>
      </c>
      <c r="C329" s="1" t="s">
        <v>52</v>
      </c>
      <c r="D329" s="1" t="s">
        <v>37</v>
      </c>
      <c r="E329" s="1" t="s">
        <v>38</v>
      </c>
      <c r="F329">
        <v>30</v>
      </c>
      <c r="G329" s="2">
        <v>46171</v>
      </c>
      <c r="H329" s="2">
        <v>46172</v>
      </c>
      <c r="I329">
        <v>44464.17</v>
      </c>
      <c r="J329">
        <v>19315.73</v>
      </c>
      <c r="K329">
        <v>17384.16</v>
      </c>
      <c r="L329">
        <v>1931.57</v>
      </c>
      <c r="M329" s="1" t="s">
        <v>21</v>
      </c>
      <c r="N329" s="1" t="s">
        <v>22</v>
      </c>
      <c r="O329" s="2">
        <v>46191</v>
      </c>
      <c r="P329" s="2">
        <v>46191</v>
      </c>
      <c r="Q329">
        <f>_xlfn.XLOOKUP(E329,CPT!$A$2:$A$13,CPT!$D$2:$D$13)</f>
        <v>1450</v>
      </c>
      <c r="R329" s="1">
        <f>_xlfn.XLOOKUP(C329,Contract!$A$2:$A$9,Contract!$B$2:$B$9)</f>
        <v>0.47</v>
      </c>
      <c r="S329" s="1">
        <f t="shared" si="20"/>
        <v>20445</v>
      </c>
      <c r="T329" s="1">
        <f t="shared" si="21"/>
        <v>1129.2700000000004</v>
      </c>
      <c r="U329" s="1" t="str">
        <f t="shared" si="22"/>
        <v>Underpaid</v>
      </c>
      <c r="V329" s="1" t="str">
        <f>_xlfn.XLOOKUP(C329,Payers!$A$2:$A$9,Payers!$B$2:$B$9)</f>
        <v>Keystone Commercial PPO</v>
      </c>
      <c r="W329" s="1" t="str">
        <f t="shared" si="23"/>
        <v>2026-05</v>
      </c>
    </row>
    <row r="330" spans="1:23">
      <c r="A330" s="1" t="s">
        <v>695</v>
      </c>
      <c r="B330" s="1" t="s">
        <v>696</v>
      </c>
      <c r="C330" s="1" t="s">
        <v>76</v>
      </c>
      <c r="D330" s="1" t="s">
        <v>19</v>
      </c>
      <c r="E330" s="1" t="s">
        <v>41</v>
      </c>
      <c r="F330">
        <v>1</v>
      </c>
      <c r="G330" s="2">
        <v>46051</v>
      </c>
      <c r="H330" s="2">
        <v>46054</v>
      </c>
      <c r="I330">
        <v>37.04</v>
      </c>
      <c r="J330">
        <v>13.81</v>
      </c>
      <c r="K330">
        <v>11.05</v>
      </c>
      <c r="L330">
        <v>2.76</v>
      </c>
      <c r="M330" s="1" t="s">
        <v>21</v>
      </c>
      <c r="N330" s="1" t="s">
        <v>22</v>
      </c>
      <c r="O330" s="2">
        <v>46077</v>
      </c>
      <c r="P330" s="2">
        <v>46077</v>
      </c>
      <c r="Q330">
        <f>_xlfn.XLOOKUP(E330,CPT!$A$2:$A$13,CPT!$D$2:$D$13)</f>
        <v>38</v>
      </c>
      <c r="R330" s="1">
        <f>_xlfn.XLOOKUP(C330,Contract!$A$2:$A$9,Contract!$B$2:$B$9)</f>
        <v>0.43</v>
      </c>
      <c r="S330" s="1">
        <f t="shared" si="20"/>
        <v>16.34</v>
      </c>
      <c r="T330" s="1">
        <f t="shared" si="21"/>
        <v>2.5299999999999994</v>
      </c>
      <c r="U330" s="1" t="str">
        <f t="shared" si="22"/>
        <v>Underpaid</v>
      </c>
      <c r="V330" s="1" t="str">
        <f>_xlfn.XLOOKUP(C330,Payers!$A$2:$A$9,Payers!$B$2:$B$9)</f>
        <v>Summit Health Commercial</v>
      </c>
      <c r="W330" s="1" t="str">
        <f t="shared" si="23"/>
        <v>2026-01</v>
      </c>
    </row>
    <row r="331" spans="1:23">
      <c r="A331" s="1" t="s">
        <v>697</v>
      </c>
      <c r="B331" s="1" t="s">
        <v>698</v>
      </c>
      <c r="C331" s="1" t="s">
        <v>76</v>
      </c>
      <c r="D331" s="1" t="s">
        <v>37</v>
      </c>
      <c r="E331" s="1" t="s">
        <v>38</v>
      </c>
      <c r="F331">
        <v>5</v>
      </c>
      <c r="G331" s="2">
        <v>45949</v>
      </c>
      <c r="H331" s="2">
        <v>45956</v>
      </c>
      <c r="I331">
        <v>7391.77</v>
      </c>
      <c r="J331">
        <v>3295.2</v>
      </c>
      <c r="K331">
        <v>3295.2</v>
      </c>
      <c r="L331">
        <v>0</v>
      </c>
      <c r="M331" s="1" t="s">
        <v>21</v>
      </c>
      <c r="N331" s="1" t="s">
        <v>22</v>
      </c>
      <c r="O331" s="2">
        <v>45988</v>
      </c>
      <c r="P331" s="2">
        <v>45988</v>
      </c>
      <c r="Q331">
        <f>_xlfn.XLOOKUP(E331,CPT!$A$2:$A$13,CPT!$D$2:$D$13)</f>
        <v>1450</v>
      </c>
      <c r="R331" s="1">
        <f>_xlfn.XLOOKUP(C331,Contract!$A$2:$A$9,Contract!$B$2:$B$9)</f>
        <v>0.43</v>
      </c>
      <c r="S331" s="1">
        <f t="shared" si="20"/>
        <v>3117.5</v>
      </c>
      <c r="T331" s="1">
        <f t="shared" si="21"/>
        <v>-177.69999999999982</v>
      </c>
      <c r="U331" s="1" t="str">
        <f t="shared" si="22"/>
        <v>OK</v>
      </c>
      <c r="V331" s="1" t="str">
        <f>_xlfn.XLOOKUP(C331,Payers!$A$2:$A$9,Payers!$B$2:$B$9)</f>
        <v>Summit Health Commercial</v>
      </c>
      <c r="W331" s="1" t="str">
        <f t="shared" si="23"/>
        <v>2025-10</v>
      </c>
    </row>
    <row r="332" spans="1:23">
      <c r="A332" s="1" t="s">
        <v>699</v>
      </c>
      <c r="B332" s="1" t="s">
        <v>700</v>
      </c>
      <c r="C332" s="1" t="s">
        <v>76</v>
      </c>
      <c r="D332" s="1" t="s">
        <v>37</v>
      </c>
      <c r="E332" s="1" t="s">
        <v>48</v>
      </c>
      <c r="F332">
        <v>1</v>
      </c>
      <c r="G332" s="2">
        <v>45958</v>
      </c>
      <c r="H332" s="2">
        <v>45966</v>
      </c>
      <c r="I332">
        <v>427.98</v>
      </c>
      <c r="J332">
        <v>198.18</v>
      </c>
      <c r="K332">
        <v>178.36</v>
      </c>
      <c r="L332">
        <v>19.82</v>
      </c>
      <c r="M332" s="1" t="s">
        <v>21</v>
      </c>
      <c r="N332" s="1" t="s">
        <v>22</v>
      </c>
      <c r="O332" s="2">
        <v>45985</v>
      </c>
      <c r="P332" s="2">
        <v>45985</v>
      </c>
      <c r="Q332">
        <f>_xlfn.XLOOKUP(E332,CPT!$A$2:$A$13,CPT!$D$2:$D$13)</f>
        <v>420</v>
      </c>
      <c r="R332" s="1">
        <f>_xlfn.XLOOKUP(C332,Contract!$A$2:$A$9,Contract!$B$2:$B$9)</f>
        <v>0.43</v>
      </c>
      <c r="S332" s="1">
        <f t="shared" si="20"/>
        <v>180.6</v>
      </c>
      <c r="T332" s="1">
        <f t="shared" si="21"/>
        <v>-17.580000000000013</v>
      </c>
      <c r="U332" s="1" t="str">
        <f t="shared" si="22"/>
        <v>OK</v>
      </c>
      <c r="V332" s="1" t="str">
        <f>_xlfn.XLOOKUP(C332,Payers!$A$2:$A$9,Payers!$B$2:$B$9)</f>
        <v>Summit Health Commercial</v>
      </c>
      <c r="W332" s="1" t="str">
        <f t="shared" si="23"/>
        <v>2025-10</v>
      </c>
    </row>
    <row r="333" spans="1:23">
      <c r="A333" s="1" t="s">
        <v>701</v>
      </c>
      <c r="B333" s="1" t="s">
        <v>702</v>
      </c>
      <c r="C333" s="1" t="s">
        <v>18</v>
      </c>
      <c r="D333" s="1" t="s">
        <v>19</v>
      </c>
      <c r="E333" s="1" t="s">
        <v>20</v>
      </c>
      <c r="F333">
        <v>1</v>
      </c>
      <c r="G333" s="2">
        <v>46044</v>
      </c>
      <c r="H333" s="2">
        <v>46046</v>
      </c>
      <c r="I333">
        <v>140.66999999999999</v>
      </c>
      <c r="J333">
        <v>58.83</v>
      </c>
      <c r="K333">
        <v>52.95</v>
      </c>
      <c r="L333">
        <v>5.88</v>
      </c>
      <c r="M333" s="1" t="s">
        <v>21</v>
      </c>
      <c r="N333" s="1" t="s">
        <v>22</v>
      </c>
      <c r="O333" s="2">
        <v>46083</v>
      </c>
      <c r="P333" s="2">
        <v>46083</v>
      </c>
      <c r="Q333">
        <f>_xlfn.XLOOKUP(E333,CPT!$A$2:$A$13,CPT!$D$2:$D$13)</f>
        <v>145</v>
      </c>
      <c r="R333" s="1">
        <f>_xlfn.XLOOKUP(C333,Contract!$A$2:$A$9,Contract!$B$2:$B$9)</f>
        <v>0.38</v>
      </c>
      <c r="S333" s="1">
        <f t="shared" si="20"/>
        <v>55.1</v>
      </c>
      <c r="T333" s="1">
        <f t="shared" si="21"/>
        <v>-3.7299999999999969</v>
      </c>
      <c r="U333" s="1" t="str">
        <f t="shared" si="22"/>
        <v>OK</v>
      </c>
      <c r="V333" s="1" t="str">
        <f>_xlfn.XLOOKUP(C333,Payers!$A$2:$A$9,Payers!$B$2:$B$9)</f>
        <v>Sunshine Medicare Advantage</v>
      </c>
      <c r="W333" s="1" t="str">
        <f t="shared" si="23"/>
        <v>2026-01</v>
      </c>
    </row>
    <row r="334" spans="1:23">
      <c r="A334" s="1" t="s">
        <v>703</v>
      </c>
      <c r="B334" s="1" t="s">
        <v>704</v>
      </c>
      <c r="C334" s="1" t="s">
        <v>52</v>
      </c>
      <c r="D334" s="1" t="s">
        <v>26</v>
      </c>
      <c r="E334" s="1" t="s">
        <v>57</v>
      </c>
      <c r="F334">
        <v>1</v>
      </c>
      <c r="G334" s="2">
        <v>46140</v>
      </c>
      <c r="H334" s="2">
        <v>46144</v>
      </c>
      <c r="I334">
        <v>205.05</v>
      </c>
      <c r="M334" s="1" t="s">
        <v>32</v>
      </c>
      <c r="N334" s="1" t="s">
        <v>49</v>
      </c>
      <c r="O334" s="2">
        <v>46166</v>
      </c>
      <c r="P334" s="2"/>
      <c r="Q334">
        <f>_xlfn.XLOOKUP(E334,CPT!$A$2:$A$13,CPT!$D$2:$D$13)</f>
        <v>210</v>
      </c>
      <c r="R334" s="1">
        <f>_xlfn.XLOOKUP(C334,Contract!$A$2:$A$9,Contract!$B$2:$B$9)</f>
        <v>0.47</v>
      </c>
      <c r="S334" s="1">
        <f t="shared" si="20"/>
        <v>98.7</v>
      </c>
      <c r="T334" s="1" t="str">
        <f t="shared" si="21"/>
        <v/>
      </c>
      <c r="U334" s="1" t="str">
        <f t="shared" si="22"/>
        <v/>
      </c>
      <c r="V334" s="1" t="str">
        <f>_xlfn.XLOOKUP(C334,Payers!$A$2:$A$9,Payers!$B$2:$B$9)</f>
        <v>Keystone Commercial PPO</v>
      </c>
      <c r="W334" s="1" t="str">
        <f t="shared" si="23"/>
        <v>2026-04</v>
      </c>
    </row>
    <row r="335" spans="1:23">
      <c r="A335" s="1" t="s">
        <v>705</v>
      </c>
      <c r="B335" s="1" t="s">
        <v>161</v>
      </c>
      <c r="C335" s="1" t="s">
        <v>60</v>
      </c>
      <c r="D335" s="1" t="s">
        <v>30</v>
      </c>
      <c r="E335" s="1" t="s">
        <v>20</v>
      </c>
      <c r="F335">
        <v>1</v>
      </c>
      <c r="G335" s="2">
        <v>46161</v>
      </c>
      <c r="H335" s="2">
        <v>46165</v>
      </c>
      <c r="I335">
        <v>144.63</v>
      </c>
      <c r="J335">
        <v>55.05</v>
      </c>
      <c r="K335">
        <v>55.05</v>
      </c>
      <c r="L335">
        <v>0</v>
      </c>
      <c r="M335" s="1" t="s">
        <v>21</v>
      </c>
      <c r="N335" s="1" t="s">
        <v>22</v>
      </c>
      <c r="O335" s="2">
        <v>46196</v>
      </c>
      <c r="P335" s="2">
        <v>46196</v>
      </c>
      <c r="Q335">
        <f>_xlfn.XLOOKUP(E335,CPT!$A$2:$A$13,CPT!$D$2:$D$13)</f>
        <v>145</v>
      </c>
      <c r="R335" s="1">
        <f>_xlfn.XLOOKUP(C335,Contract!$A$2:$A$9,Contract!$B$2:$B$9)</f>
        <v>0.45</v>
      </c>
      <c r="S335" s="1">
        <f t="shared" si="20"/>
        <v>65.25</v>
      </c>
      <c r="T335" s="1">
        <f t="shared" si="21"/>
        <v>10.200000000000003</v>
      </c>
      <c r="U335" s="1" t="str">
        <f t="shared" si="22"/>
        <v>Underpaid</v>
      </c>
      <c r="V335" s="1" t="str">
        <f>_xlfn.XLOOKUP(C335,Payers!$A$2:$A$9,Payers!$B$2:$B$9)</f>
        <v>Blue Horizon Commercial</v>
      </c>
      <c r="W335" s="1" t="str">
        <f t="shared" si="23"/>
        <v>2026-05</v>
      </c>
    </row>
    <row r="336" spans="1:23">
      <c r="A336" s="1" t="s">
        <v>706</v>
      </c>
      <c r="B336" s="1" t="s">
        <v>707</v>
      </c>
      <c r="C336" s="1" t="s">
        <v>52</v>
      </c>
      <c r="D336" s="1" t="s">
        <v>30</v>
      </c>
      <c r="E336" s="1" t="s">
        <v>20</v>
      </c>
      <c r="F336">
        <v>1</v>
      </c>
      <c r="G336" s="2">
        <v>46191</v>
      </c>
      <c r="H336" s="2">
        <v>46201</v>
      </c>
      <c r="I336">
        <v>147.44999999999999</v>
      </c>
      <c r="M336" s="1" t="s">
        <v>32</v>
      </c>
      <c r="N336" s="1" t="s">
        <v>168</v>
      </c>
      <c r="O336" s="2">
        <v>46235</v>
      </c>
      <c r="P336" s="2"/>
      <c r="Q336">
        <f>_xlfn.XLOOKUP(E336,CPT!$A$2:$A$13,CPT!$D$2:$D$13)</f>
        <v>145</v>
      </c>
      <c r="R336" s="1">
        <f>_xlfn.XLOOKUP(C336,Contract!$A$2:$A$9,Contract!$B$2:$B$9)</f>
        <v>0.47</v>
      </c>
      <c r="S336" s="1">
        <f t="shared" si="20"/>
        <v>68.150000000000006</v>
      </c>
      <c r="T336" s="1" t="str">
        <f t="shared" si="21"/>
        <v/>
      </c>
      <c r="U336" s="1" t="str">
        <f t="shared" si="22"/>
        <v/>
      </c>
      <c r="V336" s="1" t="str">
        <f>_xlfn.XLOOKUP(C336,Payers!$A$2:$A$9,Payers!$B$2:$B$9)</f>
        <v>Keystone Commercial PPO</v>
      </c>
      <c r="W336" s="1" t="str">
        <f t="shared" si="23"/>
        <v>2026-06</v>
      </c>
    </row>
    <row r="337" spans="1:23">
      <c r="A337" s="1" t="s">
        <v>708</v>
      </c>
      <c r="B337" s="1" t="s">
        <v>709</v>
      </c>
      <c r="C337" s="1" t="s">
        <v>18</v>
      </c>
      <c r="D337" s="1" t="s">
        <v>30</v>
      </c>
      <c r="E337" s="1" t="s">
        <v>20</v>
      </c>
      <c r="F337">
        <v>1</v>
      </c>
      <c r="G337" s="2">
        <v>46071</v>
      </c>
      <c r="H337" s="2">
        <v>46073</v>
      </c>
      <c r="I337">
        <v>144.11000000000001</v>
      </c>
      <c r="J337">
        <v>48.92</v>
      </c>
      <c r="K337">
        <v>44.03</v>
      </c>
      <c r="L337">
        <v>4.8899999999999997</v>
      </c>
      <c r="M337" s="1" t="s">
        <v>21</v>
      </c>
      <c r="N337" s="1" t="s">
        <v>22</v>
      </c>
      <c r="O337" s="2">
        <v>46107</v>
      </c>
      <c r="P337" s="2">
        <v>46107</v>
      </c>
      <c r="Q337">
        <f>_xlfn.XLOOKUP(E337,CPT!$A$2:$A$13,CPT!$D$2:$D$13)</f>
        <v>145</v>
      </c>
      <c r="R337" s="1">
        <f>_xlfn.XLOOKUP(C337,Contract!$A$2:$A$9,Contract!$B$2:$B$9)</f>
        <v>0.38</v>
      </c>
      <c r="S337" s="1">
        <f t="shared" si="20"/>
        <v>55.1</v>
      </c>
      <c r="T337" s="1">
        <f t="shared" si="21"/>
        <v>6.18</v>
      </c>
      <c r="U337" s="1" t="str">
        <f t="shared" si="22"/>
        <v>Underpaid</v>
      </c>
      <c r="V337" s="1" t="str">
        <f>_xlfn.XLOOKUP(C337,Payers!$A$2:$A$9,Payers!$B$2:$B$9)</f>
        <v>Sunshine Medicare Advantage</v>
      </c>
      <c r="W337" s="1" t="str">
        <f t="shared" si="23"/>
        <v>2026-02</v>
      </c>
    </row>
    <row r="338" spans="1:23">
      <c r="A338" s="1" t="s">
        <v>710</v>
      </c>
      <c r="B338" s="1" t="s">
        <v>711</v>
      </c>
      <c r="C338" s="1" t="s">
        <v>18</v>
      </c>
      <c r="D338" s="1" t="s">
        <v>37</v>
      </c>
      <c r="E338" s="1" t="s">
        <v>48</v>
      </c>
      <c r="F338">
        <v>1</v>
      </c>
      <c r="G338" s="2">
        <v>46214</v>
      </c>
      <c r="H338" s="2">
        <v>46215</v>
      </c>
      <c r="I338">
        <v>423.34</v>
      </c>
      <c r="J338">
        <v>151.38</v>
      </c>
      <c r="K338">
        <v>151.38</v>
      </c>
      <c r="L338">
        <v>0</v>
      </c>
      <c r="M338" s="1" t="s">
        <v>21</v>
      </c>
      <c r="N338" s="1" t="s">
        <v>22</v>
      </c>
      <c r="O338" s="2">
        <v>46253</v>
      </c>
      <c r="P338" s="2">
        <v>46253</v>
      </c>
      <c r="Q338">
        <f>_xlfn.XLOOKUP(E338,CPT!$A$2:$A$13,CPT!$D$2:$D$13)</f>
        <v>420</v>
      </c>
      <c r="R338" s="1">
        <f>_xlfn.XLOOKUP(C338,Contract!$A$2:$A$9,Contract!$B$2:$B$9)</f>
        <v>0.38</v>
      </c>
      <c r="S338" s="1">
        <f t="shared" si="20"/>
        <v>159.6</v>
      </c>
      <c r="T338" s="1">
        <f t="shared" si="21"/>
        <v>8.2199999999999989</v>
      </c>
      <c r="U338" s="1" t="str">
        <f t="shared" si="22"/>
        <v>Underpaid</v>
      </c>
      <c r="V338" s="1" t="str">
        <f>_xlfn.XLOOKUP(C338,Payers!$A$2:$A$9,Payers!$B$2:$B$9)</f>
        <v>Sunshine Medicare Advantage</v>
      </c>
      <c r="W338" s="1" t="str">
        <f t="shared" si="23"/>
        <v>2026-07</v>
      </c>
    </row>
    <row r="339" spans="1:23">
      <c r="A339" s="1" t="s">
        <v>712</v>
      </c>
      <c r="B339" s="1" t="s">
        <v>713</v>
      </c>
      <c r="C339" s="1" t="s">
        <v>18</v>
      </c>
      <c r="D339" s="1" t="s">
        <v>19</v>
      </c>
      <c r="E339" s="1" t="s">
        <v>88</v>
      </c>
      <c r="F339">
        <v>1</v>
      </c>
      <c r="G339" s="2">
        <v>46111</v>
      </c>
      <c r="H339" s="2">
        <v>46115</v>
      </c>
      <c r="I339">
        <v>260.97000000000003</v>
      </c>
      <c r="J339">
        <v>106.35</v>
      </c>
      <c r="K339">
        <v>95.72</v>
      </c>
      <c r="L339">
        <v>10.63</v>
      </c>
      <c r="M339" s="1" t="s">
        <v>21</v>
      </c>
      <c r="N339" s="1" t="s">
        <v>22</v>
      </c>
      <c r="O339" s="2">
        <v>46186</v>
      </c>
      <c r="P339" s="2">
        <v>46186</v>
      </c>
      <c r="Q339">
        <f>_xlfn.XLOOKUP(E339,CPT!$A$2:$A$13,CPT!$D$2:$D$13)</f>
        <v>260</v>
      </c>
      <c r="R339" s="1">
        <f>_xlfn.XLOOKUP(C339,Contract!$A$2:$A$9,Contract!$B$2:$B$9)</f>
        <v>0.38</v>
      </c>
      <c r="S339" s="1">
        <f t="shared" si="20"/>
        <v>98.8</v>
      </c>
      <c r="T339" s="1">
        <f t="shared" si="21"/>
        <v>-7.5499999999999972</v>
      </c>
      <c r="U339" s="1" t="str">
        <f t="shared" si="22"/>
        <v>OK</v>
      </c>
      <c r="V339" s="1" t="str">
        <f>_xlfn.XLOOKUP(C339,Payers!$A$2:$A$9,Payers!$B$2:$B$9)</f>
        <v>Sunshine Medicare Advantage</v>
      </c>
      <c r="W339" s="1" t="str">
        <f t="shared" si="23"/>
        <v>2026-03</v>
      </c>
    </row>
    <row r="340" spans="1:23">
      <c r="A340" s="1" t="s">
        <v>714</v>
      </c>
      <c r="B340" s="1" t="s">
        <v>715</v>
      </c>
      <c r="C340" s="1" t="s">
        <v>52</v>
      </c>
      <c r="D340" s="1" t="s">
        <v>19</v>
      </c>
      <c r="E340" s="1" t="s">
        <v>20</v>
      </c>
      <c r="F340">
        <v>1</v>
      </c>
      <c r="G340" s="2">
        <v>45943</v>
      </c>
      <c r="H340" s="2">
        <v>45944</v>
      </c>
      <c r="I340">
        <v>143.96</v>
      </c>
      <c r="M340" s="1" t="s">
        <v>32</v>
      </c>
      <c r="N340" s="1" t="s">
        <v>33</v>
      </c>
      <c r="O340" s="2">
        <v>46009</v>
      </c>
      <c r="P340" s="2"/>
      <c r="Q340">
        <f>_xlfn.XLOOKUP(E340,CPT!$A$2:$A$13,CPT!$D$2:$D$13)</f>
        <v>145</v>
      </c>
      <c r="R340" s="1">
        <f>_xlfn.XLOOKUP(C340,Contract!$A$2:$A$9,Contract!$B$2:$B$9)</f>
        <v>0.47</v>
      </c>
      <c r="S340" s="1">
        <f t="shared" si="20"/>
        <v>68.150000000000006</v>
      </c>
      <c r="T340" s="1" t="str">
        <f t="shared" si="21"/>
        <v/>
      </c>
      <c r="U340" s="1" t="str">
        <f t="shared" si="22"/>
        <v/>
      </c>
      <c r="V340" s="1" t="str">
        <f>_xlfn.XLOOKUP(C340,Payers!$A$2:$A$9,Payers!$B$2:$B$9)</f>
        <v>Keystone Commercial PPO</v>
      </c>
      <c r="W340" s="1" t="str">
        <f t="shared" si="23"/>
        <v>2025-10</v>
      </c>
    </row>
    <row r="341" spans="1:23">
      <c r="A341" s="1" t="s">
        <v>716</v>
      </c>
      <c r="B341" s="1" t="s">
        <v>717</v>
      </c>
      <c r="C341" s="1" t="s">
        <v>60</v>
      </c>
      <c r="D341" s="1" t="s">
        <v>37</v>
      </c>
      <c r="E341" s="1" t="s">
        <v>48</v>
      </c>
      <c r="F341">
        <v>1</v>
      </c>
      <c r="G341" s="2">
        <v>46208</v>
      </c>
      <c r="H341" s="2">
        <v>46215</v>
      </c>
      <c r="I341">
        <v>408.21</v>
      </c>
      <c r="M341" s="1" t="s">
        <v>32</v>
      </c>
      <c r="N341" s="1" t="s">
        <v>168</v>
      </c>
      <c r="O341" s="2">
        <v>46241</v>
      </c>
      <c r="P341" s="2"/>
      <c r="Q341">
        <f>_xlfn.XLOOKUP(E341,CPT!$A$2:$A$13,CPT!$D$2:$D$13)</f>
        <v>420</v>
      </c>
      <c r="R341" s="1">
        <f>_xlfn.XLOOKUP(C341,Contract!$A$2:$A$9,Contract!$B$2:$B$9)</f>
        <v>0.45</v>
      </c>
      <c r="S341" s="1">
        <f t="shared" si="20"/>
        <v>189</v>
      </c>
      <c r="T341" s="1" t="str">
        <f t="shared" si="21"/>
        <v/>
      </c>
      <c r="U341" s="1" t="str">
        <f t="shared" si="22"/>
        <v/>
      </c>
      <c r="V341" s="1" t="str">
        <f>_xlfn.XLOOKUP(C341,Payers!$A$2:$A$9,Payers!$B$2:$B$9)</f>
        <v>Blue Horizon Commercial</v>
      </c>
      <c r="W341" s="1" t="str">
        <f t="shared" si="23"/>
        <v>2026-07</v>
      </c>
    </row>
    <row r="342" spans="1:23">
      <c r="A342" s="1" t="s">
        <v>718</v>
      </c>
      <c r="B342" s="1" t="s">
        <v>682</v>
      </c>
      <c r="C342" s="1" t="s">
        <v>52</v>
      </c>
      <c r="D342" s="1" t="s">
        <v>19</v>
      </c>
      <c r="E342" s="1" t="s">
        <v>57</v>
      </c>
      <c r="F342">
        <v>1</v>
      </c>
      <c r="G342" s="2">
        <v>46287</v>
      </c>
      <c r="H342" s="2">
        <v>46292</v>
      </c>
      <c r="I342">
        <v>207.32</v>
      </c>
      <c r="M342" s="1" t="s">
        <v>69</v>
      </c>
      <c r="N342" s="1" t="s">
        <v>22</v>
      </c>
      <c r="O342" s="2"/>
      <c r="P342" s="2"/>
      <c r="Q342">
        <f>_xlfn.XLOOKUP(E342,CPT!$A$2:$A$13,CPT!$D$2:$D$13)</f>
        <v>210</v>
      </c>
      <c r="R342" s="1">
        <f>_xlfn.XLOOKUP(C342,Contract!$A$2:$A$9,Contract!$B$2:$B$9)</f>
        <v>0.47</v>
      </c>
      <c r="S342" s="1">
        <f t="shared" si="20"/>
        <v>98.7</v>
      </c>
      <c r="T342" s="1" t="str">
        <f t="shared" si="21"/>
        <v/>
      </c>
      <c r="U342" s="1" t="str">
        <f t="shared" si="22"/>
        <v/>
      </c>
      <c r="V342" s="1" t="str">
        <f>_xlfn.XLOOKUP(C342,Payers!$A$2:$A$9,Payers!$B$2:$B$9)</f>
        <v>Keystone Commercial PPO</v>
      </c>
      <c r="W342" s="1" t="str">
        <f t="shared" si="23"/>
        <v>2026-09</v>
      </c>
    </row>
    <row r="343" spans="1:23">
      <c r="A343" s="1" t="s">
        <v>719</v>
      </c>
      <c r="B343" s="1" t="s">
        <v>720</v>
      </c>
      <c r="C343" s="1" t="s">
        <v>60</v>
      </c>
      <c r="D343" s="1" t="s">
        <v>30</v>
      </c>
      <c r="E343" s="1" t="s">
        <v>31</v>
      </c>
      <c r="F343">
        <v>1</v>
      </c>
      <c r="G343" s="2">
        <v>46059</v>
      </c>
      <c r="H343" s="2">
        <v>46066</v>
      </c>
      <c r="I343">
        <v>62.45</v>
      </c>
      <c r="J343">
        <v>31.7</v>
      </c>
      <c r="K343">
        <v>28.53</v>
      </c>
      <c r="L343">
        <v>3.17</v>
      </c>
      <c r="M343" s="1" t="s">
        <v>21</v>
      </c>
      <c r="N343" s="1" t="s">
        <v>22</v>
      </c>
      <c r="O343" s="2">
        <v>46087</v>
      </c>
      <c r="P343" s="2">
        <v>46087</v>
      </c>
      <c r="Q343">
        <f>_xlfn.XLOOKUP(E343,CPT!$A$2:$A$13,CPT!$D$2:$D$13)</f>
        <v>62</v>
      </c>
      <c r="R343" s="1">
        <f>_xlfn.XLOOKUP(C343,Contract!$A$2:$A$9,Contract!$B$2:$B$9)</f>
        <v>0.45</v>
      </c>
      <c r="S343" s="1">
        <f t="shared" si="20"/>
        <v>27.9</v>
      </c>
      <c r="T343" s="1">
        <f t="shared" si="21"/>
        <v>-3.8000000000000007</v>
      </c>
      <c r="U343" s="1" t="str">
        <f t="shared" si="22"/>
        <v>OK</v>
      </c>
      <c r="V343" s="1" t="str">
        <f>_xlfn.XLOOKUP(C343,Payers!$A$2:$A$9,Payers!$B$2:$B$9)</f>
        <v>Blue Horizon Commercial</v>
      </c>
      <c r="W343" s="1" t="str">
        <f t="shared" si="23"/>
        <v>2026-02</v>
      </c>
    </row>
    <row r="344" spans="1:23">
      <c r="A344" s="1" t="s">
        <v>721</v>
      </c>
      <c r="B344" s="1" t="s">
        <v>722</v>
      </c>
      <c r="C344" s="1" t="s">
        <v>18</v>
      </c>
      <c r="D344" s="1" t="s">
        <v>19</v>
      </c>
      <c r="E344" s="1" t="s">
        <v>57</v>
      </c>
      <c r="F344">
        <v>1</v>
      </c>
      <c r="G344" s="2">
        <v>46030</v>
      </c>
      <c r="H344" s="2">
        <v>46031</v>
      </c>
      <c r="I344">
        <v>207.41</v>
      </c>
      <c r="J344">
        <v>71.61</v>
      </c>
      <c r="K344">
        <v>57.29</v>
      </c>
      <c r="L344">
        <v>14.32</v>
      </c>
      <c r="M344" s="1" t="s">
        <v>21</v>
      </c>
      <c r="N344" s="1" t="s">
        <v>22</v>
      </c>
      <c r="O344" s="2">
        <v>46091</v>
      </c>
      <c r="P344" s="2">
        <v>46091</v>
      </c>
      <c r="Q344">
        <f>_xlfn.XLOOKUP(E344,CPT!$A$2:$A$13,CPT!$D$2:$D$13)</f>
        <v>210</v>
      </c>
      <c r="R344" s="1">
        <f>_xlfn.XLOOKUP(C344,Contract!$A$2:$A$9,Contract!$B$2:$B$9)</f>
        <v>0.38</v>
      </c>
      <c r="S344" s="1">
        <f t="shared" si="20"/>
        <v>79.8</v>
      </c>
      <c r="T344" s="1">
        <f t="shared" si="21"/>
        <v>8.1899999999999977</v>
      </c>
      <c r="U344" s="1" t="str">
        <f t="shared" si="22"/>
        <v>Underpaid</v>
      </c>
      <c r="V344" s="1" t="str">
        <f>_xlfn.XLOOKUP(C344,Payers!$A$2:$A$9,Payers!$B$2:$B$9)</f>
        <v>Sunshine Medicare Advantage</v>
      </c>
      <c r="W344" s="1" t="str">
        <f t="shared" si="23"/>
        <v>2026-01</v>
      </c>
    </row>
    <row r="345" spans="1:23">
      <c r="A345" s="1" t="s">
        <v>723</v>
      </c>
      <c r="B345" s="1" t="s">
        <v>724</v>
      </c>
      <c r="C345" s="1" t="s">
        <v>60</v>
      </c>
      <c r="D345" s="1" t="s">
        <v>19</v>
      </c>
      <c r="E345" s="1" t="s">
        <v>88</v>
      </c>
      <c r="F345">
        <v>1</v>
      </c>
      <c r="G345" s="2">
        <v>46230</v>
      </c>
      <c r="H345" s="2">
        <v>46231</v>
      </c>
      <c r="I345">
        <v>265.39999999999998</v>
      </c>
      <c r="J345">
        <v>135.69</v>
      </c>
      <c r="K345">
        <v>135.69</v>
      </c>
      <c r="L345">
        <v>0</v>
      </c>
      <c r="M345" s="1" t="s">
        <v>21</v>
      </c>
      <c r="N345" s="1" t="s">
        <v>22</v>
      </c>
      <c r="O345" s="2">
        <v>46267</v>
      </c>
      <c r="P345" s="2">
        <v>46267</v>
      </c>
      <c r="Q345">
        <f>_xlfn.XLOOKUP(E345,CPT!$A$2:$A$13,CPT!$D$2:$D$13)</f>
        <v>260</v>
      </c>
      <c r="R345" s="1">
        <f>_xlfn.XLOOKUP(C345,Contract!$A$2:$A$9,Contract!$B$2:$B$9)</f>
        <v>0.45</v>
      </c>
      <c r="S345" s="1">
        <f t="shared" si="20"/>
        <v>117</v>
      </c>
      <c r="T345" s="1">
        <f t="shared" si="21"/>
        <v>-18.689999999999998</v>
      </c>
      <c r="U345" s="1" t="str">
        <f t="shared" si="22"/>
        <v>OK</v>
      </c>
      <c r="V345" s="1" t="str">
        <f>_xlfn.XLOOKUP(C345,Payers!$A$2:$A$9,Payers!$B$2:$B$9)</f>
        <v>Blue Horizon Commercial</v>
      </c>
      <c r="W345" s="1" t="str">
        <f t="shared" si="23"/>
        <v>2026-07</v>
      </c>
    </row>
    <row r="346" spans="1:23">
      <c r="A346" s="1" t="s">
        <v>725</v>
      </c>
      <c r="B346" s="1" t="s">
        <v>426</v>
      </c>
      <c r="C346" s="1" t="s">
        <v>60</v>
      </c>
      <c r="D346" s="1" t="s">
        <v>30</v>
      </c>
      <c r="E346" s="1" t="s">
        <v>20</v>
      </c>
      <c r="F346">
        <v>1</v>
      </c>
      <c r="G346" s="2">
        <v>46251</v>
      </c>
      <c r="H346" s="2">
        <v>46256</v>
      </c>
      <c r="I346">
        <v>146.01</v>
      </c>
      <c r="J346">
        <v>62.8</v>
      </c>
      <c r="K346">
        <v>62.8</v>
      </c>
      <c r="L346">
        <v>0</v>
      </c>
      <c r="M346" s="1" t="s">
        <v>21</v>
      </c>
      <c r="N346" s="1" t="s">
        <v>22</v>
      </c>
      <c r="O346" s="2">
        <v>46285</v>
      </c>
      <c r="P346" s="2">
        <v>46285</v>
      </c>
      <c r="Q346">
        <f>_xlfn.XLOOKUP(E346,CPT!$A$2:$A$13,CPT!$D$2:$D$13)</f>
        <v>145</v>
      </c>
      <c r="R346" s="1">
        <f>_xlfn.XLOOKUP(C346,Contract!$A$2:$A$9,Contract!$B$2:$B$9)</f>
        <v>0.45</v>
      </c>
      <c r="S346" s="1">
        <f t="shared" si="20"/>
        <v>65.25</v>
      </c>
      <c r="T346" s="1">
        <f t="shared" si="21"/>
        <v>2.4500000000000028</v>
      </c>
      <c r="U346" s="1" t="str">
        <f t="shared" si="22"/>
        <v>OK</v>
      </c>
      <c r="V346" s="1" t="str">
        <f>_xlfn.XLOOKUP(C346,Payers!$A$2:$A$9,Payers!$B$2:$B$9)</f>
        <v>Blue Horizon Commercial</v>
      </c>
      <c r="W346" s="1" t="str">
        <f t="shared" si="23"/>
        <v>2026-08</v>
      </c>
    </row>
    <row r="347" spans="1:23">
      <c r="A347" s="1" t="s">
        <v>726</v>
      </c>
      <c r="B347" s="1" t="s">
        <v>727</v>
      </c>
      <c r="C347" s="1" t="s">
        <v>52</v>
      </c>
      <c r="D347" s="1" t="s">
        <v>19</v>
      </c>
      <c r="E347" s="1" t="s">
        <v>57</v>
      </c>
      <c r="F347">
        <v>1</v>
      </c>
      <c r="G347" s="2">
        <v>46205</v>
      </c>
      <c r="H347" s="2">
        <v>46207</v>
      </c>
      <c r="I347">
        <v>208.78</v>
      </c>
      <c r="J347">
        <v>103.66</v>
      </c>
      <c r="K347">
        <v>93.29</v>
      </c>
      <c r="L347">
        <v>10.37</v>
      </c>
      <c r="M347" s="1" t="s">
        <v>21</v>
      </c>
      <c r="N347" s="1" t="s">
        <v>22</v>
      </c>
      <c r="O347" s="2">
        <v>46240</v>
      </c>
      <c r="P347" s="2">
        <v>46240</v>
      </c>
      <c r="Q347">
        <f>_xlfn.XLOOKUP(E347,CPT!$A$2:$A$13,CPT!$D$2:$D$13)</f>
        <v>210</v>
      </c>
      <c r="R347" s="1">
        <f>_xlfn.XLOOKUP(C347,Contract!$A$2:$A$9,Contract!$B$2:$B$9)</f>
        <v>0.47</v>
      </c>
      <c r="S347" s="1">
        <f t="shared" si="20"/>
        <v>98.7</v>
      </c>
      <c r="T347" s="1">
        <f t="shared" si="21"/>
        <v>-4.9599999999999937</v>
      </c>
      <c r="U347" s="1" t="str">
        <f t="shared" si="22"/>
        <v>OK</v>
      </c>
      <c r="V347" s="1" t="str">
        <f>_xlfn.XLOOKUP(C347,Payers!$A$2:$A$9,Payers!$B$2:$B$9)</f>
        <v>Keystone Commercial PPO</v>
      </c>
      <c r="W347" s="1" t="str">
        <f t="shared" si="23"/>
        <v>2026-07</v>
      </c>
    </row>
    <row r="348" spans="1:23">
      <c r="A348" s="1" t="s">
        <v>728</v>
      </c>
      <c r="B348" s="1" t="s">
        <v>729</v>
      </c>
      <c r="C348" s="1" t="s">
        <v>25</v>
      </c>
      <c r="D348" s="1" t="s">
        <v>26</v>
      </c>
      <c r="E348" s="1" t="s">
        <v>44</v>
      </c>
      <c r="F348">
        <v>1</v>
      </c>
      <c r="G348" s="2">
        <v>46174</v>
      </c>
      <c r="H348" s="2">
        <v>46181</v>
      </c>
      <c r="I348">
        <v>4943.03</v>
      </c>
      <c r="J348">
        <v>1507.56</v>
      </c>
      <c r="K348">
        <v>1507.56</v>
      </c>
      <c r="L348">
        <v>0</v>
      </c>
      <c r="M348" s="1" t="s">
        <v>21</v>
      </c>
      <c r="N348" s="1" t="s">
        <v>22</v>
      </c>
      <c r="O348" s="2">
        <v>46196</v>
      </c>
      <c r="P348" s="2">
        <v>46196</v>
      </c>
      <c r="Q348">
        <f>_xlfn.XLOOKUP(E348,CPT!$A$2:$A$13,CPT!$D$2:$D$13)</f>
        <v>4800</v>
      </c>
      <c r="R348" s="1">
        <f>_xlfn.XLOOKUP(C348,Contract!$A$2:$A$9,Contract!$B$2:$B$9)</f>
        <v>0.36</v>
      </c>
      <c r="S348" s="1">
        <f t="shared" si="20"/>
        <v>1728</v>
      </c>
      <c r="T348" s="1">
        <f t="shared" si="21"/>
        <v>220.44000000000005</v>
      </c>
      <c r="U348" s="1" t="str">
        <f t="shared" si="22"/>
        <v>Underpaid</v>
      </c>
      <c r="V348" s="1" t="str">
        <f>_xlfn.XLOOKUP(C348,Payers!$A$2:$A$9,Payers!$B$2:$B$9)</f>
        <v>Medicare Part B</v>
      </c>
      <c r="W348" s="1" t="str">
        <f t="shared" si="23"/>
        <v>2026-06</v>
      </c>
    </row>
    <row r="349" spans="1:23">
      <c r="A349" s="1" t="s">
        <v>730</v>
      </c>
      <c r="B349" s="1" t="s">
        <v>731</v>
      </c>
      <c r="C349" s="1" t="s">
        <v>76</v>
      </c>
      <c r="D349" s="1" t="s">
        <v>37</v>
      </c>
      <c r="E349" s="1" t="s">
        <v>48</v>
      </c>
      <c r="F349">
        <v>1</v>
      </c>
      <c r="G349" s="2">
        <v>45989</v>
      </c>
      <c r="H349" s="2">
        <v>45993</v>
      </c>
      <c r="I349">
        <v>417.12</v>
      </c>
      <c r="J349">
        <v>201.14</v>
      </c>
      <c r="K349">
        <v>181.03</v>
      </c>
      <c r="L349">
        <v>20.11</v>
      </c>
      <c r="M349" s="1" t="s">
        <v>21</v>
      </c>
      <c r="N349" s="1" t="s">
        <v>22</v>
      </c>
      <c r="O349" s="2">
        <v>46015</v>
      </c>
      <c r="P349" s="2">
        <v>46015</v>
      </c>
      <c r="Q349">
        <f>_xlfn.XLOOKUP(E349,CPT!$A$2:$A$13,CPT!$D$2:$D$13)</f>
        <v>420</v>
      </c>
      <c r="R349" s="1">
        <f>_xlfn.XLOOKUP(C349,Contract!$A$2:$A$9,Contract!$B$2:$B$9)</f>
        <v>0.43</v>
      </c>
      <c r="S349" s="1">
        <f t="shared" si="20"/>
        <v>180.6</v>
      </c>
      <c r="T349" s="1">
        <f t="shared" si="21"/>
        <v>-20.539999999999992</v>
      </c>
      <c r="U349" s="1" t="str">
        <f t="shared" si="22"/>
        <v>OK</v>
      </c>
      <c r="V349" s="1" t="str">
        <f>_xlfn.XLOOKUP(C349,Payers!$A$2:$A$9,Payers!$B$2:$B$9)</f>
        <v>Summit Health Commercial</v>
      </c>
      <c r="W349" s="1" t="str">
        <f t="shared" si="23"/>
        <v>2025-11</v>
      </c>
    </row>
    <row r="350" spans="1:23">
      <c r="A350" s="1" t="s">
        <v>732</v>
      </c>
      <c r="B350" s="1" t="s">
        <v>35</v>
      </c>
      <c r="C350" s="1" t="s">
        <v>52</v>
      </c>
      <c r="D350" s="1" t="s">
        <v>30</v>
      </c>
      <c r="E350" s="1" t="s">
        <v>91</v>
      </c>
      <c r="F350">
        <v>4</v>
      </c>
      <c r="G350" s="2">
        <v>46082</v>
      </c>
      <c r="H350" s="2">
        <v>46085</v>
      </c>
      <c r="I350">
        <v>227.72</v>
      </c>
      <c r="M350" s="1" t="s">
        <v>32</v>
      </c>
      <c r="N350" s="1" t="s">
        <v>49</v>
      </c>
      <c r="O350" s="2">
        <v>46134</v>
      </c>
      <c r="P350" s="2"/>
      <c r="Q350">
        <f>_xlfn.XLOOKUP(E350,CPT!$A$2:$A$13,CPT!$D$2:$D$13)</f>
        <v>58</v>
      </c>
      <c r="R350" s="1">
        <f>_xlfn.XLOOKUP(C350,Contract!$A$2:$A$9,Contract!$B$2:$B$9)</f>
        <v>0.47</v>
      </c>
      <c r="S350" s="1">
        <f t="shared" si="20"/>
        <v>109.04</v>
      </c>
      <c r="T350" s="1" t="str">
        <f t="shared" si="21"/>
        <v/>
      </c>
      <c r="U350" s="1" t="str">
        <f t="shared" si="22"/>
        <v/>
      </c>
      <c r="V350" s="1" t="str">
        <f>_xlfn.XLOOKUP(C350,Payers!$A$2:$A$9,Payers!$B$2:$B$9)</f>
        <v>Keystone Commercial PPO</v>
      </c>
      <c r="W350" s="1" t="str">
        <f t="shared" si="23"/>
        <v>2026-03</v>
      </c>
    </row>
    <row r="351" spans="1:23">
      <c r="A351" s="1" t="s">
        <v>733</v>
      </c>
      <c r="B351" s="1" t="s">
        <v>734</v>
      </c>
      <c r="C351" s="1" t="s">
        <v>52</v>
      </c>
      <c r="D351" s="1" t="s">
        <v>26</v>
      </c>
      <c r="E351" s="1" t="s">
        <v>41</v>
      </c>
      <c r="F351">
        <v>1</v>
      </c>
      <c r="G351" s="2">
        <v>45984</v>
      </c>
      <c r="H351" s="2">
        <v>45992</v>
      </c>
      <c r="I351">
        <v>37.33</v>
      </c>
      <c r="J351">
        <v>18.96</v>
      </c>
      <c r="K351">
        <v>15.17</v>
      </c>
      <c r="L351">
        <v>3.79</v>
      </c>
      <c r="M351" s="1" t="s">
        <v>21</v>
      </c>
      <c r="N351" s="1" t="s">
        <v>22</v>
      </c>
      <c r="O351" s="2">
        <v>46037</v>
      </c>
      <c r="P351" s="2">
        <v>46037</v>
      </c>
      <c r="Q351">
        <f>_xlfn.XLOOKUP(E351,CPT!$A$2:$A$13,CPT!$D$2:$D$13)</f>
        <v>38</v>
      </c>
      <c r="R351" s="1">
        <f>_xlfn.XLOOKUP(C351,Contract!$A$2:$A$9,Contract!$B$2:$B$9)</f>
        <v>0.47</v>
      </c>
      <c r="S351" s="1">
        <f t="shared" si="20"/>
        <v>17.86</v>
      </c>
      <c r="T351" s="1">
        <f t="shared" si="21"/>
        <v>-1.1000000000000014</v>
      </c>
      <c r="U351" s="1" t="str">
        <f t="shared" si="22"/>
        <v>OK</v>
      </c>
      <c r="V351" s="1" t="str">
        <f>_xlfn.XLOOKUP(C351,Payers!$A$2:$A$9,Payers!$B$2:$B$9)</f>
        <v>Keystone Commercial PPO</v>
      </c>
      <c r="W351" s="1" t="str">
        <f t="shared" si="23"/>
        <v>2025-11</v>
      </c>
    </row>
    <row r="352" spans="1:23">
      <c r="A352" s="1" t="s">
        <v>735</v>
      </c>
      <c r="B352" s="1" t="s">
        <v>736</v>
      </c>
      <c r="C352" s="1" t="s">
        <v>18</v>
      </c>
      <c r="D352" s="1" t="s">
        <v>30</v>
      </c>
      <c r="E352" s="1" t="s">
        <v>31</v>
      </c>
      <c r="F352">
        <v>1</v>
      </c>
      <c r="G352" s="2">
        <v>46009</v>
      </c>
      <c r="H352" s="2">
        <v>46107</v>
      </c>
      <c r="I352">
        <v>61.85</v>
      </c>
      <c r="M352" s="1" t="s">
        <v>32</v>
      </c>
      <c r="N352" s="1" t="s">
        <v>137</v>
      </c>
      <c r="O352" s="2">
        <v>46185</v>
      </c>
      <c r="P352" s="2"/>
      <c r="Q352">
        <f>_xlfn.XLOOKUP(E352,CPT!$A$2:$A$13,CPT!$D$2:$D$13)</f>
        <v>62</v>
      </c>
      <c r="R352" s="1">
        <f>_xlfn.XLOOKUP(C352,Contract!$A$2:$A$9,Contract!$B$2:$B$9)</f>
        <v>0.38</v>
      </c>
      <c r="S352" s="1">
        <f t="shared" si="20"/>
        <v>23.56</v>
      </c>
      <c r="T352" s="1" t="str">
        <f t="shared" si="21"/>
        <v/>
      </c>
      <c r="U352" s="1" t="str">
        <f t="shared" si="22"/>
        <v/>
      </c>
      <c r="V352" s="1" t="str">
        <f>_xlfn.XLOOKUP(C352,Payers!$A$2:$A$9,Payers!$B$2:$B$9)</f>
        <v>Sunshine Medicare Advantage</v>
      </c>
      <c r="W352" s="1" t="str">
        <f t="shared" si="23"/>
        <v>2025-12</v>
      </c>
    </row>
    <row r="353" spans="1:23">
      <c r="A353" s="1" t="s">
        <v>737</v>
      </c>
      <c r="B353" s="1" t="s">
        <v>738</v>
      </c>
      <c r="C353" s="1" t="s">
        <v>25</v>
      </c>
      <c r="D353" s="1" t="s">
        <v>19</v>
      </c>
      <c r="E353" s="1" t="s">
        <v>41</v>
      </c>
      <c r="F353">
        <v>1</v>
      </c>
      <c r="G353" s="2">
        <v>46152</v>
      </c>
      <c r="H353" s="2">
        <v>46154</v>
      </c>
      <c r="I353">
        <v>37.58</v>
      </c>
      <c r="J353">
        <v>11.45</v>
      </c>
      <c r="K353">
        <v>11.45</v>
      </c>
      <c r="L353">
        <v>0</v>
      </c>
      <c r="M353" s="1" t="s">
        <v>21</v>
      </c>
      <c r="N353" s="1" t="s">
        <v>22</v>
      </c>
      <c r="O353" s="2">
        <v>46176</v>
      </c>
      <c r="P353" s="2">
        <v>46176</v>
      </c>
      <c r="Q353">
        <f>_xlfn.XLOOKUP(E353,CPT!$A$2:$A$13,CPT!$D$2:$D$13)</f>
        <v>38</v>
      </c>
      <c r="R353" s="1">
        <f>_xlfn.XLOOKUP(C353,Contract!$A$2:$A$9,Contract!$B$2:$B$9)</f>
        <v>0.36</v>
      </c>
      <c r="S353" s="1">
        <f t="shared" si="20"/>
        <v>13.68</v>
      </c>
      <c r="T353" s="1">
        <f t="shared" si="21"/>
        <v>2.2300000000000004</v>
      </c>
      <c r="U353" s="1" t="str">
        <f t="shared" si="22"/>
        <v>Underpaid</v>
      </c>
      <c r="V353" s="1" t="str">
        <f>_xlfn.XLOOKUP(C353,Payers!$A$2:$A$9,Payers!$B$2:$B$9)</f>
        <v>Medicare Part B</v>
      </c>
      <c r="W353" s="1" t="str">
        <f t="shared" si="23"/>
        <v>2026-05</v>
      </c>
    </row>
    <row r="354" spans="1:23">
      <c r="A354" s="1" t="s">
        <v>739</v>
      </c>
      <c r="B354" s="1" t="s">
        <v>740</v>
      </c>
      <c r="C354" s="1" t="s">
        <v>18</v>
      </c>
      <c r="D354" s="1" t="s">
        <v>37</v>
      </c>
      <c r="E354" s="1" t="s">
        <v>38</v>
      </c>
      <c r="F354">
        <v>20</v>
      </c>
      <c r="G354" s="2">
        <v>45968</v>
      </c>
      <c r="H354" s="2">
        <v>45969</v>
      </c>
      <c r="I354">
        <v>29744.799999999999</v>
      </c>
      <c r="J354">
        <v>10674.24</v>
      </c>
      <c r="K354">
        <v>8539.39</v>
      </c>
      <c r="L354">
        <v>2134.85</v>
      </c>
      <c r="M354" s="1" t="s">
        <v>21</v>
      </c>
      <c r="N354" s="1" t="s">
        <v>22</v>
      </c>
      <c r="O354" s="2">
        <v>46043</v>
      </c>
      <c r="P354" s="2">
        <v>46043</v>
      </c>
      <c r="Q354">
        <f>_xlfn.XLOOKUP(E354,CPT!$A$2:$A$13,CPT!$D$2:$D$13)</f>
        <v>1450</v>
      </c>
      <c r="R354" s="1">
        <f>_xlfn.XLOOKUP(C354,Contract!$A$2:$A$9,Contract!$B$2:$B$9)</f>
        <v>0.38</v>
      </c>
      <c r="S354" s="1">
        <f t="shared" si="20"/>
        <v>11020</v>
      </c>
      <c r="T354" s="1">
        <f t="shared" si="21"/>
        <v>345.76000000000022</v>
      </c>
      <c r="U354" s="1" t="str">
        <f t="shared" si="22"/>
        <v>OK</v>
      </c>
      <c r="V354" s="1" t="str">
        <f>_xlfn.XLOOKUP(C354,Payers!$A$2:$A$9,Payers!$B$2:$B$9)</f>
        <v>Sunshine Medicare Advantage</v>
      </c>
      <c r="W354" s="1" t="str">
        <f t="shared" si="23"/>
        <v>2025-11</v>
      </c>
    </row>
    <row r="355" spans="1:23">
      <c r="A355" s="1" t="s">
        <v>741</v>
      </c>
      <c r="B355" s="1" t="s">
        <v>742</v>
      </c>
      <c r="C355" s="1" t="s">
        <v>52</v>
      </c>
      <c r="D355" s="1" t="s">
        <v>19</v>
      </c>
      <c r="E355" s="1" t="s">
        <v>20</v>
      </c>
      <c r="F355">
        <v>1</v>
      </c>
      <c r="G355" s="2">
        <v>46204</v>
      </c>
      <c r="H355" s="2">
        <v>46210</v>
      </c>
      <c r="I355">
        <v>142.56</v>
      </c>
      <c r="J355">
        <v>74.680000000000007</v>
      </c>
      <c r="K355">
        <v>67.209999999999994</v>
      </c>
      <c r="L355">
        <v>7.47</v>
      </c>
      <c r="M355" s="1" t="s">
        <v>21</v>
      </c>
      <c r="N355" s="1" t="s">
        <v>22</v>
      </c>
      <c r="O355" s="2">
        <v>46266</v>
      </c>
      <c r="P355" s="2">
        <v>46266</v>
      </c>
      <c r="Q355">
        <f>_xlfn.XLOOKUP(E355,CPT!$A$2:$A$13,CPT!$D$2:$D$13)</f>
        <v>145</v>
      </c>
      <c r="R355" s="1">
        <f>_xlfn.XLOOKUP(C355,Contract!$A$2:$A$9,Contract!$B$2:$B$9)</f>
        <v>0.47</v>
      </c>
      <c r="S355" s="1">
        <f t="shared" si="20"/>
        <v>68.150000000000006</v>
      </c>
      <c r="T355" s="1">
        <f t="shared" si="21"/>
        <v>-6.5300000000000011</v>
      </c>
      <c r="U355" s="1" t="str">
        <f t="shared" si="22"/>
        <v>OK</v>
      </c>
      <c r="V355" s="1" t="str">
        <f>_xlfn.XLOOKUP(C355,Payers!$A$2:$A$9,Payers!$B$2:$B$9)</f>
        <v>Keystone Commercial PPO</v>
      </c>
      <c r="W355" s="1" t="str">
        <f t="shared" si="23"/>
        <v>2026-07</v>
      </c>
    </row>
    <row r="356" spans="1:23">
      <c r="A356" s="1" t="s">
        <v>743</v>
      </c>
      <c r="B356" s="1" t="s">
        <v>744</v>
      </c>
      <c r="C356" s="1" t="s">
        <v>47</v>
      </c>
      <c r="D356" s="1" t="s">
        <v>26</v>
      </c>
      <c r="E356" s="1" t="s">
        <v>41</v>
      </c>
      <c r="F356">
        <v>1</v>
      </c>
      <c r="G356" s="2">
        <v>46262</v>
      </c>
      <c r="H356" s="2">
        <v>46274</v>
      </c>
      <c r="I356">
        <v>37.71</v>
      </c>
      <c r="M356" s="1" t="s">
        <v>69</v>
      </c>
      <c r="N356" s="1" t="s">
        <v>22</v>
      </c>
      <c r="O356" s="2"/>
      <c r="P356" s="2"/>
      <c r="Q356">
        <f>_xlfn.XLOOKUP(E356,CPT!$A$2:$A$13,CPT!$D$2:$D$13)</f>
        <v>38</v>
      </c>
      <c r="R356" s="1">
        <f>_xlfn.XLOOKUP(C356,Contract!$A$2:$A$9,Contract!$B$2:$B$9)</f>
        <v>0.28000000000000003</v>
      </c>
      <c r="S356" s="1">
        <f t="shared" si="20"/>
        <v>10.64</v>
      </c>
      <c r="T356" s="1" t="str">
        <f t="shared" si="21"/>
        <v/>
      </c>
      <c r="U356" s="1" t="str">
        <f t="shared" si="22"/>
        <v/>
      </c>
      <c r="V356" s="1" t="str">
        <f>_xlfn.XLOOKUP(C356,Payers!$A$2:$A$9,Payers!$B$2:$B$9)</f>
        <v>Coastal Medicaid MCO</v>
      </c>
      <c r="W356" s="1" t="str">
        <f t="shared" si="23"/>
        <v>2026-08</v>
      </c>
    </row>
    <row r="357" spans="1:23">
      <c r="A357" s="1" t="s">
        <v>745</v>
      </c>
      <c r="B357" s="1" t="s">
        <v>746</v>
      </c>
      <c r="C357" s="1" t="s">
        <v>76</v>
      </c>
      <c r="D357" s="1" t="s">
        <v>19</v>
      </c>
      <c r="E357" s="1" t="s">
        <v>20</v>
      </c>
      <c r="F357">
        <v>1</v>
      </c>
      <c r="G357" s="2">
        <v>46107</v>
      </c>
      <c r="H357" s="2">
        <v>46117</v>
      </c>
      <c r="I357">
        <v>142.49</v>
      </c>
      <c r="J357">
        <v>54.14</v>
      </c>
      <c r="K357">
        <v>54.14</v>
      </c>
      <c r="L357">
        <v>0</v>
      </c>
      <c r="M357" s="1" t="s">
        <v>21</v>
      </c>
      <c r="N357" s="1" t="s">
        <v>22</v>
      </c>
      <c r="O357" s="2">
        <v>46149</v>
      </c>
      <c r="P357" s="2">
        <v>46149</v>
      </c>
      <c r="Q357">
        <f>_xlfn.XLOOKUP(E357,CPT!$A$2:$A$13,CPT!$D$2:$D$13)</f>
        <v>145</v>
      </c>
      <c r="R357" s="1">
        <f>_xlfn.XLOOKUP(C357,Contract!$A$2:$A$9,Contract!$B$2:$B$9)</f>
        <v>0.43</v>
      </c>
      <c r="S357" s="1">
        <f t="shared" si="20"/>
        <v>62.35</v>
      </c>
      <c r="T357" s="1">
        <f t="shared" si="21"/>
        <v>8.2100000000000009</v>
      </c>
      <c r="U357" s="1" t="str">
        <f t="shared" si="22"/>
        <v>Underpaid</v>
      </c>
      <c r="V357" s="1" t="str">
        <f>_xlfn.XLOOKUP(C357,Payers!$A$2:$A$9,Payers!$B$2:$B$9)</f>
        <v>Summit Health Commercial</v>
      </c>
      <c r="W357" s="1" t="str">
        <f t="shared" si="23"/>
        <v>2026-03</v>
      </c>
    </row>
    <row r="358" spans="1:23">
      <c r="A358" s="1" t="s">
        <v>747</v>
      </c>
      <c r="B358" s="1" t="s">
        <v>748</v>
      </c>
      <c r="C358" s="1" t="s">
        <v>60</v>
      </c>
      <c r="D358" s="1" t="s">
        <v>19</v>
      </c>
      <c r="E358" s="1" t="s">
        <v>88</v>
      </c>
      <c r="F358">
        <v>1</v>
      </c>
      <c r="G358" s="2">
        <v>46023</v>
      </c>
      <c r="H358" s="2">
        <v>46027</v>
      </c>
      <c r="I358">
        <v>262.67</v>
      </c>
      <c r="M358" s="1" t="s">
        <v>32</v>
      </c>
      <c r="N358" s="1" t="s">
        <v>168</v>
      </c>
      <c r="O358" s="2">
        <v>46043</v>
      </c>
      <c r="P358" s="2"/>
      <c r="Q358">
        <f>_xlfn.XLOOKUP(E358,CPT!$A$2:$A$13,CPT!$D$2:$D$13)</f>
        <v>260</v>
      </c>
      <c r="R358" s="1">
        <f>_xlfn.XLOOKUP(C358,Contract!$A$2:$A$9,Contract!$B$2:$B$9)</f>
        <v>0.45</v>
      </c>
      <c r="S358" s="1">
        <f t="shared" si="20"/>
        <v>117</v>
      </c>
      <c r="T358" s="1" t="str">
        <f t="shared" si="21"/>
        <v/>
      </c>
      <c r="U358" s="1" t="str">
        <f t="shared" si="22"/>
        <v/>
      </c>
      <c r="V358" s="1" t="str">
        <f>_xlfn.XLOOKUP(C358,Payers!$A$2:$A$9,Payers!$B$2:$B$9)</f>
        <v>Blue Horizon Commercial</v>
      </c>
      <c r="W358" s="1" t="str">
        <f t="shared" si="23"/>
        <v>2026-01</v>
      </c>
    </row>
    <row r="359" spans="1:23">
      <c r="A359" s="1" t="s">
        <v>749</v>
      </c>
      <c r="B359" s="1" t="s">
        <v>750</v>
      </c>
      <c r="C359" s="1" t="s">
        <v>76</v>
      </c>
      <c r="D359" s="1" t="s">
        <v>19</v>
      </c>
      <c r="E359" s="1" t="s">
        <v>88</v>
      </c>
      <c r="F359">
        <v>1</v>
      </c>
      <c r="G359" s="2">
        <v>46274</v>
      </c>
      <c r="H359" s="2">
        <v>46275</v>
      </c>
      <c r="I359">
        <v>262.43</v>
      </c>
      <c r="M359" s="1" t="s">
        <v>69</v>
      </c>
      <c r="N359" s="1" t="s">
        <v>22</v>
      </c>
      <c r="O359" s="2"/>
      <c r="P359" s="2"/>
      <c r="Q359">
        <f>_xlfn.XLOOKUP(E359,CPT!$A$2:$A$13,CPT!$D$2:$D$13)</f>
        <v>260</v>
      </c>
      <c r="R359" s="1">
        <f>_xlfn.XLOOKUP(C359,Contract!$A$2:$A$9,Contract!$B$2:$B$9)</f>
        <v>0.43</v>
      </c>
      <c r="S359" s="1">
        <f t="shared" si="20"/>
        <v>111.8</v>
      </c>
      <c r="T359" s="1" t="str">
        <f t="shared" si="21"/>
        <v/>
      </c>
      <c r="U359" s="1" t="str">
        <f t="shared" si="22"/>
        <v/>
      </c>
      <c r="V359" s="1" t="str">
        <f>_xlfn.XLOOKUP(C359,Payers!$A$2:$A$9,Payers!$B$2:$B$9)</f>
        <v>Summit Health Commercial</v>
      </c>
      <c r="W359" s="1" t="str">
        <f t="shared" si="23"/>
        <v>2026-09</v>
      </c>
    </row>
    <row r="360" spans="1:23">
      <c r="A360" s="1" t="s">
        <v>751</v>
      </c>
      <c r="B360" s="1" t="s">
        <v>752</v>
      </c>
      <c r="C360" s="1" t="s">
        <v>25</v>
      </c>
      <c r="D360" s="1" t="s">
        <v>19</v>
      </c>
      <c r="E360" s="1" t="s">
        <v>88</v>
      </c>
      <c r="F360">
        <v>1</v>
      </c>
      <c r="G360" s="2">
        <v>46087</v>
      </c>
      <c r="H360" s="2">
        <v>46088</v>
      </c>
      <c r="I360">
        <v>263.02</v>
      </c>
      <c r="J360">
        <v>103.75</v>
      </c>
      <c r="K360">
        <v>93.37</v>
      </c>
      <c r="L360">
        <v>10.38</v>
      </c>
      <c r="M360" s="1" t="s">
        <v>21</v>
      </c>
      <c r="N360" s="1" t="s">
        <v>22</v>
      </c>
      <c r="O360" s="2">
        <v>46109</v>
      </c>
      <c r="P360" s="2">
        <v>46109</v>
      </c>
      <c r="Q360">
        <f>_xlfn.XLOOKUP(E360,CPT!$A$2:$A$13,CPT!$D$2:$D$13)</f>
        <v>260</v>
      </c>
      <c r="R360" s="1">
        <f>_xlfn.XLOOKUP(C360,Contract!$A$2:$A$9,Contract!$B$2:$B$9)</f>
        <v>0.36</v>
      </c>
      <c r="S360" s="1">
        <f t="shared" si="20"/>
        <v>93.6</v>
      </c>
      <c r="T360" s="1">
        <f t="shared" si="21"/>
        <v>-10.150000000000006</v>
      </c>
      <c r="U360" s="1" t="str">
        <f t="shared" si="22"/>
        <v>OK</v>
      </c>
      <c r="V360" s="1" t="str">
        <f>_xlfn.XLOOKUP(C360,Payers!$A$2:$A$9,Payers!$B$2:$B$9)</f>
        <v>Medicare Part B</v>
      </c>
      <c r="W360" s="1" t="str">
        <f t="shared" si="23"/>
        <v>2026-03</v>
      </c>
    </row>
    <row r="361" spans="1:23">
      <c r="A361" s="1" t="s">
        <v>753</v>
      </c>
      <c r="B361" s="1" t="s">
        <v>754</v>
      </c>
      <c r="C361" s="1" t="s">
        <v>18</v>
      </c>
      <c r="D361" s="1" t="s">
        <v>37</v>
      </c>
      <c r="E361" s="1" t="s">
        <v>57</v>
      </c>
      <c r="F361">
        <v>1</v>
      </c>
      <c r="G361" s="2">
        <v>46154</v>
      </c>
      <c r="H361" s="2">
        <v>46156</v>
      </c>
      <c r="I361">
        <v>207.19</v>
      </c>
      <c r="J361">
        <v>75.099999999999994</v>
      </c>
      <c r="K361">
        <v>60.08</v>
      </c>
      <c r="L361">
        <v>15.02</v>
      </c>
      <c r="M361" s="1" t="s">
        <v>21</v>
      </c>
      <c r="N361" s="1" t="s">
        <v>22</v>
      </c>
      <c r="O361" s="2">
        <v>46205</v>
      </c>
      <c r="P361" s="2">
        <v>46205</v>
      </c>
      <c r="Q361">
        <f>_xlfn.XLOOKUP(E361,CPT!$A$2:$A$13,CPT!$D$2:$D$13)</f>
        <v>210</v>
      </c>
      <c r="R361" s="1">
        <f>_xlfn.XLOOKUP(C361,Contract!$A$2:$A$9,Contract!$B$2:$B$9)</f>
        <v>0.38</v>
      </c>
      <c r="S361" s="1">
        <f t="shared" si="20"/>
        <v>79.8</v>
      </c>
      <c r="T361" s="1">
        <f t="shared" si="21"/>
        <v>4.7000000000000028</v>
      </c>
      <c r="U361" s="1" t="str">
        <f t="shared" si="22"/>
        <v>Underpaid</v>
      </c>
      <c r="V361" s="1" t="str">
        <f>_xlfn.XLOOKUP(C361,Payers!$A$2:$A$9,Payers!$B$2:$B$9)</f>
        <v>Sunshine Medicare Advantage</v>
      </c>
      <c r="W361" s="1" t="str">
        <f t="shared" si="23"/>
        <v>2026-05</v>
      </c>
    </row>
    <row r="362" spans="1:23">
      <c r="A362" s="1" t="s">
        <v>755</v>
      </c>
      <c r="B362" s="1" t="s">
        <v>756</v>
      </c>
      <c r="C362" s="1" t="s">
        <v>52</v>
      </c>
      <c r="D362" s="1" t="s">
        <v>19</v>
      </c>
      <c r="E362" s="1" t="s">
        <v>88</v>
      </c>
      <c r="F362">
        <v>1</v>
      </c>
      <c r="G362" s="2">
        <v>45986</v>
      </c>
      <c r="H362" s="2">
        <v>45990</v>
      </c>
      <c r="I362">
        <v>254.94</v>
      </c>
      <c r="J362">
        <v>133.9</v>
      </c>
      <c r="K362">
        <v>120.51</v>
      </c>
      <c r="L362">
        <v>13.39</v>
      </c>
      <c r="M362" s="1" t="s">
        <v>21</v>
      </c>
      <c r="N362" s="1" t="s">
        <v>22</v>
      </c>
      <c r="O362" s="2">
        <v>46045</v>
      </c>
      <c r="P362" s="2">
        <v>46045</v>
      </c>
      <c r="Q362">
        <f>_xlfn.XLOOKUP(E362,CPT!$A$2:$A$13,CPT!$D$2:$D$13)</f>
        <v>260</v>
      </c>
      <c r="R362" s="1">
        <f>_xlfn.XLOOKUP(C362,Contract!$A$2:$A$9,Contract!$B$2:$B$9)</f>
        <v>0.47</v>
      </c>
      <c r="S362" s="1">
        <f t="shared" si="20"/>
        <v>122.2</v>
      </c>
      <c r="T362" s="1">
        <f t="shared" si="21"/>
        <v>-11.700000000000003</v>
      </c>
      <c r="U362" s="1" t="str">
        <f t="shared" si="22"/>
        <v>OK</v>
      </c>
      <c r="V362" s="1" t="str">
        <f>_xlfn.XLOOKUP(C362,Payers!$A$2:$A$9,Payers!$B$2:$B$9)</f>
        <v>Keystone Commercial PPO</v>
      </c>
      <c r="W362" s="1" t="str">
        <f t="shared" si="23"/>
        <v>2025-11</v>
      </c>
    </row>
    <row r="363" spans="1:23">
      <c r="A363" s="1" t="s">
        <v>757</v>
      </c>
      <c r="B363" s="1" t="s">
        <v>758</v>
      </c>
      <c r="C363" s="1" t="s">
        <v>18</v>
      </c>
      <c r="D363" s="1" t="s">
        <v>30</v>
      </c>
      <c r="E363" s="1" t="s">
        <v>31</v>
      </c>
      <c r="F363">
        <v>3</v>
      </c>
      <c r="G363" s="2">
        <v>45940</v>
      </c>
      <c r="H363" s="2">
        <v>45947</v>
      </c>
      <c r="I363">
        <v>187.47</v>
      </c>
      <c r="J363">
        <v>65.3</v>
      </c>
      <c r="K363">
        <v>65.3</v>
      </c>
      <c r="L363">
        <v>0</v>
      </c>
      <c r="M363" s="1" t="s">
        <v>21</v>
      </c>
      <c r="N363" s="1" t="s">
        <v>22</v>
      </c>
      <c r="O363" s="2">
        <v>46013</v>
      </c>
      <c r="P363" s="2">
        <v>46013</v>
      </c>
      <c r="Q363">
        <f>_xlfn.XLOOKUP(E363,CPT!$A$2:$A$13,CPT!$D$2:$D$13)</f>
        <v>62</v>
      </c>
      <c r="R363" s="1">
        <f>_xlfn.XLOOKUP(C363,Contract!$A$2:$A$9,Contract!$B$2:$B$9)</f>
        <v>0.38</v>
      </c>
      <c r="S363" s="1">
        <f t="shared" si="20"/>
        <v>70.680000000000007</v>
      </c>
      <c r="T363" s="1">
        <f t="shared" si="21"/>
        <v>5.3800000000000097</v>
      </c>
      <c r="U363" s="1" t="str">
        <f t="shared" si="22"/>
        <v>Underpaid</v>
      </c>
      <c r="V363" s="1" t="str">
        <f>_xlfn.XLOOKUP(C363,Payers!$A$2:$A$9,Payers!$B$2:$B$9)</f>
        <v>Sunshine Medicare Advantage</v>
      </c>
      <c r="W363" s="1" t="str">
        <f t="shared" si="23"/>
        <v>2025-10</v>
      </c>
    </row>
    <row r="364" spans="1:23">
      <c r="A364" s="1" t="s">
        <v>759</v>
      </c>
      <c r="B364" s="1" t="s">
        <v>760</v>
      </c>
      <c r="C364" s="1" t="s">
        <v>52</v>
      </c>
      <c r="D364" s="1" t="s">
        <v>26</v>
      </c>
      <c r="E364" s="1" t="s">
        <v>27</v>
      </c>
      <c r="F364">
        <v>1</v>
      </c>
      <c r="G364" s="2">
        <v>46007</v>
      </c>
      <c r="H364" s="2">
        <v>46009</v>
      </c>
      <c r="I364">
        <v>238.07</v>
      </c>
      <c r="J364">
        <v>120.65</v>
      </c>
      <c r="K364">
        <v>120.65</v>
      </c>
      <c r="L364">
        <v>0</v>
      </c>
      <c r="M364" s="1" t="s">
        <v>21</v>
      </c>
      <c r="N364" s="1" t="s">
        <v>22</v>
      </c>
      <c r="O364" s="2">
        <v>46050</v>
      </c>
      <c r="P364" s="2">
        <v>46050</v>
      </c>
      <c r="Q364">
        <f>_xlfn.XLOOKUP(E364,CPT!$A$2:$A$13,CPT!$D$2:$D$13)</f>
        <v>240</v>
      </c>
      <c r="R364" s="1">
        <f>_xlfn.XLOOKUP(C364,Contract!$A$2:$A$9,Contract!$B$2:$B$9)</f>
        <v>0.47</v>
      </c>
      <c r="S364" s="1">
        <f t="shared" si="20"/>
        <v>112.8</v>
      </c>
      <c r="T364" s="1">
        <f t="shared" si="21"/>
        <v>-7.8500000000000085</v>
      </c>
      <c r="U364" s="1" t="str">
        <f t="shared" si="22"/>
        <v>OK</v>
      </c>
      <c r="V364" s="1" t="str">
        <f>_xlfn.XLOOKUP(C364,Payers!$A$2:$A$9,Payers!$B$2:$B$9)</f>
        <v>Keystone Commercial PPO</v>
      </c>
      <c r="W364" s="1" t="str">
        <f t="shared" si="23"/>
        <v>2025-12</v>
      </c>
    </row>
    <row r="365" spans="1:23">
      <c r="A365" s="1" t="s">
        <v>761</v>
      </c>
      <c r="B365" s="1" t="s">
        <v>762</v>
      </c>
      <c r="C365" s="1" t="s">
        <v>25</v>
      </c>
      <c r="D365" s="1" t="s">
        <v>19</v>
      </c>
      <c r="E365" s="1" t="s">
        <v>20</v>
      </c>
      <c r="F365">
        <v>1</v>
      </c>
      <c r="G365" s="2">
        <v>46245</v>
      </c>
      <c r="H365" s="2">
        <v>46251</v>
      </c>
      <c r="I365">
        <v>146.6</v>
      </c>
      <c r="J365">
        <v>47.18</v>
      </c>
      <c r="K365">
        <v>47.18</v>
      </c>
      <c r="L365">
        <v>0</v>
      </c>
      <c r="M365" s="1" t="s">
        <v>21</v>
      </c>
      <c r="N365" s="1" t="s">
        <v>22</v>
      </c>
      <c r="O365" s="2">
        <v>46274</v>
      </c>
      <c r="P365" s="2">
        <v>46274</v>
      </c>
      <c r="Q365">
        <f>_xlfn.XLOOKUP(E365,CPT!$A$2:$A$13,CPT!$D$2:$D$13)</f>
        <v>145</v>
      </c>
      <c r="R365" s="1">
        <f>_xlfn.XLOOKUP(C365,Contract!$A$2:$A$9,Contract!$B$2:$B$9)</f>
        <v>0.36</v>
      </c>
      <c r="S365" s="1">
        <f t="shared" si="20"/>
        <v>52.2</v>
      </c>
      <c r="T365" s="1">
        <f t="shared" si="21"/>
        <v>5.0200000000000031</v>
      </c>
      <c r="U365" s="1" t="str">
        <f t="shared" si="22"/>
        <v>Underpaid</v>
      </c>
      <c r="V365" s="1" t="str">
        <f>_xlfn.XLOOKUP(C365,Payers!$A$2:$A$9,Payers!$B$2:$B$9)</f>
        <v>Medicare Part B</v>
      </c>
      <c r="W365" s="1" t="str">
        <f t="shared" si="23"/>
        <v>2026-08</v>
      </c>
    </row>
    <row r="366" spans="1:23">
      <c r="A366" s="1" t="s">
        <v>763</v>
      </c>
      <c r="B366" s="1" t="s">
        <v>764</v>
      </c>
      <c r="C366" s="1" t="s">
        <v>60</v>
      </c>
      <c r="D366" s="1" t="s">
        <v>37</v>
      </c>
      <c r="E366" s="1" t="s">
        <v>48</v>
      </c>
      <c r="F366">
        <v>1</v>
      </c>
      <c r="G366" s="2">
        <v>46180</v>
      </c>
      <c r="H366" s="2">
        <v>46182</v>
      </c>
      <c r="I366">
        <v>413.24</v>
      </c>
      <c r="J366">
        <v>195.71</v>
      </c>
      <c r="K366">
        <v>156.57</v>
      </c>
      <c r="L366">
        <v>39.14</v>
      </c>
      <c r="M366" s="1" t="s">
        <v>21</v>
      </c>
      <c r="N366" s="1" t="s">
        <v>22</v>
      </c>
      <c r="O366" s="2">
        <v>46195</v>
      </c>
      <c r="P366" s="2">
        <v>46195</v>
      </c>
      <c r="Q366">
        <f>_xlfn.XLOOKUP(E366,CPT!$A$2:$A$13,CPT!$D$2:$D$13)</f>
        <v>420</v>
      </c>
      <c r="R366" s="1">
        <f>_xlfn.XLOOKUP(C366,Contract!$A$2:$A$9,Contract!$B$2:$B$9)</f>
        <v>0.45</v>
      </c>
      <c r="S366" s="1">
        <f t="shared" si="20"/>
        <v>189</v>
      </c>
      <c r="T366" s="1">
        <f t="shared" si="21"/>
        <v>-6.710000000000008</v>
      </c>
      <c r="U366" s="1" t="str">
        <f t="shared" si="22"/>
        <v>OK</v>
      </c>
      <c r="V366" s="1" t="str">
        <f>_xlfn.XLOOKUP(C366,Payers!$A$2:$A$9,Payers!$B$2:$B$9)</f>
        <v>Blue Horizon Commercial</v>
      </c>
      <c r="W366" s="1" t="str">
        <f t="shared" si="23"/>
        <v>2026-06</v>
      </c>
    </row>
    <row r="367" spans="1:23">
      <c r="A367" s="1" t="s">
        <v>765</v>
      </c>
      <c r="B367" s="1" t="s">
        <v>766</v>
      </c>
      <c r="C367" s="1" t="s">
        <v>60</v>
      </c>
      <c r="D367" s="1" t="s">
        <v>30</v>
      </c>
      <c r="E367" s="1" t="s">
        <v>31</v>
      </c>
      <c r="F367">
        <v>1</v>
      </c>
      <c r="G367" s="2">
        <v>46263</v>
      </c>
      <c r="H367" s="2">
        <v>46277</v>
      </c>
      <c r="I367">
        <v>60.52</v>
      </c>
      <c r="M367" s="1" t="s">
        <v>69</v>
      </c>
      <c r="N367" s="1" t="s">
        <v>22</v>
      </c>
      <c r="O367" s="2"/>
      <c r="P367" s="2"/>
      <c r="Q367">
        <f>_xlfn.XLOOKUP(E367,CPT!$A$2:$A$13,CPT!$D$2:$D$13)</f>
        <v>62</v>
      </c>
      <c r="R367" s="1">
        <f>_xlfn.XLOOKUP(C367,Contract!$A$2:$A$9,Contract!$B$2:$B$9)</f>
        <v>0.45</v>
      </c>
      <c r="S367" s="1">
        <f t="shared" si="20"/>
        <v>27.9</v>
      </c>
      <c r="T367" s="1" t="str">
        <f t="shared" si="21"/>
        <v/>
      </c>
      <c r="U367" s="1" t="str">
        <f t="shared" si="22"/>
        <v/>
      </c>
      <c r="V367" s="1" t="str">
        <f>_xlfn.XLOOKUP(C367,Payers!$A$2:$A$9,Payers!$B$2:$B$9)</f>
        <v>Blue Horizon Commercial</v>
      </c>
      <c r="W367" s="1" t="str">
        <f t="shared" si="23"/>
        <v>2026-08</v>
      </c>
    </row>
    <row r="368" spans="1:23">
      <c r="A368" s="1" t="s">
        <v>767</v>
      </c>
      <c r="B368" s="1" t="s">
        <v>768</v>
      </c>
      <c r="C368" s="1" t="s">
        <v>76</v>
      </c>
      <c r="D368" s="1" t="s">
        <v>19</v>
      </c>
      <c r="E368" s="1" t="s">
        <v>57</v>
      </c>
      <c r="F368">
        <v>1</v>
      </c>
      <c r="G368" s="2">
        <v>46124</v>
      </c>
      <c r="H368" s="2">
        <v>46129</v>
      </c>
      <c r="I368">
        <v>208.3</v>
      </c>
      <c r="J368">
        <v>89.51</v>
      </c>
      <c r="K368">
        <v>71.61</v>
      </c>
      <c r="L368">
        <v>17.899999999999999</v>
      </c>
      <c r="M368" s="1" t="s">
        <v>21</v>
      </c>
      <c r="N368" s="1" t="s">
        <v>22</v>
      </c>
      <c r="O368" s="2">
        <v>46146</v>
      </c>
      <c r="P368" s="2">
        <v>46146</v>
      </c>
      <c r="Q368">
        <f>_xlfn.XLOOKUP(E368,CPT!$A$2:$A$13,CPT!$D$2:$D$13)</f>
        <v>210</v>
      </c>
      <c r="R368" s="1">
        <f>_xlfn.XLOOKUP(C368,Contract!$A$2:$A$9,Contract!$B$2:$B$9)</f>
        <v>0.43</v>
      </c>
      <c r="S368" s="1">
        <f t="shared" si="20"/>
        <v>90.3</v>
      </c>
      <c r="T368" s="1">
        <f t="shared" si="21"/>
        <v>0.78999999999999204</v>
      </c>
      <c r="U368" s="1" t="str">
        <f t="shared" si="22"/>
        <v>OK</v>
      </c>
      <c r="V368" s="1" t="str">
        <f>_xlfn.XLOOKUP(C368,Payers!$A$2:$A$9,Payers!$B$2:$B$9)</f>
        <v>Summit Health Commercial</v>
      </c>
      <c r="W368" s="1" t="str">
        <f t="shared" si="23"/>
        <v>2026-04</v>
      </c>
    </row>
    <row r="369" spans="1:23">
      <c r="A369" s="1" t="s">
        <v>769</v>
      </c>
      <c r="B369" s="1" t="s">
        <v>136</v>
      </c>
      <c r="C369" s="1" t="s">
        <v>52</v>
      </c>
      <c r="D369" s="1" t="s">
        <v>30</v>
      </c>
      <c r="E369" s="1" t="s">
        <v>91</v>
      </c>
      <c r="F369">
        <v>3</v>
      </c>
      <c r="G369" s="2">
        <v>46177</v>
      </c>
      <c r="H369" s="2">
        <v>46186</v>
      </c>
      <c r="I369">
        <v>168.85</v>
      </c>
      <c r="J369">
        <v>80.14</v>
      </c>
      <c r="K369">
        <v>72.13</v>
      </c>
      <c r="L369">
        <v>8.01</v>
      </c>
      <c r="M369" s="1" t="s">
        <v>21</v>
      </c>
      <c r="N369" s="1" t="s">
        <v>22</v>
      </c>
      <c r="O369" s="2">
        <v>46251</v>
      </c>
      <c r="P369" s="2">
        <v>46251</v>
      </c>
      <c r="Q369">
        <f>_xlfn.XLOOKUP(E369,CPT!$A$2:$A$13,CPT!$D$2:$D$13)</f>
        <v>58</v>
      </c>
      <c r="R369" s="1">
        <f>_xlfn.XLOOKUP(C369,Contract!$A$2:$A$9,Contract!$B$2:$B$9)</f>
        <v>0.47</v>
      </c>
      <c r="S369" s="1">
        <f t="shared" si="20"/>
        <v>81.78</v>
      </c>
      <c r="T369" s="1">
        <f t="shared" si="21"/>
        <v>1.6400000000000006</v>
      </c>
      <c r="U369" s="1" t="str">
        <f t="shared" si="22"/>
        <v>OK</v>
      </c>
      <c r="V369" s="1" t="str">
        <f>_xlfn.XLOOKUP(C369,Payers!$A$2:$A$9,Payers!$B$2:$B$9)</f>
        <v>Keystone Commercial PPO</v>
      </c>
      <c r="W369" s="1" t="str">
        <f t="shared" si="23"/>
        <v>2026-06</v>
      </c>
    </row>
    <row r="370" spans="1:23">
      <c r="A370" s="1" t="s">
        <v>770</v>
      </c>
      <c r="B370" s="1" t="s">
        <v>578</v>
      </c>
      <c r="C370" s="1" t="s">
        <v>76</v>
      </c>
      <c r="D370" s="1" t="s">
        <v>26</v>
      </c>
      <c r="E370" s="1" t="s">
        <v>57</v>
      </c>
      <c r="F370">
        <v>1</v>
      </c>
      <c r="G370" s="2">
        <v>45991</v>
      </c>
      <c r="H370" s="2">
        <v>45994</v>
      </c>
      <c r="I370">
        <v>212.03</v>
      </c>
      <c r="J370">
        <v>79.739999999999995</v>
      </c>
      <c r="K370">
        <v>79.739999999999995</v>
      </c>
      <c r="L370">
        <v>0</v>
      </c>
      <c r="M370" s="1" t="s">
        <v>21</v>
      </c>
      <c r="N370" s="1" t="s">
        <v>22</v>
      </c>
      <c r="O370" s="2">
        <v>46021</v>
      </c>
      <c r="P370" s="2">
        <v>46021</v>
      </c>
      <c r="Q370">
        <f>_xlfn.XLOOKUP(E370,CPT!$A$2:$A$13,CPT!$D$2:$D$13)</f>
        <v>210</v>
      </c>
      <c r="R370" s="1">
        <f>_xlfn.XLOOKUP(C370,Contract!$A$2:$A$9,Contract!$B$2:$B$9)</f>
        <v>0.43</v>
      </c>
      <c r="S370" s="1">
        <f t="shared" si="20"/>
        <v>90.3</v>
      </c>
      <c r="T370" s="1">
        <f t="shared" si="21"/>
        <v>10.560000000000002</v>
      </c>
      <c r="U370" s="1" t="str">
        <f t="shared" si="22"/>
        <v>Underpaid</v>
      </c>
      <c r="V370" s="1" t="str">
        <f>_xlfn.XLOOKUP(C370,Payers!$A$2:$A$9,Payers!$B$2:$B$9)</f>
        <v>Summit Health Commercial</v>
      </c>
      <c r="W370" s="1" t="str">
        <f t="shared" si="23"/>
        <v>2025-11</v>
      </c>
    </row>
    <row r="371" spans="1:23">
      <c r="A371" s="1" t="s">
        <v>771</v>
      </c>
      <c r="B371" s="1" t="s">
        <v>772</v>
      </c>
      <c r="C371" s="1" t="s">
        <v>76</v>
      </c>
      <c r="D371" s="1" t="s">
        <v>30</v>
      </c>
      <c r="E371" s="1" t="s">
        <v>31</v>
      </c>
      <c r="F371">
        <v>3</v>
      </c>
      <c r="G371" s="2">
        <v>45996</v>
      </c>
      <c r="H371" s="2">
        <v>45997</v>
      </c>
      <c r="I371">
        <v>187.03</v>
      </c>
      <c r="J371">
        <v>71.17</v>
      </c>
      <c r="K371">
        <v>71.17</v>
      </c>
      <c r="L371">
        <v>0</v>
      </c>
      <c r="M371" s="1" t="s">
        <v>21</v>
      </c>
      <c r="N371" s="1" t="s">
        <v>22</v>
      </c>
      <c r="O371" s="2">
        <v>46019</v>
      </c>
      <c r="P371" s="2">
        <v>46019</v>
      </c>
      <c r="Q371">
        <f>_xlfn.XLOOKUP(E371,CPT!$A$2:$A$13,CPT!$D$2:$D$13)</f>
        <v>62</v>
      </c>
      <c r="R371" s="1">
        <f>_xlfn.XLOOKUP(C371,Contract!$A$2:$A$9,Contract!$B$2:$B$9)</f>
        <v>0.43</v>
      </c>
      <c r="S371" s="1">
        <f t="shared" si="20"/>
        <v>79.98</v>
      </c>
      <c r="T371" s="1">
        <f t="shared" si="21"/>
        <v>8.8100000000000023</v>
      </c>
      <c r="U371" s="1" t="str">
        <f t="shared" si="22"/>
        <v>Underpaid</v>
      </c>
      <c r="V371" s="1" t="str">
        <f>_xlfn.XLOOKUP(C371,Payers!$A$2:$A$9,Payers!$B$2:$B$9)</f>
        <v>Summit Health Commercial</v>
      </c>
      <c r="W371" s="1" t="str">
        <f t="shared" si="23"/>
        <v>2025-12</v>
      </c>
    </row>
    <row r="372" spans="1:23">
      <c r="A372" s="1" t="s">
        <v>773</v>
      </c>
      <c r="B372" s="1" t="s">
        <v>774</v>
      </c>
      <c r="C372" s="1" t="s">
        <v>79</v>
      </c>
      <c r="D372" s="1" t="s">
        <v>30</v>
      </c>
      <c r="E372" s="1" t="s">
        <v>20</v>
      </c>
      <c r="F372">
        <v>1</v>
      </c>
      <c r="G372" s="2">
        <v>46237</v>
      </c>
      <c r="H372" s="2">
        <v>46242</v>
      </c>
      <c r="I372">
        <v>149.08000000000001</v>
      </c>
      <c r="M372" s="1" t="s">
        <v>69</v>
      </c>
      <c r="N372" s="1" t="s">
        <v>22</v>
      </c>
      <c r="O372" s="2"/>
      <c r="P372" s="2"/>
      <c r="Q372">
        <f>_xlfn.XLOOKUP(E372,CPT!$A$2:$A$13,CPT!$D$2:$D$13)</f>
        <v>145</v>
      </c>
      <c r="R372" s="1">
        <f>_xlfn.XLOOKUP(C372,Contract!$A$2:$A$9,Contract!$B$2:$B$9)</f>
        <v>1</v>
      </c>
      <c r="S372" s="1">
        <f t="shared" si="20"/>
        <v>145</v>
      </c>
      <c r="T372" s="1" t="str">
        <f t="shared" si="21"/>
        <v/>
      </c>
      <c r="U372" s="1" t="str">
        <f t="shared" si="22"/>
        <v/>
      </c>
      <c r="V372" s="1" t="str">
        <f>_xlfn.XLOOKUP(C372,Payers!$A$2:$A$9,Payers!$B$2:$B$9)</f>
        <v>Self-Pay</v>
      </c>
      <c r="W372" s="1" t="str">
        <f t="shared" si="23"/>
        <v>2026-08</v>
      </c>
    </row>
    <row r="373" spans="1:23">
      <c r="A373" s="1" t="s">
        <v>775</v>
      </c>
      <c r="B373" s="1" t="s">
        <v>776</v>
      </c>
      <c r="C373" s="1" t="s">
        <v>47</v>
      </c>
      <c r="D373" s="1" t="s">
        <v>19</v>
      </c>
      <c r="E373" s="1" t="s">
        <v>41</v>
      </c>
      <c r="F373">
        <v>1</v>
      </c>
      <c r="G373" s="2">
        <v>46018</v>
      </c>
      <c r="H373" s="2">
        <v>46021</v>
      </c>
      <c r="I373">
        <v>37.36</v>
      </c>
      <c r="M373" s="1" t="s">
        <v>32</v>
      </c>
      <c r="N373" s="1" t="s">
        <v>98</v>
      </c>
      <c r="O373" s="2">
        <v>46041</v>
      </c>
      <c r="P373" s="2"/>
      <c r="Q373">
        <f>_xlfn.XLOOKUP(E373,CPT!$A$2:$A$13,CPT!$D$2:$D$13)</f>
        <v>38</v>
      </c>
      <c r="R373" s="1">
        <f>_xlfn.XLOOKUP(C373,Contract!$A$2:$A$9,Contract!$B$2:$B$9)</f>
        <v>0.28000000000000003</v>
      </c>
      <c r="S373" s="1">
        <f t="shared" si="20"/>
        <v>10.64</v>
      </c>
      <c r="T373" s="1" t="str">
        <f t="shared" si="21"/>
        <v/>
      </c>
      <c r="U373" s="1" t="str">
        <f t="shared" si="22"/>
        <v/>
      </c>
      <c r="V373" s="1" t="str">
        <f>_xlfn.XLOOKUP(C373,Payers!$A$2:$A$9,Payers!$B$2:$B$9)</f>
        <v>Coastal Medicaid MCO</v>
      </c>
      <c r="W373" s="1" t="str">
        <f t="shared" si="23"/>
        <v>2025-12</v>
      </c>
    </row>
    <row r="374" spans="1:23">
      <c r="A374" s="1" t="s">
        <v>777</v>
      </c>
      <c r="B374" s="1" t="s">
        <v>778</v>
      </c>
      <c r="C374" s="1" t="s">
        <v>18</v>
      </c>
      <c r="D374" s="1" t="s">
        <v>26</v>
      </c>
      <c r="E374" s="1" t="s">
        <v>41</v>
      </c>
      <c r="F374">
        <v>1</v>
      </c>
      <c r="G374" s="2">
        <v>46163</v>
      </c>
      <c r="H374" s="2">
        <v>46164</v>
      </c>
      <c r="I374">
        <v>38.22</v>
      </c>
      <c r="J374">
        <v>12.95</v>
      </c>
      <c r="K374">
        <v>10.36</v>
      </c>
      <c r="L374">
        <v>2.59</v>
      </c>
      <c r="M374" s="1" t="s">
        <v>21</v>
      </c>
      <c r="N374" s="1" t="s">
        <v>22</v>
      </c>
      <c r="O374" s="2">
        <v>46234</v>
      </c>
      <c r="P374" s="2">
        <v>46234</v>
      </c>
      <c r="Q374">
        <f>_xlfn.XLOOKUP(E374,CPT!$A$2:$A$13,CPT!$D$2:$D$13)</f>
        <v>38</v>
      </c>
      <c r="R374" s="1">
        <f>_xlfn.XLOOKUP(C374,Contract!$A$2:$A$9,Contract!$B$2:$B$9)</f>
        <v>0.38</v>
      </c>
      <c r="S374" s="1">
        <f t="shared" si="20"/>
        <v>14.44</v>
      </c>
      <c r="T374" s="1">
        <f t="shared" si="21"/>
        <v>1.4900000000000002</v>
      </c>
      <c r="U374" s="1" t="str">
        <f t="shared" si="22"/>
        <v>Underpaid</v>
      </c>
      <c r="V374" s="1" t="str">
        <f>_xlfn.XLOOKUP(C374,Payers!$A$2:$A$9,Payers!$B$2:$B$9)</f>
        <v>Sunshine Medicare Advantage</v>
      </c>
      <c r="W374" s="1" t="str">
        <f t="shared" si="23"/>
        <v>2026-05</v>
      </c>
    </row>
    <row r="375" spans="1:23">
      <c r="A375" s="1" t="s">
        <v>779</v>
      </c>
      <c r="B375" s="1" t="s">
        <v>780</v>
      </c>
      <c r="C375" s="1" t="s">
        <v>60</v>
      </c>
      <c r="D375" s="1" t="s">
        <v>26</v>
      </c>
      <c r="E375" s="1" t="s">
        <v>88</v>
      </c>
      <c r="F375">
        <v>1</v>
      </c>
      <c r="G375" s="2">
        <v>46245</v>
      </c>
      <c r="H375" s="2">
        <v>46254</v>
      </c>
      <c r="I375">
        <v>261.56</v>
      </c>
      <c r="J375">
        <v>126.94</v>
      </c>
      <c r="K375">
        <v>126.94</v>
      </c>
      <c r="L375">
        <v>0</v>
      </c>
      <c r="M375" s="1" t="s">
        <v>21</v>
      </c>
      <c r="N375" s="1" t="s">
        <v>22</v>
      </c>
      <c r="O375" s="2">
        <v>46283</v>
      </c>
      <c r="P375" s="2">
        <v>46283</v>
      </c>
      <c r="Q375">
        <f>_xlfn.XLOOKUP(E375,CPT!$A$2:$A$13,CPT!$D$2:$D$13)</f>
        <v>260</v>
      </c>
      <c r="R375" s="1">
        <f>_xlfn.XLOOKUP(C375,Contract!$A$2:$A$9,Contract!$B$2:$B$9)</f>
        <v>0.45</v>
      </c>
      <c r="S375" s="1">
        <f t="shared" si="20"/>
        <v>117</v>
      </c>
      <c r="T375" s="1">
        <f t="shared" si="21"/>
        <v>-9.9399999999999977</v>
      </c>
      <c r="U375" s="1" t="str">
        <f t="shared" si="22"/>
        <v>OK</v>
      </c>
      <c r="V375" s="1" t="str">
        <f>_xlfn.XLOOKUP(C375,Payers!$A$2:$A$9,Payers!$B$2:$B$9)</f>
        <v>Blue Horizon Commercial</v>
      </c>
      <c r="W375" s="1" t="str">
        <f t="shared" si="23"/>
        <v>2026-08</v>
      </c>
    </row>
    <row r="376" spans="1:23">
      <c r="A376" s="1" t="s">
        <v>781</v>
      </c>
      <c r="B376" s="1" t="s">
        <v>782</v>
      </c>
      <c r="C376" s="1" t="s">
        <v>25</v>
      </c>
      <c r="D376" s="1" t="s">
        <v>37</v>
      </c>
      <c r="E376" s="1" t="s">
        <v>57</v>
      </c>
      <c r="F376">
        <v>1</v>
      </c>
      <c r="G376" s="2">
        <v>45931</v>
      </c>
      <c r="H376" s="2">
        <v>45937</v>
      </c>
      <c r="I376">
        <v>215</v>
      </c>
      <c r="J376">
        <v>77.930000000000007</v>
      </c>
      <c r="K376">
        <v>62.34</v>
      </c>
      <c r="L376">
        <v>15.59</v>
      </c>
      <c r="M376" s="1" t="s">
        <v>21</v>
      </c>
      <c r="N376" s="1" t="s">
        <v>22</v>
      </c>
      <c r="O376" s="2">
        <v>45953</v>
      </c>
      <c r="P376" s="2">
        <v>45953</v>
      </c>
      <c r="Q376">
        <f>_xlfn.XLOOKUP(E376,CPT!$A$2:$A$13,CPT!$D$2:$D$13)</f>
        <v>210</v>
      </c>
      <c r="R376" s="1">
        <f>_xlfn.XLOOKUP(C376,Contract!$A$2:$A$9,Contract!$B$2:$B$9)</f>
        <v>0.36</v>
      </c>
      <c r="S376" s="1">
        <f t="shared" si="20"/>
        <v>75.599999999999994</v>
      </c>
      <c r="T376" s="1">
        <f t="shared" si="21"/>
        <v>-2.3300000000000125</v>
      </c>
      <c r="U376" s="1" t="str">
        <f t="shared" si="22"/>
        <v>OK</v>
      </c>
      <c r="V376" s="1" t="str">
        <f>_xlfn.XLOOKUP(C376,Payers!$A$2:$A$9,Payers!$B$2:$B$9)</f>
        <v>Medicare Part B</v>
      </c>
      <c r="W376" s="1" t="str">
        <f t="shared" si="23"/>
        <v>2025-10</v>
      </c>
    </row>
    <row r="377" spans="1:23">
      <c r="A377" s="1" t="s">
        <v>783</v>
      </c>
      <c r="B377" s="1" t="s">
        <v>784</v>
      </c>
      <c r="C377" s="1" t="s">
        <v>36</v>
      </c>
      <c r="D377" s="1" t="s">
        <v>30</v>
      </c>
      <c r="E377" s="1" t="s">
        <v>91</v>
      </c>
      <c r="F377">
        <v>1</v>
      </c>
      <c r="G377" s="2">
        <v>46126</v>
      </c>
      <c r="H377" s="2">
        <v>46132</v>
      </c>
      <c r="I377">
        <v>58.31</v>
      </c>
      <c r="J377">
        <v>13.77</v>
      </c>
      <c r="K377">
        <v>13.77</v>
      </c>
      <c r="L377">
        <v>0</v>
      </c>
      <c r="M377" s="1" t="s">
        <v>21</v>
      </c>
      <c r="N377" s="1" t="s">
        <v>22</v>
      </c>
      <c r="O377" s="2">
        <v>46174</v>
      </c>
      <c r="P377" s="2">
        <v>46174</v>
      </c>
      <c r="Q377">
        <f>_xlfn.XLOOKUP(E377,CPT!$A$2:$A$13,CPT!$D$2:$D$13)</f>
        <v>58</v>
      </c>
      <c r="R377" s="1">
        <f>_xlfn.XLOOKUP(C377,Contract!$A$2:$A$9,Contract!$B$2:$B$9)</f>
        <v>0.27</v>
      </c>
      <c r="S377" s="1">
        <f t="shared" si="20"/>
        <v>15.66</v>
      </c>
      <c r="T377" s="1">
        <f t="shared" si="21"/>
        <v>1.8900000000000006</v>
      </c>
      <c r="U377" s="1" t="str">
        <f t="shared" si="22"/>
        <v>Underpaid</v>
      </c>
      <c r="V377" s="1" t="str">
        <f>_xlfn.XLOOKUP(C377,Payers!$A$2:$A$9,Payers!$B$2:$B$9)</f>
        <v>Florida Medicaid</v>
      </c>
      <c r="W377" s="1" t="str">
        <f t="shared" si="23"/>
        <v>2026-04</v>
      </c>
    </row>
    <row r="378" spans="1:23">
      <c r="A378" s="1" t="s">
        <v>785</v>
      </c>
      <c r="B378" s="1" t="s">
        <v>786</v>
      </c>
      <c r="C378" s="1" t="s">
        <v>47</v>
      </c>
      <c r="D378" s="1" t="s">
        <v>19</v>
      </c>
      <c r="E378" s="1" t="s">
        <v>57</v>
      </c>
      <c r="F378">
        <v>1</v>
      </c>
      <c r="G378" s="2">
        <v>45973</v>
      </c>
      <c r="H378" s="2">
        <v>45982</v>
      </c>
      <c r="I378">
        <v>207.27</v>
      </c>
      <c r="J378">
        <v>52.23</v>
      </c>
      <c r="K378">
        <v>52.23</v>
      </c>
      <c r="L378">
        <v>0</v>
      </c>
      <c r="M378" s="1" t="s">
        <v>21</v>
      </c>
      <c r="N378" s="1" t="s">
        <v>22</v>
      </c>
      <c r="O378" s="2">
        <v>46034</v>
      </c>
      <c r="P378" s="2">
        <v>46034</v>
      </c>
      <c r="Q378">
        <f>_xlfn.XLOOKUP(E378,CPT!$A$2:$A$13,CPT!$D$2:$D$13)</f>
        <v>210</v>
      </c>
      <c r="R378" s="1">
        <f>_xlfn.XLOOKUP(C378,Contract!$A$2:$A$9,Contract!$B$2:$B$9)</f>
        <v>0.28000000000000003</v>
      </c>
      <c r="S378" s="1">
        <f t="shared" si="20"/>
        <v>58.8</v>
      </c>
      <c r="T378" s="1">
        <f t="shared" si="21"/>
        <v>6.57</v>
      </c>
      <c r="U378" s="1" t="str">
        <f t="shared" si="22"/>
        <v>Underpaid</v>
      </c>
      <c r="V378" s="1" t="str">
        <f>_xlfn.XLOOKUP(C378,Payers!$A$2:$A$9,Payers!$B$2:$B$9)</f>
        <v>Coastal Medicaid MCO</v>
      </c>
      <c r="W378" s="1" t="str">
        <f t="shared" si="23"/>
        <v>2025-11</v>
      </c>
    </row>
    <row r="379" spans="1:23">
      <c r="A379" s="1" t="s">
        <v>787</v>
      </c>
      <c r="B379" s="1" t="s">
        <v>788</v>
      </c>
      <c r="C379" s="1" t="s">
        <v>60</v>
      </c>
      <c r="D379" s="1" t="s">
        <v>26</v>
      </c>
      <c r="E379" s="1" t="s">
        <v>41</v>
      </c>
      <c r="F379">
        <v>1</v>
      </c>
      <c r="G379" s="2">
        <v>46092</v>
      </c>
      <c r="H379" s="2">
        <v>46093</v>
      </c>
      <c r="I379">
        <v>37.79</v>
      </c>
      <c r="J379">
        <v>17.46</v>
      </c>
      <c r="K379">
        <v>15.71</v>
      </c>
      <c r="L379">
        <v>1.75</v>
      </c>
      <c r="M379" s="1" t="s">
        <v>21</v>
      </c>
      <c r="N379" s="1" t="s">
        <v>22</v>
      </c>
      <c r="O379" s="2">
        <v>46106</v>
      </c>
      <c r="P379" s="2">
        <v>46106</v>
      </c>
      <c r="Q379">
        <f>_xlfn.XLOOKUP(E379,CPT!$A$2:$A$13,CPT!$D$2:$D$13)</f>
        <v>38</v>
      </c>
      <c r="R379" s="1">
        <f>_xlfn.XLOOKUP(C379,Contract!$A$2:$A$9,Contract!$B$2:$B$9)</f>
        <v>0.45</v>
      </c>
      <c r="S379" s="1">
        <f t="shared" si="20"/>
        <v>17.100000000000001</v>
      </c>
      <c r="T379" s="1">
        <f t="shared" si="21"/>
        <v>-0.35999999999999943</v>
      </c>
      <c r="U379" s="1" t="str">
        <f t="shared" si="22"/>
        <v>OK</v>
      </c>
      <c r="V379" s="1" t="str">
        <f>_xlfn.XLOOKUP(C379,Payers!$A$2:$A$9,Payers!$B$2:$B$9)</f>
        <v>Blue Horizon Commercial</v>
      </c>
      <c r="W379" s="1" t="str">
        <f t="shared" si="23"/>
        <v>2026-03</v>
      </c>
    </row>
    <row r="380" spans="1:23">
      <c r="A380" s="1" t="s">
        <v>789</v>
      </c>
      <c r="B380" s="1" t="s">
        <v>790</v>
      </c>
      <c r="C380" s="1" t="s">
        <v>25</v>
      </c>
      <c r="D380" s="1" t="s">
        <v>19</v>
      </c>
      <c r="E380" s="1" t="s">
        <v>88</v>
      </c>
      <c r="F380">
        <v>1</v>
      </c>
      <c r="G380" s="2">
        <v>46279</v>
      </c>
      <c r="H380" s="2">
        <v>46280</v>
      </c>
      <c r="I380">
        <v>258.39999999999998</v>
      </c>
      <c r="M380" s="1" t="s">
        <v>69</v>
      </c>
      <c r="N380" s="1" t="s">
        <v>22</v>
      </c>
      <c r="O380" s="2"/>
      <c r="P380" s="2"/>
      <c r="Q380">
        <f>_xlfn.XLOOKUP(E380,CPT!$A$2:$A$13,CPT!$D$2:$D$13)</f>
        <v>260</v>
      </c>
      <c r="R380" s="1">
        <f>_xlfn.XLOOKUP(C380,Contract!$A$2:$A$9,Contract!$B$2:$B$9)</f>
        <v>0.36</v>
      </c>
      <c r="S380" s="1">
        <f t="shared" si="20"/>
        <v>93.6</v>
      </c>
      <c r="T380" s="1" t="str">
        <f t="shared" si="21"/>
        <v/>
      </c>
      <c r="U380" s="1" t="str">
        <f t="shared" si="22"/>
        <v/>
      </c>
      <c r="V380" s="1" t="str">
        <f>_xlfn.XLOOKUP(C380,Payers!$A$2:$A$9,Payers!$B$2:$B$9)</f>
        <v>Medicare Part B</v>
      </c>
      <c r="W380" s="1" t="str">
        <f t="shared" si="23"/>
        <v>2026-09</v>
      </c>
    </row>
    <row r="381" spans="1:23">
      <c r="A381" s="1" t="s">
        <v>791</v>
      </c>
      <c r="B381" s="1" t="s">
        <v>792</v>
      </c>
      <c r="C381" s="1" t="s">
        <v>25</v>
      </c>
      <c r="D381" s="1" t="s">
        <v>26</v>
      </c>
      <c r="E381" s="1" t="s">
        <v>185</v>
      </c>
      <c r="F381">
        <v>1</v>
      </c>
      <c r="G381" s="2">
        <v>46292</v>
      </c>
      <c r="H381" s="2">
        <v>46293</v>
      </c>
      <c r="I381">
        <v>1142.97</v>
      </c>
      <c r="M381" s="1" t="s">
        <v>69</v>
      </c>
      <c r="N381" s="1" t="s">
        <v>22</v>
      </c>
      <c r="O381" s="2"/>
      <c r="P381" s="2"/>
      <c r="Q381">
        <f>_xlfn.XLOOKUP(E381,CPT!$A$2:$A$13,CPT!$D$2:$D$13)</f>
        <v>1150</v>
      </c>
      <c r="R381" s="1">
        <f>_xlfn.XLOOKUP(C381,Contract!$A$2:$A$9,Contract!$B$2:$B$9)</f>
        <v>0.36</v>
      </c>
      <c r="S381" s="1">
        <f t="shared" si="20"/>
        <v>414</v>
      </c>
      <c r="T381" s="1" t="str">
        <f t="shared" si="21"/>
        <v/>
      </c>
      <c r="U381" s="1" t="str">
        <f t="shared" si="22"/>
        <v/>
      </c>
      <c r="V381" s="1" t="str">
        <f>_xlfn.XLOOKUP(C381,Payers!$A$2:$A$9,Payers!$B$2:$B$9)</f>
        <v>Medicare Part B</v>
      </c>
      <c r="W381" s="1" t="str">
        <f t="shared" si="23"/>
        <v>2026-09</v>
      </c>
    </row>
    <row r="382" spans="1:23">
      <c r="A382" s="1" t="s">
        <v>793</v>
      </c>
      <c r="B382" s="1" t="s">
        <v>221</v>
      </c>
      <c r="C382" s="1" t="s">
        <v>60</v>
      </c>
      <c r="D382" s="1" t="s">
        <v>19</v>
      </c>
      <c r="E382" s="1" t="s">
        <v>57</v>
      </c>
      <c r="F382">
        <v>1</v>
      </c>
      <c r="G382" s="2">
        <v>46191</v>
      </c>
      <c r="H382" s="2">
        <v>46193</v>
      </c>
      <c r="I382">
        <v>208.75</v>
      </c>
      <c r="J382">
        <v>99.7</v>
      </c>
      <c r="K382">
        <v>99.7</v>
      </c>
      <c r="L382">
        <v>0</v>
      </c>
      <c r="M382" s="1" t="s">
        <v>21</v>
      </c>
      <c r="N382" s="1" t="s">
        <v>22</v>
      </c>
      <c r="O382" s="2">
        <v>46219</v>
      </c>
      <c r="P382" s="2">
        <v>46219</v>
      </c>
      <c r="Q382">
        <f>_xlfn.XLOOKUP(E382,CPT!$A$2:$A$13,CPT!$D$2:$D$13)</f>
        <v>210</v>
      </c>
      <c r="R382" s="1">
        <f>_xlfn.XLOOKUP(C382,Contract!$A$2:$A$9,Contract!$B$2:$B$9)</f>
        <v>0.45</v>
      </c>
      <c r="S382" s="1">
        <f t="shared" si="20"/>
        <v>94.5</v>
      </c>
      <c r="T382" s="1">
        <f t="shared" si="21"/>
        <v>-5.2000000000000028</v>
      </c>
      <c r="U382" s="1" t="str">
        <f t="shared" si="22"/>
        <v>OK</v>
      </c>
      <c r="V382" s="1" t="str">
        <f>_xlfn.XLOOKUP(C382,Payers!$A$2:$A$9,Payers!$B$2:$B$9)</f>
        <v>Blue Horizon Commercial</v>
      </c>
      <c r="W382" s="1" t="str">
        <f t="shared" si="23"/>
        <v>2026-06</v>
      </c>
    </row>
    <row r="383" spans="1:23">
      <c r="A383" s="1" t="s">
        <v>794</v>
      </c>
      <c r="B383" s="1" t="s">
        <v>795</v>
      </c>
      <c r="C383" s="1" t="s">
        <v>52</v>
      </c>
      <c r="D383" s="1" t="s">
        <v>26</v>
      </c>
      <c r="E383" s="1" t="s">
        <v>57</v>
      </c>
      <c r="F383">
        <v>1</v>
      </c>
      <c r="G383" s="2">
        <v>46238</v>
      </c>
      <c r="H383" s="2">
        <v>46239</v>
      </c>
      <c r="I383">
        <v>209.19</v>
      </c>
      <c r="J383">
        <v>85.93</v>
      </c>
      <c r="K383">
        <v>85.93</v>
      </c>
      <c r="L383">
        <v>0</v>
      </c>
      <c r="M383" s="1" t="s">
        <v>21</v>
      </c>
      <c r="N383" s="1" t="s">
        <v>22</v>
      </c>
      <c r="O383" s="2">
        <v>46276</v>
      </c>
      <c r="P383" s="2">
        <v>46276</v>
      </c>
      <c r="Q383">
        <f>_xlfn.XLOOKUP(E383,CPT!$A$2:$A$13,CPT!$D$2:$D$13)</f>
        <v>210</v>
      </c>
      <c r="R383" s="1">
        <f>_xlfn.XLOOKUP(C383,Contract!$A$2:$A$9,Contract!$B$2:$B$9)</f>
        <v>0.47</v>
      </c>
      <c r="S383" s="1">
        <f t="shared" si="20"/>
        <v>98.7</v>
      </c>
      <c r="T383" s="1">
        <f t="shared" si="21"/>
        <v>12.769999999999996</v>
      </c>
      <c r="U383" s="1" t="str">
        <f t="shared" si="22"/>
        <v>Underpaid</v>
      </c>
      <c r="V383" s="1" t="str">
        <f>_xlfn.XLOOKUP(C383,Payers!$A$2:$A$9,Payers!$B$2:$B$9)</f>
        <v>Keystone Commercial PPO</v>
      </c>
      <c r="W383" s="1" t="str">
        <f t="shared" si="23"/>
        <v>2026-08</v>
      </c>
    </row>
    <row r="384" spans="1:23">
      <c r="A384" s="1" t="s">
        <v>796</v>
      </c>
      <c r="B384" s="1" t="s">
        <v>797</v>
      </c>
      <c r="C384" s="1" t="s">
        <v>25</v>
      </c>
      <c r="D384" s="1" t="s">
        <v>19</v>
      </c>
      <c r="E384" s="1" t="s">
        <v>41</v>
      </c>
      <c r="F384">
        <v>1</v>
      </c>
      <c r="G384" s="2">
        <v>46197</v>
      </c>
      <c r="H384" s="2">
        <v>46211</v>
      </c>
      <c r="I384">
        <v>37.51</v>
      </c>
      <c r="M384" s="1" t="s">
        <v>32</v>
      </c>
      <c r="N384" s="1" t="s">
        <v>168</v>
      </c>
      <c r="O384" s="2">
        <v>46228</v>
      </c>
      <c r="P384" s="2"/>
      <c r="Q384">
        <f>_xlfn.XLOOKUP(E384,CPT!$A$2:$A$13,CPT!$D$2:$D$13)</f>
        <v>38</v>
      </c>
      <c r="R384" s="1">
        <f>_xlfn.XLOOKUP(C384,Contract!$A$2:$A$9,Contract!$B$2:$B$9)</f>
        <v>0.36</v>
      </c>
      <c r="S384" s="1">
        <f t="shared" si="20"/>
        <v>13.68</v>
      </c>
      <c r="T384" s="1" t="str">
        <f t="shared" si="21"/>
        <v/>
      </c>
      <c r="U384" s="1" t="str">
        <f t="shared" si="22"/>
        <v/>
      </c>
      <c r="V384" s="1" t="str">
        <f>_xlfn.XLOOKUP(C384,Payers!$A$2:$A$9,Payers!$B$2:$B$9)</f>
        <v>Medicare Part B</v>
      </c>
      <c r="W384" s="1" t="str">
        <f t="shared" si="23"/>
        <v>2026-06</v>
      </c>
    </row>
    <row r="385" spans="1:23">
      <c r="A385" s="1" t="s">
        <v>798</v>
      </c>
      <c r="B385" s="1" t="s">
        <v>799</v>
      </c>
      <c r="C385" s="1" t="s">
        <v>60</v>
      </c>
      <c r="D385" s="1" t="s">
        <v>30</v>
      </c>
      <c r="E385" s="1" t="s">
        <v>91</v>
      </c>
      <c r="F385">
        <v>3</v>
      </c>
      <c r="G385" s="2">
        <v>46237</v>
      </c>
      <c r="H385" s="2">
        <v>46239</v>
      </c>
      <c r="I385">
        <v>174.17</v>
      </c>
      <c r="M385" s="1" t="s">
        <v>32</v>
      </c>
      <c r="N385" s="1" t="s">
        <v>33</v>
      </c>
      <c r="O385" s="2">
        <v>46267</v>
      </c>
      <c r="P385" s="2"/>
      <c r="Q385">
        <f>_xlfn.XLOOKUP(E385,CPT!$A$2:$A$13,CPT!$D$2:$D$13)</f>
        <v>58</v>
      </c>
      <c r="R385" s="1">
        <f>_xlfn.XLOOKUP(C385,Contract!$A$2:$A$9,Contract!$B$2:$B$9)</f>
        <v>0.45</v>
      </c>
      <c r="S385" s="1">
        <f t="shared" si="20"/>
        <v>78.3</v>
      </c>
      <c r="T385" s="1" t="str">
        <f t="shared" si="21"/>
        <v/>
      </c>
      <c r="U385" s="1" t="str">
        <f t="shared" si="22"/>
        <v/>
      </c>
      <c r="V385" s="1" t="str">
        <f>_xlfn.XLOOKUP(C385,Payers!$A$2:$A$9,Payers!$B$2:$B$9)</f>
        <v>Blue Horizon Commercial</v>
      </c>
      <c r="W385" s="1" t="str">
        <f t="shared" si="23"/>
        <v>2026-08</v>
      </c>
    </row>
    <row r="386" spans="1:23">
      <c r="A386" s="1" t="s">
        <v>800</v>
      </c>
      <c r="B386" s="1" t="s">
        <v>801</v>
      </c>
      <c r="C386" s="1" t="s">
        <v>76</v>
      </c>
      <c r="D386" s="1" t="s">
        <v>19</v>
      </c>
      <c r="E386" s="1" t="s">
        <v>41</v>
      </c>
      <c r="F386">
        <v>1</v>
      </c>
      <c r="G386" s="2">
        <v>46033</v>
      </c>
      <c r="H386" s="2">
        <v>46039</v>
      </c>
      <c r="I386">
        <v>38.04</v>
      </c>
      <c r="M386" s="1" t="s">
        <v>32</v>
      </c>
      <c r="N386" s="1" t="s">
        <v>33</v>
      </c>
      <c r="O386" s="2">
        <v>46081</v>
      </c>
      <c r="P386" s="2"/>
      <c r="Q386">
        <f>_xlfn.XLOOKUP(E386,CPT!$A$2:$A$13,CPT!$D$2:$D$13)</f>
        <v>38</v>
      </c>
      <c r="R386" s="1">
        <f>_xlfn.XLOOKUP(C386,Contract!$A$2:$A$9,Contract!$B$2:$B$9)</f>
        <v>0.43</v>
      </c>
      <c r="S386" s="1">
        <f t="shared" ref="S386:S449" si="24">ROUND(Q386*F386*R386,2)</f>
        <v>16.34</v>
      </c>
      <c r="T386" s="1" t="str">
        <f t="shared" ref="T386:T449" si="25">IF(M386="Paid",S386-J386,"")</f>
        <v/>
      </c>
      <c r="U386" s="1" t="str">
        <f t="shared" ref="U386:U449" si="26">IF(M386&lt;&gt;"Paid","",IF(T386&gt;S386*0.05,"Underpaid","OK"))</f>
        <v/>
      </c>
      <c r="V386" s="1" t="str">
        <f>_xlfn.XLOOKUP(C386,Payers!$A$2:$A$9,Payers!$B$2:$B$9)</f>
        <v>Summit Health Commercial</v>
      </c>
      <c r="W386" s="1" t="str">
        <f t="shared" ref="W386:W449" si="27">TEXT(G386,"yyyy-mm")</f>
        <v>2026-01</v>
      </c>
    </row>
    <row r="387" spans="1:23">
      <c r="A387" s="1" t="s">
        <v>802</v>
      </c>
      <c r="B387" s="1" t="s">
        <v>803</v>
      </c>
      <c r="C387" s="1" t="s">
        <v>60</v>
      </c>
      <c r="D387" s="1" t="s">
        <v>30</v>
      </c>
      <c r="E387" s="1" t="s">
        <v>20</v>
      </c>
      <c r="F387">
        <v>1</v>
      </c>
      <c r="G387" s="2">
        <v>46020</v>
      </c>
      <c r="H387" s="2">
        <v>46133</v>
      </c>
      <c r="I387">
        <v>144.19</v>
      </c>
      <c r="M387" s="1" t="s">
        <v>32</v>
      </c>
      <c r="N387" s="1" t="s">
        <v>137</v>
      </c>
      <c r="O387" s="2">
        <v>46144</v>
      </c>
      <c r="P387" s="2"/>
      <c r="Q387">
        <f>_xlfn.XLOOKUP(E387,CPT!$A$2:$A$13,CPT!$D$2:$D$13)</f>
        <v>145</v>
      </c>
      <c r="R387" s="1">
        <f>_xlfn.XLOOKUP(C387,Contract!$A$2:$A$9,Contract!$B$2:$B$9)</f>
        <v>0.45</v>
      </c>
      <c r="S387" s="1">
        <f t="shared" si="24"/>
        <v>65.25</v>
      </c>
      <c r="T387" s="1" t="str">
        <f t="shared" si="25"/>
        <v/>
      </c>
      <c r="U387" s="1" t="str">
        <f t="shared" si="26"/>
        <v/>
      </c>
      <c r="V387" s="1" t="str">
        <f>_xlfn.XLOOKUP(C387,Payers!$A$2:$A$9,Payers!$B$2:$B$9)</f>
        <v>Blue Horizon Commercial</v>
      </c>
      <c r="W387" s="1" t="str">
        <f t="shared" si="27"/>
        <v>2025-12</v>
      </c>
    </row>
    <row r="388" spans="1:23">
      <c r="A388" s="1" t="s">
        <v>804</v>
      </c>
      <c r="B388" s="1" t="s">
        <v>805</v>
      </c>
      <c r="C388" s="1" t="s">
        <v>36</v>
      </c>
      <c r="D388" s="1" t="s">
        <v>30</v>
      </c>
      <c r="E388" s="1" t="s">
        <v>20</v>
      </c>
      <c r="F388">
        <v>1</v>
      </c>
      <c r="G388" s="2">
        <v>46225</v>
      </c>
      <c r="H388" s="2">
        <v>46228</v>
      </c>
      <c r="I388">
        <v>142.83000000000001</v>
      </c>
      <c r="J388">
        <v>35.479999999999997</v>
      </c>
      <c r="K388">
        <v>28.38</v>
      </c>
      <c r="L388">
        <v>7.1</v>
      </c>
      <c r="M388" s="1" t="s">
        <v>21</v>
      </c>
      <c r="N388" s="1" t="s">
        <v>22</v>
      </c>
      <c r="O388" s="2">
        <v>46256</v>
      </c>
      <c r="P388" s="2">
        <v>46256</v>
      </c>
      <c r="Q388">
        <f>_xlfn.XLOOKUP(E388,CPT!$A$2:$A$13,CPT!$D$2:$D$13)</f>
        <v>145</v>
      </c>
      <c r="R388" s="1">
        <f>_xlfn.XLOOKUP(C388,Contract!$A$2:$A$9,Contract!$B$2:$B$9)</f>
        <v>0.27</v>
      </c>
      <c r="S388" s="1">
        <f t="shared" si="24"/>
        <v>39.15</v>
      </c>
      <c r="T388" s="1">
        <f t="shared" si="25"/>
        <v>3.6700000000000017</v>
      </c>
      <c r="U388" s="1" t="str">
        <f t="shared" si="26"/>
        <v>Underpaid</v>
      </c>
      <c r="V388" s="1" t="str">
        <f>_xlfn.XLOOKUP(C388,Payers!$A$2:$A$9,Payers!$B$2:$B$9)</f>
        <v>Florida Medicaid</v>
      </c>
      <c r="W388" s="1" t="str">
        <f t="shared" si="27"/>
        <v>2026-07</v>
      </c>
    </row>
    <row r="389" spans="1:23">
      <c r="A389" s="1" t="s">
        <v>806</v>
      </c>
      <c r="B389" s="1" t="s">
        <v>807</v>
      </c>
      <c r="C389" s="1" t="s">
        <v>60</v>
      </c>
      <c r="D389" s="1" t="s">
        <v>30</v>
      </c>
      <c r="E389" s="1" t="s">
        <v>91</v>
      </c>
      <c r="F389">
        <v>2</v>
      </c>
      <c r="G389" s="2">
        <v>45965</v>
      </c>
      <c r="H389" s="2">
        <v>45986</v>
      </c>
      <c r="I389">
        <v>116.93</v>
      </c>
      <c r="J389">
        <v>49.6</v>
      </c>
      <c r="K389">
        <v>44.64</v>
      </c>
      <c r="L389">
        <v>4.96</v>
      </c>
      <c r="M389" s="1" t="s">
        <v>21</v>
      </c>
      <c r="N389" s="1" t="s">
        <v>22</v>
      </c>
      <c r="O389" s="2">
        <v>46026</v>
      </c>
      <c r="P389" s="2">
        <v>46026</v>
      </c>
      <c r="Q389">
        <f>_xlfn.XLOOKUP(E389,CPT!$A$2:$A$13,CPT!$D$2:$D$13)</f>
        <v>58</v>
      </c>
      <c r="R389" s="1">
        <f>_xlfn.XLOOKUP(C389,Contract!$A$2:$A$9,Contract!$B$2:$B$9)</f>
        <v>0.45</v>
      </c>
      <c r="S389" s="1">
        <f t="shared" si="24"/>
        <v>52.2</v>
      </c>
      <c r="T389" s="1">
        <f t="shared" si="25"/>
        <v>2.6000000000000014</v>
      </c>
      <c r="U389" s="1" t="str">
        <f t="shared" si="26"/>
        <v>OK</v>
      </c>
      <c r="V389" s="1" t="str">
        <f>_xlfn.XLOOKUP(C389,Payers!$A$2:$A$9,Payers!$B$2:$B$9)</f>
        <v>Blue Horizon Commercial</v>
      </c>
      <c r="W389" s="1" t="str">
        <f t="shared" si="27"/>
        <v>2025-11</v>
      </c>
    </row>
    <row r="390" spans="1:23">
      <c r="A390" s="1" t="s">
        <v>808</v>
      </c>
      <c r="B390" s="1" t="s">
        <v>809</v>
      </c>
      <c r="C390" s="1" t="s">
        <v>76</v>
      </c>
      <c r="D390" s="1" t="s">
        <v>19</v>
      </c>
      <c r="E390" s="1" t="s">
        <v>88</v>
      </c>
      <c r="F390">
        <v>1</v>
      </c>
      <c r="G390" s="2">
        <v>45978</v>
      </c>
      <c r="H390" s="2">
        <v>45984</v>
      </c>
      <c r="I390">
        <v>258.42</v>
      </c>
      <c r="J390">
        <v>112.35</v>
      </c>
      <c r="K390">
        <v>112.35</v>
      </c>
      <c r="L390">
        <v>0</v>
      </c>
      <c r="M390" s="1" t="s">
        <v>21</v>
      </c>
      <c r="N390" s="1" t="s">
        <v>22</v>
      </c>
      <c r="O390" s="2">
        <v>46019</v>
      </c>
      <c r="P390" s="2">
        <v>46019</v>
      </c>
      <c r="Q390">
        <f>_xlfn.XLOOKUP(E390,CPT!$A$2:$A$13,CPT!$D$2:$D$13)</f>
        <v>260</v>
      </c>
      <c r="R390" s="1">
        <f>_xlfn.XLOOKUP(C390,Contract!$A$2:$A$9,Contract!$B$2:$B$9)</f>
        <v>0.43</v>
      </c>
      <c r="S390" s="1">
        <f t="shared" si="24"/>
        <v>111.8</v>
      </c>
      <c r="T390" s="1">
        <f t="shared" si="25"/>
        <v>-0.54999999999999716</v>
      </c>
      <c r="U390" s="1" t="str">
        <f t="shared" si="26"/>
        <v>OK</v>
      </c>
      <c r="V390" s="1" t="str">
        <f>_xlfn.XLOOKUP(C390,Payers!$A$2:$A$9,Payers!$B$2:$B$9)</f>
        <v>Summit Health Commercial</v>
      </c>
      <c r="W390" s="1" t="str">
        <f t="shared" si="27"/>
        <v>2025-11</v>
      </c>
    </row>
    <row r="391" spans="1:23">
      <c r="A391" s="1" t="s">
        <v>810</v>
      </c>
      <c r="B391" s="1" t="s">
        <v>811</v>
      </c>
      <c r="C391" s="1" t="s">
        <v>18</v>
      </c>
      <c r="D391" s="1" t="s">
        <v>26</v>
      </c>
      <c r="E391" s="1" t="s">
        <v>41</v>
      </c>
      <c r="F391">
        <v>1</v>
      </c>
      <c r="G391" s="2">
        <v>46028</v>
      </c>
      <c r="H391" s="2">
        <v>46029</v>
      </c>
      <c r="I391">
        <v>38</v>
      </c>
      <c r="J391">
        <v>16.22</v>
      </c>
      <c r="K391">
        <v>16.22</v>
      </c>
      <c r="L391">
        <v>0</v>
      </c>
      <c r="M391" s="1" t="s">
        <v>21</v>
      </c>
      <c r="N391" s="1" t="s">
        <v>22</v>
      </c>
      <c r="O391" s="2">
        <v>46093</v>
      </c>
      <c r="P391" s="2">
        <v>46093</v>
      </c>
      <c r="Q391">
        <f>_xlfn.XLOOKUP(E391,CPT!$A$2:$A$13,CPT!$D$2:$D$13)</f>
        <v>38</v>
      </c>
      <c r="R391" s="1">
        <f>_xlfn.XLOOKUP(C391,Contract!$A$2:$A$9,Contract!$B$2:$B$9)</f>
        <v>0.38</v>
      </c>
      <c r="S391" s="1">
        <f t="shared" si="24"/>
        <v>14.44</v>
      </c>
      <c r="T391" s="1">
        <f t="shared" si="25"/>
        <v>-1.7799999999999994</v>
      </c>
      <c r="U391" s="1" t="str">
        <f t="shared" si="26"/>
        <v>OK</v>
      </c>
      <c r="V391" s="1" t="str">
        <f>_xlfn.XLOOKUP(C391,Payers!$A$2:$A$9,Payers!$B$2:$B$9)</f>
        <v>Sunshine Medicare Advantage</v>
      </c>
      <c r="W391" s="1" t="str">
        <f t="shared" si="27"/>
        <v>2026-01</v>
      </c>
    </row>
    <row r="392" spans="1:23">
      <c r="A392" s="1" t="s">
        <v>812</v>
      </c>
      <c r="B392" s="1" t="s">
        <v>813</v>
      </c>
      <c r="C392" s="1" t="s">
        <v>36</v>
      </c>
      <c r="D392" s="1" t="s">
        <v>26</v>
      </c>
      <c r="E392" s="1" t="s">
        <v>57</v>
      </c>
      <c r="F392">
        <v>1</v>
      </c>
      <c r="G392" s="2">
        <v>46113</v>
      </c>
      <c r="H392" s="2">
        <v>46114</v>
      </c>
      <c r="I392">
        <v>205.67</v>
      </c>
      <c r="J392">
        <v>58.57</v>
      </c>
      <c r="K392">
        <v>58.57</v>
      </c>
      <c r="L392">
        <v>0</v>
      </c>
      <c r="M392" s="1" t="s">
        <v>21</v>
      </c>
      <c r="N392" s="1" t="s">
        <v>22</v>
      </c>
      <c r="O392" s="2">
        <v>46145</v>
      </c>
      <c r="P392" s="2">
        <v>46145</v>
      </c>
      <c r="Q392">
        <f>_xlfn.XLOOKUP(E392,CPT!$A$2:$A$13,CPT!$D$2:$D$13)</f>
        <v>210</v>
      </c>
      <c r="R392" s="1">
        <f>_xlfn.XLOOKUP(C392,Contract!$A$2:$A$9,Contract!$B$2:$B$9)</f>
        <v>0.27</v>
      </c>
      <c r="S392" s="1">
        <f t="shared" si="24"/>
        <v>56.7</v>
      </c>
      <c r="T392" s="1">
        <f t="shared" si="25"/>
        <v>-1.8699999999999974</v>
      </c>
      <c r="U392" s="1" t="str">
        <f t="shared" si="26"/>
        <v>OK</v>
      </c>
      <c r="V392" s="1" t="str">
        <f>_xlfn.XLOOKUP(C392,Payers!$A$2:$A$9,Payers!$B$2:$B$9)</f>
        <v>Florida Medicaid</v>
      </c>
      <c r="W392" s="1" t="str">
        <f t="shared" si="27"/>
        <v>2026-04</v>
      </c>
    </row>
    <row r="393" spans="1:23">
      <c r="A393" s="1" t="s">
        <v>814</v>
      </c>
      <c r="B393" s="1" t="s">
        <v>815</v>
      </c>
      <c r="C393" s="1" t="s">
        <v>52</v>
      </c>
      <c r="D393" s="1" t="s">
        <v>19</v>
      </c>
      <c r="E393" s="1" t="s">
        <v>88</v>
      </c>
      <c r="F393">
        <v>1</v>
      </c>
      <c r="G393" s="2">
        <v>46225</v>
      </c>
      <c r="H393" s="2">
        <v>46228</v>
      </c>
      <c r="I393">
        <v>265.75</v>
      </c>
      <c r="J393">
        <v>141.82</v>
      </c>
      <c r="K393">
        <v>127.64</v>
      </c>
      <c r="L393">
        <v>14.18</v>
      </c>
      <c r="M393" s="1" t="s">
        <v>21</v>
      </c>
      <c r="N393" s="1" t="s">
        <v>22</v>
      </c>
      <c r="O393" s="2">
        <v>46257</v>
      </c>
      <c r="P393" s="2">
        <v>46257</v>
      </c>
      <c r="Q393">
        <f>_xlfn.XLOOKUP(E393,CPT!$A$2:$A$13,CPT!$D$2:$D$13)</f>
        <v>260</v>
      </c>
      <c r="R393" s="1">
        <f>_xlfn.XLOOKUP(C393,Contract!$A$2:$A$9,Contract!$B$2:$B$9)</f>
        <v>0.47</v>
      </c>
      <c r="S393" s="1">
        <f t="shared" si="24"/>
        <v>122.2</v>
      </c>
      <c r="T393" s="1">
        <f t="shared" si="25"/>
        <v>-19.61999999999999</v>
      </c>
      <c r="U393" s="1" t="str">
        <f t="shared" si="26"/>
        <v>OK</v>
      </c>
      <c r="V393" s="1" t="str">
        <f>_xlfn.XLOOKUP(C393,Payers!$A$2:$A$9,Payers!$B$2:$B$9)</f>
        <v>Keystone Commercial PPO</v>
      </c>
      <c r="W393" s="1" t="str">
        <f t="shared" si="27"/>
        <v>2026-07</v>
      </c>
    </row>
    <row r="394" spans="1:23">
      <c r="A394" s="1" t="s">
        <v>816</v>
      </c>
      <c r="B394" s="1" t="s">
        <v>817</v>
      </c>
      <c r="C394" s="1" t="s">
        <v>60</v>
      </c>
      <c r="D394" s="1" t="s">
        <v>26</v>
      </c>
      <c r="E394" s="1" t="s">
        <v>27</v>
      </c>
      <c r="F394">
        <v>1</v>
      </c>
      <c r="G394" s="2">
        <v>46200</v>
      </c>
      <c r="H394" s="2">
        <v>46203</v>
      </c>
      <c r="I394">
        <v>244.31</v>
      </c>
      <c r="J394">
        <v>110.02</v>
      </c>
      <c r="K394">
        <v>110.02</v>
      </c>
      <c r="L394">
        <v>0</v>
      </c>
      <c r="M394" s="1" t="s">
        <v>21</v>
      </c>
      <c r="N394" s="1" t="s">
        <v>22</v>
      </c>
      <c r="O394" s="2">
        <v>46220</v>
      </c>
      <c r="P394" s="2">
        <v>46220</v>
      </c>
      <c r="Q394">
        <f>_xlfn.XLOOKUP(E394,CPT!$A$2:$A$13,CPT!$D$2:$D$13)</f>
        <v>240</v>
      </c>
      <c r="R394" s="1">
        <f>_xlfn.XLOOKUP(C394,Contract!$A$2:$A$9,Contract!$B$2:$B$9)</f>
        <v>0.45</v>
      </c>
      <c r="S394" s="1">
        <f t="shared" si="24"/>
        <v>108</v>
      </c>
      <c r="T394" s="1">
        <f t="shared" si="25"/>
        <v>-2.019999999999996</v>
      </c>
      <c r="U394" s="1" t="str">
        <f t="shared" si="26"/>
        <v>OK</v>
      </c>
      <c r="V394" s="1" t="str">
        <f>_xlfn.XLOOKUP(C394,Payers!$A$2:$A$9,Payers!$B$2:$B$9)</f>
        <v>Blue Horizon Commercial</v>
      </c>
      <c r="W394" s="1" t="str">
        <f t="shared" si="27"/>
        <v>2026-06</v>
      </c>
    </row>
    <row r="395" spans="1:23">
      <c r="A395" s="1" t="s">
        <v>818</v>
      </c>
      <c r="B395" s="1" t="s">
        <v>819</v>
      </c>
      <c r="C395" s="1" t="s">
        <v>52</v>
      </c>
      <c r="D395" s="1" t="s">
        <v>30</v>
      </c>
      <c r="E395" s="1" t="s">
        <v>20</v>
      </c>
      <c r="F395">
        <v>1</v>
      </c>
      <c r="G395" s="2">
        <v>46092</v>
      </c>
      <c r="H395" s="2">
        <v>46093</v>
      </c>
      <c r="I395">
        <v>146.65</v>
      </c>
      <c r="J395">
        <v>65.53</v>
      </c>
      <c r="K395">
        <v>58.98</v>
      </c>
      <c r="L395">
        <v>6.55</v>
      </c>
      <c r="M395" s="1" t="s">
        <v>21</v>
      </c>
      <c r="N395" s="1" t="s">
        <v>22</v>
      </c>
      <c r="O395" s="2">
        <v>46150</v>
      </c>
      <c r="P395" s="2">
        <v>46150</v>
      </c>
      <c r="Q395">
        <f>_xlfn.XLOOKUP(E395,CPT!$A$2:$A$13,CPT!$D$2:$D$13)</f>
        <v>145</v>
      </c>
      <c r="R395" s="1">
        <f>_xlfn.XLOOKUP(C395,Contract!$A$2:$A$9,Contract!$B$2:$B$9)</f>
        <v>0.47</v>
      </c>
      <c r="S395" s="1">
        <f t="shared" si="24"/>
        <v>68.150000000000006</v>
      </c>
      <c r="T395" s="1">
        <f t="shared" si="25"/>
        <v>2.6200000000000045</v>
      </c>
      <c r="U395" s="1" t="str">
        <f t="shared" si="26"/>
        <v>OK</v>
      </c>
      <c r="V395" s="1" t="str">
        <f>_xlfn.XLOOKUP(C395,Payers!$A$2:$A$9,Payers!$B$2:$B$9)</f>
        <v>Keystone Commercial PPO</v>
      </c>
      <c r="W395" s="1" t="str">
        <f t="shared" si="27"/>
        <v>2026-03</v>
      </c>
    </row>
    <row r="396" spans="1:23">
      <c r="A396" s="1" t="s">
        <v>820</v>
      </c>
      <c r="B396" s="1" t="s">
        <v>821</v>
      </c>
      <c r="C396" s="1" t="s">
        <v>76</v>
      </c>
      <c r="D396" s="1" t="s">
        <v>19</v>
      </c>
      <c r="E396" s="1" t="s">
        <v>57</v>
      </c>
      <c r="F396">
        <v>1</v>
      </c>
      <c r="G396" s="2">
        <v>46244</v>
      </c>
      <c r="H396" s="2">
        <v>46245</v>
      </c>
      <c r="I396">
        <v>208.02</v>
      </c>
      <c r="J396">
        <v>86.69</v>
      </c>
      <c r="K396">
        <v>69.349999999999994</v>
      </c>
      <c r="L396">
        <v>17.34</v>
      </c>
      <c r="M396" s="1" t="s">
        <v>21</v>
      </c>
      <c r="N396" s="1" t="s">
        <v>22</v>
      </c>
      <c r="O396" s="2">
        <v>46277</v>
      </c>
      <c r="P396" s="2">
        <v>46277</v>
      </c>
      <c r="Q396">
        <f>_xlfn.XLOOKUP(E396,CPT!$A$2:$A$13,CPT!$D$2:$D$13)</f>
        <v>210</v>
      </c>
      <c r="R396" s="1">
        <f>_xlfn.XLOOKUP(C396,Contract!$A$2:$A$9,Contract!$B$2:$B$9)</f>
        <v>0.43</v>
      </c>
      <c r="S396" s="1">
        <f t="shared" si="24"/>
        <v>90.3</v>
      </c>
      <c r="T396" s="1">
        <f t="shared" si="25"/>
        <v>3.6099999999999994</v>
      </c>
      <c r="U396" s="1" t="str">
        <f t="shared" si="26"/>
        <v>OK</v>
      </c>
      <c r="V396" s="1" t="str">
        <f>_xlfn.XLOOKUP(C396,Payers!$A$2:$A$9,Payers!$B$2:$B$9)</f>
        <v>Summit Health Commercial</v>
      </c>
      <c r="W396" s="1" t="str">
        <f t="shared" si="27"/>
        <v>2026-08</v>
      </c>
    </row>
    <row r="397" spans="1:23">
      <c r="A397" s="1" t="s">
        <v>822</v>
      </c>
      <c r="B397" s="1" t="s">
        <v>823</v>
      </c>
      <c r="C397" s="1" t="s">
        <v>79</v>
      </c>
      <c r="D397" s="1" t="s">
        <v>19</v>
      </c>
      <c r="E397" s="1" t="s">
        <v>57</v>
      </c>
      <c r="F397">
        <v>1</v>
      </c>
      <c r="G397" s="2">
        <v>46282</v>
      </c>
      <c r="H397" s="2">
        <v>46283</v>
      </c>
      <c r="I397">
        <v>206.58</v>
      </c>
      <c r="M397" s="1" t="s">
        <v>69</v>
      </c>
      <c r="N397" s="1" t="s">
        <v>22</v>
      </c>
      <c r="O397" s="2"/>
      <c r="P397" s="2"/>
      <c r="Q397">
        <f>_xlfn.XLOOKUP(E397,CPT!$A$2:$A$13,CPT!$D$2:$D$13)</f>
        <v>210</v>
      </c>
      <c r="R397" s="1">
        <f>_xlfn.XLOOKUP(C397,Contract!$A$2:$A$9,Contract!$B$2:$B$9)</f>
        <v>1</v>
      </c>
      <c r="S397" s="1">
        <f t="shared" si="24"/>
        <v>210</v>
      </c>
      <c r="T397" s="1" t="str">
        <f t="shared" si="25"/>
        <v/>
      </c>
      <c r="U397" s="1" t="str">
        <f t="shared" si="26"/>
        <v/>
      </c>
      <c r="V397" s="1" t="str">
        <f>_xlfn.XLOOKUP(C397,Payers!$A$2:$A$9,Payers!$B$2:$B$9)</f>
        <v>Self-Pay</v>
      </c>
      <c r="W397" s="1" t="str">
        <f t="shared" si="27"/>
        <v>2026-09</v>
      </c>
    </row>
    <row r="398" spans="1:23">
      <c r="A398" s="1" t="s">
        <v>824</v>
      </c>
      <c r="B398" s="1" t="s">
        <v>825</v>
      </c>
      <c r="C398" s="1" t="s">
        <v>60</v>
      </c>
      <c r="D398" s="1" t="s">
        <v>19</v>
      </c>
      <c r="E398" s="1" t="s">
        <v>41</v>
      </c>
      <c r="F398">
        <v>1</v>
      </c>
      <c r="G398" s="2">
        <v>46007</v>
      </c>
      <c r="H398" s="2">
        <v>46008</v>
      </c>
      <c r="I398">
        <v>37.94</v>
      </c>
      <c r="J398">
        <v>15.13</v>
      </c>
      <c r="K398">
        <v>13.62</v>
      </c>
      <c r="L398">
        <v>1.51</v>
      </c>
      <c r="M398" s="1" t="s">
        <v>21</v>
      </c>
      <c r="N398" s="1" t="s">
        <v>22</v>
      </c>
      <c r="O398" s="2">
        <v>46045</v>
      </c>
      <c r="P398" s="2">
        <v>46045</v>
      </c>
      <c r="Q398">
        <f>_xlfn.XLOOKUP(E398,CPT!$A$2:$A$13,CPT!$D$2:$D$13)</f>
        <v>38</v>
      </c>
      <c r="R398" s="1">
        <f>_xlfn.XLOOKUP(C398,Contract!$A$2:$A$9,Contract!$B$2:$B$9)</f>
        <v>0.45</v>
      </c>
      <c r="S398" s="1">
        <f t="shared" si="24"/>
        <v>17.100000000000001</v>
      </c>
      <c r="T398" s="1">
        <f t="shared" si="25"/>
        <v>1.9700000000000006</v>
      </c>
      <c r="U398" s="1" t="str">
        <f t="shared" si="26"/>
        <v>Underpaid</v>
      </c>
      <c r="V398" s="1" t="str">
        <f>_xlfn.XLOOKUP(C398,Payers!$A$2:$A$9,Payers!$B$2:$B$9)</f>
        <v>Blue Horizon Commercial</v>
      </c>
      <c r="W398" s="1" t="str">
        <f t="shared" si="27"/>
        <v>2025-12</v>
      </c>
    </row>
    <row r="399" spans="1:23">
      <c r="A399" s="1" t="s">
        <v>826</v>
      </c>
      <c r="B399" s="1" t="s">
        <v>827</v>
      </c>
      <c r="C399" s="1" t="s">
        <v>25</v>
      </c>
      <c r="D399" s="1" t="s">
        <v>19</v>
      </c>
      <c r="E399" s="1" t="s">
        <v>88</v>
      </c>
      <c r="F399">
        <v>1</v>
      </c>
      <c r="G399" s="2">
        <v>46221</v>
      </c>
      <c r="H399" s="2">
        <v>46222</v>
      </c>
      <c r="I399">
        <v>252.94</v>
      </c>
      <c r="J399">
        <v>83</v>
      </c>
      <c r="K399">
        <v>74.7</v>
      </c>
      <c r="L399">
        <v>8.3000000000000007</v>
      </c>
      <c r="M399" s="1" t="s">
        <v>21</v>
      </c>
      <c r="N399" s="1" t="s">
        <v>22</v>
      </c>
      <c r="O399" s="2">
        <v>46235</v>
      </c>
      <c r="P399" s="2">
        <v>46235</v>
      </c>
      <c r="Q399">
        <f>_xlfn.XLOOKUP(E399,CPT!$A$2:$A$13,CPT!$D$2:$D$13)</f>
        <v>260</v>
      </c>
      <c r="R399" s="1">
        <f>_xlfn.XLOOKUP(C399,Contract!$A$2:$A$9,Contract!$B$2:$B$9)</f>
        <v>0.36</v>
      </c>
      <c r="S399" s="1">
        <f t="shared" si="24"/>
        <v>93.6</v>
      </c>
      <c r="T399" s="1">
        <f t="shared" si="25"/>
        <v>10.599999999999994</v>
      </c>
      <c r="U399" s="1" t="str">
        <f t="shared" si="26"/>
        <v>Underpaid</v>
      </c>
      <c r="V399" s="1" t="str">
        <f>_xlfn.XLOOKUP(C399,Payers!$A$2:$A$9,Payers!$B$2:$B$9)</f>
        <v>Medicare Part B</v>
      </c>
      <c r="W399" s="1" t="str">
        <f t="shared" si="27"/>
        <v>2026-07</v>
      </c>
    </row>
    <row r="400" spans="1:23">
      <c r="A400" s="1" t="s">
        <v>828</v>
      </c>
      <c r="B400" s="1" t="s">
        <v>829</v>
      </c>
      <c r="C400" s="1" t="s">
        <v>52</v>
      </c>
      <c r="D400" s="1" t="s">
        <v>30</v>
      </c>
      <c r="E400" s="1" t="s">
        <v>31</v>
      </c>
      <c r="F400">
        <v>1</v>
      </c>
      <c r="G400" s="2">
        <v>46102</v>
      </c>
      <c r="H400" s="2">
        <v>46106</v>
      </c>
      <c r="I400">
        <v>61.48</v>
      </c>
      <c r="J400">
        <v>24.71</v>
      </c>
      <c r="K400">
        <v>24.71</v>
      </c>
      <c r="L400">
        <v>0</v>
      </c>
      <c r="M400" s="1" t="s">
        <v>21</v>
      </c>
      <c r="N400" s="1" t="s">
        <v>22</v>
      </c>
      <c r="O400" s="2">
        <v>46170</v>
      </c>
      <c r="P400" s="2">
        <v>46170</v>
      </c>
      <c r="Q400">
        <f>_xlfn.XLOOKUP(E400,CPT!$A$2:$A$13,CPT!$D$2:$D$13)</f>
        <v>62</v>
      </c>
      <c r="R400" s="1">
        <f>_xlfn.XLOOKUP(C400,Contract!$A$2:$A$9,Contract!$B$2:$B$9)</f>
        <v>0.47</v>
      </c>
      <c r="S400" s="1">
        <f t="shared" si="24"/>
        <v>29.14</v>
      </c>
      <c r="T400" s="1">
        <f t="shared" si="25"/>
        <v>4.43</v>
      </c>
      <c r="U400" s="1" t="str">
        <f t="shared" si="26"/>
        <v>Underpaid</v>
      </c>
      <c r="V400" s="1" t="str">
        <f>_xlfn.XLOOKUP(C400,Payers!$A$2:$A$9,Payers!$B$2:$B$9)</f>
        <v>Keystone Commercial PPO</v>
      </c>
      <c r="W400" s="1" t="str">
        <f t="shared" si="27"/>
        <v>2026-03</v>
      </c>
    </row>
    <row r="401" spans="1:23">
      <c r="A401" s="1" t="s">
        <v>830</v>
      </c>
      <c r="B401" s="1" t="s">
        <v>831</v>
      </c>
      <c r="C401" s="1" t="s">
        <v>79</v>
      </c>
      <c r="D401" s="1" t="s">
        <v>19</v>
      </c>
      <c r="E401" s="1" t="s">
        <v>57</v>
      </c>
      <c r="F401">
        <v>1</v>
      </c>
      <c r="G401" s="2">
        <v>46076</v>
      </c>
      <c r="H401" s="2">
        <v>46081</v>
      </c>
      <c r="I401">
        <v>208.17</v>
      </c>
      <c r="J401">
        <v>208.17</v>
      </c>
      <c r="K401">
        <v>208.17</v>
      </c>
      <c r="L401">
        <v>0</v>
      </c>
      <c r="M401" s="1" t="s">
        <v>21</v>
      </c>
      <c r="N401" s="1" t="s">
        <v>22</v>
      </c>
      <c r="O401" s="2">
        <v>46187</v>
      </c>
      <c r="P401" s="2">
        <v>46187</v>
      </c>
      <c r="Q401">
        <f>_xlfn.XLOOKUP(E401,CPT!$A$2:$A$13,CPT!$D$2:$D$13)</f>
        <v>210</v>
      </c>
      <c r="R401" s="1">
        <f>_xlfn.XLOOKUP(C401,Contract!$A$2:$A$9,Contract!$B$2:$B$9)</f>
        <v>1</v>
      </c>
      <c r="S401" s="1">
        <f t="shared" si="24"/>
        <v>210</v>
      </c>
      <c r="T401" s="1">
        <f t="shared" si="25"/>
        <v>1.8300000000000125</v>
      </c>
      <c r="U401" s="1" t="str">
        <f t="shared" si="26"/>
        <v>OK</v>
      </c>
      <c r="V401" s="1" t="str">
        <f>_xlfn.XLOOKUP(C401,Payers!$A$2:$A$9,Payers!$B$2:$B$9)</f>
        <v>Self-Pay</v>
      </c>
      <c r="W401" s="1" t="str">
        <f t="shared" si="27"/>
        <v>2026-02</v>
      </c>
    </row>
    <row r="402" spans="1:23">
      <c r="A402" s="1" t="s">
        <v>832</v>
      </c>
      <c r="B402" s="1" t="s">
        <v>833</v>
      </c>
      <c r="C402" s="1" t="s">
        <v>52</v>
      </c>
      <c r="D402" s="1" t="s">
        <v>19</v>
      </c>
      <c r="E402" s="1" t="s">
        <v>88</v>
      </c>
      <c r="F402">
        <v>1</v>
      </c>
      <c r="G402" s="2">
        <v>46005</v>
      </c>
      <c r="H402" s="2">
        <v>46010</v>
      </c>
      <c r="I402">
        <v>265.74</v>
      </c>
      <c r="J402">
        <v>122.51</v>
      </c>
      <c r="K402">
        <v>122.51</v>
      </c>
      <c r="L402">
        <v>0</v>
      </c>
      <c r="M402" s="1" t="s">
        <v>21</v>
      </c>
      <c r="N402" s="1" t="s">
        <v>22</v>
      </c>
      <c r="O402" s="2">
        <v>46044</v>
      </c>
      <c r="P402" s="2">
        <v>46044</v>
      </c>
      <c r="Q402">
        <f>_xlfn.XLOOKUP(E402,CPT!$A$2:$A$13,CPT!$D$2:$D$13)</f>
        <v>260</v>
      </c>
      <c r="R402" s="1">
        <f>_xlfn.XLOOKUP(C402,Contract!$A$2:$A$9,Contract!$B$2:$B$9)</f>
        <v>0.47</v>
      </c>
      <c r="S402" s="1">
        <f t="shared" si="24"/>
        <v>122.2</v>
      </c>
      <c r="T402" s="1">
        <f t="shared" si="25"/>
        <v>-0.31000000000000227</v>
      </c>
      <c r="U402" s="1" t="str">
        <f t="shared" si="26"/>
        <v>OK</v>
      </c>
      <c r="V402" s="1" t="str">
        <f>_xlfn.XLOOKUP(C402,Payers!$A$2:$A$9,Payers!$B$2:$B$9)</f>
        <v>Keystone Commercial PPO</v>
      </c>
      <c r="W402" s="1" t="str">
        <f t="shared" si="27"/>
        <v>2025-12</v>
      </c>
    </row>
    <row r="403" spans="1:23">
      <c r="A403" s="1" t="s">
        <v>834</v>
      </c>
      <c r="B403" s="1" t="s">
        <v>835</v>
      </c>
      <c r="C403" s="1" t="s">
        <v>76</v>
      </c>
      <c r="D403" s="1" t="s">
        <v>26</v>
      </c>
      <c r="E403" s="1" t="s">
        <v>57</v>
      </c>
      <c r="F403">
        <v>1</v>
      </c>
      <c r="G403" s="2">
        <v>46265</v>
      </c>
      <c r="H403" s="2">
        <v>46267</v>
      </c>
      <c r="I403">
        <v>207.37</v>
      </c>
      <c r="J403">
        <v>82.34</v>
      </c>
      <c r="K403">
        <v>65.87</v>
      </c>
      <c r="L403">
        <v>16.47</v>
      </c>
      <c r="M403" s="1" t="s">
        <v>21</v>
      </c>
      <c r="N403" s="1" t="s">
        <v>22</v>
      </c>
      <c r="O403" s="2">
        <v>46292</v>
      </c>
      <c r="P403" s="2">
        <v>46292</v>
      </c>
      <c r="Q403">
        <f>_xlfn.XLOOKUP(E403,CPT!$A$2:$A$13,CPT!$D$2:$D$13)</f>
        <v>210</v>
      </c>
      <c r="R403" s="1">
        <f>_xlfn.XLOOKUP(C403,Contract!$A$2:$A$9,Contract!$B$2:$B$9)</f>
        <v>0.43</v>
      </c>
      <c r="S403" s="1">
        <f t="shared" si="24"/>
        <v>90.3</v>
      </c>
      <c r="T403" s="1">
        <f t="shared" si="25"/>
        <v>7.9599999999999937</v>
      </c>
      <c r="U403" s="1" t="str">
        <f t="shared" si="26"/>
        <v>Underpaid</v>
      </c>
      <c r="V403" s="1" t="str">
        <f>_xlfn.XLOOKUP(C403,Payers!$A$2:$A$9,Payers!$B$2:$B$9)</f>
        <v>Summit Health Commercial</v>
      </c>
      <c r="W403" s="1" t="str">
        <f t="shared" si="27"/>
        <v>2026-08</v>
      </c>
    </row>
    <row r="404" spans="1:23">
      <c r="A404" s="1" t="s">
        <v>836</v>
      </c>
      <c r="B404" s="1" t="s">
        <v>837</v>
      </c>
      <c r="C404" s="1" t="s">
        <v>18</v>
      </c>
      <c r="D404" s="1" t="s">
        <v>37</v>
      </c>
      <c r="E404" s="1" t="s">
        <v>57</v>
      </c>
      <c r="F404">
        <v>1</v>
      </c>
      <c r="G404" s="2">
        <v>45971</v>
      </c>
      <c r="H404" s="2">
        <v>45974</v>
      </c>
      <c r="I404">
        <v>206.35</v>
      </c>
      <c r="M404" s="1" t="s">
        <v>32</v>
      </c>
      <c r="N404" s="1" t="s">
        <v>49</v>
      </c>
      <c r="O404" s="2">
        <v>46051</v>
      </c>
      <c r="P404" s="2"/>
      <c r="Q404">
        <f>_xlfn.XLOOKUP(E404,CPT!$A$2:$A$13,CPT!$D$2:$D$13)</f>
        <v>210</v>
      </c>
      <c r="R404" s="1">
        <f>_xlfn.XLOOKUP(C404,Contract!$A$2:$A$9,Contract!$B$2:$B$9)</f>
        <v>0.38</v>
      </c>
      <c r="S404" s="1">
        <f t="shared" si="24"/>
        <v>79.8</v>
      </c>
      <c r="T404" s="1" t="str">
        <f t="shared" si="25"/>
        <v/>
      </c>
      <c r="U404" s="1" t="str">
        <f t="shared" si="26"/>
        <v/>
      </c>
      <c r="V404" s="1" t="str">
        <f>_xlfn.XLOOKUP(C404,Payers!$A$2:$A$9,Payers!$B$2:$B$9)</f>
        <v>Sunshine Medicare Advantage</v>
      </c>
      <c r="W404" s="1" t="str">
        <f t="shared" si="27"/>
        <v>2025-11</v>
      </c>
    </row>
    <row r="405" spans="1:23">
      <c r="A405" s="1" t="s">
        <v>838</v>
      </c>
      <c r="B405" s="1" t="s">
        <v>839</v>
      </c>
      <c r="C405" s="1" t="s">
        <v>25</v>
      </c>
      <c r="D405" s="1" t="s">
        <v>26</v>
      </c>
      <c r="E405" s="1" t="s">
        <v>185</v>
      </c>
      <c r="F405">
        <v>1</v>
      </c>
      <c r="G405" s="2">
        <v>45974</v>
      </c>
      <c r="H405" s="2">
        <v>45983</v>
      </c>
      <c r="I405">
        <v>1160.68</v>
      </c>
      <c r="J405">
        <v>385.01</v>
      </c>
      <c r="K405">
        <v>346.51</v>
      </c>
      <c r="L405">
        <v>38.5</v>
      </c>
      <c r="M405" s="1" t="s">
        <v>21</v>
      </c>
      <c r="N405" s="1" t="s">
        <v>22</v>
      </c>
      <c r="O405" s="2">
        <v>46004</v>
      </c>
      <c r="P405" s="2">
        <v>46004</v>
      </c>
      <c r="Q405">
        <f>_xlfn.XLOOKUP(E405,CPT!$A$2:$A$13,CPT!$D$2:$D$13)</f>
        <v>1150</v>
      </c>
      <c r="R405" s="1">
        <f>_xlfn.XLOOKUP(C405,Contract!$A$2:$A$9,Contract!$B$2:$B$9)</f>
        <v>0.36</v>
      </c>
      <c r="S405" s="1">
        <f t="shared" si="24"/>
        <v>414</v>
      </c>
      <c r="T405" s="1">
        <f t="shared" si="25"/>
        <v>28.990000000000009</v>
      </c>
      <c r="U405" s="1" t="str">
        <f t="shared" si="26"/>
        <v>Underpaid</v>
      </c>
      <c r="V405" s="1" t="str">
        <f>_xlfn.XLOOKUP(C405,Payers!$A$2:$A$9,Payers!$B$2:$B$9)</f>
        <v>Medicare Part B</v>
      </c>
      <c r="W405" s="1" t="str">
        <f t="shared" si="27"/>
        <v>2025-11</v>
      </c>
    </row>
    <row r="406" spans="1:23">
      <c r="A406" s="1" t="s">
        <v>840</v>
      </c>
      <c r="B406" s="1" t="s">
        <v>841</v>
      </c>
      <c r="C406" s="1" t="s">
        <v>25</v>
      </c>
      <c r="D406" s="1" t="s">
        <v>19</v>
      </c>
      <c r="E406" s="1" t="s">
        <v>57</v>
      </c>
      <c r="F406">
        <v>1</v>
      </c>
      <c r="G406" s="2">
        <v>46018</v>
      </c>
      <c r="H406" s="2">
        <v>46023</v>
      </c>
      <c r="I406">
        <v>204.06</v>
      </c>
      <c r="J406">
        <v>69.47</v>
      </c>
      <c r="K406">
        <v>62.52</v>
      </c>
      <c r="L406">
        <v>6.95</v>
      </c>
      <c r="M406" s="1" t="s">
        <v>21</v>
      </c>
      <c r="N406" s="1" t="s">
        <v>22</v>
      </c>
      <c r="O406" s="2">
        <v>46028</v>
      </c>
      <c r="P406" s="2">
        <v>46028</v>
      </c>
      <c r="Q406">
        <f>_xlfn.XLOOKUP(E406,CPT!$A$2:$A$13,CPT!$D$2:$D$13)</f>
        <v>210</v>
      </c>
      <c r="R406" s="1">
        <f>_xlfn.XLOOKUP(C406,Contract!$A$2:$A$9,Contract!$B$2:$B$9)</f>
        <v>0.36</v>
      </c>
      <c r="S406" s="1">
        <f t="shared" si="24"/>
        <v>75.599999999999994</v>
      </c>
      <c r="T406" s="1">
        <f t="shared" si="25"/>
        <v>6.1299999999999955</v>
      </c>
      <c r="U406" s="1" t="str">
        <f t="shared" si="26"/>
        <v>Underpaid</v>
      </c>
      <c r="V406" s="1" t="str">
        <f>_xlfn.XLOOKUP(C406,Payers!$A$2:$A$9,Payers!$B$2:$B$9)</f>
        <v>Medicare Part B</v>
      </c>
      <c r="W406" s="1" t="str">
        <f t="shared" si="27"/>
        <v>2025-12</v>
      </c>
    </row>
    <row r="407" spans="1:23">
      <c r="A407" s="1" t="s">
        <v>842</v>
      </c>
      <c r="B407" s="1" t="s">
        <v>843</v>
      </c>
      <c r="C407" s="1" t="s">
        <v>25</v>
      </c>
      <c r="D407" s="1" t="s">
        <v>19</v>
      </c>
      <c r="E407" s="1" t="s">
        <v>57</v>
      </c>
      <c r="F407">
        <v>1</v>
      </c>
      <c r="G407" s="2">
        <v>46164</v>
      </c>
      <c r="H407" s="2">
        <v>46169</v>
      </c>
      <c r="I407">
        <v>211.65</v>
      </c>
      <c r="J407">
        <v>76.75</v>
      </c>
      <c r="K407">
        <v>69.069999999999993</v>
      </c>
      <c r="L407">
        <v>7.68</v>
      </c>
      <c r="M407" s="1" t="s">
        <v>21</v>
      </c>
      <c r="N407" s="1" t="s">
        <v>22</v>
      </c>
      <c r="O407" s="2">
        <v>46189</v>
      </c>
      <c r="P407" s="2">
        <v>46189</v>
      </c>
      <c r="Q407">
        <f>_xlfn.XLOOKUP(E407,CPT!$A$2:$A$13,CPT!$D$2:$D$13)</f>
        <v>210</v>
      </c>
      <c r="R407" s="1">
        <f>_xlfn.XLOOKUP(C407,Contract!$A$2:$A$9,Contract!$B$2:$B$9)</f>
        <v>0.36</v>
      </c>
      <c r="S407" s="1">
        <f t="shared" si="24"/>
        <v>75.599999999999994</v>
      </c>
      <c r="T407" s="1">
        <f t="shared" si="25"/>
        <v>-1.1500000000000057</v>
      </c>
      <c r="U407" s="1" t="str">
        <f t="shared" si="26"/>
        <v>OK</v>
      </c>
      <c r="V407" s="1" t="str">
        <f>_xlfn.XLOOKUP(C407,Payers!$A$2:$A$9,Payers!$B$2:$B$9)</f>
        <v>Medicare Part B</v>
      </c>
      <c r="W407" s="1" t="str">
        <f t="shared" si="27"/>
        <v>2026-05</v>
      </c>
    </row>
    <row r="408" spans="1:23">
      <c r="A408" s="1" t="s">
        <v>844</v>
      </c>
      <c r="B408" s="1" t="s">
        <v>845</v>
      </c>
      <c r="C408" s="1" t="s">
        <v>36</v>
      </c>
      <c r="D408" s="1" t="s">
        <v>19</v>
      </c>
      <c r="E408" s="1" t="s">
        <v>57</v>
      </c>
      <c r="F408">
        <v>1</v>
      </c>
      <c r="G408" s="2">
        <v>46157</v>
      </c>
      <c r="H408" s="2">
        <v>46160</v>
      </c>
      <c r="I408">
        <v>207.58</v>
      </c>
      <c r="M408" s="1" t="s">
        <v>32</v>
      </c>
      <c r="N408" s="1" t="s">
        <v>33</v>
      </c>
      <c r="O408" s="2">
        <v>46200</v>
      </c>
      <c r="P408" s="2"/>
      <c r="Q408">
        <f>_xlfn.XLOOKUP(E408,CPT!$A$2:$A$13,CPT!$D$2:$D$13)</f>
        <v>210</v>
      </c>
      <c r="R408" s="1">
        <f>_xlfn.XLOOKUP(C408,Contract!$A$2:$A$9,Contract!$B$2:$B$9)</f>
        <v>0.27</v>
      </c>
      <c r="S408" s="1">
        <f t="shared" si="24"/>
        <v>56.7</v>
      </c>
      <c r="T408" s="1" t="str">
        <f t="shared" si="25"/>
        <v/>
      </c>
      <c r="U408" s="1" t="str">
        <f t="shared" si="26"/>
        <v/>
      </c>
      <c r="V408" s="1" t="str">
        <f>_xlfn.XLOOKUP(C408,Payers!$A$2:$A$9,Payers!$B$2:$B$9)</f>
        <v>Florida Medicaid</v>
      </c>
      <c r="W408" s="1" t="str">
        <f t="shared" si="27"/>
        <v>2026-05</v>
      </c>
    </row>
    <row r="409" spans="1:23">
      <c r="A409" s="1" t="s">
        <v>846</v>
      </c>
      <c r="B409" s="1" t="s">
        <v>847</v>
      </c>
      <c r="C409" s="1" t="s">
        <v>18</v>
      </c>
      <c r="D409" s="1" t="s">
        <v>19</v>
      </c>
      <c r="E409" s="1" t="s">
        <v>20</v>
      </c>
      <c r="F409">
        <v>1</v>
      </c>
      <c r="G409" s="2">
        <v>46080</v>
      </c>
      <c r="H409" s="2">
        <v>46087</v>
      </c>
      <c r="I409">
        <v>145.84</v>
      </c>
      <c r="J409">
        <v>50.38</v>
      </c>
      <c r="K409">
        <v>40.299999999999997</v>
      </c>
      <c r="L409">
        <v>10.08</v>
      </c>
      <c r="M409" s="1" t="s">
        <v>21</v>
      </c>
      <c r="N409" s="1" t="s">
        <v>22</v>
      </c>
      <c r="O409" s="2">
        <v>46130</v>
      </c>
      <c r="P409" s="2">
        <v>46130</v>
      </c>
      <c r="Q409">
        <f>_xlfn.XLOOKUP(E409,CPT!$A$2:$A$13,CPT!$D$2:$D$13)</f>
        <v>145</v>
      </c>
      <c r="R409" s="1">
        <f>_xlfn.XLOOKUP(C409,Contract!$A$2:$A$9,Contract!$B$2:$B$9)</f>
        <v>0.38</v>
      </c>
      <c r="S409" s="1">
        <f t="shared" si="24"/>
        <v>55.1</v>
      </c>
      <c r="T409" s="1">
        <f t="shared" si="25"/>
        <v>4.7199999999999989</v>
      </c>
      <c r="U409" s="1" t="str">
        <f t="shared" si="26"/>
        <v>Underpaid</v>
      </c>
      <c r="V409" s="1" t="str">
        <f>_xlfn.XLOOKUP(C409,Payers!$A$2:$A$9,Payers!$B$2:$B$9)</f>
        <v>Sunshine Medicare Advantage</v>
      </c>
      <c r="W409" s="1" t="str">
        <f t="shared" si="27"/>
        <v>2026-02</v>
      </c>
    </row>
    <row r="410" spans="1:23">
      <c r="A410" s="1" t="s">
        <v>848</v>
      </c>
      <c r="B410" s="1" t="s">
        <v>849</v>
      </c>
      <c r="C410" s="1" t="s">
        <v>18</v>
      </c>
      <c r="D410" s="1" t="s">
        <v>26</v>
      </c>
      <c r="E410" s="1" t="s">
        <v>41</v>
      </c>
      <c r="F410">
        <v>1</v>
      </c>
      <c r="G410" s="2">
        <v>46130</v>
      </c>
      <c r="H410" s="2">
        <v>46131</v>
      </c>
      <c r="I410">
        <v>38.75</v>
      </c>
      <c r="M410" s="1" t="s">
        <v>32</v>
      </c>
      <c r="N410" s="1" t="s">
        <v>98</v>
      </c>
      <c r="O410" s="2">
        <v>46189</v>
      </c>
      <c r="P410" s="2"/>
      <c r="Q410">
        <f>_xlfn.XLOOKUP(E410,CPT!$A$2:$A$13,CPT!$D$2:$D$13)</f>
        <v>38</v>
      </c>
      <c r="R410" s="1">
        <f>_xlfn.XLOOKUP(C410,Contract!$A$2:$A$9,Contract!$B$2:$B$9)</f>
        <v>0.38</v>
      </c>
      <c r="S410" s="1">
        <f t="shared" si="24"/>
        <v>14.44</v>
      </c>
      <c r="T410" s="1" t="str">
        <f t="shared" si="25"/>
        <v/>
      </c>
      <c r="U410" s="1" t="str">
        <f t="shared" si="26"/>
        <v/>
      </c>
      <c r="V410" s="1" t="str">
        <f>_xlfn.XLOOKUP(C410,Payers!$A$2:$A$9,Payers!$B$2:$B$9)</f>
        <v>Sunshine Medicare Advantage</v>
      </c>
      <c r="W410" s="1" t="str">
        <f t="shared" si="27"/>
        <v>2026-04</v>
      </c>
    </row>
    <row r="411" spans="1:23">
      <c r="A411" s="1" t="s">
        <v>850</v>
      </c>
      <c r="B411" s="1" t="s">
        <v>851</v>
      </c>
      <c r="C411" s="1" t="s">
        <v>25</v>
      </c>
      <c r="D411" s="1" t="s">
        <v>26</v>
      </c>
      <c r="E411" s="1" t="s">
        <v>41</v>
      </c>
      <c r="F411">
        <v>1</v>
      </c>
      <c r="G411" s="2">
        <v>46068</v>
      </c>
      <c r="H411" s="2">
        <v>46076</v>
      </c>
      <c r="I411">
        <v>37.799999999999997</v>
      </c>
      <c r="J411">
        <v>12.72</v>
      </c>
      <c r="K411">
        <v>10.18</v>
      </c>
      <c r="L411">
        <v>2.54</v>
      </c>
      <c r="M411" s="1" t="s">
        <v>21</v>
      </c>
      <c r="N411" s="1" t="s">
        <v>22</v>
      </c>
      <c r="O411" s="2">
        <v>46086</v>
      </c>
      <c r="P411" s="2">
        <v>46086</v>
      </c>
      <c r="Q411">
        <f>_xlfn.XLOOKUP(E411,CPT!$A$2:$A$13,CPT!$D$2:$D$13)</f>
        <v>38</v>
      </c>
      <c r="R411" s="1">
        <f>_xlfn.XLOOKUP(C411,Contract!$A$2:$A$9,Contract!$B$2:$B$9)</f>
        <v>0.36</v>
      </c>
      <c r="S411" s="1">
        <f t="shared" si="24"/>
        <v>13.68</v>
      </c>
      <c r="T411" s="1">
        <f t="shared" si="25"/>
        <v>0.95999999999999908</v>
      </c>
      <c r="U411" s="1" t="str">
        <f t="shared" si="26"/>
        <v>Underpaid</v>
      </c>
      <c r="V411" s="1" t="str">
        <f>_xlfn.XLOOKUP(C411,Payers!$A$2:$A$9,Payers!$B$2:$B$9)</f>
        <v>Medicare Part B</v>
      </c>
      <c r="W411" s="1" t="str">
        <f t="shared" si="27"/>
        <v>2026-02</v>
      </c>
    </row>
    <row r="412" spans="1:23">
      <c r="A412" s="1" t="s">
        <v>852</v>
      </c>
      <c r="B412" s="1" t="s">
        <v>853</v>
      </c>
      <c r="C412" s="1" t="s">
        <v>60</v>
      </c>
      <c r="D412" s="1" t="s">
        <v>19</v>
      </c>
      <c r="E412" s="1" t="s">
        <v>41</v>
      </c>
      <c r="F412">
        <v>1</v>
      </c>
      <c r="G412" s="2">
        <v>45940</v>
      </c>
      <c r="H412" s="2">
        <v>45954</v>
      </c>
      <c r="I412">
        <v>37.21</v>
      </c>
      <c r="M412" s="1" t="s">
        <v>32</v>
      </c>
      <c r="N412" s="1" t="s">
        <v>49</v>
      </c>
      <c r="O412" s="2">
        <v>45988</v>
      </c>
      <c r="P412" s="2"/>
      <c r="Q412">
        <f>_xlfn.XLOOKUP(E412,CPT!$A$2:$A$13,CPT!$D$2:$D$13)</f>
        <v>38</v>
      </c>
      <c r="R412" s="1">
        <f>_xlfn.XLOOKUP(C412,Contract!$A$2:$A$9,Contract!$B$2:$B$9)</f>
        <v>0.45</v>
      </c>
      <c r="S412" s="1">
        <f t="shared" si="24"/>
        <v>17.100000000000001</v>
      </c>
      <c r="T412" s="1" t="str">
        <f t="shared" si="25"/>
        <v/>
      </c>
      <c r="U412" s="1" t="str">
        <f t="shared" si="26"/>
        <v/>
      </c>
      <c r="V412" s="1" t="str">
        <f>_xlfn.XLOOKUP(C412,Payers!$A$2:$A$9,Payers!$B$2:$B$9)</f>
        <v>Blue Horizon Commercial</v>
      </c>
      <c r="W412" s="1" t="str">
        <f t="shared" si="27"/>
        <v>2025-10</v>
      </c>
    </row>
    <row r="413" spans="1:23">
      <c r="A413" s="1" t="s">
        <v>854</v>
      </c>
      <c r="B413" s="1" t="s">
        <v>855</v>
      </c>
      <c r="C413" s="1" t="s">
        <v>36</v>
      </c>
      <c r="D413" s="1" t="s">
        <v>19</v>
      </c>
      <c r="E413" s="1" t="s">
        <v>88</v>
      </c>
      <c r="F413">
        <v>1</v>
      </c>
      <c r="G413" s="2">
        <v>46186</v>
      </c>
      <c r="H413" s="2">
        <v>46189</v>
      </c>
      <c r="I413">
        <v>267.77</v>
      </c>
      <c r="J413">
        <v>68.48</v>
      </c>
      <c r="K413">
        <v>68.48</v>
      </c>
      <c r="L413">
        <v>0</v>
      </c>
      <c r="M413" s="1" t="s">
        <v>21</v>
      </c>
      <c r="N413" s="1" t="s">
        <v>22</v>
      </c>
      <c r="O413" s="2">
        <v>46238</v>
      </c>
      <c r="P413" s="2">
        <v>46238</v>
      </c>
      <c r="Q413">
        <f>_xlfn.XLOOKUP(E413,CPT!$A$2:$A$13,CPT!$D$2:$D$13)</f>
        <v>260</v>
      </c>
      <c r="R413" s="1">
        <f>_xlfn.XLOOKUP(C413,Contract!$A$2:$A$9,Contract!$B$2:$B$9)</f>
        <v>0.27</v>
      </c>
      <c r="S413" s="1">
        <f t="shared" si="24"/>
        <v>70.2</v>
      </c>
      <c r="T413" s="1">
        <f t="shared" si="25"/>
        <v>1.7199999999999989</v>
      </c>
      <c r="U413" s="1" t="str">
        <f t="shared" si="26"/>
        <v>OK</v>
      </c>
      <c r="V413" s="1" t="str">
        <f>_xlfn.XLOOKUP(C413,Payers!$A$2:$A$9,Payers!$B$2:$B$9)</f>
        <v>Florida Medicaid</v>
      </c>
      <c r="W413" s="1" t="str">
        <f t="shared" si="27"/>
        <v>2026-06</v>
      </c>
    </row>
    <row r="414" spans="1:23">
      <c r="A414" s="1" t="s">
        <v>856</v>
      </c>
      <c r="B414" s="1" t="s">
        <v>857</v>
      </c>
      <c r="C414" s="1" t="s">
        <v>60</v>
      </c>
      <c r="D414" s="1" t="s">
        <v>26</v>
      </c>
      <c r="E414" s="1" t="s">
        <v>113</v>
      </c>
      <c r="F414">
        <v>1</v>
      </c>
      <c r="G414" s="2">
        <v>46171</v>
      </c>
      <c r="H414" s="2">
        <v>46181</v>
      </c>
      <c r="I414">
        <v>1029.94</v>
      </c>
      <c r="J414">
        <v>446.4</v>
      </c>
      <c r="K414">
        <v>446.4</v>
      </c>
      <c r="L414">
        <v>0</v>
      </c>
      <c r="M414" s="1" t="s">
        <v>21</v>
      </c>
      <c r="N414" s="1" t="s">
        <v>22</v>
      </c>
      <c r="O414" s="2">
        <v>46231</v>
      </c>
      <c r="P414" s="2">
        <v>46231</v>
      </c>
      <c r="Q414">
        <f>_xlfn.XLOOKUP(E414,CPT!$A$2:$A$13,CPT!$D$2:$D$13)</f>
        <v>1050</v>
      </c>
      <c r="R414" s="1">
        <f>_xlfn.XLOOKUP(C414,Contract!$A$2:$A$9,Contract!$B$2:$B$9)</f>
        <v>0.45</v>
      </c>
      <c r="S414" s="1">
        <f t="shared" si="24"/>
        <v>472.5</v>
      </c>
      <c r="T414" s="1">
        <f t="shared" si="25"/>
        <v>26.100000000000023</v>
      </c>
      <c r="U414" s="1" t="str">
        <f t="shared" si="26"/>
        <v>Underpaid</v>
      </c>
      <c r="V414" s="1" t="str">
        <f>_xlfn.XLOOKUP(C414,Payers!$A$2:$A$9,Payers!$B$2:$B$9)</f>
        <v>Blue Horizon Commercial</v>
      </c>
      <c r="W414" s="1" t="str">
        <f t="shared" si="27"/>
        <v>2026-05</v>
      </c>
    </row>
    <row r="415" spans="1:23">
      <c r="A415" s="1" t="s">
        <v>858</v>
      </c>
      <c r="B415" s="1" t="s">
        <v>859</v>
      </c>
      <c r="C415" s="1" t="s">
        <v>76</v>
      </c>
      <c r="D415" s="1" t="s">
        <v>37</v>
      </c>
      <c r="E415" s="1" t="s">
        <v>48</v>
      </c>
      <c r="F415">
        <v>1</v>
      </c>
      <c r="G415" s="2">
        <v>45948</v>
      </c>
      <c r="H415" s="2">
        <v>45954</v>
      </c>
      <c r="I415">
        <v>412.42</v>
      </c>
      <c r="M415" s="1" t="s">
        <v>32</v>
      </c>
      <c r="N415" s="1" t="s">
        <v>33</v>
      </c>
      <c r="O415" s="2">
        <v>45988</v>
      </c>
      <c r="P415" s="2"/>
      <c r="Q415">
        <f>_xlfn.XLOOKUP(E415,CPT!$A$2:$A$13,CPT!$D$2:$D$13)</f>
        <v>420</v>
      </c>
      <c r="R415" s="1">
        <f>_xlfn.XLOOKUP(C415,Contract!$A$2:$A$9,Contract!$B$2:$B$9)</f>
        <v>0.43</v>
      </c>
      <c r="S415" s="1">
        <f t="shared" si="24"/>
        <v>180.6</v>
      </c>
      <c r="T415" s="1" t="str">
        <f t="shared" si="25"/>
        <v/>
      </c>
      <c r="U415" s="1" t="str">
        <f t="shared" si="26"/>
        <v/>
      </c>
      <c r="V415" s="1" t="str">
        <f>_xlfn.XLOOKUP(C415,Payers!$A$2:$A$9,Payers!$B$2:$B$9)</f>
        <v>Summit Health Commercial</v>
      </c>
      <c r="W415" s="1" t="str">
        <f t="shared" si="27"/>
        <v>2025-10</v>
      </c>
    </row>
    <row r="416" spans="1:23">
      <c r="A416" s="1" t="s">
        <v>860</v>
      </c>
      <c r="B416" s="1" t="s">
        <v>861</v>
      </c>
      <c r="C416" s="1" t="s">
        <v>60</v>
      </c>
      <c r="D416" s="1" t="s">
        <v>26</v>
      </c>
      <c r="E416" s="1" t="s">
        <v>185</v>
      </c>
      <c r="F416">
        <v>1</v>
      </c>
      <c r="G416" s="2">
        <v>45952</v>
      </c>
      <c r="H416" s="2">
        <v>45956</v>
      </c>
      <c r="I416">
        <v>1166.8900000000001</v>
      </c>
      <c r="M416" s="1" t="s">
        <v>32</v>
      </c>
      <c r="N416" s="1" t="s">
        <v>49</v>
      </c>
      <c r="O416" s="2">
        <v>45982</v>
      </c>
      <c r="P416" s="2"/>
      <c r="Q416">
        <f>_xlfn.XLOOKUP(E416,CPT!$A$2:$A$13,CPT!$D$2:$D$13)</f>
        <v>1150</v>
      </c>
      <c r="R416" s="1">
        <f>_xlfn.XLOOKUP(C416,Contract!$A$2:$A$9,Contract!$B$2:$B$9)</f>
        <v>0.45</v>
      </c>
      <c r="S416" s="1">
        <f t="shared" si="24"/>
        <v>517.5</v>
      </c>
      <c r="T416" s="1" t="str">
        <f t="shared" si="25"/>
        <v/>
      </c>
      <c r="U416" s="1" t="str">
        <f t="shared" si="26"/>
        <v/>
      </c>
      <c r="V416" s="1" t="str">
        <f>_xlfn.XLOOKUP(C416,Payers!$A$2:$A$9,Payers!$B$2:$B$9)</f>
        <v>Blue Horizon Commercial</v>
      </c>
      <c r="W416" s="1" t="str">
        <f t="shared" si="27"/>
        <v>2025-10</v>
      </c>
    </row>
    <row r="417" spans="1:23">
      <c r="A417" s="1" t="s">
        <v>862</v>
      </c>
      <c r="B417" s="1" t="s">
        <v>863</v>
      </c>
      <c r="C417" s="1" t="s">
        <v>36</v>
      </c>
      <c r="D417" s="1" t="s">
        <v>26</v>
      </c>
      <c r="E417" s="1" t="s">
        <v>57</v>
      </c>
      <c r="F417">
        <v>1</v>
      </c>
      <c r="G417" s="2">
        <v>46230</v>
      </c>
      <c r="H417" s="2">
        <v>46237</v>
      </c>
      <c r="I417">
        <v>205.21</v>
      </c>
      <c r="M417" s="1" t="s">
        <v>32</v>
      </c>
      <c r="N417" s="1" t="s">
        <v>33</v>
      </c>
      <c r="O417" s="2">
        <v>46280</v>
      </c>
      <c r="P417" s="2"/>
      <c r="Q417">
        <f>_xlfn.XLOOKUP(E417,CPT!$A$2:$A$13,CPT!$D$2:$D$13)</f>
        <v>210</v>
      </c>
      <c r="R417" s="1">
        <f>_xlfn.XLOOKUP(C417,Contract!$A$2:$A$9,Contract!$B$2:$B$9)</f>
        <v>0.27</v>
      </c>
      <c r="S417" s="1">
        <f t="shared" si="24"/>
        <v>56.7</v>
      </c>
      <c r="T417" s="1" t="str">
        <f t="shared" si="25"/>
        <v/>
      </c>
      <c r="U417" s="1" t="str">
        <f t="shared" si="26"/>
        <v/>
      </c>
      <c r="V417" s="1" t="str">
        <f>_xlfn.XLOOKUP(C417,Payers!$A$2:$A$9,Payers!$B$2:$B$9)</f>
        <v>Florida Medicaid</v>
      </c>
      <c r="W417" s="1" t="str">
        <f t="shared" si="27"/>
        <v>2026-07</v>
      </c>
    </row>
    <row r="418" spans="1:23">
      <c r="A418" s="1" t="s">
        <v>864</v>
      </c>
      <c r="B418" s="1" t="s">
        <v>865</v>
      </c>
      <c r="C418" s="1" t="s">
        <v>60</v>
      </c>
      <c r="D418" s="1" t="s">
        <v>26</v>
      </c>
      <c r="E418" s="1" t="s">
        <v>44</v>
      </c>
      <c r="F418">
        <v>1</v>
      </c>
      <c r="G418" s="2">
        <v>46011</v>
      </c>
      <c r="H418" s="2">
        <v>46016</v>
      </c>
      <c r="I418">
        <v>4799.9799999999996</v>
      </c>
      <c r="J418">
        <v>2475.6</v>
      </c>
      <c r="K418">
        <v>2228.04</v>
      </c>
      <c r="L418">
        <v>247.56</v>
      </c>
      <c r="M418" s="1" t="s">
        <v>21</v>
      </c>
      <c r="N418" s="1" t="s">
        <v>22</v>
      </c>
      <c r="O418" s="2">
        <v>46044</v>
      </c>
      <c r="P418" s="2">
        <v>46044</v>
      </c>
      <c r="Q418">
        <f>_xlfn.XLOOKUP(E418,CPT!$A$2:$A$13,CPT!$D$2:$D$13)</f>
        <v>4800</v>
      </c>
      <c r="R418" s="1">
        <f>_xlfn.XLOOKUP(C418,Contract!$A$2:$A$9,Contract!$B$2:$B$9)</f>
        <v>0.45</v>
      </c>
      <c r="S418" s="1">
        <f t="shared" si="24"/>
        <v>2160</v>
      </c>
      <c r="T418" s="1">
        <f t="shared" si="25"/>
        <v>-315.59999999999991</v>
      </c>
      <c r="U418" s="1" t="str">
        <f t="shared" si="26"/>
        <v>OK</v>
      </c>
      <c r="V418" s="1" t="str">
        <f>_xlfn.XLOOKUP(C418,Payers!$A$2:$A$9,Payers!$B$2:$B$9)</f>
        <v>Blue Horizon Commercial</v>
      </c>
      <c r="W418" s="1" t="str">
        <f t="shared" si="27"/>
        <v>2025-12</v>
      </c>
    </row>
    <row r="419" spans="1:23">
      <c r="A419" s="1" t="s">
        <v>866</v>
      </c>
      <c r="B419" s="1" t="s">
        <v>867</v>
      </c>
      <c r="C419" s="1" t="s">
        <v>36</v>
      </c>
      <c r="D419" s="1" t="s">
        <v>26</v>
      </c>
      <c r="E419" s="1" t="s">
        <v>27</v>
      </c>
      <c r="F419">
        <v>1</v>
      </c>
      <c r="G419" s="2">
        <v>45995</v>
      </c>
      <c r="H419" s="2">
        <v>45997</v>
      </c>
      <c r="I419">
        <v>239.82</v>
      </c>
      <c r="J419">
        <v>67.67</v>
      </c>
      <c r="K419">
        <v>60.9</v>
      </c>
      <c r="L419">
        <v>6.77</v>
      </c>
      <c r="M419" s="1" t="s">
        <v>21</v>
      </c>
      <c r="N419" s="1" t="s">
        <v>22</v>
      </c>
      <c r="O419" s="2">
        <v>46032</v>
      </c>
      <c r="P419" s="2">
        <v>46032</v>
      </c>
      <c r="Q419">
        <f>_xlfn.XLOOKUP(E419,CPT!$A$2:$A$13,CPT!$D$2:$D$13)</f>
        <v>240</v>
      </c>
      <c r="R419" s="1">
        <f>_xlfn.XLOOKUP(C419,Contract!$A$2:$A$9,Contract!$B$2:$B$9)</f>
        <v>0.27</v>
      </c>
      <c r="S419" s="1">
        <f t="shared" si="24"/>
        <v>64.8</v>
      </c>
      <c r="T419" s="1">
        <f t="shared" si="25"/>
        <v>-2.8700000000000045</v>
      </c>
      <c r="U419" s="1" t="str">
        <f t="shared" si="26"/>
        <v>OK</v>
      </c>
      <c r="V419" s="1" t="str">
        <f>_xlfn.XLOOKUP(C419,Payers!$A$2:$A$9,Payers!$B$2:$B$9)</f>
        <v>Florida Medicaid</v>
      </c>
      <c r="W419" s="1" t="str">
        <f t="shared" si="27"/>
        <v>2025-12</v>
      </c>
    </row>
    <row r="420" spans="1:23">
      <c r="A420" s="1" t="s">
        <v>868</v>
      </c>
      <c r="B420" s="1" t="s">
        <v>869</v>
      </c>
      <c r="C420" s="1" t="s">
        <v>60</v>
      </c>
      <c r="D420" s="1" t="s">
        <v>30</v>
      </c>
      <c r="E420" s="1" t="s">
        <v>20</v>
      </c>
      <c r="F420">
        <v>1</v>
      </c>
      <c r="G420" s="2">
        <v>46283</v>
      </c>
      <c r="H420" s="2">
        <v>46289</v>
      </c>
      <c r="I420">
        <v>143.94</v>
      </c>
      <c r="M420" s="1" t="s">
        <v>69</v>
      </c>
      <c r="N420" s="1" t="s">
        <v>22</v>
      </c>
      <c r="O420" s="2"/>
      <c r="P420" s="2"/>
      <c r="Q420">
        <f>_xlfn.XLOOKUP(E420,CPT!$A$2:$A$13,CPT!$D$2:$D$13)</f>
        <v>145</v>
      </c>
      <c r="R420" s="1">
        <f>_xlfn.XLOOKUP(C420,Contract!$A$2:$A$9,Contract!$B$2:$B$9)</f>
        <v>0.45</v>
      </c>
      <c r="S420" s="1">
        <f t="shared" si="24"/>
        <v>65.25</v>
      </c>
      <c r="T420" s="1" t="str">
        <f t="shared" si="25"/>
        <v/>
      </c>
      <c r="U420" s="1" t="str">
        <f t="shared" si="26"/>
        <v/>
      </c>
      <c r="V420" s="1" t="str">
        <f>_xlfn.XLOOKUP(C420,Payers!$A$2:$A$9,Payers!$B$2:$B$9)</f>
        <v>Blue Horizon Commercial</v>
      </c>
      <c r="W420" s="1" t="str">
        <f t="shared" si="27"/>
        <v>2026-09</v>
      </c>
    </row>
    <row r="421" spans="1:23">
      <c r="A421" s="1" t="s">
        <v>870</v>
      </c>
      <c r="B421" s="1" t="s">
        <v>871</v>
      </c>
      <c r="C421" s="1" t="s">
        <v>76</v>
      </c>
      <c r="D421" s="1" t="s">
        <v>26</v>
      </c>
      <c r="E421" s="1" t="s">
        <v>185</v>
      </c>
      <c r="F421">
        <v>1</v>
      </c>
      <c r="G421" s="2">
        <v>46170</v>
      </c>
      <c r="H421" s="2">
        <v>46178</v>
      </c>
      <c r="I421">
        <v>1134.5</v>
      </c>
      <c r="J421">
        <v>493.23</v>
      </c>
      <c r="K421">
        <v>493.23</v>
      </c>
      <c r="L421">
        <v>0</v>
      </c>
      <c r="M421" s="1" t="s">
        <v>21</v>
      </c>
      <c r="N421" s="1" t="s">
        <v>22</v>
      </c>
      <c r="O421" s="2">
        <v>46207</v>
      </c>
      <c r="P421" s="2">
        <v>46207</v>
      </c>
      <c r="Q421">
        <f>_xlfn.XLOOKUP(E421,CPT!$A$2:$A$13,CPT!$D$2:$D$13)</f>
        <v>1150</v>
      </c>
      <c r="R421" s="1">
        <f>_xlfn.XLOOKUP(C421,Contract!$A$2:$A$9,Contract!$B$2:$B$9)</f>
        <v>0.43</v>
      </c>
      <c r="S421" s="1">
        <f t="shared" si="24"/>
        <v>494.5</v>
      </c>
      <c r="T421" s="1">
        <f t="shared" si="25"/>
        <v>1.2699999999999818</v>
      </c>
      <c r="U421" s="1" t="str">
        <f t="shared" si="26"/>
        <v>OK</v>
      </c>
      <c r="V421" s="1" t="str">
        <f>_xlfn.XLOOKUP(C421,Payers!$A$2:$A$9,Payers!$B$2:$B$9)</f>
        <v>Summit Health Commercial</v>
      </c>
      <c r="W421" s="1" t="str">
        <f t="shared" si="27"/>
        <v>2026-05</v>
      </c>
    </row>
    <row r="422" spans="1:23">
      <c r="A422" s="1" t="s">
        <v>872</v>
      </c>
      <c r="B422" s="1" t="s">
        <v>873</v>
      </c>
      <c r="C422" s="1" t="s">
        <v>36</v>
      </c>
      <c r="D422" s="1" t="s">
        <v>26</v>
      </c>
      <c r="E422" s="1" t="s">
        <v>185</v>
      </c>
      <c r="F422">
        <v>1</v>
      </c>
      <c r="G422" s="2">
        <v>46208</v>
      </c>
      <c r="H422" s="2">
        <v>46209</v>
      </c>
      <c r="I422">
        <v>1140.83</v>
      </c>
      <c r="J422">
        <v>296.43</v>
      </c>
      <c r="K422">
        <v>266.79000000000002</v>
      </c>
      <c r="L422">
        <v>29.64</v>
      </c>
      <c r="M422" s="1" t="s">
        <v>21</v>
      </c>
      <c r="N422" s="1" t="s">
        <v>22</v>
      </c>
      <c r="O422" s="2">
        <v>46249</v>
      </c>
      <c r="P422" s="2">
        <v>46249</v>
      </c>
      <c r="Q422">
        <f>_xlfn.XLOOKUP(E422,CPT!$A$2:$A$13,CPT!$D$2:$D$13)</f>
        <v>1150</v>
      </c>
      <c r="R422" s="1">
        <f>_xlfn.XLOOKUP(C422,Contract!$A$2:$A$9,Contract!$B$2:$B$9)</f>
        <v>0.27</v>
      </c>
      <c r="S422" s="1">
        <f t="shared" si="24"/>
        <v>310.5</v>
      </c>
      <c r="T422" s="1">
        <f t="shared" si="25"/>
        <v>14.069999999999993</v>
      </c>
      <c r="U422" s="1" t="str">
        <f t="shared" si="26"/>
        <v>OK</v>
      </c>
      <c r="V422" s="1" t="str">
        <f>_xlfn.XLOOKUP(C422,Payers!$A$2:$A$9,Payers!$B$2:$B$9)</f>
        <v>Florida Medicaid</v>
      </c>
      <c r="W422" s="1" t="str">
        <f t="shared" si="27"/>
        <v>2026-07</v>
      </c>
    </row>
    <row r="423" spans="1:23">
      <c r="A423" s="1" t="s">
        <v>874</v>
      </c>
      <c r="B423" s="1" t="s">
        <v>875</v>
      </c>
      <c r="C423" s="1" t="s">
        <v>18</v>
      </c>
      <c r="D423" s="1" t="s">
        <v>19</v>
      </c>
      <c r="E423" s="1" t="s">
        <v>88</v>
      </c>
      <c r="F423">
        <v>1</v>
      </c>
      <c r="G423" s="2">
        <v>46268</v>
      </c>
      <c r="H423" s="2">
        <v>46275</v>
      </c>
      <c r="I423">
        <v>267.29000000000002</v>
      </c>
      <c r="M423" s="1" t="s">
        <v>69</v>
      </c>
      <c r="N423" s="1" t="s">
        <v>22</v>
      </c>
      <c r="O423" s="2"/>
      <c r="P423" s="2"/>
      <c r="Q423">
        <f>_xlfn.XLOOKUP(E423,CPT!$A$2:$A$13,CPT!$D$2:$D$13)</f>
        <v>260</v>
      </c>
      <c r="R423" s="1">
        <f>_xlfn.XLOOKUP(C423,Contract!$A$2:$A$9,Contract!$B$2:$B$9)</f>
        <v>0.38</v>
      </c>
      <c r="S423" s="1">
        <f t="shared" si="24"/>
        <v>98.8</v>
      </c>
      <c r="T423" s="1" t="str">
        <f t="shared" si="25"/>
        <v/>
      </c>
      <c r="U423" s="1" t="str">
        <f t="shared" si="26"/>
        <v/>
      </c>
      <c r="V423" s="1" t="str">
        <f>_xlfn.XLOOKUP(C423,Payers!$A$2:$A$9,Payers!$B$2:$B$9)</f>
        <v>Sunshine Medicare Advantage</v>
      </c>
      <c r="W423" s="1" t="str">
        <f t="shared" si="27"/>
        <v>2026-09</v>
      </c>
    </row>
    <row r="424" spans="1:23">
      <c r="A424" s="1" t="s">
        <v>876</v>
      </c>
      <c r="B424" s="1" t="s">
        <v>877</v>
      </c>
      <c r="C424" s="1" t="s">
        <v>76</v>
      </c>
      <c r="D424" s="1" t="s">
        <v>19</v>
      </c>
      <c r="E424" s="1" t="s">
        <v>88</v>
      </c>
      <c r="F424">
        <v>1</v>
      </c>
      <c r="G424" s="2">
        <v>46095</v>
      </c>
      <c r="H424" s="2">
        <v>46098</v>
      </c>
      <c r="I424">
        <v>253.92</v>
      </c>
      <c r="M424" s="1" t="s">
        <v>32</v>
      </c>
      <c r="N424" s="1" t="s">
        <v>281</v>
      </c>
      <c r="O424" s="2">
        <v>46134</v>
      </c>
      <c r="P424" s="2"/>
      <c r="Q424">
        <f>_xlfn.XLOOKUP(E424,CPT!$A$2:$A$13,CPT!$D$2:$D$13)</f>
        <v>260</v>
      </c>
      <c r="R424" s="1">
        <f>_xlfn.XLOOKUP(C424,Contract!$A$2:$A$9,Contract!$B$2:$B$9)</f>
        <v>0.43</v>
      </c>
      <c r="S424" s="1">
        <f t="shared" si="24"/>
        <v>111.8</v>
      </c>
      <c r="T424" s="1" t="str">
        <f t="shared" si="25"/>
        <v/>
      </c>
      <c r="U424" s="1" t="str">
        <f t="shared" si="26"/>
        <v/>
      </c>
      <c r="V424" s="1" t="str">
        <f>_xlfn.XLOOKUP(C424,Payers!$A$2:$A$9,Payers!$B$2:$B$9)</f>
        <v>Summit Health Commercial</v>
      </c>
      <c r="W424" s="1" t="str">
        <f t="shared" si="27"/>
        <v>2026-03</v>
      </c>
    </row>
    <row r="425" spans="1:23">
      <c r="A425" s="1" t="s">
        <v>878</v>
      </c>
      <c r="B425" s="1" t="s">
        <v>879</v>
      </c>
      <c r="C425" s="1" t="s">
        <v>25</v>
      </c>
      <c r="D425" s="1" t="s">
        <v>19</v>
      </c>
      <c r="E425" s="1" t="s">
        <v>41</v>
      </c>
      <c r="F425">
        <v>1</v>
      </c>
      <c r="G425" s="2">
        <v>46290</v>
      </c>
      <c r="H425" s="2">
        <v>46291</v>
      </c>
      <c r="I425">
        <v>38.21</v>
      </c>
      <c r="M425" s="1" t="s">
        <v>69</v>
      </c>
      <c r="N425" s="1" t="s">
        <v>22</v>
      </c>
      <c r="O425" s="2"/>
      <c r="P425" s="2"/>
      <c r="Q425">
        <f>_xlfn.XLOOKUP(E425,CPT!$A$2:$A$13,CPT!$D$2:$D$13)</f>
        <v>38</v>
      </c>
      <c r="R425" s="1">
        <f>_xlfn.XLOOKUP(C425,Contract!$A$2:$A$9,Contract!$B$2:$B$9)</f>
        <v>0.36</v>
      </c>
      <c r="S425" s="1">
        <f t="shared" si="24"/>
        <v>13.68</v>
      </c>
      <c r="T425" s="1" t="str">
        <f t="shared" si="25"/>
        <v/>
      </c>
      <c r="U425" s="1" t="str">
        <f t="shared" si="26"/>
        <v/>
      </c>
      <c r="V425" s="1" t="str">
        <f>_xlfn.XLOOKUP(C425,Payers!$A$2:$A$9,Payers!$B$2:$B$9)</f>
        <v>Medicare Part B</v>
      </c>
      <c r="W425" s="1" t="str">
        <f t="shared" si="27"/>
        <v>2026-09</v>
      </c>
    </row>
    <row r="426" spans="1:23">
      <c r="A426" s="1" t="s">
        <v>880</v>
      </c>
      <c r="B426" s="1" t="s">
        <v>881</v>
      </c>
      <c r="C426" s="1" t="s">
        <v>25</v>
      </c>
      <c r="D426" s="1" t="s">
        <v>30</v>
      </c>
      <c r="E426" s="1" t="s">
        <v>31</v>
      </c>
      <c r="F426">
        <v>2</v>
      </c>
      <c r="G426" s="2">
        <v>45971</v>
      </c>
      <c r="H426" s="2">
        <v>45972</v>
      </c>
      <c r="I426">
        <v>126.24</v>
      </c>
      <c r="J426">
        <v>44.26</v>
      </c>
      <c r="K426">
        <v>39.83</v>
      </c>
      <c r="L426">
        <v>4.43</v>
      </c>
      <c r="M426" s="1" t="s">
        <v>21</v>
      </c>
      <c r="N426" s="1" t="s">
        <v>22</v>
      </c>
      <c r="O426" s="2">
        <v>45984</v>
      </c>
      <c r="P426" s="2">
        <v>45984</v>
      </c>
      <c r="Q426">
        <f>_xlfn.XLOOKUP(E426,CPT!$A$2:$A$13,CPT!$D$2:$D$13)</f>
        <v>62</v>
      </c>
      <c r="R426" s="1">
        <f>_xlfn.XLOOKUP(C426,Contract!$A$2:$A$9,Contract!$B$2:$B$9)</f>
        <v>0.36</v>
      </c>
      <c r="S426" s="1">
        <f t="shared" si="24"/>
        <v>44.64</v>
      </c>
      <c r="T426" s="1">
        <f t="shared" si="25"/>
        <v>0.38000000000000256</v>
      </c>
      <c r="U426" s="1" t="str">
        <f t="shared" si="26"/>
        <v>OK</v>
      </c>
      <c r="V426" s="1" t="str">
        <f>_xlfn.XLOOKUP(C426,Payers!$A$2:$A$9,Payers!$B$2:$B$9)</f>
        <v>Medicare Part B</v>
      </c>
      <c r="W426" s="1" t="str">
        <f t="shared" si="27"/>
        <v>2025-11</v>
      </c>
    </row>
    <row r="427" spans="1:23">
      <c r="A427" s="1" t="s">
        <v>882</v>
      </c>
      <c r="B427" s="1" t="s">
        <v>883</v>
      </c>
      <c r="C427" s="1" t="s">
        <v>36</v>
      </c>
      <c r="D427" s="1" t="s">
        <v>26</v>
      </c>
      <c r="E427" s="1" t="s">
        <v>88</v>
      </c>
      <c r="F427">
        <v>1</v>
      </c>
      <c r="G427" s="2">
        <v>45970</v>
      </c>
      <c r="H427" s="2">
        <v>45983</v>
      </c>
      <c r="I427">
        <v>266.94</v>
      </c>
      <c r="M427" s="1" t="s">
        <v>32</v>
      </c>
      <c r="N427" s="1" t="s">
        <v>168</v>
      </c>
      <c r="O427" s="2">
        <v>46036</v>
      </c>
      <c r="P427" s="2"/>
      <c r="Q427">
        <f>_xlfn.XLOOKUP(E427,CPT!$A$2:$A$13,CPT!$D$2:$D$13)</f>
        <v>260</v>
      </c>
      <c r="R427" s="1">
        <f>_xlfn.XLOOKUP(C427,Contract!$A$2:$A$9,Contract!$B$2:$B$9)</f>
        <v>0.27</v>
      </c>
      <c r="S427" s="1">
        <f t="shared" si="24"/>
        <v>70.2</v>
      </c>
      <c r="T427" s="1" t="str">
        <f t="shared" si="25"/>
        <v/>
      </c>
      <c r="U427" s="1" t="str">
        <f t="shared" si="26"/>
        <v/>
      </c>
      <c r="V427" s="1" t="str">
        <f>_xlfn.XLOOKUP(C427,Payers!$A$2:$A$9,Payers!$B$2:$B$9)</f>
        <v>Florida Medicaid</v>
      </c>
      <c r="W427" s="1" t="str">
        <f t="shared" si="27"/>
        <v>2025-11</v>
      </c>
    </row>
    <row r="428" spans="1:23">
      <c r="A428" s="1" t="s">
        <v>884</v>
      </c>
      <c r="B428" s="1" t="s">
        <v>885</v>
      </c>
      <c r="C428" s="1" t="s">
        <v>25</v>
      </c>
      <c r="D428" s="1" t="s">
        <v>26</v>
      </c>
      <c r="E428" s="1" t="s">
        <v>41</v>
      </c>
      <c r="F428">
        <v>1</v>
      </c>
      <c r="G428" s="2">
        <v>45985</v>
      </c>
      <c r="H428" s="2">
        <v>45989</v>
      </c>
      <c r="I428">
        <v>38.61</v>
      </c>
      <c r="J428">
        <v>14.78</v>
      </c>
      <c r="K428">
        <v>14.78</v>
      </c>
      <c r="L428">
        <v>0</v>
      </c>
      <c r="M428" s="1" t="s">
        <v>21</v>
      </c>
      <c r="N428" s="1" t="s">
        <v>22</v>
      </c>
      <c r="O428" s="2">
        <v>46004</v>
      </c>
      <c r="P428" s="2">
        <v>46004</v>
      </c>
      <c r="Q428">
        <f>_xlfn.XLOOKUP(E428,CPT!$A$2:$A$13,CPT!$D$2:$D$13)</f>
        <v>38</v>
      </c>
      <c r="R428" s="1">
        <f>_xlfn.XLOOKUP(C428,Contract!$A$2:$A$9,Contract!$B$2:$B$9)</f>
        <v>0.36</v>
      </c>
      <c r="S428" s="1">
        <f t="shared" si="24"/>
        <v>13.68</v>
      </c>
      <c r="T428" s="1">
        <f t="shared" si="25"/>
        <v>-1.0999999999999996</v>
      </c>
      <c r="U428" s="1" t="str">
        <f t="shared" si="26"/>
        <v>OK</v>
      </c>
      <c r="V428" s="1" t="str">
        <f>_xlfn.XLOOKUP(C428,Payers!$A$2:$A$9,Payers!$B$2:$B$9)</f>
        <v>Medicare Part B</v>
      </c>
      <c r="W428" s="1" t="str">
        <f t="shared" si="27"/>
        <v>2025-11</v>
      </c>
    </row>
    <row r="429" spans="1:23">
      <c r="A429" s="1" t="s">
        <v>886</v>
      </c>
      <c r="B429" s="1" t="s">
        <v>554</v>
      </c>
      <c r="C429" s="1" t="s">
        <v>25</v>
      </c>
      <c r="D429" s="1" t="s">
        <v>19</v>
      </c>
      <c r="E429" s="1" t="s">
        <v>88</v>
      </c>
      <c r="F429">
        <v>1</v>
      </c>
      <c r="G429" s="2">
        <v>46204</v>
      </c>
      <c r="H429" s="2">
        <v>46207</v>
      </c>
      <c r="I429">
        <v>267.77999999999997</v>
      </c>
      <c r="J429">
        <v>90.86</v>
      </c>
      <c r="K429">
        <v>81.77</v>
      </c>
      <c r="L429">
        <v>9.09</v>
      </c>
      <c r="M429" s="1" t="s">
        <v>21</v>
      </c>
      <c r="N429" s="1" t="s">
        <v>22</v>
      </c>
      <c r="O429" s="2">
        <v>46226</v>
      </c>
      <c r="P429" s="2">
        <v>46226</v>
      </c>
      <c r="Q429">
        <f>_xlfn.XLOOKUP(E429,CPT!$A$2:$A$13,CPT!$D$2:$D$13)</f>
        <v>260</v>
      </c>
      <c r="R429" s="1">
        <f>_xlfn.XLOOKUP(C429,Contract!$A$2:$A$9,Contract!$B$2:$B$9)</f>
        <v>0.36</v>
      </c>
      <c r="S429" s="1">
        <f t="shared" si="24"/>
        <v>93.6</v>
      </c>
      <c r="T429" s="1">
        <f t="shared" si="25"/>
        <v>2.7399999999999949</v>
      </c>
      <c r="U429" s="1" t="str">
        <f t="shared" si="26"/>
        <v>OK</v>
      </c>
      <c r="V429" s="1" t="str">
        <f>_xlfn.XLOOKUP(C429,Payers!$A$2:$A$9,Payers!$B$2:$B$9)</f>
        <v>Medicare Part B</v>
      </c>
      <c r="W429" s="1" t="str">
        <f t="shared" si="27"/>
        <v>2026-07</v>
      </c>
    </row>
    <row r="430" spans="1:23">
      <c r="A430" s="1" t="s">
        <v>887</v>
      </c>
      <c r="B430" s="1" t="s">
        <v>888</v>
      </c>
      <c r="C430" s="1" t="s">
        <v>36</v>
      </c>
      <c r="D430" s="1" t="s">
        <v>19</v>
      </c>
      <c r="E430" s="1" t="s">
        <v>41</v>
      </c>
      <c r="F430">
        <v>1</v>
      </c>
      <c r="G430" s="2">
        <v>46096</v>
      </c>
      <c r="H430" s="2">
        <v>46100</v>
      </c>
      <c r="I430">
        <v>38.25</v>
      </c>
      <c r="J430">
        <v>11.18</v>
      </c>
      <c r="K430">
        <v>8.94</v>
      </c>
      <c r="L430">
        <v>2.2400000000000002</v>
      </c>
      <c r="M430" s="1" t="s">
        <v>21</v>
      </c>
      <c r="N430" s="1" t="s">
        <v>22</v>
      </c>
      <c r="O430" s="2">
        <v>46148</v>
      </c>
      <c r="P430" s="2">
        <v>46148</v>
      </c>
      <c r="Q430">
        <f>_xlfn.XLOOKUP(E430,CPT!$A$2:$A$13,CPT!$D$2:$D$13)</f>
        <v>38</v>
      </c>
      <c r="R430" s="1">
        <f>_xlfn.XLOOKUP(C430,Contract!$A$2:$A$9,Contract!$B$2:$B$9)</f>
        <v>0.27</v>
      </c>
      <c r="S430" s="1">
        <f t="shared" si="24"/>
        <v>10.26</v>
      </c>
      <c r="T430" s="1">
        <f t="shared" si="25"/>
        <v>-0.91999999999999993</v>
      </c>
      <c r="U430" s="1" t="str">
        <f t="shared" si="26"/>
        <v>OK</v>
      </c>
      <c r="V430" s="1" t="str">
        <f>_xlfn.XLOOKUP(C430,Payers!$A$2:$A$9,Payers!$B$2:$B$9)</f>
        <v>Florida Medicaid</v>
      </c>
      <c r="W430" s="1" t="str">
        <f t="shared" si="27"/>
        <v>2026-03</v>
      </c>
    </row>
    <row r="431" spans="1:23">
      <c r="A431" s="1" t="s">
        <v>889</v>
      </c>
      <c r="B431" s="1" t="s">
        <v>890</v>
      </c>
      <c r="C431" s="1" t="s">
        <v>18</v>
      </c>
      <c r="D431" s="1" t="s">
        <v>30</v>
      </c>
      <c r="E431" s="1" t="s">
        <v>31</v>
      </c>
      <c r="F431">
        <v>3</v>
      </c>
      <c r="G431" s="2">
        <v>46076</v>
      </c>
      <c r="H431" s="2">
        <v>46077</v>
      </c>
      <c r="I431">
        <v>180.6</v>
      </c>
      <c r="M431" s="1" t="s">
        <v>32</v>
      </c>
      <c r="N431" s="1" t="s">
        <v>49</v>
      </c>
      <c r="O431" s="2">
        <v>46123</v>
      </c>
      <c r="P431" s="2"/>
      <c r="Q431">
        <f>_xlfn.XLOOKUP(E431,CPT!$A$2:$A$13,CPT!$D$2:$D$13)</f>
        <v>62</v>
      </c>
      <c r="R431" s="1">
        <f>_xlfn.XLOOKUP(C431,Contract!$A$2:$A$9,Contract!$B$2:$B$9)</f>
        <v>0.38</v>
      </c>
      <c r="S431" s="1">
        <f t="shared" si="24"/>
        <v>70.680000000000007</v>
      </c>
      <c r="T431" s="1" t="str">
        <f t="shared" si="25"/>
        <v/>
      </c>
      <c r="U431" s="1" t="str">
        <f t="shared" si="26"/>
        <v/>
      </c>
      <c r="V431" s="1" t="str">
        <f>_xlfn.XLOOKUP(C431,Payers!$A$2:$A$9,Payers!$B$2:$B$9)</f>
        <v>Sunshine Medicare Advantage</v>
      </c>
      <c r="W431" s="1" t="str">
        <f t="shared" si="27"/>
        <v>2026-02</v>
      </c>
    </row>
    <row r="432" spans="1:23">
      <c r="A432" s="1" t="s">
        <v>891</v>
      </c>
      <c r="B432" s="1" t="s">
        <v>892</v>
      </c>
      <c r="C432" s="1" t="s">
        <v>60</v>
      </c>
      <c r="D432" s="1" t="s">
        <v>19</v>
      </c>
      <c r="E432" s="1" t="s">
        <v>57</v>
      </c>
      <c r="F432">
        <v>1</v>
      </c>
      <c r="G432" s="2">
        <v>46166</v>
      </c>
      <c r="H432" s="2">
        <v>46167</v>
      </c>
      <c r="I432">
        <v>208.18</v>
      </c>
      <c r="J432">
        <v>96.08</v>
      </c>
      <c r="K432">
        <v>96.08</v>
      </c>
      <c r="L432">
        <v>0</v>
      </c>
      <c r="M432" s="1" t="s">
        <v>21</v>
      </c>
      <c r="N432" s="1" t="s">
        <v>22</v>
      </c>
      <c r="O432" s="2">
        <v>46196</v>
      </c>
      <c r="P432" s="2">
        <v>46196</v>
      </c>
      <c r="Q432">
        <f>_xlfn.XLOOKUP(E432,CPT!$A$2:$A$13,CPT!$D$2:$D$13)</f>
        <v>210</v>
      </c>
      <c r="R432" s="1">
        <f>_xlfn.XLOOKUP(C432,Contract!$A$2:$A$9,Contract!$B$2:$B$9)</f>
        <v>0.45</v>
      </c>
      <c r="S432" s="1">
        <f t="shared" si="24"/>
        <v>94.5</v>
      </c>
      <c r="T432" s="1">
        <f t="shared" si="25"/>
        <v>-1.5799999999999983</v>
      </c>
      <c r="U432" s="1" t="str">
        <f t="shared" si="26"/>
        <v>OK</v>
      </c>
      <c r="V432" s="1" t="str">
        <f>_xlfn.XLOOKUP(C432,Payers!$A$2:$A$9,Payers!$B$2:$B$9)</f>
        <v>Blue Horizon Commercial</v>
      </c>
      <c r="W432" s="1" t="str">
        <f t="shared" si="27"/>
        <v>2026-05</v>
      </c>
    </row>
    <row r="433" spans="1:23">
      <c r="A433" s="1" t="s">
        <v>893</v>
      </c>
      <c r="B433" s="1" t="s">
        <v>894</v>
      </c>
      <c r="C433" s="1" t="s">
        <v>18</v>
      </c>
      <c r="D433" s="1" t="s">
        <v>19</v>
      </c>
      <c r="E433" s="1" t="s">
        <v>57</v>
      </c>
      <c r="F433">
        <v>1</v>
      </c>
      <c r="G433" s="2">
        <v>46097</v>
      </c>
      <c r="H433" s="2">
        <v>46098</v>
      </c>
      <c r="I433">
        <v>213.69</v>
      </c>
      <c r="J433">
        <v>86.56</v>
      </c>
      <c r="K433">
        <v>86.56</v>
      </c>
      <c r="L433">
        <v>0</v>
      </c>
      <c r="M433" s="1" t="s">
        <v>21</v>
      </c>
      <c r="N433" s="1" t="s">
        <v>22</v>
      </c>
      <c r="O433" s="2">
        <v>46178</v>
      </c>
      <c r="P433" s="2">
        <v>46178</v>
      </c>
      <c r="Q433">
        <f>_xlfn.XLOOKUP(E433,CPT!$A$2:$A$13,CPT!$D$2:$D$13)</f>
        <v>210</v>
      </c>
      <c r="R433" s="1">
        <f>_xlfn.XLOOKUP(C433,Contract!$A$2:$A$9,Contract!$B$2:$B$9)</f>
        <v>0.38</v>
      </c>
      <c r="S433" s="1">
        <f t="shared" si="24"/>
        <v>79.8</v>
      </c>
      <c r="T433" s="1">
        <f t="shared" si="25"/>
        <v>-6.7600000000000051</v>
      </c>
      <c r="U433" s="1" t="str">
        <f t="shared" si="26"/>
        <v>OK</v>
      </c>
      <c r="V433" s="1" t="str">
        <f>_xlfn.XLOOKUP(C433,Payers!$A$2:$A$9,Payers!$B$2:$B$9)</f>
        <v>Sunshine Medicare Advantage</v>
      </c>
      <c r="W433" s="1" t="str">
        <f t="shared" si="27"/>
        <v>2026-03</v>
      </c>
    </row>
    <row r="434" spans="1:23">
      <c r="A434" s="1" t="s">
        <v>895</v>
      </c>
      <c r="B434" s="1" t="s">
        <v>896</v>
      </c>
      <c r="C434" s="1" t="s">
        <v>18</v>
      </c>
      <c r="D434" s="1" t="s">
        <v>37</v>
      </c>
      <c r="E434" s="1" t="s">
        <v>38</v>
      </c>
      <c r="F434">
        <v>30</v>
      </c>
      <c r="G434" s="2">
        <v>46226</v>
      </c>
      <c r="H434" s="2">
        <v>46227</v>
      </c>
      <c r="I434">
        <v>42399.83</v>
      </c>
      <c r="J434">
        <v>15450.65</v>
      </c>
      <c r="K434">
        <v>15450.65</v>
      </c>
      <c r="L434">
        <v>0</v>
      </c>
      <c r="M434" s="1" t="s">
        <v>21</v>
      </c>
      <c r="N434" s="1" t="s">
        <v>22</v>
      </c>
      <c r="O434" s="2">
        <v>46285</v>
      </c>
      <c r="P434" s="2">
        <v>46285</v>
      </c>
      <c r="Q434">
        <f>_xlfn.XLOOKUP(E434,CPT!$A$2:$A$13,CPT!$D$2:$D$13)</f>
        <v>1450</v>
      </c>
      <c r="R434" s="1">
        <f>_xlfn.XLOOKUP(C434,Contract!$A$2:$A$9,Contract!$B$2:$B$9)</f>
        <v>0.38</v>
      </c>
      <c r="S434" s="1">
        <f t="shared" si="24"/>
        <v>16530</v>
      </c>
      <c r="T434" s="1">
        <f t="shared" si="25"/>
        <v>1079.3500000000004</v>
      </c>
      <c r="U434" s="1" t="str">
        <f t="shared" si="26"/>
        <v>Underpaid</v>
      </c>
      <c r="V434" s="1" t="str">
        <f>_xlfn.XLOOKUP(C434,Payers!$A$2:$A$9,Payers!$B$2:$B$9)</f>
        <v>Sunshine Medicare Advantage</v>
      </c>
      <c r="W434" s="1" t="str">
        <f t="shared" si="27"/>
        <v>2026-07</v>
      </c>
    </row>
    <row r="435" spans="1:23">
      <c r="A435" s="1" t="s">
        <v>897</v>
      </c>
      <c r="B435" s="1" t="s">
        <v>898</v>
      </c>
      <c r="C435" s="1" t="s">
        <v>36</v>
      </c>
      <c r="D435" s="1" t="s">
        <v>26</v>
      </c>
      <c r="E435" s="1" t="s">
        <v>41</v>
      </c>
      <c r="F435">
        <v>1</v>
      </c>
      <c r="G435" s="2">
        <v>45936</v>
      </c>
      <c r="H435" s="2">
        <v>45941</v>
      </c>
      <c r="I435">
        <v>38.31</v>
      </c>
      <c r="M435" s="1" t="s">
        <v>32</v>
      </c>
      <c r="N435" s="1" t="s">
        <v>98</v>
      </c>
      <c r="O435" s="2">
        <v>45969</v>
      </c>
      <c r="P435" s="2"/>
      <c r="Q435">
        <f>_xlfn.XLOOKUP(E435,CPT!$A$2:$A$13,CPT!$D$2:$D$13)</f>
        <v>38</v>
      </c>
      <c r="R435" s="1">
        <f>_xlfn.XLOOKUP(C435,Contract!$A$2:$A$9,Contract!$B$2:$B$9)</f>
        <v>0.27</v>
      </c>
      <c r="S435" s="1">
        <f t="shared" si="24"/>
        <v>10.26</v>
      </c>
      <c r="T435" s="1" t="str">
        <f t="shared" si="25"/>
        <v/>
      </c>
      <c r="U435" s="1" t="str">
        <f t="shared" si="26"/>
        <v/>
      </c>
      <c r="V435" s="1" t="str">
        <f>_xlfn.XLOOKUP(C435,Payers!$A$2:$A$9,Payers!$B$2:$B$9)</f>
        <v>Florida Medicaid</v>
      </c>
      <c r="W435" s="1" t="str">
        <f t="shared" si="27"/>
        <v>2025-10</v>
      </c>
    </row>
    <row r="436" spans="1:23">
      <c r="A436" s="1" t="s">
        <v>899</v>
      </c>
      <c r="B436" s="1" t="s">
        <v>900</v>
      </c>
      <c r="C436" s="1" t="s">
        <v>18</v>
      </c>
      <c r="D436" s="1" t="s">
        <v>30</v>
      </c>
      <c r="E436" s="1" t="s">
        <v>91</v>
      </c>
      <c r="F436">
        <v>3</v>
      </c>
      <c r="G436" s="2">
        <v>46225</v>
      </c>
      <c r="H436" s="2">
        <v>46228</v>
      </c>
      <c r="I436">
        <v>169.72</v>
      </c>
      <c r="M436" s="1" t="s">
        <v>32</v>
      </c>
      <c r="N436" s="1" t="s">
        <v>124</v>
      </c>
      <c r="O436" s="2">
        <v>46279</v>
      </c>
      <c r="P436" s="2"/>
      <c r="Q436">
        <f>_xlfn.XLOOKUP(E436,CPT!$A$2:$A$13,CPT!$D$2:$D$13)</f>
        <v>58</v>
      </c>
      <c r="R436" s="1">
        <f>_xlfn.XLOOKUP(C436,Contract!$A$2:$A$9,Contract!$B$2:$B$9)</f>
        <v>0.38</v>
      </c>
      <c r="S436" s="1">
        <f t="shared" si="24"/>
        <v>66.12</v>
      </c>
      <c r="T436" s="1" t="str">
        <f t="shared" si="25"/>
        <v/>
      </c>
      <c r="U436" s="1" t="str">
        <f t="shared" si="26"/>
        <v/>
      </c>
      <c r="V436" s="1" t="str">
        <f>_xlfn.XLOOKUP(C436,Payers!$A$2:$A$9,Payers!$B$2:$B$9)</f>
        <v>Sunshine Medicare Advantage</v>
      </c>
      <c r="W436" s="1" t="str">
        <f t="shared" si="27"/>
        <v>2026-07</v>
      </c>
    </row>
    <row r="437" spans="1:23">
      <c r="A437" s="1" t="s">
        <v>901</v>
      </c>
      <c r="B437" s="1" t="s">
        <v>902</v>
      </c>
      <c r="C437" s="1" t="s">
        <v>18</v>
      </c>
      <c r="D437" s="1" t="s">
        <v>19</v>
      </c>
      <c r="E437" s="1" t="s">
        <v>57</v>
      </c>
      <c r="F437">
        <v>1</v>
      </c>
      <c r="G437" s="2">
        <v>46177</v>
      </c>
      <c r="H437" s="2">
        <v>46180</v>
      </c>
      <c r="I437">
        <v>210.75</v>
      </c>
      <c r="J437">
        <v>72.989999999999995</v>
      </c>
      <c r="K437">
        <v>72.989999999999995</v>
      </c>
      <c r="L437">
        <v>0</v>
      </c>
      <c r="M437" s="1" t="s">
        <v>21</v>
      </c>
      <c r="N437" s="1" t="s">
        <v>22</v>
      </c>
      <c r="O437" s="2">
        <v>46212</v>
      </c>
      <c r="P437" s="2">
        <v>46212</v>
      </c>
      <c r="Q437">
        <f>_xlfn.XLOOKUP(E437,CPT!$A$2:$A$13,CPT!$D$2:$D$13)</f>
        <v>210</v>
      </c>
      <c r="R437" s="1">
        <f>_xlfn.XLOOKUP(C437,Contract!$A$2:$A$9,Contract!$B$2:$B$9)</f>
        <v>0.38</v>
      </c>
      <c r="S437" s="1">
        <f t="shared" si="24"/>
        <v>79.8</v>
      </c>
      <c r="T437" s="1">
        <f t="shared" si="25"/>
        <v>6.8100000000000023</v>
      </c>
      <c r="U437" s="1" t="str">
        <f t="shared" si="26"/>
        <v>Underpaid</v>
      </c>
      <c r="V437" s="1" t="str">
        <f>_xlfn.XLOOKUP(C437,Payers!$A$2:$A$9,Payers!$B$2:$B$9)</f>
        <v>Sunshine Medicare Advantage</v>
      </c>
      <c r="W437" s="1" t="str">
        <f t="shared" si="27"/>
        <v>2026-06</v>
      </c>
    </row>
    <row r="438" spans="1:23">
      <c r="A438" s="1" t="s">
        <v>903</v>
      </c>
      <c r="B438" s="1" t="s">
        <v>904</v>
      </c>
      <c r="C438" s="1" t="s">
        <v>52</v>
      </c>
      <c r="D438" s="1" t="s">
        <v>26</v>
      </c>
      <c r="E438" s="1" t="s">
        <v>44</v>
      </c>
      <c r="F438">
        <v>1</v>
      </c>
      <c r="G438" s="2">
        <v>46281</v>
      </c>
      <c r="H438" s="2">
        <v>46282</v>
      </c>
      <c r="I438">
        <v>4922.1499999999996</v>
      </c>
      <c r="M438" s="1" t="s">
        <v>69</v>
      </c>
      <c r="N438" s="1" t="s">
        <v>22</v>
      </c>
      <c r="O438" s="2"/>
      <c r="P438" s="2"/>
      <c r="Q438">
        <f>_xlfn.XLOOKUP(E438,CPT!$A$2:$A$13,CPT!$D$2:$D$13)</f>
        <v>4800</v>
      </c>
      <c r="R438" s="1">
        <f>_xlfn.XLOOKUP(C438,Contract!$A$2:$A$9,Contract!$B$2:$B$9)</f>
        <v>0.47</v>
      </c>
      <c r="S438" s="1">
        <f t="shared" si="24"/>
        <v>2256</v>
      </c>
      <c r="T438" s="1" t="str">
        <f t="shared" si="25"/>
        <v/>
      </c>
      <c r="U438" s="1" t="str">
        <f t="shared" si="26"/>
        <v/>
      </c>
      <c r="V438" s="1" t="str">
        <f>_xlfn.XLOOKUP(C438,Payers!$A$2:$A$9,Payers!$B$2:$B$9)</f>
        <v>Keystone Commercial PPO</v>
      </c>
      <c r="W438" s="1" t="str">
        <f t="shared" si="27"/>
        <v>2026-09</v>
      </c>
    </row>
    <row r="439" spans="1:23">
      <c r="A439" s="1" t="s">
        <v>905</v>
      </c>
      <c r="B439" s="1" t="s">
        <v>906</v>
      </c>
      <c r="C439" s="1" t="s">
        <v>60</v>
      </c>
      <c r="D439" s="1" t="s">
        <v>37</v>
      </c>
      <c r="E439" s="1" t="s">
        <v>48</v>
      </c>
      <c r="F439">
        <v>1</v>
      </c>
      <c r="G439" s="2">
        <v>46110</v>
      </c>
      <c r="H439" s="2">
        <v>46129</v>
      </c>
      <c r="I439">
        <v>422.93</v>
      </c>
      <c r="J439">
        <v>169.35</v>
      </c>
      <c r="K439">
        <v>169.35</v>
      </c>
      <c r="L439">
        <v>0</v>
      </c>
      <c r="M439" s="1" t="s">
        <v>21</v>
      </c>
      <c r="N439" s="1" t="s">
        <v>22</v>
      </c>
      <c r="O439" s="2">
        <v>46163</v>
      </c>
      <c r="P439" s="2">
        <v>46163</v>
      </c>
      <c r="Q439">
        <f>_xlfn.XLOOKUP(E439,CPT!$A$2:$A$13,CPT!$D$2:$D$13)</f>
        <v>420</v>
      </c>
      <c r="R439" s="1">
        <f>_xlfn.XLOOKUP(C439,Contract!$A$2:$A$9,Contract!$B$2:$B$9)</f>
        <v>0.45</v>
      </c>
      <c r="S439" s="1">
        <f t="shared" si="24"/>
        <v>189</v>
      </c>
      <c r="T439" s="1">
        <f t="shared" si="25"/>
        <v>19.650000000000006</v>
      </c>
      <c r="U439" s="1" t="str">
        <f t="shared" si="26"/>
        <v>Underpaid</v>
      </c>
      <c r="V439" s="1" t="str">
        <f>_xlfn.XLOOKUP(C439,Payers!$A$2:$A$9,Payers!$B$2:$B$9)</f>
        <v>Blue Horizon Commercial</v>
      </c>
      <c r="W439" s="1" t="str">
        <f t="shared" si="27"/>
        <v>2026-03</v>
      </c>
    </row>
    <row r="440" spans="1:23">
      <c r="A440" s="1" t="s">
        <v>907</v>
      </c>
      <c r="B440" s="1" t="s">
        <v>908</v>
      </c>
      <c r="C440" s="1" t="s">
        <v>76</v>
      </c>
      <c r="D440" s="1" t="s">
        <v>26</v>
      </c>
      <c r="E440" s="1" t="s">
        <v>41</v>
      </c>
      <c r="F440">
        <v>1</v>
      </c>
      <c r="G440" s="2">
        <v>45974</v>
      </c>
      <c r="H440" s="2">
        <v>45975</v>
      </c>
      <c r="I440">
        <v>37.119999999999997</v>
      </c>
      <c r="J440">
        <v>17.98</v>
      </c>
      <c r="K440">
        <v>17.98</v>
      </c>
      <c r="L440">
        <v>0</v>
      </c>
      <c r="M440" s="1" t="s">
        <v>21</v>
      </c>
      <c r="N440" s="1" t="s">
        <v>22</v>
      </c>
      <c r="O440" s="2">
        <v>46019</v>
      </c>
      <c r="P440" s="2">
        <v>46019</v>
      </c>
      <c r="Q440">
        <f>_xlfn.XLOOKUP(E440,CPT!$A$2:$A$13,CPT!$D$2:$D$13)</f>
        <v>38</v>
      </c>
      <c r="R440" s="1">
        <f>_xlfn.XLOOKUP(C440,Contract!$A$2:$A$9,Contract!$B$2:$B$9)</f>
        <v>0.43</v>
      </c>
      <c r="S440" s="1">
        <f t="shared" si="24"/>
        <v>16.34</v>
      </c>
      <c r="T440" s="1">
        <f t="shared" si="25"/>
        <v>-1.6400000000000006</v>
      </c>
      <c r="U440" s="1" t="str">
        <f t="shared" si="26"/>
        <v>OK</v>
      </c>
      <c r="V440" s="1" t="str">
        <f>_xlfn.XLOOKUP(C440,Payers!$A$2:$A$9,Payers!$B$2:$B$9)</f>
        <v>Summit Health Commercial</v>
      </c>
      <c r="W440" s="1" t="str">
        <f t="shared" si="27"/>
        <v>2025-11</v>
      </c>
    </row>
    <row r="441" spans="1:23">
      <c r="A441" s="1" t="s">
        <v>909</v>
      </c>
      <c r="B441" s="1" t="s">
        <v>910</v>
      </c>
      <c r="C441" s="1" t="s">
        <v>76</v>
      </c>
      <c r="D441" s="1" t="s">
        <v>37</v>
      </c>
      <c r="E441" s="1" t="s">
        <v>38</v>
      </c>
      <c r="F441">
        <v>5</v>
      </c>
      <c r="G441" s="2">
        <v>46172</v>
      </c>
      <c r="H441" s="2">
        <v>46178</v>
      </c>
      <c r="I441">
        <v>7176.87</v>
      </c>
      <c r="M441" s="1" t="s">
        <v>32</v>
      </c>
      <c r="N441" s="1" t="s">
        <v>49</v>
      </c>
      <c r="O441" s="2">
        <v>46196</v>
      </c>
      <c r="P441" s="2"/>
      <c r="Q441">
        <f>_xlfn.XLOOKUP(E441,CPT!$A$2:$A$13,CPT!$D$2:$D$13)</f>
        <v>1450</v>
      </c>
      <c r="R441" s="1">
        <f>_xlfn.XLOOKUP(C441,Contract!$A$2:$A$9,Contract!$B$2:$B$9)</f>
        <v>0.43</v>
      </c>
      <c r="S441" s="1">
        <f t="shared" si="24"/>
        <v>3117.5</v>
      </c>
      <c r="T441" s="1" t="str">
        <f t="shared" si="25"/>
        <v/>
      </c>
      <c r="U441" s="1" t="str">
        <f t="shared" si="26"/>
        <v/>
      </c>
      <c r="V441" s="1" t="str">
        <f>_xlfn.XLOOKUP(C441,Payers!$A$2:$A$9,Payers!$B$2:$B$9)</f>
        <v>Summit Health Commercial</v>
      </c>
      <c r="W441" s="1" t="str">
        <f t="shared" si="27"/>
        <v>2026-05</v>
      </c>
    </row>
    <row r="442" spans="1:23">
      <c r="A442" s="1" t="s">
        <v>911</v>
      </c>
      <c r="B442" s="1" t="s">
        <v>912</v>
      </c>
      <c r="C442" s="1" t="s">
        <v>60</v>
      </c>
      <c r="D442" s="1" t="s">
        <v>19</v>
      </c>
      <c r="E442" s="1" t="s">
        <v>88</v>
      </c>
      <c r="F442">
        <v>1</v>
      </c>
      <c r="G442" s="2">
        <v>46076</v>
      </c>
      <c r="H442" s="2">
        <v>46081</v>
      </c>
      <c r="I442">
        <v>255.33</v>
      </c>
      <c r="J442">
        <v>113.65</v>
      </c>
      <c r="K442">
        <v>102.28</v>
      </c>
      <c r="L442">
        <v>11.37</v>
      </c>
      <c r="M442" s="1" t="s">
        <v>21</v>
      </c>
      <c r="N442" s="1" t="s">
        <v>22</v>
      </c>
      <c r="O442" s="2">
        <v>46111</v>
      </c>
      <c r="P442" s="2">
        <v>46111</v>
      </c>
      <c r="Q442">
        <f>_xlfn.XLOOKUP(E442,CPT!$A$2:$A$13,CPT!$D$2:$D$13)</f>
        <v>260</v>
      </c>
      <c r="R442" s="1">
        <f>_xlfn.XLOOKUP(C442,Contract!$A$2:$A$9,Contract!$B$2:$B$9)</f>
        <v>0.45</v>
      </c>
      <c r="S442" s="1">
        <f t="shared" si="24"/>
        <v>117</v>
      </c>
      <c r="T442" s="1">
        <f t="shared" si="25"/>
        <v>3.3499999999999943</v>
      </c>
      <c r="U442" s="1" t="str">
        <f t="shared" si="26"/>
        <v>OK</v>
      </c>
      <c r="V442" s="1" t="str">
        <f>_xlfn.XLOOKUP(C442,Payers!$A$2:$A$9,Payers!$B$2:$B$9)</f>
        <v>Blue Horizon Commercial</v>
      </c>
      <c r="W442" s="1" t="str">
        <f t="shared" si="27"/>
        <v>2026-02</v>
      </c>
    </row>
    <row r="443" spans="1:23">
      <c r="A443" s="1" t="s">
        <v>913</v>
      </c>
      <c r="B443" s="1" t="s">
        <v>914</v>
      </c>
      <c r="C443" s="1" t="s">
        <v>76</v>
      </c>
      <c r="D443" s="1" t="s">
        <v>30</v>
      </c>
      <c r="E443" s="1" t="s">
        <v>20</v>
      </c>
      <c r="F443">
        <v>1</v>
      </c>
      <c r="G443" s="2">
        <v>45986</v>
      </c>
      <c r="H443" s="2">
        <v>45995</v>
      </c>
      <c r="I443">
        <v>140.82</v>
      </c>
      <c r="J443">
        <v>57.97</v>
      </c>
      <c r="K443">
        <v>57.97</v>
      </c>
      <c r="L443">
        <v>0</v>
      </c>
      <c r="M443" s="1" t="s">
        <v>21</v>
      </c>
      <c r="N443" s="1" t="s">
        <v>22</v>
      </c>
      <c r="O443" s="2">
        <v>46025</v>
      </c>
      <c r="P443" s="2">
        <v>46025</v>
      </c>
      <c r="Q443">
        <f>_xlfn.XLOOKUP(E443,CPT!$A$2:$A$13,CPT!$D$2:$D$13)</f>
        <v>145</v>
      </c>
      <c r="R443" s="1">
        <f>_xlfn.XLOOKUP(C443,Contract!$A$2:$A$9,Contract!$B$2:$B$9)</f>
        <v>0.43</v>
      </c>
      <c r="S443" s="1">
        <f t="shared" si="24"/>
        <v>62.35</v>
      </c>
      <c r="T443" s="1">
        <f t="shared" si="25"/>
        <v>4.3800000000000026</v>
      </c>
      <c r="U443" s="1" t="str">
        <f t="shared" si="26"/>
        <v>Underpaid</v>
      </c>
      <c r="V443" s="1" t="str">
        <f>_xlfn.XLOOKUP(C443,Payers!$A$2:$A$9,Payers!$B$2:$B$9)</f>
        <v>Summit Health Commercial</v>
      </c>
      <c r="W443" s="1" t="str">
        <f t="shared" si="27"/>
        <v>2025-11</v>
      </c>
    </row>
    <row r="444" spans="1:23">
      <c r="A444" s="1" t="s">
        <v>915</v>
      </c>
      <c r="B444" s="1" t="s">
        <v>916</v>
      </c>
      <c r="C444" s="1" t="s">
        <v>60</v>
      </c>
      <c r="D444" s="1" t="s">
        <v>19</v>
      </c>
      <c r="E444" s="1" t="s">
        <v>20</v>
      </c>
      <c r="F444">
        <v>1</v>
      </c>
      <c r="G444" s="2">
        <v>46187</v>
      </c>
      <c r="H444" s="2">
        <v>46191</v>
      </c>
      <c r="I444">
        <v>149.06</v>
      </c>
      <c r="J444">
        <v>57.47</v>
      </c>
      <c r="K444">
        <v>45.98</v>
      </c>
      <c r="L444">
        <v>11.49</v>
      </c>
      <c r="M444" s="1" t="s">
        <v>21</v>
      </c>
      <c r="N444" s="1" t="s">
        <v>22</v>
      </c>
      <c r="O444" s="2">
        <v>46225</v>
      </c>
      <c r="P444" s="2">
        <v>46225</v>
      </c>
      <c r="Q444">
        <f>_xlfn.XLOOKUP(E444,CPT!$A$2:$A$13,CPT!$D$2:$D$13)</f>
        <v>145</v>
      </c>
      <c r="R444" s="1">
        <f>_xlfn.XLOOKUP(C444,Contract!$A$2:$A$9,Contract!$B$2:$B$9)</f>
        <v>0.45</v>
      </c>
      <c r="S444" s="1">
        <f t="shared" si="24"/>
        <v>65.25</v>
      </c>
      <c r="T444" s="1">
        <f t="shared" si="25"/>
        <v>7.7800000000000011</v>
      </c>
      <c r="U444" s="1" t="str">
        <f t="shared" si="26"/>
        <v>Underpaid</v>
      </c>
      <c r="V444" s="1" t="str">
        <f>_xlfn.XLOOKUP(C444,Payers!$A$2:$A$9,Payers!$B$2:$B$9)</f>
        <v>Blue Horizon Commercial</v>
      </c>
      <c r="W444" s="1" t="str">
        <f t="shared" si="27"/>
        <v>2026-06</v>
      </c>
    </row>
    <row r="445" spans="1:23">
      <c r="A445" s="1" t="s">
        <v>917</v>
      </c>
      <c r="B445" s="1" t="s">
        <v>918</v>
      </c>
      <c r="C445" s="1" t="s">
        <v>76</v>
      </c>
      <c r="D445" s="1" t="s">
        <v>37</v>
      </c>
      <c r="E445" s="1" t="s">
        <v>38</v>
      </c>
      <c r="F445">
        <v>20</v>
      </c>
      <c r="G445" s="2">
        <v>46111</v>
      </c>
      <c r="H445" s="2">
        <v>46113</v>
      </c>
      <c r="I445">
        <v>29217.9</v>
      </c>
      <c r="J445">
        <v>12495.52</v>
      </c>
      <c r="K445">
        <v>12495.52</v>
      </c>
      <c r="L445">
        <v>0</v>
      </c>
      <c r="M445" s="1" t="s">
        <v>21</v>
      </c>
      <c r="N445" s="1" t="s">
        <v>22</v>
      </c>
      <c r="O445" s="2">
        <v>46141</v>
      </c>
      <c r="P445" s="2">
        <v>46141</v>
      </c>
      <c r="Q445">
        <f>_xlfn.XLOOKUP(E445,CPT!$A$2:$A$13,CPT!$D$2:$D$13)</f>
        <v>1450</v>
      </c>
      <c r="R445" s="1">
        <f>_xlfn.XLOOKUP(C445,Contract!$A$2:$A$9,Contract!$B$2:$B$9)</f>
        <v>0.43</v>
      </c>
      <c r="S445" s="1">
        <f t="shared" si="24"/>
        <v>12470</v>
      </c>
      <c r="T445" s="1">
        <f t="shared" si="25"/>
        <v>-25.520000000000437</v>
      </c>
      <c r="U445" s="1" t="str">
        <f t="shared" si="26"/>
        <v>OK</v>
      </c>
      <c r="V445" s="1" t="str">
        <f>_xlfn.XLOOKUP(C445,Payers!$A$2:$A$9,Payers!$B$2:$B$9)</f>
        <v>Summit Health Commercial</v>
      </c>
      <c r="W445" s="1" t="str">
        <f t="shared" si="27"/>
        <v>2026-03</v>
      </c>
    </row>
    <row r="446" spans="1:23">
      <c r="A446" s="1" t="s">
        <v>919</v>
      </c>
      <c r="B446" s="1" t="s">
        <v>920</v>
      </c>
      <c r="C446" s="1" t="s">
        <v>47</v>
      </c>
      <c r="D446" s="1" t="s">
        <v>26</v>
      </c>
      <c r="E446" s="1" t="s">
        <v>113</v>
      </c>
      <c r="F446">
        <v>1</v>
      </c>
      <c r="G446" s="2">
        <v>45946</v>
      </c>
      <c r="H446" s="2">
        <v>45958</v>
      </c>
      <c r="I446">
        <v>1077.98</v>
      </c>
      <c r="M446" s="1" t="s">
        <v>32</v>
      </c>
      <c r="N446" s="1" t="s">
        <v>315</v>
      </c>
      <c r="O446" s="2">
        <v>46038</v>
      </c>
      <c r="P446" s="2"/>
      <c r="Q446">
        <f>_xlfn.XLOOKUP(E446,CPT!$A$2:$A$13,CPT!$D$2:$D$13)</f>
        <v>1050</v>
      </c>
      <c r="R446" s="1">
        <f>_xlfn.XLOOKUP(C446,Contract!$A$2:$A$9,Contract!$B$2:$B$9)</f>
        <v>0.28000000000000003</v>
      </c>
      <c r="S446" s="1">
        <f t="shared" si="24"/>
        <v>294</v>
      </c>
      <c r="T446" s="1" t="str">
        <f t="shared" si="25"/>
        <v/>
      </c>
      <c r="U446" s="1" t="str">
        <f t="shared" si="26"/>
        <v/>
      </c>
      <c r="V446" s="1" t="str">
        <f>_xlfn.XLOOKUP(C446,Payers!$A$2:$A$9,Payers!$B$2:$B$9)</f>
        <v>Coastal Medicaid MCO</v>
      </c>
      <c r="W446" s="1" t="str">
        <f t="shared" si="27"/>
        <v>2025-10</v>
      </c>
    </row>
    <row r="447" spans="1:23">
      <c r="A447" s="1" t="s">
        <v>921</v>
      </c>
      <c r="B447" s="1" t="s">
        <v>922</v>
      </c>
      <c r="C447" s="1" t="s">
        <v>52</v>
      </c>
      <c r="D447" s="1" t="s">
        <v>19</v>
      </c>
      <c r="E447" s="1" t="s">
        <v>57</v>
      </c>
      <c r="F447">
        <v>1</v>
      </c>
      <c r="G447" s="2">
        <v>46224</v>
      </c>
      <c r="H447" s="2">
        <v>46239</v>
      </c>
      <c r="I447">
        <v>205.62</v>
      </c>
      <c r="M447" s="1" t="s">
        <v>69</v>
      </c>
      <c r="N447" s="1" t="s">
        <v>22</v>
      </c>
      <c r="O447" s="2"/>
      <c r="P447" s="2"/>
      <c r="Q447">
        <f>_xlfn.XLOOKUP(E447,CPT!$A$2:$A$13,CPT!$D$2:$D$13)</f>
        <v>210</v>
      </c>
      <c r="R447" s="1">
        <f>_xlfn.XLOOKUP(C447,Contract!$A$2:$A$9,Contract!$B$2:$B$9)</f>
        <v>0.47</v>
      </c>
      <c r="S447" s="1">
        <f t="shared" si="24"/>
        <v>98.7</v>
      </c>
      <c r="T447" s="1" t="str">
        <f t="shared" si="25"/>
        <v/>
      </c>
      <c r="U447" s="1" t="str">
        <f t="shared" si="26"/>
        <v/>
      </c>
      <c r="V447" s="1" t="str">
        <f>_xlfn.XLOOKUP(C447,Payers!$A$2:$A$9,Payers!$B$2:$B$9)</f>
        <v>Keystone Commercial PPO</v>
      </c>
      <c r="W447" s="1" t="str">
        <f t="shared" si="27"/>
        <v>2026-07</v>
      </c>
    </row>
    <row r="448" spans="1:23">
      <c r="A448" s="1" t="s">
        <v>923</v>
      </c>
      <c r="B448" s="1" t="s">
        <v>924</v>
      </c>
      <c r="C448" s="1" t="s">
        <v>60</v>
      </c>
      <c r="D448" s="1" t="s">
        <v>26</v>
      </c>
      <c r="E448" s="1" t="s">
        <v>41</v>
      </c>
      <c r="F448">
        <v>1</v>
      </c>
      <c r="G448" s="2">
        <v>46208</v>
      </c>
      <c r="H448" s="2">
        <v>46209</v>
      </c>
      <c r="I448">
        <v>38.42</v>
      </c>
      <c r="J448">
        <v>18.3</v>
      </c>
      <c r="K448">
        <v>14.64</v>
      </c>
      <c r="L448">
        <v>3.66</v>
      </c>
      <c r="M448" s="1" t="s">
        <v>21</v>
      </c>
      <c r="N448" s="1" t="s">
        <v>22</v>
      </c>
      <c r="O448" s="2">
        <v>46251</v>
      </c>
      <c r="P448" s="2">
        <v>46251</v>
      </c>
      <c r="Q448">
        <f>_xlfn.XLOOKUP(E448,CPT!$A$2:$A$13,CPT!$D$2:$D$13)</f>
        <v>38</v>
      </c>
      <c r="R448" s="1">
        <f>_xlfn.XLOOKUP(C448,Contract!$A$2:$A$9,Contract!$B$2:$B$9)</f>
        <v>0.45</v>
      </c>
      <c r="S448" s="1">
        <f t="shared" si="24"/>
        <v>17.100000000000001</v>
      </c>
      <c r="T448" s="1">
        <f t="shared" si="25"/>
        <v>-1.1999999999999993</v>
      </c>
      <c r="U448" s="1" t="str">
        <f t="shared" si="26"/>
        <v>OK</v>
      </c>
      <c r="V448" s="1" t="str">
        <f>_xlfn.XLOOKUP(C448,Payers!$A$2:$A$9,Payers!$B$2:$B$9)</f>
        <v>Blue Horizon Commercial</v>
      </c>
      <c r="W448" s="1" t="str">
        <f t="shared" si="27"/>
        <v>2026-07</v>
      </c>
    </row>
    <row r="449" spans="1:23">
      <c r="A449" s="1" t="s">
        <v>925</v>
      </c>
      <c r="B449" s="1" t="s">
        <v>926</v>
      </c>
      <c r="C449" s="1" t="s">
        <v>47</v>
      </c>
      <c r="D449" s="1" t="s">
        <v>26</v>
      </c>
      <c r="E449" s="1" t="s">
        <v>27</v>
      </c>
      <c r="F449">
        <v>1</v>
      </c>
      <c r="G449" s="2">
        <v>46093</v>
      </c>
      <c r="H449" s="2">
        <v>46097</v>
      </c>
      <c r="I449">
        <v>233.78</v>
      </c>
      <c r="J449">
        <v>58.82</v>
      </c>
      <c r="K449">
        <v>58.82</v>
      </c>
      <c r="L449">
        <v>0</v>
      </c>
      <c r="M449" s="1" t="s">
        <v>21</v>
      </c>
      <c r="N449" s="1" t="s">
        <v>22</v>
      </c>
      <c r="O449" s="2">
        <v>46134</v>
      </c>
      <c r="P449" s="2">
        <v>46134</v>
      </c>
      <c r="Q449">
        <f>_xlfn.XLOOKUP(E449,CPT!$A$2:$A$13,CPT!$D$2:$D$13)</f>
        <v>240</v>
      </c>
      <c r="R449" s="1">
        <f>_xlfn.XLOOKUP(C449,Contract!$A$2:$A$9,Contract!$B$2:$B$9)</f>
        <v>0.28000000000000003</v>
      </c>
      <c r="S449" s="1">
        <f t="shared" si="24"/>
        <v>67.2</v>
      </c>
      <c r="T449" s="1">
        <f t="shared" si="25"/>
        <v>8.3800000000000026</v>
      </c>
      <c r="U449" s="1" t="str">
        <f t="shared" si="26"/>
        <v>Underpaid</v>
      </c>
      <c r="V449" s="1" t="str">
        <f>_xlfn.XLOOKUP(C449,Payers!$A$2:$A$9,Payers!$B$2:$B$9)</f>
        <v>Coastal Medicaid MCO</v>
      </c>
      <c r="W449" s="1" t="str">
        <f t="shared" si="27"/>
        <v>2026-03</v>
      </c>
    </row>
    <row r="450" spans="1:23">
      <c r="A450" s="1" t="s">
        <v>927</v>
      </c>
      <c r="B450" s="1" t="s">
        <v>928</v>
      </c>
      <c r="C450" s="1" t="s">
        <v>47</v>
      </c>
      <c r="D450" s="1" t="s">
        <v>26</v>
      </c>
      <c r="E450" s="1" t="s">
        <v>185</v>
      </c>
      <c r="F450">
        <v>1</v>
      </c>
      <c r="G450" s="2">
        <v>46142</v>
      </c>
      <c r="H450" s="2">
        <v>46144</v>
      </c>
      <c r="I450">
        <v>1181.82</v>
      </c>
      <c r="J450">
        <v>362.73</v>
      </c>
      <c r="K450">
        <v>362.73</v>
      </c>
      <c r="L450">
        <v>0</v>
      </c>
      <c r="M450" s="1" t="s">
        <v>21</v>
      </c>
      <c r="N450" s="1" t="s">
        <v>22</v>
      </c>
      <c r="O450" s="2">
        <v>46185</v>
      </c>
      <c r="P450" s="2">
        <v>46185</v>
      </c>
      <c r="Q450">
        <f>_xlfn.XLOOKUP(E450,CPT!$A$2:$A$13,CPT!$D$2:$D$13)</f>
        <v>1150</v>
      </c>
      <c r="R450" s="1">
        <f>_xlfn.XLOOKUP(C450,Contract!$A$2:$A$9,Contract!$B$2:$B$9)</f>
        <v>0.28000000000000003</v>
      </c>
      <c r="S450" s="1">
        <f t="shared" ref="S450:S513" si="28">ROUND(Q450*F450*R450,2)</f>
        <v>322</v>
      </c>
      <c r="T450" s="1">
        <f t="shared" ref="T450:T513" si="29">IF(M450="Paid",S450-J450,"")</f>
        <v>-40.730000000000018</v>
      </c>
      <c r="U450" s="1" t="str">
        <f t="shared" ref="U450:U513" si="30">IF(M450&lt;&gt;"Paid","",IF(T450&gt;S450*0.05,"Underpaid","OK"))</f>
        <v>OK</v>
      </c>
      <c r="V450" s="1" t="str">
        <f>_xlfn.XLOOKUP(C450,Payers!$A$2:$A$9,Payers!$B$2:$B$9)</f>
        <v>Coastal Medicaid MCO</v>
      </c>
      <c r="W450" s="1" t="str">
        <f t="shared" ref="W450:W513" si="31">TEXT(G450,"yyyy-mm")</f>
        <v>2026-04</v>
      </c>
    </row>
    <row r="451" spans="1:23">
      <c r="A451" s="1" t="s">
        <v>929</v>
      </c>
      <c r="B451" s="1" t="s">
        <v>930</v>
      </c>
      <c r="C451" s="1" t="s">
        <v>60</v>
      </c>
      <c r="D451" s="1" t="s">
        <v>26</v>
      </c>
      <c r="E451" s="1" t="s">
        <v>57</v>
      </c>
      <c r="F451">
        <v>1</v>
      </c>
      <c r="G451" s="2">
        <v>46244</v>
      </c>
      <c r="H451" s="2">
        <v>46248</v>
      </c>
      <c r="I451">
        <v>211.47</v>
      </c>
      <c r="J451">
        <v>98.01</v>
      </c>
      <c r="K451">
        <v>98.01</v>
      </c>
      <c r="L451">
        <v>0</v>
      </c>
      <c r="M451" s="1" t="s">
        <v>21</v>
      </c>
      <c r="N451" s="1" t="s">
        <v>22</v>
      </c>
      <c r="O451" s="2">
        <v>46265</v>
      </c>
      <c r="P451" s="2">
        <v>46265</v>
      </c>
      <c r="Q451">
        <f>_xlfn.XLOOKUP(E451,CPT!$A$2:$A$13,CPT!$D$2:$D$13)</f>
        <v>210</v>
      </c>
      <c r="R451" s="1">
        <f>_xlfn.XLOOKUP(C451,Contract!$A$2:$A$9,Contract!$B$2:$B$9)</f>
        <v>0.45</v>
      </c>
      <c r="S451" s="1">
        <f t="shared" si="28"/>
        <v>94.5</v>
      </c>
      <c r="T451" s="1">
        <f t="shared" si="29"/>
        <v>-3.5100000000000051</v>
      </c>
      <c r="U451" s="1" t="str">
        <f t="shared" si="30"/>
        <v>OK</v>
      </c>
      <c r="V451" s="1" t="str">
        <f>_xlfn.XLOOKUP(C451,Payers!$A$2:$A$9,Payers!$B$2:$B$9)</f>
        <v>Blue Horizon Commercial</v>
      </c>
      <c r="W451" s="1" t="str">
        <f t="shared" si="31"/>
        <v>2026-08</v>
      </c>
    </row>
    <row r="452" spans="1:23">
      <c r="A452" s="1" t="s">
        <v>931</v>
      </c>
      <c r="B452" s="1" t="s">
        <v>293</v>
      </c>
      <c r="C452" s="1" t="s">
        <v>18</v>
      </c>
      <c r="D452" s="1" t="s">
        <v>26</v>
      </c>
      <c r="E452" s="1" t="s">
        <v>88</v>
      </c>
      <c r="F452">
        <v>1</v>
      </c>
      <c r="G452" s="2">
        <v>46175</v>
      </c>
      <c r="H452" s="2">
        <v>46183</v>
      </c>
      <c r="I452">
        <v>254.29</v>
      </c>
      <c r="J452">
        <v>101.79</v>
      </c>
      <c r="K452">
        <v>81.430000000000007</v>
      </c>
      <c r="L452">
        <v>20.36</v>
      </c>
      <c r="M452" s="1" t="s">
        <v>21</v>
      </c>
      <c r="N452" s="1" t="s">
        <v>22</v>
      </c>
      <c r="O452" s="2">
        <v>46241</v>
      </c>
      <c r="P452" s="2">
        <v>46241</v>
      </c>
      <c r="Q452">
        <f>_xlfn.XLOOKUP(E452,CPT!$A$2:$A$13,CPT!$D$2:$D$13)</f>
        <v>260</v>
      </c>
      <c r="R452" s="1">
        <f>_xlfn.XLOOKUP(C452,Contract!$A$2:$A$9,Contract!$B$2:$B$9)</f>
        <v>0.38</v>
      </c>
      <c r="S452" s="1">
        <f t="shared" si="28"/>
        <v>98.8</v>
      </c>
      <c r="T452" s="1">
        <f t="shared" si="29"/>
        <v>-2.9900000000000091</v>
      </c>
      <c r="U452" s="1" t="str">
        <f t="shared" si="30"/>
        <v>OK</v>
      </c>
      <c r="V452" s="1" t="str">
        <f>_xlfn.XLOOKUP(C452,Payers!$A$2:$A$9,Payers!$B$2:$B$9)</f>
        <v>Sunshine Medicare Advantage</v>
      </c>
      <c r="W452" s="1" t="str">
        <f t="shared" si="31"/>
        <v>2026-06</v>
      </c>
    </row>
    <row r="453" spans="1:23">
      <c r="A453" s="1" t="s">
        <v>932</v>
      </c>
      <c r="B453" s="1" t="s">
        <v>933</v>
      </c>
      <c r="C453" s="1" t="s">
        <v>60</v>
      </c>
      <c r="D453" s="1" t="s">
        <v>26</v>
      </c>
      <c r="E453" s="1" t="s">
        <v>57</v>
      </c>
      <c r="F453">
        <v>1</v>
      </c>
      <c r="G453" s="2">
        <v>45938</v>
      </c>
      <c r="H453" s="2">
        <v>45950</v>
      </c>
      <c r="I453">
        <v>215.36</v>
      </c>
      <c r="J453">
        <v>102.08</v>
      </c>
      <c r="K453">
        <v>102.08</v>
      </c>
      <c r="L453">
        <v>0</v>
      </c>
      <c r="M453" s="1" t="s">
        <v>21</v>
      </c>
      <c r="N453" s="1" t="s">
        <v>22</v>
      </c>
      <c r="O453" s="2">
        <v>45985</v>
      </c>
      <c r="P453" s="2">
        <v>45985</v>
      </c>
      <c r="Q453">
        <f>_xlfn.XLOOKUP(E453,CPT!$A$2:$A$13,CPT!$D$2:$D$13)</f>
        <v>210</v>
      </c>
      <c r="R453" s="1">
        <f>_xlfn.XLOOKUP(C453,Contract!$A$2:$A$9,Contract!$B$2:$B$9)</f>
        <v>0.45</v>
      </c>
      <c r="S453" s="1">
        <f t="shared" si="28"/>
        <v>94.5</v>
      </c>
      <c r="T453" s="1">
        <f t="shared" si="29"/>
        <v>-7.5799999999999983</v>
      </c>
      <c r="U453" s="1" t="str">
        <f t="shared" si="30"/>
        <v>OK</v>
      </c>
      <c r="V453" s="1" t="str">
        <f>_xlfn.XLOOKUP(C453,Payers!$A$2:$A$9,Payers!$B$2:$B$9)</f>
        <v>Blue Horizon Commercial</v>
      </c>
      <c r="W453" s="1" t="str">
        <f t="shared" si="31"/>
        <v>2025-10</v>
      </c>
    </row>
    <row r="454" spans="1:23">
      <c r="A454" s="1" t="s">
        <v>934</v>
      </c>
      <c r="B454" s="1" t="s">
        <v>935</v>
      </c>
      <c r="C454" s="1" t="s">
        <v>47</v>
      </c>
      <c r="D454" s="1" t="s">
        <v>26</v>
      </c>
      <c r="E454" s="1" t="s">
        <v>57</v>
      </c>
      <c r="F454">
        <v>1</v>
      </c>
      <c r="G454" s="2">
        <v>46155</v>
      </c>
      <c r="H454" s="2">
        <v>46158</v>
      </c>
      <c r="I454">
        <v>214.63</v>
      </c>
      <c r="J454">
        <v>59.09</v>
      </c>
      <c r="K454">
        <v>59.09</v>
      </c>
      <c r="L454">
        <v>0</v>
      </c>
      <c r="M454" s="1" t="s">
        <v>21</v>
      </c>
      <c r="N454" s="1" t="s">
        <v>22</v>
      </c>
      <c r="O454" s="2">
        <v>46219</v>
      </c>
      <c r="P454" s="2">
        <v>46219</v>
      </c>
      <c r="Q454">
        <f>_xlfn.XLOOKUP(E454,CPT!$A$2:$A$13,CPT!$D$2:$D$13)</f>
        <v>210</v>
      </c>
      <c r="R454" s="1">
        <f>_xlfn.XLOOKUP(C454,Contract!$A$2:$A$9,Contract!$B$2:$B$9)</f>
        <v>0.28000000000000003</v>
      </c>
      <c r="S454" s="1">
        <f t="shared" si="28"/>
        <v>58.8</v>
      </c>
      <c r="T454" s="1">
        <f t="shared" si="29"/>
        <v>-0.29000000000000625</v>
      </c>
      <c r="U454" s="1" t="str">
        <f t="shared" si="30"/>
        <v>OK</v>
      </c>
      <c r="V454" s="1" t="str">
        <f>_xlfn.XLOOKUP(C454,Payers!$A$2:$A$9,Payers!$B$2:$B$9)</f>
        <v>Coastal Medicaid MCO</v>
      </c>
      <c r="W454" s="1" t="str">
        <f t="shared" si="31"/>
        <v>2026-05</v>
      </c>
    </row>
    <row r="455" spans="1:23">
      <c r="A455" s="1" t="s">
        <v>936</v>
      </c>
      <c r="B455" s="1" t="s">
        <v>920</v>
      </c>
      <c r="C455" s="1" t="s">
        <v>18</v>
      </c>
      <c r="D455" s="1" t="s">
        <v>37</v>
      </c>
      <c r="E455" s="1" t="s">
        <v>48</v>
      </c>
      <c r="F455">
        <v>1</v>
      </c>
      <c r="G455" s="2">
        <v>46132</v>
      </c>
      <c r="H455" s="2">
        <v>46138</v>
      </c>
      <c r="I455">
        <v>422.81</v>
      </c>
      <c r="J455">
        <v>162.99</v>
      </c>
      <c r="K455">
        <v>162.99</v>
      </c>
      <c r="L455">
        <v>0</v>
      </c>
      <c r="M455" s="1" t="s">
        <v>21</v>
      </c>
      <c r="N455" s="1" t="s">
        <v>22</v>
      </c>
      <c r="O455" s="2">
        <v>46205</v>
      </c>
      <c r="P455" s="2">
        <v>46205</v>
      </c>
      <c r="Q455">
        <f>_xlfn.XLOOKUP(E455,CPT!$A$2:$A$13,CPT!$D$2:$D$13)</f>
        <v>420</v>
      </c>
      <c r="R455" s="1">
        <f>_xlfn.XLOOKUP(C455,Contract!$A$2:$A$9,Contract!$B$2:$B$9)</f>
        <v>0.38</v>
      </c>
      <c r="S455" s="1">
        <f t="shared" si="28"/>
        <v>159.6</v>
      </c>
      <c r="T455" s="1">
        <f t="shared" si="29"/>
        <v>-3.3900000000000148</v>
      </c>
      <c r="U455" s="1" t="str">
        <f t="shared" si="30"/>
        <v>OK</v>
      </c>
      <c r="V455" s="1" t="str">
        <f>_xlfn.XLOOKUP(C455,Payers!$A$2:$A$9,Payers!$B$2:$B$9)</f>
        <v>Sunshine Medicare Advantage</v>
      </c>
      <c r="W455" s="1" t="str">
        <f t="shared" si="31"/>
        <v>2026-04</v>
      </c>
    </row>
    <row r="456" spans="1:23">
      <c r="A456" s="1" t="s">
        <v>937</v>
      </c>
      <c r="B456" s="1" t="s">
        <v>359</v>
      </c>
      <c r="C456" s="1" t="s">
        <v>36</v>
      </c>
      <c r="D456" s="1" t="s">
        <v>26</v>
      </c>
      <c r="E456" s="1" t="s">
        <v>113</v>
      </c>
      <c r="F456">
        <v>1</v>
      </c>
      <c r="G456" s="2">
        <v>45952</v>
      </c>
      <c r="H456" s="2">
        <v>45954</v>
      </c>
      <c r="I456">
        <v>1073.8</v>
      </c>
      <c r="J456">
        <v>333.57</v>
      </c>
      <c r="K456">
        <v>333.57</v>
      </c>
      <c r="L456">
        <v>0</v>
      </c>
      <c r="M456" s="1" t="s">
        <v>21</v>
      </c>
      <c r="N456" s="1" t="s">
        <v>22</v>
      </c>
      <c r="O456" s="2">
        <v>46005</v>
      </c>
      <c r="P456" s="2">
        <v>46005</v>
      </c>
      <c r="Q456">
        <f>_xlfn.XLOOKUP(E456,CPT!$A$2:$A$13,CPT!$D$2:$D$13)</f>
        <v>1050</v>
      </c>
      <c r="R456" s="1">
        <f>_xlfn.XLOOKUP(C456,Contract!$A$2:$A$9,Contract!$B$2:$B$9)</f>
        <v>0.27</v>
      </c>
      <c r="S456" s="1">
        <f t="shared" si="28"/>
        <v>283.5</v>
      </c>
      <c r="T456" s="1">
        <f t="shared" si="29"/>
        <v>-50.069999999999993</v>
      </c>
      <c r="U456" s="1" t="str">
        <f t="shared" si="30"/>
        <v>OK</v>
      </c>
      <c r="V456" s="1" t="str">
        <f>_xlfn.XLOOKUP(C456,Payers!$A$2:$A$9,Payers!$B$2:$B$9)</f>
        <v>Florida Medicaid</v>
      </c>
      <c r="W456" s="1" t="str">
        <f t="shared" si="31"/>
        <v>2025-10</v>
      </c>
    </row>
    <row r="457" spans="1:23">
      <c r="A457" s="1" t="s">
        <v>938</v>
      </c>
      <c r="B457" s="1" t="s">
        <v>939</v>
      </c>
      <c r="C457" s="1" t="s">
        <v>47</v>
      </c>
      <c r="D457" s="1" t="s">
        <v>26</v>
      </c>
      <c r="E457" s="1" t="s">
        <v>113</v>
      </c>
      <c r="F457">
        <v>1</v>
      </c>
      <c r="G457" s="2">
        <v>46077</v>
      </c>
      <c r="H457" s="2">
        <v>46080</v>
      </c>
      <c r="I457">
        <v>1047.56</v>
      </c>
      <c r="J457">
        <v>251.76</v>
      </c>
      <c r="K457">
        <v>251.76</v>
      </c>
      <c r="L457">
        <v>0</v>
      </c>
      <c r="M457" s="1" t="s">
        <v>21</v>
      </c>
      <c r="N457" s="1" t="s">
        <v>22</v>
      </c>
      <c r="O457" s="2">
        <v>46145</v>
      </c>
      <c r="P457" s="2">
        <v>46145</v>
      </c>
      <c r="Q457">
        <f>_xlfn.XLOOKUP(E457,CPT!$A$2:$A$13,CPT!$D$2:$D$13)</f>
        <v>1050</v>
      </c>
      <c r="R457" s="1">
        <f>_xlfn.XLOOKUP(C457,Contract!$A$2:$A$9,Contract!$B$2:$B$9)</f>
        <v>0.28000000000000003</v>
      </c>
      <c r="S457" s="1">
        <f t="shared" si="28"/>
        <v>294</v>
      </c>
      <c r="T457" s="1">
        <f t="shared" si="29"/>
        <v>42.240000000000009</v>
      </c>
      <c r="U457" s="1" t="str">
        <f t="shared" si="30"/>
        <v>Underpaid</v>
      </c>
      <c r="V457" s="1" t="str">
        <f>_xlfn.XLOOKUP(C457,Payers!$A$2:$A$9,Payers!$B$2:$B$9)</f>
        <v>Coastal Medicaid MCO</v>
      </c>
      <c r="W457" s="1" t="str">
        <f t="shared" si="31"/>
        <v>2026-02</v>
      </c>
    </row>
    <row r="458" spans="1:23">
      <c r="A458" s="1" t="s">
        <v>940</v>
      </c>
      <c r="B458" s="1" t="s">
        <v>941</v>
      </c>
      <c r="C458" s="1" t="s">
        <v>60</v>
      </c>
      <c r="D458" s="1" t="s">
        <v>30</v>
      </c>
      <c r="E458" s="1" t="s">
        <v>91</v>
      </c>
      <c r="F458">
        <v>1</v>
      </c>
      <c r="G458" s="2">
        <v>46187</v>
      </c>
      <c r="H458" s="2">
        <v>46191</v>
      </c>
      <c r="I458">
        <v>56.89</v>
      </c>
      <c r="J458">
        <v>24.75</v>
      </c>
      <c r="K458">
        <v>19.8</v>
      </c>
      <c r="L458">
        <v>4.95</v>
      </c>
      <c r="M458" s="1" t="s">
        <v>21</v>
      </c>
      <c r="N458" s="1" t="s">
        <v>22</v>
      </c>
      <c r="O458" s="2">
        <v>46218</v>
      </c>
      <c r="P458" s="2">
        <v>46218</v>
      </c>
      <c r="Q458">
        <f>_xlfn.XLOOKUP(E458,CPT!$A$2:$A$13,CPT!$D$2:$D$13)</f>
        <v>58</v>
      </c>
      <c r="R458" s="1">
        <f>_xlfn.XLOOKUP(C458,Contract!$A$2:$A$9,Contract!$B$2:$B$9)</f>
        <v>0.45</v>
      </c>
      <c r="S458" s="1">
        <f t="shared" si="28"/>
        <v>26.1</v>
      </c>
      <c r="T458" s="1">
        <f t="shared" si="29"/>
        <v>1.3500000000000014</v>
      </c>
      <c r="U458" s="1" t="str">
        <f t="shared" si="30"/>
        <v>Underpaid</v>
      </c>
      <c r="V458" s="1" t="str">
        <f>_xlfn.XLOOKUP(C458,Payers!$A$2:$A$9,Payers!$B$2:$B$9)</f>
        <v>Blue Horizon Commercial</v>
      </c>
      <c r="W458" s="1" t="str">
        <f t="shared" si="31"/>
        <v>2026-06</v>
      </c>
    </row>
    <row r="459" spans="1:23">
      <c r="A459" s="1" t="s">
        <v>942</v>
      </c>
      <c r="B459" s="1" t="s">
        <v>943</v>
      </c>
      <c r="C459" s="1" t="s">
        <v>47</v>
      </c>
      <c r="D459" s="1" t="s">
        <v>30</v>
      </c>
      <c r="E459" s="1" t="s">
        <v>31</v>
      </c>
      <c r="F459">
        <v>1</v>
      </c>
      <c r="G459" s="2">
        <v>45977</v>
      </c>
      <c r="H459" s="2">
        <v>45982</v>
      </c>
      <c r="I459">
        <v>61.35</v>
      </c>
      <c r="M459" s="1" t="s">
        <v>32</v>
      </c>
      <c r="N459" s="1" t="s">
        <v>168</v>
      </c>
      <c r="O459" s="2">
        <v>46046</v>
      </c>
      <c r="P459" s="2"/>
      <c r="Q459">
        <f>_xlfn.XLOOKUP(E459,CPT!$A$2:$A$13,CPT!$D$2:$D$13)</f>
        <v>62</v>
      </c>
      <c r="R459" s="1">
        <f>_xlfn.XLOOKUP(C459,Contract!$A$2:$A$9,Contract!$B$2:$B$9)</f>
        <v>0.28000000000000003</v>
      </c>
      <c r="S459" s="1">
        <f t="shared" si="28"/>
        <v>17.36</v>
      </c>
      <c r="T459" s="1" t="str">
        <f t="shared" si="29"/>
        <v/>
      </c>
      <c r="U459" s="1" t="str">
        <f t="shared" si="30"/>
        <v/>
      </c>
      <c r="V459" s="1" t="str">
        <f>_xlfn.XLOOKUP(C459,Payers!$A$2:$A$9,Payers!$B$2:$B$9)</f>
        <v>Coastal Medicaid MCO</v>
      </c>
      <c r="W459" s="1" t="str">
        <f t="shared" si="31"/>
        <v>2025-11</v>
      </c>
    </row>
    <row r="460" spans="1:23">
      <c r="A460" s="1" t="s">
        <v>944</v>
      </c>
      <c r="B460" s="1" t="s">
        <v>945</v>
      </c>
      <c r="C460" s="1" t="s">
        <v>25</v>
      </c>
      <c r="D460" s="1" t="s">
        <v>37</v>
      </c>
      <c r="E460" s="1" t="s">
        <v>57</v>
      </c>
      <c r="F460">
        <v>1</v>
      </c>
      <c r="G460" s="2">
        <v>46012</v>
      </c>
      <c r="H460" s="2">
        <v>46014</v>
      </c>
      <c r="I460">
        <v>208.47</v>
      </c>
      <c r="J460">
        <v>84.67</v>
      </c>
      <c r="K460">
        <v>84.67</v>
      </c>
      <c r="L460">
        <v>0</v>
      </c>
      <c r="M460" s="1" t="s">
        <v>21</v>
      </c>
      <c r="N460" s="1" t="s">
        <v>22</v>
      </c>
      <c r="O460" s="2">
        <v>46024</v>
      </c>
      <c r="P460" s="2">
        <v>46024</v>
      </c>
      <c r="Q460">
        <f>_xlfn.XLOOKUP(E460,CPT!$A$2:$A$13,CPT!$D$2:$D$13)</f>
        <v>210</v>
      </c>
      <c r="R460" s="1">
        <f>_xlfn.XLOOKUP(C460,Contract!$A$2:$A$9,Contract!$B$2:$B$9)</f>
        <v>0.36</v>
      </c>
      <c r="S460" s="1">
        <f t="shared" si="28"/>
        <v>75.599999999999994</v>
      </c>
      <c r="T460" s="1">
        <f t="shared" si="29"/>
        <v>-9.0700000000000074</v>
      </c>
      <c r="U460" s="1" t="str">
        <f t="shared" si="30"/>
        <v>OK</v>
      </c>
      <c r="V460" s="1" t="str">
        <f>_xlfn.XLOOKUP(C460,Payers!$A$2:$A$9,Payers!$B$2:$B$9)</f>
        <v>Medicare Part B</v>
      </c>
      <c r="W460" s="1" t="str">
        <f t="shared" si="31"/>
        <v>2025-12</v>
      </c>
    </row>
    <row r="461" spans="1:23">
      <c r="A461" s="1" t="s">
        <v>946</v>
      </c>
      <c r="B461" s="1" t="s">
        <v>947</v>
      </c>
      <c r="C461" s="1" t="s">
        <v>18</v>
      </c>
      <c r="D461" s="1" t="s">
        <v>30</v>
      </c>
      <c r="E461" s="1" t="s">
        <v>31</v>
      </c>
      <c r="F461">
        <v>2</v>
      </c>
      <c r="G461" s="2">
        <v>45957</v>
      </c>
      <c r="H461" s="2">
        <v>45963</v>
      </c>
      <c r="I461">
        <v>122.57</v>
      </c>
      <c r="J461">
        <v>42.23</v>
      </c>
      <c r="K461">
        <v>42.23</v>
      </c>
      <c r="L461">
        <v>0</v>
      </c>
      <c r="M461" s="1" t="s">
        <v>21</v>
      </c>
      <c r="N461" s="1" t="s">
        <v>22</v>
      </c>
      <c r="O461" s="2">
        <v>46005</v>
      </c>
      <c r="P461" s="2">
        <v>46005</v>
      </c>
      <c r="Q461">
        <f>_xlfn.XLOOKUP(E461,CPT!$A$2:$A$13,CPT!$D$2:$D$13)</f>
        <v>62</v>
      </c>
      <c r="R461" s="1">
        <f>_xlfn.XLOOKUP(C461,Contract!$A$2:$A$9,Contract!$B$2:$B$9)</f>
        <v>0.38</v>
      </c>
      <c r="S461" s="1">
        <f t="shared" si="28"/>
        <v>47.12</v>
      </c>
      <c r="T461" s="1">
        <f t="shared" si="29"/>
        <v>4.8900000000000006</v>
      </c>
      <c r="U461" s="1" t="str">
        <f t="shared" si="30"/>
        <v>Underpaid</v>
      </c>
      <c r="V461" s="1" t="str">
        <f>_xlfn.XLOOKUP(C461,Payers!$A$2:$A$9,Payers!$B$2:$B$9)</f>
        <v>Sunshine Medicare Advantage</v>
      </c>
      <c r="W461" s="1" t="str">
        <f t="shared" si="31"/>
        <v>2025-10</v>
      </c>
    </row>
    <row r="462" spans="1:23">
      <c r="A462" s="1" t="s">
        <v>948</v>
      </c>
      <c r="B462" s="1" t="s">
        <v>949</v>
      </c>
      <c r="C462" s="1" t="s">
        <v>76</v>
      </c>
      <c r="D462" s="1" t="s">
        <v>26</v>
      </c>
      <c r="E462" s="1" t="s">
        <v>44</v>
      </c>
      <c r="F462">
        <v>1</v>
      </c>
      <c r="G462" s="2">
        <v>46165</v>
      </c>
      <c r="H462" s="2">
        <v>46168</v>
      </c>
      <c r="I462">
        <v>4799.32</v>
      </c>
      <c r="J462">
        <v>2120.64</v>
      </c>
      <c r="K462">
        <v>1696.51</v>
      </c>
      <c r="L462">
        <v>424.13</v>
      </c>
      <c r="M462" s="1" t="s">
        <v>21</v>
      </c>
      <c r="N462" s="1" t="s">
        <v>22</v>
      </c>
      <c r="O462" s="2">
        <v>46193</v>
      </c>
      <c r="P462" s="2">
        <v>46193</v>
      </c>
      <c r="Q462">
        <f>_xlfn.XLOOKUP(E462,CPT!$A$2:$A$13,CPT!$D$2:$D$13)</f>
        <v>4800</v>
      </c>
      <c r="R462" s="1">
        <f>_xlfn.XLOOKUP(C462,Contract!$A$2:$A$9,Contract!$B$2:$B$9)</f>
        <v>0.43</v>
      </c>
      <c r="S462" s="1">
        <f t="shared" si="28"/>
        <v>2064</v>
      </c>
      <c r="T462" s="1">
        <f t="shared" si="29"/>
        <v>-56.639999999999873</v>
      </c>
      <c r="U462" s="1" t="str">
        <f t="shared" si="30"/>
        <v>OK</v>
      </c>
      <c r="V462" s="1" t="str">
        <f>_xlfn.XLOOKUP(C462,Payers!$A$2:$A$9,Payers!$B$2:$B$9)</f>
        <v>Summit Health Commercial</v>
      </c>
      <c r="W462" s="1" t="str">
        <f t="shared" si="31"/>
        <v>2026-05</v>
      </c>
    </row>
    <row r="463" spans="1:23">
      <c r="A463" s="1" t="s">
        <v>950</v>
      </c>
      <c r="B463" s="1" t="s">
        <v>951</v>
      </c>
      <c r="C463" s="1" t="s">
        <v>25</v>
      </c>
      <c r="D463" s="1" t="s">
        <v>19</v>
      </c>
      <c r="E463" s="1" t="s">
        <v>20</v>
      </c>
      <c r="F463">
        <v>1</v>
      </c>
      <c r="G463" s="2">
        <v>45934</v>
      </c>
      <c r="H463" s="2">
        <v>45938</v>
      </c>
      <c r="I463">
        <v>142.78</v>
      </c>
      <c r="J463">
        <v>52.32</v>
      </c>
      <c r="K463">
        <v>52.32</v>
      </c>
      <c r="L463">
        <v>0</v>
      </c>
      <c r="M463" s="1" t="s">
        <v>21</v>
      </c>
      <c r="N463" s="1" t="s">
        <v>22</v>
      </c>
      <c r="O463" s="2">
        <v>45956</v>
      </c>
      <c r="P463" s="2">
        <v>45956</v>
      </c>
      <c r="Q463">
        <f>_xlfn.XLOOKUP(E463,CPT!$A$2:$A$13,CPT!$D$2:$D$13)</f>
        <v>145</v>
      </c>
      <c r="R463" s="1">
        <f>_xlfn.XLOOKUP(C463,Contract!$A$2:$A$9,Contract!$B$2:$B$9)</f>
        <v>0.36</v>
      </c>
      <c r="S463" s="1">
        <f t="shared" si="28"/>
        <v>52.2</v>
      </c>
      <c r="T463" s="1">
        <f t="shared" si="29"/>
        <v>-0.11999999999999744</v>
      </c>
      <c r="U463" s="1" t="str">
        <f t="shared" si="30"/>
        <v>OK</v>
      </c>
      <c r="V463" s="1" t="str">
        <f>_xlfn.XLOOKUP(C463,Payers!$A$2:$A$9,Payers!$B$2:$B$9)</f>
        <v>Medicare Part B</v>
      </c>
      <c r="W463" s="1" t="str">
        <f t="shared" si="31"/>
        <v>2025-10</v>
      </c>
    </row>
    <row r="464" spans="1:23">
      <c r="A464" s="1" t="s">
        <v>952</v>
      </c>
      <c r="B464" s="1" t="s">
        <v>953</v>
      </c>
      <c r="C464" s="1" t="s">
        <v>25</v>
      </c>
      <c r="D464" s="1" t="s">
        <v>26</v>
      </c>
      <c r="E464" s="1" t="s">
        <v>88</v>
      </c>
      <c r="F464">
        <v>1</v>
      </c>
      <c r="G464" s="2">
        <v>45949</v>
      </c>
      <c r="H464" s="2">
        <v>45950</v>
      </c>
      <c r="I464">
        <v>254.47</v>
      </c>
      <c r="J464">
        <v>94.55</v>
      </c>
      <c r="K464">
        <v>94.55</v>
      </c>
      <c r="L464">
        <v>0</v>
      </c>
      <c r="M464" s="1" t="s">
        <v>21</v>
      </c>
      <c r="N464" s="1" t="s">
        <v>22</v>
      </c>
      <c r="O464" s="2">
        <v>45966</v>
      </c>
      <c r="P464" s="2">
        <v>45966</v>
      </c>
      <c r="Q464">
        <f>_xlfn.XLOOKUP(E464,CPT!$A$2:$A$13,CPT!$D$2:$D$13)</f>
        <v>260</v>
      </c>
      <c r="R464" s="1">
        <f>_xlfn.XLOOKUP(C464,Contract!$A$2:$A$9,Contract!$B$2:$B$9)</f>
        <v>0.36</v>
      </c>
      <c r="S464" s="1">
        <f t="shared" si="28"/>
        <v>93.6</v>
      </c>
      <c r="T464" s="1">
        <f t="shared" si="29"/>
        <v>-0.95000000000000284</v>
      </c>
      <c r="U464" s="1" t="str">
        <f t="shared" si="30"/>
        <v>OK</v>
      </c>
      <c r="V464" s="1" t="str">
        <f>_xlfn.XLOOKUP(C464,Payers!$A$2:$A$9,Payers!$B$2:$B$9)</f>
        <v>Medicare Part B</v>
      </c>
      <c r="W464" s="1" t="str">
        <f t="shared" si="31"/>
        <v>2025-10</v>
      </c>
    </row>
    <row r="465" spans="1:23">
      <c r="A465" s="1" t="s">
        <v>954</v>
      </c>
      <c r="B465" s="1" t="s">
        <v>955</v>
      </c>
      <c r="C465" s="1" t="s">
        <v>18</v>
      </c>
      <c r="D465" s="1" t="s">
        <v>30</v>
      </c>
      <c r="E465" s="1" t="s">
        <v>31</v>
      </c>
      <c r="F465">
        <v>4</v>
      </c>
      <c r="G465" s="2">
        <v>46243</v>
      </c>
      <c r="H465" s="2">
        <v>46247</v>
      </c>
      <c r="I465">
        <v>250.85</v>
      </c>
      <c r="M465" s="1" t="s">
        <v>69</v>
      </c>
      <c r="N465" s="1" t="s">
        <v>22</v>
      </c>
      <c r="O465" s="2"/>
      <c r="P465" s="2"/>
      <c r="Q465">
        <f>_xlfn.XLOOKUP(E465,CPT!$A$2:$A$13,CPT!$D$2:$D$13)</f>
        <v>62</v>
      </c>
      <c r="R465" s="1">
        <f>_xlfn.XLOOKUP(C465,Contract!$A$2:$A$9,Contract!$B$2:$B$9)</f>
        <v>0.38</v>
      </c>
      <c r="S465" s="1">
        <f t="shared" si="28"/>
        <v>94.24</v>
      </c>
      <c r="T465" s="1" t="str">
        <f t="shared" si="29"/>
        <v/>
      </c>
      <c r="U465" s="1" t="str">
        <f t="shared" si="30"/>
        <v/>
      </c>
      <c r="V465" s="1" t="str">
        <f>_xlfn.XLOOKUP(C465,Payers!$A$2:$A$9,Payers!$B$2:$B$9)</f>
        <v>Sunshine Medicare Advantage</v>
      </c>
      <c r="W465" s="1" t="str">
        <f t="shared" si="31"/>
        <v>2026-08</v>
      </c>
    </row>
    <row r="466" spans="1:23">
      <c r="A466" s="1" t="s">
        <v>956</v>
      </c>
      <c r="B466" s="1" t="s">
        <v>957</v>
      </c>
      <c r="C466" s="1" t="s">
        <v>76</v>
      </c>
      <c r="D466" s="1" t="s">
        <v>26</v>
      </c>
      <c r="E466" s="1" t="s">
        <v>185</v>
      </c>
      <c r="F466">
        <v>1</v>
      </c>
      <c r="G466" s="2">
        <v>46125</v>
      </c>
      <c r="H466" s="2">
        <v>46131</v>
      </c>
      <c r="I466">
        <v>1172.0999999999999</v>
      </c>
      <c r="J466">
        <v>433.25</v>
      </c>
      <c r="K466">
        <v>389.92</v>
      </c>
      <c r="L466">
        <v>43.33</v>
      </c>
      <c r="M466" s="1" t="s">
        <v>21</v>
      </c>
      <c r="N466" s="1" t="s">
        <v>22</v>
      </c>
      <c r="O466" s="2">
        <v>46158</v>
      </c>
      <c r="P466" s="2">
        <v>46158</v>
      </c>
      <c r="Q466">
        <f>_xlfn.XLOOKUP(E466,CPT!$A$2:$A$13,CPT!$D$2:$D$13)</f>
        <v>1150</v>
      </c>
      <c r="R466" s="1">
        <f>_xlfn.XLOOKUP(C466,Contract!$A$2:$A$9,Contract!$B$2:$B$9)</f>
        <v>0.43</v>
      </c>
      <c r="S466" s="1">
        <f t="shared" si="28"/>
        <v>494.5</v>
      </c>
      <c r="T466" s="1">
        <f t="shared" si="29"/>
        <v>61.25</v>
      </c>
      <c r="U466" s="1" t="str">
        <f t="shared" si="30"/>
        <v>Underpaid</v>
      </c>
      <c r="V466" s="1" t="str">
        <f>_xlfn.XLOOKUP(C466,Payers!$A$2:$A$9,Payers!$B$2:$B$9)</f>
        <v>Summit Health Commercial</v>
      </c>
      <c r="W466" s="1" t="str">
        <f t="shared" si="31"/>
        <v>2026-04</v>
      </c>
    </row>
    <row r="467" spans="1:23">
      <c r="A467" s="1" t="s">
        <v>958</v>
      </c>
      <c r="B467" s="1" t="s">
        <v>959</v>
      </c>
      <c r="C467" s="1" t="s">
        <v>18</v>
      </c>
      <c r="D467" s="1" t="s">
        <v>19</v>
      </c>
      <c r="E467" s="1" t="s">
        <v>57</v>
      </c>
      <c r="F467">
        <v>1</v>
      </c>
      <c r="G467" s="2">
        <v>46244</v>
      </c>
      <c r="H467" s="2">
        <v>46248</v>
      </c>
      <c r="I467">
        <v>204.43</v>
      </c>
      <c r="M467" s="1" t="s">
        <v>69</v>
      </c>
      <c r="N467" s="1" t="s">
        <v>22</v>
      </c>
      <c r="O467" s="2"/>
      <c r="P467" s="2"/>
      <c r="Q467">
        <f>_xlfn.XLOOKUP(E467,CPT!$A$2:$A$13,CPT!$D$2:$D$13)</f>
        <v>210</v>
      </c>
      <c r="R467" s="1">
        <f>_xlfn.XLOOKUP(C467,Contract!$A$2:$A$9,Contract!$B$2:$B$9)</f>
        <v>0.38</v>
      </c>
      <c r="S467" s="1">
        <f t="shared" si="28"/>
        <v>79.8</v>
      </c>
      <c r="T467" s="1" t="str">
        <f t="shared" si="29"/>
        <v/>
      </c>
      <c r="U467" s="1" t="str">
        <f t="shared" si="30"/>
        <v/>
      </c>
      <c r="V467" s="1" t="str">
        <f>_xlfn.XLOOKUP(C467,Payers!$A$2:$A$9,Payers!$B$2:$B$9)</f>
        <v>Sunshine Medicare Advantage</v>
      </c>
      <c r="W467" s="1" t="str">
        <f t="shared" si="31"/>
        <v>2026-08</v>
      </c>
    </row>
    <row r="468" spans="1:23">
      <c r="A468" s="1" t="s">
        <v>960</v>
      </c>
      <c r="B468" s="1" t="s">
        <v>961</v>
      </c>
      <c r="C468" s="1" t="s">
        <v>52</v>
      </c>
      <c r="D468" s="1" t="s">
        <v>19</v>
      </c>
      <c r="E468" s="1" t="s">
        <v>88</v>
      </c>
      <c r="F468">
        <v>1</v>
      </c>
      <c r="G468" s="2">
        <v>46093</v>
      </c>
      <c r="H468" s="2">
        <v>46097</v>
      </c>
      <c r="I468">
        <v>256.25</v>
      </c>
      <c r="J468">
        <v>137.16999999999999</v>
      </c>
      <c r="K468">
        <v>109.74</v>
      </c>
      <c r="L468">
        <v>27.43</v>
      </c>
      <c r="M468" s="1" t="s">
        <v>21</v>
      </c>
      <c r="N468" s="1" t="s">
        <v>22</v>
      </c>
      <c r="O468" s="2">
        <v>46130</v>
      </c>
      <c r="P468" s="2">
        <v>46130</v>
      </c>
      <c r="Q468">
        <f>_xlfn.XLOOKUP(E468,CPT!$A$2:$A$13,CPT!$D$2:$D$13)</f>
        <v>260</v>
      </c>
      <c r="R468" s="1">
        <f>_xlfn.XLOOKUP(C468,Contract!$A$2:$A$9,Contract!$B$2:$B$9)</f>
        <v>0.47</v>
      </c>
      <c r="S468" s="1">
        <f t="shared" si="28"/>
        <v>122.2</v>
      </c>
      <c r="T468" s="1">
        <f t="shared" si="29"/>
        <v>-14.969999999999985</v>
      </c>
      <c r="U468" s="1" t="str">
        <f t="shared" si="30"/>
        <v>OK</v>
      </c>
      <c r="V468" s="1" t="str">
        <f>_xlfn.XLOOKUP(C468,Payers!$A$2:$A$9,Payers!$B$2:$B$9)</f>
        <v>Keystone Commercial PPO</v>
      </c>
      <c r="W468" s="1" t="str">
        <f t="shared" si="31"/>
        <v>2026-03</v>
      </c>
    </row>
    <row r="469" spans="1:23">
      <c r="A469" s="1" t="s">
        <v>962</v>
      </c>
      <c r="B469" s="1" t="s">
        <v>963</v>
      </c>
      <c r="C469" s="1" t="s">
        <v>60</v>
      </c>
      <c r="D469" s="1" t="s">
        <v>30</v>
      </c>
      <c r="E469" s="1" t="s">
        <v>20</v>
      </c>
      <c r="F469">
        <v>1</v>
      </c>
      <c r="G469" s="2">
        <v>46079</v>
      </c>
      <c r="H469" s="2">
        <v>46214</v>
      </c>
      <c r="I469">
        <v>149.16999999999999</v>
      </c>
      <c r="M469" s="1" t="s">
        <v>32</v>
      </c>
      <c r="N469" s="1" t="s">
        <v>137</v>
      </c>
      <c r="O469" s="2">
        <v>46235</v>
      </c>
      <c r="P469" s="2"/>
      <c r="Q469">
        <f>_xlfn.XLOOKUP(E469,CPT!$A$2:$A$13,CPT!$D$2:$D$13)</f>
        <v>145</v>
      </c>
      <c r="R469" s="1">
        <f>_xlfn.XLOOKUP(C469,Contract!$A$2:$A$9,Contract!$B$2:$B$9)</f>
        <v>0.45</v>
      </c>
      <c r="S469" s="1">
        <f t="shared" si="28"/>
        <v>65.25</v>
      </c>
      <c r="T469" s="1" t="str">
        <f t="shared" si="29"/>
        <v/>
      </c>
      <c r="U469" s="1" t="str">
        <f t="shared" si="30"/>
        <v/>
      </c>
      <c r="V469" s="1" t="str">
        <f>_xlfn.XLOOKUP(C469,Payers!$A$2:$A$9,Payers!$B$2:$B$9)</f>
        <v>Blue Horizon Commercial</v>
      </c>
      <c r="W469" s="1" t="str">
        <f t="shared" si="31"/>
        <v>2026-02</v>
      </c>
    </row>
    <row r="470" spans="1:23">
      <c r="A470" s="1" t="s">
        <v>964</v>
      </c>
      <c r="B470" s="1" t="s">
        <v>965</v>
      </c>
      <c r="C470" s="1" t="s">
        <v>52</v>
      </c>
      <c r="D470" s="1" t="s">
        <v>37</v>
      </c>
      <c r="E470" s="1" t="s">
        <v>48</v>
      </c>
      <c r="F470">
        <v>1</v>
      </c>
      <c r="G470" s="2">
        <v>46101</v>
      </c>
      <c r="H470" s="2">
        <v>46108</v>
      </c>
      <c r="I470">
        <v>416.21</v>
      </c>
      <c r="J470">
        <v>205.26</v>
      </c>
      <c r="K470">
        <v>205.26</v>
      </c>
      <c r="L470">
        <v>0</v>
      </c>
      <c r="M470" s="1" t="s">
        <v>21</v>
      </c>
      <c r="N470" s="1" t="s">
        <v>22</v>
      </c>
      <c r="O470" s="2">
        <v>46149</v>
      </c>
      <c r="P470" s="2">
        <v>46149</v>
      </c>
      <c r="Q470">
        <f>_xlfn.XLOOKUP(E470,CPT!$A$2:$A$13,CPT!$D$2:$D$13)</f>
        <v>420</v>
      </c>
      <c r="R470" s="1">
        <f>_xlfn.XLOOKUP(C470,Contract!$A$2:$A$9,Contract!$B$2:$B$9)</f>
        <v>0.47</v>
      </c>
      <c r="S470" s="1">
        <f t="shared" si="28"/>
        <v>197.4</v>
      </c>
      <c r="T470" s="1">
        <f t="shared" si="29"/>
        <v>-7.8599999999999852</v>
      </c>
      <c r="U470" s="1" t="str">
        <f t="shared" si="30"/>
        <v>OK</v>
      </c>
      <c r="V470" s="1" t="str">
        <f>_xlfn.XLOOKUP(C470,Payers!$A$2:$A$9,Payers!$B$2:$B$9)</f>
        <v>Keystone Commercial PPO</v>
      </c>
      <c r="W470" s="1" t="str">
        <f t="shared" si="31"/>
        <v>2026-03</v>
      </c>
    </row>
    <row r="471" spans="1:23">
      <c r="A471" s="1" t="s">
        <v>966</v>
      </c>
      <c r="B471" s="1" t="s">
        <v>967</v>
      </c>
      <c r="C471" s="1" t="s">
        <v>76</v>
      </c>
      <c r="D471" s="1" t="s">
        <v>26</v>
      </c>
      <c r="E471" s="1" t="s">
        <v>27</v>
      </c>
      <c r="F471">
        <v>1</v>
      </c>
      <c r="G471" s="2">
        <v>45934</v>
      </c>
      <c r="H471" s="2">
        <v>45936</v>
      </c>
      <c r="I471">
        <v>234.44</v>
      </c>
      <c r="J471">
        <v>102.37</v>
      </c>
      <c r="K471">
        <v>102.37</v>
      </c>
      <c r="L471">
        <v>0</v>
      </c>
      <c r="M471" s="1" t="s">
        <v>21</v>
      </c>
      <c r="N471" s="1" t="s">
        <v>22</v>
      </c>
      <c r="O471" s="2">
        <v>45961</v>
      </c>
      <c r="P471" s="2">
        <v>45961</v>
      </c>
      <c r="Q471">
        <f>_xlfn.XLOOKUP(E471,CPT!$A$2:$A$13,CPT!$D$2:$D$13)</f>
        <v>240</v>
      </c>
      <c r="R471" s="1">
        <f>_xlfn.XLOOKUP(C471,Contract!$A$2:$A$9,Contract!$B$2:$B$9)</f>
        <v>0.43</v>
      </c>
      <c r="S471" s="1">
        <f t="shared" si="28"/>
        <v>103.2</v>
      </c>
      <c r="T471" s="1">
        <f t="shared" si="29"/>
        <v>0.82999999999999829</v>
      </c>
      <c r="U471" s="1" t="str">
        <f t="shared" si="30"/>
        <v>OK</v>
      </c>
      <c r="V471" s="1" t="str">
        <f>_xlfn.XLOOKUP(C471,Payers!$A$2:$A$9,Payers!$B$2:$B$9)</f>
        <v>Summit Health Commercial</v>
      </c>
      <c r="W471" s="1" t="str">
        <f t="shared" si="31"/>
        <v>2025-10</v>
      </c>
    </row>
    <row r="472" spans="1:23">
      <c r="A472" s="1" t="s">
        <v>968</v>
      </c>
      <c r="B472" s="1" t="s">
        <v>969</v>
      </c>
      <c r="C472" s="1" t="s">
        <v>36</v>
      </c>
      <c r="D472" s="1" t="s">
        <v>26</v>
      </c>
      <c r="E472" s="1" t="s">
        <v>185</v>
      </c>
      <c r="F472">
        <v>1</v>
      </c>
      <c r="G472" s="2">
        <v>46275</v>
      </c>
      <c r="H472" s="2">
        <v>46278</v>
      </c>
      <c r="I472">
        <v>1148.56</v>
      </c>
      <c r="M472" s="1" t="s">
        <v>32</v>
      </c>
      <c r="N472" s="1" t="s">
        <v>315</v>
      </c>
      <c r="O472" s="2">
        <v>46294</v>
      </c>
      <c r="P472" s="2"/>
      <c r="Q472">
        <f>_xlfn.XLOOKUP(E472,CPT!$A$2:$A$13,CPT!$D$2:$D$13)</f>
        <v>1150</v>
      </c>
      <c r="R472" s="1">
        <f>_xlfn.XLOOKUP(C472,Contract!$A$2:$A$9,Contract!$B$2:$B$9)</f>
        <v>0.27</v>
      </c>
      <c r="S472" s="1">
        <f t="shared" si="28"/>
        <v>310.5</v>
      </c>
      <c r="T472" s="1" t="str">
        <f t="shared" si="29"/>
        <v/>
      </c>
      <c r="U472" s="1" t="str">
        <f t="shared" si="30"/>
        <v/>
      </c>
      <c r="V472" s="1" t="str">
        <f>_xlfn.XLOOKUP(C472,Payers!$A$2:$A$9,Payers!$B$2:$B$9)</f>
        <v>Florida Medicaid</v>
      </c>
      <c r="W472" s="1" t="str">
        <f t="shared" si="31"/>
        <v>2026-09</v>
      </c>
    </row>
    <row r="473" spans="1:23">
      <c r="A473" s="1" t="s">
        <v>970</v>
      </c>
      <c r="B473" s="1" t="s">
        <v>971</v>
      </c>
      <c r="C473" s="1" t="s">
        <v>60</v>
      </c>
      <c r="D473" s="1" t="s">
        <v>30</v>
      </c>
      <c r="E473" s="1" t="s">
        <v>20</v>
      </c>
      <c r="F473">
        <v>1</v>
      </c>
      <c r="G473" s="2">
        <v>46197</v>
      </c>
      <c r="H473" s="2">
        <v>46203</v>
      </c>
      <c r="I473">
        <v>143.25</v>
      </c>
      <c r="J473">
        <v>58.61</v>
      </c>
      <c r="K473">
        <v>52.75</v>
      </c>
      <c r="L473">
        <v>5.86</v>
      </c>
      <c r="M473" s="1" t="s">
        <v>21</v>
      </c>
      <c r="N473" s="1" t="s">
        <v>22</v>
      </c>
      <c r="O473" s="2">
        <v>46235</v>
      </c>
      <c r="P473" s="2">
        <v>46235</v>
      </c>
      <c r="Q473">
        <f>_xlfn.XLOOKUP(E473,CPT!$A$2:$A$13,CPT!$D$2:$D$13)</f>
        <v>145</v>
      </c>
      <c r="R473" s="1">
        <f>_xlfn.XLOOKUP(C473,Contract!$A$2:$A$9,Contract!$B$2:$B$9)</f>
        <v>0.45</v>
      </c>
      <c r="S473" s="1">
        <f t="shared" si="28"/>
        <v>65.25</v>
      </c>
      <c r="T473" s="1">
        <f t="shared" si="29"/>
        <v>6.6400000000000006</v>
      </c>
      <c r="U473" s="1" t="str">
        <f t="shared" si="30"/>
        <v>Underpaid</v>
      </c>
      <c r="V473" s="1" t="str">
        <f>_xlfn.XLOOKUP(C473,Payers!$A$2:$A$9,Payers!$B$2:$B$9)</f>
        <v>Blue Horizon Commercial</v>
      </c>
      <c r="W473" s="1" t="str">
        <f t="shared" si="31"/>
        <v>2026-06</v>
      </c>
    </row>
    <row r="474" spans="1:23">
      <c r="A474" s="1" t="s">
        <v>972</v>
      </c>
      <c r="B474" s="1" t="s">
        <v>973</v>
      </c>
      <c r="C474" s="1" t="s">
        <v>60</v>
      </c>
      <c r="D474" s="1" t="s">
        <v>30</v>
      </c>
      <c r="E474" s="1" t="s">
        <v>91</v>
      </c>
      <c r="F474">
        <v>1</v>
      </c>
      <c r="G474" s="2">
        <v>46007</v>
      </c>
      <c r="H474" s="2">
        <v>46009</v>
      </c>
      <c r="I474">
        <v>59.19</v>
      </c>
      <c r="J474">
        <v>23.87</v>
      </c>
      <c r="K474">
        <v>23.87</v>
      </c>
      <c r="L474">
        <v>0</v>
      </c>
      <c r="M474" s="1" t="s">
        <v>21</v>
      </c>
      <c r="N474" s="1" t="s">
        <v>22</v>
      </c>
      <c r="O474" s="2">
        <v>46032</v>
      </c>
      <c r="P474" s="2">
        <v>46032</v>
      </c>
      <c r="Q474">
        <f>_xlfn.XLOOKUP(E474,CPT!$A$2:$A$13,CPT!$D$2:$D$13)</f>
        <v>58</v>
      </c>
      <c r="R474" s="1">
        <f>_xlfn.XLOOKUP(C474,Contract!$A$2:$A$9,Contract!$B$2:$B$9)</f>
        <v>0.45</v>
      </c>
      <c r="S474" s="1">
        <f t="shared" si="28"/>
        <v>26.1</v>
      </c>
      <c r="T474" s="1">
        <f t="shared" si="29"/>
        <v>2.2300000000000004</v>
      </c>
      <c r="U474" s="1" t="str">
        <f t="shared" si="30"/>
        <v>Underpaid</v>
      </c>
      <c r="V474" s="1" t="str">
        <f>_xlfn.XLOOKUP(C474,Payers!$A$2:$A$9,Payers!$B$2:$B$9)</f>
        <v>Blue Horizon Commercial</v>
      </c>
      <c r="W474" s="1" t="str">
        <f t="shared" si="31"/>
        <v>2025-12</v>
      </c>
    </row>
    <row r="475" spans="1:23">
      <c r="A475" s="1" t="s">
        <v>974</v>
      </c>
      <c r="B475" s="1" t="s">
        <v>975</v>
      </c>
      <c r="C475" s="1" t="s">
        <v>76</v>
      </c>
      <c r="D475" s="1" t="s">
        <v>19</v>
      </c>
      <c r="E475" s="1" t="s">
        <v>57</v>
      </c>
      <c r="F475">
        <v>1</v>
      </c>
      <c r="G475" s="2">
        <v>46085</v>
      </c>
      <c r="H475" s="2">
        <v>46087</v>
      </c>
      <c r="I475">
        <v>206.42</v>
      </c>
      <c r="M475" s="1" t="s">
        <v>32</v>
      </c>
      <c r="N475" s="1" t="s">
        <v>168</v>
      </c>
      <c r="O475" s="2">
        <v>46115</v>
      </c>
      <c r="P475" s="2"/>
      <c r="Q475">
        <f>_xlfn.XLOOKUP(E475,CPT!$A$2:$A$13,CPT!$D$2:$D$13)</f>
        <v>210</v>
      </c>
      <c r="R475" s="1">
        <f>_xlfn.XLOOKUP(C475,Contract!$A$2:$A$9,Contract!$B$2:$B$9)</f>
        <v>0.43</v>
      </c>
      <c r="S475" s="1">
        <f t="shared" si="28"/>
        <v>90.3</v>
      </c>
      <c r="T475" s="1" t="str">
        <f t="shared" si="29"/>
        <v/>
      </c>
      <c r="U475" s="1" t="str">
        <f t="shared" si="30"/>
        <v/>
      </c>
      <c r="V475" s="1" t="str">
        <f>_xlfn.XLOOKUP(C475,Payers!$A$2:$A$9,Payers!$B$2:$B$9)</f>
        <v>Summit Health Commercial</v>
      </c>
      <c r="W475" s="1" t="str">
        <f t="shared" si="31"/>
        <v>2026-03</v>
      </c>
    </row>
    <row r="476" spans="1:23">
      <c r="A476" s="1" t="s">
        <v>976</v>
      </c>
      <c r="B476" s="1" t="s">
        <v>977</v>
      </c>
      <c r="C476" s="1" t="s">
        <v>47</v>
      </c>
      <c r="D476" s="1" t="s">
        <v>26</v>
      </c>
      <c r="E476" s="1" t="s">
        <v>185</v>
      </c>
      <c r="F476">
        <v>1</v>
      </c>
      <c r="G476" s="2">
        <v>46199</v>
      </c>
      <c r="H476" s="2">
        <v>46201</v>
      </c>
      <c r="I476">
        <v>1136.9100000000001</v>
      </c>
      <c r="J476">
        <v>277.55</v>
      </c>
      <c r="K476">
        <v>277.55</v>
      </c>
      <c r="L476">
        <v>0</v>
      </c>
      <c r="M476" s="1" t="s">
        <v>21</v>
      </c>
      <c r="N476" s="1" t="s">
        <v>22</v>
      </c>
      <c r="O476" s="2">
        <v>46283</v>
      </c>
      <c r="P476" s="2">
        <v>46283</v>
      </c>
      <c r="Q476">
        <f>_xlfn.XLOOKUP(E476,CPT!$A$2:$A$13,CPT!$D$2:$D$13)</f>
        <v>1150</v>
      </c>
      <c r="R476" s="1">
        <f>_xlfn.XLOOKUP(C476,Contract!$A$2:$A$9,Contract!$B$2:$B$9)</f>
        <v>0.28000000000000003</v>
      </c>
      <c r="S476" s="1">
        <f t="shared" si="28"/>
        <v>322</v>
      </c>
      <c r="T476" s="1">
        <f t="shared" si="29"/>
        <v>44.449999999999989</v>
      </c>
      <c r="U476" s="1" t="str">
        <f t="shared" si="30"/>
        <v>Underpaid</v>
      </c>
      <c r="V476" s="1" t="str">
        <f>_xlfn.XLOOKUP(C476,Payers!$A$2:$A$9,Payers!$B$2:$B$9)</f>
        <v>Coastal Medicaid MCO</v>
      </c>
      <c r="W476" s="1" t="str">
        <f t="shared" si="31"/>
        <v>2026-06</v>
      </c>
    </row>
    <row r="477" spans="1:23">
      <c r="A477" s="1" t="s">
        <v>978</v>
      </c>
      <c r="B477" s="1" t="s">
        <v>979</v>
      </c>
      <c r="C477" s="1" t="s">
        <v>76</v>
      </c>
      <c r="D477" s="1" t="s">
        <v>37</v>
      </c>
      <c r="E477" s="1" t="s">
        <v>48</v>
      </c>
      <c r="F477">
        <v>1</v>
      </c>
      <c r="G477" s="2">
        <v>46198</v>
      </c>
      <c r="H477" s="2">
        <v>46200</v>
      </c>
      <c r="I477">
        <v>410.32</v>
      </c>
      <c r="M477" s="1" t="s">
        <v>32</v>
      </c>
      <c r="N477" s="1" t="s">
        <v>168</v>
      </c>
      <c r="O477" s="2">
        <v>46230</v>
      </c>
      <c r="P477" s="2"/>
      <c r="Q477">
        <f>_xlfn.XLOOKUP(E477,CPT!$A$2:$A$13,CPT!$D$2:$D$13)</f>
        <v>420</v>
      </c>
      <c r="R477" s="1">
        <f>_xlfn.XLOOKUP(C477,Contract!$A$2:$A$9,Contract!$B$2:$B$9)</f>
        <v>0.43</v>
      </c>
      <c r="S477" s="1">
        <f t="shared" si="28"/>
        <v>180.6</v>
      </c>
      <c r="T477" s="1" t="str">
        <f t="shared" si="29"/>
        <v/>
      </c>
      <c r="U477" s="1" t="str">
        <f t="shared" si="30"/>
        <v/>
      </c>
      <c r="V477" s="1" t="str">
        <f>_xlfn.XLOOKUP(C477,Payers!$A$2:$A$9,Payers!$B$2:$B$9)</f>
        <v>Summit Health Commercial</v>
      </c>
      <c r="W477" s="1" t="str">
        <f t="shared" si="31"/>
        <v>2026-06</v>
      </c>
    </row>
    <row r="478" spans="1:23">
      <c r="A478" s="1" t="s">
        <v>980</v>
      </c>
      <c r="B478" s="1" t="s">
        <v>981</v>
      </c>
      <c r="C478" s="1" t="s">
        <v>18</v>
      </c>
      <c r="D478" s="1" t="s">
        <v>26</v>
      </c>
      <c r="E478" s="1" t="s">
        <v>27</v>
      </c>
      <c r="F478">
        <v>1</v>
      </c>
      <c r="G478" s="2">
        <v>46258</v>
      </c>
      <c r="H478" s="2">
        <v>46260</v>
      </c>
      <c r="I478">
        <v>245.65</v>
      </c>
      <c r="M478" s="1" t="s">
        <v>69</v>
      </c>
      <c r="N478" s="1" t="s">
        <v>22</v>
      </c>
      <c r="O478" s="2"/>
      <c r="P478" s="2"/>
      <c r="Q478">
        <f>_xlfn.XLOOKUP(E478,CPT!$A$2:$A$13,CPT!$D$2:$D$13)</f>
        <v>240</v>
      </c>
      <c r="R478" s="1">
        <f>_xlfn.XLOOKUP(C478,Contract!$A$2:$A$9,Contract!$B$2:$B$9)</f>
        <v>0.38</v>
      </c>
      <c r="S478" s="1">
        <f t="shared" si="28"/>
        <v>91.2</v>
      </c>
      <c r="T478" s="1" t="str">
        <f t="shared" si="29"/>
        <v/>
      </c>
      <c r="U478" s="1" t="str">
        <f t="shared" si="30"/>
        <v/>
      </c>
      <c r="V478" s="1" t="str">
        <f>_xlfn.XLOOKUP(C478,Payers!$A$2:$A$9,Payers!$B$2:$B$9)</f>
        <v>Sunshine Medicare Advantage</v>
      </c>
      <c r="W478" s="1" t="str">
        <f t="shared" si="31"/>
        <v>2026-08</v>
      </c>
    </row>
    <row r="479" spans="1:23">
      <c r="A479" s="1" t="s">
        <v>982</v>
      </c>
      <c r="B479" s="1" t="s">
        <v>983</v>
      </c>
      <c r="C479" s="1" t="s">
        <v>60</v>
      </c>
      <c r="D479" s="1" t="s">
        <v>26</v>
      </c>
      <c r="E479" s="1" t="s">
        <v>88</v>
      </c>
      <c r="F479">
        <v>1</v>
      </c>
      <c r="G479" s="2">
        <v>46249</v>
      </c>
      <c r="H479" s="2">
        <v>46250</v>
      </c>
      <c r="I479">
        <v>260.93</v>
      </c>
      <c r="J479">
        <v>119.22</v>
      </c>
      <c r="K479">
        <v>107.3</v>
      </c>
      <c r="L479">
        <v>11.92</v>
      </c>
      <c r="M479" s="1" t="s">
        <v>21</v>
      </c>
      <c r="N479" s="1" t="s">
        <v>22</v>
      </c>
      <c r="O479" s="2">
        <v>46279</v>
      </c>
      <c r="P479" s="2">
        <v>46279</v>
      </c>
      <c r="Q479">
        <f>_xlfn.XLOOKUP(E479,CPT!$A$2:$A$13,CPT!$D$2:$D$13)</f>
        <v>260</v>
      </c>
      <c r="R479" s="1">
        <f>_xlfn.XLOOKUP(C479,Contract!$A$2:$A$9,Contract!$B$2:$B$9)</f>
        <v>0.45</v>
      </c>
      <c r="S479" s="1">
        <f t="shared" si="28"/>
        <v>117</v>
      </c>
      <c r="T479" s="1">
        <f t="shared" si="29"/>
        <v>-2.2199999999999989</v>
      </c>
      <c r="U479" s="1" t="str">
        <f t="shared" si="30"/>
        <v>OK</v>
      </c>
      <c r="V479" s="1" t="str">
        <f>_xlfn.XLOOKUP(C479,Payers!$A$2:$A$9,Payers!$B$2:$B$9)</f>
        <v>Blue Horizon Commercial</v>
      </c>
      <c r="W479" s="1" t="str">
        <f t="shared" si="31"/>
        <v>2026-08</v>
      </c>
    </row>
    <row r="480" spans="1:23">
      <c r="A480" s="1" t="s">
        <v>984</v>
      </c>
      <c r="B480" s="1" t="s">
        <v>985</v>
      </c>
      <c r="C480" s="1" t="s">
        <v>25</v>
      </c>
      <c r="D480" s="1" t="s">
        <v>30</v>
      </c>
      <c r="E480" s="1" t="s">
        <v>91</v>
      </c>
      <c r="F480">
        <v>1</v>
      </c>
      <c r="G480" s="2">
        <v>46018</v>
      </c>
      <c r="H480" s="2">
        <v>46027</v>
      </c>
      <c r="I480">
        <v>57.34</v>
      </c>
      <c r="M480" s="1" t="s">
        <v>32</v>
      </c>
      <c r="N480" s="1" t="s">
        <v>33</v>
      </c>
      <c r="O480" s="2">
        <v>46050</v>
      </c>
      <c r="P480" s="2"/>
      <c r="Q480">
        <f>_xlfn.XLOOKUP(E480,CPT!$A$2:$A$13,CPT!$D$2:$D$13)</f>
        <v>58</v>
      </c>
      <c r="R480" s="1">
        <f>_xlfn.XLOOKUP(C480,Contract!$A$2:$A$9,Contract!$B$2:$B$9)</f>
        <v>0.36</v>
      </c>
      <c r="S480" s="1">
        <f t="shared" si="28"/>
        <v>20.88</v>
      </c>
      <c r="T480" s="1" t="str">
        <f t="shared" si="29"/>
        <v/>
      </c>
      <c r="U480" s="1" t="str">
        <f t="shared" si="30"/>
        <v/>
      </c>
      <c r="V480" s="1" t="str">
        <f>_xlfn.XLOOKUP(C480,Payers!$A$2:$A$9,Payers!$B$2:$B$9)</f>
        <v>Medicare Part B</v>
      </c>
      <c r="W480" s="1" t="str">
        <f t="shared" si="31"/>
        <v>2025-12</v>
      </c>
    </row>
    <row r="481" spans="1:23">
      <c r="A481" s="1" t="s">
        <v>986</v>
      </c>
      <c r="B481" s="1" t="s">
        <v>987</v>
      </c>
      <c r="C481" s="1" t="s">
        <v>25</v>
      </c>
      <c r="D481" s="1" t="s">
        <v>19</v>
      </c>
      <c r="E481" s="1" t="s">
        <v>41</v>
      </c>
      <c r="F481">
        <v>1</v>
      </c>
      <c r="G481" s="2">
        <v>46090</v>
      </c>
      <c r="H481" s="2">
        <v>46091</v>
      </c>
      <c r="I481">
        <v>37.619999999999997</v>
      </c>
      <c r="J481">
        <v>14.85</v>
      </c>
      <c r="K481">
        <v>14.85</v>
      </c>
      <c r="L481">
        <v>0</v>
      </c>
      <c r="M481" s="1" t="s">
        <v>21</v>
      </c>
      <c r="N481" s="1" t="s">
        <v>22</v>
      </c>
      <c r="O481" s="2">
        <v>46110</v>
      </c>
      <c r="P481" s="2">
        <v>46110</v>
      </c>
      <c r="Q481">
        <f>_xlfn.XLOOKUP(E481,CPT!$A$2:$A$13,CPT!$D$2:$D$13)</f>
        <v>38</v>
      </c>
      <c r="R481" s="1">
        <f>_xlfn.XLOOKUP(C481,Contract!$A$2:$A$9,Contract!$B$2:$B$9)</f>
        <v>0.36</v>
      </c>
      <c r="S481" s="1">
        <f t="shared" si="28"/>
        <v>13.68</v>
      </c>
      <c r="T481" s="1">
        <f t="shared" si="29"/>
        <v>-1.17</v>
      </c>
      <c r="U481" s="1" t="str">
        <f t="shared" si="30"/>
        <v>OK</v>
      </c>
      <c r="V481" s="1" t="str">
        <f>_xlfn.XLOOKUP(C481,Payers!$A$2:$A$9,Payers!$B$2:$B$9)</f>
        <v>Medicare Part B</v>
      </c>
      <c r="W481" s="1" t="str">
        <f t="shared" si="31"/>
        <v>2026-03</v>
      </c>
    </row>
    <row r="482" spans="1:23">
      <c r="A482" s="1" t="s">
        <v>988</v>
      </c>
      <c r="B482" s="1" t="s">
        <v>989</v>
      </c>
      <c r="C482" s="1" t="s">
        <v>60</v>
      </c>
      <c r="D482" s="1" t="s">
        <v>37</v>
      </c>
      <c r="E482" s="1" t="s">
        <v>57</v>
      </c>
      <c r="F482">
        <v>1</v>
      </c>
      <c r="G482" s="2">
        <v>46288</v>
      </c>
      <c r="H482" s="2">
        <v>46291</v>
      </c>
      <c r="I482">
        <v>209.6</v>
      </c>
      <c r="M482" s="1" t="s">
        <v>69</v>
      </c>
      <c r="N482" s="1" t="s">
        <v>22</v>
      </c>
      <c r="O482" s="2"/>
      <c r="P482" s="2"/>
      <c r="Q482">
        <f>_xlfn.XLOOKUP(E482,CPT!$A$2:$A$13,CPT!$D$2:$D$13)</f>
        <v>210</v>
      </c>
      <c r="R482" s="1">
        <f>_xlfn.XLOOKUP(C482,Contract!$A$2:$A$9,Contract!$B$2:$B$9)</f>
        <v>0.45</v>
      </c>
      <c r="S482" s="1">
        <f t="shared" si="28"/>
        <v>94.5</v>
      </c>
      <c r="T482" s="1" t="str">
        <f t="shared" si="29"/>
        <v/>
      </c>
      <c r="U482" s="1" t="str">
        <f t="shared" si="30"/>
        <v/>
      </c>
      <c r="V482" s="1" t="str">
        <f>_xlfn.XLOOKUP(C482,Payers!$A$2:$A$9,Payers!$B$2:$B$9)</f>
        <v>Blue Horizon Commercial</v>
      </c>
      <c r="W482" s="1" t="str">
        <f t="shared" si="31"/>
        <v>2026-09</v>
      </c>
    </row>
    <row r="483" spans="1:23">
      <c r="A483" s="1" t="s">
        <v>990</v>
      </c>
      <c r="B483" s="1" t="s">
        <v>991</v>
      </c>
      <c r="C483" s="1" t="s">
        <v>76</v>
      </c>
      <c r="D483" s="1" t="s">
        <v>26</v>
      </c>
      <c r="E483" s="1" t="s">
        <v>27</v>
      </c>
      <c r="F483">
        <v>1</v>
      </c>
      <c r="G483" s="2">
        <v>46117</v>
      </c>
      <c r="H483" s="2">
        <v>46122</v>
      </c>
      <c r="I483">
        <v>238.45</v>
      </c>
      <c r="J483">
        <v>111.1</v>
      </c>
      <c r="K483">
        <v>99.99</v>
      </c>
      <c r="L483">
        <v>11.11</v>
      </c>
      <c r="M483" s="1" t="s">
        <v>21</v>
      </c>
      <c r="N483" s="1" t="s">
        <v>22</v>
      </c>
      <c r="O483" s="2">
        <v>46155</v>
      </c>
      <c r="P483" s="2">
        <v>46155</v>
      </c>
      <c r="Q483">
        <f>_xlfn.XLOOKUP(E483,CPT!$A$2:$A$13,CPT!$D$2:$D$13)</f>
        <v>240</v>
      </c>
      <c r="R483" s="1">
        <f>_xlfn.XLOOKUP(C483,Contract!$A$2:$A$9,Contract!$B$2:$B$9)</f>
        <v>0.43</v>
      </c>
      <c r="S483" s="1">
        <f t="shared" si="28"/>
        <v>103.2</v>
      </c>
      <c r="T483" s="1">
        <f t="shared" si="29"/>
        <v>-7.8999999999999915</v>
      </c>
      <c r="U483" s="1" t="str">
        <f t="shared" si="30"/>
        <v>OK</v>
      </c>
      <c r="V483" s="1" t="str">
        <f>_xlfn.XLOOKUP(C483,Payers!$A$2:$A$9,Payers!$B$2:$B$9)</f>
        <v>Summit Health Commercial</v>
      </c>
      <c r="W483" s="1" t="str">
        <f t="shared" si="31"/>
        <v>2026-04</v>
      </c>
    </row>
    <row r="484" spans="1:23">
      <c r="A484" s="1" t="s">
        <v>992</v>
      </c>
      <c r="B484" s="1" t="s">
        <v>993</v>
      </c>
      <c r="C484" s="1" t="s">
        <v>52</v>
      </c>
      <c r="D484" s="1" t="s">
        <v>19</v>
      </c>
      <c r="E484" s="1" t="s">
        <v>20</v>
      </c>
      <c r="F484">
        <v>1</v>
      </c>
      <c r="G484" s="2">
        <v>46110</v>
      </c>
      <c r="H484" s="2">
        <v>46118</v>
      </c>
      <c r="I484">
        <v>144.81</v>
      </c>
      <c r="J484">
        <v>65.2</v>
      </c>
      <c r="K484">
        <v>52.16</v>
      </c>
      <c r="L484">
        <v>13.04</v>
      </c>
      <c r="M484" s="1" t="s">
        <v>21</v>
      </c>
      <c r="N484" s="1" t="s">
        <v>22</v>
      </c>
      <c r="O484" s="2">
        <v>46148</v>
      </c>
      <c r="P484" s="2">
        <v>46148</v>
      </c>
      <c r="Q484">
        <f>_xlfn.XLOOKUP(E484,CPT!$A$2:$A$13,CPT!$D$2:$D$13)</f>
        <v>145</v>
      </c>
      <c r="R484" s="1">
        <f>_xlfn.XLOOKUP(C484,Contract!$A$2:$A$9,Contract!$B$2:$B$9)</f>
        <v>0.47</v>
      </c>
      <c r="S484" s="1">
        <f t="shared" si="28"/>
        <v>68.150000000000006</v>
      </c>
      <c r="T484" s="1">
        <f t="shared" si="29"/>
        <v>2.9500000000000028</v>
      </c>
      <c r="U484" s="1" t="str">
        <f t="shared" si="30"/>
        <v>OK</v>
      </c>
      <c r="V484" s="1" t="str">
        <f>_xlfn.XLOOKUP(C484,Payers!$A$2:$A$9,Payers!$B$2:$B$9)</f>
        <v>Keystone Commercial PPO</v>
      </c>
      <c r="W484" s="1" t="str">
        <f t="shared" si="31"/>
        <v>2026-03</v>
      </c>
    </row>
    <row r="485" spans="1:23">
      <c r="A485" s="1" t="s">
        <v>994</v>
      </c>
      <c r="B485" s="1" t="s">
        <v>995</v>
      </c>
      <c r="C485" s="1" t="s">
        <v>76</v>
      </c>
      <c r="D485" s="1" t="s">
        <v>37</v>
      </c>
      <c r="E485" s="1" t="s">
        <v>38</v>
      </c>
      <c r="F485">
        <v>5</v>
      </c>
      <c r="G485" s="2">
        <v>46263</v>
      </c>
      <c r="H485" s="2">
        <v>46267</v>
      </c>
      <c r="I485">
        <v>7377.21</v>
      </c>
      <c r="J485">
        <v>3068.83</v>
      </c>
      <c r="K485">
        <v>3068.83</v>
      </c>
      <c r="L485">
        <v>0</v>
      </c>
      <c r="M485" s="1" t="s">
        <v>21</v>
      </c>
      <c r="N485" s="1" t="s">
        <v>22</v>
      </c>
      <c r="O485" s="2">
        <v>46293</v>
      </c>
      <c r="P485" s="2">
        <v>46293</v>
      </c>
      <c r="Q485">
        <f>_xlfn.XLOOKUP(E485,CPT!$A$2:$A$13,CPT!$D$2:$D$13)</f>
        <v>1450</v>
      </c>
      <c r="R485" s="1">
        <f>_xlfn.XLOOKUP(C485,Contract!$A$2:$A$9,Contract!$B$2:$B$9)</f>
        <v>0.43</v>
      </c>
      <c r="S485" s="1">
        <f t="shared" si="28"/>
        <v>3117.5</v>
      </c>
      <c r="T485" s="1">
        <f t="shared" si="29"/>
        <v>48.670000000000073</v>
      </c>
      <c r="U485" s="1" t="str">
        <f t="shared" si="30"/>
        <v>OK</v>
      </c>
      <c r="V485" s="1" t="str">
        <f>_xlfn.XLOOKUP(C485,Payers!$A$2:$A$9,Payers!$B$2:$B$9)</f>
        <v>Summit Health Commercial</v>
      </c>
      <c r="W485" s="1" t="str">
        <f t="shared" si="31"/>
        <v>2026-08</v>
      </c>
    </row>
    <row r="486" spans="1:23">
      <c r="A486" s="1" t="s">
        <v>996</v>
      </c>
      <c r="B486" s="1" t="s">
        <v>620</v>
      </c>
      <c r="C486" s="1" t="s">
        <v>76</v>
      </c>
      <c r="D486" s="1" t="s">
        <v>26</v>
      </c>
      <c r="E486" s="1" t="s">
        <v>113</v>
      </c>
      <c r="F486">
        <v>1</v>
      </c>
      <c r="G486" s="2">
        <v>46105</v>
      </c>
      <c r="H486" s="2">
        <v>46110</v>
      </c>
      <c r="I486">
        <v>1031.6199999999999</v>
      </c>
      <c r="J486">
        <v>506.9</v>
      </c>
      <c r="K486">
        <v>506.9</v>
      </c>
      <c r="L486">
        <v>0</v>
      </c>
      <c r="M486" s="1" t="s">
        <v>21</v>
      </c>
      <c r="N486" s="1" t="s">
        <v>22</v>
      </c>
      <c r="O486" s="2">
        <v>46133</v>
      </c>
      <c r="P486" s="2">
        <v>46133</v>
      </c>
      <c r="Q486">
        <f>_xlfn.XLOOKUP(E486,CPT!$A$2:$A$13,CPT!$D$2:$D$13)</f>
        <v>1050</v>
      </c>
      <c r="R486" s="1">
        <f>_xlfn.XLOOKUP(C486,Contract!$A$2:$A$9,Contract!$B$2:$B$9)</f>
        <v>0.43</v>
      </c>
      <c r="S486" s="1">
        <f t="shared" si="28"/>
        <v>451.5</v>
      </c>
      <c r="T486" s="1">
        <f t="shared" si="29"/>
        <v>-55.399999999999977</v>
      </c>
      <c r="U486" s="1" t="str">
        <f t="shared" si="30"/>
        <v>OK</v>
      </c>
      <c r="V486" s="1" t="str">
        <f>_xlfn.XLOOKUP(C486,Payers!$A$2:$A$9,Payers!$B$2:$B$9)</f>
        <v>Summit Health Commercial</v>
      </c>
      <c r="W486" s="1" t="str">
        <f t="shared" si="31"/>
        <v>2026-03</v>
      </c>
    </row>
    <row r="487" spans="1:23">
      <c r="A487" s="1" t="s">
        <v>997</v>
      </c>
      <c r="B487" s="1" t="s">
        <v>998</v>
      </c>
      <c r="C487" s="1" t="s">
        <v>36</v>
      </c>
      <c r="D487" s="1" t="s">
        <v>26</v>
      </c>
      <c r="E487" s="1" t="s">
        <v>88</v>
      </c>
      <c r="F487">
        <v>1</v>
      </c>
      <c r="G487" s="2">
        <v>46021</v>
      </c>
      <c r="H487" s="2">
        <v>46024</v>
      </c>
      <c r="I487">
        <v>257.01</v>
      </c>
      <c r="J487">
        <v>73.400000000000006</v>
      </c>
      <c r="K487">
        <v>58.72</v>
      </c>
      <c r="L487">
        <v>14.68</v>
      </c>
      <c r="M487" s="1" t="s">
        <v>21</v>
      </c>
      <c r="N487" s="1" t="s">
        <v>22</v>
      </c>
      <c r="O487" s="2">
        <v>46059</v>
      </c>
      <c r="P487" s="2">
        <v>46059</v>
      </c>
      <c r="Q487">
        <f>_xlfn.XLOOKUP(E487,CPT!$A$2:$A$13,CPT!$D$2:$D$13)</f>
        <v>260</v>
      </c>
      <c r="R487" s="1">
        <f>_xlfn.XLOOKUP(C487,Contract!$A$2:$A$9,Contract!$B$2:$B$9)</f>
        <v>0.27</v>
      </c>
      <c r="S487" s="1">
        <f t="shared" si="28"/>
        <v>70.2</v>
      </c>
      <c r="T487" s="1">
        <f t="shared" si="29"/>
        <v>-3.2000000000000028</v>
      </c>
      <c r="U487" s="1" t="str">
        <f t="shared" si="30"/>
        <v>OK</v>
      </c>
      <c r="V487" s="1" t="str">
        <f>_xlfn.XLOOKUP(C487,Payers!$A$2:$A$9,Payers!$B$2:$B$9)</f>
        <v>Florida Medicaid</v>
      </c>
      <c r="W487" s="1" t="str">
        <f t="shared" si="31"/>
        <v>2025-12</v>
      </c>
    </row>
    <row r="488" spans="1:23">
      <c r="A488" s="1" t="s">
        <v>999</v>
      </c>
      <c r="B488" s="1" t="s">
        <v>1000</v>
      </c>
      <c r="C488" s="1" t="s">
        <v>60</v>
      </c>
      <c r="D488" s="1" t="s">
        <v>19</v>
      </c>
      <c r="E488" s="1" t="s">
        <v>20</v>
      </c>
      <c r="F488">
        <v>1</v>
      </c>
      <c r="G488" s="2">
        <v>46002</v>
      </c>
      <c r="H488" s="2">
        <v>46012</v>
      </c>
      <c r="I488">
        <v>148.37</v>
      </c>
      <c r="J488">
        <v>56.38</v>
      </c>
      <c r="K488">
        <v>50.74</v>
      </c>
      <c r="L488">
        <v>5.64</v>
      </c>
      <c r="M488" s="1" t="s">
        <v>21</v>
      </c>
      <c r="N488" s="1" t="s">
        <v>22</v>
      </c>
      <c r="O488" s="2">
        <v>46042</v>
      </c>
      <c r="P488" s="2">
        <v>46042</v>
      </c>
      <c r="Q488">
        <f>_xlfn.XLOOKUP(E488,CPT!$A$2:$A$13,CPT!$D$2:$D$13)</f>
        <v>145</v>
      </c>
      <c r="R488" s="1">
        <f>_xlfn.XLOOKUP(C488,Contract!$A$2:$A$9,Contract!$B$2:$B$9)</f>
        <v>0.45</v>
      </c>
      <c r="S488" s="1">
        <f t="shared" si="28"/>
        <v>65.25</v>
      </c>
      <c r="T488" s="1">
        <f t="shared" si="29"/>
        <v>8.8699999999999974</v>
      </c>
      <c r="U488" s="1" t="str">
        <f t="shared" si="30"/>
        <v>Underpaid</v>
      </c>
      <c r="V488" s="1" t="str">
        <f>_xlfn.XLOOKUP(C488,Payers!$A$2:$A$9,Payers!$B$2:$B$9)</f>
        <v>Blue Horizon Commercial</v>
      </c>
      <c r="W488" s="1" t="str">
        <f t="shared" si="31"/>
        <v>2025-12</v>
      </c>
    </row>
    <row r="489" spans="1:23">
      <c r="A489" s="1" t="s">
        <v>1001</v>
      </c>
      <c r="B489" s="1" t="s">
        <v>1002</v>
      </c>
      <c r="C489" s="1" t="s">
        <v>60</v>
      </c>
      <c r="D489" s="1" t="s">
        <v>19</v>
      </c>
      <c r="E489" s="1" t="s">
        <v>41</v>
      </c>
      <c r="F489">
        <v>1</v>
      </c>
      <c r="G489" s="2">
        <v>46279</v>
      </c>
      <c r="H489" s="2">
        <v>46281</v>
      </c>
      <c r="I489">
        <v>38.86</v>
      </c>
      <c r="M489" s="1" t="s">
        <v>69</v>
      </c>
      <c r="N489" s="1" t="s">
        <v>22</v>
      </c>
      <c r="O489" s="2"/>
      <c r="P489" s="2"/>
      <c r="Q489">
        <f>_xlfn.XLOOKUP(E489,CPT!$A$2:$A$13,CPT!$D$2:$D$13)</f>
        <v>38</v>
      </c>
      <c r="R489" s="1">
        <f>_xlfn.XLOOKUP(C489,Contract!$A$2:$A$9,Contract!$B$2:$B$9)</f>
        <v>0.45</v>
      </c>
      <c r="S489" s="1">
        <f t="shared" si="28"/>
        <v>17.100000000000001</v>
      </c>
      <c r="T489" s="1" t="str">
        <f t="shared" si="29"/>
        <v/>
      </c>
      <c r="U489" s="1" t="str">
        <f t="shared" si="30"/>
        <v/>
      </c>
      <c r="V489" s="1" t="str">
        <f>_xlfn.XLOOKUP(C489,Payers!$A$2:$A$9,Payers!$B$2:$B$9)</f>
        <v>Blue Horizon Commercial</v>
      </c>
      <c r="W489" s="1" t="str">
        <f t="shared" si="31"/>
        <v>2026-09</v>
      </c>
    </row>
    <row r="490" spans="1:23">
      <c r="A490" s="1" t="s">
        <v>1003</v>
      </c>
      <c r="B490" s="1" t="s">
        <v>1004</v>
      </c>
      <c r="C490" s="1" t="s">
        <v>60</v>
      </c>
      <c r="D490" s="1" t="s">
        <v>37</v>
      </c>
      <c r="E490" s="1" t="s">
        <v>48</v>
      </c>
      <c r="F490">
        <v>1</v>
      </c>
      <c r="G490" s="2">
        <v>46229</v>
      </c>
      <c r="H490" s="2">
        <v>46247</v>
      </c>
      <c r="I490">
        <v>407.6</v>
      </c>
      <c r="J490">
        <v>162.16999999999999</v>
      </c>
      <c r="K490">
        <v>162.16999999999999</v>
      </c>
      <c r="L490">
        <v>0</v>
      </c>
      <c r="M490" s="1" t="s">
        <v>21</v>
      </c>
      <c r="N490" s="1" t="s">
        <v>22</v>
      </c>
      <c r="O490" s="2">
        <v>46272</v>
      </c>
      <c r="P490" s="2">
        <v>46272</v>
      </c>
      <c r="Q490">
        <f>_xlfn.XLOOKUP(E490,CPT!$A$2:$A$13,CPT!$D$2:$D$13)</f>
        <v>420</v>
      </c>
      <c r="R490" s="1">
        <f>_xlfn.XLOOKUP(C490,Contract!$A$2:$A$9,Contract!$B$2:$B$9)</f>
        <v>0.45</v>
      </c>
      <c r="S490" s="1">
        <f t="shared" si="28"/>
        <v>189</v>
      </c>
      <c r="T490" s="1">
        <f t="shared" si="29"/>
        <v>26.830000000000013</v>
      </c>
      <c r="U490" s="1" t="str">
        <f t="shared" si="30"/>
        <v>Underpaid</v>
      </c>
      <c r="V490" s="1" t="str">
        <f>_xlfn.XLOOKUP(C490,Payers!$A$2:$A$9,Payers!$B$2:$B$9)</f>
        <v>Blue Horizon Commercial</v>
      </c>
      <c r="W490" s="1" t="str">
        <f t="shared" si="31"/>
        <v>2026-07</v>
      </c>
    </row>
    <row r="491" spans="1:23">
      <c r="A491" s="1" t="s">
        <v>1005</v>
      </c>
      <c r="B491" s="1" t="s">
        <v>1006</v>
      </c>
      <c r="C491" s="1" t="s">
        <v>60</v>
      </c>
      <c r="D491" s="1" t="s">
        <v>37</v>
      </c>
      <c r="E491" s="1" t="s">
        <v>48</v>
      </c>
      <c r="F491">
        <v>1</v>
      </c>
      <c r="G491" s="2">
        <v>46075</v>
      </c>
      <c r="H491" s="2">
        <v>46077</v>
      </c>
      <c r="I491">
        <v>429.22</v>
      </c>
      <c r="J491">
        <v>186.8</v>
      </c>
      <c r="K491">
        <v>168.12</v>
      </c>
      <c r="L491">
        <v>18.68</v>
      </c>
      <c r="M491" s="1" t="s">
        <v>21</v>
      </c>
      <c r="N491" s="1" t="s">
        <v>22</v>
      </c>
      <c r="O491" s="2">
        <v>46112</v>
      </c>
      <c r="P491" s="2">
        <v>46112</v>
      </c>
      <c r="Q491">
        <f>_xlfn.XLOOKUP(E491,CPT!$A$2:$A$13,CPT!$D$2:$D$13)</f>
        <v>420</v>
      </c>
      <c r="R491" s="1">
        <f>_xlfn.XLOOKUP(C491,Contract!$A$2:$A$9,Contract!$B$2:$B$9)</f>
        <v>0.45</v>
      </c>
      <c r="S491" s="1">
        <f t="shared" si="28"/>
        <v>189</v>
      </c>
      <c r="T491" s="1">
        <f t="shared" si="29"/>
        <v>2.1999999999999886</v>
      </c>
      <c r="U491" s="1" t="str">
        <f t="shared" si="30"/>
        <v>OK</v>
      </c>
      <c r="V491" s="1" t="str">
        <f>_xlfn.XLOOKUP(C491,Payers!$A$2:$A$9,Payers!$B$2:$B$9)</f>
        <v>Blue Horizon Commercial</v>
      </c>
      <c r="W491" s="1" t="str">
        <f t="shared" si="31"/>
        <v>2026-02</v>
      </c>
    </row>
    <row r="492" spans="1:23">
      <c r="A492" s="1" t="s">
        <v>1007</v>
      </c>
      <c r="B492" s="1" t="s">
        <v>251</v>
      </c>
      <c r="C492" s="1" t="s">
        <v>52</v>
      </c>
      <c r="D492" s="1" t="s">
        <v>19</v>
      </c>
      <c r="E492" s="1" t="s">
        <v>41</v>
      </c>
      <c r="F492">
        <v>1</v>
      </c>
      <c r="G492" s="2">
        <v>46039</v>
      </c>
      <c r="H492" s="2">
        <v>46042</v>
      </c>
      <c r="I492">
        <v>38.369999999999997</v>
      </c>
      <c r="M492" s="1" t="s">
        <v>32</v>
      </c>
      <c r="N492" s="1" t="s">
        <v>124</v>
      </c>
      <c r="O492" s="2">
        <v>46091</v>
      </c>
      <c r="P492" s="2"/>
      <c r="Q492">
        <f>_xlfn.XLOOKUP(E492,CPT!$A$2:$A$13,CPT!$D$2:$D$13)</f>
        <v>38</v>
      </c>
      <c r="R492" s="1">
        <f>_xlfn.XLOOKUP(C492,Contract!$A$2:$A$9,Contract!$B$2:$B$9)</f>
        <v>0.47</v>
      </c>
      <c r="S492" s="1">
        <f t="shared" si="28"/>
        <v>17.86</v>
      </c>
      <c r="T492" s="1" t="str">
        <f t="shared" si="29"/>
        <v/>
      </c>
      <c r="U492" s="1" t="str">
        <f t="shared" si="30"/>
        <v/>
      </c>
      <c r="V492" s="1" t="str">
        <f>_xlfn.XLOOKUP(C492,Payers!$A$2:$A$9,Payers!$B$2:$B$9)</f>
        <v>Keystone Commercial PPO</v>
      </c>
      <c r="W492" s="1" t="str">
        <f t="shared" si="31"/>
        <v>2026-01</v>
      </c>
    </row>
    <row r="493" spans="1:23">
      <c r="A493" s="1" t="s">
        <v>1008</v>
      </c>
      <c r="B493" s="1" t="s">
        <v>776</v>
      </c>
      <c r="C493" s="1" t="s">
        <v>25</v>
      </c>
      <c r="D493" s="1" t="s">
        <v>26</v>
      </c>
      <c r="E493" s="1" t="s">
        <v>113</v>
      </c>
      <c r="F493">
        <v>1</v>
      </c>
      <c r="G493" s="2">
        <v>46000</v>
      </c>
      <c r="H493" s="2">
        <v>46005</v>
      </c>
      <c r="I493">
        <v>1023.83</v>
      </c>
      <c r="J493">
        <v>363.54</v>
      </c>
      <c r="K493">
        <v>290.83</v>
      </c>
      <c r="L493">
        <v>72.709999999999994</v>
      </c>
      <c r="M493" s="1" t="s">
        <v>21</v>
      </c>
      <c r="N493" s="1" t="s">
        <v>22</v>
      </c>
      <c r="O493" s="2">
        <v>46020</v>
      </c>
      <c r="P493" s="2">
        <v>46020</v>
      </c>
      <c r="Q493">
        <f>_xlfn.XLOOKUP(E493,CPT!$A$2:$A$13,CPT!$D$2:$D$13)</f>
        <v>1050</v>
      </c>
      <c r="R493" s="1">
        <f>_xlfn.XLOOKUP(C493,Contract!$A$2:$A$9,Contract!$B$2:$B$9)</f>
        <v>0.36</v>
      </c>
      <c r="S493" s="1">
        <f t="shared" si="28"/>
        <v>378</v>
      </c>
      <c r="T493" s="1">
        <f t="shared" si="29"/>
        <v>14.45999999999998</v>
      </c>
      <c r="U493" s="1" t="str">
        <f t="shared" si="30"/>
        <v>OK</v>
      </c>
      <c r="V493" s="1" t="str">
        <f>_xlfn.XLOOKUP(C493,Payers!$A$2:$A$9,Payers!$B$2:$B$9)</f>
        <v>Medicare Part B</v>
      </c>
      <c r="W493" s="1" t="str">
        <f t="shared" si="31"/>
        <v>2025-12</v>
      </c>
    </row>
    <row r="494" spans="1:23">
      <c r="A494" s="1" t="s">
        <v>1009</v>
      </c>
      <c r="B494" s="1" t="s">
        <v>297</v>
      </c>
      <c r="C494" s="1" t="s">
        <v>52</v>
      </c>
      <c r="D494" s="1" t="s">
        <v>26</v>
      </c>
      <c r="E494" s="1" t="s">
        <v>27</v>
      </c>
      <c r="F494">
        <v>1</v>
      </c>
      <c r="G494" s="2">
        <v>46161</v>
      </c>
      <c r="H494" s="2">
        <v>46163</v>
      </c>
      <c r="I494">
        <v>238.34</v>
      </c>
      <c r="J494">
        <v>95.36</v>
      </c>
      <c r="K494">
        <v>85.82</v>
      </c>
      <c r="L494">
        <v>9.5399999999999991</v>
      </c>
      <c r="M494" s="1" t="s">
        <v>21</v>
      </c>
      <c r="N494" s="1" t="s">
        <v>22</v>
      </c>
      <c r="O494" s="2">
        <v>46186</v>
      </c>
      <c r="P494" s="2">
        <v>46186</v>
      </c>
      <c r="Q494">
        <f>_xlfn.XLOOKUP(E494,CPT!$A$2:$A$13,CPT!$D$2:$D$13)</f>
        <v>240</v>
      </c>
      <c r="R494" s="1">
        <f>_xlfn.XLOOKUP(C494,Contract!$A$2:$A$9,Contract!$B$2:$B$9)</f>
        <v>0.47</v>
      </c>
      <c r="S494" s="1">
        <f t="shared" si="28"/>
        <v>112.8</v>
      </c>
      <c r="T494" s="1">
        <f t="shared" si="29"/>
        <v>17.439999999999998</v>
      </c>
      <c r="U494" s="1" t="str">
        <f t="shared" si="30"/>
        <v>Underpaid</v>
      </c>
      <c r="V494" s="1" t="str">
        <f>_xlfn.XLOOKUP(C494,Payers!$A$2:$A$9,Payers!$B$2:$B$9)</f>
        <v>Keystone Commercial PPO</v>
      </c>
      <c r="W494" s="1" t="str">
        <f t="shared" si="31"/>
        <v>2026-05</v>
      </c>
    </row>
    <row r="495" spans="1:23">
      <c r="A495" s="1" t="s">
        <v>1010</v>
      </c>
      <c r="B495" s="1" t="s">
        <v>1011</v>
      </c>
      <c r="C495" s="1" t="s">
        <v>76</v>
      </c>
      <c r="D495" s="1" t="s">
        <v>30</v>
      </c>
      <c r="E495" s="1" t="s">
        <v>20</v>
      </c>
      <c r="F495">
        <v>1</v>
      </c>
      <c r="G495" s="2">
        <v>45950</v>
      </c>
      <c r="H495" s="2">
        <v>45955</v>
      </c>
      <c r="I495">
        <v>145.59</v>
      </c>
      <c r="J495">
        <v>65.930000000000007</v>
      </c>
      <c r="K495">
        <v>65.930000000000007</v>
      </c>
      <c r="L495">
        <v>0</v>
      </c>
      <c r="M495" s="1" t="s">
        <v>21</v>
      </c>
      <c r="N495" s="1" t="s">
        <v>22</v>
      </c>
      <c r="O495" s="2">
        <v>45987</v>
      </c>
      <c r="P495" s="2">
        <v>45987</v>
      </c>
      <c r="Q495">
        <f>_xlfn.XLOOKUP(E495,CPT!$A$2:$A$13,CPT!$D$2:$D$13)</f>
        <v>145</v>
      </c>
      <c r="R495" s="1">
        <f>_xlfn.XLOOKUP(C495,Contract!$A$2:$A$9,Contract!$B$2:$B$9)</f>
        <v>0.43</v>
      </c>
      <c r="S495" s="1">
        <f t="shared" si="28"/>
        <v>62.35</v>
      </c>
      <c r="T495" s="1">
        <f t="shared" si="29"/>
        <v>-3.5800000000000054</v>
      </c>
      <c r="U495" s="1" t="str">
        <f t="shared" si="30"/>
        <v>OK</v>
      </c>
      <c r="V495" s="1" t="str">
        <f>_xlfn.XLOOKUP(C495,Payers!$A$2:$A$9,Payers!$B$2:$B$9)</f>
        <v>Summit Health Commercial</v>
      </c>
      <c r="W495" s="1" t="str">
        <f t="shared" si="31"/>
        <v>2025-10</v>
      </c>
    </row>
    <row r="496" spans="1:23">
      <c r="A496" s="1" t="s">
        <v>1012</v>
      </c>
      <c r="B496" s="1" t="s">
        <v>1013</v>
      </c>
      <c r="C496" s="1" t="s">
        <v>52</v>
      </c>
      <c r="D496" s="1" t="s">
        <v>37</v>
      </c>
      <c r="E496" s="1" t="s">
        <v>48</v>
      </c>
      <c r="F496">
        <v>1</v>
      </c>
      <c r="G496" s="2">
        <v>45971</v>
      </c>
      <c r="H496" s="2">
        <v>45975</v>
      </c>
      <c r="I496">
        <v>420.59</v>
      </c>
      <c r="J496">
        <v>206.81</v>
      </c>
      <c r="K496">
        <v>186.13</v>
      </c>
      <c r="L496">
        <v>20.68</v>
      </c>
      <c r="M496" s="1" t="s">
        <v>21</v>
      </c>
      <c r="N496" s="1" t="s">
        <v>22</v>
      </c>
      <c r="O496" s="2">
        <v>46009</v>
      </c>
      <c r="P496" s="2">
        <v>46009</v>
      </c>
      <c r="Q496">
        <f>_xlfn.XLOOKUP(E496,CPT!$A$2:$A$13,CPT!$D$2:$D$13)</f>
        <v>420</v>
      </c>
      <c r="R496" s="1">
        <f>_xlfn.XLOOKUP(C496,Contract!$A$2:$A$9,Contract!$B$2:$B$9)</f>
        <v>0.47</v>
      </c>
      <c r="S496" s="1">
        <f t="shared" si="28"/>
        <v>197.4</v>
      </c>
      <c r="T496" s="1">
        <f t="shared" si="29"/>
        <v>-9.4099999999999966</v>
      </c>
      <c r="U496" s="1" t="str">
        <f t="shared" si="30"/>
        <v>OK</v>
      </c>
      <c r="V496" s="1" t="str">
        <f>_xlfn.XLOOKUP(C496,Payers!$A$2:$A$9,Payers!$B$2:$B$9)</f>
        <v>Keystone Commercial PPO</v>
      </c>
      <c r="W496" s="1" t="str">
        <f t="shared" si="31"/>
        <v>2025-11</v>
      </c>
    </row>
    <row r="497" spans="1:23">
      <c r="A497" s="1" t="s">
        <v>1014</v>
      </c>
      <c r="B497" s="1" t="s">
        <v>768</v>
      </c>
      <c r="C497" s="1" t="s">
        <v>25</v>
      </c>
      <c r="D497" s="1" t="s">
        <v>26</v>
      </c>
      <c r="E497" s="1" t="s">
        <v>185</v>
      </c>
      <c r="F497">
        <v>1</v>
      </c>
      <c r="G497" s="2">
        <v>45936</v>
      </c>
      <c r="H497" s="2">
        <v>45939</v>
      </c>
      <c r="I497">
        <v>1147.8499999999999</v>
      </c>
      <c r="J497">
        <v>443.29</v>
      </c>
      <c r="K497">
        <v>354.63</v>
      </c>
      <c r="L497">
        <v>88.66</v>
      </c>
      <c r="M497" s="1" t="s">
        <v>21</v>
      </c>
      <c r="N497" s="1" t="s">
        <v>22</v>
      </c>
      <c r="O497" s="2">
        <v>45950</v>
      </c>
      <c r="P497" s="2">
        <v>45950</v>
      </c>
      <c r="Q497">
        <f>_xlfn.XLOOKUP(E497,CPT!$A$2:$A$13,CPT!$D$2:$D$13)</f>
        <v>1150</v>
      </c>
      <c r="R497" s="1">
        <f>_xlfn.XLOOKUP(C497,Contract!$A$2:$A$9,Contract!$B$2:$B$9)</f>
        <v>0.36</v>
      </c>
      <c r="S497" s="1">
        <f t="shared" si="28"/>
        <v>414</v>
      </c>
      <c r="T497" s="1">
        <f t="shared" si="29"/>
        <v>-29.29000000000002</v>
      </c>
      <c r="U497" s="1" t="str">
        <f t="shared" si="30"/>
        <v>OK</v>
      </c>
      <c r="V497" s="1" t="str">
        <f>_xlfn.XLOOKUP(C497,Payers!$A$2:$A$9,Payers!$B$2:$B$9)</f>
        <v>Medicare Part B</v>
      </c>
      <c r="W497" s="1" t="str">
        <f t="shared" si="31"/>
        <v>2025-10</v>
      </c>
    </row>
    <row r="498" spans="1:23">
      <c r="A498" s="1" t="s">
        <v>1015</v>
      </c>
      <c r="B498" s="1" t="s">
        <v>1016</v>
      </c>
      <c r="C498" s="1" t="s">
        <v>76</v>
      </c>
      <c r="D498" s="1" t="s">
        <v>30</v>
      </c>
      <c r="E498" s="1" t="s">
        <v>91</v>
      </c>
      <c r="F498">
        <v>4</v>
      </c>
      <c r="G498" s="2">
        <v>45949</v>
      </c>
      <c r="H498" s="2">
        <v>45955</v>
      </c>
      <c r="I498">
        <v>237.89</v>
      </c>
      <c r="J498">
        <v>87.82</v>
      </c>
      <c r="K498">
        <v>87.82</v>
      </c>
      <c r="L498">
        <v>0</v>
      </c>
      <c r="M498" s="1" t="s">
        <v>21</v>
      </c>
      <c r="N498" s="1" t="s">
        <v>22</v>
      </c>
      <c r="O498" s="2">
        <v>45981</v>
      </c>
      <c r="P498" s="2">
        <v>45981</v>
      </c>
      <c r="Q498">
        <f>_xlfn.XLOOKUP(E498,CPT!$A$2:$A$13,CPT!$D$2:$D$13)</f>
        <v>58</v>
      </c>
      <c r="R498" s="1">
        <f>_xlfn.XLOOKUP(C498,Contract!$A$2:$A$9,Contract!$B$2:$B$9)</f>
        <v>0.43</v>
      </c>
      <c r="S498" s="1">
        <f t="shared" si="28"/>
        <v>99.76</v>
      </c>
      <c r="T498" s="1">
        <f t="shared" si="29"/>
        <v>11.940000000000012</v>
      </c>
      <c r="U498" s="1" t="str">
        <f t="shared" si="30"/>
        <v>Underpaid</v>
      </c>
      <c r="V498" s="1" t="str">
        <f>_xlfn.XLOOKUP(C498,Payers!$A$2:$A$9,Payers!$B$2:$B$9)</f>
        <v>Summit Health Commercial</v>
      </c>
      <c r="W498" s="1" t="str">
        <f t="shared" si="31"/>
        <v>2025-10</v>
      </c>
    </row>
    <row r="499" spans="1:23">
      <c r="A499" s="1" t="s">
        <v>1017</v>
      </c>
      <c r="B499" s="1" t="s">
        <v>1018</v>
      </c>
      <c r="C499" s="1" t="s">
        <v>25</v>
      </c>
      <c r="D499" s="1" t="s">
        <v>30</v>
      </c>
      <c r="E499" s="1" t="s">
        <v>20</v>
      </c>
      <c r="F499">
        <v>1</v>
      </c>
      <c r="G499" s="2">
        <v>46077</v>
      </c>
      <c r="H499" s="2">
        <v>46189</v>
      </c>
      <c r="I499">
        <v>144.87</v>
      </c>
      <c r="M499" s="1" t="s">
        <v>32</v>
      </c>
      <c r="N499" s="1" t="s">
        <v>137</v>
      </c>
      <c r="O499" s="2">
        <v>46207</v>
      </c>
      <c r="P499" s="2"/>
      <c r="Q499">
        <f>_xlfn.XLOOKUP(E499,CPT!$A$2:$A$13,CPT!$D$2:$D$13)</f>
        <v>145</v>
      </c>
      <c r="R499" s="1">
        <f>_xlfn.XLOOKUP(C499,Contract!$A$2:$A$9,Contract!$B$2:$B$9)</f>
        <v>0.36</v>
      </c>
      <c r="S499" s="1">
        <f t="shared" si="28"/>
        <v>52.2</v>
      </c>
      <c r="T499" s="1" t="str">
        <f t="shared" si="29"/>
        <v/>
      </c>
      <c r="U499" s="1" t="str">
        <f t="shared" si="30"/>
        <v/>
      </c>
      <c r="V499" s="1" t="str">
        <f>_xlfn.XLOOKUP(C499,Payers!$A$2:$A$9,Payers!$B$2:$B$9)</f>
        <v>Medicare Part B</v>
      </c>
      <c r="W499" s="1" t="str">
        <f t="shared" si="31"/>
        <v>2026-02</v>
      </c>
    </row>
    <row r="500" spans="1:23">
      <c r="A500" s="1" t="s">
        <v>1019</v>
      </c>
      <c r="B500" s="1" t="s">
        <v>1020</v>
      </c>
      <c r="C500" s="1" t="s">
        <v>18</v>
      </c>
      <c r="D500" s="1" t="s">
        <v>30</v>
      </c>
      <c r="E500" s="1" t="s">
        <v>31</v>
      </c>
      <c r="F500">
        <v>1</v>
      </c>
      <c r="G500" s="2">
        <v>46240</v>
      </c>
      <c r="H500" s="2">
        <v>46246</v>
      </c>
      <c r="I500">
        <v>63.53</v>
      </c>
      <c r="M500" s="1" t="s">
        <v>69</v>
      </c>
      <c r="N500" s="1" t="s">
        <v>22</v>
      </c>
      <c r="O500" s="2"/>
      <c r="P500" s="2"/>
      <c r="Q500">
        <f>_xlfn.XLOOKUP(E500,CPT!$A$2:$A$13,CPT!$D$2:$D$13)</f>
        <v>62</v>
      </c>
      <c r="R500" s="1">
        <f>_xlfn.XLOOKUP(C500,Contract!$A$2:$A$9,Contract!$B$2:$B$9)</f>
        <v>0.38</v>
      </c>
      <c r="S500" s="1">
        <f t="shared" si="28"/>
        <v>23.56</v>
      </c>
      <c r="T500" s="1" t="str">
        <f t="shared" si="29"/>
        <v/>
      </c>
      <c r="U500" s="1" t="str">
        <f t="shared" si="30"/>
        <v/>
      </c>
      <c r="V500" s="1" t="str">
        <f>_xlfn.XLOOKUP(C500,Payers!$A$2:$A$9,Payers!$B$2:$B$9)</f>
        <v>Sunshine Medicare Advantage</v>
      </c>
      <c r="W500" s="1" t="str">
        <f t="shared" si="31"/>
        <v>2026-08</v>
      </c>
    </row>
    <row r="501" spans="1:23">
      <c r="A501" s="1" t="s">
        <v>1021</v>
      </c>
      <c r="B501" s="1" t="s">
        <v>896</v>
      </c>
      <c r="C501" s="1" t="s">
        <v>76</v>
      </c>
      <c r="D501" s="1" t="s">
        <v>37</v>
      </c>
      <c r="E501" s="1" t="s">
        <v>38</v>
      </c>
      <c r="F501">
        <v>10</v>
      </c>
      <c r="G501" s="2">
        <v>45974</v>
      </c>
      <c r="H501" s="2">
        <v>45981</v>
      </c>
      <c r="I501">
        <v>14583.12</v>
      </c>
      <c r="J501">
        <v>6724.53</v>
      </c>
      <c r="K501">
        <v>5379.62</v>
      </c>
      <c r="L501">
        <v>1344.91</v>
      </c>
      <c r="M501" s="1" t="s">
        <v>21</v>
      </c>
      <c r="N501" s="1" t="s">
        <v>22</v>
      </c>
      <c r="O501" s="2">
        <v>46006</v>
      </c>
      <c r="P501" s="2">
        <v>46006</v>
      </c>
      <c r="Q501">
        <f>_xlfn.XLOOKUP(E501,CPT!$A$2:$A$13,CPT!$D$2:$D$13)</f>
        <v>1450</v>
      </c>
      <c r="R501" s="1">
        <f>_xlfn.XLOOKUP(C501,Contract!$A$2:$A$9,Contract!$B$2:$B$9)</f>
        <v>0.43</v>
      </c>
      <c r="S501" s="1">
        <f t="shared" si="28"/>
        <v>6235</v>
      </c>
      <c r="T501" s="1">
        <f t="shared" si="29"/>
        <v>-489.52999999999975</v>
      </c>
      <c r="U501" s="1" t="str">
        <f t="shared" si="30"/>
        <v>OK</v>
      </c>
      <c r="V501" s="1" t="str">
        <f>_xlfn.XLOOKUP(C501,Payers!$A$2:$A$9,Payers!$B$2:$B$9)</f>
        <v>Summit Health Commercial</v>
      </c>
      <c r="W501" s="1" t="str">
        <f t="shared" si="31"/>
        <v>2025-11</v>
      </c>
    </row>
    <row r="502" spans="1:23">
      <c r="A502" s="1" t="s">
        <v>1022</v>
      </c>
      <c r="B502" s="1" t="s">
        <v>1023</v>
      </c>
      <c r="C502" s="1" t="s">
        <v>18</v>
      </c>
      <c r="D502" s="1" t="s">
        <v>19</v>
      </c>
      <c r="E502" s="1" t="s">
        <v>41</v>
      </c>
      <c r="F502">
        <v>1</v>
      </c>
      <c r="G502" s="2">
        <v>46016</v>
      </c>
      <c r="H502" s="2">
        <v>46022</v>
      </c>
      <c r="I502">
        <v>37.340000000000003</v>
      </c>
      <c r="J502">
        <v>14.91</v>
      </c>
      <c r="K502">
        <v>14.91</v>
      </c>
      <c r="L502">
        <v>0</v>
      </c>
      <c r="M502" s="1" t="s">
        <v>21</v>
      </c>
      <c r="N502" s="1" t="s">
        <v>22</v>
      </c>
      <c r="O502" s="2">
        <v>46074</v>
      </c>
      <c r="P502" s="2">
        <v>46074</v>
      </c>
      <c r="Q502">
        <f>_xlfn.XLOOKUP(E502,CPT!$A$2:$A$13,CPT!$D$2:$D$13)</f>
        <v>38</v>
      </c>
      <c r="R502" s="1">
        <f>_xlfn.XLOOKUP(C502,Contract!$A$2:$A$9,Contract!$B$2:$B$9)</f>
        <v>0.38</v>
      </c>
      <c r="S502" s="1">
        <f t="shared" si="28"/>
        <v>14.44</v>
      </c>
      <c r="T502" s="1">
        <f t="shared" si="29"/>
        <v>-0.47000000000000064</v>
      </c>
      <c r="U502" s="1" t="str">
        <f t="shared" si="30"/>
        <v>OK</v>
      </c>
      <c r="V502" s="1" t="str">
        <f>_xlfn.XLOOKUP(C502,Payers!$A$2:$A$9,Payers!$B$2:$B$9)</f>
        <v>Sunshine Medicare Advantage</v>
      </c>
      <c r="W502" s="1" t="str">
        <f t="shared" si="31"/>
        <v>2025-12</v>
      </c>
    </row>
    <row r="503" spans="1:23">
      <c r="A503" s="1" t="s">
        <v>1024</v>
      </c>
      <c r="B503" s="1" t="s">
        <v>1025</v>
      </c>
      <c r="C503" s="1" t="s">
        <v>52</v>
      </c>
      <c r="D503" s="1" t="s">
        <v>19</v>
      </c>
      <c r="E503" s="1" t="s">
        <v>88</v>
      </c>
      <c r="F503">
        <v>1</v>
      </c>
      <c r="G503" s="2">
        <v>46203</v>
      </c>
      <c r="H503" s="2">
        <v>46208</v>
      </c>
      <c r="I503">
        <v>255.85</v>
      </c>
      <c r="J503">
        <v>111.96</v>
      </c>
      <c r="K503">
        <v>89.57</v>
      </c>
      <c r="L503">
        <v>22.39</v>
      </c>
      <c r="M503" s="1" t="s">
        <v>21</v>
      </c>
      <c r="N503" s="1" t="s">
        <v>22</v>
      </c>
      <c r="O503" s="2">
        <v>46246</v>
      </c>
      <c r="P503" s="2">
        <v>46246</v>
      </c>
      <c r="Q503">
        <f>_xlfn.XLOOKUP(E503,CPT!$A$2:$A$13,CPT!$D$2:$D$13)</f>
        <v>260</v>
      </c>
      <c r="R503" s="1">
        <f>_xlfn.XLOOKUP(C503,Contract!$A$2:$A$9,Contract!$B$2:$B$9)</f>
        <v>0.47</v>
      </c>
      <c r="S503" s="1">
        <f t="shared" si="28"/>
        <v>122.2</v>
      </c>
      <c r="T503" s="1">
        <f t="shared" si="29"/>
        <v>10.240000000000009</v>
      </c>
      <c r="U503" s="1" t="str">
        <f t="shared" si="30"/>
        <v>Underpaid</v>
      </c>
      <c r="V503" s="1" t="str">
        <f>_xlfn.XLOOKUP(C503,Payers!$A$2:$A$9,Payers!$B$2:$B$9)</f>
        <v>Keystone Commercial PPO</v>
      </c>
      <c r="W503" s="1" t="str">
        <f t="shared" si="31"/>
        <v>2026-06</v>
      </c>
    </row>
    <row r="504" spans="1:23">
      <c r="A504" s="1" t="s">
        <v>1026</v>
      </c>
      <c r="B504" s="1" t="s">
        <v>1027</v>
      </c>
      <c r="C504" s="1" t="s">
        <v>52</v>
      </c>
      <c r="D504" s="1" t="s">
        <v>26</v>
      </c>
      <c r="E504" s="1" t="s">
        <v>44</v>
      </c>
      <c r="F504">
        <v>1</v>
      </c>
      <c r="G504" s="2">
        <v>46278</v>
      </c>
      <c r="H504" s="2">
        <v>46282</v>
      </c>
      <c r="I504">
        <v>4746.92</v>
      </c>
      <c r="M504" s="1" t="s">
        <v>69</v>
      </c>
      <c r="N504" s="1" t="s">
        <v>22</v>
      </c>
      <c r="O504" s="2"/>
      <c r="P504" s="2"/>
      <c r="Q504">
        <f>_xlfn.XLOOKUP(E504,CPT!$A$2:$A$13,CPT!$D$2:$D$13)</f>
        <v>4800</v>
      </c>
      <c r="R504" s="1">
        <f>_xlfn.XLOOKUP(C504,Contract!$A$2:$A$9,Contract!$B$2:$B$9)</f>
        <v>0.47</v>
      </c>
      <c r="S504" s="1">
        <f t="shared" si="28"/>
        <v>2256</v>
      </c>
      <c r="T504" s="1" t="str">
        <f t="shared" si="29"/>
        <v/>
      </c>
      <c r="U504" s="1" t="str">
        <f t="shared" si="30"/>
        <v/>
      </c>
      <c r="V504" s="1" t="str">
        <f>_xlfn.XLOOKUP(C504,Payers!$A$2:$A$9,Payers!$B$2:$B$9)</f>
        <v>Keystone Commercial PPO</v>
      </c>
      <c r="W504" s="1" t="str">
        <f t="shared" si="31"/>
        <v>2026-09</v>
      </c>
    </row>
    <row r="505" spans="1:23">
      <c r="A505" s="1" t="s">
        <v>1028</v>
      </c>
      <c r="B505" s="1" t="s">
        <v>355</v>
      </c>
      <c r="C505" s="1" t="s">
        <v>76</v>
      </c>
      <c r="D505" s="1" t="s">
        <v>19</v>
      </c>
      <c r="E505" s="1" t="s">
        <v>88</v>
      </c>
      <c r="F505">
        <v>1</v>
      </c>
      <c r="G505" s="2">
        <v>46067</v>
      </c>
      <c r="H505" s="2">
        <v>46069</v>
      </c>
      <c r="I505">
        <v>264.72000000000003</v>
      </c>
      <c r="J505">
        <v>111.8</v>
      </c>
      <c r="K505">
        <v>111.8</v>
      </c>
      <c r="L505">
        <v>0</v>
      </c>
      <c r="M505" s="1" t="s">
        <v>21</v>
      </c>
      <c r="N505" s="1" t="s">
        <v>22</v>
      </c>
      <c r="O505" s="2">
        <v>46099</v>
      </c>
      <c r="P505" s="2">
        <v>46099</v>
      </c>
      <c r="Q505">
        <f>_xlfn.XLOOKUP(E505,CPT!$A$2:$A$13,CPT!$D$2:$D$13)</f>
        <v>260</v>
      </c>
      <c r="R505" s="1">
        <f>_xlfn.XLOOKUP(C505,Contract!$A$2:$A$9,Contract!$B$2:$B$9)</f>
        <v>0.43</v>
      </c>
      <c r="S505" s="1">
        <f t="shared" si="28"/>
        <v>111.8</v>
      </c>
      <c r="T505" s="1">
        <f t="shared" si="29"/>
        <v>0</v>
      </c>
      <c r="U505" s="1" t="str">
        <f t="shared" si="30"/>
        <v>OK</v>
      </c>
      <c r="V505" s="1" t="str">
        <f>_xlfn.XLOOKUP(C505,Payers!$A$2:$A$9,Payers!$B$2:$B$9)</f>
        <v>Summit Health Commercial</v>
      </c>
      <c r="W505" s="1" t="str">
        <f t="shared" si="31"/>
        <v>2026-02</v>
      </c>
    </row>
    <row r="506" spans="1:23">
      <c r="A506" s="1" t="s">
        <v>1029</v>
      </c>
      <c r="B506" s="1" t="s">
        <v>528</v>
      </c>
      <c r="C506" s="1" t="s">
        <v>52</v>
      </c>
      <c r="D506" s="1" t="s">
        <v>37</v>
      </c>
      <c r="E506" s="1" t="s">
        <v>38</v>
      </c>
      <c r="F506">
        <v>10</v>
      </c>
      <c r="G506" s="2">
        <v>46277</v>
      </c>
      <c r="H506" s="2">
        <v>46278</v>
      </c>
      <c r="I506">
        <v>14337.54</v>
      </c>
      <c r="M506" s="1" t="s">
        <v>69</v>
      </c>
      <c r="N506" s="1" t="s">
        <v>22</v>
      </c>
      <c r="O506" s="2"/>
      <c r="P506" s="2"/>
      <c r="Q506">
        <f>_xlfn.XLOOKUP(E506,CPT!$A$2:$A$13,CPT!$D$2:$D$13)</f>
        <v>1450</v>
      </c>
      <c r="R506" s="1">
        <f>_xlfn.XLOOKUP(C506,Contract!$A$2:$A$9,Contract!$B$2:$B$9)</f>
        <v>0.47</v>
      </c>
      <c r="S506" s="1">
        <f t="shared" si="28"/>
        <v>6815</v>
      </c>
      <c r="T506" s="1" t="str">
        <f t="shared" si="29"/>
        <v/>
      </c>
      <c r="U506" s="1" t="str">
        <f t="shared" si="30"/>
        <v/>
      </c>
      <c r="V506" s="1" t="str">
        <f>_xlfn.XLOOKUP(C506,Payers!$A$2:$A$9,Payers!$B$2:$B$9)</f>
        <v>Keystone Commercial PPO</v>
      </c>
      <c r="W506" s="1" t="str">
        <f t="shared" si="31"/>
        <v>2026-09</v>
      </c>
    </row>
    <row r="507" spans="1:23">
      <c r="A507" s="1" t="s">
        <v>1030</v>
      </c>
      <c r="B507" s="1" t="s">
        <v>1031</v>
      </c>
      <c r="C507" s="1" t="s">
        <v>76</v>
      </c>
      <c r="D507" s="1" t="s">
        <v>26</v>
      </c>
      <c r="E507" s="1" t="s">
        <v>185</v>
      </c>
      <c r="F507">
        <v>1</v>
      </c>
      <c r="G507" s="2">
        <v>45948</v>
      </c>
      <c r="H507" s="2">
        <v>45949</v>
      </c>
      <c r="I507">
        <v>1117.1400000000001</v>
      </c>
      <c r="J507">
        <v>500.85</v>
      </c>
      <c r="K507">
        <v>500.85</v>
      </c>
      <c r="L507">
        <v>0</v>
      </c>
      <c r="M507" s="1" t="s">
        <v>21</v>
      </c>
      <c r="N507" s="1" t="s">
        <v>22</v>
      </c>
      <c r="O507" s="2">
        <v>45978</v>
      </c>
      <c r="P507" s="2">
        <v>45978</v>
      </c>
      <c r="Q507">
        <f>_xlfn.XLOOKUP(E507,CPT!$A$2:$A$13,CPT!$D$2:$D$13)</f>
        <v>1150</v>
      </c>
      <c r="R507" s="1">
        <f>_xlfn.XLOOKUP(C507,Contract!$A$2:$A$9,Contract!$B$2:$B$9)</f>
        <v>0.43</v>
      </c>
      <c r="S507" s="1">
        <f t="shared" si="28"/>
        <v>494.5</v>
      </c>
      <c r="T507" s="1">
        <f t="shared" si="29"/>
        <v>-6.3500000000000227</v>
      </c>
      <c r="U507" s="1" t="str">
        <f t="shared" si="30"/>
        <v>OK</v>
      </c>
      <c r="V507" s="1" t="str">
        <f>_xlfn.XLOOKUP(C507,Payers!$A$2:$A$9,Payers!$B$2:$B$9)</f>
        <v>Summit Health Commercial</v>
      </c>
      <c r="W507" s="1" t="str">
        <f t="shared" si="31"/>
        <v>2025-10</v>
      </c>
    </row>
    <row r="508" spans="1:23">
      <c r="A508" s="1" t="s">
        <v>1032</v>
      </c>
      <c r="B508" s="1" t="s">
        <v>1033</v>
      </c>
      <c r="C508" s="1" t="s">
        <v>60</v>
      </c>
      <c r="D508" s="1" t="s">
        <v>19</v>
      </c>
      <c r="E508" s="1" t="s">
        <v>20</v>
      </c>
      <c r="F508">
        <v>1</v>
      </c>
      <c r="G508" s="2">
        <v>46240</v>
      </c>
      <c r="H508" s="2">
        <v>46245</v>
      </c>
      <c r="I508">
        <v>141.78</v>
      </c>
      <c r="J508">
        <v>65.11</v>
      </c>
      <c r="K508">
        <v>65.11</v>
      </c>
      <c r="L508">
        <v>0</v>
      </c>
      <c r="M508" s="1" t="s">
        <v>21</v>
      </c>
      <c r="N508" s="1" t="s">
        <v>22</v>
      </c>
      <c r="O508" s="2">
        <v>46290</v>
      </c>
      <c r="P508" s="2">
        <v>46290</v>
      </c>
      <c r="Q508">
        <f>_xlfn.XLOOKUP(E508,CPT!$A$2:$A$13,CPT!$D$2:$D$13)</f>
        <v>145</v>
      </c>
      <c r="R508" s="1">
        <f>_xlfn.XLOOKUP(C508,Contract!$A$2:$A$9,Contract!$B$2:$B$9)</f>
        <v>0.45</v>
      </c>
      <c r="S508" s="1">
        <f t="shared" si="28"/>
        <v>65.25</v>
      </c>
      <c r="T508" s="1">
        <f t="shared" si="29"/>
        <v>0.14000000000000057</v>
      </c>
      <c r="U508" s="1" t="str">
        <f t="shared" si="30"/>
        <v>OK</v>
      </c>
      <c r="V508" s="1" t="str">
        <f>_xlfn.XLOOKUP(C508,Payers!$A$2:$A$9,Payers!$B$2:$B$9)</f>
        <v>Blue Horizon Commercial</v>
      </c>
      <c r="W508" s="1" t="str">
        <f t="shared" si="31"/>
        <v>2026-08</v>
      </c>
    </row>
    <row r="509" spans="1:23">
      <c r="A509" s="1" t="s">
        <v>1034</v>
      </c>
      <c r="B509" s="1" t="s">
        <v>1035</v>
      </c>
      <c r="C509" s="1" t="s">
        <v>47</v>
      </c>
      <c r="D509" s="1" t="s">
        <v>26</v>
      </c>
      <c r="E509" s="1" t="s">
        <v>41</v>
      </c>
      <c r="F509">
        <v>1</v>
      </c>
      <c r="G509" s="2">
        <v>46258</v>
      </c>
      <c r="H509" s="2">
        <v>46280</v>
      </c>
      <c r="I509">
        <v>37.89</v>
      </c>
      <c r="M509" s="1" t="s">
        <v>69</v>
      </c>
      <c r="N509" s="1" t="s">
        <v>22</v>
      </c>
      <c r="O509" s="2"/>
      <c r="P509" s="2"/>
      <c r="Q509">
        <f>_xlfn.XLOOKUP(E509,CPT!$A$2:$A$13,CPT!$D$2:$D$13)</f>
        <v>38</v>
      </c>
      <c r="R509" s="1">
        <f>_xlfn.XLOOKUP(C509,Contract!$A$2:$A$9,Contract!$B$2:$B$9)</f>
        <v>0.28000000000000003</v>
      </c>
      <c r="S509" s="1">
        <f t="shared" si="28"/>
        <v>10.64</v>
      </c>
      <c r="T509" s="1" t="str">
        <f t="shared" si="29"/>
        <v/>
      </c>
      <c r="U509" s="1" t="str">
        <f t="shared" si="30"/>
        <v/>
      </c>
      <c r="V509" s="1" t="str">
        <f>_xlfn.XLOOKUP(C509,Payers!$A$2:$A$9,Payers!$B$2:$B$9)</f>
        <v>Coastal Medicaid MCO</v>
      </c>
      <c r="W509" s="1" t="str">
        <f t="shared" si="31"/>
        <v>2026-08</v>
      </c>
    </row>
    <row r="510" spans="1:23">
      <c r="A510" s="1" t="s">
        <v>1036</v>
      </c>
      <c r="B510" s="1" t="s">
        <v>1037</v>
      </c>
      <c r="C510" s="1" t="s">
        <v>76</v>
      </c>
      <c r="D510" s="1" t="s">
        <v>37</v>
      </c>
      <c r="E510" s="1" t="s">
        <v>48</v>
      </c>
      <c r="F510">
        <v>1</v>
      </c>
      <c r="G510" s="2">
        <v>45968</v>
      </c>
      <c r="H510" s="2">
        <v>45969</v>
      </c>
      <c r="I510">
        <v>414.39</v>
      </c>
      <c r="J510">
        <v>204.49</v>
      </c>
      <c r="K510">
        <v>204.49</v>
      </c>
      <c r="L510">
        <v>0</v>
      </c>
      <c r="M510" s="1" t="s">
        <v>21</v>
      </c>
      <c r="N510" s="1" t="s">
        <v>22</v>
      </c>
      <c r="O510" s="2">
        <v>46000</v>
      </c>
      <c r="P510" s="2">
        <v>46000</v>
      </c>
      <c r="Q510">
        <f>_xlfn.XLOOKUP(E510,CPT!$A$2:$A$13,CPT!$D$2:$D$13)</f>
        <v>420</v>
      </c>
      <c r="R510" s="1">
        <f>_xlfn.XLOOKUP(C510,Contract!$A$2:$A$9,Contract!$B$2:$B$9)</f>
        <v>0.43</v>
      </c>
      <c r="S510" s="1">
        <f t="shared" si="28"/>
        <v>180.6</v>
      </c>
      <c r="T510" s="1">
        <f t="shared" si="29"/>
        <v>-23.890000000000015</v>
      </c>
      <c r="U510" s="1" t="str">
        <f t="shared" si="30"/>
        <v>OK</v>
      </c>
      <c r="V510" s="1" t="str">
        <f>_xlfn.XLOOKUP(C510,Payers!$A$2:$A$9,Payers!$B$2:$B$9)</f>
        <v>Summit Health Commercial</v>
      </c>
      <c r="W510" s="1" t="str">
        <f t="shared" si="31"/>
        <v>2025-11</v>
      </c>
    </row>
    <row r="511" spans="1:23">
      <c r="A511" s="1" t="s">
        <v>1038</v>
      </c>
      <c r="B511" s="1" t="s">
        <v>1039</v>
      </c>
      <c r="C511" s="1" t="s">
        <v>25</v>
      </c>
      <c r="D511" s="1" t="s">
        <v>26</v>
      </c>
      <c r="E511" s="1" t="s">
        <v>57</v>
      </c>
      <c r="F511">
        <v>1</v>
      </c>
      <c r="G511" s="2">
        <v>46022</v>
      </c>
      <c r="H511" s="2">
        <v>46023</v>
      </c>
      <c r="I511">
        <v>211.83</v>
      </c>
      <c r="J511">
        <v>74.63</v>
      </c>
      <c r="K511">
        <v>74.63</v>
      </c>
      <c r="L511">
        <v>0</v>
      </c>
      <c r="M511" s="1" t="s">
        <v>21</v>
      </c>
      <c r="N511" s="1" t="s">
        <v>22</v>
      </c>
      <c r="O511" s="2">
        <v>46050</v>
      </c>
      <c r="P511" s="2">
        <v>46050</v>
      </c>
      <c r="Q511">
        <f>_xlfn.XLOOKUP(E511,CPT!$A$2:$A$13,CPT!$D$2:$D$13)</f>
        <v>210</v>
      </c>
      <c r="R511" s="1">
        <f>_xlfn.XLOOKUP(C511,Contract!$A$2:$A$9,Contract!$B$2:$B$9)</f>
        <v>0.36</v>
      </c>
      <c r="S511" s="1">
        <f t="shared" si="28"/>
        <v>75.599999999999994</v>
      </c>
      <c r="T511" s="1">
        <f t="shared" si="29"/>
        <v>0.96999999999999886</v>
      </c>
      <c r="U511" s="1" t="str">
        <f t="shared" si="30"/>
        <v>OK</v>
      </c>
      <c r="V511" s="1" t="str">
        <f>_xlfn.XLOOKUP(C511,Payers!$A$2:$A$9,Payers!$B$2:$B$9)</f>
        <v>Medicare Part B</v>
      </c>
      <c r="W511" s="1" t="str">
        <f t="shared" si="31"/>
        <v>2025-12</v>
      </c>
    </row>
    <row r="512" spans="1:23">
      <c r="A512" s="1" t="s">
        <v>1040</v>
      </c>
      <c r="B512" s="1" t="s">
        <v>1041</v>
      </c>
      <c r="C512" s="1" t="s">
        <v>60</v>
      </c>
      <c r="D512" s="1" t="s">
        <v>37</v>
      </c>
      <c r="E512" s="1" t="s">
        <v>38</v>
      </c>
      <c r="F512">
        <v>20</v>
      </c>
      <c r="G512" s="2">
        <v>45967</v>
      </c>
      <c r="H512" s="2">
        <v>45968</v>
      </c>
      <c r="I512">
        <v>29482.39</v>
      </c>
      <c r="J512">
        <v>13898.03</v>
      </c>
      <c r="K512">
        <v>11118.42</v>
      </c>
      <c r="L512">
        <v>2779.61</v>
      </c>
      <c r="M512" s="1" t="s">
        <v>21</v>
      </c>
      <c r="N512" s="1" t="s">
        <v>22</v>
      </c>
      <c r="O512" s="2">
        <v>45998</v>
      </c>
      <c r="P512" s="2">
        <v>45998</v>
      </c>
      <c r="Q512">
        <f>_xlfn.XLOOKUP(E512,CPT!$A$2:$A$13,CPT!$D$2:$D$13)</f>
        <v>1450</v>
      </c>
      <c r="R512" s="1">
        <f>_xlfn.XLOOKUP(C512,Contract!$A$2:$A$9,Contract!$B$2:$B$9)</f>
        <v>0.45</v>
      </c>
      <c r="S512" s="1">
        <f t="shared" si="28"/>
        <v>13050</v>
      </c>
      <c r="T512" s="1">
        <f t="shared" si="29"/>
        <v>-848.03000000000065</v>
      </c>
      <c r="U512" s="1" t="str">
        <f t="shared" si="30"/>
        <v>OK</v>
      </c>
      <c r="V512" s="1" t="str">
        <f>_xlfn.XLOOKUP(C512,Payers!$A$2:$A$9,Payers!$B$2:$B$9)</f>
        <v>Blue Horizon Commercial</v>
      </c>
      <c r="W512" s="1" t="str">
        <f t="shared" si="31"/>
        <v>2025-11</v>
      </c>
    </row>
    <row r="513" spans="1:23">
      <c r="A513" s="1" t="s">
        <v>1042</v>
      </c>
      <c r="B513" s="1" t="s">
        <v>1043</v>
      </c>
      <c r="C513" s="1" t="s">
        <v>47</v>
      </c>
      <c r="D513" s="1" t="s">
        <v>26</v>
      </c>
      <c r="E513" s="1" t="s">
        <v>185</v>
      </c>
      <c r="F513">
        <v>1</v>
      </c>
      <c r="G513" s="2">
        <v>46225</v>
      </c>
      <c r="H513" s="2">
        <v>46230</v>
      </c>
      <c r="I513">
        <v>1115.76</v>
      </c>
      <c r="J513">
        <v>309.18</v>
      </c>
      <c r="K513">
        <v>247.34</v>
      </c>
      <c r="L513">
        <v>61.84</v>
      </c>
      <c r="M513" s="1" t="s">
        <v>21</v>
      </c>
      <c r="N513" s="1" t="s">
        <v>22</v>
      </c>
      <c r="O513" s="2">
        <v>46291</v>
      </c>
      <c r="P513" s="2">
        <v>46291</v>
      </c>
      <c r="Q513">
        <f>_xlfn.XLOOKUP(E513,CPT!$A$2:$A$13,CPT!$D$2:$D$13)</f>
        <v>1150</v>
      </c>
      <c r="R513" s="1">
        <f>_xlfn.XLOOKUP(C513,Contract!$A$2:$A$9,Contract!$B$2:$B$9)</f>
        <v>0.28000000000000003</v>
      </c>
      <c r="S513" s="1">
        <f t="shared" si="28"/>
        <v>322</v>
      </c>
      <c r="T513" s="1">
        <f t="shared" si="29"/>
        <v>12.819999999999993</v>
      </c>
      <c r="U513" s="1" t="str">
        <f t="shared" si="30"/>
        <v>OK</v>
      </c>
      <c r="V513" s="1" t="str">
        <f>_xlfn.XLOOKUP(C513,Payers!$A$2:$A$9,Payers!$B$2:$B$9)</f>
        <v>Coastal Medicaid MCO</v>
      </c>
      <c r="W513" s="1" t="str">
        <f t="shared" si="31"/>
        <v>2026-07</v>
      </c>
    </row>
    <row r="514" spans="1:23">
      <c r="A514" s="1" t="s">
        <v>1044</v>
      </c>
      <c r="B514" s="1" t="s">
        <v>1045</v>
      </c>
      <c r="C514" s="1" t="s">
        <v>25</v>
      </c>
      <c r="D514" s="1" t="s">
        <v>37</v>
      </c>
      <c r="E514" s="1" t="s">
        <v>38</v>
      </c>
      <c r="F514">
        <v>30</v>
      </c>
      <c r="G514" s="2">
        <v>45932</v>
      </c>
      <c r="H514" s="2">
        <v>45939</v>
      </c>
      <c r="I514">
        <v>44685.35</v>
      </c>
      <c r="J514">
        <v>16423.27</v>
      </c>
      <c r="K514">
        <v>14780.94</v>
      </c>
      <c r="L514">
        <v>1642.33</v>
      </c>
      <c r="M514" s="1" t="s">
        <v>21</v>
      </c>
      <c r="N514" s="1" t="s">
        <v>22</v>
      </c>
      <c r="O514" s="2">
        <v>45961</v>
      </c>
      <c r="P514" s="2">
        <v>45961</v>
      </c>
      <c r="Q514">
        <f>_xlfn.XLOOKUP(E514,CPT!$A$2:$A$13,CPT!$D$2:$D$13)</f>
        <v>1450</v>
      </c>
      <c r="R514" s="1">
        <f>_xlfn.XLOOKUP(C514,Contract!$A$2:$A$9,Contract!$B$2:$B$9)</f>
        <v>0.36</v>
      </c>
      <c r="S514" s="1">
        <f t="shared" ref="S514:S577" si="32">ROUND(Q514*F514*R514,2)</f>
        <v>15660</v>
      </c>
      <c r="T514" s="1">
        <f t="shared" ref="T514:T577" si="33">IF(M514="Paid",S514-J514,"")</f>
        <v>-763.27000000000044</v>
      </c>
      <c r="U514" s="1" t="str">
        <f t="shared" ref="U514:U577" si="34">IF(M514&lt;&gt;"Paid","",IF(T514&gt;S514*0.05,"Underpaid","OK"))</f>
        <v>OK</v>
      </c>
      <c r="V514" s="1" t="str">
        <f>_xlfn.XLOOKUP(C514,Payers!$A$2:$A$9,Payers!$B$2:$B$9)</f>
        <v>Medicare Part B</v>
      </c>
      <c r="W514" s="1" t="str">
        <f t="shared" ref="W514:W577" si="35">TEXT(G514,"yyyy-mm")</f>
        <v>2025-10</v>
      </c>
    </row>
    <row r="515" spans="1:23">
      <c r="A515" s="1" t="s">
        <v>1046</v>
      </c>
      <c r="B515" s="1" t="s">
        <v>189</v>
      </c>
      <c r="C515" s="1" t="s">
        <v>60</v>
      </c>
      <c r="D515" s="1" t="s">
        <v>26</v>
      </c>
      <c r="E515" s="1" t="s">
        <v>41</v>
      </c>
      <c r="F515">
        <v>1</v>
      </c>
      <c r="G515" s="2">
        <v>46204</v>
      </c>
      <c r="H515" s="2">
        <v>46206</v>
      </c>
      <c r="I515">
        <v>38.81</v>
      </c>
      <c r="J515">
        <v>18.88</v>
      </c>
      <c r="K515">
        <v>16.989999999999998</v>
      </c>
      <c r="L515">
        <v>1.89</v>
      </c>
      <c r="M515" s="1" t="s">
        <v>21</v>
      </c>
      <c r="N515" s="1" t="s">
        <v>22</v>
      </c>
      <c r="O515" s="2">
        <v>46230</v>
      </c>
      <c r="P515" s="2">
        <v>46230</v>
      </c>
      <c r="Q515">
        <f>_xlfn.XLOOKUP(E515,CPT!$A$2:$A$13,CPT!$D$2:$D$13)</f>
        <v>38</v>
      </c>
      <c r="R515" s="1">
        <f>_xlfn.XLOOKUP(C515,Contract!$A$2:$A$9,Contract!$B$2:$B$9)</f>
        <v>0.45</v>
      </c>
      <c r="S515" s="1">
        <f t="shared" si="32"/>
        <v>17.100000000000001</v>
      </c>
      <c r="T515" s="1">
        <f t="shared" si="33"/>
        <v>-1.7799999999999976</v>
      </c>
      <c r="U515" s="1" t="str">
        <f t="shared" si="34"/>
        <v>OK</v>
      </c>
      <c r="V515" s="1" t="str">
        <f>_xlfn.XLOOKUP(C515,Payers!$A$2:$A$9,Payers!$B$2:$B$9)</f>
        <v>Blue Horizon Commercial</v>
      </c>
      <c r="W515" s="1" t="str">
        <f t="shared" si="35"/>
        <v>2026-07</v>
      </c>
    </row>
    <row r="516" spans="1:23">
      <c r="A516" s="1" t="s">
        <v>1047</v>
      </c>
      <c r="B516" s="1" t="s">
        <v>1048</v>
      </c>
      <c r="C516" s="1" t="s">
        <v>60</v>
      </c>
      <c r="D516" s="1" t="s">
        <v>26</v>
      </c>
      <c r="E516" s="1" t="s">
        <v>27</v>
      </c>
      <c r="F516">
        <v>1</v>
      </c>
      <c r="G516" s="2">
        <v>46127</v>
      </c>
      <c r="H516" s="2">
        <v>46129</v>
      </c>
      <c r="I516">
        <v>242.31</v>
      </c>
      <c r="J516">
        <v>95.7</v>
      </c>
      <c r="K516">
        <v>76.56</v>
      </c>
      <c r="L516">
        <v>19.14</v>
      </c>
      <c r="M516" s="1" t="s">
        <v>21</v>
      </c>
      <c r="N516" s="1" t="s">
        <v>22</v>
      </c>
      <c r="O516" s="2">
        <v>46153</v>
      </c>
      <c r="P516" s="2">
        <v>46153</v>
      </c>
      <c r="Q516">
        <f>_xlfn.XLOOKUP(E516,CPT!$A$2:$A$13,CPT!$D$2:$D$13)</f>
        <v>240</v>
      </c>
      <c r="R516" s="1">
        <f>_xlfn.XLOOKUP(C516,Contract!$A$2:$A$9,Contract!$B$2:$B$9)</f>
        <v>0.45</v>
      </c>
      <c r="S516" s="1">
        <f t="shared" si="32"/>
        <v>108</v>
      </c>
      <c r="T516" s="1">
        <f t="shared" si="33"/>
        <v>12.299999999999997</v>
      </c>
      <c r="U516" s="1" t="str">
        <f t="shared" si="34"/>
        <v>Underpaid</v>
      </c>
      <c r="V516" s="1" t="str">
        <f>_xlfn.XLOOKUP(C516,Payers!$A$2:$A$9,Payers!$B$2:$B$9)</f>
        <v>Blue Horizon Commercial</v>
      </c>
      <c r="W516" s="1" t="str">
        <f t="shared" si="35"/>
        <v>2026-04</v>
      </c>
    </row>
    <row r="517" spans="1:23">
      <c r="A517" s="1" t="s">
        <v>1049</v>
      </c>
      <c r="B517" s="1" t="s">
        <v>1050</v>
      </c>
      <c r="C517" s="1" t="s">
        <v>60</v>
      </c>
      <c r="D517" s="1" t="s">
        <v>26</v>
      </c>
      <c r="E517" s="1" t="s">
        <v>88</v>
      </c>
      <c r="F517">
        <v>1</v>
      </c>
      <c r="G517" s="2">
        <v>46234</v>
      </c>
      <c r="H517" s="2">
        <v>46236</v>
      </c>
      <c r="I517">
        <v>255.92</v>
      </c>
      <c r="J517">
        <v>120.3</v>
      </c>
      <c r="K517">
        <v>96.24</v>
      </c>
      <c r="L517">
        <v>24.06</v>
      </c>
      <c r="M517" s="1" t="s">
        <v>21</v>
      </c>
      <c r="N517" s="1" t="s">
        <v>22</v>
      </c>
      <c r="O517" s="2">
        <v>46255</v>
      </c>
      <c r="P517" s="2">
        <v>46255</v>
      </c>
      <c r="Q517">
        <f>_xlfn.XLOOKUP(E517,CPT!$A$2:$A$13,CPT!$D$2:$D$13)</f>
        <v>260</v>
      </c>
      <c r="R517" s="1">
        <f>_xlfn.XLOOKUP(C517,Contract!$A$2:$A$9,Contract!$B$2:$B$9)</f>
        <v>0.45</v>
      </c>
      <c r="S517" s="1">
        <f t="shared" si="32"/>
        <v>117</v>
      </c>
      <c r="T517" s="1">
        <f t="shared" si="33"/>
        <v>-3.2999999999999972</v>
      </c>
      <c r="U517" s="1" t="str">
        <f t="shared" si="34"/>
        <v>OK</v>
      </c>
      <c r="V517" s="1" t="str">
        <f>_xlfn.XLOOKUP(C517,Payers!$A$2:$A$9,Payers!$B$2:$B$9)</f>
        <v>Blue Horizon Commercial</v>
      </c>
      <c r="W517" s="1" t="str">
        <f t="shared" si="35"/>
        <v>2026-07</v>
      </c>
    </row>
    <row r="518" spans="1:23">
      <c r="A518" s="1" t="s">
        <v>1051</v>
      </c>
      <c r="B518" s="1" t="s">
        <v>1052</v>
      </c>
      <c r="C518" s="1" t="s">
        <v>79</v>
      </c>
      <c r="D518" s="1" t="s">
        <v>30</v>
      </c>
      <c r="E518" s="1" t="s">
        <v>91</v>
      </c>
      <c r="F518">
        <v>1</v>
      </c>
      <c r="G518" s="2">
        <v>45939</v>
      </c>
      <c r="H518" s="2">
        <v>45941</v>
      </c>
      <c r="I518">
        <v>57.44</v>
      </c>
      <c r="M518" s="1" t="s">
        <v>69</v>
      </c>
      <c r="N518" s="1" t="s">
        <v>22</v>
      </c>
      <c r="O518" s="2"/>
      <c r="P518" s="2"/>
      <c r="Q518">
        <f>_xlfn.XLOOKUP(E518,CPT!$A$2:$A$13,CPT!$D$2:$D$13)</f>
        <v>58</v>
      </c>
      <c r="R518" s="1">
        <f>_xlfn.XLOOKUP(C518,Contract!$A$2:$A$9,Contract!$B$2:$B$9)</f>
        <v>1</v>
      </c>
      <c r="S518" s="1">
        <f t="shared" si="32"/>
        <v>58</v>
      </c>
      <c r="T518" s="1" t="str">
        <f t="shared" si="33"/>
        <v/>
      </c>
      <c r="U518" s="1" t="str">
        <f t="shared" si="34"/>
        <v/>
      </c>
      <c r="V518" s="1" t="str">
        <f>_xlfn.XLOOKUP(C518,Payers!$A$2:$A$9,Payers!$B$2:$B$9)</f>
        <v>Self-Pay</v>
      </c>
      <c r="W518" s="1" t="str">
        <f t="shared" si="35"/>
        <v>2025-10</v>
      </c>
    </row>
    <row r="519" spans="1:23">
      <c r="A519" s="1" t="s">
        <v>1053</v>
      </c>
      <c r="B519" s="1" t="s">
        <v>1054</v>
      </c>
      <c r="C519" s="1" t="s">
        <v>60</v>
      </c>
      <c r="D519" s="1" t="s">
        <v>30</v>
      </c>
      <c r="E519" s="1" t="s">
        <v>20</v>
      </c>
      <c r="F519">
        <v>1</v>
      </c>
      <c r="G519" s="2">
        <v>46227</v>
      </c>
      <c r="H519" s="2">
        <v>46228</v>
      </c>
      <c r="I519">
        <v>142.68</v>
      </c>
      <c r="J519">
        <v>54.6</v>
      </c>
      <c r="K519">
        <v>54.6</v>
      </c>
      <c r="L519">
        <v>0</v>
      </c>
      <c r="M519" s="1" t="s">
        <v>21</v>
      </c>
      <c r="N519" s="1" t="s">
        <v>22</v>
      </c>
      <c r="O519" s="2">
        <v>46267</v>
      </c>
      <c r="P519" s="2">
        <v>46267</v>
      </c>
      <c r="Q519">
        <f>_xlfn.XLOOKUP(E519,CPT!$A$2:$A$13,CPT!$D$2:$D$13)</f>
        <v>145</v>
      </c>
      <c r="R519" s="1">
        <f>_xlfn.XLOOKUP(C519,Contract!$A$2:$A$9,Contract!$B$2:$B$9)</f>
        <v>0.45</v>
      </c>
      <c r="S519" s="1">
        <f t="shared" si="32"/>
        <v>65.25</v>
      </c>
      <c r="T519" s="1">
        <f t="shared" si="33"/>
        <v>10.649999999999999</v>
      </c>
      <c r="U519" s="1" t="str">
        <f t="shared" si="34"/>
        <v>Underpaid</v>
      </c>
      <c r="V519" s="1" t="str">
        <f>_xlfn.XLOOKUP(C519,Payers!$A$2:$A$9,Payers!$B$2:$B$9)</f>
        <v>Blue Horizon Commercial</v>
      </c>
      <c r="W519" s="1" t="str">
        <f t="shared" si="35"/>
        <v>2026-07</v>
      </c>
    </row>
    <row r="520" spans="1:23">
      <c r="A520" s="1" t="s">
        <v>1055</v>
      </c>
      <c r="B520" s="1" t="s">
        <v>1056</v>
      </c>
      <c r="C520" s="1" t="s">
        <v>60</v>
      </c>
      <c r="D520" s="1" t="s">
        <v>37</v>
      </c>
      <c r="E520" s="1" t="s">
        <v>38</v>
      </c>
      <c r="F520">
        <v>5</v>
      </c>
      <c r="G520" s="2">
        <v>46254</v>
      </c>
      <c r="H520" s="2">
        <v>46261</v>
      </c>
      <c r="I520">
        <v>7426.03</v>
      </c>
      <c r="M520" s="1" t="s">
        <v>69</v>
      </c>
      <c r="N520" s="1" t="s">
        <v>22</v>
      </c>
      <c r="O520" s="2"/>
      <c r="P520" s="2"/>
      <c r="Q520">
        <f>_xlfn.XLOOKUP(E520,CPT!$A$2:$A$13,CPT!$D$2:$D$13)</f>
        <v>1450</v>
      </c>
      <c r="R520" s="1">
        <f>_xlfn.XLOOKUP(C520,Contract!$A$2:$A$9,Contract!$B$2:$B$9)</f>
        <v>0.45</v>
      </c>
      <c r="S520" s="1">
        <f t="shared" si="32"/>
        <v>3262.5</v>
      </c>
      <c r="T520" s="1" t="str">
        <f t="shared" si="33"/>
        <v/>
      </c>
      <c r="U520" s="1" t="str">
        <f t="shared" si="34"/>
        <v/>
      </c>
      <c r="V520" s="1" t="str">
        <f>_xlfn.XLOOKUP(C520,Payers!$A$2:$A$9,Payers!$B$2:$B$9)</f>
        <v>Blue Horizon Commercial</v>
      </c>
      <c r="W520" s="1" t="str">
        <f t="shared" si="35"/>
        <v>2026-08</v>
      </c>
    </row>
    <row r="521" spans="1:23">
      <c r="A521" s="1" t="s">
        <v>1057</v>
      </c>
      <c r="B521" s="1" t="s">
        <v>1058</v>
      </c>
      <c r="C521" s="1" t="s">
        <v>60</v>
      </c>
      <c r="D521" s="1" t="s">
        <v>19</v>
      </c>
      <c r="E521" s="1" t="s">
        <v>57</v>
      </c>
      <c r="F521">
        <v>1</v>
      </c>
      <c r="G521" s="2">
        <v>46034</v>
      </c>
      <c r="H521" s="2">
        <v>46041</v>
      </c>
      <c r="I521">
        <v>209.07</v>
      </c>
      <c r="J521">
        <v>99.3</v>
      </c>
      <c r="K521">
        <v>89.37</v>
      </c>
      <c r="L521">
        <v>9.93</v>
      </c>
      <c r="M521" s="1" t="s">
        <v>21</v>
      </c>
      <c r="N521" s="1" t="s">
        <v>22</v>
      </c>
      <c r="O521" s="2">
        <v>46075</v>
      </c>
      <c r="P521" s="2">
        <v>46075</v>
      </c>
      <c r="Q521">
        <f>_xlfn.XLOOKUP(E521,CPT!$A$2:$A$13,CPT!$D$2:$D$13)</f>
        <v>210</v>
      </c>
      <c r="R521" s="1">
        <f>_xlfn.XLOOKUP(C521,Contract!$A$2:$A$9,Contract!$B$2:$B$9)</f>
        <v>0.45</v>
      </c>
      <c r="S521" s="1">
        <f t="shared" si="32"/>
        <v>94.5</v>
      </c>
      <c r="T521" s="1">
        <f t="shared" si="33"/>
        <v>-4.7999999999999972</v>
      </c>
      <c r="U521" s="1" t="str">
        <f t="shared" si="34"/>
        <v>OK</v>
      </c>
      <c r="V521" s="1" t="str">
        <f>_xlfn.XLOOKUP(C521,Payers!$A$2:$A$9,Payers!$B$2:$B$9)</f>
        <v>Blue Horizon Commercial</v>
      </c>
      <c r="W521" s="1" t="str">
        <f t="shared" si="35"/>
        <v>2026-01</v>
      </c>
    </row>
    <row r="522" spans="1:23">
      <c r="A522" s="1" t="s">
        <v>1059</v>
      </c>
      <c r="B522" s="1" t="s">
        <v>502</v>
      </c>
      <c r="C522" s="1" t="s">
        <v>25</v>
      </c>
      <c r="D522" s="1" t="s">
        <v>30</v>
      </c>
      <c r="E522" s="1" t="s">
        <v>20</v>
      </c>
      <c r="F522">
        <v>1</v>
      </c>
      <c r="G522" s="2">
        <v>46095</v>
      </c>
      <c r="H522" s="2">
        <v>46102</v>
      </c>
      <c r="I522">
        <v>147.93</v>
      </c>
      <c r="J522">
        <v>50.53</v>
      </c>
      <c r="K522">
        <v>40.42</v>
      </c>
      <c r="L522">
        <v>10.11</v>
      </c>
      <c r="M522" s="1" t="s">
        <v>21</v>
      </c>
      <c r="N522" s="1" t="s">
        <v>22</v>
      </c>
      <c r="O522" s="2">
        <v>46122</v>
      </c>
      <c r="P522" s="2">
        <v>46122</v>
      </c>
      <c r="Q522">
        <f>_xlfn.XLOOKUP(E522,CPT!$A$2:$A$13,CPT!$D$2:$D$13)</f>
        <v>145</v>
      </c>
      <c r="R522" s="1">
        <f>_xlfn.XLOOKUP(C522,Contract!$A$2:$A$9,Contract!$B$2:$B$9)</f>
        <v>0.36</v>
      </c>
      <c r="S522" s="1">
        <f t="shared" si="32"/>
        <v>52.2</v>
      </c>
      <c r="T522" s="1">
        <f t="shared" si="33"/>
        <v>1.6700000000000017</v>
      </c>
      <c r="U522" s="1" t="str">
        <f t="shared" si="34"/>
        <v>OK</v>
      </c>
      <c r="V522" s="1" t="str">
        <f>_xlfn.XLOOKUP(C522,Payers!$A$2:$A$9,Payers!$B$2:$B$9)</f>
        <v>Medicare Part B</v>
      </c>
      <c r="W522" s="1" t="str">
        <f t="shared" si="35"/>
        <v>2026-03</v>
      </c>
    </row>
    <row r="523" spans="1:23">
      <c r="A523" s="1" t="s">
        <v>1060</v>
      </c>
      <c r="B523" s="1" t="s">
        <v>1061</v>
      </c>
      <c r="C523" s="1" t="s">
        <v>60</v>
      </c>
      <c r="D523" s="1" t="s">
        <v>37</v>
      </c>
      <c r="E523" s="1" t="s">
        <v>57</v>
      </c>
      <c r="F523">
        <v>1</v>
      </c>
      <c r="G523" s="2">
        <v>46055</v>
      </c>
      <c r="H523" s="2">
        <v>46056</v>
      </c>
      <c r="I523">
        <v>215.36</v>
      </c>
      <c r="M523" s="1" t="s">
        <v>32</v>
      </c>
      <c r="N523" s="1" t="s">
        <v>281</v>
      </c>
      <c r="O523" s="2">
        <v>46087</v>
      </c>
      <c r="P523" s="2"/>
      <c r="Q523">
        <f>_xlfn.XLOOKUP(E523,CPT!$A$2:$A$13,CPT!$D$2:$D$13)</f>
        <v>210</v>
      </c>
      <c r="R523" s="1">
        <f>_xlfn.XLOOKUP(C523,Contract!$A$2:$A$9,Contract!$B$2:$B$9)</f>
        <v>0.45</v>
      </c>
      <c r="S523" s="1">
        <f t="shared" si="32"/>
        <v>94.5</v>
      </c>
      <c r="T523" s="1" t="str">
        <f t="shared" si="33"/>
        <v/>
      </c>
      <c r="U523" s="1" t="str">
        <f t="shared" si="34"/>
        <v/>
      </c>
      <c r="V523" s="1" t="str">
        <f>_xlfn.XLOOKUP(C523,Payers!$A$2:$A$9,Payers!$B$2:$B$9)</f>
        <v>Blue Horizon Commercial</v>
      </c>
      <c r="W523" s="1" t="str">
        <f t="shared" si="35"/>
        <v>2026-02</v>
      </c>
    </row>
    <row r="524" spans="1:23">
      <c r="A524" s="1" t="s">
        <v>1062</v>
      </c>
      <c r="B524" s="1" t="s">
        <v>1063</v>
      </c>
      <c r="C524" s="1" t="s">
        <v>25</v>
      </c>
      <c r="D524" s="1" t="s">
        <v>26</v>
      </c>
      <c r="E524" s="1" t="s">
        <v>41</v>
      </c>
      <c r="F524">
        <v>1</v>
      </c>
      <c r="G524" s="2">
        <v>46076</v>
      </c>
      <c r="H524" s="2">
        <v>46083</v>
      </c>
      <c r="I524">
        <v>37.81</v>
      </c>
      <c r="J524">
        <v>14.43</v>
      </c>
      <c r="K524">
        <v>11.54</v>
      </c>
      <c r="L524">
        <v>2.89</v>
      </c>
      <c r="M524" s="1" t="s">
        <v>21</v>
      </c>
      <c r="N524" s="1" t="s">
        <v>22</v>
      </c>
      <c r="O524" s="2">
        <v>46103</v>
      </c>
      <c r="P524" s="2">
        <v>46103</v>
      </c>
      <c r="Q524">
        <f>_xlfn.XLOOKUP(E524,CPT!$A$2:$A$13,CPT!$D$2:$D$13)</f>
        <v>38</v>
      </c>
      <c r="R524" s="1">
        <f>_xlfn.XLOOKUP(C524,Contract!$A$2:$A$9,Contract!$B$2:$B$9)</f>
        <v>0.36</v>
      </c>
      <c r="S524" s="1">
        <f t="shared" si="32"/>
        <v>13.68</v>
      </c>
      <c r="T524" s="1">
        <f t="shared" si="33"/>
        <v>-0.75</v>
      </c>
      <c r="U524" s="1" t="str">
        <f t="shared" si="34"/>
        <v>OK</v>
      </c>
      <c r="V524" s="1" t="str">
        <f>_xlfn.XLOOKUP(C524,Payers!$A$2:$A$9,Payers!$B$2:$B$9)</f>
        <v>Medicare Part B</v>
      </c>
      <c r="W524" s="1" t="str">
        <f t="shared" si="35"/>
        <v>2026-02</v>
      </c>
    </row>
    <row r="525" spans="1:23">
      <c r="A525" s="1" t="s">
        <v>1064</v>
      </c>
      <c r="B525" s="1" t="s">
        <v>1065</v>
      </c>
      <c r="C525" s="1" t="s">
        <v>25</v>
      </c>
      <c r="D525" s="1" t="s">
        <v>26</v>
      </c>
      <c r="E525" s="1" t="s">
        <v>57</v>
      </c>
      <c r="F525">
        <v>1</v>
      </c>
      <c r="G525" s="2">
        <v>45950</v>
      </c>
      <c r="H525" s="2">
        <v>45956</v>
      </c>
      <c r="I525">
        <v>211.21</v>
      </c>
      <c r="J525">
        <v>66.290000000000006</v>
      </c>
      <c r="K525">
        <v>59.66</v>
      </c>
      <c r="L525">
        <v>6.63</v>
      </c>
      <c r="M525" s="1" t="s">
        <v>21</v>
      </c>
      <c r="N525" s="1" t="s">
        <v>22</v>
      </c>
      <c r="O525" s="2">
        <v>45981</v>
      </c>
      <c r="P525" s="2">
        <v>45981</v>
      </c>
      <c r="Q525">
        <f>_xlfn.XLOOKUP(E525,CPT!$A$2:$A$13,CPT!$D$2:$D$13)</f>
        <v>210</v>
      </c>
      <c r="R525" s="1">
        <f>_xlfn.XLOOKUP(C525,Contract!$A$2:$A$9,Contract!$B$2:$B$9)</f>
        <v>0.36</v>
      </c>
      <c r="S525" s="1">
        <f t="shared" si="32"/>
        <v>75.599999999999994</v>
      </c>
      <c r="T525" s="1">
        <f t="shared" si="33"/>
        <v>9.3099999999999881</v>
      </c>
      <c r="U525" s="1" t="str">
        <f t="shared" si="34"/>
        <v>Underpaid</v>
      </c>
      <c r="V525" s="1" t="str">
        <f>_xlfn.XLOOKUP(C525,Payers!$A$2:$A$9,Payers!$B$2:$B$9)</f>
        <v>Medicare Part B</v>
      </c>
      <c r="W525" s="1" t="str">
        <f t="shared" si="35"/>
        <v>2025-10</v>
      </c>
    </row>
    <row r="526" spans="1:23">
      <c r="A526" s="1" t="s">
        <v>1066</v>
      </c>
      <c r="B526" s="1" t="s">
        <v>1067</v>
      </c>
      <c r="C526" s="1" t="s">
        <v>60</v>
      </c>
      <c r="D526" s="1" t="s">
        <v>19</v>
      </c>
      <c r="E526" s="1" t="s">
        <v>57</v>
      </c>
      <c r="F526">
        <v>1</v>
      </c>
      <c r="G526" s="2">
        <v>46202</v>
      </c>
      <c r="H526" s="2">
        <v>46206</v>
      </c>
      <c r="I526">
        <v>216.01</v>
      </c>
      <c r="J526">
        <v>111.93</v>
      </c>
      <c r="K526">
        <v>111.93</v>
      </c>
      <c r="L526">
        <v>0</v>
      </c>
      <c r="M526" s="1" t="s">
        <v>21</v>
      </c>
      <c r="N526" s="1" t="s">
        <v>22</v>
      </c>
      <c r="O526" s="2">
        <v>46224</v>
      </c>
      <c r="P526" s="2">
        <v>46224</v>
      </c>
      <c r="Q526">
        <f>_xlfn.XLOOKUP(E526,CPT!$A$2:$A$13,CPT!$D$2:$D$13)</f>
        <v>210</v>
      </c>
      <c r="R526" s="1">
        <f>_xlfn.XLOOKUP(C526,Contract!$A$2:$A$9,Contract!$B$2:$B$9)</f>
        <v>0.45</v>
      </c>
      <c r="S526" s="1">
        <f t="shared" si="32"/>
        <v>94.5</v>
      </c>
      <c r="T526" s="1">
        <f t="shared" si="33"/>
        <v>-17.430000000000007</v>
      </c>
      <c r="U526" s="1" t="str">
        <f t="shared" si="34"/>
        <v>OK</v>
      </c>
      <c r="V526" s="1" t="str">
        <f>_xlfn.XLOOKUP(C526,Payers!$A$2:$A$9,Payers!$B$2:$B$9)</f>
        <v>Blue Horizon Commercial</v>
      </c>
      <c r="W526" s="1" t="str">
        <f t="shared" si="35"/>
        <v>2026-06</v>
      </c>
    </row>
    <row r="527" spans="1:23">
      <c r="A527" s="1" t="s">
        <v>1068</v>
      </c>
      <c r="B527" s="1" t="s">
        <v>1069</v>
      </c>
      <c r="C527" s="1" t="s">
        <v>36</v>
      </c>
      <c r="D527" s="1" t="s">
        <v>26</v>
      </c>
      <c r="E527" s="1" t="s">
        <v>88</v>
      </c>
      <c r="F527">
        <v>1</v>
      </c>
      <c r="G527" s="2">
        <v>46281</v>
      </c>
      <c r="H527" s="2">
        <v>46291</v>
      </c>
      <c r="I527">
        <v>265.36</v>
      </c>
      <c r="M527" s="1" t="s">
        <v>69</v>
      </c>
      <c r="N527" s="1" t="s">
        <v>22</v>
      </c>
      <c r="O527" s="2"/>
      <c r="P527" s="2"/>
      <c r="Q527">
        <f>_xlfn.XLOOKUP(E527,CPT!$A$2:$A$13,CPT!$D$2:$D$13)</f>
        <v>260</v>
      </c>
      <c r="R527" s="1">
        <f>_xlfn.XLOOKUP(C527,Contract!$A$2:$A$9,Contract!$B$2:$B$9)</f>
        <v>0.27</v>
      </c>
      <c r="S527" s="1">
        <f t="shared" si="32"/>
        <v>70.2</v>
      </c>
      <c r="T527" s="1" t="str">
        <f t="shared" si="33"/>
        <v/>
      </c>
      <c r="U527" s="1" t="str">
        <f t="shared" si="34"/>
        <v/>
      </c>
      <c r="V527" s="1" t="str">
        <f>_xlfn.XLOOKUP(C527,Payers!$A$2:$A$9,Payers!$B$2:$B$9)</f>
        <v>Florida Medicaid</v>
      </c>
      <c r="W527" s="1" t="str">
        <f t="shared" si="35"/>
        <v>2026-09</v>
      </c>
    </row>
    <row r="528" spans="1:23">
      <c r="A528" s="1" t="s">
        <v>1070</v>
      </c>
      <c r="B528" s="1" t="s">
        <v>1071</v>
      </c>
      <c r="C528" s="1" t="s">
        <v>76</v>
      </c>
      <c r="D528" s="1" t="s">
        <v>26</v>
      </c>
      <c r="E528" s="1" t="s">
        <v>185</v>
      </c>
      <c r="F528">
        <v>1</v>
      </c>
      <c r="G528" s="2">
        <v>46153</v>
      </c>
      <c r="H528" s="2">
        <v>46157</v>
      </c>
      <c r="I528">
        <v>1132.8499999999999</v>
      </c>
      <c r="J528">
        <v>477.23</v>
      </c>
      <c r="K528">
        <v>477.23</v>
      </c>
      <c r="L528">
        <v>0</v>
      </c>
      <c r="M528" s="1" t="s">
        <v>21</v>
      </c>
      <c r="N528" s="1" t="s">
        <v>22</v>
      </c>
      <c r="O528" s="2">
        <v>46191</v>
      </c>
      <c r="P528" s="2">
        <v>46191</v>
      </c>
      <c r="Q528">
        <f>_xlfn.XLOOKUP(E528,CPT!$A$2:$A$13,CPT!$D$2:$D$13)</f>
        <v>1150</v>
      </c>
      <c r="R528" s="1">
        <f>_xlfn.XLOOKUP(C528,Contract!$A$2:$A$9,Contract!$B$2:$B$9)</f>
        <v>0.43</v>
      </c>
      <c r="S528" s="1">
        <f t="shared" si="32"/>
        <v>494.5</v>
      </c>
      <c r="T528" s="1">
        <f t="shared" si="33"/>
        <v>17.269999999999982</v>
      </c>
      <c r="U528" s="1" t="str">
        <f t="shared" si="34"/>
        <v>OK</v>
      </c>
      <c r="V528" s="1" t="str">
        <f>_xlfn.XLOOKUP(C528,Payers!$A$2:$A$9,Payers!$B$2:$B$9)</f>
        <v>Summit Health Commercial</v>
      </c>
      <c r="W528" s="1" t="str">
        <f t="shared" si="35"/>
        <v>2026-05</v>
      </c>
    </row>
    <row r="529" spans="1:23">
      <c r="A529" s="1" t="s">
        <v>1072</v>
      </c>
      <c r="B529" s="1" t="s">
        <v>1073</v>
      </c>
      <c r="C529" s="1" t="s">
        <v>52</v>
      </c>
      <c r="D529" s="1" t="s">
        <v>37</v>
      </c>
      <c r="E529" s="1" t="s">
        <v>48</v>
      </c>
      <c r="F529">
        <v>1</v>
      </c>
      <c r="G529" s="2">
        <v>45967</v>
      </c>
      <c r="H529" s="2">
        <v>45973</v>
      </c>
      <c r="I529">
        <v>429.96</v>
      </c>
      <c r="J529">
        <v>192.16</v>
      </c>
      <c r="K529">
        <v>192.16</v>
      </c>
      <c r="L529">
        <v>0</v>
      </c>
      <c r="M529" s="1" t="s">
        <v>21</v>
      </c>
      <c r="N529" s="1" t="s">
        <v>22</v>
      </c>
      <c r="O529" s="2">
        <v>46020</v>
      </c>
      <c r="P529" s="2">
        <v>46020</v>
      </c>
      <c r="Q529">
        <f>_xlfn.XLOOKUP(E529,CPT!$A$2:$A$13,CPT!$D$2:$D$13)</f>
        <v>420</v>
      </c>
      <c r="R529" s="1">
        <f>_xlfn.XLOOKUP(C529,Contract!$A$2:$A$9,Contract!$B$2:$B$9)</f>
        <v>0.47</v>
      </c>
      <c r="S529" s="1">
        <f t="shared" si="32"/>
        <v>197.4</v>
      </c>
      <c r="T529" s="1">
        <f t="shared" si="33"/>
        <v>5.2400000000000091</v>
      </c>
      <c r="U529" s="1" t="str">
        <f t="shared" si="34"/>
        <v>OK</v>
      </c>
      <c r="V529" s="1" t="str">
        <f>_xlfn.XLOOKUP(C529,Payers!$A$2:$A$9,Payers!$B$2:$B$9)</f>
        <v>Keystone Commercial PPO</v>
      </c>
      <c r="W529" s="1" t="str">
        <f t="shared" si="35"/>
        <v>2025-11</v>
      </c>
    </row>
    <row r="530" spans="1:23">
      <c r="A530" s="1" t="s">
        <v>1074</v>
      </c>
      <c r="B530" s="1" t="s">
        <v>1075</v>
      </c>
      <c r="C530" s="1" t="s">
        <v>60</v>
      </c>
      <c r="D530" s="1" t="s">
        <v>37</v>
      </c>
      <c r="E530" s="1" t="s">
        <v>48</v>
      </c>
      <c r="F530">
        <v>1</v>
      </c>
      <c r="G530" s="2">
        <v>45987</v>
      </c>
      <c r="H530" s="2">
        <v>45988</v>
      </c>
      <c r="I530">
        <v>415.62</v>
      </c>
      <c r="J530">
        <v>208.55</v>
      </c>
      <c r="K530">
        <v>166.84</v>
      </c>
      <c r="L530">
        <v>41.71</v>
      </c>
      <c r="M530" s="1" t="s">
        <v>21</v>
      </c>
      <c r="N530" s="1" t="s">
        <v>22</v>
      </c>
      <c r="O530" s="2">
        <v>46011</v>
      </c>
      <c r="P530" s="2">
        <v>46011</v>
      </c>
      <c r="Q530">
        <f>_xlfn.XLOOKUP(E530,CPT!$A$2:$A$13,CPT!$D$2:$D$13)</f>
        <v>420</v>
      </c>
      <c r="R530" s="1">
        <f>_xlfn.XLOOKUP(C530,Contract!$A$2:$A$9,Contract!$B$2:$B$9)</f>
        <v>0.45</v>
      </c>
      <c r="S530" s="1">
        <f t="shared" si="32"/>
        <v>189</v>
      </c>
      <c r="T530" s="1">
        <f t="shared" si="33"/>
        <v>-19.550000000000011</v>
      </c>
      <c r="U530" s="1" t="str">
        <f t="shared" si="34"/>
        <v>OK</v>
      </c>
      <c r="V530" s="1" t="str">
        <f>_xlfn.XLOOKUP(C530,Payers!$A$2:$A$9,Payers!$B$2:$B$9)</f>
        <v>Blue Horizon Commercial</v>
      </c>
      <c r="W530" s="1" t="str">
        <f t="shared" si="35"/>
        <v>2025-11</v>
      </c>
    </row>
    <row r="531" spans="1:23">
      <c r="A531" s="1" t="s">
        <v>1076</v>
      </c>
      <c r="B531" s="1" t="s">
        <v>1077</v>
      </c>
      <c r="C531" s="1" t="s">
        <v>60</v>
      </c>
      <c r="D531" s="1" t="s">
        <v>19</v>
      </c>
      <c r="E531" s="1" t="s">
        <v>41</v>
      </c>
      <c r="F531">
        <v>1</v>
      </c>
      <c r="G531" s="2">
        <v>46243</v>
      </c>
      <c r="H531" s="2">
        <v>46245</v>
      </c>
      <c r="I531">
        <v>37.9</v>
      </c>
      <c r="J531">
        <v>18.22</v>
      </c>
      <c r="K531">
        <v>16.399999999999999</v>
      </c>
      <c r="L531">
        <v>1.82</v>
      </c>
      <c r="M531" s="1" t="s">
        <v>21</v>
      </c>
      <c r="N531" s="1" t="s">
        <v>22</v>
      </c>
      <c r="O531" s="2">
        <v>46277</v>
      </c>
      <c r="P531" s="2">
        <v>46277</v>
      </c>
      <c r="Q531">
        <f>_xlfn.XLOOKUP(E531,CPT!$A$2:$A$13,CPT!$D$2:$D$13)</f>
        <v>38</v>
      </c>
      <c r="R531" s="1">
        <f>_xlfn.XLOOKUP(C531,Contract!$A$2:$A$9,Contract!$B$2:$B$9)</f>
        <v>0.45</v>
      </c>
      <c r="S531" s="1">
        <f t="shared" si="32"/>
        <v>17.100000000000001</v>
      </c>
      <c r="T531" s="1">
        <f t="shared" si="33"/>
        <v>-1.1199999999999974</v>
      </c>
      <c r="U531" s="1" t="str">
        <f t="shared" si="34"/>
        <v>OK</v>
      </c>
      <c r="V531" s="1" t="str">
        <f>_xlfn.XLOOKUP(C531,Payers!$A$2:$A$9,Payers!$B$2:$B$9)</f>
        <v>Blue Horizon Commercial</v>
      </c>
      <c r="W531" s="1" t="str">
        <f t="shared" si="35"/>
        <v>2026-08</v>
      </c>
    </row>
    <row r="532" spans="1:23">
      <c r="A532" s="1" t="s">
        <v>1078</v>
      </c>
      <c r="B532" s="1" t="s">
        <v>176</v>
      </c>
      <c r="C532" s="1" t="s">
        <v>60</v>
      </c>
      <c r="D532" s="1" t="s">
        <v>26</v>
      </c>
      <c r="E532" s="1" t="s">
        <v>57</v>
      </c>
      <c r="F532">
        <v>1</v>
      </c>
      <c r="G532" s="2">
        <v>46222</v>
      </c>
      <c r="H532" s="2">
        <v>46223</v>
      </c>
      <c r="I532">
        <v>204.45</v>
      </c>
      <c r="J532">
        <v>90.82</v>
      </c>
      <c r="K532">
        <v>81.739999999999995</v>
      </c>
      <c r="L532">
        <v>9.08</v>
      </c>
      <c r="M532" s="1" t="s">
        <v>21</v>
      </c>
      <c r="N532" s="1" t="s">
        <v>22</v>
      </c>
      <c r="O532" s="2">
        <v>46254</v>
      </c>
      <c r="P532" s="2">
        <v>46254</v>
      </c>
      <c r="Q532">
        <f>_xlfn.XLOOKUP(E532,CPT!$A$2:$A$13,CPT!$D$2:$D$13)</f>
        <v>210</v>
      </c>
      <c r="R532" s="1">
        <f>_xlfn.XLOOKUP(C532,Contract!$A$2:$A$9,Contract!$B$2:$B$9)</f>
        <v>0.45</v>
      </c>
      <c r="S532" s="1">
        <f t="shared" si="32"/>
        <v>94.5</v>
      </c>
      <c r="T532" s="1">
        <f t="shared" si="33"/>
        <v>3.6800000000000068</v>
      </c>
      <c r="U532" s="1" t="str">
        <f t="shared" si="34"/>
        <v>OK</v>
      </c>
      <c r="V532" s="1" t="str">
        <f>_xlfn.XLOOKUP(C532,Payers!$A$2:$A$9,Payers!$B$2:$B$9)</f>
        <v>Blue Horizon Commercial</v>
      </c>
      <c r="W532" s="1" t="str">
        <f t="shared" si="35"/>
        <v>2026-07</v>
      </c>
    </row>
    <row r="533" spans="1:23">
      <c r="A533" s="1" t="s">
        <v>1079</v>
      </c>
      <c r="B533" s="1" t="s">
        <v>1080</v>
      </c>
      <c r="C533" s="1" t="s">
        <v>25</v>
      </c>
      <c r="D533" s="1" t="s">
        <v>26</v>
      </c>
      <c r="E533" s="1" t="s">
        <v>44</v>
      </c>
      <c r="F533">
        <v>1</v>
      </c>
      <c r="G533" s="2">
        <v>46244</v>
      </c>
      <c r="H533" s="2">
        <v>46248</v>
      </c>
      <c r="I533">
        <v>4916.8100000000004</v>
      </c>
      <c r="J533">
        <v>1621.2</v>
      </c>
      <c r="K533">
        <v>1296.96</v>
      </c>
      <c r="L533">
        <v>324.24</v>
      </c>
      <c r="M533" s="1" t="s">
        <v>21</v>
      </c>
      <c r="N533" s="1" t="s">
        <v>22</v>
      </c>
      <c r="O533" s="2">
        <v>46270</v>
      </c>
      <c r="P533" s="2">
        <v>46270</v>
      </c>
      <c r="Q533">
        <f>_xlfn.XLOOKUP(E533,CPT!$A$2:$A$13,CPT!$D$2:$D$13)</f>
        <v>4800</v>
      </c>
      <c r="R533" s="1">
        <f>_xlfn.XLOOKUP(C533,Contract!$A$2:$A$9,Contract!$B$2:$B$9)</f>
        <v>0.36</v>
      </c>
      <c r="S533" s="1">
        <f t="shared" si="32"/>
        <v>1728</v>
      </c>
      <c r="T533" s="1">
        <f t="shared" si="33"/>
        <v>106.79999999999995</v>
      </c>
      <c r="U533" s="1" t="str">
        <f t="shared" si="34"/>
        <v>Underpaid</v>
      </c>
      <c r="V533" s="1" t="str">
        <f>_xlfn.XLOOKUP(C533,Payers!$A$2:$A$9,Payers!$B$2:$B$9)</f>
        <v>Medicare Part B</v>
      </c>
      <c r="W533" s="1" t="str">
        <f t="shared" si="35"/>
        <v>2026-08</v>
      </c>
    </row>
    <row r="534" spans="1:23">
      <c r="A534" s="1" t="s">
        <v>1081</v>
      </c>
      <c r="B534" s="1" t="s">
        <v>809</v>
      </c>
      <c r="C534" s="1" t="s">
        <v>25</v>
      </c>
      <c r="D534" s="1" t="s">
        <v>19</v>
      </c>
      <c r="E534" s="1" t="s">
        <v>57</v>
      </c>
      <c r="F534">
        <v>1</v>
      </c>
      <c r="G534" s="2">
        <v>46167</v>
      </c>
      <c r="H534" s="2">
        <v>46173</v>
      </c>
      <c r="I534">
        <v>207.22</v>
      </c>
      <c r="J534">
        <v>68.72</v>
      </c>
      <c r="K534">
        <v>68.72</v>
      </c>
      <c r="L534">
        <v>0</v>
      </c>
      <c r="M534" s="1" t="s">
        <v>21</v>
      </c>
      <c r="N534" s="1" t="s">
        <v>22</v>
      </c>
      <c r="O534" s="2">
        <v>46187</v>
      </c>
      <c r="P534" s="2">
        <v>46187</v>
      </c>
      <c r="Q534">
        <f>_xlfn.XLOOKUP(E534,CPT!$A$2:$A$13,CPT!$D$2:$D$13)</f>
        <v>210</v>
      </c>
      <c r="R534" s="1">
        <f>_xlfn.XLOOKUP(C534,Contract!$A$2:$A$9,Contract!$B$2:$B$9)</f>
        <v>0.36</v>
      </c>
      <c r="S534" s="1">
        <f t="shared" si="32"/>
        <v>75.599999999999994</v>
      </c>
      <c r="T534" s="1">
        <f t="shared" si="33"/>
        <v>6.8799999999999955</v>
      </c>
      <c r="U534" s="1" t="str">
        <f t="shared" si="34"/>
        <v>Underpaid</v>
      </c>
      <c r="V534" s="1" t="str">
        <f>_xlfn.XLOOKUP(C534,Payers!$A$2:$A$9,Payers!$B$2:$B$9)</f>
        <v>Medicare Part B</v>
      </c>
      <c r="W534" s="1" t="str">
        <f t="shared" si="35"/>
        <v>2026-05</v>
      </c>
    </row>
    <row r="535" spans="1:23">
      <c r="A535" s="1" t="s">
        <v>1082</v>
      </c>
      <c r="B535" s="1" t="s">
        <v>1083</v>
      </c>
      <c r="C535" s="1" t="s">
        <v>79</v>
      </c>
      <c r="D535" s="1" t="s">
        <v>30</v>
      </c>
      <c r="E535" s="1" t="s">
        <v>91</v>
      </c>
      <c r="F535">
        <v>2</v>
      </c>
      <c r="G535" s="2">
        <v>45951</v>
      </c>
      <c r="H535" s="2">
        <v>45954</v>
      </c>
      <c r="I535">
        <v>117.62</v>
      </c>
      <c r="J535">
        <v>117.62</v>
      </c>
      <c r="K535">
        <v>117.62</v>
      </c>
      <c r="L535">
        <v>0</v>
      </c>
      <c r="M535" s="1" t="s">
        <v>21</v>
      </c>
      <c r="N535" s="1" t="s">
        <v>22</v>
      </c>
      <c r="O535" s="2">
        <v>46055</v>
      </c>
      <c r="P535" s="2">
        <v>46055</v>
      </c>
      <c r="Q535">
        <f>_xlfn.XLOOKUP(E535,CPT!$A$2:$A$13,CPT!$D$2:$D$13)</f>
        <v>58</v>
      </c>
      <c r="R535" s="1">
        <f>_xlfn.XLOOKUP(C535,Contract!$A$2:$A$9,Contract!$B$2:$B$9)</f>
        <v>1</v>
      </c>
      <c r="S535" s="1">
        <f t="shared" si="32"/>
        <v>116</v>
      </c>
      <c r="T535" s="1">
        <f t="shared" si="33"/>
        <v>-1.6200000000000045</v>
      </c>
      <c r="U535" s="1" t="str">
        <f t="shared" si="34"/>
        <v>OK</v>
      </c>
      <c r="V535" s="1" t="str">
        <f>_xlfn.XLOOKUP(C535,Payers!$A$2:$A$9,Payers!$B$2:$B$9)</f>
        <v>Self-Pay</v>
      </c>
      <c r="W535" s="1" t="str">
        <f t="shared" si="35"/>
        <v>2025-10</v>
      </c>
    </row>
    <row r="536" spans="1:23">
      <c r="A536" s="1" t="s">
        <v>1084</v>
      </c>
      <c r="B536" s="1" t="s">
        <v>1085</v>
      </c>
      <c r="C536" s="1" t="s">
        <v>52</v>
      </c>
      <c r="D536" s="1" t="s">
        <v>30</v>
      </c>
      <c r="E536" s="1" t="s">
        <v>91</v>
      </c>
      <c r="F536">
        <v>3</v>
      </c>
      <c r="G536" s="2">
        <v>45973</v>
      </c>
      <c r="H536" s="2">
        <v>45978</v>
      </c>
      <c r="I536">
        <v>176.64</v>
      </c>
      <c r="J536">
        <v>79.790000000000006</v>
      </c>
      <c r="K536">
        <v>79.790000000000006</v>
      </c>
      <c r="L536">
        <v>0</v>
      </c>
      <c r="M536" s="1" t="s">
        <v>21</v>
      </c>
      <c r="N536" s="1" t="s">
        <v>22</v>
      </c>
      <c r="O536" s="2">
        <v>46026</v>
      </c>
      <c r="P536" s="2">
        <v>46026</v>
      </c>
      <c r="Q536">
        <f>_xlfn.XLOOKUP(E536,CPT!$A$2:$A$13,CPT!$D$2:$D$13)</f>
        <v>58</v>
      </c>
      <c r="R536" s="1">
        <f>_xlfn.XLOOKUP(C536,Contract!$A$2:$A$9,Contract!$B$2:$B$9)</f>
        <v>0.47</v>
      </c>
      <c r="S536" s="1">
        <f t="shared" si="32"/>
        <v>81.78</v>
      </c>
      <c r="T536" s="1">
        <f t="shared" si="33"/>
        <v>1.9899999999999949</v>
      </c>
      <c r="U536" s="1" t="str">
        <f t="shared" si="34"/>
        <v>OK</v>
      </c>
      <c r="V536" s="1" t="str">
        <f>_xlfn.XLOOKUP(C536,Payers!$A$2:$A$9,Payers!$B$2:$B$9)</f>
        <v>Keystone Commercial PPO</v>
      </c>
      <c r="W536" s="1" t="str">
        <f t="shared" si="35"/>
        <v>2025-11</v>
      </c>
    </row>
    <row r="537" spans="1:23">
      <c r="A537" s="1" t="s">
        <v>1086</v>
      </c>
      <c r="B537" s="1" t="s">
        <v>1087</v>
      </c>
      <c r="C537" s="1" t="s">
        <v>18</v>
      </c>
      <c r="D537" s="1" t="s">
        <v>37</v>
      </c>
      <c r="E537" s="1" t="s">
        <v>38</v>
      </c>
      <c r="F537">
        <v>5</v>
      </c>
      <c r="G537" s="2">
        <v>46223</v>
      </c>
      <c r="H537" s="2">
        <v>46226</v>
      </c>
      <c r="I537">
        <v>7457.24</v>
      </c>
      <c r="M537" s="1" t="s">
        <v>69</v>
      </c>
      <c r="N537" s="1" t="s">
        <v>22</v>
      </c>
      <c r="O537" s="2"/>
      <c r="P537" s="2"/>
      <c r="Q537">
        <f>_xlfn.XLOOKUP(E537,CPT!$A$2:$A$13,CPT!$D$2:$D$13)</f>
        <v>1450</v>
      </c>
      <c r="R537" s="1">
        <f>_xlfn.XLOOKUP(C537,Contract!$A$2:$A$9,Contract!$B$2:$B$9)</f>
        <v>0.38</v>
      </c>
      <c r="S537" s="1">
        <f t="shared" si="32"/>
        <v>2755</v>
      </c>
      <c r="T537" s="1" t="str">
        <f t="shared" si="33"/>
        <v/>
      </c>
      <c r="U537" s="1" t="str">
        <f t="shared" si="34"/>
        <v/>
      </c>
      <c r="V537" s="1" t="str">
        <f>_xlfn.XLOOKUP(C537,Payers!$A$2:$A$9,Payers!$B$2:$B$9)</f>
        <v>Sunshine Medicare Advantage</v>
      </c>
      <c r="W537" s="1" t="str">
        <f t="shared" si="35"/>
        <v>2026-07</v>
      </c>
    </row>
    <row r="538" spans="1:23">
      <c r="A538" s="1" t="s">
        <v>1088</v>
      </c>
      <c r="B538" s="1" t="s">
        <v>1089</v>
      </c>
      <c r="C538" s="1" t="s">
        <v>47</v>
      </c>
      <c r="D538" s="1" t="s">
        <v>19</v>
      </c>
      <c r="E538" s="1" t="s">
        <v>20</v>
      </c>
      <c r="F538">
        <v>1</v>
      </c>
      <c r="G538" s="2">
        <v>45967</v>
      </c>
      <c r="H538" s="2">
        <v>45972</v>
      </c>
      <c r="I538">
        <v>144</v>
      </c>
      <c r="J538">
        <v>37.630000000000003</v>
      </c>
      <c r="K538">
        <v>37.630000000000003</v>
      </c>
      <c r="L538">
        <v>0</v>
      </c>
      <c r="M538" s="1" t="s">
        <v>21</v>
      </c>
      <c r="N538" s="1" t="s">
        <v>22</v>
      </c>
      <c r="O538" s="2">
        <v>46033</v>
      </c>
      <c r="P538" s="2">
        <v>46033</v>
      </c>
      <c r="Q538">
        <f>_xlfn.XLOOKUP(E538,CPT!$A$2:$A$13,CPT!$D$2:$D$13)</f>
        <v>145</v>
      </c>
      <c r="R538" s="1">
        <f>_xlfn.XLOOKUP(C538,Contract!$A$2:$A$9,Contract!$B$2:$B$9)</f>
        <v>0.28000000000000003</v>
      </c>
      <c r="S538" s="1">
        <f t="shared" si="32"/>
        <v>40.6</v>
      </c>
      <c r="T538" s="1">
        <f t="shared" si="33"/>
        <v>2.9699999999999989</v>
      </c>
      <c r="U538" s="1" t="str">
        <f t="shared" si="34"/>
        <v>Underpaid</v>
      </c>
      <c r="V538" s="1" t="str">
        <f>_xlfn.XLOOKUP(C538,Payers!$A$2:$A$9,Payers!$B$2:$B$9)</f>
        <v>Coastal Medicaid MCO</v>
      </c>
      <c r="W538" s="1" t="str">
        <f t="shared" si="35"/>
        <v>2025-11</v>
      </c>
    </row>
    <row r="539" spans="1:23">
      <c r="A539" s="1" t="s">
        <v>1090</v>
      </c>
      <c r="B539" s="1" t="s">
        <v>1091</v>
      </c>
      <c r="C539" s="1" t="s">
        <v>47</v>
      </c>
      <c r="D539" s="1" t="s">
        <v>37</v>
      </c>
      <c r="E539" s="1" t="s">
        <v>57</v>
      </c>
      <c r="F539">
        <v>1</v>
      </c>
      <c r="G539" s="2">
        <v>45959</v>
      </c>
      <c r="H539" s="2">
        <v>45969</v>
      </c>
      <c r="I539">
        <v>210.19</v>
      </c>
      <c r="J539">
        <v>50.46</v>
      </c>
      <c r="K539">
        <v>40.369999999999997</v>
      </c>
      <c r="L539">
        <v>10.09</v>
      </c>
      <c r="M539" s="1" t="s">
        <v>21</v>
      </c>
      <c r="N539" s="1" t="s">
        <v>22</v>
      </c>
      <c r="O539" s="2">
        <v>46001</v>
      </c>
      <c r="P539" s="2">
        <v>46001</v>
      </c>
      <c r="Q539">
        <f>_xlfn.XLOOKUP(E539,CPT!$A$2:$A$13,CPT!$D$2:$D$13)</f>
        <v>210</v>
      </c>
      <c r="R539" s="1">
        <f>_xlfn.XLOOKUP(C539,Contract!$A$2:$A$9,Contract!$B$2:$B$9)</f>
        <v>0.28000000000000003</v>
      </c>
      <c r="S539" s="1">
        <f t="shared" si="32"/>
        <v>58.8</v>
      </c>
      <c r="T539" s="1">
        <f t="shared" si="33"/>
        <v>8.3399999999999963</v>
      </c>
      <c r="U539" s="1" t="str">
        <f t="shared" si="34"/>
        <v>Underpaid</v>
      </c>
      <c r="V539" s="1" t="str">
        <f>_xlfn.XLOOKUP(C539,Payers!$A$2:$A$9,Payers!$B$2:$B$9)</f>
        <v>Coastal Medicaid MCO</v>
      </c>
      <c r="W539" s="1" t="str">
        <f t="shared" si="35"/>
        <v>2025-10</v>
      </c>
    </row>
    <row r="540" spans="1:23">
      <c r="A540" s="1" t="s">
        <v>1092</v>
      </c>
      <c r="B540" s="1" t="s">
        <v>1093</v>
      </c>
      <c r="C540" s="1" t="s">
        <v>76</v>
      </c>
      <c r="D540" s="1" t="s">
        <v>19</v>
      </c>
      <c r="E540" s="1" t="s">
        <v>20</v>
      </c>
      <c r="F540">
        <v>1</v>
      </c>
      <c r="G540" s="2">
        <v>46020</v>
      </c>
      <c r="H540" s="2">
        <v>46025</v>
      </c>
      <c r="I540">
        <v>146.29</v>
      </c>
      <c r="J540">
        <v>67.86</v>
      </c>
      <c r="K540">
        <v>67.86</v>
      </c>
      <c r="L540">
        <v>0</v>
      </c>
      <c r="M540" s="1" t="s">
        <v>21</v>
      </c>
      <c r="N540" s="1" t="s">
        <v>22</v>
      </c>
      <c r="O540" s="2">
        <v>46062</v>
      </c>
      <c r="P540" s="2">
        <v>46062</v>
      </c>
      <c r="Q540">
        <f>_xlfn.XLOOKUP(E540,CPT!$A$2:$A$13,CPT!$D$2:$D$13)</f>
        <v>145</v>
      </c>
      <c r="R540" s="1">
        <f>_xlfn.XLOOKUP(C540,Contract!$A$2:$A$9,Contract!$B$2:$B$9)</f>
        <v>0.43</v>
      </c>
      <c r="S540" s="1">
        <f t="shared" si="32"/>
        <v>62.35</v>
      </c>
      <c r="T540" s="1">
        <f t="shared" si="33"/>
        <v>-5.509999999999998</v>
      </c>
      <c r="U540" s="1" t="str">
        <f t="shared" si="34"/>
        <v>OK</v>
      </c>
      <c r="V540" s="1" t="str">
        <f>_xlfn.XLOOKUP(C540,Payers!$A$2:$A$9,Payers!$B$2:$B$9)</f>
        <v>Summit Health Commercial</v>
      </c>
      <c r="W540" s="1" t="str">
        <f t="shared" si="35"/>
        <v>2025-12</v>
      </c>
    </row>
    <row r="541" spans="1:23">
      <c r="A541" s="1" t="s">
        <v>1094</v>
      </c>
      <c r="B541" s="1" t="s">
        <v>1095</v>
      </c>
      <c r="C541" s="1" t="s">
        <v>18</v>
      </c>
      <c r="D541" s="1" t="s">
        <v>19</v>
      </c>
      <c r="E541" s="1" t="s">
        <v>57</v>
      </c>
      <c r="F541">
        <v>1</v>
      </c>
      <c r="G541" s="2">
        <v>46046</v>
      </c>
      <c r="H541" s="2">
        <v>46056</v>
      </c>
      <c r="I541">
        <v>207.74</v>
      </c>
      <c r="J541">
        <v>77.56</v>
      </c>
      <c r="K541">
        <v>77.56</v>
      </c>
      <c r="L541">
        <v>0</v>
      </c>
      <c r="M541" s="1" t="s">
        <v>21</v>
      </c>
      <c r="N541" s="1" t="s">
        <v>22</v>
      </c>
      <c r="O541" s="2">
        <v>46118</v>
      </c>
      <c r="P541" s="2">
        <v>46118</v>
      </c>
      <c r="Q541">
        <f>_xlfn.XLOOKUP(E541,CPT!$A$2:$A$13,CPT!$D$2:$D$13)</f>
        <v>210</v>
      </c>
      <c r="R541" s="1">
        <f>_xlfn.XLOOKUP(C541,Contract!$A$2:$A$9,Contract!$B$2:$B$9)</f>
        <v>0.38</v>
      </c>
      <c r="S541" s="1">
        <f t="shared" si="32"/>
        <v>79.8</v>
      </c>
      <c r="T541" s="1">
        <f t="shared" si="33"/>
        <v>2.2399999999999949</v>
      </c>
      <c r="U541" s="1" t="str">
        <f t="shared" si="34"/>
        <v>OK</v>
      </c>
      <c r="V541" s="1" t="str">
        <f>_xlfn.XLOOKUP(C541,Payers!$A$2:$A$9,Payers!$B$2:$B$9)</f>
        <v>Sunshine Medicare Advantage</v>
      </c>
      <c r="W541" s="1" t="str">
        <f t="shared" si="35"/>
        <v>2026-01</v>
      </c>
    </row>
    <row r="542" spans="1:23">
      <c r="A542" s="1" t="s">
        <v>1096</v>
      </c>
      <c r="B542" s="1" t="s">
        <v>1097</v>
      </c>
      <c r="C542" s="1" t="s">
        <v>52</v>
      </c>
      <c r="D542" s="1" t="s">
        <v>19</v>
      </c>
      <c r="E542" s="1" t="s">
        <v>41</v>
      </c>
      <c r="F542">
        <v>1</v>
      </c>
      <c r="G542" s="2">
        <v>46200</v>
      </c>
      <c r="H542" s="2">
        <v>46203</v>
      </c>
      <c r="I542">
        <v>38.75</v>
      </c>
      <c r="J542">
        <v>20.16</v>
      </c>
      <c r="K542">
        <v>18.14</v>
      </c>
      <c r="L542">
        <v>2.02</v>
      </c>
      <c r="M542" s="1" t="s">
        <v>21</v>
      </c>
      <c r="N542" s="1" t="s">
        <v>22</v>
      </c>
      <c r="O542" s="2">
        <v>46259</v>
      </c>
      <c r="P542" s="2">
        <v>46259</v>
      </c>
      <c r="Q542">
        <f>_xlfn.XLOOKUP(E542,CPT!$A$2:$A$13,CPT!$D$2:$D$13)</f>
        <v>38</v>
      </c>
      <c r="R542" s="1">
        <f>_xlfn.XLOOKUP(C542,Contract!$A$2:$A$9,Contract!$B$2:$B$9)</f>
        <v>0.47</v>
      </c>
      <c r="S542" s="1">
        <f t="shared" si="32"/>
        <v>17.86</v>
      </c>
      <c r="T542" s="1">
        <f t="shared" si="33"/>
        <v>-2.3000000000000007</v>
      </c>
      <c r="U542" s="1" t="str">
        <f t="shared" si="34"/>
        <v>OK</v>
      </c>
      <c r="V542" s="1" t="str">
        <f>_xlfn.XLOOKUP(C542,Payers!$A$2:$A$9,Payers!$B$2:$B$9)</f>
        <v>Keystone Commercial PPO</v>
      </c>
      <c r="W542" s="1" t="str">
        <f t="shared" si="35"/>
        <v>2026-06</v>
      </c>
    </row>
    <row r="543" spans="1:23">
      <c r="A543" s="1" t="s">
        <v>1098</v>
      </c>
      <c r="B543" s="1" t="s">
        <v>453</v>
      </c>
      <c r="C543" s="1" t="s">
        <v>36</v>
      </c>
      <c r="D543" s="1" t="s">
        <v>37</v>
      </c>
      <c r="E543" s="1" t="s">
        <v>57</v>
      </c>
      <c r="F543">
        <v>1</v>
      </c>
      <c r="G543" s="2">
        <v>45964</v>
      </c>
      <c r="H543" s="2">
        <v>45973</v>
      </c>
      <c r="I543">
        <v>206.07</v>
      </c>
      <c r="M543" s="1" t="s">
        <v>32</v>
      </c>
      <c r="N543" s="1" t="s">
        <v>124</v>
      </c>
      <c r="O543" s="2">
        <v>46005</v>
      </c>
      <c r="P543" s="2"/>
      <c r="Q543">
        <f>_xlfn.XLOOKUP(E543,CPT!$A$2:$A$13,CPT!$D$2:$D$13)</f>
        <v>210</v>
      </c>
      <c r="R543" s="1">
        <f>_xlfn.XLOOKUP(C543,Contract!$A$2:$A$9,Contract!$B$2:$B$9)</f>
        <v>0.27</v>
      </c>
      <c r="S543" s="1">
        <f t="shared" si="32"/>
        <v>56.7</v>
      </c>
      <c r="T543" s="1" t="str">
        <f t="shared" si="33"/>
        <v/>
      </c>
      <c r="U543" s="1" t="str">
        <f t="shared" si="34"/>
        <v/>
      </c>
      <c r="V543" s="1" t="str">
        <f>_xlfn.XLOOKUP(C543,Payers!$A$2:$A$9,Payers!$B$2:$B$9)</f>
        <v>Florida Medicaid</v>
      </c>
      <c r="W543" s="1" t="str">
        <f t="shared" si="35"/>
        <v>2025-11</v>
      </c>
    </row>
    <row r="544" spans="1:23">
      <c r="A544" s="1" t="s">
        <v>1099</v>
      </c>
      <c r="B544" s="1" t="s">
        <v>1100</v>
      </c>
      <c r="C544" s="1" t="s">
        <v>52</v>
      </c>
      <c r="D544" s="1" t="s">
        <v>19</v>
      </c>
      <c r="E544" s="1" t="s">
        <v>57</v>
      </c>
      <c r="F544">
        <v>1</v>
      </c>
      <c r="G544" s="2">
        <v>46252</v>
      </c>
      <c r="H544" s="2">
        <v>46255</v>
      </c>
      <c r="I544">
        <v>203.99</v>
      </c>
      <c r="J544">
        <v>109.33</v>
      </c>
      <c r="K544">
        <v>109.33</v>
      </c>
      <c r="L544">
        <v>0</v>
      </c>
      <c r="M544" s="1" t="s">
        <v>21</v>
      </c>
      <c r="N544" s="1" t="s">
        <v>22</v>
      </c>
      <c r="O544" s="2">
        <v>46286</v>
      </c>
      <c r="P544" s="2">
        <v>46286</v>
      </c>
      <c r="Q544">
        <f>_xlfn.XLOOKUP(E544,CPT!$A$2:$A$13,CPT!$D$2:$D$13)</f>
        <v>210</v>
      </c>
      <c r="R544" s="1">
        <f>_xlfn.XLOOKUP(C544,Contract!$A$2:$A$9,Contract!$B$2:$B$9)</f>
        <v>0.47</v>
      </c>
      <c r="S544" s="1">
        <f t="shared" si="32"/>
        <v>98.7</v>
      </c>
      <c r="T544" s="1">
        <f t="shared" si="33"/>
        <v>-10.629999999999995</v>
      </c>
      <c r="U544" s="1" t="str">
        <f t="shared" si="34"/>
        <v>OK</v>
      </c>
      <c r="V544" s="1" t="str">
        <f>_xlfn.XLOOKUP(C544,Payers!$A$2:$A$9,Payers!$B$2:$B$9)</f>
        <v>Keystone Commercial PPO</v>
      </c>
      <c r="W544" s="1" t="str">
        <f t="shared" si="35"/>
        <v>2026-08</v>
      </c>
    </row>
    <row r="545" spans="1:23">
      <c r="A545" s="1" t="s">
        <v>1101</v>
      </c>
      <c r="B545" s="1" t="s">
        <v>1102</v>
      </c>
      <c r="C545" s="1" t="s">
        <v>47</v>
      </c>
      <c r="D545" s="1" t="s">
        <v>26</v>
      </c>
      <c r="E545" s="1" t="s">
        <v>88</v>
      </c>
      <c r="F545">
        <v>1</v>
      </c>
      <c r="G545" s="2">
        <v>46049</v>
      </c>
      <c r="H545" s="2">
        <v>46052</v>
      </c>
      <c r="I545">
        <v>265.23</v>
      </c>
      <c r="M545" s="1" t="s">
        <v>32</v>
      </c>
      <c r="N545" s="1" t="s">
        <v>98</v>
      </c>
      <c r="O545" s="2">
        <v>46116</v>
      </c>
      <c r="P545" s="2"/>
      <c r="Q545">
        <f>_xlfn.XLOOKUP(E545,CPT!$A$2:$A$13,CPT!$D$2:$D$13)</f>
        <v>260</v>
      </c>
      <c r="R545" s="1">
        <f>_xlfn.XLOOKUP(C545,Contract!$A$2:$A$9,Contract!$B$2:$B$9)</f>
        <v>0.28000000000000003</v>
      </c>
      <c r="S545" s="1">
        <f t="shared" si="32"/>
        <v>72.8</v>
      </c>
      <c r="T545" s="1" t="str">
        <f t="shared" si="33"/>
        <v/>
      </c>
      <c r="U545" s="1" t="str">
        <f t="shared" si="34"/>
        <v/>
      </c>
      <c r="V545" s="1" t="str">
        <f>_xlfn.XLOOKUP(C545,Payers!$A$2:$A$9,Payers!$B$2:$B$9)</f>
        <v>Coastal Medicaid MCO</v>
      </c>
      <c r="W545" s="1" t="str">
        <f t="shared" si="35"/>
        <v>2026-01</v>
      </c>
    </row>
    <row r="546" spans="1:23">
      <c r="A546" s="1" t="s">
        <v>1103</v>
      </c>
      <c r="B546" s="1" t="s">
        <v>1104</v>
      </c>
      <c r="C546" s="1" t="s">
        <v>76</v>
      </c>
      <c r="D546" s="1" t="s">
        <v>26</v>
      </c>
      <c r="E546" s="1" t="s">
        <v>44</v>
      </c>
      <c r="F546">
        <v>1</v>
      </c>
      <c r="G546" s="2">
        <v>46064</v>
      </c>
      <c r="H546" s="2">
        <v>46066</v>
      </c>
      <c r="I546">
        <v>4721.3100000000004</v>
      </c>
      <c r="J546">
        <v>2235.3200000000002</v>
      </c>
      <c r="K546">
        <v>2235.3200000000002</v>
      </c>
      <c r="L546">
        <v>0</v>
      </c>
      <c r="M546" s="1" t="s">
        <v>21</v>
      </c>
      <c r="N546" s="1" t="s">
        <v>22</v>
      </c>
      <c r="O546" s="2">
        <v>46102</v>
      </c>
      <c r="P546" s="2">
        <v>46102</v>
      </c>
      <c r="Q546">
        <f>_xlfn.XLOOKUP(E546,CPT!$A$2:$A$13,CPT!$D$2:$D$13)</f>
        <v>4800</v>
      </c>
      <c r="R546" s="1">
        <f>_xlfn.XLOOKUP(C546,Contract!$A$2:$A$9,Contract!$B$2:$B$9)</f>
        <v>0.43</v>
      </c>
      <c r="S546" s="1">
        <f t="shared" si="32"/>
        <v>2064</v>
      </c>
      <c r="T546" s="1">
        <f t="shared" si="33"/>
        <v>-171.32000000000016</v>
      </c>
      <c r="U546" s="1" t="str">
        <f t="shared" si="34"/>
        <v>OK</v>
      </c>
      <c r="V546" s="1" t="str">
        <f>_xlfn.XLOOKUP(C546,Payers!$A$2:$A$9,Payers!$B$2:$B$9)</f>
        <v>Summit Health Commercial</v>
      </c>
      <c r="W546" s="1" t="str">
        <f t="shared" si="35"/>
        <v>2026-02</v>
      </c>
    </row>
    <row r="547" spans="1:23">
      <c r="A547" s="1" t="s">
        <v>1105</v>
      </c>
      <c r="B547" s="1" t="s">
        <v>1106</v>
      </c>
      <c r="C547" s="1" t="s">
        <v>25</v>
      </c>
      <c r="D547" s="1" t="s">
        <v>30</v>
      </c>
      <c r="E547" s="1" t="s">
        <v>20</v>
      </c>
      <c r="F547">
        <v>1</v>
      </c>
      <c r="G547" s="2">
        <v>46024</v>
      </c>
      <c r="H547" s="2">
        <v>46032</v>
      </c>
      <c r="I547">
        <v>149.12</v>
      </c>
      <c r="J547">
        <v>47.9</v>
      </c>
      <c r="K547">
        <v>47.9</v>
      </c>
      <c r="L547">
        <v>0</v>
      </c>
      <c r="M547" s="1" t="s">
        <v>21</v>
      </c>
      <c r="N547" s="1" t="s">
        <v>22</v>
      </c>
      <c r="O547" s="2">
        <v>46053</v>
      </c>
      <c r="P547" s="2">
        <v>46053</v>
      </c>
      <c r="Q547">
        <f>_xlfn.XLOOKUP(E547,CPT!$A$2:$A$13,CPT!$D$2:$D$13)</f>
        <v>145</v>
      </c>
      <c r="R547" s="1">
        <f>_xlfn.XLOOKUP(C547,Contract!$A$2:$A$9,Contract!$B$2:$B$9)</f>
        <v>0.36</v>
      </c>
      <c r="S547" s="1">
        <f t="shared" si="32"/>
        <v>52.2</v>
      </c>
      <c r="T547" s="1">
        <f t="shared" si="33"/>
        <v>4.3000000000000043</v>
      </c>
      <c r="U547" s="1" t="str">
        <f t="shared" si="34"/>
        <v>Underpaid</v>
      </c>
      <c r="V547" s="1" t="str">
        <f>_xlfn.XLOOKUP(C547,Payers!$A$2:$A$9,Payers!$B$2:$B$9)</f>
        <v>Medicare Part B</v>
      </c>
      <c r="W547" s="1" t="str">
        <f t="shared" si="35"/>
        <v>2026-01</v>
      </c>
    </row>
    <row r="548" spans="1:23">
      <c r="A548" s="1" t="s">
        <v>1107</v>
      </c>
      <c r="B548" s="1" t="s">
        <v>1108</v>
      </c>
      <c r="C548" s="1" t="s">
        <v>25</v>
      </c>
      <c r="D548" s="1" t="s">
        <v>26</v>
      </c>
      <c r="E548" s="1" t="s">
        <v>185</v>
      </c>
      <c r="F548">
        <v>1</v>
      </c>
      <c r="G548" s="2">
        <v>46156</v>
      </c>
      <c r="H548" s="2">
        <v>46157</v>
      </c>
      <c r="I548">
        <v>1133.47</v>
      </c>
      <c r="J548">
        <v>348.98</v>
      </c>
      <c r="K548">
        <v>314.08</v>
      </c>
      <c r="L548">
        <v>34.9</v>
      </c>
      <c r="M548" s="1" t="s">
        <v>21</v>
      </c>
      <c r="N548" s="1" t="s">
        <v>22</v>
      </c>
      <c r="O548" s="2">
        <v>46172</v>
      </c>
      <c r="P548" s="2">
        <v>46172</v>
      </c>
      <c r="Q548">
        <f>_xlfn.XLOOKUP(E548,CPT!$A$2:$A$13,CPT!$D$2:$D$13)</f>
        <v>1150</v>
      </c>
      <c r="R548" s="1">
        <f>_xlfn.XLOOKUP(C548,Contract!$A$2:$A$9,Contract!$B$2:$B$9)</f>
        <v>0.36</v>
      </c>
      <c r="S548" s="1">
        <f t="shared" si="32"/>
        <v>414</v>
      </c>
      <c r="T548" s="1">
        <f t="shared" si="33"/>
        <v>65.019999999999982</v>
      </c>
      <c r="U548" s="1" t="str">
        <f t="shared" si="34"/>
        <v>Underpaid</v>
      </c>
      <c r="V548" s="1" t="str">
        <f>_xlfn.XLOOKUP(C548,Payers!$A$2:$A$9,Payers!$B$2:$B$9)</f>
        <v>Medicare Part B</v>
      </c>
      <c r="W548" s="1" t="str">
        <f t="shared" si="35"/>
        <v>2026-05</v>
      </c>
    </row>
    <row r="549" spans="1:23">
      <c r="A549" s="1" t="s">
        <v>1109</v>
      </c>
      <c r="B549" s="1" t="s">
        <v>1110</v>
      </c>
      <c r="C549" s="1" t="s">
        <v>25</v>
      </c>
      <c r="D549" s="1" t="s">
        <v>19</v>
      </c>
      <c r="E549" s="1" t="s">
        <v>57</v>
      </c>
      <c r="F549">
        <v>1</v>
      </c>
      <c r="G549" s="2">
        <v>45993</v>
      </c>
      <c r="H549" s="2">
        <v>45996</v>
      </c>
      <c r="I549">
        <v>215.3</v>
      </c>
      <c r="J549">
        <v>68.959999999999994</v>
      </c>
      <c r="K549">
        <v>55.17</v>
      </c>
      <c r="L549">
        <v>13.79</v>
      </c>
      <c r="M549" s="1" t="s">
        <v>21</v>
      </c>
      <c r="N549" s="1" t="s">
        <v>22</v>
      </c>
      <c r="O549" s="2">
        <v>46018</v>
      </c>
      <c r="P549" s="2">
        <v>46018</v>
      </c>
      <c r="Q549">
        <f>_xlfn.XLOOKUP(E549,CPT!$A$2:$A$13,CPT!$D$2:$D$13)</f>
        <v>210</v>
      </c>
      <c r="R549" s="1">
        <f>_xlfn.XLOOKUP(C549,Contract!$A$2:$A$9,Contract!$B$2:$B$9)</f>
        <v>0.36</v>
      </c>
      <c r="S549" s="1">
        <f t="shared" si="32"/>
        <v>75.599999999999994</v>
      </c>
      <c r="T549" s="1">
        <f t="shared" si="33"/>
        <v>6.6400000000000006</v>
      </c>
      <c r="U549" s="1" t="str">
        <f t="shared" si="34"/>
        <v>Underpaid</v>
      </c>
      <c r="V549" s="1" t="str">
        <f>_xlfn.XLOOKUP(C549,Payers!$A$2:$A$9,Payers!$B$2:$B$9)</f>
        <v>Medicare Part B</v>
      </c>
      <c r="W549" s="1" t="str">
        <f t="shared" si="35"/>
        <v>2025-12</v>
      </c>
    </row>
    <row r="550" spans="1:23">
      <c r="A550" s="1" t="s">
        <v>1111</v>
      </c>
      <c r="B550" s="1" t="s">
        <v>1112</v>
      </c>
      <c r="C550" s="1" t="s">
        <v>25</v>
      </c>
      <c r="D550" s="1" t="s">
        <v>26</v>
      </c>
      <c r="E550" s="1" t="s">
        <v>41</v>
      </c>
      <c r="F550">
        <v>1</v>
      </c>
      <c r="G550" s="2">
        <v>46190</v>
      </c>
      <c r="H550" s="2">
        <v>46195</v>
      </c>
      <c r="I550">
        <v>37.619999999999997</v>
      </c>
      <c r="J550">
        <v>12.66</v>
      </c>
      <c r="K550">
        <v>12.66</v>
      </c>
      <c r="L550">
        <v>0</v>
      </c>
      <c r="M550" s="1" t="s">
        <v>21</v>
      </c>
      <c r="N550" s="1" t="s">
        <v>22</v>
      </c>
      <c r="O550" s="2">
        <v>46227</v>
      </c>
      <c r="P550" s="2">
        <v>46227</v>
      </c>
      <c r="Q550">
        <f>_xlfn.XLOOKUP(E550,CPT!$A$2:$A$13,CPT!$D$2:$D$13)</f>
        <v>38</v>
      </c>
      <c r="R550" s="1">
        <f>_xlfn.XLOOKUP(C550,Contract!$A$2:$A$9,Contract!$B$2:$B$9)</f>
        <v>0.36</v>
      </c>
      <c r="S550" s="1">
        <f t="shared" si="32"/>
        <v>13.68</v>
      </c>
      <c r="T550" s="1">
        <f t="shared" si="33"/>
        <v>1.0199999999999996</v>
      </c>
      <c r="U550" s="1" t="str">
        <f t="shared" si="34"/>
        <v>Underpaid</v>
      </c>
      <c r="V550" s="1" t="str">
        <f>_xlfn.XLOOKUP(C550,Payers!$A$2:$A$9,Payers!$B$2:$B$9)</f>
        <v>Medicare Part B</v>
      </c>
      <c r="W550" s="1" t="str">
        <f t="shared" si="35"/>
        <v>2026-06</v>
      </c>
    </row>
    <row r="551" spans="1:23">
      <c r="A551" s="1" t="s">
        <v>1113</v>
      </c>
      <c r="B551" s="1" t="s">
        <v>1114</v>
      </c>
      <c r="C551" s="1" t="s">
        <v>76</v>
      </c>
      <c r="D551" s="1" t="s">
        <v>19</v>
      </c>
      <c r="E551" s="1" t="s">
        <v>41</v>
      </c>
      <c r="F551">
        <v>1</v>
      </c>
      <c r="G551" s="2">
        <v>45988</v>
      </c>
      <c r="H551" s="2">
        <v>45998</v>
      </c>
      <c r="I551">
        <v>38.53</v>
      </c>
      <c r="M551" s="1" t="s">
        <v>32</v>
      </c>
      <c r="N551" s="1" t="s">
        <v>98</v>
      </c>
      <c r="O551" s="2">
        <v>46020</v>
      </c>
      <c r="P551" s="2"/>
      <c r="Q551">
        <f>_xlfn.XLOOKUP(E551,CPT!$A$2:$A$13,CPT!$D$2:$D$13)</f>
        <v>38</v>
      </c>
      <c r="R551" s="1">
        <f>_xlfn.XLOOKUP(C551,Contract!$A$2:$A$9,Contract!$B$2:$B$9)</f>
        <v>0.43</v>
      </c>
      <c r="S551" s="1">
        <f t="shared" si="32"/>
        <v>16.34</v>
      </c>
      <c r="T551" s="1" t="str">
        <f t="shared" si="33"/>
        <v/>
      </c>
      <c r="U551" s="1" t="str">
        <f t="shared" si="34"/>
        <v/>
      </c>
      <c r="V551" s="1" t="str">
        <f>_xlfn.XLOOKUP(C551,Payers!$A$2:$A$9,Payers!$B$2:$B$9)</f>
        <v>Summit Health Commercial</v>
      </c>
      <c r="W551" s="1" t="str">
        <f t="shared" si="35"/>
        <v>2025-11</v>
      </c>
    </row>
    <row r="552" spans="1:23">
      <c r="A552" s="1" t="s">
        <v>1115</v>
      </c>
      <c r="B552" s="1" t="s">
        <v>1116</v>
      </c>
      <c r="C552" s="1" t="s">
        <v>60</v>
      </c>
      <c r="D552" s="1" t="s">
        <v>26</v>
      </c>
      <c r="E552" s="1" t="s">
        <v>185</v>
      </c>
      <c r="F552">
        <v>1</v>
      </c>
      <c r="G552" s="2">
        <v>45959</v>
      </c>
      <c r="H552" s="2">
        <v>45960</v>
      </c>
      <c r="I552">
        <v>1157.46</v>
      </c>
      <c r="J552">
        <v>566.44000000000005</v>
      </c>
      <c r="K552">
        <v>566.44000000000005</v>
      </c>
      <c r="L552">
        <v>0</v>
      </c>
      <c r="M552" s="1" t="s">
        <v>21</v>
      </c>
      <c r="N552" s="1" t="s">
        <v>22</v>
      </c>
      <c r="O552" s="2">
        <v>45988</v>
      </c>
      <c r="P552" s="2">
        <v>45988</v>
      </c>
      <c r="Q552">
        <f>_xlfn.XLOOKUP(E552,CPT!$A$2:$A$13,CPT!$D$2:$D$13)</f>
        <v>1150</v>
      </c>
      <c r="R552" s="1">
        <f>_xlfn.XLOOKUP(C552,Contract!$A$2:$A$9,Contract!$B$2:$B$9)</f>
        <v>0.45</v>
      </c>
      <c r="S552" s="1">
        <f t="shared" si="32"/>
        <v>517.5</v>
      </c>
      <c r="T552" s="1">
        <f t="shared" si="33"/>
        <v>-48.940000000000055</v>
      </c>
      <c r="U552" s="1" t="str">
        <f t="shared" si="34"/>
        <v>OK</v>
      </c>
      <c r="V552" s="1" t="str">
        <f>_xlfn.XLOOKUP(C552,Payers!$A$2:$A$9,Payers!$B$2:$B$9)</f>
        <v>Blue Horizon Commercial</v>
      </c>
      <c r="W552" s="1" t="str">
        <f t="shared" si="35"/>
        <v>2025-10</v>
      </c>
    </row>
    <row r="553" spans="1:23">
      <c r="A553" s="1" t="s">
        <v>1117</v>
      </c>
      <c r="B553" s="1" t="s">
        <v>1118</v>
      </c>
      <c r="C553" s="1" t="s">
        <v>18</v>
      </c>
      <c r="D553" s="1" t="s">
        <v>30</v>
      </c>
      <c r="E553" s="1" t="s">
        <v>20</v>
      </c>
      <c r="F553">
        <v>1</v>
      </c>
      <c r="G553" s="2">
        <v>45975</v>
      </c>
      <c r="H553" s="2">
        <v>45978</v>
      </c>
      <c r="I553">
        <v>149.13999999999999</v>
      </c>
      <c r="J553">
        <v>57.25</v>
      </c>
      <c r="K553">
        <v>57.25</v>
      </c>
      <c r="L553">
        <v>0</v>
      </c>
      <c r="M553" s="1" t="s">
        <v>21</v>
      </c>
      <c r="N553" s="1" t="s">
        <v>22</v>
      </c>
      <c r="O553" s="2">
        <v>46019</v>
      </c>
      <c r="P553" s="2">
        <v>46019</v>
      </c>
      <c r="Q553">
        <f>_xlfn.XLOOKUP(E553,CPT!$A$2:$A$13,CPT!$D$2:$D$13)</f>
        <v>145</v>
      </c>
      <c r="R553" s="1">
        <f>_xlfn.XLOOKUP(C553,Contract!$A$2:$A$9,Contract!$B$2:$B$9)</f>
        <v>0.38</v>
      </c>
      <c r="S553" s="1">
        <f t="shared" si="32"/>
        <v>55.1</v>
      </c>
      <c r="T553" s="1">
        <f t="shared" si="33"/>
        <v>-2.1499999999999986</v>
      </c>
      <c r="U553" s="1" t="str">
        <f t="shared" si="34"/>
        <v>OK</v>
      </c>
      <c r="V553" s="1" t="str">
        <f>_xlfn.XLOOKUP(C553,Payers!$A$2:$A$9,Payers!$B$2:$B$9)</f>
        <v>Sunshine Medicare Advantage</v>
      </c>
      <c r="W553" s="1" t="str">
        <f t="shared" si="35"/>
        <v>2025-11</v>
      </c>
    </row>
    <row r="554" spans="1:23">
      <c r="A554" s="1" t="s">
        <v>1119</v>
      </c>
      <c r="B554" s="1" t="s">
        <v>536</v>
      </c>
      <c r="C554" s="1" t="s">
        <v>18</v>
      </c>
      <c r="D554" s="1" t="s">
        <v>19</v>
      </c>
      <c r="E554" s="1" t="s">
        <v>57</v>
      </c>
      <c r="F554">
        <v>1</v>
      </c>
      <c r="G554" s="2">
        <v>46149</v>
      </c>
      <c r="H554" s="2">
        <v>46151</v>
      </c>
      <c r="I554">
        <v>208.36</v>
      </c>
      <c r="J554">
        <v>76.010000000000005</v>
      </c>
      <c r="K554">
        <v>76.010000000000005</v>
      </c>
      <c r="L554">
        <v>0</v>
      </c>
      <c r="M554" s="1" t="s">
        <v>21</v>
      </c>
      <c r="N554" s="1" t="s">
        <v>22</v>
      </c>
      <c r="O554" s="2">
        <v>46234</v>
      </c>
      <c r="P554" s="2">
        <v>46234</v>
      </c>
      <c r="Q554">
        <f>_xlfn.XLOOKUP(E554,CPT!$A$2:$A$13,CPT!$D$2:$D$13)</f>
        <v>210</v>
      </c>
      <c r="R554" s="1">
        <f>_xlfn.XLOOKUP(C554,Contract!$A$2:$A$9,Contract!$B$2:$B$9)</f>
        <v>0.38</v>
      </c>
      <c r="S554" s="1">
        <f t="shared" si="32"/>
        <v>79.8</v>
      </c>
      <c r="T554" s="1">
        <f t="shared" si="33"/>
        <v>3.789999999999992</v>
      </c>
      <c r="U554" s="1" t="str">
        <f t="shared" si="34"/>
        <v>OK</v>
      </c>
      <c r="V554" s="1" t="str">
        <f>_xlfn.XLOOKUP(C554,Payers!$A$2:$A$9,Payers!$B$2:$B$9)</f>
        <v>Sunshine Medicare Advantage</v>
      </c>
      <c r="W554" s="1" t="str">
        <f t="shared" si="35"/>
        <v>2026-05</v>
      </c>
    </row>
    <row r="555" spans="1:23">
      <c r="A555" s="1" t="s">
        <v>1120</v>
      </c>
      <c r="B555" s="1" t="s">
        <v>1121</v>
      </c>
      <c r="C555" s="1" t="s">
        <v>18</v>
      </c>
      <c r="D555" s="1" t="s">
        <v>37</v>
      </c>
      <c r="E555" s="1" t="s">
        <v>48</v>
      </c>
      <c r="F555">
        <v>1</v>
      </c>
      <c r="G555" s="2">
        <v>46143</v>
      </c>
      <c r="H555" s="2">
        <v>46145</v>
      </c>
      <c r="I555">
        <v>427.65</v>
      </c>
      <c r="J555">
        <v>187.51</v>
      </c>
      <c r="K555">
        <v>150.01</v>
      </c>
      <c r="L555">
        <v>37.5</v>
      </c>
      <c r="M555" s="1" t="s">
        <v>21</v>
      </c>
      <c r="N555" s="1" t="s">
        <v>22</v>
      </c>
      <c r="O555" s="2">
        <v>46192</v>
      </c>
      <c r="P555" s="2">
        <v>46192</v>
      </c>
      <c r="Q555">
        <f>_xlfn.XLOOKUP(E555,CPT!$A$2:$A$13,CPT!$D$2:$D$13)</f>
        <v>420</v>
      </c>
      <c r="R555" s="1">
        <f>_xlfn.XLOOKUP(C555,Contract!$A$2:$A$9,Contract!$B$2:$B$9)</f>
        <v>0.38</v>
      </c>
      <c r="S555" s="1">
        <f t="shared" si="32"/>
        <v>159.6</v>
      </c>
      <c r="T555" s="1">
        <f t="shared" si="33"/>
        <v>-27.909999999999997</v>
      </c>
      <c r="U555" s="1" t="str">
        <f t="shared" si="34"/>
        <v>OK</v>
      </c>
      <c r="V555" s="1" t="str">
        <f>_xlfn.XLOOKUP(C555,Payers!$A$2:$A$9,Payers!$B$2:$B$9)</f>
        <v>Sunshine Medicare Advantage</v>
      </c>
      <c r="W555" s="1" t="str">
        <f t="shared" si="35"/>
        <v>2026-05</v>
      </c>
    </row>
    <row r="556" spans="1:23">
      <c r="A556" s="1" t="s">
        <v>1122</v>
      </c>
      <c r="B556" s="1" t="s">
        <v>1123</v>
      </c>
      <c r="C556" s="1" t="s">
        <v>36</v>
      </c>
      <c r="D556" s="1" t="s">
        <v>30</v>
      </c>
      <c r="E556" s="1" t="s">
        <v>31</v>
      </c>
      <c r="F556">
        <v>1</v>
      </c>
      <c r="G556" s="2">
        <v>46237</v>
      </c>
      <c r="H556" s="2">
        <v>46239</v>
      </c>
      <c r="I556">
        <v>60.67</v>
      </c>
      <c r="J556">
        <v>15.54</v>
      </c>
      <c r="K556">
        <v>12.43</v>
      </c>
      <c r="L556">
        <v>3.11</v>
      </c>
      <c r="M556" s="1" t="s">
        <v>21</v>
      </c>
      <c r="N556" s="1" t="s">
        <v>22</v>
      </c>
      <c r="O556" s="2">
        <v>46293</v>
      </c>
      <c r="P556" s="2">
        <v>46293</v>
      </c>
      <c r="Q556">
        <f>_xlfn.XLOOKUP(E556,CPT!$A$2:$A$13,CPT!$D$2:$D$13)</f>
        <v>62</v>
      </c>
      <c r="R556" s="1">
        <f>_xlfn.XLOOKUP(C556,Contract!$A$2:$A$9,Contract!$B$2:$B$9)</f>
        <v>0.27</v>
      </c>
      <c r="S556" s="1">
        <f t="shared" si="32"/>
        <v>16.739999999999998</v>
      </c>
      <c r="T556" s="1">
        <f t="shared" si="33"/>
        <v>1.1999999999999993</v>
      </c>
      <c r="U556" s="1" t="str">
        <f t="shared" si="34"/>
        <v>Underpaid</v>
      </c>
      <c r="V556" s="1" t="str">
        <f>_xlfn.XLOOKUP(C556,Payers!$A$2:$A$9,Payers!$B$2:$B$9)</f>
        <v>Florida Medicaid</v>
      </c>
      <c r="W556" s="1" t="str">
        <f t="shared" si="35"/>
        <v>2026-08</v>
      </c>
    </row>
    <row r="557" spans="1:23">
      <c r="A557" s="1" t="s">
        <v>1124</v>
      </c>
      <c r="B557" s="1" t="s">
        <v>1125</v>
      </c>
      <c r="C557" s="1" t="s">
        <v>47</v>
      </c>
      <c r="D557" s="1" t="s">
        <v>26</v>
      </c>
      <c r="E557" s="1" t="s">
        <v>41</v>
      </c>
      <c r="F557">
        <v>1</v>
      </c>
      <c r="G557" s="2">
        <v>46143</v>
      </c>
      <c r="H557" s="2">
        <v>46146</v>
      </c>
      <c r="I557">
        <v>37.26</v>
      </c>
      <c r="J557">
        <v>11.74</v>
      </c>
      <c r="K557">
        <v>11.74</v>
      </c>
      <c r="L557">
        <v>0</v>
      </c>
      <c r="M557" s="1" t="s">
        <v>21</v>
      </c>
      <c r="N557" s="1" t="s">
        <v>22</v>
      </c>
      <c r="O557" s="2">
        <v>46197</v>
      </c>
      <c r="P557" s="2">
        <v>46197</v>
      </c>
      <c r="Q557">
        <f>_xlfn.XLOOKUP(E557,CPT!$A$2:$A$13,CPT!$D$2:$D$13)</f>
        <v>38</v>
      </c>
      <c r="R557" s="1">
        <f>_xlfn.XLOOKUP(C557,Contract!$A$2:$A$9,Contract!$B$2:$B$9)</f>
        <v>0.28000000000000003</v>
      </c>
      <c r="S557" s="1">
        <f t="shared" si="32"/>
        <v>10.64</v>
      </c>
      <c r="T557" s="1">
        <f t="shared" si="33"/>
        <v>-1.0999999999999996</v>
      </c>
      <c r="U557" s="1" t="str">
        <f t="shared" si="34"/>
        <v>OK</v>
      </c>
      <c r="V557" s="1" t="str">
        <f>_xlfn.XLOOKUP(C557,Payers!$A$2:$A$9,Payers!$B$2:$B$9)</f>
        <v>Coastal Medicaid MCO</v>
      </c>
      <c r="W557" s="1" t="str">
        <f t="shared" si="35"/>
        <v>2026-05</v>
      </c>
    </row>
    <row r="558" spans="1:23">
      <c r="A558" s="1" t="s">
        <v>1126</v>
      </c>
      <c r="B558" s="1" t="s">
        <v>1127</v>
      </c>
      <c r="C558" s="1" t="s">
        <v>25</v>
      </c>
      <c r="D558" s="1" t="s">
        <v>30</v>
      </c>
      <c r="E558" s="1" t="s">
        <v>91</v>
      </c>
      <c r="F558">
        <v>1</v>
      </c>
      <c r="G558" s="2">
        <v>45952</v>
      </c>
      <c r="H558" s="2">
        <v>45954</v>
      </c>
      <c r="I558">
        <v>59.16</v>
      </c>
      <c r="J558">
        <v>18.16</v>
      </c>
      <c r="K558">
        <v>14.53</v>
      </c>
      <c r="L558">
        <v>3.63</v>
      </c>
      <c r="M558" s="1" t="s">
        <v>21</v>
      </c>
      <c r="N558" s="1" t="s">
        <v>22</v>
      </c>
      <c r="O558" s="2">
        <v>45976</v>
      </c>
      <c r="P558" s="2">
        <v>45976</v>
      </c>
      <c r="Q558">
        <f>_xlfn.XLOOKUP(E558,CPT!$A$2:$A$13,CPT!$D$2:$D$13)</f>
        <v>58</v>
      </c>
      <c r="R558" s="1">
        <f>_xlfn.XLOOKUP(C558,Contract!$A$2:$A$9,Contract!$B$2:$B$9)</f>
        <v>0.36</v>
      </c>
      <c r="S558" s="1">
        <f t="shared" si="32"/>
        <v>20.88</v>
      </c>
      <c r="T558" s="1">
        <f t="shared" si="33"/>
        <v>2.7199999999999989</v>
      </c>
      <c r="U558" s="1" t="str">
        <f t="shared" si="34"/>
        <v>Underpaid</v>
      </c>
      <c r="V558" s="1" t="str">
        <f>_xlfn.XLOOKUP(C558,Payers!$A$2:$A$9,Payers!$B$2:$B$9)</f>
        <v>Medicare Part B</v>
      </c>
      <c r="W558" s="1" t="str">
        <f t="shared" si="35"/>
        <v>2025-10</v>
      </c>
    </row>
    <row r="559" spans="1:23">
      <c r="A559" s="1" t="s">
        <v>1128</v>
      </c>
      <c r="B559" s="1" t="s">
        <v>1129</v>
      </c>
      <c r="C559" s="1" t="s">
        <v>52</v>
      </c>
      <c r="D559" s="1" t="s">
        <v>37</v>
      </c>
      <c r="E559" s="1" t="s">
        <v>48</v>
      </c>
      <c r="F559">
        <v>1</v>
      </c>
      <c r="G559" s="2">
        <v>46182</v>
      </c>
      <c r="H559" s="2">
        <v>46187</v>
      </c>
      <c r="I559">
        <v>430.25</v>
      </c>
      <c r="M559" s="1" t="s">
        <v>32</v>
      </c>
      <c r="N559" s="1" t="s">
        <v>33</v>
      </c>
      <c r="O559" s="2">
        <v>46232</v>
      </c>
      <c r="P559" s="2"/>
      <c r="Q559">
        <f>_xlfn.XLOOKUP(E559,CPT!$A$2:$A$13,CPT!$D$2:$D$13)</f>
        <v>420</v>
      </c>
      <c r="R559" s="1">
        <f>_xlfn.XLOOKUP(C559,Contract!$A$2:$A$9,Contract!$B$2:$B$9)</f>
        <v>0.47</v>
      </c>
      <c r="S559" s="1">
        <f t="shared" si="32"/>
        <v>197.4</v>
      </c>
      <c r="T559" s="1" t="str">
        <f t="shared" si="33"/>
        <v/>
      </c>
      <c r="U559" s="1" t="str">
        <f t="shared" si="34"/>
        <v/>
      </c>
      <c r="V559" s="1" t="str">
        <f>_xlfn.XLOOKUP(C559,Payers!$A$2:$A$9,Payers!$B$2:$B$9)</f>
        <v>Keystone Commercial PPO</v>
      </c>
      <c r="W559" s="1" t="str">
        <f t="shared" si="35"/>
        <v>2026-06</v>
      </c>
    </row>
    <row r="560" spans="1:23">
      <c r="A560" s="1" t="s">
        <v>1130</v>
      </c>
      <c r="B560" s="1" t="s">
        <v>1131</v>
      </c>
      <c r="C560" s="1" t="s">
        <v>25</v>
      </c>
      <c r="D560" s="1" t="s">
        <v>19</v>
      </c>
      <c r="E560" s="1" t="s">
        <v>41</v>
      </c>
      <c r="F560">
        <v>1</v>
      </c>
      <c r="G560" s="2">
        <v>46063</v>
      </c>
      <c r="H560" s="2">
        <v>46066</v>
      </c>
      <c r="I560">
        <v>38.29</v>
      </c>
      <c r="J560">
        <v>12.15</v>
      </c>
      <c r="K560">
        <v>10.93</v>
      </c>
      <c r="L560">
        <v>1.22</v>
      </c>
      <c r="M560" s="1" t="s">
        <v>21</v>
      </c>
      <c r="N560" s="1" t="s">
        <v>22</v>
      </c>
      <c r="O560" s="2">
        <v>46076</v>
      </c>
      <c r="P560" s="2">
        <v>46076</v>
      </c>
      <c r="Q560">
        <f>_xlfn.XLOOKUP(E560,CPT!$A$2:$A$13,CPT!$D$2:$D$13)</f>
        <v>38</v>
      </c>
      <c r="R560" s="1">
        <f>_xlfn.XLOOKUP(C560,Contract!$A$2:$A$9,Contract!$B$2:$B$9)</f>
        <v>0.36</v>
      </c>
      <c r="S560" s="1">
        <f t="shared" si="32"/>
        <v>13.68</v>
      </c>
      <c r="T560" s="1">
        <f t="shared" si="33"/>
        <v>1.5299999999999994</v>
      </c>
      <c r="U560" s="1" t="str">
        <f t="shared" si="34"/>
        <v>Underpaid</v>
      </c>
      <c r="V560" s="1" t="str">
        <f>_xlfn.XLOOKUP(C560,Payers!$A$2:$A$9,Payers!$B$2:$B$9)</f>
        <v>Medicare Part B</v>
      </c>
      <c r="W560" s="1" t="str">
        <f t="shared" si="35"/>
        <v>2026-02</v>
      </c>
    </row>
    <row r="561" spans="1:23">
      <c r="A561" s="1" t="s">
        <v>1132</v>
      </c>
      <c r="B561" s="1" t="s">
        <v>1133</v>
      </c>
      <c r="C561" s="1" t="s">
        <v>76</v>
      </c>
      <c r="D561" s="1" t="s">
        <v>19</v>
      </c>
      <c r="E561" s="1" t="s">
        <v>57</v>
      </c>
      <c r="F561">
        <v>1</v>
      </c>
      <c r="G561" s="2">
        <v>46285</v>
      </c>
      <c r="H561" s="2">
        <v>46286</v>
      </c>
      <c r="I561">
        <v>205.41</v>
      </c>
      <c r="M561" s="1" t="s">
        <v>69</v>
      </c>
      <c r="N561" s="1" t="s">
        <v>22</v>
      </c>
      <c r="O561" s="2"/>
      <c r="P561" s="2"/>
      <c r="Q561">
        <f>_xlfn.XLOOKUP(E561,CPT!$A$2:$A$13,CPT!$D$2:$D$13)</f>
        <v>210</v>
      </c>
      <c r="R561" s="1">
        <f>_xlfn.XLOOKUP(C561,Contract!$A$2:$A$9,Contract!$B$2:$B$9)</f>
        <v>0.43</v>
      </c>
      <c r="S561" s="1">
        <f t="shared" si="32"/>
        <v>90.3</v>
      </c>
      <c r="T561" s="1" t="str">
        <f t="shared" si="33"/>
        <v/>
      </c>
      <c r="U561" s="1" t="str">
        <f t="shared" si="34"/>
        <v/>
      </c>
      <c r="V561" s="1" t="str">
        <f>_xlfn.XLOOKUP(C561,Payers!$A$2:$A$9,Payers!$B$2:$B$9)</f>
        <v>Summit Health Commercial</v>
      </c>
      <c r="W561" s="1" t="str">
        <f t="shared" si="35"/>
        <v>2026-09</v>
      </c>
    </row>
    <row r="562" spans="1:23">
      <c r="A562" s="1" t="s">
        <v>1134</v>
      </c>
      <c r="B562" s="1" t="s">
        <v>1135</v>
      </c>
      <c r="C562" s="1" t="s">
        <v>25</v>
      </c>
      <c r="D562" s="1" t="s">
        <v>26</v>
      </c>
      <c r="E562" s="1" t="s">
        <v>185</v>
      </c>
      <c r="F562">
        <v>1</v>
      </c>
      <c r="G562" s="2">
        <v>45970</v>
      </c>
      <c r="H562" s="2">
        <v>45976</v>
      </c>
      <c r="I562">
        <v>1150.96</v>
      </c>
      <c r="J562">
        <v>362.07</v>
      </c>
      <c r="K562">
        <v>325.86</v>
      </c>
      <c r="L562">
        <v>36.21</v>
      </c>
      <c r="M562" s="1" t="s">
        <v>21</v>
      </c>
      <c r="N562" s="1" t="s">
        <v>22</v>
      </c>
      <c r="O562" s="2">
        <v>45994</v>
      </c>
      <c r="P562" s="2">
        <v>45994</v>
      </c>
      <c r="Q562">
        <f>_xlfn.XLOOKUP(E562,CPT!$A$2:$A$13,CPT!$D$2:$D$13)</f>
        <v>1150</v>
      </c>
      <c r="R562" s="1">
        <f>_xlfn.XLOOKUP(C562,Contract!$A$2:$A$9,Contract!$B$2:$B$9)</f>
        <v>0.36</v>
      </c>
      <c r="S562" s="1">
        <f t="shared" si="32"/>
        <v>414</v>
      </c>
      <c r="T562" s="1">
        <f t="shared" si="33"/>
        <v>51.930000000000007</v>
      </c>
      <c r="U562" s="1" t="str">
        <f t="shared" si="34"/>
        <v>Underpaid</v>
      </c>
      <c r="V562" s="1" t="str">
        <f>_xlfn.XLOOKUP(C562,Payers!$A$2:$A$9,Payers!$B$2:$B$9)</f>
        <v>Medicare Part B</v>
      </c>
      <c r="W562" s="1" t="str">
        <f t="shared" si="35"/>
        <v>2025-11</v>
      </c>
    </row>
    <row r="563" spans="1:23">
      <c r="A563" s="1" t="s">
        <v>1136</v>
      </c>
      <c r="B563" s="1" t="s">
        <v>1137</v>
      </c>
      <c r="C563" s="1" t="s">
        <v>76</v>
      </c>
      <c r="D563" s="1" t="s">
        <v>30</v>
      </c>
      <c r="E563" s="1" t="s">
        <v>91</v>
      </c>
      <c r="F563">
        <v>4</v>
      </c>
      <c r="G563" s="2">
        <v>46288</v>
      </c>
      <c r="H563" s="2">
        <v>46292</v>
      </c>
      <c r="I563">
        <v>230.09</v>
      </c>
      <c r="M563" s="1" t="s">
        <v>69</v>
      </c>
      <c r="N563" s="1" t="s">
        <v>22</v>
      </c>
      <c r="O563" s="2"/>
      <c r="P563" s="2"/>
      <c r="Q563">
        <f>_xlfn.XLOOKUP(E563,CPT!$A$2:$A$13,CPT!$D$2:$D$13)</f>
        <v>58</v>
      </c>
      <c r="R563" s="1">
        <f>_xlfn.XLOOKUP(C563,Contract!$A$2:$A$9,Contract!$B$2:$B$9)</f>
        <v>0.43</v>
      </c>
      <c r="S563" s="1">
        <f t="shared" si="32"/>
        <v>99.76</v>
      </c>
      <c r="T563" s="1" t="str">
        <f t="shared" si="33"/>
        <v/>
      </c>
      <c r="U563" s="1" t="str">
        <f t="shared" si="34"/>
        <v/>
      </c>
      <c r="V563" s="1" t="str">
        <f>_xlfn.XLOOKUP(C563,Payers!$A$2:$A$9,Payers!$B$2:$B$9)</f>
        <v>Summit Health Commercial</v>
      </c>
      <c r="W563" s="1" t="str">
        <f t="shared" si="35"/>
        <v>2026-09</v>
      </c>
    </row>
    <row r="564" spans="1:23">
      <c r="A564" s="1" t="s">
        <v>1138</v>
      </c>
      <c r="B564" s="1" t="s">
        <v>1139</v>
      </c>
      <c r="C564" s="1" t="s">
        <v>76</v>
      </c>
      <c r="D564" s="1" t="s">
        <v>19</v>
      </c>
      <c r="E564" s="1" t="s">
        <v>41</v>
      </c>
      <c r="F564">
        <v>1</v>
      </c>
      <c r="G564" s="2">
        <v>46014</v>
      </c>
      <c r="H564" s="2">
        <v>46015</v>
      </c>
      <c r="I564">
        <v>37.090000000000003</v>
      </c>
      <c r="J564">
        <v>14.32</v>
      </c>
      <c r="K564">
        <v>14.32</v>
      </c>
      <c r="L564">
        <v>0</v>
      </c>
      <c r="M564" s="1" t="s">
        <v>21</v>
      </c>
      <c r="N564" s="1" t="s">
        <v>22</v>
      </c>
      <c r="O564" s="2">
        <v>46057</v>
      </c>
      <c r="P564" s="2">
        <v>46057</v>
      </c>
      <c r="Q564">
        <f>_xlfn.XLOOKUP(E564,CPT!$A$2:$A$13,CPT!$D$2:$D$13)</f>
        <v>38</v>
      </c>
      <c r="R564" s="1">
        <f>_xlfn.XLOOKUP(C564,Contract!$A$2:$A$9,Contract!$B$2:$B$9)</f>
        <v>0.43</v>
      </c>
      <c r="S564" s="1">
        <f t="shared" si="32"/>
        <v>16.34</v>
      </c>
      <c r="T564" s="1">
        <f t="shared" si="33"/>
        <v>2.0199999999999996</v>
      </c>
      <c r="U564" s="1" t="str">
        <f t="shared" si="34"/>
        <v>Underpaid</v>
      </c>
      <c r="V564" s="1" t="str">
        <f>_xlfn.XLOOKUP(C564,Payers!$A$2:$A$9,Payers!$B$2:$B$9)</f>
        <v>Summit Health Commercial</v>
      </c>
      <c r="W564" s="1" t="str">
        <f t="shared" si="35"/>
        <v>2025-12</v>
      </c>
    </row>
    <row r="565" spans="1:23">
      <c r="A565" s="1" t="s">
        <v>1140</v>
      </c>
      <c r="B565" s="1" t="s">
        <v>1141</v>
      </c>
      <c r="C565" s="1" t="s">
        <v>60</v>
      </c>
      <c r="D565" s="1" t="s">
        <v>19</v>
      </c>
      <c r="E565" s="1" t="s">
        <v>20</v>
      </c>
      <c r="F565">
        <v>1</v>
      </c>
      <c r="G565" s="2">
        <v>45998</v>
      </c>
      <c r="H565" s="2">
        <v>46001</v>
      </c>
      <c r="I565">
        <v>148.68</v>
      </c>
      <c r="J565">
        <v>64.05</v>
      </c>
      <c r="K565">
        <v>51.24</v>
      </c>
      <c r="L565">
        <v>12.81</v>
      </c>
      <c r="M565" s="1" t="s">
        <v>21</v>
      </c>
      <c r="N565" s="1" t="s">
        <v>22</v>
      </c>
      <c r="O565" s="2">
        <v>46022</v>
      </c>
      <c r="P565" s="2">
        <v>46022</v>
      </c>
      <c r="Q565">
        <f>_xlfn.XLOOKUP(E565,CPT!$A$2:$A$13,CPT!$D$2:$D$13)</f>
        <v>145</v>
      </c>
      <c r="R565" s="1">
        <f>_xlfn.XLOOKUP(C565,Contract!$A$2:$A$9,Contract!$B$2:$B$9)</f>
        <v>0.45</v>
      </c>
      <c r="S565" s="1">
        <f t="shared" si="32"/>
        <v>65.25</v>
      </c>
      <c r="T565" s="1">
        <f t="shared" si="33"/>
        <v>1.2000000000000028</v>
      </c>
      <c r="U565" s="1" t="str">
        <f t="shared" si="34"/>
        <v>OK</v>
      </c>
      <c r="V565" s="1" t="str">
        <f>_xlfn.XLOOKUP(C565,Payers!$A$2:$A$9,Payers!$B$2:$B$9)</f>
        <v>Blue Horizon Commercial</v>
      </c>
      <c r="W565" s="1" t="str">
        <f t="shared" si="35"/>
        <v>2025-12</v>
      </c>
    </row>
    <row r="566" spans="1:23">
      <c r="A566" s="1" t="s">
        <v>1142</v>
      </c>
      <c r="B566" s="1" t="s">
        <v>1143</v>
      </c>
      <c r="C566" s="1" t="s">
        <v>60</v>
      </c>
      <c r="D566" s="1" t="s">
        <v>19</v>
      </c>
      <c r="E566" s="1" t="s">
        <v>88</v>
      </c>
      <c r="F566">
        <v>1</v>
      </c>
      <c r="G566" s="2">
        <v>46086</v>
      </c>
      <c r="H566" s="2">
        <v>46093</v>
      </c>
      <c r="I566">
        <v>252.65</v>
      </c>
      <c r="J566">
        <v>126.31</v>
      </c>
      <c r="K566">
        <v>126.31</v>
      </c>
      <c r="L566">
        <v>0</v>
      </c>
      <c r="M566" s="1" t="s">
        <v>21</v>
      </c>
      <c r="N566" s="1" t="s">
        <v>22</v>
      </c>
      <c r="O566" s="2">
        <v>46124</v>
      </c>
      <c r="P566" s="2">
        <v>46124</v>
      </c>
      <c r="Q566">
        <f>_xlfn.XLOOKUP(E566,CPT!$A$2:$A$13,CPT!$D$2:$D$13)</f>
        <v>260</v>
      </c>
      <c r="R566" s="1">
        <f>_xlfn.XLOOKUP(C566,Contract!$A$2:$A$9,Contract!$B$2:$B$9)</f>
        <v>0.45</v>
      </c>
      <c r="S566" s="1">
        <f t="shared" si="32"/>
        <v>117</v>
      </c>
      <c r="T566" s="1">
        <f t="shared" si="33"/>
        <v>-9.3100000000000023</v>
      </c>
      <c r="U566" s="1" t="str">
        <f t="shared" si="34"/>
        <v>OK</v>
      </c>
      <c r="V566" s="1" t="str">
        <f>_xlfn.XLOOKUP(C566,Payers!$A$2:$A$9,Payers!$B$2:$B$9)</f>
        <v>Blue Horizon Commercial</v>
      </c>
      <c r="W566" s="1" t="str">
        <f t="shared" si="35"/>
        <v>2026-03</v>
      </c>
    </row>
    <row r="567" spans="1:23">
      <c r="A567" s="1" t="s">
        <v>1144</v>
      </c>
      <c r="B567" s="1" t="s">
        <v>1145</v>
      </c>
      <c r="C567" s="1" t="s">
        <v>52</v>
      </c>
      <c r="D567" s="1" t="s">
        <v>26</v>
      </c>
      <c r="E567" s="1" t="s">
        <v>88</v>
      </c>
      <c r="F567">
        <v>1</v>
      </c>
      <c r="G567" s="2">
        <v>45988</v>
      </c>
      <c r="H567" s="2">
        <v>45994</v>
      </c>
      <c r="I567">
        <v>253.41</v>
      </c>
      <c r="J567">
        <v>102.69</v>
      </c>
      <c r="K567">
        <v>102.69</v>
      </c>
      <c r="L567">
        <v>0</v>
      </c>
      <c r="M567" s="1" t="s">
        <v>21</v>
      </c>
      <c r="N567" s="1" t="s">
        <v>22</v>
      </c>
      <c r="O567" s="2">
        <v>46046</v>
      </c>
      <c r="P567" s="2">
        <v>46046</v>
      </c>
      <c r="Q567">
        <f>_xlfn.XLOOKUP(E567,CPT!$A$2:$A$13,CPT!$D$2:$D$13)</f>
        <v>260</v>
      </c>
      <c r="R567" s="1">
        <f>_xlfn.XLOOKUP(C567,Contract!$A$2:$A$9,Contract!$B$2:$B$9)</f>
        <v>0.47</v>
      </c>
      <c r="S567" s="1">
        <f t="shared" si="32"/>
        <v>122.2</v>
      </c>
      <c r="T567" s="1">
        <f t="shared" si="33"/>
        <v>19.510000000000005</v>
      </c>
      <c r="U567" s="1" t="str">
        <f t="shared" si="34"/>
        <v>Underpaid</v>
      </c>
      <c r="V567" s="1" t="str">
        <f>_xlfn.XLOOKUP(C567,Payers!$A$2:$A$9,Payers!$B$2:$B$9)</f>
        <v>Keystone Commercial PPO</v>
      </c>
      <c r="W567" s="1" t="str">
        <f t="shared" si="35"/>
        <v>2025-11</v>
      </c>
    </row>
    <row r="568" spans="1:23">
      <c r="A568" s="1" t="s">
        <v>1146</v>
      </c>
      <c r="B568" s="1" t="s">
        <v>1147</v>
      </c>
      <c r="C568" s="1" t="s">
        <v>25</v>
      </c>
      <c r="D568" s="1" t="s">
        <v>37</v>
      </c>
      <c r="E568" s="1" t="s">
        <v>57</v>
      </c>
      <c r="F568">
        <v>1</v>
      </c>
      <c r="G568" s="2">
        <v>46171</v>
      </c>
      <c r="H568" s="2">
        <v>46173</v>
      </c>
      <c r="I568">
        <v>205.2</v>
      </c>
      <c r="M568" s="1" t="s">
        <v>32</v>
      </c>
      <c r="N568" s="1" t="s">
        <v>98</v>
      </c>
      <c r="O568" s="2">
        <v>46193</v>
      </c>
      <c r="P568" s="2"/>
      <c r="Q568">
        <f>_xlfn.XLOOKUP(E568,CPT!$A$2:$A$13,CPT!$D$2:$D$13)</f>
        <v>210</v>
      </c>
      <c r="R568" s="1">
        <f>_xlfn.XLOOKUP(C568,Contract!$A$2:$A$9,Contract!$B$2:$B$9)</f>
        <v>0.36</v>
      </c>
      <c r="S568" s="1">
        <f t="shared" si="32"/>
        <v>75.599999999999994</v>
      </c>
      <c r="T568" s="1" t="str">
        <f t="shared" si="33"/>
        <v/>
      </c>
      <c r="U568" s="1" t="str">
        <f t="shared" si="34"/>
        <v/>
      </c>
      <c r="V568" s="1" t="str">
        <f>_xlfn.XLOOKUP(C568,Payers!$A$2:$A$9,Payers!$B$2:$B$9)</f>
        <v>Medicare Part B</v>
      </c>
      <c r="W568" s="1" t="str">
        <f t="shared" si="35"/>
        <v>2026-05</v>
      </c>
    </row>
    <row r="569" spans="1:23">
      <c r="A569" s="1" t="s">
        <v>1148</v>
      </c>
      <c r="B569" s="1" t="s">
        <v>1149</v>
      </c>
      <c r="C569" s="1" t="s">
        <v>76</v>
      </c>
      <c r="D569" s="1" t="s">
        <v>26</v>
      </c>
      <c r="E569" s="1" t="s">
        <v>41</v>
      </c>
      <c r="F569">
        <v>1</v>
      </c>
      <c r="G569" s="2">
        <v>45977</v>
      </c>
      <c r="H569" s="2">
        <v>45983</v>
      </c>
      <c r="I569">
        <v>37.19</v>
      </c>
      <c r="J569">
        <v>16.29</v>
      </c>
      <c r="K569">
        <v>14.66</v>
      </c>
      <c r="L569">
        <v>1.63</v>
      </c>
      <c r="M569" s="1" t="s">
        <v>21</v>
      </c>
      <c r="N569" s="1" t="s">
        <v>22</v>
      </c>
      <c r="O569" s="2">
        <v>45993</v>
      </c>
      <c r="P569" s="2">
        <v>45993</v>
      </c>
      <c r="Q569">
        <f>_xlfn.XLOOKUP(E569,CPT!$A$2:$A$13,CPT!$D$2:$D$13)</f>
        <v>38</v>
      </c>
      <c r="R569" s="1">
        <f>_xlfn.XLOOKUP(C569,Contract!$A$2:$A$9,Contract!$B$2:$B$9)</f>
        <v>0.43</v>
      </c>
      <c r="S569" s="1">
        <f t="shared" si="32"/>
        <v>16.34</v>
      </c>
      <c r="T569" s="1">
        <f t="shared" si="33"/>
        <v>5.0000000000000711E-2</v>
      </c>
      <c r="U569" s="1" t="str">
        <f t="shared" si="34"/>
        <v>OK</v>
      </c>
      <c r="V569" s="1" t="str">
        <f>_xlfn.XLOOKUP(C569,Payers!$A$2:$A$9,Payers!$B$2:$B$9)</f>
        <v>Summit Health Commercial</v>
      </c>
      <c r="W569" s="1" t="str">
        <f t="shared" si="35"/>
        <v>2025-11</v>
      </c>
    </row>
    <row r="570" spans="1:23">
      <c r="A570" s="1" t="s">
        <v>1150</v>
      </c>
      <c r="B570" s="1" t="s">
        <v>1151</v>
      </c>
      <c r="C570" s="1" t="s">
        <v>25</v>
      </c>
      <c r="D570" s="1" t="s">
        <v>30</v>
      </c>
      <c r="E570" s="1" t="s">
        <v>20</v>
      </c>
      <c r="F570">
        <v>1</v>
      </c>
      <c r="G570" s="2">
        <v>46189</v>
      </c>
      <c r="H570" s="2">
        <v>46190</v>
      </c>
      <c r="I570">
        <v>145.61000000000001</v>
      </c>
      <c r="M570" s="1" t="s">
        <v>32</v>
      </c>
      <c r="N570" s="1" t="s">
        <v>33</v>
      </c>
      <c r="O570" s="2">
        <v>46205</v>
      </c>
      <c r="P570" s="2"/>
      <c r="Q570">
        <f>_xlfn.XLOOKUP(E570,CPT!$A$2:$A$13,CPT!$D$2:$D$13)</f>
        <v>145</v>
      </c>
      <c r="R570" s="1">
        <f>_xlfn.XLOOKUP(C570,Contract!$A$2:$A$9,Contract!$B$2:$B$9)</f>
        <v>0.36</v>
      </c>
      <c r="S570" s="1">
        <f t="shared" si="32"/>
        <v>52.2</v>
      </c>
      <c r="T570" s="1" t="str">
        <f t="shared" si="33"/>
        <v/>
      </c>
      <c r="U570" s="1" t="str">
        <f t="shared" si="34"/>
        <v/>
      </c>
      <c r="V570" s="1" t="str">
        <f>_xlfn.XLOOKUP(C570,Payers!$A$2:$A$9,Payers!$B$2:$B$9)</f>
        <v>Medicare Part B</v>
      </c>
      <c r="W570" s="1" t="str">
        <f t="shared" si="35"/>
        <v>2026-06</v>
      </c>
    </row>
    <row r="571" spans="1:23">
      <c r="A571" s="1" t="s">
        <v>1152</v>
      </c>
      <c r="B571" s="1" t="s">
        <v>66</v>
      </c>
      <c r="C571" s="1" t="s">
        <v>76</v>
      </c>
      <c r="D571" s="1" t="s">
        <v>30</v>
      </c>
      <c r="E571" s="1" t="s">
        <v>91</v>
      </c>
      <c r="F571">
        <v>1</v>
      </c>
      <c r="G571" s="2">
        <v>46232</v>
      </c>
      <c r="H571" s="2">
        <v>46245</v>
      </c>
      <c r="I571">
        <v>57.79</v>
      </c>
      <c r="M571" s="1" t="s">
        <v>69</v>
      </c>
      <c r="N571" s="1" t="s">
        <v>22</v>
      </c>
      <c r="O571" s="2"/>
      <c r="P571" s="2"/>
      <c r="Q571">
        <f>_xlfn.XLOOKUP(E571,CPT!$A$2:$A$13,CPT!$D$2:$D$13)</f>
        <v>58</v>
      </c>
      <c r="R571" s="1">
        <f>_xlfn.XLOOKUP(C571,Contract!$A$2:$A$9,Contract!$B$2:$B$9)</f>
        <v>0.43</v>
      </c>
      <c r="S571" s="1">
        <f t="shared" si="32"/>
        <v>24.94</v>
      </c>
      <c r="T571" s="1" t="str">
        <f t="shared" si="33"/>
        <v/>
      </c>
      <c r="U571" s="1" t="str">
        <f t="shared" si="34"/>
        <v/>
      </c>
      <c r="V571" s="1" t="str">
        <f>_xlfn.XLOOKUP(C571,Payers!$A$2:$A$9,Payers!$B$2:$B$9)</f>
        <v>Summit Health Commercial</v>
      </c>
      <c r="W571" s="1" t="str">
        <f t="shared" si="35"/>
        <v>2026-07</v>
      </c>
    </row>
    <row r="572" spans="1:23">
      <c r="A572" s="1" t="s">
        <v>1153</v>
      </c>
      <c r="B572" s="1" t="s">
        <v>1154</v>
      </c>
      <c r="C572" s="1" t="s">
        <v>60</v>
      </c>
      <c r="D572" s="1" t="s">
        <v>19</v>
      </c>
      <c r="E572" s="1" t="s">
        <v>41</v>
      </c>
      <c r="F572">
        <v>1</v>
      </c>
      <c r="G572" s="2">
        <v>46091</v>
      </c>
      <c r="H572" s="2">
        <v>46092</v>
      </c>
      <c r="I572">
        <v>37.14</v>
      </c>
      <c r="J572">
        <v>18.079999999999998</v>
      </c>
      <c r="K572">
        <v>18.079999999999998</v>
      </c>
      <c r="L572">
        <v>0</v>
      </c>
      <c r="M572" s="1" t="s">
        <v>21</v>
      </c>
      <c r="N572" s="1" t="s">
        <v>22</v>
      </c>
      <c r="O572" s="2">
        <v>46116</v>
      </c>
      <c r="P572" s="2">
        <v>46116</v>
      </c>
      <c r="Q572">
        <f>_xlfn.XLOOKUP(E572,CPT!$A$2:$A$13,CPT!$D$2:$D$13)</f>
        <v>38</v>
      </c>
      <c r="R572" s="1">
        <f>_xlfn.XLOOKUP(C572,Contract!$A$2:$A$9,Contract!$B$2:$B$9)</f>
        <v>0.45</v>
      </c>
      <c r="S572" s="1">
        <f t="shared" si="32"/>
        <v>17.100000000000001</v>
      </c>
      <c r="T572" s="1">
        <f t="shared" si="33"/>
        <v>-0.97999999999999687</v>
      </c>
      <c r="U572" s="1" t="str">
        <f t="shared" si="34"/>
        <v>OK</v>
      </c>
      <c r="V572" s="1" t="str">
        <f>_xlfn.XLOOKUP(C572,Payers!$A$2:$A$9,Payers!$B$2:$B$9)</f>
        <v>Blue Horizon Commercial</v>
      </c>
      <c r="W572" s="1" t="str">
        <f t="shared" si="35"/>
        <v>2026-03</v>
      </c>
    </row>
    <row r="573" spans="1:23">
      <c r="A573" s="1" t="s">
        <v>1155</v>
      </c>
      <c r="B573" s="1" t="s">
        <v>1156</v>
      </c>
      <c r="C573" s="1" t="s">
        <v>76</v>
      </c>
      <c r="D573" s="1" t="s">
        <v>26</v>
      </c>
      <c r="E573" s="1" t="s">
        <v>88</v>
      </c>
      <c r="F573">
        <v>1</v>
      </c>
      <c r="G573" s="2">
        <v>46164</v>
      </c>
      <c r="H573" s="2">
        <v>46166</v>
      </c>
      <c r="I573">
        <v>261.57</v>
      </c>
      <c r="J573">
        <v>109.87</v>
      </c>
      <c r="K573">
        <v>87.9</v>
      </c>
      <c r="L573">
        <v>21.97</v>
      </c>
      <c r="M573" s="1" t="s">
        <v>21</v>
      </c>
      <c r="N573" s="1" t="s">
        <v>22</v>
      </c>
      <c r="O573" s="2">
        <v>46186</v>
      </c>
      <c r="P573" s="2">
        <v>46186</v>
      </c>
      <c r="Q573">
        <f>_xlfn.XLOOKUP(E573,CPT!$A$2:$A$13,CPT!$D$2:$D$13)</f>
        <v>260</v>
      </c>
      <c r="R573" s="1">
        <f>_xlfn.XLOOKUP(C573,Contract!$A$2:$A$9,Contract!$B$2:$B$9)</f>
        <v>0.43</v>
      </c>
      <c r="S573" s="1">
        <f t="shared" si="32"/>
        <v>111.8</v>
      </c>
      <c r="T573" s="1">
        <f t="shared" si="33"/>
        <v>1.9299999999999926</v>
      </c>
      <c r="U573" s="1" t="str">
        <f t="shared" si="34"/>
        <v>OK</v>
      </c>
      <c r="V573" s="1" t="str">
        <f>_xlfn.XLOOKUP(C573,Payers!$A$2:$A$9,Payers!$B$2:$B$9)</f>
        <v>Summit Health Commercial</v>
      </c>
      <c r="W573" s="1" t="str">
        <f t="shared" si="35"/>
        <v>2026-05</v>
      </c>
    </row>
    <row r="574" spans="1:23">
      <c r="A574" s="1" t="s">
        <v>1157</v>
      </c>
      <c r="B574" s="1" t="s">
        <v>478</v>
      </c>
      <c r="C574" s="1" t="s">
        <v>60</v>
      </c>
      <c r="D574" s="1" t="s">
        <v>30</v>
      </c>
      <c r="E574" s="1" t="s">
        <v>91</v>
      </c>
      <c r="F574">
        <v>2</v>
      </c>
      <c r="G574" s="2">
        <v>45966</v>
      </c>
      <c r="H574" s="2">
        <v>46104</v>
      </c>
      <c r="I574">
        <v>119.06</v>
      </c>
      <c r="M574" s="1" t="s">
        <v>32</v>
      </c>
      <c r="N574" s="1" t="s">
        <v>137</v>
      </c>
      <c r="O574" s="2">
        <v>46120</v>
      </c>
      <c r="P574" s="2"/>
      <c r="Q574">
        <f>_xlfn.XLOOKUP(E574,CPT!$A$2:$A$13,CPT!$D$2:$D$13)</f>
        <v>58</v>
      </c>
      <c r="R574" s="1">
        <f>_xlfn.XLOOKUP(C574,Contract!$A$2:$A$9,Contract!$B$2:$B$9)</f>
        <v>0.45</v>
      </c>
      <c r="S574" s="1">
        <f t="shared" si="32"/>
        <v>52.2</v>
      </c>
      <c r="T574" s="1" t="str">
        <f t="shared" si="33"/>
        <v/>
      </c>
      <c r="U574" s="1" t="str">
        <f t="shared" si="34"/>
        <v/>
      </c>
      <c r="V574" s="1" t="str">
        <f>_xlfn.XLOOKUP(C574,Payers!$A$2:$A$9,Payers!$B$2:$B$9)</f>
        <v>Blue Horizon Commercial</v>
      </c>
      <c r="W574" s="1" t="str">
        <f t="shared" si="35"/>
        <v>2025-11</v>
      </c>
    </row>
    <row r="575" spans="1:23">
      <c r="A575" s="1" t="s">
        <v>1158</v>
      </c>
      <c r="B575" s="1" t="s">
        <v>1159</v>
      </c>
      <c r="C575" s="1" t="s">
        <v>76</v>
      </c>
      <c r="D575" s="1" t="s">
        <v>26</v>
      </c>
      <c r="E575" s="1" t="s">
        <v>113</v>
      </c>
      <c r="F575">
        <v>1</v>
      </c>
      <c r="G575" s="2">
        <v>46233</v>
      </c>
      <c r="H575" s="2">
        <v>46239</v>
      </c>
      <c r="I575">
        <v>1080.0899999999999</v>
      </c>
      <c r="J575">
        <v>414.15</v>
      </c>
      <c r="K575">
        <v>372.74</v>
      </c>
      <c r="L575">
        <v>41.41</v>
      </c>
      <c r="M575" s="1" t="s">
        <v>21</v>
      </c>
      <c r="N575" s="1" t="s">
        <v>22</v>
      </c>
      <c r="O575" s="2">
        <v>46276</v>
      </c>
      <c r="P575" s="2">
        <v>46276</v>
      </c>
      <c r="Q575">
        <f>_xlfn.XLOOKUP(E575,CPT!$A$2:$A$13,CPT!$D$2:$D$13)</f>
        <v>1050</v>
      </c>
      <c r="R575" s="1">
        <f>_xlfn.XLOOKUP(C575,Contract!$A$2:$A$9,Contract!$B$2:$B$9)</f>
        <v>0.43</v>
      </c>
      <c r="S575" s="1">
        <f t="shared" si="32"/>
        <v>451.5</v>
      </c>
      <c r="T575" s="1">
        <f t="shared" si="33"/>
        <v>37.350000000000023</v>
      </c>
      <c r="U575" s="1" t="str">
        <f t="shared" si="34"/>
        <v>Underpaid</v>
      </c>
      <c r="V575" s="1" t="str">
        <f>_xlfn.XLOOKUP(C575,Payers!$A$2:$A$9,Payers!$B$2:$B$9)</f>
        <v>Summit Health Commercial</v>
      </c>
      <c r="W575" s="1" t="str">
        <f t="shared" si="35"/>
        <v>2026-07</v>
      </c>
    </row>
    <row r="576" spans="1:23">
      <c r="A576" s="1" t="s">
        <v>1160</v>
      </c>
      <c r="B576" s="1" t="s">
        <v>1161</v>
      </c>
      <c r="C576" s="1" t="s">
        <v>36</v>
      </c>
      <c r="D576" s="1" t="s">
        <v>26</v>
      </c>
      <c r="E576" s="1" t="s">
        <v>27</v>
      </c>
      <c r="F576">
        <v>1</v>
      </c>
      <c r="G576" s="2">
        <v>46137</v>
      </c>
      <c r="H576" s="2">
        <v>46145</v>
      </c>
      <c r="I576">
        <v>234.57</v>
      </c>
      <c r="J576">
        <v>58.97</v>
      </c>
      <c r="K576">
        <v>53.07</v>
      </c>
      <c r="L576">
        <v>5.9</v>
      </c>
      <c r="M576" s="1" t="s">
        <v>21</v>
      </c>
      <c r="N576" s="1" t="s">
        <v>22</v>
      </c>
      <c r="O576" s="2">
        <v>46181</v>
      </c>
      <c r="P576" s="2">
        <v>46181</v>
      </c>
      <c r="Q576">
        <f>_xlfn.XLOOKUP(E576,CPT!$A$2:$A$13,CPT!$D$2:$D$13)</f>
        <v>240</v>
      </c>
      <c r="R576" s="1">
        <f>_xlfn.XLOOKUP(C576,Contract!$A$2:$A$9,Contract!$B$2:$B$9)</f>
        <v>0.27</v>
      </c>
      <c r="S576" s="1">
        <f t="shared" si="32"/>
        <v>64.8</v>
      </c>
      <c r="T576" s="1">
        <f t="shared" si="33"/>
        <v>5.8299999999999983</v>
      </c>
      <c r="U576" s="1" t="str">
        <f t="shared" si="34"/>
        <v>Underpaid</v>
      </c>
      <c r="V576" s="1" t="str">
        <f>_xlfn.XLOOKUP(C576,Payers!$A$2:$A$9,Payers!$B$2:$B$9)</f>
        <v>Florida Medicaid</v>
      </c>
      <c r="W576" s="1" t="str">
        <f t="shared" si="35"/>
        <v>2026-04</v>
      </c>
    </row>
    <row r="577" spans="1:23">
      <c r="A577" s="1" t="s">
        <v>1162</v>
      </c>
      <c r="B577" s="1" t="s">
        <v>1163</v>
      </c>
      <c r="C577" s="1" t="s">
        <v>47</v>
      </c>
      <c r="D577" s="1" t="s">
        <v>37</v>
      </c>
      <c r="E577" s="1" t="s">
        <v>57</v>
      </c>
      <c r="F577">
        <v>1</v>
      </c>
      <c r="G577" s="2">
        <v>46113</v>
      </c>
      <c r="H577" s="2">
        <v>46117</v>
      </c>
      <c r="I577">
        <v>209.7</v>
      </c>
      <c r="J577">
        <v>58.22</v>
      </c>
      <c r="K577">
        <v>52.4</v>
      </c>
      <c r="L577">
        <v>5.82</v>
      </c>
      <c r="M577" s="1" t="s">
        <v>21</v>
      </c>
      <c r="N577" s="1" t="s">
        <v>22</v>
      </c>
      <c r="O577" s="2">
        <v>46154</v>
      </c>
      <c r="P577" s="2">
        <v>46154</v>
      </c>
      <c r="Q577">
        <f>_xlfn.XLOOKUP(E577,CPT!$A$2:$A$13,CPT!$D$2:$D$13)</f>
        <v>210</v>
      </c>
      <c r="R577" s="1">
        <f>_xlfn.XLOOKUP(C577,Contract!$A$2:$A$9,Contract!$B$2:$B$9)</f>
        <v>0.28000000000000003</v>
      </c>
      <c r="S577" s="1">
        <f t="shared" si="32"/>
        <v>58.8</v>
      </c>
      <c r="T577" s="1">
        <f t="shared" si="33"/>
        <v>0.57999999999999829</v>
      </c>
      <c r="U577" s="1" t="str">
        <f t="shared" si="34"/>
        <v>OK</v>
      </c>
      <c r="V577" s="1" t="str">
        <f>_xlfn.XLOOKUP(C577,Payers!$A$2:$A$9,Payers!$B$2:$B$9)</f>
        <v>Coastal Medicaid MCO</v>
      </c>
      <c r="W577" s="1" t="str">
        <f t="shared" si="35"/>
        <v>2026-04</v>
      </c>
    </row>
    <row r="578" spans="1:23">
      <c r="A578" s="1" t="s">
        <v>1164</v>
      </c>
      <c r="B578" s="1" t="s">
        <v>1165</v>
      </c>
      <c r="C578" s="1" t="s">
        <v>60</v>
      </c>
      <c r="D578" s="1" t="s">
        <v>37</v>
      </c>
      <c r="E578" s="1" t="s">
        <v>38</v>
      </c>
      <c r="F578">
        <v>30</v>
      </c>
      <c r="G578" s="2">
        <v>46181</v>
      </c>
      <c r="H578" s="2">
        <v>46193</v>
      </c>
      <c r="I578">
        <v>42797.440000000002</v>
      </c>
      <c r="M578" s="1" t="s">
        <v>32</v>
      </c>
      <c r="N578" s="1" t="s">
        <v>33</v>
      </c>
      <c r="O578" s="2">
        <v>46219</v>
      </c>
      <c r="P578" s="2"/>
      <c r="Q578">
        <f>_xlfn.XLOOKUP(E578,CPT!$A$2:$A$13,CPT!$D$2:$D$13)</f>
        <v>1450</v>
      </c>
      <c r="R578" s="1">
        <f>_xlfn.XLOOKUP(C578,Contract!$A$2:$A$9,Contract!$B$2:$B$9)</f>
        <v>0.45</v>
      </c>
      <c r="S578" s="1">
        <f t="shared" ref="S578:S641" si="36">ROUND(Q578*F578*R578,2)</f>
        <v>19575</v>
      </c>
      <c r="T578" s="1" t="str">
        <f t="shared" ref="T578:T641" si="37">IF(M578="Paid",S578-J578,"")</f>
        <v/>
      </c>
      <c r="U578" s="1" t="str">
        <f t="shared" ref="U578:U641" si="38">IF(M578&lt;&gt;"Paid","",IF(T578&gt;S578*0.05,"Underpaid","OK"))</f>
        <v/>
      </c>
      <c r="V578" s="1" t="str">
        <f>_xlfn.XLOOKUP(C578,Payers!$A$2:$A$9,Payers!$B$2:$B$9)</f>
        <v>Blue Horizon Commercial</v>
      </c>
      <c r="W578" s="1" t="str">
        <f t="shared" ref="W578:W641" si="39">TEXT(G578,"yyyy-mm")</f>
        <v>2026-06</v>
      </c>
    </row>
    <row r="579" spans="1:23">
      <c r="A579" s="1" t="s">
        <v>1166</v>
      </c>
      <c r="B579" s="1" t="s">
        <v>1167</v>
      </c>
      <c r="C579" s="1" t="s">
        <v>18</v>
      </c>
      <c r="D579" s="1" t="s">
        <v>37</v>
      </c>
      <c r="E579" s="1" t="s">
        <v>57</v>
      </c>
      <c r="F579">
        <v>1</v>
      </c>
      <c r="G579" s="2">
        <v>46183</v>
      </c>
      <c r="H579" s="2">
        <v>46184</v>
      </c>
      <c r="I579">
        <v>213.69</v>
      </c>
      <c r="J579">
        <v>81.489999999999995</v>
      </c>
      <c r="K579">
        <v>73.34</v>
      </c>
      <c r="L579">
        <v>8.15</v>
      </c>
      <c r="M579" s="1" t="s">
        <v>21</v>
      </c>
      <c r="N579" s="1" t="s">
        <v>22</v>
      </c>
      <c r="O579" s="2">
        <v>46236</v>
      </c>
      <c r="P579" s="2">
        <v>46236</v>
      </c>
      <c r="Q579">
        <f>_xlfn.XLOOKUP(E579,CPT!$A$2:$A$13,CPT!$D$2:$D$13)</f>
        <v>210</v>
      </c>
      <c r="R579" s="1">
        <f>_xlfn.XLOOKUP(C579,Contract!$A$2:$A$9,Contract!$B$2:$B$9)</f>
        <v>0.38</v>
      </c>
      <c r="S579" s="1">
        <f t="shared" si="36"/>
        <v>79.8</v>
      </c>
      <c r="T579" s="1">
        <f t="shared" si="37"/>
        <v>-1.6899999999999977</v>
      </c>
      <c r="U579" s="1" t="str">
        <f t="shared" si="38"/>
        <v>OK</v>
      </c>
      <c r="V579" s="1" t="str">
        <f>_xlfn.XLOOKUP(C579,Payers!$A$2:$A$9,Payers!$B$2:$B$9)</f>
        <v>Sunshine Medicare Advantage</v>
      </c>
      <c r="W579" s="1" t="str">
        <f t="shared" si="39"/>
        <v>2026-06</v>
      </c>
    </row>
    <row r="580" spans="1:23">
      <c r="A580" s="1" t="s">
        <v>1168</v>
      </c>
      <c r="B580" s="1" t="s">
        <v>1169</v>
      </c>
      <c r="C580" s="1" t="s">
        <v>79</v>
      </c>
      <c r="D580" s="1" t="s">
        <v>19</v>
      </c>
      <c r="E580" s="1" t="s">
        <v>20</v>
      </c>
      <c r="F580">
        <v>1</v>
      </c>
      <c r="G580" s="2">
        <v>45947</v>
      </c>
      <c r="H580" s="2">
        <v>45956</v>
      </c>
      <c r="I580">
        <v>149.27000000000001</v>
      </c>
      <c r="M580" s="1" t="s">
        <v>69</v>
      </c>
      <c r="N580" s="1" t="s">
        <v>22</v>
      </c>
      <c r="O580" s="2"/>
      <c r="P580" s="2"/>
      <c r="Q580">
        <f>_xlfn.XLOOKUP(E580,CPT!$A$2:$A$13,CPT!$D$2:$D$13)</f>
        <v>145</v>
      </c>
      <c r="R580" s="1">
        <f>_xlfn.XLOOKUP(C580,Contract!$A$2:$A$9,Contract!$B$2:$B$9)</f>
        <v>1</v>
      </c>
      <c r="S580" s="1">
        <f t="shared" si="36"/>
        <v>145</v>
      </c>
      <c r="T580" s="1" t="str">
        <f t="shared" si="37"/>
        <v/>
      </c>
      <c r="U580" s="1" t="str">
        <f t="shared" si="38"/>
        <v/>
      </c>
      <c r="V580" s="1" t="str">
        <f>_xlfn.XLOOKUP(C580,Payers!$A$2:$A$9,Payers!$B$2:$B$9)</f>
        <v>Self-Pay</v>
      </c>
      <c r="W580" s="1" t="str">
        <f t="shared" si="39"/>
        <v>2025-10</v>
      </c>
    </row>
    <row r="581" spans="1:23">
      <c r="A581" s="1" t="s">
        <v>1170</v>
      </c>
      <c r="B581" s="1" t="s">
        <v>1171</v>
      </c>
      <c r="C581" s="1" t="s">
        <v>25</v>
      </c>
      <c r="D581" s="1" t="s">
        <v>26</v>
      </c>
      <c r="E581" s="1" t="s">
        <v>27</v>
      </c>
      <c r="F581">
        <v>1</v>
      </c>
      <c r="G581" s="2">
        <v>46086</v>
      </c>
      <c r="H581" s="2">
        <v>46087</v>
      </c>
      <c r="I581">
        <v>245.54</v>
      </c>
      <c r="J581">
        <v>83.24</v>
      </c>
      <c r="K581">
        <v>66.59</v>
      </c>
      <c r="L581">
        <v>16.649999999999999</v>
      </c>
      <c r="M581" s="1" t="s">
        <v>21</v>
      </c>
      <c r="N581" s="1" t="s">
        <v>22</v>
      </c>
      <c r="O581" s="2">
        <v>46108</v>
      </c>
      <c r="P581" s="2">
        <v>46108</v>
      </c>
      <c r="Q581">
        <f>_xlfn.XLOOKUP(E581,CPT!$A$2:$A$13,CPT!$D$2:$D$13)</f>
        <v>240</v>
      </c>
      <c r="R581" s="1">
        <f>_xlfn.XLOOKUP(C581,Contract!$A$2:$A$9,Contract!$B$2:$B$9)</f>
        <v>0.36</v>
      </c>
      <c r="S581" s="1">
        <f t="shared" si="36"/>
        <v>86.4</v>
      </c>
      <c r="T581" s="1">
        <f t="shared" si="37"/>
        <v>3.1600000000000108</v>
      </c>
      <c r="U581" s="1" t="str">
        <f t="shared" si="38"/>
        <v>OK</v>
      </c>
      <c r="V581" s="1" t="str">
        <f>_xlfn.XLOOKUP(C581,Payers!$A$2:$A$9,Payers!$B$2:$B$9)</f>
        <v>Medicare Part B</v>
      </c>
      <c r="W581" s="1" t="str">
        <f t="shared" si="39"/>
        <v>2026-03</v>
      </c>
    </row>
    <row r="582" spans="1:23">
      <c r="A582" s="1" t="s">
        <v>1172</v>
      </c>
      <c r="B582" s="1" t="s">
        <v>1173</v>
      </c>
      <c r="C582" s="1" t="s">
        <v>18</v>
      </c>
      <c r="D582" s="1" t="s">
        <v>37</v>
      </c>
      <c r="E582" s="1" t="s">
        <v>57</v>
      </c>
      <c r="F582">
        <v>1</v>
      </c>
      <c r="G582" s="2">
        <v>46268</v>
      </c>
      <c r="H582" s="2">
        <v>46272</v>
      </c>
      <c r="I582">
        <v>210.68</v>
      </c>
      <c r="M582" s="1" t="s">
        <v>69</v>
      </c>
      <c r="N582" s="1" t="s">
        <v>22</v>
      </c>
      <c r="O582" s="2"/>
      <c r="P582" s="2"/>
      <c r="Q582">
        <f>_xlfn.XLOOKUP(E582,CPT!$A$2:$A$13,CPT!$D$2:$D$13)</f>
        <v>210</v>
      </c>
      <c r="R582" s="1">
        <f>_xlfn.XLOOKUP(C582,Contract!$A$2:$A$9,Contract!$B$2:$B$9)</f>
        <v>0.38</v>
      </c>
      <c r="S582" s="1">
        <f t="shared" si="36"/>
        <v>79.8</v>
      </c>
      <c r="T582" s="1" t="str">
        <f t="shared" si="37"/>
        <v/>
      </c>
      <c r="U582" s="1" t="str">
        <f t="shared" si="38"/>
        <v/>
      </c>
      <c r="V582" s="1" t="str">
        <f>_xlfn.XLOOKUP(C582,Payers!$A$2:$A$9,Payers!$B$2:$B$9)</f>
        <v>Sunshine Medicare Advantage</v>
      </c>
      <c r="W582" s="1" t="str">
        <f t="shared" si="39"/>
        <v>2026-09</v>
      </c>
    </row>
    <row r="583" spans="1:23">
      <c r="A583" s="1" t="s">
        <v>1174</v>
      </c>
      <c r="B583" s="1" t="s">
        <v>1175</v>
      </c>
      <c r="C583" s="1" t="s">
        <v>25</v>
      </c>
      <c r="D583" s="1" t="s">
        <v>19</v>
      </c>
      <c r="E583" s="1" t="s">
        <v>41</v>
      </c>
      <c r="F583">
        <v>1</v>
      </c>
      <c r="G583" s="2">
        <v>46111</v>
      </c>
      <c r="H583" s="2">
        <v>46113</v>
      </c>
      <c r="I583">
        <v>38.61</v>
      </c>
      <c r="M583" s="1" t="s">
        <v>32</v>
      </c>
      <c r="N583" s="1" t="s">
        <v>98</v>
      </c>
      <c r="O583" s="2">
        <v>46132</v>
      </c>
      <c r="P583" s="2"/>
      <c r="Q583">
        <f>_xlfn.XLOOKUP(E583,CPT!$A$2:$A$13,CPT!$D$2:$D$13)</f>
        <v>38</v>
      </c>
      <c r="R583" s="1">
        <f>_xlfn.XLOOKUP(C583,Contract!$A$2:$A$9,Contract!$B$2:$B$9)</f>
        <v>0.36</v>
      </c>
      <c r="S583" s="1">
        <f t="shared" si="36"/>
        <v>13.68</v>
      </c>
      <c r="T583" s="1" t="str">
        <f t="shared" si="37"/>
        <v/>
      </c>
      <c r="U583" s="1" t="str">
        <f t="shared" si="38"/>
        <v/>
      </c>
      <c r="V583" s="1" t="str">
        <f>_xlfn.XLOOKUP(C583,Payers!$A$2:$A$9,Payers!$B$2:$B$9)</f>
        <v>Medicare Part B</v>
      </c>
      <c r="W583" s="1" t="str">
        <f t="shared" si="39"/>
        <v>2026-03</v>
      </c>
    </row>
    <row r="584" spans="1:23">
      <c r="A584" s="1" t="s">
        <v>1176</v>
      </c>
      <c r="B584" s="1" t="s">
        <v>1177</v>
      </c>
      <c r="C584" s="1" t="s">
        <v>76</v>
      </c>
      <c r="D584" s="1" t="s">
        <v>19</v>
      </c>
      <c r="E584" s="1" t="s">
        <v>88</v>
      </c>
      <c r="F584">
        <v>1</v>
      </c>
      <c r="G584" s="2">
        <v>45959</v>
      </c>
      <c r="H584" s="2">
        <v>45961</v>
      </c>
      <c r="I584">
        <v>262.52</v>
      </c>
      <c r="J584">
        <v>115.46</v>
      </c>
      <c r="K584">
        <v>103.91</v>
      </c>
      <c r="L584">
        <v>11.55</v>
      </c>
      <c r="M584" s="1" t="s">
        <v>21</v>
      </c>
      <c r="N584" s="1" t="s">
        <v>22</v>
      </c>
      <c r="O584" s="2">
        <v>45995</v>
      </c>
      <c r="P584" s="2">
        <v>45995</v>
      </c>
      <c r="Q584">
        <f>_xlfn.XLOOKUP(E584,CPT!$A$2:$A$13,CPT!$D$2:$D$13)</f>
        <v>260</v>
      </c>
      <c r="R584" s="1">
        <f>_xlfn.XLOOKUP(C584,Contract!$A$2:$A$9,Contract!$B$2:$B$9)</f>
        <v>0.43</v>
      </c>
      <c r="S584" s="1">
        <f t="shared" si="36"/>
        <v>111.8</v>
      </c>
      <c r="T584" s="1">
        <f t="shared" si="37"/>
        <v>-3.6599999999999966</v>
      </c>
      <c r="U584" s="1" t="str">
        <f t="shared" si="38"/>
        <v>OK</v>
      </c>
      <c r="V584" s="1" t="str">
        <f>_xlfn.XLOOKUP(C584,Payers!$A$2:$A$9,Payers!$B$2:$B$9)</f>
        <v>Summit Health Commercial</v>
      </c>
      <c r="W584" s="1" t="str">
        <f t="shared" si="39"/>
        <v>2025-10</v>
      </c>
    </row>
    <row r="585" spans="1:23">
      <c r="A585" s="1" t="s">
        <v>1178</v>
      </c>
      <c r="B585" s="1" t="s">
        <v>1179</v>
      </c>
      <c r="C585" s="1" t="s">
        <v>25</v>
      </c>
      <c r="D585" s="1" t="s">
        <v>26</v>
      </c>
      <c r="E585" s="1" t="s">
        <v>88</v>
      </c>
      <c r="F585">
        <v>1</v>
      </c>
      <c r="G585" s="2">
        <v>45950</v>
      </c>
      <c r="H585" s="2">
        <v>45958</v>
      </c>
      <c r="I585">
        <v>259.39</v>
      </c>
      <c r="J585">
        <v>105.04</v>
      </c>
      <c r="K585">
        <v>94.54</v>
      </c>
      <c r="L585">
        <v>10.5</v>
      </c>
      <c r="M585" s="1" t="s">
        <v>21</v>
      </c>
      <c r="N585" s="1" t="s">
        <v>22</v>
      </c>
      <c r="O585" s="2">
        <v>45974</v>
      </c>
      <c r="P585" s="2">
        <v>45974</v>
      </c>
      <c r="Q585">
        <f>_xlfn.XLOOKUP(E585,CPT!$A$2:$A$13,CPT!$D$2:$D$13)</f>
        <v>260</v>
      </c>
      <c r="R585" s="1">
        <f>_xlfn.XLOOKUP(C585,Contract!$A$2:$A$9,Contract!$B$2:$B$9)</f>
        <v>0.36</v>
      </c>
      <c r="S585" s="1">
        <f t="shared" si="36"/>
        <v>93.6</v>
      </c>
      <c r="T585" s="1">
        <f t="shared" si="37"/>
        <v>-11.440000000000012</v>
      </c>
      <c r="U585" s="1" t="str">
        <f t="shared" si="38"/>
        <v>OK</v>
      </c>
      <c r="V585" s="1" t="str">
        <f>_xlfn.XLOOKUP(C585,Payers!$A$2:$A$9,Payers!$B$2:$B$9)</f>
        <v>Medicare Part B</v>
      </c>
      <c r="W585" s="1" t="str">
        <f t="shared" si="39"/>
        <v>2025-10</v>
      </c>
    </row>
    <row r="586" spans="1:23">
      <c r="A586" s="1" t="s">
        <v>1180</v>
      </c>
      <c r="B586" s="1" t="s">
        <v>1181</v>
      </c>
      <c r="C586" s="1" t="s">
        <v>60</v>
      </c>
      <c r="D586" s="1" t="s">
        <v>37</v>
      </c>
      <c r="E586" s="1" t="s">
        <v>57</v>
      </c>
      <c r="F586">
        <v>1</v>
      </c>
      <c r="G586" s="2">
        <v>46093</v>
      </c>
      <c r="H586" s="2">
        <v>46095</v>
      </c>
      <c r="I586">
        <v>208.46</v>
      </c>
      <c r="J586">
        <v>102.81</v>
      </c>
      <c r="K586">
        <v>92.53</v>
      </c>
      <c r="L586">
        <v>10.28</v>
      </c>
      <c r="M586" s="1" t="s">
        <v>21</v>
      </c>
      <c r="N586" s="1" t="s">
        <v>22</v>
      </c>
      <c r="O586" s="2">
        <v>46133</v>
      </c>
      <c r="P586" s="2">
        <v>46133</v>
      </c>
      <c r="Q586">
        <f>_xlfn.XLOOKUP(E586,CPT!$A$2:$A$13,CPT!$D$2:$D$13)</f>
        <v>210</v>
      </c>
      <c r="R586" s="1">
        <f>_xlfn.XLOOKUP(C586,Contract!$A$2:$A$9,Contract!$B$2:$B$9)</f>
        <v>0.45</v>
      </c>
      <c r="S586" s="1">
        <f t="shared" si="36"/>
        <v>94.5</v>
      </c>
      <c r="T586" s="1">
        <f t="shared" si="37"/>
        <v>-8.3100000000000023</v>
      </c>
      <c r="U586" s="1" t="str">
        <f t="shared" si="38"/>
        <v>OK</v>
      </c>
      <c r="V586" s="1" t="str">
        <f>_xlfn.XLOOKUP(C586,Payers!$A$2:$A$9,Payers!$B$2:$B$9)</f>
        <v>Blue Horizon Commercial</v>
      </c>
      <c r="W586" s="1" t="str">
        <f t="shared" si="39"/>
        <v>2026-03</v>
      </c>
    </row>
    <row r="587" spans="1:23">
      <c r="A587" s="1" t="s">
        <v>1182</v>
      </c>
      <c r="B587" s="1" t="s">
        <v>1183</v>
      </c>
      <c r="C587" s="1" t="s">
        <v>60</v>
      </c>
      <c r="D587" s="1" t="s">
        <v>19</v>
      </c>
      <c r="E587" s="1" t="s">
        <v>88</v>
      </c>
      <c r="F587">
        <v>1</v>
      </c>
      <c r="G587" s="2">
        <v>46084</v>
      </c>
      <c r="H587" s="2">
        <v>46087</v>
      </c>
      <c r="I587">
        <v>257.87</v>
      </c>
      <c r="J587">
        <v>128.58000000000001</v>
      </c>
      <c r="K587">
        <v>128.58000000000001</v>
      </c>
      <c r="L587">
        <v>0</v>
      </c>
      <c r="M587" s="1" t="s">
        <v>21</v>
      </c>
      <c r="N587" s="1" t="s">
        <v>22</v>
      </c>
      <c r="O587" s="2">
        <v>46122</v>
      </c>
      <c r="P587" s="2">
        <v>46122</v>
      </c>
      <c r="Q587">
        <f>_xlfn.XLOOKUP(E587,CPT!$A$2:$A$13,CPT!$D$2:$D$13)</f>
        <v>260</v>
      </c>
      <c r="R587" s="1">
        <f>_xlfn.XLOOKUP(C587,Contract!$A$2:$A$9,Contract!$B$2:$B$9)</f>
        <v>0.45</v>
      </c>
      <c r="S587" s="1">
        <f t="shared" si="36"/>
        <v>117</v>
      </c>
      <c r="T587" s="1">
        <f t="shared" si="37"/>
        <v>-11.580000000000013</v>
      </c>
      <c r="U587" s="1" t="str">
        <f t="shared" si="38"/>
        <v>OK</v>
      </c>
      <c r="V587" s="1" t="str">
        <f>_xlfn.XLOOKUP(C587,Payers!$A$2:$A$9,Payers!$B$2:$B$9)</f>
        <v>Blue Horizon Commercial</v>
      </c>
      <c r="W587" s="1" t="str">
        <f t="shared" si="39"/>
        <v>2026-03</v>
      </c>
    </row>
    <row r="588" spans="1:23">
      <c r="A588" s="1" t="s">
        <v>1184</v>
      </c>
      <c r="B588" s="1" t="s">
        <v>1185</v>
      </c>
      <c r="C588" s="1" t="s">
        <v>76</v>
      </c>
      <c r="D588" s="1" t="s">
        <v>30</v>
      </c>
      <c r="E588" s="1" t="s">
        <v>31</v>
      </c>
      <c r="F588">
        <v>1</v>
      </c>
      <c r="G588" s="2">
        <v>45955</v>
      </c>
      <c r="H588" s="2">
        <v>45958</v>
      </c>
      <c r="I588">
        <v>63.85</v>
      </c>
      <c r="J588">
        <v>23.83</v>
      </c>
      <c r="K588">
        <v>21.45</v>
      </c>
      <c r="L588">
        <v>2.38</v>
      </c>
      <c r="M588" s="1" t="s">
        <v>21</v>
      </c>
      <c r="N588" s="1" t="s">
        <v>22</v>
      </c>
      <c r="O588" s="2">
        <v>45992</v>
      </c>
      <c r="P588" s="2">
        <v>45992</v>
      </c>
      <c r="Q588">
        <f>_xlfn.XLOOKUP(E588,CPT!$A$2:$A$13,CPT!$D$2:$D$13)</f>
        <v>62</v>
      </c>
      <c r="R588" s="1">
        <f>_xlfn.XLOOKUP(C588,Contract!$A$2:$A$9,Contract!$B$2:$B$9)</f>
        <v>0.43</v>
      </c>
      <c r="S588" s="1">
        <f t="shared" si="36"/>
        <v>26.66</v>
      </c>
      <c r="T588" s="1">
        <f t="shared" si="37"/>
        <v>2.8300000000000018</v>
      </c>
      <c r="U588" s="1" t="str">
        <f t="shared" si="38"/>
        <v>Underpaid</v>
      </c>
      <c r="V588" s="1" t="str">
        <f>_xlfn.XLOOKUP(C588,Payers!$A$2:$A$9,Payers!$B$2:$B$9)</f>
        <v>Summit Health Commercial</v>
      </c>
      <c r="W588" s="1" t="str">
        <f t="shared" si="39"/>
        <v>2025-10</v>
      </c>
    </row>
    <row r="589" spans="1:23">
      <c r="A589" s="1" t="s">
        <v>1186</v>
      </c>
      <c r="B589" s="1" t="s">
        <v>1187</v>
      </c>
      <c r="C589" s="1" t="s">
        <v>25</v>
      </c>
      <c r="D589" s="1" t="s">
        <v>26</v>
      </c>
      <c r="E589" s="1" t="s">
        <v>44</v>
      </c>
      <c r="F589">
        <v>1</v>
      </c>
      <c r="G589" s="2">
        <v>46149</v>
      </c>
      <c r="H589" s="2">
        <v>46156</v>
      </c>
      <c r="I589">
        <v>4716.3999999999996</v>
      </c>
      <c r="J589">
        <v>1593.23</v>
      </c>
      <c r="K589">
        <v>1433.91</v>
      </c>
      <c r="L589">
        <v>159.32</v>
      </c>
      <c r="M589" s="1" t="s">
        <v>21</v>
      </c>
      <c r="N589" s="1" t="s">
        <v>22</v>
      </c>
      <c r="O589" s="2">
        <v>46172</v>
      </c>
      <c r="P589" s="2">
        <v>46172</v>
      </c>
      <c r="Q589">
        <f>_xlfn.XLOOKUP(E589,CPT!$A$2:$A$13,CPT!$D$2:$D$13)</f>
        <v>4800</v>
      </c>
      <c r="R589" s="1">
        <f>_xlfn.XLOOKUP(C589,Contract!$A$2:$A$9,Contract!$B$2:$B$9)</f>
        <v>0.36</v>
      </c>
      <c r="S589" s="1">
        <f t="shared" si="36"/>
        <v>1728</v>
      </c>
      <c r="T589" s="1">
        <f t="shared" si="37"/>
        <v>134.76999999999998</v>
      </c>
      <c r="U589" s="1" t="str">
        <f t="shared" si="38"/>
        <v>Underpaid</v>
      </c>
      <c r="V589" s="1" t="str">
        <f>_xlfn.XLOOKUP(C589,Payers!$A$2:$A$9,Payers!$B$2:$B$9)</f>
        <v>Medicare Part B</v>
      </c>
      <c r="W589" s="1" t="str">
        <f t="shared" si="39"/>
        <v>2026-05</v>
      </c>
    </row>
    <row r="590" spans="1:23">
      <c r="A590" s="1" t="s">
        <v>1188</v>
      </c>
      <c r="B590" s="1" t="s">
        <v>829</v>
      </c>
      <c r="C590" s="1" t="s">
        <v>60</v>
      </c>
      <c r="D590" s="1" t="s">
        <v>37</v>
      </c>
      <c r="E590" s="1" t="s">
        <v>48</v>
      </c>
      <c r="F590">
        <v>1</v>
      </c>
      <c r="G590" s="2">
        <v>46136</v>
      </c>
      <c r="H590" s="2">
        <v>46139</v>
      </c>
      <c r="I590">
        <v>413.73</v>
      </c>
      <c r="J590">
        <v>188.93</v>
      </c>
      <c r="K590">
        <v>188.93</v>
      </c>
      <c r="L590">
        <v>0</v>
      </c>
      <c r="M590" s="1" t="s">
        <v>21</v>
      </c>
      <c r="N590" s="1" t="s">
        <v>22</v>
      </c>
      <c r="O590" s="2">
        <v>46175</v>
      </c>
      <c r="P590" s="2">
        <v>46175</v>
      </c>
      <c r="Q590">
        <f>_xlfn.XLOOKUP(E590,CPT!$A$2:$A$13,CPT!$D$2:$D$13)</f>
        <v>420</v>
      </c>
      <c r="R590" s="1">
        <f>_xlfn.XLOOKUP(C590,Contract!$A$2:$A$9,Contract!$B$2:$B$9)</f>
        <v>0.45</v>
      </c>
      <c r="S590" s="1">
        <f t="shared" si="36"/>
        <v>189</v>
      </c>
      <c r="T590" s="1">
        <f t="shared" si="37"/>
        <v>6.9999999999993179E-2</v>
      </c>
      <c r="U590" s="1" t="str">
        <f t="shared" si="38"/>
        <v>OK</v>
      </c>
      <c r="V590" s="1" t="str">
        <f>_xlfn.XLOOKUP(C590,Payers!$A$2:$A$9,Payers!$B$2:$B$9)</f>
        <v>Blue Horizon Commercial</v>
      </c>
      <c r="W590" s="1" t="str">
        <f t="shared" si="39"/>
        <v>2026-04</v>
      </c>
    </row>
    <row r="591" spans="1:23">
      <c r="A591" s="1" t="s">
        <v>1189</v>
      </c>
      <c r="B591" s="1" t="s">
        <v>1190</v>
      </c>
      <c r="C591" s="1" t="s">
        <v>76</v>
      </c>
      <c r="D591" s="1" t="s">
        <v>19</v>
      </c>
      <c r="E591" s="1" t="s">
        <v>41</v>
      </c>
      <c r="F591">
        <v>1</v>
      </c>
      <c r="G591" s="2">
        <v>46257</v>
      </c>
      <c r="H591" s="2">
        <v>46261</v>
      </c>
      <c r="I591">
        <v>38.07</v>
      </c>
      <c r="J591">
        <v>15.94</v>
      </c>
      <c r="K591">
        <v>15.94</v>
      </c>
      <c r="L591">
        <v>0</v>
      </c>
      <c r="M591" s="1" t="s">
        <v>21</v>
      </c>
      <c r="N591" s="1" t="s">
        <v>22</v>
      </c>
      <c r="O591" s="2">
        <v>46283</v>
      </c>
      <c r="P591" s="2">
        <v>46283</v>
      </c>
      <c r="Q591">
        <f>_xlfn.XLOOKUP(E591,CPT!$A$2:$A$13,CPT!$D$2:$D$13)</f>
        <v>38</v>
      </c>
      <c r="R591" s="1">
        <f>_xlfn.XLOOKUP(C591,Contract!$A$2:$A$9,Contract!$B$2:$B$9)</f>
        <v>0.43</v>
      </c>
      <c r="S591" s="1">
        <f t="shared" si="36"/>
        <v>16.34</v>
      </c>
      <c r="T591" s="1">
        <f t="shared" si="37"/>
        <v>0.40000000000000036</v>
      </c>
      <c r="U591" s="1" t="str">
        <f t="shared" si="38"/>
        <v>OK</v>
      </c>
      <c r="V591" s="1" t="str">
        <f>_xlfn.XLOOKUP(C591,Payers!$A$2:$A$9,Payers!$B$2:$B$9)</f>
        <v>Summit Health Commercial</v>
      </c>
      <c r="W591" s="1" t="str">
        <f t="shared" si="39"/>
        <v>2026-08</v>
      </c>
    </row>
    <row r="592" spans="1:23">
      <c r="A592" s="1" t="s">
        <v>1191</v>
      </c>
      <c r="B592" s="1" t="s">
        <v>1192</v>
      </c>
      <c r="C592" s="1" t="s">
        <v>60</v>
      </c>
      <c r="D592" s="1" t="s">
        <v>26</v>
      </c>
      <c r="E592" s="1" t="s">
        <v>113</v>
      </c>
      <c r="F592">
        <v>1</v>
      </c>
      <c r="G592" s="2">
        <v>46008</v>
      </c>
      <c r="H592" s="2">
        <v>46014</v>
      </c>
      <c r="I592">
        <v>1065.53</v>
      </c>
      <c r="J592">
        <v>466.1</v>
      </c>
      <c r="K592">
        <v>466.1</v>
      </c>
      <c r="L592">
        <v>0</v>
      </c>
      <c r="M592" s="1" t="s">
        <v>21</v>
      </c>
      <c r="N592" s="1" t="s">
        <v>22</v>
      </c>
      <c r="O592" s="2">
        <v>46053</v>
      </c>
      <c r="P592" s="2">
        <v>46053</v>
      </c>
      <c r="Q592">
        <f>_xlfn.XLOOKUP(E592,CPT!$A$2:$A$13,CPT!$D$2:$D$13)</f>
        <v>1050</v>
      </c>
      <c r="R592" s="1">
        <f>_xlfn.XLOOKUP(C592,Contract!$A$2:$A$9,Contract!$B$2:$B$9)</f>
        <v>0.45</v>
      </c>
      <c r="S592" s="1">
        <f t="shared" si="36"/>
        <v>472.5</v>
      </c>
      <c r="T592" s="1">
        <f t="shared" si="37"/>
        <v>6.3999999999999773</v>
      </c>
      <c r="U592" s="1" t="str">
        <f t="shared" si="38"/>
        <v>OK</v>
      </c>
      <c r="V592" s="1" t="str">
        <f>_xlfn.XLOOKUP(C592,Payers!$A$2:$A$9,Payers!$B$2:$B$9)</f>
        <v>Blue Horizon Commercial</v>
      </c>
      <c r="W592" s="1" t="str">
        <f t="shared" si="39"/>
        <v>2025-12</v>
      </c>
    </row>
    <row r="593" spans="1:23">
      <c r="A593" s="1" t="s">
        <v>1193</v>
      </c>
      <c r="B593" s="1" t="s">
        <v>1194</v>
      </c>
      <c r="C593" s="1" t="s">
        <v>25</v>
      </c>
      <c r="D593" s="1" t="s">
        <v>19</v>
      </c>
      <c r="E593" s="1" t="s">
        <v>88</v>
      </c>
      <c r="F593">
        <v>1</v>
      </c>
      <c r="G593" s="2">
        <v>46062</v>
      </c>
      <c r="H593" s="2">
        <v>46064</v>
      </c>
      <c r="I593">
        <v>262.91000000000003</v>
      </c>
      <c r="J593">
        <v>84.34</v>
      </c>
      <c r="K593">
        <v>84.34</v>
      </c>
      <c r="L593">
        <v>0</v>
      </c>
      <c r="M593" s="1" t="s">
        <v>21</v>
      </c>
      <c r="N593" s="1" t="s">
        <v>22</v>
      </c>
      <c r="O593" s="2">
        <v>46072</v>
      </c>
      <c r="P593" s="2">
        <v>46072</v>
      </c>
      <c r="Q593">
        <f>_xlfn.XLOOKUP(E593,CPT!$A$2:$A$13,CPT!$D$2:$D$13)</f>
        <v>260</v>
      </c>
      <c r="R593" s="1">
        <f>_xlfn.XLOOKUP(C593,Contract!$A$2:$A$9,Contract!$B$2:$B$9)</f>
        <v>0.36</v>
      </c>
      <c r="S593" s="1">
        <f t="shared" si="36"/>
        <v>93.6</v>
      </c>
      <c r="T593" s="1">
        <f t="shared" si="37"/>
        <v>9.2599999999999909</v>
      </c>
      <c r="U593" s="1" t="str">
        <f t="shared" si="38"/>
        <v>Underpaid</v>
      </c>
      <c r="V593" s="1" t="str">
        <f>_xlfn.XLOOKUP(C593,Payers!$A$2:$A$9,Payers!$B$2:$B$9)</f>
        <v>Medicare Part B</v>
      </c>
      <c r="W593" s="1" t="str">
        <f t="shared" si="39"/>
        <v>2026-02</v>
      </c>
    </row>
    <row r="594" spans="1:23">
      <c r="A594" s="1" t="s">
        <v>1195</v>
      </c>
      <c r="B594" s="1" t="s">
        <v>1196</v>
      </c>
      <c r="C594" s="1" t="s">
        <v>52</v>
      </c>
      <c r="D594" s="1" t="s">
        <v>37</v>
      </c>
      <c r="E594" s="1" t="s">
        <v>48</v>
      </c>
      <c r="F594">
        <v>1</v>
      </c>
      <c r="G594" s="2">
        <v>46217</v>
      </c>
      <c r="H594" s="2">
        <v>46220</v>
      </c>
      <c r="I594">
        <v>432.38</v>
      </c>
      <c r="J594">
        <v>185.36</v>
      </c>
      <c r="K594">
        <v>166.82</v>
      </c>
      <c r="L594">
        <v>18.54</v>
      </c>
      <c r="M594" s="1" t="s">
        <v>21</v>
      </c>
      <c r="N594" s="1" t="s">
        <v>22</v>
      </c>
      <c r="O594" s="2">
        <v>46264</v>
      </c>
      <c r="P594" s="2">
        <v>46264</v>
      </c>
      <c r="Q594">
        <f>_xlfn.XLOOKUP(E594,CPT!$A$2:$A$13,CPT!$D$2:$D$13)</f>
        <v>420</v>
      </c>
      <c r="R594" s="1">
        <f>_xlfn.XLOOKUP(C594,Contract!$A$2:$A$9,Contract!$B$2:$B$9)</f>
        <v>0.47</v>
      </c>
      <c r="S594" s="1">
        <f t="shared" si="36"/>
        <v>197.4</v>
      </c>
      <c r="T594" s="1">
        <f t="shared" si="37"/>
        <v>12.039999999999992</v>
      </c>
      <c r="U594" s="1" t="str">
        <f t="shared" si="38"/>
        <v>Underpaid</v>
      </c>
      <c r="V594" s="1" t="str">
        <f>_xlfn.XLOOKUP(C594,Payers!$A$2:$A$9,Payers!$B$2:$B$9)</f>
        <v>Keystone Commercial PPO</v>
      </c>
      <c r="W594" s="1" t="str">
        <f t="shared" si="39"/>
        <v>2026-07</v>
      </c>
    </row>
    <row r="595" spans="1:23">
      <c r="A595" s="1" t="s">
        <v>1197</v>
      </c>
      <c r="B595" s="1" t="s">
        <v>1198</v>
      </c>
      <c r="C595" s="1" t="s">
        <v>79</v>
      </c>
      <c r="D595" s="1" t="s">
        <v>19</v>
      </c>
      <c r="E595" s="1" t="s">
        <v>20</v>
      </c>
      <c r="F595">
        <v>1</v>
      </c>
      <c r="G595" s="2">
        <v>46179</v>
      </c>
      <c r="H595" s="2">
        <v>46180</v>
      </c>
      <c r="I595">
        <v>147.46</v>
      </c>
      <c r="M595" s="1" t="s">
        <v>69</v>
      </c>
      <c r="N595" s="1" t="s">
        <v>22</v>
      </c>
      <c r="O595" s="2"/>
      <c r="P595" s="2"/>
      <c r="Q595">
        <f>_xlfn.XLOOKUP(E595,CPT!$A$2:$A$13,CPT!$D$2:$D$13)</f>
        <v>145</v>
      </c>
      <c r="R595" s="1">
        <f>_xlfn.XLOOKUP(C595,Contract!$A$2:$A$9,Contract!$B$2:$B$9)</f>
        <v>1</v>
      </c>
      <c r="S595" s="1">
        <f t="shared" si="36"/>
        <v>145</v>
      </c>
      <c r="T595" s="1" t="str">
        <f t="shared" si="37"/>
        <v/>
      </c>
      <c r="U595" s="1" t="str">
        <f t="shared" si="38"/>
        <v/>
      </c>
      <c r="V595" s="1" t="str">
        <f>_xlfn.XLOOKUP(C595,Payers!$A$2:$A$9,Payers!$B$2:$B$9)</f>
        <v>Self-Pay</v>
      </c>
      <c r="W595" s="1" t="str">
        <f t="shared" si="39"/>
        <v>2026-06</v>
      </c>
    </row>
    <row r="596" spans="1:23">
      <c r="A596" s="1" t="s">
        <v>1199</v>
      </c>
      <c r="B596" s="1" t="s">
        <v>1058</v>
      </c>
      <c r="C596" s="1" t="s">
        <v>47</v>
      </c>
      <c r="D596" s="1" t="s">
        <v>30</v>
      </c>
      <c r="E596" s="1" t="s">
        <v>91</v>
      </c>
      <c r="F596">
        <v>4</v>
      </c>
      <c r="G596" s="2">
        <v>46274</v>
      </c>
      <c r="H596" s="2">
        <v>46277</v>
      </c>
      <c r="I596">
        <v>237.37</v>
      </c>
      <c r="M596" s="1" t="s">
        <v>69</v>
      </c>
      <c r="N596" s="1" t="s">
        <v>22</v>
      </c>
      <c r="O596" s="2"/>
      <c r="P596" s="2"/>
      <c r="Q596">
        <f>_xlfn.XLOOKUP(E596,CPT!$A$2:$A$13,CPT!$D$2:$D$13)</f>
        <v>58</v>
      </c>
      <c r="R596" s="1">
        <f>_xlfn.XLOOKUP(C596,Contract!$A$2:$A$9,Contract!$B$2:$B$9)</f>
        <v>0.28000000000000003</v>
      </c>
      <c r="S596" s="1">
        <f t="shared" si="36"/>
        <v>64.959999999999994</v>
      </c>
      <c r="T596" s="1" t="str">
        <f t="shared" si="37"/>
        <v/>
      </c>
      <c r="U596" s="1" t="str">
        <f t="shared" si="38"/>
        <v/>
      </c>
      <c r="V596" s="1" t="str">
        <f>_xlfn.XLOOKUP(C596,Payers!$A$2:$A$9,Payers!$B$2:$B$9)</f>
        <v>Coastal Medicaid MCO</v>
      </c>
      <c r="W596" s="1" t="str">
        <f t="shared" si="39"/>
        <v>2026-09</v>
      </c>
    </row>
    <row r="597" spans="1:23">
      <c r="A597" s="1" t="s">
        <v>1200</v>
      </c>
      <c r="B597" s="1" t="s">
        <v>1201</v>
      </c>
      <c r="C597" s="1" t="s">
        <v>52</v>
      </c>
      <c r="D597" s="1" t="s">
        <v>19</v>
      </c>
      <c r="E597" s="1" t="s">
        <v>88</v>
      </c>
      <c r="F597">
        <v>1</v>
      </c>
      <c r="G597" s="2">
        <v>45977</v>
      </c>
      <c r="H597" s="2">
        <v>45978</v>
      </c>
      <c r="I597">
        <v>255.91</v>
      </c>
      <c r="J597">
        <v>114.5</v>
      </c>
      <c r="K597">
        <v>91.6</v>
      </c>
      <c r="L597">
        <v>22.9</v>
      </c>
      <c r="M597" s="1" t="s">
        <v>21</v>
      </c>
      <c r="N597" s="1" t="s">
        <v>22</v>
      </c>
      <c r="O597" s="2">
        <v>46016</v>
      </c>
      <c r="P597" s="2">
        <v>46016</v>
      </c>
      <c r="Q597">
        <f>_xlfn.XLOOKUP(E597,CPT!$A$2:$A$13,CPT!$D$2:$D$13)</f>
        <v>260</v>
      </c>
      <c r="R597" s="1">
        <f>_xlfn.XLOOKUP(C597,Contract!$A$2:$A$9,Contract!$B$2:$B$9)</f>
        <v>0.47</v>
      </c>
      <c r="S597" s="1">
        <f t="shared" si="36"/>
        <v>122.2</v>
      </c>
      <c r="T597" s="1">
        <f t="shared" si="37"/>
        <v>7.7000000000000028</v>
      </c>
      <c r="U597" s="1" t="str">
        <f t="shared" si="38"/>
        <v>Underpaid</v>
      </c>
      <c r="V597" s="1" t="str">
        <f>_xlfn.XLOOKUP(C597,Payers!$A$2:$A$9,Payers!$B$2:$B$9)</f>
        <v>Keystone Commercial PPO</v>
      </c>
      <c r="W597" s="1" t="str">
        <f t="shared" si="39"/>
        <v>2025-11</v>
      </c>
    </row>
    <row r="598" spans="1:23">
      <c r="A598" s="1" t="s">
        <v>1202</v>
      </c>
      <c r="B598" s="1" t="s">
        <v>1203</v>
      </c>
      <c r="C598" s="1" t="s">
        <v>47</v>
      </c>
      <c r="D598" s="1" t="s">
        <v>37</v>
      </c>
      <c r="E598" s="1" t="s">
        <v>38</v>
      </c>
      <c r="F598">
        <v>10</v>
      </c>
      <c r="G598" s="2">
        <v>46042</v>
      </c>
      <c r="H598" s="2">
        <v>46043</v>
      </c>
      <c r="I598">
        <v>14157.93</v>
      </c>
      <c r="M598" s="1" t="s">
        <v>32</v>
      </c>
      <c r="N598" s="1" t="s">
        <v>49</v>
      </c>
      <c r="O598" s="2">
        <v>46125</v>
      </c>
      <c r="P598" s="2"/>
      <c r="Q598">
        <f>_xlfn.XLOOKUP(E598,CPT!$A$2:$A$13,CPT!$D$2:$D$13)</f>
        <v>1450</v>
      </c>
      <c r="R598" s="1">
        <f>_xlfn.XLOOKUP(C598,Contract!$A$2:$A$9,Contract!$B$2:$B$9)</f>
        <v>0.28000000000000003</v>
      </c>
      <c r="S598" s="1">
        <f t="shared" si="36"/>
        <v>4060</v>
      </c>
      <c r="T598" s="1" t="str">
        <f t="shared" si="37"/>
        <v/>
      </c>
      <c r="U598" s="1" t="str">
        <f t="shared" si="38"/>
        <v/>
      </c>
      <c r="V598" s="1" t="str">
        <f>_xlfn.XLOOKUP(C598,Payers!$A$2:$A$9,Payers!$B$2:$B$9)</f>
        <v>Coastal Medicaid MCO</v>
      </c>
      <c r="W598" s="1" t="str">
        <f t="shared" si="39"/>
        <v>2026-01</v>
      </c>
    </row>
    <row r="599" spans="1:23">
      <c r="A599" s="1" t="s">
        <v>1204</v>
      </c>
      <c r="B599" s="1" t="s">
        <v>1205</v>
      </c>
      <c r="C599" s="1" t="s">
        <v>52</v>
      </c>
      <c r="D599" s="1" t="s">
        <v>26</v>
      </c>
      <c r="E599" s="1" t="s">
        <v>113</v>
      </c>
      <c r="F599">
        <v>1</v>
      </c>
      <c r="G599" s="2">
        <v>46057</v>
      </c>
      <c r="H599" s="2">
        <v>46066</v>
      </c>
      <c r="I599">
        <v>1079.19</v>
      </c>
      <c r="J599">
        <v>488.18</v>
      </c>
      <c r="K599">
        <v>439.36</v>
      </c>
      <c r="L599">
        <v>48.82</v>
      </c>
      <c r="M599" s="1" t="s">
        <v>21</v>
      </c>
      <c r="N599" s="1" t="s">
        <v>22</v>
      </c>
      <c r="O599" s="2">
        <v>46116</v>
      </c>
      <c r="P599" s="2">
        <v>46116</v>
      </c>
      <c r="Q599">
        <f>_xlfn.XLOOKUP(E599,CPT!$A$2:$A$13,CPT!$D$2:$D$13)</f>
        <v>1050</v>
      </c>
      <c r="R599" s="1">
        <f>_xlfn.XLOOKUP(C599,Contract!$A$2:$A$9,Contract!$B$2:$B$9)</f>
        <v>0.47</v>
      </c>
      <c r="S599" s="1">
        <f t="shared" si="36"/>
        <v>493.5</v>
      </c>
      <c r="T599" s="1">
        <f t="shared" si="37"/>
        <v>5.3199999999999932</v>
      </c>
      <c r="U599" s="1" t="str">
        <f t="shared" si="38"/>
        <v>OK</v>
      </c>
      <c r="V599" s="1" t="str">
        <f>_xlfn.XLOOKUP(C599,Payers!$A$2:$A$9,Payers!$B$2:$B$9)</f>
        <v>Keystone Commercial PPO</v>
      </c>
      <c r="W599" s="1" t="str">
        <f t="shared" si="39"/>
        <v>2026-02</v>
      </c>
    </row>
    <row r="600" spans="1:23">
      <c r="A600" s="1" t="s">
        <v>1206</v>
      </c>
      <c r="B600" s="1" t="s">
        <v>1207</v>
      </c>
      <c r="C600" s="1" t="s">
        <v>79</v>
      </c>
      <c r="D600" s="1" t="s">
        <v>26</v>
      </c>
      <c r="E600" s="1" t="s">
        <v>41</v>
      </c>
      <c r="F600">
        <v>1</v>
      </c>
      <c r="G600" s="2">
        <v>46241</v>
      </c>
      <c r="H600" s="2">
        <v>46247</v>
      </c>
      <c r="I600">
        <v>36.94</v>
      </c>
      <c r="M600" s="1" t="s">
        <v>69</v>
      </c>
      <c r="N600" s="1" t="s">
        <v>22</v>
      </c>
      <c r="O600" s="2"/>
      <c r="P600" s="2"/>
      <c r="Q600">
        <f>_xlfn.XLOOKUP(E600,CPT!$A$2:$A$13,CPT!$D$2:$D$13)</f>
        <v>38</v>
      </c>
      <c r="R600" s="1">
        <f>_xlfn.XLOOKUP(C600,Contract!$A$2:$A$9,Contract!$B$2:$B$9)</f>
        <v>1</v>
      </c>
      <c r="S600" s="1">
        <f t="shared" si="36"/>
        <v>38</v>
      </c>
      <c r="T600" s="1" t="str">
        <f t="shared" si="37"/>
        <v/>
      </c>
      <c r="U600" s="1" t="str">
        <f t="shared" si="38"/>
        <v/>
      </c>
      <c r="V600" s="1" t="str">
        <f>_xlfn.XLOOKUP(C600,Payers!$A$2:$A$9,Payers!$B$2:$B$9)</f>
        <v>Self-Pay</v>
      </c>
      <c r="W600" s="1" t="str">
        <f t="shared" si="39"/>
        <v>2026-08</v>
      </c>
    </row>
    <row r="601" spans="1:23">
      <c r="A601" s="1" t="s">
        <v>1208</v>
      </c>
      <c r="B601" s="1" t="s">
        <v>1209</v>
      </c>
      <c r="C601" s="1" t="s">
        <v>76</v>
      </c>
      <c r="D601" s="1" t="s">
        <v>26</v>
      </c>
      <c r="E601" s="1" t="s">
        <v>27</v>
      </c>
      <c r="F601">
        <v>1</v>
      </c>
      <c r="G601" s="2">
        <v>46258</v>
      </c>
      <c r="H601" s="2">
        <v>46260</v>
      </c>
      <c r="I601">
        <v>246.6</v>
      </c>
      <c r="M601" s="1" t="s">
        <v>69</v>
      </c>
      <c r="N601" s="1" t="s">
        <v>22</v>
      </c>
      <c r="O601" s="2"/>
      <c r="P601" s="2"/>
      <c r="Q601">
        <f>_xlfn.XLOOKUP(E601,CPT!$A$2:$A$13,CPT!$D$2:$D$13)</f>
        <v>240</v>
      </c>
      <c r="R601" s="1">
        <f>_xlfn.XLOOKUP(C601,Contract!$A$2:$A$9,Contract!$B$2:$B$9)</f>
        <v>0.43</v>
      </c>
      <c r="S601" s="1">
        <f t="shared" si="36"/>
        <v>103.2</v>
      </c>
      <c r="T601" s="1" t="str">
        <f t="shared" si="37"/>
        <v/>
      </c>
      <c r="U601" s="1" t="str">
        <f t="shared" si="38"/>
        <v/>
      </c>
      <c r="V601" s="1" t="str">
        <f>_xlfn.XLOOKUP(C601,Payers!$A$2:$A$9,Payers!$B$2:$B$9)</f>
        <v>Summit Health Commercial</v>
      </c>
      <c r="W601" s="1" t="str">
        <f t="shared" si="39"/>
        <v>2026-08</v>
      </c>
    </row>
    <row r="602" spans="1:23">
      <c r="A602" s="1" t="s">
        <v>1210</v>
      </c>
      <c r="B602" s="1" t="s">
        <v>1211</v>
      </c>
      <c r="C602" s="1" t="s">
        <v>60</v>
      </c>
      <c r="D602" s="1" t="s">
        <v>30</v>
      </c>
      <c r="E602" s="1" t="s">
        <v>91</v>
      </c>
      <c r="F602">
        <v>1</v>
      </c>
      <c r="G602" s="2">
        <v>46132</v>
      </c>
      <c r="H602" s="2">
        <v>46144</v>
      </c>
      <c r="I602">
        <v>57.31</v>
      </c>
      <c r="J602">
        <v>28.67</v>
      </c>
      <c r="K602">
        <v>25.8</v>
      </c>
      <c r="L602">
        <v>2.87</v>
      </c>
      <c r="M602" s="1" t="s">
        <v>21</v>
      </c>
      <c r="N602" s="1" t="s">
        <v>22</v>
      </c>
      <c r="O602" s="2">
        <v>46176</v>
      </c>
      <c r="P602" s="2">
        <v>46176</v>
      </c>
      <c r="Q602">
        <f>_xlfn.XLOOKUP(E602,CPT!$A$2:$A$13,CPT!$D$2:$D$13)</f>
        <v>58</v>
      </c>
      <c r="R602" s="1">
        <f>_xlfn.XLOOKUP(C602,Contract!$A$2:$A$9,Contract!$B$2:$B$9)</f>
        <v>0.45</v>
      </c>
      <c r="S602" s="1">
        <f t="shared" si="36"/>
        <v>26.1</v>
      </c>
      <c r="T602" s="1">
        <f t="shared" si="37"/>
        <v>-2.5700000000000003</v>
      </c>
      <c r="U602" s="1" t="str">
        <f t="shared" si="38"/>
        <v>OK</v>
      </c>
      <c r="V602" s="1" t="str">
        <f>_xlfn.XLOOKUP(C602,Payers!$A$2:$A$9,Payers!$B$2:$B$9)</f>
        <v>Blue Horizon Commercial</v>
      </c>
      <c r="W602" s="1" t="str">
        <f t="shared" si="39"/>
        <v>2026-04</v>
      </c>
    </row>
    <row r="603" spans="1:23">
      <c r="A603" s="1" t="s">
        <v>1212</v>
      </c>
      <c r="B603" s="1" t="s">
        <v>1213</v>
      </c>
      <c r="C603" s="1" t="s">
        <v>36</v>
      </c>
      <c r="D603" s="1" t="s">
        <v>37</v>
      </c>
      <c r="E603" s="1" t="s">
        <v>48</v>
      </c>
      <c r="F603">
        <v>1</v>
      </c>
      <c r="G603" s="2">
        <v>46071</v>
      </c>
      <c r="H603" s="2">
        <v>46078</v>
      </c>
      <c r="I603">
        <v>429.23</v>
      </c>
      <c r="J603">
        <v>114.85</v>
      </c>
      <c r="K603">
        <v>91.88</v>
      </c>
      <c r="L603">
        <v>22.97</v>
      </c>
      <c r="M603" s="1" t="s">
        <v>21</v>
      </c>
      <c r="N603" s="1" t="s">
        <v>22</v>
      </c>
      <c r="O603" s="2">
        <v>46128</v>
      </c>
      <c r="P603" s="2">
        <v>46128</v>
      </c>
      <c r="Q603">
        <f>_xlfn.XLOOKUP(E603,CPT!$A$2:$A$13,CPT!$D$2:$D$13)</f>
        <v>420</v>
      </c>
      <c r="R603" s="1">
        <f>_xlfn.XLOOKUP(C603,Contract!$A$2:$A$9,Contract!$B$2:$B$9)</f>
        <v>0.27</v>
      </c>
      <c r="S603" s="1">
        <f t="shared" si="36"/>
        <v>113.4</v>
      </c>
      <c r="T603" s="1">
        <f t="shared" si="37"/>
        <v>-1.4499999999999886</v>
      </c>
      <c r="U603" s="1" t="str">
        <f t="shared" si="38"/>
        <v>OK</v>
      </c>
      <c r="V603" s="1" t="str">
        <f>_xlfn.XLOOKUP(C603,Payers!$A$2:$A$9,Payers!$B$2:$B$9)</f>
        <v>Florida Medicaid</v>
      </c>
      <c r="W603" s="1" t="str">
        <f t="shared" si="39"/>
        <v>2026-02</v>
      </c>
    </row>
    <row r="604" spans="1:23">
      <c r="A604" s="1" t="s">
        <v>1214</v>
      </c>
      <c r="B604" s="1" t="s">
        <v>991</v>
      </c>
      <c r="C604" s="1" t="s">
        <v>47</v>
      </c>
      <c r="D604" s="1" t="s">
        <v>26</v>
      </c>
      <c r="E604" s="1" t="s">
        <v>113</v>
      </c>
      <c r="F604">
        <v>1</v>
      </c>
      <c r="G604" s="2">
        <v>45982</v>
      </c>
      <c r="H604" s="2">
        <v>45987</v>
      </c>
      <c r="I604">
        <v>1070.44</v>
      </c>
      <c r="J604">
        <v>284.89</v>
      </c>
      <c r="K604">
        <v>256.39999999999998</v>
      </c>
      <c r="L604">
        <v>28.49</v>
      </c>
      <c r="M604" s="1" t="s">
        <v>21</v>
      </c>
      <c r="N604" s="1" t="s">
        <v>22</v>
      </c>
      <c r="O604" s="2">
        <v>46021</v>
      </c>
      <c r="P604" s="2">
        <v>46021</v>
      </c>
      <c r="Q604">
        <f>_xlfn.XLOOKUP(E604,CPT!$A$2:$A$13,CPT!$D$2:$D$13)</f>
        <v>1050</v>
      </c>
      <c r="R604" s="1">
        <f>_xlfn.XLOOKUP(C604,Contract!$A$2:$A$9,Contract!$B$2:$B$9)</f>
        <v>0.28000000000000003</v>
      </c>
      <c r="S604" s="1">
        <f t="shared" si="36"/>
        <v>294</v>
      </c>
      <c r="T604" s="1">
        <f t="shared" si="37"/>
        <v>9.1100000000000136</v>
      </c>
      <c r="U604" s="1" t="str">
        <f t="shared" si="38"/>
        <v>OK</v>
      </c>
      <c r="V604" s="1" t="str">
        <f>_xlfn.XLOOKUP(C604,Payers!$A$2:$A$9,Payers!$B$2:$B$9)</f>
        <v>Coastal Medicaid MCO</v>
      </c>
      <c r="W604" s="1" t="str">
        <f t="shared" si="39"/>
        <v>2025-11</v>
      </c>
    </row>
    <row r="605" spans="1:23">
      <c r="A605" s="1" t="s">
        <v>1215</v>
      </c>
      <c r="B605" s="1" t="s">
        <v>1216</v>
      </c>
      <c r="C605" s="1" t="s">
        <v>25</v>
      </c>
      <c r="D605" s="1" t="s">
        <v>37</v>
      </c>
      <c r="E605" s="1" t="s">
        <v>38</v>
      </c>
      <c r="F605">
        <v>30</v>
      </c>
      <c r="G605" s="2">
        <v>46025</v>
      </c>
      <c r="H605" s="2">
        <v>46026</v>
      </c>
      <c r="I605">
        <v>44259.56</v>
      </c>
      <c r="J605">
        <v>16569.419999999998</v>
      </c>
      <c r="K605">
        <v>14912.48</v>
      </c>
      <c r="L605">
        <v>1656.94</v>
      </c>
      <c r="M605" s="1" t="s">
        <v>21</v>
      </c>
      <c r="N605" s="1" t="s">
        <v>22</v>
      </c>
      <c r="O605" s="2">
        <v>46038</v>
      </c>
      <c r="P605" s="2">
        <v>46038</v>
      </c>
      <c r="Q605">
        <f>_xlfn.XLOOKUP(E605,CPT!$A$2:$A$13,CPT!$D$2:$D$13)</f>
        <v>1450</v>
      </c>
      <c r="R605" s="1">
        <f>_xlfn.XLOOKUP(C605,Contract!$A$2:$A$9,Contract!$B$2:$B$9)</f>
        <v>0.36</v>
      </c>
      <c r="S605" s="1">
        <f t="shared" si="36"/>
        <v>15660</v>
      </c>
      <c r="T605" s="1">
        <f t="shared" si="37"/>
        <v>-909.41999999999825</v>
      </c>
      <c r="U605" s="1" t="str">
        <f t="shared" si="38"/>
        <v>OK</v>
      </c>
      <c r="V605" s="1" t="str">
        <f>_xlfn.XLOOKUP(C605,Payers!$A$2:$A$9,Payers!$B$2:$B$9)</f>
        <v>Medicare Part B</v>
      </c>
      <c r="W605" s="1" t="str">
        <f t="shared" si="39"/>
        <v>2026-01</v>
      </c>
    </row>
    <row r="606" spans="1:23">
      <c r="A606" s="1" t="s">
        <v>1217</v>
      </c>
      <c r="B606" s="1" t="s">
        <v>1048</v>
      </c>
      <c r="C606" s="1" t="s">
        <v>76</v>
      </c>
      <c r="D606" s="1" t="s">
        <v>26</v>
      </c>
      <c r="E606" s="1" t="s">
        <v>57</v>
      </c>
      <c r="F606">
        <v>1</v>
      </c>
      <c r="G606" s="2">
        <v>46263</v>
      </c>
      <c r="H606" s="2">
        <v>46271</v>
      </c>
      <c r="I606">
        <v>213.32</v>
      </c>
      <c r="M606" s="1" t="s">
        <v>69</v>
      </c>
      <c r="N606" s="1" t="s">
        <v>22</v>
      </c>
      <c r="O606" s="2"/>
      <c r="P606" s="2"/>
      <c r="Q606">
        <f>_xlfn.XLOOKUP(E606,CPT!$A$2:$A$13,CPT!$D$2:$D$13)</f>
        <v>210</v>
      </c>
      <c r="R606" s="1">
        <f>_xlfn.XLOOKUP(C606,Contract!$A$2:$A$9,Contract!$B$2:$B$9)</f>
        <v>0.43</v>
      </c>
      <c r="S606" s="1">
        <f t="shared" si="36"/>
        <v>90.3</v>
      </c>
      <c r="T606" s="1" t="str">
        <f t="shared" si="37"/>
        <v/>
      </c>
      <c r="U606" s="1" t="str">
        <f t="shared" si="38"/>
        <v/>
      </c>
      <c r="V606" s="1" t="str">
        <f>_xlfn.XLOOKUP(C606,Payers!$A$2:$A$9,Payers!$B$2:$B$9)</f>
        <v>Summit Health Commercial</v>
      </c>
      <c r="W606" s="1" t="str">
        <f t="shared" si="39"/>
        <v>2026-08</v>
      </c>
    </row>
    <row r="607" spans="1:23">
      <c r="A607" s="1" t="s">
        <v>1218</v>
      </c>
      <c r="B607" s="1" t="s">
        <v>1219</v>
      </c>
      <c r="C607" s="1" t="s">
        <v>18</v>
      </c>
      <c r="D607" s="1" t="s">
        <v>26</v>
      </c>
      <c r="E607" s="1" t="s">
        <v>57</v>
      </c>
      <c r="F607">
        <v>1</v>
      </c>
      <c r="G607" s="2">
        <v>46098</v>
      </c>
      <c r="H607" s="2">
        <v>46099</v>
      </c>
      <c r="I607">
        <v>213.77</v>
      </c>
      <c r="J607">
        <v>73.67</v>
      </c>
      <c r="K607">
        <v>58.94</v>
      </c>
      <c r="L607">
        <v>14.73</v>
      </c>
      <c r="M607" s="1" t="s">
        <v>21</v>
      </c>
      <c r="N607" s="1" t="s">
        <v>22</v>
      </c>
      <c r="O607" s="2">
        <v>46167</v>
      </c>
      <c r="P607" s="2">
        <v>46167</v>
      </c>
      <c r="Q607">
        <f>_xlfn.XLOOKUP(E607,CPT!$A$2:$A$13,CPT!$D$2:$D$13)</f>
        <v>210</v>
      </c>
      <c r="R607" s="1">
        <f>_xlfn.XLOOKUP(C607,Contract!$A$2:$A$9,Contract!$B$2:$B$9)</f>
        <v>0.38</v>
      </c>
      <c r="S607" s="1">
        <f t="shared" si="36"/>
        <v>79.8</v>
      </c>
      <c r="T607" s="1">
        <f t="shared" si="37"/>
        <v>6.1299999999999955</v>
      </c>
      <c r="U607" s="1" t="str">
        <f t="shared" si="38"/>
        <v>Underpaid</v>
      </c>
      <c r="V607" s="1" t="str">
        <f>_xlfn.XLOOKUP(C607,Payers!$A$2:$A$9,Payers!$B$2:$B$9)</f>
        <v>Sunshine Medicare Advantage</v>
      </c>
      <c r="W607" s="1" t="str">
        <f t="shared" si="39"/>
        <v>2026-03</v>
      </c>
    </row>
    <row r="608" spans="1:23">
      <c r="A608" s="1" t="s">
        <v>1220</v>
      </c>
      <c r="B608" s="1" t="s">
        <v>1221</v>
      </c>
      <c r="C608" s="1" t="s">
        <v>60</v>
      </c>
      <c r="D608" s="1" t="s">
        <v>30</v>
      </c>
      <c r="E608" s="1" t="s">
        <v>31</v>
      </c>
      <c r="F608">
        <v>3</v>
      </c>
      <c r="G608" s="2">
        <v>45942</v>
      </c>
      <c r="H608" s="2">
        <v>45946</v>
      </c>
      <c r="I608">
        <v>187.64</v>
      </c>
      <c r="J608">
        <v>76.510000000000005</v>
      </c>
      <c r="K608">
        <v>61.21</v>
      </c>
      <c r="L608">
        <v>15.3</v>
      </c>
      <c r="M608" s="1" t="s">
        <v>21</v>
      </c>
      <c r="N608" s="1" t="s">
        <v>22</v>
      </c>
      <c r="O608" s="2">
        <v>45972</v>
      </c>
      <c r="P608" s="2">
        <v>45972</v>
      </c>
      <c r="Q608">
        <f>_xlfn.XLOOKUP(E608,CPT!$A$2:$A$13,CPT!$D$2:$D$13)</f>
        <v>62</v>
      </c>
      <c r="R608" s="1">
        <f>_xlfn.XLOOKUP(C608,Contract!$A$2:$A$9,Contract!$B$2:$B$9)</f>
        <v>0.45</v>
      </c>
      <c r="S608" s="1">
        <f t="shared" si="36"/>
        <v>83.7</v>
      </c>
      <c r="T608" s="1">
        <f t="shared" si="37"/>
        <v>7.1899999999999977</v>
      </c>
      <c r="U608" s="1" t="str">
        <f t="shared" si="38"/>
        <v>Underpaid</v>
      </c>
      <c r="V608" s="1" t="str">
        <f>_xlfn.XLOOKUP(C608,Payers!$A$2:$A$9,Payers!$B$2:$B$9)</f>
        <v>Blue Horizon Commercial</v>
      </c>
      <c r="W608" s="1" t="str">
        <f t="shared" si="39"/>
        <v>2025-10</v>
      </c>
    </row>
    <row r="609" spans="1:23">
      <c r="A609" s="1" t="s">
        <v>1222</v>
      </c>
      <c r="B609" s="1" t="s">
        <v>949</v>
      </c>
      <c r="C609" s="1" t="s">
        <v>60</v>
      </c>
      <c r="D609" s="1" t="s">
        <v>19</v>
      </c>
      <c r="E609" s="1" t="s">
        <v>88</v>
      </c>
      <c r="F609">
        <v>1</v>
      </c>
      <c r="G609" s="2">
        <v>46119</v>
      </c>
      <c r="H609" s="2">
        <v>46123</v>
      </c>
      <c r="I609">
        <v>254.85</v>
      </c>
      <c r="M609" s="1" t="s">
        <v>32</v>
      </c>
      <c r="N609" s="1" t="s">
        <v>98</v>
      </c>
      <c r="O609" s="2">
        <v>46146</v>
      </c>
      <c r="P609" s="2"/>
      <c r="Q609">
        <f>_xlfn.XLOOKUP(E609,CPT!$A$2:$A$13,CPT!$D$2:$D$13)</f>
        <v>260</v>
      </c>
      <c r="R609" s="1">
        <f>_xlfn.XLOOKUP(C609,Contract!$A$2:$A$9,Contract!$B$2:$B$9)</f>
        <v>0.45</v>
      </c>
      <c r="S609" s="1">
        <f t="shared" si="36"/>
        <v>117</v>
      </c>
      <c r="T609" s="1" t="str">
        <f t="shared" si="37"/>
        <v/>
      </c>
      <c r="U609" s="1" t="str">
        <f t="shared" si="38"/>
        <v/>
      </c>
      <c r="V609" s="1" t="str">
        <f>_xlfn.XLOOKUP(C609,Payers!$A$2:$A$9,Payers!$B$2:$B$9)</f>
        <v>Blue Horizon Commercial</v>
      </c>
      <c r="W609" s="1" t="str">
        <f t="shared" si="39"/>
        <v>2026-04</v>
      </c>
    </row>
    <row r="610" spans="1:23">
      <c r="A610" s="1" t="s">
        <v>1223</v>
      </c>
      <c r="B610" s="1" t="s">
        <v>1224</v>
      </c>
      <c r="C610" s="1" t="s">
        <v>18</v>
      </c>
      <c r="D610" s="1" t="s">
        <v>19</v>
      </c>
      <c r="E610" s="1" t="s">
        <v>57</v>
      </c>
      <c r="F610">
        <v>1</v>
      </c>
      <c r="G610" s="2">
        <v>46028</v>
      </c>
      <c r="H610" s="2">
        <v>46035</v>
      </c>
      <c r="I610">
        <v>215.62</v>
      </c>
      <c r="J610">
        <v>88.8</v>
      </c>
      <c r="K610">
        <v>88.8</v>
      </c>
      <c r="L610">
        <v>0</v>
      </c>
      <c r="M610" s="1" t="s">
        <v>21</v>
      </c>
      <c r="N610" s="1" t="s">
        <v>22</v>
      </c>
      <c r="O610" s="2">
        <v>46074</v>
      </c>
      <c r="P610" s="2">
        <v>46074</v>
      </c>
      <c r="Q610">
        <f>_xlfn.XLOOKUP(E610,CPT!$A$2:$A$13,CPT!$D$2:$D$13)</f>
        <v>210</v>
      </c>
      <c r="R610" s="1">
        <f>_xlfn.XLOOKUP(C610,Contract!$A$2:$A$9,Contract!$B$2:$B$9)</f>
        <v>0.38</v>
      </c>
      <c r="S610" s="1">
        <f t="shared" si="36"/>
        <v>79.8</v>
      </c>
      <c r="T610" s="1">
        <f t="shared" si="37"/>
        <v>-9</v>
      </c>
      <c r="U610" s="1" t="str">
        <f t="shared" si="38"/>
        <v>OK</v>
      </c>
      <c r="V610" s="1" t="str">
        <f>_xlfn.XLOOKUP(C610,Payers!$A$2:$A$9,Payers!$B$2:$B$9)</f>
        <v>Sunshine Medicare Advantage</v>
      </c>
      <c r="W610" s="1" t="str">
        <f t="shared" si="39"/>
        <v>2026-01</v>
      </c>
    </row>
    <row r="611" spans="1:23">
      <c r="A611" s="1" t="s">
        <v>1225</v>
      </c>
      <c r="B611" s="1" t="s">
        <v>1226</v>
      </c>
      <c r="C611" s="1" t="s">
        <v>76</v>
      </c>
      <c r="D611" s="1" t="s">
        <v>26</v>
      </c>
      <c r="E611" s="1" t="s">
        <v>44</v>
      </c>
      <c r="F611">
        <v>1</v>
      </c>
      <c r="G611" s="2">
        <v>46277</v>
      </c>
      <c r="H611" s="2">
        <v>46278</v>
      </c>
      <c r="I611">
        <v>4710.54</v>
      </c>
      <c r="M611" s="1" t="s">
        <v>69</v>
      </c>
      <c r="N611" s="1" t="s">
        <v>22</v>
      </c>
      <c r="O611" s="2"/>
      <c r="P611" s="2"/>
      <c r="Q611">
        <f>_xlfn.XLOOKUP(E611,CPT!$A$2:$A$13,CPT!$D$2:$D$13)</f>
        <v>4800</v>
      </c>
      <c r="R611" s="1">
        <f>_xlfn.XLOOKUP(C611,Contract!$A$2:$A$9,Contract!$B$2:$B$9)</f>
        <v>0.43</v>
      </c>
      <c r="S611" s="1">
        <f t="shared" si="36"/>
        <v>2064</v>
      </c>
      <c r="T611" s="1" t="str">
        <f t="shared" si="37"/>
        <v/>
      </c>
      <c r="U611" s="1" t="str">
        <f t="shared" si="38"/>
        <v/>
      </c>
      <c r="V611" s="1" t="str">
        <f>_xlfn.XLOOKUP(C611,Payers!$A$2:$A$9,Payers!$B$2:$B$9)</f>
        <v>Summit Health Commercial</v>
      </c>
      <c r="W611" s="1" t="str">
        <f t="shared" si="39"/>
        <v>2026-09</v>
      </c>
    </row>
    <row r="612" spans="1:23">
      <c r="A612" s="1" t="s">
        <v>1227</v>
      </c>
      <c r="B612" s="1" t="s">
        <v>1228</v>
      </c>
      <c r="C612" s="1" t="s">
        <v>47</v>
      </c>
      <c r="D612" s="1" t="s">
        <v>26</v>
      </c>
      <c r="E612" s="1" t="s">
        <v>113</v>
      </c>
      <c r="F612">
        <v>1</v>
      </c>
      <c r="G612" s="2">
        <v>46120</v>
      </c>
      <c r="H612" s="2">
        <v>46125</v>
      </c>
      <c r="I612">
        <v>1055.22</v>
      </c>
      <c r="M612" s="1" t="s">
        <v>32</v>
      </c>
      <c r="N612" s="1" t="s">
        <v>49</v>
      </c>
      <c r="O612" s="2">
        <v>46204</v>
      </c>
      <c r="P612" s="2"/>
      <c r="Q612">
        <f>_xlfn.XLOOKUP(E612,CPT!$A$2:$A$13,CPT!$D$2:$D$13)</f>
        <v>1050</v>
      </c>
      <c r="R612" s="1">
        <f>_xlfn.XLOOKUP(C612,Contract!$A$2:$A$9,Contract!$B$2:$B$9)</f>
        <v>0.28000000000000003</v>
      </c>
      <c r="S612" s="1">
        <f t="shared" si="36"/>
        <v>294</v>
      </c>
      <c r="T612" s="1" t="str">
        <f t="shared" si="37"/>
        <v/>
      </c>
      <c r="U612" s="1" t="str">
        <f t="shared" si="38"/>
        <v/>
      </c>
      <c r="V612" s="1" t="str">
        <f>_xlfn.XLOOKUP(C612,Payers!$A$2:$A$9,Payers!$B$2:$B$9)</f>
        <v>Coastal Medicaid MCO</v>
      </c>
      <c r="W612" s="1" t="str">
        <f t="shared" si="39"/>
        <v>2026-04</v>
      </c>
    </row>
    <row r="613" spans="1:23">
      <c r="A613" s="1" t="s">
        <v>1229</v>
      </c>
      <c r="B613" s="1" t="s">
        <v>1230</v>
      </c>
      <c r="C613" s="1" t="s">
        <v>25</v>
      </c>
      <c r="D613" s="1" t="s">
        <v>37</v>
      </c>
      <c r="E613" s="1" t="s">
        <v>57</v>
      </c>
      <c r="F613">
        <v>1</v>
      </c>
      <c r="G613" s="2">
        <v>45968</v>
      </c>
      <c r="H613" s="2">
        <v>45969</v>
      </c>
      <c r="I613">
        <v>204.9</v>
      </c>
      <c r="J613">
        <v>67.680000000000007</v>
      </c>
      <c r="K613">
        <v>60.91</v>
      </c>
      <c r="L613">
        <v>6.77</v>
      </c>
      <c r="M613" s="1" t="s">
        <v>21</v>
      </c>
      <c r="N613" s="1" t="s">
        <v>22</v>
      </c>
      <c r="O613" s="2">
        <v>45986</v>
      </c>
      <c r="P613" s="2">
        <v>45986</v>
      </c>
      <c r="Q613">
        <f>_xlfn.XLOOKUP(E613,CPT!$A$2:$A$13,CPT!$D$2:$D$13)</f>
        <v>210</v>
      </c>
      <c r="R613" s="1">
        <f>_xlfn.XLOOKUP(C613,Contract!$A$2:$A$9,Contract!$B$2:$B$9)</f>
        <v>0.36</v>
      </c>
      <c r="S613" s="1">
        <f t="shared" si="36"/>
        <v>75.599999999999994</v>
      </c>
      <c r="T613" s="1">
        <f t="shared" si="37"/>
        <v>7.9199999999999875</v>
      </c>
      <c r="U613" s="1" t="str">
        <f t="shared" si="38"/>
        <v>Underpaid</v>
      </c>
      <c r="V613" s="1" t="str">
        <f>_xlfn.XLOOKUP(C613,Payers!$A$2:$A$9,Payers!$B$2:$B$9)</f>
        <v>Medicare Part B</v>
      </c>
      <c r="W613" s="1" t="str">
        <f t="shared" si="39"/>
        <v>2025-11</v>
      </c>
    </row>
    <row r="614" spans="1:23">
      <c r="A614" s="1" t="s">
        <v>1231</v>
      </c>
      <c r="B614" s="1" t="s">
        <v>1232</v>
      </c>
      <c r="C614" s="1" t="s">
        <v>18</v>
      </c>
      <c r="D614" s="1" t="s">
        <v>30</v>
      </c>
      <c r="E614" s="1" t="s">
        <v>20</v>
      </c>
      <c r="F614">
        <v>1</v>
      </c>
      <c r="G614" s="2">
        <v>45954</v>
      </c>
      <c r="H614" s="2">
        <v>45957</v>
      </c>
      <c r="I614">
        <v>140.69999999999999</v>
      </c>
      <c r="J614">
        <v>56.69</v>
      </c>
      <c r="K614">
        <v>56.69</v>
      </c>
      <c r="L614">
        <v>0</v>
      </c>
      <c r="M614" s="1" t="s">
        <v>21</v>
      </c>
      <c r="N614" s="1" t="s">
        <v>22</v>
      </c>
      <c r="O614" s="2">
        <v>46031</v>
      </c>
      <c r="P614" s="2">
        <v>46031</v>
      </c>
      <c r="Q614">
        <f>_xlfn.XLOOKUP(E614,CPT!$A$2:$A$13,CPT!$D$2:$D$13)</f>
        <v>145</v>
      </c>
      <c r="R614" s="1">
        <f>_xlfn.XLOOKUP(C614,Contract!$A$2:$A$9,Contract!$B$2:$B$9)</f>
        <v>0.38</v>
      </c>
      <c r="S614" s="1">
        <f t="shared" si="36"/>
        <v>55.1</v>
      </c>
      <c r="T614" s="1">
        <f t="shared" si="37"/>
        <v>-1.5899999999999963</v>
      </c>
      <c r="U614" s="1" t="str">
        <f t="shared" si="38"/>
        <v>OK</v>
      </c>
      <c r="V614" s="1" t="str">
        <f>_xlfn.XLOOKUP(C614,Payers!$A$2:$A$9,Payers!$B$2:$B$9)</f>
        <v>Sunshine Medicare Advantage</v>
      </c>
      <c r="W614" s="1" t="str">
        <f t="shared" si="39"/>
        <v>2025-10</v>
      </c>
    </row>
    <row r="615" spans="1:23">
      <c r="A615" s="1" t="s">
        <v>1233</v>
      </c>
      <c r="B615" s="1" t="s">
        <v>1234</v>
      </c>
      <c r="C615" s="1" t="s">
        <v>52</v>
      </c>
      <c r="D615" s="1" t="s">
        <v>26</v>
      </c>
      <c r="E615" s="1" t="s">
        <v>57</v>
      </c>
      <c r="F615">
        <v>1</v>
      </c>
      <c r="G615" s="2">
        <v>46104</v>
      </c>
      <c r="H615" s="2">
        <v>46105</v>
      </c>
      <c r="I615">
        <v>214.76</v>
      </c>
      <c r="J615">
        <v>102.43</v>
      </c>
      <c r="K615">
        <v>102.43</v>
      </c>
      <c r="L615">
        <v>0</v>
      </c>
      <c r="M615" s="1" t="s">
        <v>21</v>
      </c>
      <c r="N615" s="1" t="s">
        <v>22</v>
      </c>
      <c r="O615" s="2">
        <v>46171</v>
      </c>
      <c r="P615" s="2">
        <v>46171</v>
      </c>
      <c r="Q615">
        <f>_xlfn.XLOOKUP(E615,CPT!$A$2:$A$13,CPT!$D$2:$D$13)</f>
        <v>210</v>
      </c>
      <c r="R615" s="1">
        <f>_xlfn.XLOOKUP(C615,Contract!$A$2:$A$9,Contract!$B$2:$B$9)</f>
        <v>0.47</v>
      </c>
      <c r="S615" s="1">
        <f t="shared" si="36"/>
        <v>98.7</v>
      </c>
      <c r="T615" s="1">
        <f t="shared" si="37"/>
        <v>-3.730000000000004</v>
      </c>
      <c r="U615" s="1" t="str">
        <f t="shared" si="38"/>
        <v>OK</v>
      </c>
      <c r="V615" s="1" t="str">
        <f>_xlfn.XLOOKUP(C615,Payers!$A$2:$A$9,Payers!$B$2:$B$9)</f>
        <v>Keystone Commercial PPO</v>
      </c>
      <c r="W615" s="1" t="str">
        <f t="shared" si="39"/>
        <v>2026-03</v>
      </c>
    </row>
    <row r="616" spans="1:23">
      <c r="A616" s="1" t="s">
        <v>1235</v>
      </c>
      <c r="B616" s="1" t="s">
        <v>1236</v>
      </c>
      <c r="C616" s="1" t="s">
        <v>79</v>
      </c>
      <c r="D616" s="1" t="s">
        <v>26</v>
      </c>
      <c r="E616" s="1" t="s">
        <v>88</v>
      </c>
      <c r="F616">
        <v>1</v>
      </c>
      <c r="G616" s="2">
        <v>46186</v>
      </c>
      <c r="H616" s="2">
        <v>46194</v>
      </c>
      <c r="I616">
        <v>265.8</v>
      </c>
      <c r="J616">
        <v>265.8</v>
      </c>
      <c r="K616">
        <v>265.8</v>
      </c>
      <c r="L616">
        <v>0</v>
      </c>
      <c r="M616" s="1" t="s">
        <v>21</v>
      </c>
      <c r="N616" s="1" t="s">
        <v>22</v>
      </c>
      <c r="O616" s="2">
        <v>46285</v>
      </c>
      <c r="P616" s="2">
        <v>46285</v>
      </c>
      <c r="Q616">
        <f>_xlfn.XLOOKUP(E616,CPT!$A$2:$A$13,CPT!$D$2:$D$13)</f>
        <v>260</v>
      </c>
      <c r="R616" s="1">
        <f>_xlfn.XLOOKUP(C616,Contract!$A$2:$A$9,Contract!$B$2:$B$9)</f>
        <v>1</v>
      </c>
      <c r="S616" s="1">
        <f t="shared" si="36"/>
        <v>260</v>
      </c>
      <c r="T616" s="1">
        <f t="shared" si="37"/>
        <v>-5.8000000000000114</v>
      </c>
      <c r="U616" s="1" t="str">
        <f t="shared" si="38"/>
        <v>OK</v>
      </c>
      <c r="V616" s="1" t="str">
        <f>_xlfn.XLOOKUP(C616,Payers!$A$2:$A$9,Payers!$B$2:$B$9)</f>
        <v>Self-Pay</v>
      </c>
      <c r="W616" s="1" t="str">
        <f t="shared" si="39"/>
        <v>2026-06</v>
      </c>
    </row>
    <row r="617" spans="1:23">
      <c r="A617" s="1" t="s">
        <v>1237</v>
      </c>
      <c r="B617" s="1" t="s">
        <v>1238</v>
      </c>
      <c r="C617" s="1" t="s">
        <v>52</v>
      </c>
      <c r="D617" s="1" t="s">
        <v>30</v>
      </c>
      <c r="E617" s="1" t="s">
        <v>91</v>
      </c>
      <c r="F617">
        <v>1</v>
      </c>
      <c r="G617" s="2">
        <v>46154</v>
      </c>
      <c r="H617" s="2">
        <v>46175</v>
      </c>
      <c r="I617">
        <v>57.36</v>
      </c>
      <c r="M617" s="1" t="s">
        <v>32</v>
      </c>
      <c r="N617" s="1" t="s">
        <v>281</v>
      </c>
      <c r="O617" s="2">
        <v>46215</v>
      </c>
      <c r="P617" s="2"/>
      <c r="Q617">
        <f>_xlfn.XLOOKUP(E617,CPT!$A$2:$A$13,CPT!$D$2:$D$13)</f>
        <v>58</v>
      </c>
      <c r="R617" s="1">
        <f>_xlfn.XLOOKUP(C617,Contract!$A$2:$A$9,Contract!$B$2:$B$9)</f>
        <v>0.47</v>
      </c>
      <c r="S617" s="1">
        <f t="shared" si="36"/>
        <v>27.26</v>
      </c>
      <c r="T617" s="1" t="str">
        <f t="shared" si="37"/>
        <v/>
      </c>
      <c r="U617" s="1" t="str">
        <f t="shared" si="38"/>
        <v/>
      </c>
      <c r="V617" s="1" t="str">
        <f>_xlfn.XLOOKUP(C617,Payers!$A$2:$A$9,Payers!$B$2:$B$9)</f>
        <v>Keystone Commercial PPO</v>
      </c>
      <c r="W617" s="1" t="str">
        <f t="shared" si="39"/>
        <v>2026-05</v>
      </c>
    </row>
    <row r="618" spans="1:23">
      <c r="A618" s="1" t="s">
        <v>1239</v>
      </c>
      <c r="B618" s="1" t="s">
        <v>1240</v>
      </c>
      <c r="C618" s="1" t="s">
        <v>76</v>
      </c>
      <c r="D618" s="1" t="s">
        <v>26</v>
      </c>
      <c r="E618" s="1" t="s">
        <v>113</v>
      </c>
      <c r="F618">
        <v>1</v>
      </c>
      <c r="G618" s="2">
        <v>46292</v>
      </c>
      <c r="H618" s="2">
        <v>46293</v>
      </c>
      <c r="I618">
        <v>1047.93</v>
      </c>
      <c r="M618" s="1" t="s">
        <v>69</v>
      </c>
      <c r="N618" s="1" t="s">
        <v>22</v>
      </c>
      <c r="O618" s="2"/>
      <c r="P618" s="2"/>
      <c r="Q618">
        <f>_xlfn.XLOOKUP(E618,CPT!$A$2:$A$13,CPT!$D$2:$D$13)</f>
        <v>1050</v>
      </c>
      <c r="R618" s="1">
        <f>_xlfn.XLOOKUP(C618,Contract!$A$2:$A$9,Contract!$B$2:$B$9)</f>
        <v>0.43</v>
      </c>
      <c r="S618" s="1">
        <f t="shared" si="36"/>
        <v>451.5</v>
      </c>
      <c r="T618" s="1" t="str">
        <f t="shared" si="37"/>
        <v/>
      </c>
      <c r="U618" s="1" t="str">
        <f t="shared" si="38"/>
        <v/>
      </c>
      <c r="V618" s="1" t="str">
        <f>_xlfn.XLOOKUP(C618,Payers!$A$2:$A$9,Payers!$B$2:$B$9)</f>
        <v>Summit Health Commercial</v>
      </c>
      <c r="W618" s="1" t="str">
        <f t="shared" si="39"/>
        <v>2026-09</v>
      </c>
    </row>
    <row r="619" spans="1:23">
      <c r="A619" s="1" t="s">
        <v>1241</v>
      </c>
      <c r="B619" s="1" t="s">
        <v>1242</v>
      </c>
      <c r="C619" s="1" t="s">
        <v>60</v>
      </c>
      <c r="D619" s="1" t="s">
        <v>19</v>
      </c>
      <c r="E619" s="1" t="s">
        <v>41</v>
      </c>
      <c r="F619">
        <v>1</v>
      </c>
      <c r="G619" s="2">
        <v>46006</v>
      </c>
      <c r="H619" s="2">
        <v>46007</v>
      </c>
      <c r="I619">
        <v>37.14</v>
      </c>
      <c r="J619">
        <v>15.05</v>
      </c>
      <c r="K619">
        <v>15.05</v>
      </c>
      <c r="L619">
        <v>0</v>
      </c>
      <c r="M619" s="1" t="s">
        <v>21</v>
      </c>
      <c r="N619" s="1" t="s">
        <v>22</v>
      </c>
      <c r="O619" s="2">
        <v>46044</v>
      </c>
      <c r="P619" s="2">
        <v>46044</v>
      </c>
      <c r="Q619">
        <f>_xlfn.XLOOKUP(E619,CPT!$A$2:$A$13,CPT!$D$2:$D$13)</f>
        <v>38</v>
      </c>
      <c r="R619" s="1">
        <f>_xlfn.XLOOKUP(C619,Contract!$A$2:$A$9,Contract!$B$2:$B$9)</f>
        <v>0.45</v>
      </c>
      <c r="S619" s="1">
        <f t="shared" si="36"/>
        <v>17.100000000000001</v>
      </c>
      <c r="T619" s="1">
        <f t="shared" si="37"/>
        <v>2.0500000000000007</v>
      </c>
      <c r="U619" s="1" t="str">
        <f t="shared" si="38"/>
        <v>Underpaid</v>
      </c>
      <c r="V619" s="1" t="str">
        <f>_xlfn.XLOOKUP(C619,Payers!$A$2:$A$9,Payers!$B$2:$B$9)</f>
        <v>Blue Horizon Commercial</v>
      </c>
      <c r="W619" s="1" t="str">
        <f t="shared" si="39"/>
        <v>2025-12</v>
      </c>
    </row>
    <row r="620" spans="1:23">
      <c r="A620" s="1" t="s">
        <v>1243</v>
      </c>
      <c r="B620" s="1" t="s">
        <v>752</v>
      </c>
      <c r="C620" s="1" t="s">
        <v>25</v>
      </c>
      <c r="D620" s="1" t="s">
        <v>19</v>
      </c>
      <c r="E620" s="1" t="s">
        <v>88</v>
      </c>
      <c r="F620">
        <v>1</v>
      </c>
      <c r="G620" s="2">
        <v>46270</v>
      </c>
      <c r="H620" s="2">
        <v>46274</v>
      </c>
      <c r="I620">
        <v>261.33999999999997</v>
      </c>
      <c r="J620">
        <v>94.84</v>
      </c>
      <c r="K620">
        <v>94.84</v>
      </c>
      <c r="L620">
        <v>0</v>
      </c>
      <c r="M620" s="1" t="s">
        <v>21</v>
      </c>
      <c r="N620" s="1" t="s">
        <v>22</v>
      </c>
      <c r="O620" s="2">
        <v>46286</v>
      </c>
      <c r="P620" s="2">
        <v>46286</v>
      </c>
      <c r="Q620">
        <f>_xlfn.XLOOKUP(E620,CPT!$A$2:$A$13,CPT!$D$2:$D$13)</f>
        <v>260</v>
      </c>
      <c r="R620" s="1">
        <f>_xlfn.XLOOKUP(C620,Contract!$A$2:$A$9,Contract!$B$2:$B$9)</f>
        <v>0.36</v>
      </c>
      <c r="S620" s="1">
        <f t="shared" si="36"/>
        <v>93.6</v>
      </c>
      <c r="T620" s="1">
        <f t="shared" si="37"/>
        <v>-1.2400000000000091</v>
      </c>
      <c r="U620" s="1" t="str">
        <f t="shared" si="38"/>
        <v>OK</v>
      </c>
      <c r="V620" s="1" t="str">
        <f>_xlfn.XLOOKUP(C620,Payers!$A$2:$A$9,Payers!$B$2:$B$9)</f>
        <v>Medicare Part B</v>
      </c>
      <c r="W620" s="1" t="str">
        <f t="shared" si="39"/>
        <v>2026-09</v>
      </c>
    </row>
    <row r="621" spans="1:23">
      <c r="A621" s="1" t="s">
        <v>1244</v>
      </c>
      <c r="B621" s="1" t="s">
        <v>1245</v>
      </c>
      <c r="C621" s="1" t="s">
        <v>60</v>
      </c>
      <c r="D621" s="1" t="s">
        <v>37</v>
      </c>
      <c r="E621" s="1" t="s">
        <v>57</v>
      </c>
      <c r="F621">
        <v>1</v>
      </c>
      <c r="G621" s="2">
        <v>46099</v>
      </c>
      <c r="H621" s="2">
        <v>46104</v>
      </c>
      <c r="I621">
        <v>204.03</v>
      </c>
      <c r="J621">
        <v>88.79</v>
      </c>
      <c r="K621">
        <v>88.79</v>
      </c>
      <c r="L621">
        <v>0</v>
      </c>
      <c r="M621" s="1" t="s">
        <v>21</v>
      </c>
      <c r="N621" s="1" t="s">
        <v>22</v>
      </c>
      <c r="O621" s="2">
        <v>46128</v>
      </c>
      <c r="P621" s="2">
        <v>46128</v>
      </c>
      <c r="Q621">
        <f>_xlfn.XLOOKUP(E621,CPT!$A$2:$A$13,CPT!$D$2:$D$13)</f>
        <v>210</v>
      </c>
      <c r="R621" s="1">
        <f>_xlfn.XLOOKUP(C621,Contract!$A$2:$A$9,Contract!$B$2:$B$9)</f>
        <v>0.45</v>
      </c>
      <c r="S621" s="1">
        <f t="shared" si="36"/>
        <v>94.5</v>
      </c>
      <c r="T621" s="1">
        <f t="shared" si="37"/>
        <v>5.7099999999999937</v>
      </c>
      <c r="U621" s="1" t="str">
        <f t="shared" si="38"/>
        <v>Underpaid</v>
      </c>
      <c r="V621" s="1" t="str">
        <f>_xlfn.XLOOKUP(C621,Payers!$A$2:$A$9,Payers!$B$2:$B$9)</f>
        <v>Blue Horizon Commercial</v>
      </c>
      <c r="W621" s="1" t="str">
        <f t="shared" si="39"/>
        <v>2026-03</v>
      </c>
    </row>
    <row r="622" spans="1:23">
      <c r="A622" s="1" t="s">
        <v>1246</v>
      </c>
      <c r="B622" s="1" t="s">
        <v>1247</v>
      </c>
      <c r="C622" s="1" t="s">
        <v>25</v>
      </c>
      <c r="D622" s="1" t="s">
        <v>30</v>
      </c>
      <c r="E622" s="1" t="s">
        <v>20</v>
      </c>
      <c r="F622">
        <v>1</v>
      </c>
      <c r="G622" s="2">
        <v>46099</v>
      </c>
      <c r="H622" s="2">
        <v>46104</v>
      </c>
      <c r="I622">
        <v>149.09</v>
      </c>
      <c r="J622">
        <v>57.54</v>
      </c>
      <c r="K622">
        <v>57.54</v>
      </c>
      <c r="L622">
        <v>0</v>
      </c>
      <c r="M622" s="1" t="s">
        <v>21</v>
      </c>
      <c r="N622" s="1" t="s">
        <v>22</v>
      </c>
      <c r="O622" s="2">
        <v>46120</v>
      </c>
      <c r="P622" s="2">
        <v>46120</v>
      </c>
      <c r="Q622">
        <f>_xlfn.XLOOKUP(E622,CPT!$A$2:$A$13,CPT!$D$2:$D$13)</f>
        <v>145</v>
      </c>
      <c r="R622" s="1">
        <f>_xlfn.XLOOKUP(C622,Contract!$A$2:$A$9,Contract!$B$2:$B$9)</f>
        <v>0.36</v>
      </c>
      <c r="S622" s="1">
        <f t="shared" si="36"/>
        <v>52.2</v>
      </c>
      <c r="T622" s="1">
        <f t="shared" si="37"/>
        <v>-5.3399999999999963</v>
      </c>
      <c r="U622" s="1" t="str">
        <f t="shared" si="38"/>
        <v>OK</v>
      </c>
      <c r="V622" s="1" t="str">
        <f>_xlfn.XLOOKUP(C622,Payers!$A$2:$A$9,Payers!$B$2:$B$9)</f>
        <v>Medicare Part B</v>
      </c>
      <c r="W622" s="1" t="str">
        <f t="shared" si="39"/>
        <v>2026-03</v>
      </c>
    </row>
    <row r="623" spans="1:23">
      <c r="A623" s="1" t="s">
        <v>1248</v>
      </c>
      <c r="B623" s="1" t="s">
        <v>1249</v>
      </c>
      <c r="C623" s="1" t="s">
        <v>76</v>
      </c>
      <c r="D623" s="1" t="s">
        <v>30</v>
      </c>
      <c r="E623" s="1" t="s">
        <v>20</v>
      </c>
      <c r="F623">
        <v>1</v>
      </c>
      <c r="G623" s="2">
        <v>45959</v>
      </c>
      <c r="H623" s="2">
        <v>45963</v>
      </c>
      <c r="I623">
        <v>147.12</v>
      </c>
      <c r="M623" s="1" t="s">
        <v>32</v>
      </c>
      <c r="N623" s="1" t="s">
        <v>33</v>
      </c>
      <c r="O623" s="2">
        <v>45970</v>
      </c>
      <c r="P623" s="2"/>
      <c r="Q623">
        <f>_xlfn.XLOOKUP(E623,CPT!$A$2:$A$13,CPT!$D$2:$D$13)</f>
        <v>145</v>
      </c>
      <c r="R623" s="1">
        <f>_xlfn.XLOOKUP(C623,Contract!$A$2:$A$9,Contract!$B$2:$B$9)</f>
        <v>0.43</v>
      </c>
      <c r="S623" s="1">
        <f t="shared" si="36"/>
        <v>62.35</v>
      </c>
      <c r="T623" s="1" t="str">
        <f t="shared" si="37"/>
        <v/>
      </c>
      <c r="U623" s="1" t="str">
        <f t="shared" si="38"/>
        <v/>
      </c>
      <c r="V623" s="1" t="str">
        <f>_xlfn.XLOOKUP(C623,Payers!$A$2:$A$9,Payers!$B$2:$B$9)</f>
        <v>Summit Health Commercial</v>
      </c>
      <c r="W623" s="1" t="str">
        <f t="shared" si="39"/>
        <v>2025-10</v>
      </c>
    </row>
    <row r="624" spans="1:23">
      <c r="A624" s="1" t="s">
        <v>1250</v>
      </c>
      <c r="B624" s="1" t="s">
        <v>762</v>
      </c>
      <c r="C624" s="1" t="s">
        <v>60</v>
      </c>
      <c r="D624" s="1" t="s">
        <v>26</v>
      </c>
      <c r="E624" s="1" t="s">
        <v>44</v>
      </c>
      <c r="F624">
        <v>1</v>
      </c>
      <c r="G624" s="2">
        <v>46129</v>
      </c>
      <c r="H624" s="2">
        <v>46131</v>
      </c>
      <c r="I624">
        <v>4880.49</v>
      </c>
      <c r="J624">
        <v>2301.4899999999998</v>
      </c>
      <c r="K624">
        <v>1841.19</v>
      </c>
      <c r="L624">
        <v>460.3</v>
      </c>
      <c r="M624" s="1" t="s">
        <v>21</v>
      </c>
      <c r="N624" s="1" t="s">
        <v>22</v>
      </c>
      <c r="O624" s="2">
        <v>46166</v>
      </c>
      <c r="P624" s="2">
        <v>46166</v>
      </c>
      <c r="Q624">
        <f>_xlfn.XLOOKUP(E624,CPT!$A$2:$A$13,CPT!$D$2:$D$13)</f>
        <v>4800</v>
      </c>
      <c r="R624" s="1">
        <f>_xlfn.XLOOKUP(C624,Contract!$A$2:$A$9,Contract!$B$2:$B$9)</f>
        <v>0.45</v>
      </c>
      <c r="S624" s="1">
        <f t="shared" si="36"/>
        <v>2160</v>
      </c>
      <c r="T624" s="1">
        <f t="shared" si="37"/>
        <v>-141.48999999999978</v>
      </c>
      <c r="U624" s="1" t="str">
        <f t="shared" si="38"/>
        <v>OK</v>
      </c>
      <c r="V624" s="1" t="str">
        <f>_xlfn.XLOOKUP(C624,Payers!$A$2:$A$9,Payers!$B$2:$B$9)</f>
        <v>Blue Horizon Commercial</v>
      </c>
      <c r="W624" s="1" t="str">
        <f t="shared" si="39"/>
        <v>2026-04</v>
      </c>
    </row>
    <row r="625" spans="1:23">
      <c r="A625" s="1" t="s">
        <v>1251</v>
      </c>
      <c r="B625" s="1" t="s">
        <v>1252</v>
      </c>
      <c r="C625" s="1" t="s">
        <v>47</v>
      </c>
      <c r="D625" s="1" t="s">
        <v>30</v>
      </c>
      <c r="E625" s="1" t="s">
        <v>91</v>
      </c>
      <c r="F625">
        <v>1</v>
      </c>
      <c r="G625" s="2">
        <v>46239</v>
      </c>
      <c r="H625" s="2">
        <v>46240</v>
      </c>
      <c r="I625">
        <v>57.51</v>
      </c>
      <c r="M625" s="1" t="s">
        <v>69</v>
      </c>
      <c r="N625" s="1" t="s">
        <v>22</v>
      </c>
      <c r="O625" s="2"/>
      <c r="P625" s="2"/>
      <c r="Q625">
        <f>_xlfn.XLOOKUP(E625,CPT!$A$2:$A$13,CPT!$D$2:$D$13)</f>
        <v>58</v>
      </c>
      <c r="R625" s="1">
        <f>_xlfn.XLOOKUP(C625,Contract!$A$2:$A$9,Contract!$B$2:$B$9)</f>
        <v>0.28000000000000003</v>
      </c>
      <c r="S625" s="1">
        <f t="shared" si="36"/>
        <v>16.239999999999998</v>
      </c>
      <c r="T625" s="1" t="str">
        <f t="shared" si="37"/>
        <v/>
      </c>
      <c r="U625" s="1" t="str">
        <f t="shared" si="38"/>
        <v/>
      </c>
      <c r="V625" s="1" t="str">
        <f>_xlfn.XLOOKUP(C625,Payers!$A$2:$A$9,Payers!$B$2:$B$9)</f>
        <v>Coastal Medicaid MCO</v>
      </c>
      <c r="W625" s="1" t="str">
        <f t="shared" si="39"/>
        <v>2026-08</v>
      </c>
    </row>
    <row r="626" spans="1:23">
      <c r="A626" s="1" t="s">
        <v>1253</v>
      </c>
      <c r="B626" s="1" t="s">
        <v>1254</v>
      </c>
      <c r="C626" s="1" t="s">
        <v>60</v>
      </c>
      <c r="D626" s="1" t="s">
        <v>19</v>
      </c>
      <c r="E626" s="1" t="s">
        <v>41</v>
      </c>
      <c r="F626">
        <v>1</v>
      </c>
      <c r="G626" s="2">
        <v>46147</v>
      </c>
      <c r="H626" s="2">
        <v>46151</v>
      </c>
      <c r="I626">
        <v>38.71</v>
      </c>
      <c r="J626">
        <v>17.02</v>
      </c>
      <c r="K626">
        <v>13.62</v>
      </c>
      <c r="L626">
        <v>3.4</v>
      </c>
      <c r="M626" s="1" t="s">
        <v>21</v>
      </c>
      <c r="N626" s="1" t="s">
        <v>22</v>
      </c>
      <c r="O626" s="2">
        <v>46186</v>
      </c>
      <c r="P626" s="2">
        <v>46186</v>
      </c>
      <c r="Q626">
        <f>_xlfn.XLOOKUP(E626,CPT!$A$2:$A$13,CPT!$D$2:$D$13)</f>
        <v>38</v>
      </c>
      <c r="R626" s="1">
        <f>_xlfn.XLOOKUP(C626,Contract!$A$2:$A$9,Contract!$B$2:$B$9)</f>
        <v>0.45</v>
      </c>
      <c r="S626" s="1">
        <f t="shared" si="36"/>
        <v>17.100000000000001</v>
      </c>
      <c r="T626" s="1">
        <f t="shared" si="37"/>
        <v>8.0000000000001847E-2</v>
      </c>
      <c r="U626" s="1" t="str">
        <f t="shared" si="38"/>
        <v>OK</v>
      </c>
      <c r="V626" s="1" t="str">
        <f>_xlfn.XLOOKUP(C626,Payers!$A$2:$A$9,Payers!$B$2:$B$9)</f>
        <v>Blue Horizon Commercial</v>
      </c>
      <c r="W626" s="1" t="str">
        <f t="shared" si="39"/>
        <v>2026-05</v>
      </c>
    </row>
    <row r="627" spans="1:23">
      <c r="A627" s="1" t="s">
        <v>1255</v>
      </c>
      <c r="B627" s="1" t="s">
        <v>1256</v>
      </c>
      <c r="C627" s="1" t="s">
        <v>18</v>
      </c>
      <c r="D627" s="1" t="s">
        <v>26</v>
      </c>
      <c r="E627" s="1" t="s">
        <v>41</v>
      </c>
      <c r="F627">
        <v>1</v>
      </c>
      <c r="G627" s="2">
        <v>46184</v>
      </c>
      <c r="H627" s="2">
        <v>46189</v>
      </c>
      <c r="I627">
        <v>38.06</v>
      </c>
      <c r="M627" s="1" t="s">
        <v>32</v>
      </c>
      <c r="N627" s="1" t="s">
        <v>124</v>
      </c>
      <c r="O627" s="2">
        <v>46244</v>
      </c>
      <c r="P627" s="2"/>
      <c r="Q627">
        <f>_xlfn.XLOOKUP(E627,CPT!$A$2:$A$13,CPT!$D$2:$D$13)</f>
        <v>38</v>
      </c>
      <c r="R627" s="1">
        <f>_xlfn.XLOOKUP(C627,Contract!$A$2:$A$9,Contract!$B$2:$B$9)</f>
        <v>0.38</v>
      </c>
      <c r="S627" s="1">
        <f t="shared" si="36"/>
        <v>14.44</v>
      </c>
      <c r="T627" s="1" t="str">
        <f t="shared" si="37"/>
        <v/>
      </c>
      <c r="U627" s="1" t="str">
        <f t="shared" si="38"/>
        <v/>
      </c>
      <c r="V627" s="1" t="str">
        <f>_xlfn.XLOOKUP(C627,Payers!$A$2:$A$9,Payers!$B$2:$B$9)</f>
        <v>Sunshine Medicare Advantage</v>
      </c>
      <c r="W627" s="1" t="str">
        <f t="shared" si="39"/>
        <v>2026-06</v>
      </c>
    </row>
    <row r="628" spans="1:23">
      <c r="A628" s="1" t="s">
        <v>1257</v>
      </c>
      <c r="B628" s="1" t="s">
        <v>1258</v>
      </c>
      <c r="C628" s="1" t="s">
        <v>52</v>
      </c>
      <c r="D628" s="1" t="s">
        <v>26</v>
      </c>
      <c r="E628" s="1" t="s">
        <v>57</v>
      </c>
      <c r="F628">
        <v>1</v>
      </c>
      <c r="G628" s="2">
        <v>46082</v>
      </c>
      <c r="H628" s="2">
        <v>46086</v>
      </c>
      <c r="I628">
        <v>210.86</v>
      </c>
      <c r="J628">
        <v>100.05</v>
      </c>
      <c r="K628">
        <v>80.040000000000006</v>
      </c>
      <c r="L628">
        <v>20.010000000000002</v>
      </c>
      <c r="M628" s="1" t="s">
        <v>21</v>
      </c>
      <c r="N628" s="1" t="s">
        <v>22</v>
      </c>
      <c r="O628" s="2">
        <v>46117</v>
      </c>
      <c r="P628" s="2">
        <v>46117</v>
      </c>
      <c r="Q628">
        <f>_xlfn.XLOOKUP(E628,CPT!$A$2:$A$13,CPT!$D$2:$D$13)</f>
        <v>210</v>
      </c>
      <c r="R628" s="1">
        <f>_xlfn.XLOOKUP(C628,Contract!$A$2:$A$9,Contract!$B$2:$B$9)</f>
        <v>0.47</v>
      </c>
      <c r="S628" s="1">
        <f t="shared" si="36"/>
        <v>98.7</v>
      </c>
      <c r="T628" s="1">
        <f t="shared" si="37"/>
        <v>-1.3499999999999943</v>
      </c>
      <c r="U628" s="1" t="str">
        <f t="shared" si="38"/>
        <v>OK</v>
      </c>
      <c r="V628" s="1" t="str">
        <f>_xlfn.XLOOKUP(C628,Payers!$A$2:$A$9,Payers!$B$2:$B$9)</f>
        <v>Keystone Commercial PPO</v>
      </c>
      <c r="W628" s="1" t="str">
        <f t="shared" si="39"/>
        <v>2026-03</v>
      </c>
    </row>
    <row r="629" spans="1:23">
      <c r="A629" s="1" t="s">
        <v>1259</v>
      </c>
      <c r="B629" s="1" t="s">
        <v>1260</v>
      </c>
      <c r="C629" s="1" t="s">
        <v>76</v>
      </c>
      <c r="D629" s="1" t="s">
        <v>37</v>
      </c>
      <c r="E629" s="1" t="s">
        <v>48</v>
      </c>
      <c r="F629">
        <v>1</v>
      </c>
      <c r="G629" s="2">
        <v>46230</v>
      </c>
      <c r="H629" s="2">
        <v>46233</v>
      </c>
      <c r="I629">
        <v>409.46</v>
      </c>
      <c r="M629" s="1" t="s">
        <v>32</v>
      </c>
      <c r="N629" s="1" t="s">
        <v>33</v>
      </c>
      <c r="O629" s="2">
        <v>46264</v>
      </c>
      <c r="P629" s="2"/>
      <c r="Q629">
        <f>_xlfn.XLOOKUP(E629,CPT!$A$2:$A$13,CPT!$D$2:$D$13)</f>
        <v>420</v>
      </c>
      <c r="R629" s="1">
        <f>_xlfn.XLOOKUP(C629,Contract!$A$2:$A$9,Contract!$B$2:$B$9)</f>
        <v>0.43</v>
      </c>
      <c r="S629" s="1">
        <f t="shared" si="36"/>
        <v>180.6</v>
      </c>
      <c r="T629" s="1" t="str">
        <f t="shared" si="37"/>
        <v/>
      </c>
      <c r="U629" s="1" t="str">
        <f t="shared" si="38"/>
        <v/>
      </c>
      <c r="V629" s="1" t="str">
        <f>_xlfn.XLOOKUP(C629,Payers!$A$2:$A$9,Payers!$B$2:$B$9)</f>
        <v>Summit Health Commercial</v>
      </c>
      <c r="W629" s="1" t="str">
        <f t="shared" si="39"/>
        <v>2026-07</v>
      </c>
    </row>
    <row r="630" spans="1:23">
      <c r="A630" s="1" t="s">
        <v>1261</v>
      </c>
      <c r="B630" s="1" t="s">
        <v>1262</v>
      </c>
      <c r="C630" s="1" t="s">
        <v>47</v>
      </c>
      <c r="D630" s="1" t="s">
        <v>26</v>
      </c>
      <c r="E630" s="1" t="s">
        <v>113</v>
      </c>
      <c r="F630">
        <v>1</v>
      </c>
      <c r="G630" s="2">
        <v>46083</v>
      </c>
      <c r="H630" s="2">
        <v>46089</v>
      </c>
      <c r="I630">
        <v>1038.28</v>
      </c>
      <c r="J630">
        <v>285.17</v>
      </c>
      <c r="K630">
        <v>285.17</v>
      </c>
      <c r="L630">
        <v>0</v>
      </c>
      <c r="M630" s="1" t="s">
        <v>21</v>
      </c>
      <c r="N630" s="1" t="s">
        <v>22</v>
      </c>
      <c r="O630" s="2">
        <v>46155</v>
      </c>
      <c r="P630" s="2">
        <v>46155</v>
      </c>
      <c r="Q630">
        <f>_xlfn.XLOOKUP(E630,CPT!$A$2:$A$13,CPT!$D$2:$D$13)</f>
        <v>1050</v>
      </c>
      <c r="R630" s="1">
        <f>_xlfn.XLOOKUP(C630,Contract!$A$2:$A$9,Contract!$B$2:$B$9)</f>
        <v>0.28000000000000003</v>
      </c>
      <c r="S630" s="1">
        <f t="shared" si="36"/>
        <v>294</v>
      </c>
      <c r="T630" s="1">
        <f t="shared" si="37"/>
        <v>8.8299999999999841</v>
      </c>
      <c r="U630" s="1" t="str">
        <f t="shared" si="38"/>
        <v>OK</v>
      </c>
      <c r="V630" s="1" t="str">
        <f>_xlfn.XLOOKUP(C630,Payers!$A$2:$A$9,Payers!$B$2:$B$9)</f>
        <v>Coastal Medicaid MCO</v>
      </c>
      <c r="W630" s="1" t="str">
        <f t="shared" si="39"/>
        <v>2026-03</v>
      </c>
    </row>
    <row r="631" spans="1:23">
      <c r="A631" s="1" t="s">
        <v>1263</v>
      </c>
      <c r="B631" s="1" t="s">
        <v>1264</v>
      </c>
      <c r="C631" s="1" t="s">
        <v>79</v>
      </c>
      <c r="D631" s="1" t="s">
        <v>26</v>
      </c>
      <c r="E631" s="1" t="s">
        <v>41</v>
      </c>
      <c r="F631">
        <v>1</v>
      </c>
      <c r="G631" s="2">
        <v>46063</v>
      </c>
      <c r="H631" s="2">
        <v>46064</v>
      </c>
      <c r="I631">
        <v>38.85</v>
      </c>
      <c r="M631" s="1" t="s">
        <v>69</v>
      </c>
      <c r="N631" s="1" t="s">
        <v>22</v>
      </c>
      <c r="O631" s="2"/>
      <c r="P631" s="2"/>
      <c r="Q631">
        <f>_xlfn.XLOOKUP(E631,CPT!$A$2:$A$13,CPT!$D$2:$D$13)</f>
        <v>38</v>
      </c>
      <c r="R631" s="1">
        <f>_xlfn.XLOOKUP(C631,Contract!$A$2:$A$9,Contract!$B$2:$B$9)</f>
        <v>1</v>
      </c>
      <c r="S631" s="1">
        <f t="shared" si="36"/>
        <v>38</v>
      </c>
      <c r="T631" s="1" t="str">
        <f t="shared" si="37"/>
        <v/>
      </c>
      <c r="U631" s="1" t="str">
        <f t="shared" si="38"/>
        <v/>
      </c>
      <c r="V631" s="1" t="str">
        <f>_xlfn.XLOOKUP(C631,Payers!$A$2:$A$9,Payers!$B$2:$B$9)</f>
        <v>Self-Pay</v>
      </c>
      <c r="W631" s="1" t="str">
        <f t="shared" si="39"/>
        <v>2026-02</v>
      </c>
    </row>
    <row r="632" spans="1:23">
      <c r="A632" s="1" t="s">
        <v>1265</v>
      </c>
      <c r="B632" s="1" t="s">
        <v>1266</v>
      </c>
      <c r="C632" s="1" t="s">
        <v>52</v>
      </c>
      <c r="D632" s="1" t="s">
        <v>26</v>
      </c>
      <c r="E632" s="1" t="s">
        <v>41</v>
      </c>
      <c r="F632">
        <v>1</v>
      </c>
      <c r="G632" s="2">
        <v>46285</v>
      </c>
      <c r="H632" s="2">
        <v>46290</v>
      </c>
      <c r="I632">
        <v>37.78</v>
      </c>
      <c r="M632" s="1" t="s">
        <v>69</v>
      </c>
      <c r="N632" s="1" t="s">
        <v>22</v>
      </c>
      <c r="O632" s="2"/>
      <c r="P632" s="2"/>
      <c r="Q632">
        <f>_xlfn.XLOOKUP(E632,CPT!$A$2:$A$13,CPT!$D$2:$D$13)</f>
        <v>38</v>
      </c>
      <c r="R632" s="1">
        <f>_xlfn.XLOOKUP(C632,Contract!$A$2:$A$9,Contract!$B$2:$B$9)</f>
        <v>0.47</v>
      </c>
      <c r="S632" s="1">
        <f t="shared" si="36"/>
        <v>17.86</v>
      </c>
      <c r="T632" s="1" t="str">
        <f t="shared" si="37"/>
        <v/>
      </c>
      <c r="U632" s="1" t="str">
        <f t="shared" si="38"/>
        <v/>
      </c>
      <c r="V632" s="1" t="str">
        <f>_xlfn.XLOOKUP(C632,Payers!$A$2:$A$9,Payers!$B$2:$B$9)</f>
        <v>Keystone Commercial PPO</v>
      </c>
      <c r="W632" s="1" t="str">
        <f t="shared" si="39"/>
        <v>2026-09</v>
      </c>
    </row>
    <row r="633" spans="1:23">
      <c r="A633" s="1" t="s">
        <v>1267</v>
      </c>
      <c r="B633" s="1" t="s">
        <v>1268</v>
      </c>
      <c r="C633" s="1" t="s">
        <v>36</v>
      </c>
      <c r="D633" s="1" t="s">
        <v>19</v>
      </c>
      <c r="E633" s="1" t="s">
        <v>41</v>
      </c>
      <c r="F633">
        <v>1</v>
      </c>
      <c r="G633" s="2">
        <v>45975</v>
      </c>
      <c r="H633" s="2">
        <v>45976</v>
      </c>
      <c r="I633">
        <v>37.15</v>
      </c>
      <c r="M633" s="1" t="s">
        <v>32</v>
      </c>
      <c r="N633" s="1" t="s">
        <v>33</v>
      </c>
      <c r="O633" s="2">
        <v>46036</v>
      </c>
      <c r="P633" s="2"/>
      <c r="Q633">
        <f>_xlfn.XLOOKUP(E633,CPT!$A$2:$A$13,CPT!$D$2:$D$13)</f>
        <v>38</v>
      </c>
      <c r="R633" s="1">
        <f>_xlfn.XLOOKUP(C633,Contract!$A$2:$A$9,Contract!$B$2:$B$9)</f>
        <v>0.27</v>
      </c>
      <c r="S633" s="1">
        <f t="shared" si="36"/>
        <v>10.26</v>
      </c>
      <c r="T633" s="1" t="str">
        <f t="shared" si="37"/>
        <v/>
      </c>
      <c r="U633" s="1" t="str">
        <f t="shared" si="38"/>
        <v/>
      </c>
      <c r="V633" s="1" t="str">
        <f>_xlfn.XLOOKUP(C633,Payers!$A$2:$A$9,Payers!$B$2:$B$9)</f>
        <v>Florida Medicaid</v>
      </c>
      <c r="W633" s="1" t="str">
        <f t="shared" si="39"/>
        <v>2025-11</v>
      </c>
    </row>
    <row r="634" spans="1:23">
      <c r="A634" s="1" t="s">
        <v>1269</v>
      </c>
      <c r="B634" s="1" t="s">
        <v>566</v>
      </c>
      <c r="C634" s="1" t="s">
        <v>60</v>
      </c>
      <c r="D634" s="1" t="s">
        <v>37</v>
      </c>
      <c r="E634" s="1" t="s">
        <v>38</v>
      </c>
      <c r="F634">
        <v>10</v>
      </c>
      <c r="G634" s="2">
        <v>46168</v>
      </c>
      <c r="H634" s="2">
        <v>46169</v>
      </c>
      <c r="I634">
        <v>14477.37</v>
      </c>
      <c r="M634" s="1" t="s">
        <v>32</v>
      </c>
      <c r="N634" s="1" t="s">
        <v>315</v>
      </c>
      <c r="O634" s="2">
        <v>46206</v>
      </c>
      <c r="P634" s="2"/>
      <c r="Q634">
        <f>_xlfn.XLOOKUP(E634,CPT!$A$2:$A$13,CPT!$D$2:$D$13)</f>
        <v>1450</v>
      </c>
      <c r="R634" s="1">
        <f>_xlfn.XLOOKUP(C634,Contract!$A$2:$A$9,Contract!$B$2:$B$9)</f>
        <v>0.45</v>
      </c>
      <c r="S634" s="1">
        <f t="shared" si="36"/>
        <v>6525</v>
      </c>
      <c r="T634" s="1" t="str">
        <f t="shared" si="37"/>
        <v/>
      </c>
      <c r="U634" s="1" t="str">
        <f t="shared" si="38"/>
        <v/>
      </c>
      <c r="V634" s="1" t="str">
        <f>_xlfn.XLOOKUP(C634,Payers!$A$2:$A$9,Payers!$B$2:$B$9)</f>
        <v>Blue Horizon Commercial</v>
      </c>
      <c r="W634" s="1" t="str">
        <f t="shared" si="39"/>
        <v>2026-05</v>
      </c>
    </row>
    <row r="635" spans="1:23">
      <c r="A635" s="1" t="s">
        <v>1270</v>
      </c>
      <c r="B635" s="1" t="s">
        <v>1271</v>
      </c>
      <c r="C635" s="1" t="s">
        <v>36</v>
      </c>
      <c r="D635" s="1" t="s">
        <v>26</v>
      </c>
      <c r="E635" s="1" t="s">
        <v>27</v>
      </c>
      <c r="F635">
        <v>1</v>
      </c>
      <c r="G635" s="2">
        <v>46131</v>
      </c>
      <c r="H635" s="2">
        <v>46132</v>
      </c>
      <c r="I635">
        <v>233.53</v>
      </c>
      <c r="J635">
        <v>67.23</v>
      </c>
      <c r="K635">
        <v>53.78</v>
      </c>
      <c r="L635">
        <v>13.45</v>
      </c>
      <c r="M635" s="1" t="s">
        <v>21</v>
      </c>
      <c r="N635" s="1" t="s">
        <v>22</v>
      </c>
      <c r="O635" s="2">
        <v>46168</v>
      </c>
      <c r="P635" s="2">
        <v>46168</v>
      </c>
      <c r="Q635">
        <f>_xlfn.XLOOKUP(E635,CPT!$A$2:$A$13,CPT!$D$2:$D$13)</f>
        <v>240</v>
      </c>
      <c r="R635" s="1">
        <f>_xlfn.XLOOKUP(C635,Contract!$A$2:$A$9,Contract!$B$2:$B$9)</f>
        <v>0.27</v>
      </c>
      <c r="S635" s="1">
        <f t="shared" si="36"/>
        <v>64.8</v>
      </c>
      <c r="T635" s="1">
        <f t="shared" si="37"/>
        <v>-2.4300000000000068</v>
      </c>
      <c r="U635" s="1" t="str">
        <f t="shared" si="38"/>
        <v>OK</v>
      </c>
      <c r="V635" s="1" t="str">
        <f>_xlfn.XLOOKUP(C635,Payers!$A$2:$A$9,Payers!$B$2:$B$9)</f>
        <v>Florida Medicaid</v>
      </c>
      <c r="W635" s="1" t="str">
        <f t="shared" si="39"/>
        <v>2026-04</v>
      </c>
    </row>
    <row r="636" spans="1:23">
      <c r="A636" s="1" t="s">
        <v>1272</v>
      </c>
      <c r="B636" s="1" t="s">
        <v>1273</v>
      </c>
      <c r="C636" s="1" t="s">
        <v>60</v>
      </c>
      <c r="D636" s="1" t="s">
        <v>19</v>
      </c>
      <c r="E636" s="1" t="s">
        <v>88</v>
      </c>
      <c r="F636">
        <v>1</v>
      </c>
      <c r="G636" s="2">
        <v>46135</v>
      </c>
      <c r="H636" s="2">
        <v>46139</v>
      </c>
      <c r="I636">
        <v>259.77999999999997</v>
      </c>
      <c r="J636">
        <v>123.4</v>
      </c>
      <c r="K636">
        <v>123.4</v>
      </c>
      <c r="L636">
        <v>0</v>
      </c>
      <c r="M636" s="1" t="s">
        <v>21</v>
      </c>
      <c r="N636" s="1" t="s">
        <v>22</v>
      </c>
      <c r="O636" s="2">
        <v>46170</v>
      </c>
      <c r="P636" s="2">
        <v>46170</v>
      </c>
      <c r="Q636">
        <f>_xlfn.XLOOKUP(E636,CPT!$A$2:$A$13,CPT!$D$2:$D$13)</f>
        <v>260</v>
      </c>
      <c r="R636" s="1">
        <f>_xlfn.XLOOKUP(C636,Contract!$A$2:$A$9,Contract!$B$2:$B$9)</f>
        <v>0.45</v>
      </c>
      <c r="S636" s="1">
        <f t="shared" si="36"/>
        <v>117</v>
      </c>
      <c r="T636" s="1">
        <f t="shared" si="37"/>
        <v>-6.4000000000000057</v>
      </c>
      <c r="U636" s="1" t="str">
        <f t="shared" si="38"/>
        <v>OK</v>
      </c>
      <c r="V636" s="1" t="str">
        <f>_xlfn.XLOOKUP(C636,Payers!$A$2:$A$9,Payers!$B$2:$B$9)</f>
        <v>Blue Horizon Commercial</v>
      </c>
      <c r="W636" s="1" t="str">
        <f t="shared" si="39"/>
        <v>2026-04</v>
      </c>
    </row>
    <row r="637" spans="1:23">
      <c r="A637" s="1" t="s">
        <v>1274</v>
      </c>
      <c r="B637" s="1" t="s">
        <v>1108</v>
      </c>
      <c r="C637" s="1" t="s">
        <v>76</v>
      </c>
      <c r="D637" s="1" t="s">
        <v>26</v>
      </c>
      <c r="E637" s="1" t="s">
        <v>27</v>
      </c>
      <c r="F637">
        <v>1</v>
      </c>
      <c r="G637" s="2">
        <v>45963</v>
      </c>
      <c r="H637" s="2">
        <v>45968</v>
      </c>
      <c r="I637">
        <v>236.66</v>
      </c>
      <c r="J637">
        <v>89.12</v>
      </c>
      <c r="K637">
        <v>80.209999999999994</v>
      </c>
      <c r="L637">
        <v>8.91</v>
      </c>
      <c r="M637" s="1" t="s">
        <v>21</v>
      </c>
      <c r="N637" s="1" t="s">
        <v>22</v>
      </c>
      <c r="O637" s="2">
        <v>45989</v>
      </c>
      <c r="P637" s="2">
        <v>45989</v>
      </c>
      <c r="Q637">
        <f>_xlfn.XLOOKUP(E637,CPT!$A$2:$A$13,CPT!$D$2:$D$13)</f>
        <v>240</v>
      </c>
      <c r="R637" s="1">
        <f>_xlfn.XLOOKUP(C637,Contract!$A$2:$A$9,Contract!$B$2:$B$9)</f>
        <v>0.43</v>
      </c>
      <c r="S637" s="1">
        <f t="shared" si="36"/>
        <v>103.2</v>
      </c>
      <c r="T637" s="1">
        <f t="shared" si="37"/>
        <v>14.079999999999998</v>
      </c>
      <c r="U637" s="1" t="str">
        <f t="shared" si="38"/>
        <v>Underpaid</v>
      </c>
      <c r="V637" s="1" t="str">
        <f>_xlfn.XLOOKUP(C637,Payers!$A$2:$A$9,Payers!$B$2:$B$9)</f>
        <v>Summit Health Commercial</v>
      </c>
      <c r="W637" s="1" t="str">
        <f t="shared" si="39"/>
        <v>2025-11</v>
      </c>
    </row>
    <row r="638" spans="1:23">
      <c r="A638" s="1" t="s">
        <v>1275</v>
      </c>
      <c r="B638" s="1" t="s">
        <v>1276</v>
      </c>
      <c r="C638" s="1" t="s">
        <v>60</v>
      </c>
      <c r="D638" s="1" t="s">
        <v>37</v>
      </c>
      <c r="E638" s="1" t="s">
        <v>38</v>
      </c>
      <c r="F638">
        <v>30</v>
      </c>
      <c r="G638" s="2">
        <v>46029</v>
      </c>
      <c r="H638" s="2">
        <v>46031</v>
      </c>
      <c r="I638">
        <v>43092.44</v>
      </c>
      <c r="J638">
        <v>21859.49</v>
      </c>
      <c r="K638">
        <v>17487.59</v>
      </c>
      <c r="L638">
        <v>4371.8999999999996</v>
      </c>
      <c r="M638" s="1" t="s">
        <v>21</v>
      </c>
      <c r="N638" s="1" t="s">
        <v>22</v>
      </c>
      <c r="O638" s="2">
        <v>46052</v>
      </c>
      <c r="P638" s="2">
        <v>46052</v>
      </c>
      <c r="Q638">
        <f>_xlfn.XLOOKUP(E638,CPT!$A$2:$A$13,CPT!$D$2:$D$13)</f>
        <v>1450</v>
      </c>
      <c r="R638" s="1">
        <f>_xlfn.XLOOKUP(C638,Contract!$A$2:$A$9,Contract!$B$2:$B$9)</f>
        <v>0.45</v>
      </c>
      <c r="S638" s="1">
        <f t="shared" si="36"/>
        <v>19575</v>
      </c>
      <c r="T638" s="1">
        <f t="shared" si="37"/>
        <v>-2284.4900000000016</v>
      </c>
      <c r="U638" s="1" t="str">
        <f t="shared" si="38"/>
        <v>OK</v>
      </c>
      <c r="V638" s="1" t="str">
        <f>_xlfn.XLOOKUP(C638,Payers!$A$2:$A$9,Payers!$B$2:$B$9)</f>
        <v>Blue Horizon Commercial</v>
      </c>
      <c r="W638" s="1" t="str">
        <f t="shared" si="39"/>
        <v>2026-01</v>
      </c>
    </row>
    <row r="639" spans="1:23">
      <c r="A639" s="1" t="s">
        <v>1277</v>
      </c>
      <c r="B639" s="1" t="s">
        <v>1278</v>
      </c>
      <c r="C639" s="1" t="s">
        <v>18</v>
      </c>
      <c r="D639" s="1" t="s">
        <v>30</v>
      </c>
      <c r="E639" s="1" t="s">
        <v>20</v>
      </c>
      <c r="F639">
        <v>1</v>
      </c>
      <c r="G639" s="2">
        <v>46144</v>
      </c>
      <c r="H639" s="2">
        <v>46149</v>
      </c>
      <c r="I639">
        <v>147.9</v>
      </c>
      <c r="J639">
        <v>61.85</v>
      </c>
      <c r="K639">
        <v>61.85</v>
      </c>
      <c r="L639">
        <v>0</v>
      </c>
      <c r="M639" s="1" t="s">
        <v>21</v>
      </c>
      <c r="N639" s="1" t="s">
        <v>22</v>
      </c>
      <c r="O639" s="2">
        <v>46218</v>
      </c>
      <c r="P639" s="2">
        <v>46218</v>
      </c>
      <c r="Q639">
        <f>_xlfn.XLOOKUP(E639,CPT!$A$2:$A$13,CPT!$D$2:$D$13)</f>
        <v>145</v>
      </c>
      <c r="R639" s="1">
        <f>_xlfn.XLOOKUP(C639,Contract!$A$2:$A$9,Contract!$B$2:$B$9)</f>
        <v>0.38</v>
      </c>
      <c r="S639" s="1">
        <f t="shared" si="36"/>
        <v>55.1</v>
      </c>
      <c r="T639" s="1">
        <f t="shared" si="37"/>
        <v>-6.75</v>
      </c>
      <c r="U639" s="1" t="str">
        <f t="shared" si="38"/>
        <v>OK</v>
      </c>
      <c r="V639" s="1" t="str">
        <f>_xlfn.XLOOKUP(C639,Payers!$A$2:$A$9,Payers!$B$2:$B$9)</f>
        <v>Sunshine Medicare Advantage</v>
      </c>
      <c r="W639" s="1" t="str">
        <f t="shared" si="39"/>
        <v>2026-05</v>
      </c>
    </row>
    <row r="640" spans="1:23">
      <c r="A640" s="1" t="s">
        <v>1279</v>
      </c>
      <c r="B640" s="1" t="s">
        <v>1280</v>
      </c>
      <c r="C640" s="1" t="s">
        <v>18</v>
      </c>
      <c r="D640" s="1" t="s">
        <v>26</v>
      </c>
      <c r="E640" s="1" t="s">
        <v>41</v>
      </c>
      <c r="F640">
        <v>1</v>
      </c>
      <c r="G640" s="2">
        <v>46272</v>
      </c>
      <c r="H640" s="2">
        <v>46273</v>
      </c>
      <c r="I640">
        <v>37.96</v>
      </c>
      <c r="M640" s="1" t="s">
        <v>69</v>
      </c>
      <c r="N640" s="1" t="s">
        <v>22</v>
      </c>
      <c r="O640" s="2"/>
      <c r="P640" s="2"/>
      <c r="Q640">
        <f>_xlfn.XLOOKUP(E640,CPT!$A$2:$A$13,CPT!$D$2:$D$13)</f>
        <v>38</v>
      </c>
      <c r="R640" s="1">
        <f>_xlfn.XLOOKUP(C640,Contract!$A$2:$A$9,Contract!$B$2:$B$9)</f>
        <v>0.38</v>
      </c>
      <c r="S640" s="1">
        <f t="shared" si="36"/>
        <v>14.44</v>
      </c>
      <c r="T640" s="1" t="str">
        <f t="shared" si="37"/>
        <v/>
      </c>
      <c r="U640" s="1" t="str">
        <f t="shared" si="38"/>
        <v/>
      </c>
      <c r="V640" s="1" t="str">
        <f>_xlfn.XLOOKUP(C640,Payers!$A$2:$A$9,Payers!$B$2:$B$9)</f>
        <v>Sunshine Medicare Advantage</v>
      </c>
      <c r="W640" s="1" t="str">
        <f t="shared" si="39"/>
        <v>2026-09</v>
      </c>
    </row>
    <row r="641" spans="1:23">
      <c r="A641" s="1" t="s">
        <v>1281</v>
      </c>
      <c r="B641" s="1" t="s">
        <v>1282</v>
      </c>
      <c r="C641" s="1" t="s">
        <v>79</v>
      </c>
      <c r="D641" s="1" t="s">
        <v>26</v>
      </c>
      <c r="E641" s="1" t="s">
        <v>88</v>
      </c>
      <c r="F641">
        <v>1</v>
      </c>
      <c r="G641" s="2">
        <v>46114</v>
      </c>
      <c r="H641" s="2">
        <v>46116</v>
      </c>
      <c r="I641">
        <v>265.94</v>
      </c>
      <c r="J641">
        <v>265.94</v>
      </c>
      <c r="K641">
        <v>265.94</v>
      </c>
      <c r="L641">
        <v>0</v>
      </c>
      <c r="M641" s="1" t="s">
        <v>21</v>
      </c>
      <c r="N641" s="1" t="s">
        <v>22</v>
      </c>
      <c r="O641" s="2">
        <v>46181</v>
      </c>
      <c r="P641" s="2">
        <v>46181</v>
      </c>
      <c r="Q641">
        <f>_xlfn.XLOOKUP(E641,CPT!$A$2:$A$13,CPT!$D$2:$D$13)</f>
        <v>260</v>
      </c>
      <c r="R641" s="1">
        <f>_xlfn.XLOOKUP(C641,Contract!$A$2:$A$9,Contract!$B$2:$B$9)</f>
        <v>1</v>
      </c>
      <c r="S641" s="1">
        <f t="shared" si="36"/>
        <v>260</v>
      </c>
      <c r="T641" s="1">
        <f t="shared" si="37"/>
        <v>-5.9399999999999977</v>
      </c>
      <c r="U641" s="1" t="str">
        <f t="shared" si="38"/>
        <v>OK</v>
      </c>
      <c r="V641" s="1" t="str">
        <f>_xlfn.XLOOKUP(C641,Payers!$A$2:$A$9,Payers!$B$2:$B$9)</f>
        <v>Self-Pay</v>
      </c>
      <c r="W641" s="1" t="str">
        <f t="shared" si="39"/>
        <v>2026-04</v>
      </c>
    </row>
    <row r="642" spans="1:23">
      <c r="A642" s="1" t="s">
        <v>1283</v>
      </c>
      <c r="B642" s="1" t="s">
        <v>924</v>
      </c>
      <c r="C642" s="1" t="s">
        <v>76</v>
      </c>
      <c r="D642" s="1" t="s">
        <v>26</v>
      </c>
      <c r="E642" s="1" t="s">
        <v>88</v>
      </c>
      <c r="F642">
        <v>1</v>
      </c>
      <c r="G642" s="2">
        <v>45989</v>
      </c>
      <c r="H642" s="2">
        <v>45990</v>
      </c>
      <c r="I642">
        <v>261.83</v>
      </c>
      <c r="J642">
        <v>103.5</v>
      </c>
      <c r="K642">
        <v>103.5</v>
      </c>
      <c r="L642">
        <v>0</v>
      </c>
      <c r="M642" s="1" t="s">
        <v>21</v>
      </c>
      <c r="N642" s="1" t="s">
        <v>22</v>
      </c>
      <c r="O642" s="2">
        <v>46017</v>
      </c>
      <c r="P642" s="2">
        <v>46017</v>
      </c>
      <c r="Q642">
        <f>_xlfn.XLOOKUP(E642,CPT!$A$2:$A$13,CPT!$D$2:$D$13)</f>
        <v>260</v>
      </c>
      <c r="R642" s="1">
        <f>_xlfn.XLOOKUP(C642,Contract!$A$2:$A$9,Contract!$B$2:$B$9)</f>
        <v>0.43</v>
      </c>
      <c r="S642" s="1">
        <f t="shared" ref="S642:S705" si="40">ROUND(Q642*F642*R642,2)</f>
        <v>111.8</v>
      </c>
      <c r="T642" s="1">
        <f t="shared" ref="T642:T705" si="41">IF(M642="Paid",S642-J642,"")</f>
        <v>8.2999999999999972</v>
      </c>
      <c r="U642" s="1" t="str">
        <f t="shared" ref="U642:U705" si="42">IF(M642&lt;&gt;"Paid","",IF(T642&gt;S642*0.05,"Underpaid","OK"))</f>
        <v>Underpaid</v>
      </c>
      <c r="V642" s="1" t="str">
        <f>_xlfn.XLOOKUP(C642,Payers!$A$2:$A$9,Payers!$B$2:$B$9)</f>
        <v>Summit Health Commercial</v>
      </c>
      <c r="W642" s="1" t="str">
        <f t="shared" ref="W642:W705" si="43">TEXT(G642,"yyyy-mm")</f>
        <v>2025-11</v>
      </c>
    </row>
    <row r="643" spans="1:23">
      <c r="A643" s="1" t="s">
        <v>1284</v>
      </c>
      <c r="B643" s="1" t="s">
        <v>1285</v>
      </c>
      <c r="C643" s="1" t="s">
        <v>60</v>
      </c>
      <c r="D643" s="1" t="s">
        <v>37</v>
      </c>
      <c r="E643" s="1" t="s">
        <v>38</v>
      </c>
      <c r="F643">
        <v>5</v>
      </c>
      <c r="G643" s="2">
        <v>46243</v>
      </c>
      <c r="H643" s="2">
        <v>46244</v>
      </c>
      <c r="I643">
        <v>7390.77</v>
      </c>
      <c r="M643" s="1" t="s">
        <v>32</v>
      </c>
      <c r="N643" s="1" t="s">
        <v>33</v>
      </c>
      <c r="O643" s="2">
        <v>46278</v>
      </c>
      <c r="P643" s="2"/>
      <c r="Q643">
        <f>_xlfn.XLOOKUP(E643,CPT!$A$2:$A$13,CPT!$D$2:$D$13)</f>
        <v>1450</v>
      </c>
      <c r="R643" s="1">
        <f>_xlfn.XLOOKUP(C643,Contract!$A$2:$A$9,Contract!$B$2:$B$9)</f>
        <v>0.45</v>
      </c>
      <c r="S643" s="1">
        <f t="shared" si="40"/>
        <v>3262.5</v>
      </c>
      <c r="T643" s="1" t="str">
        <f t="shared" si="41"/>
        <v/>
      </c>
      <c r="U643" s="1" t="str">
        <f t="shared" si="42"/>
        <v/>
      </c>
      <c r="V643" s="1" t="str">
        <f>_xlfn.XLOOKUP(C643,Payers!$A$2:$A$9,Payers!$B$2:$B$9)</f>
        <v>Blue Horizon Commercial</v>
      </c>
      <c r="W643" s="1" t="str">
        <f t="shared" si="43"/>
        <v>2026-08</v>
      </c>
    </row>
    <row r="644" spans="1:23">
      <c r="A644" s="1" t="s">
        <v>1286</v>
      </c>
      <c r="B644" s="1" t="s">
        <v>1287</v>
      </c>
      <c r="C644" s="1" t="s">
        <v>52</v>
      </c>
      <c r="D644" s="1" t="s">
        <v>37</v>
      </c>
      <c r="E644" s="1" t="s">
        <v>57</v>
      </c>
      <c r="F644">
        <v>1</v>
      </c>
      <c r="G644" s="2">
        <v>45981</v>
      </c>
      <c r="H644" s="2">
        <v>45983</v>
      </c>
      <c r="I644">
        <v>205.64</v>
      </c>
      <c r="J644">
        <v>85.77</v>
      </c>
      <c r="K644">
        <v>85.77</v>
      </c>
      <c r="L644">
        <v>0</v>
      </c>
      <c r="M644" s="1" t="s">
        <v>21</v>
      </c>
      <c r="N644" s="1" t="s">
        <v>22</v>
      </c>
      <c r="O644" s="2">
        <v>46038</v>
      </c>
      <c r="P644" s="2">
        <v>46038</v>
      </c>
      <c r="Q644">
        <f>_xlfn.XLOOKUP(E644,CPT!$A$2:$A$13,CPT!$D$2:$D$13)</f>
        <v>210</v>
      </c>
      <c r="R644" s="1">
        <f>_xlfn.XLOOKUP(C644,Contract!$A$2:$A$9,Contract!$B$2:$B$9)</f>
        <v>0.47</v>
      </c>
      <c r="S644" s="1">
        <f t="shared" si="40"/>
        <v>98.7</v>
      </c>
      <c r="T644" s="1">
        <f t="shared" si="41"/>
        <v>12.930000000000007</v>
      </c>
      <c r="U644" s="1" t="str">
        <f t="shared" si="42"/>
        <v>Underpaid</v>
      </c>
      <c r="V644" s="1" t="str">
        <f>_xlfn.XLOOKUP(C644,Payers!$A$2:$A$9,Payers!$B$2:$B$9)</f>
        <v>Keystone Commercial PPO</v>
      </c>
      <c r="W644" s="1" t="str">
        <f t="shared" si="43"/>
        <v>2025-11</v>
      </c>
    </row>
    <row r="645" spans="1:23">
      <c r="A645" s="1" t="s">
        <v>1288</v>
      </c>
      <c r="B645" s="1" t="s">
        <v>1289</v>
      </c>
      <c r="C645" s="1" t="s">
        <v>76</v>
      </c>
      <c r="D645" s="1" t="s">
        <v>30</v>
      </c>
      <c r="E645" s="1" t="s">
        <v>91</v>
      </c>
      <c r="F645">
        <v>1</v>
      </c>
      <c r="G645" s="2">
        <v>46189</v>
      </c>
      <c r="H645" s="2">
        <v>46191</v>
      </c>
      <c r="I645">
        <v>56.56</v>
      </c>
      <c r="J645">
        <v>25.42</v>
      </c>
      <c r="K645">
        <v>25.42</v>
      </c>
      <c r="L645">
        <v>0</v>
      </c>
      <c r="M645" s="1" t="s">
        <v>21</v>
      </c>
      <c r="N645" s="1" t="s">
        <v>22</v>
      </c>
      <c r="O645" s="2">
        <v>46247</v>
      </c>
      <c r="P645" s="2">
        <v>46247</v>
      </c>
      <c r="Q645">
        <f>_xlfn.XLOOKUP(E645,CPT!$A$2:$A$13,CPT!$D$2:$D$13)</f>
        <v>58</v>
      </c>
      <c r="R645" s="1">
        <f>_xlfn.XLOOKUP(C645,Contract!$A$2:$A$9,Contract!$B$2:$B$9)</f>
        <v>0.43</v>
      </c>
      <c r="S645" s="1">
        <f t="shared" si="40"/>
        <v>24.94</v>
      </c>
      <c r="T645" s="1">
        <f t="shared" si="41"/>
        <v>-0.48000000000000043</v>
      </c>
      <c r="U645" s="1" t="str">
        <f t="shared" si="42"/>
        <v>OK</v>
      </c>
      <c r="V645" s="1" t="str">
        <f>_xlfn.XLOOKUP(C645,Payers!$A$2:$A$9,Payers!$B$2:$B$9)</f>
        <v>Summit Health Commercial</v>
      </c>
      <c r="W645" s="1" t="str">
        <f t="shared" si="43"/>
        <v>2026-06</v>
      </c>
    </row>
    <row r="646" spans="1:23">
      <c r="A646" s="1" t="s">
        <v>1290</v>
      </c>
      <c r="B646" s="1" t="s">
        <v>1291</v>
      </c>
      <c r="C646" s="1" t="s">
        <v>36</v>
      </c>
      <c r="D646" s="1" t="s">
        <v>37</v>
      </c>
      <c r="E646" s="1" t="s">
        <v>48</v>
      </c>
      <c r="F646">
        <v>1</v>
      </c>
      <c r="G646" s="2">
        <v>46001</v>
      </c>
      <c r="H646" s="2">
        <v>46004</v>
      </c>
      <c r="I646">
        <v>427.6</v>
      </c>
      <c r="J646">
        <v>113.97</v>
      </c>
      <c r="K646">
        <v>102.57</v>
      </c>
      <c r="L646">
        <v>11.4</v>
      </c>
      <c r="M646" s="1" t="s">
        <v>21</v>
      </c>
      <c r="N646" s="1" t="s">
        <v>22</v>
      </c>
      <c r="O646" s="2">
        <v>46056</v>
      </c>
      <c r="P646" s="2">
        <v>46056</v>
      </c>
      <c r="Q646">
        <f>_xlfn.XLOOKUP(E646,CPT!$A$2:$A$13,CPT!$D$2:$D$13)</f>
        <v>420</v>
      </c>
      <c r="R646" s="1">
        <f>_xlfn.XLOOKUP(C646,Contract!$A$2:$A$9,Contract!$B$2:$B$9)</f>
        <v>0.27</v>
      </c>
      <c r="S646" s="1">
        <f t="shared" si="40"/>
        <v>113.4</v>
      </c>
      <c r="T646" s="1">
        <f t="shared" si="41"/>
        <v>-0.56999999999999318</v>
      </c>
      <c r="U646" s="1" t="str">
        <f t="shared" si="42"/>
        <v>OK</v>
      </c>
      <c r="V646" s="1" t="str">
        <f>_xlfn.XLOOKUP(C646,Payers!$A$2:$A$9,Payers!$B$2:$B$9)</f>
        <v>Florida Medicaid</v>
      </c>
      <c r="W646" s="1" t="str">
        <f t="shared" si="43"/>
        <v>2025-12</v>
      </c>
    </row>
    <row r="647" spans="1:23">
      <c r="A647" s="1" t="s">
        <v>1292</v>
      </c>
      <c r="B647" s="1" t="s">
        <v>1293</v>
      </c>
      <c r="C647" s="1" t="s">
        <v>18</v>
      </c>
      <c r="D647" s="1" t="s">
        <v>19</v>
      </c>
      <c r="E647" s="1" t="s">
        <v>20</v>
      </c>
      <c r="F647">
        <v>1</v>
      </c>
      <c r="G647" s="2">
        <v>46195</v>
      </c>
      <c r="H647" s="2">
        <v>46196</v>
      </c>
      <c r="I647">
        <v>148.86000000000001</v>
      </c>
      <c r="J647">
        <v>65.48</v>
      </c>
      <c r="K647">
        <v>65.48</v>
      </c>
      <c r="L647">
        <v>0</v>
      </c>
      <c r="M647" s="1" t="s">
        <v>21</v>
      </c>
      <c r="N647" s="1" t="s">
        <v>22</v>
      </c>
      <c r="O647" s="2">
        <v>46225</v>
      </c>
      <c r="P647" s="2">
        <v>46225</v>
      </c>
      <c r="Q647">
        <f>_xlfn.XLOOKUP(E647,CPT!$A$2:$A$13,CPT!$D$2:$D$13)</f>
        <v>145</v>
      </c>
      <c r="R647" s="1">
        <f>_xlfn.XLOOKUP(C647,Contract!$A$2:$A$9,Contract!$B$2:$B$9)</f>
        <v>0.38</v>
      </c>
      <c r="S647" s="1">
        <f t="shared" si="40"/>
        <v>55.1</v>
      </c>
      <c r="T647" s="1">
        <f t="shared" si="41"/>
        <v>-10.380000000000003</v>
      </c>
      <c r="U647" s="1" t="str">
        <f t="shared" si="42"/>
        <v>OK</v>
      </c>
      <c r="V647" s="1" t="str">
        <f>_xlfn.XLOOKUP(C647,Payers!$A$2:$A$9,Payers!$B$2:$B$9)</f>
        <v>Sunshine Medicare Advantage</v>
      </c>
      <c r="W647" s="1" t="str">
        <f t="shared" si="43"/>
        <v>2026-06</v>
      </c>
    </row>
    <row r="648" spans="1:23">
      <c r="A648" s="1" t="s">
        <v>1294</v>
      </c>
      <c r="B648" s="1" t="s">
        <v>1295</v>
      </c>
      <c r="C648" s="1" t="s">
        <v>60</v>
      </c>
      <c r="D648" s="1" t="s">
        <v>26</v>
      </c>
      <c r="E648" s="1" t="s">
        <v>44</v>
      </c>
      <c r="F648">
        <v>1</v>
      </c>
      <c r="G648" s="2">
        <v>46259</v>
      </c>
      <c r="H648" s="2">
        <v>46263</v>
      </c>
      <c r="I648">
        <v>4699.47</v>
      </c>
      <c r="M648" s="1" t="s">
        <v>69</v>
      </c>
      <c r="N648" s="1" t="s">
        <v>22</v>
      </c>
      <c r="O648" s="2"/>
      <c r="P648" s="2"/>
      <c r="Q648">
        <f>_xlfn.XLOOKUP(E648,CPT!$A$2:$A$13,CPT!$D$2:$D$13)</f>
        <v>4800</v>
      </c>
      <c r="R648" s="1">
        <f>_xlfn.XLOOKUP(C648,Contract!$A$2:$A$9,Contract!$B$2:$B$9)</f>
        <v>0.45</v>
      </c>
      <c r="S648" s="1">
        <f t="shared" si="40"/>
        <v>2160</v>
      </c>
      <c r="T648" s="1" t="str">
        <f t="shared" si="41"/>
        <v/>
      </c>
      <c r="U648" s="1" t="str">
        <f t="shared" si="42"/>
        <v/>
      </c>
      <c r="V648" s="1" t="str">
        <f>_xlfn.XLOOKUP(C648,Payers!$A$2:$A$9,Payers!$B$2:$B$9)</f>
        <v>Blue Horizon Commercial</v>
      </c>
      <c r="W648" s="1" t="str">
        <f t="shared" si="43"/>
        <v>2026-08</v>
      </c>
    </row>
    <row r="649" spans="1:23">
      <c r="A649" s="1" t="s">
        <v>1296</v>
      </c>
      <c r="B649" s="1" t="s">
        <v>1297</v>
      </c>
      <c r="C649" s="1" t="s">
        <v>18</v>
      </c>
      <c r="D649" s="1" t="s">
        <v>19</v>
      </c>
      <c r="E649" s="1" t="s">
        <v>88</v>
      </c>
      <c r="F649">
        <v>1</v>
      </c>
      <c r="G649" s="2">
        <v>46091</v>
      </c>
      <c r="H649" s="2">
        <v>46092</v>
      </c>
      <c r="I649">
        <v>266.38</v>
      </c>
      <c r="J649">
        <v>102.77</v>
      </c>
      <c r="K649">
        <v>102.77</v>
      </c>
      <c r="L649">
        <v>0</v>
      </c>
      <c r="M649" s="1" t="s">
        <v>21</v>
      </c>
      <c r="N649" s="1" t="s">
        <v>22</v>
      </c>
      <c r="O649" s="2">
        <v>46113</v>
      </c>
      <c r="P649" s="2">
        <v>46113</v>
      </c>
      <c r="Q649">
        <f>_xlfn.XLOOKUP(E649,CPT!$A$2:$A$13,CPT!$D$2:$D$13)</f>
        <v>260</v>
      </c>
      <c r="R649" s="1">
        <f>_xlfn.XLOOKUP(C649,Contract!$A$2:$A$9,Contract!$B$2:$B$9)</f>
        <v>0.38</v>
      </c>
      <c r="S649" s="1">
        <f t="shared" si="40"/>
        <v>98.8</v>
      </c>
      <c r="T649" s="1">
        <f t="shared" si="41"/>
        <v>-3.9699999999999989</v>
      </c>
      <c r="U649" s="1" t="str">
        <f t="shared" si="42"/>
        <v>OK</v>
      </c>
      <c r="V649" s="1" t="str">
        <f>_xlfn.XLOOKUP(C649,Payers!$A$2:$A$9,Payers!$B$2:$B$9)</f>
        <v>Sunshine Medicare Advantage</v>
      </c>
      <c r="W649" s="1" t="str">
        <f t="shared" si="43"/>
        <v>2026-03</v>
      </c>
    </row>
    <row r="650" spans="1:23">
      <c r="A650" s="1" t="s">
        <v>1298</v>
      </c>
      <c r="B650" s="1" t="s">
        <v>1299</v>
      </c>
      <c r="C650" s="1" t="s">
        <v>47</v>
      </c>
      <c r="D650" s="1" t="s">
        <v>19</v>
      </c>
      <c r="E650" s="1" t="s">
        <v>57</v>
      </c>
      <c r="F650">
        <v>1</v>
      </c>
      <c r="G650" s="2">
        <v>46250</v>
      </c>
      <c r="H650" s="2">
        <v>46255</v>
      </c>
      <c r="I650">
        <v>213.63</v>
      </c>
      <c r="M650" s="1" t="s">
        <v>69</v>
      </c>
      <c r="N650" s="1" t="s">
        <v>22</v>
      </c>
      <c r="O650" s="2"/>
      <c r="P650" s="2"/>
      <c r="Q650">
        <f>_xlfn.XLOOKUP(E650,CPT!$A$2:$A$13,CPT!$D$2:$D$13)</f>
        <v>210</v>
      </c>
      <c r="R650" s="1">
        <f>_xlfn.XLOOKUP(C650,Contract!$A$2:$A$9,Contract!$B$2:$B$9)</f>
        <v>0.28000000000000003</v>
      </c>
      <c r="S650" s="1">
        <f t="shared" si="40"/>
        <v>58.8</v>
      </c>
      <c r="T650" s="1" t="str">
        <f t="shared" si="41"/>
        <v/>
      </c>
      <c r="U650" s="1" t="str">
        <f t="shared" si="42"/>
        <v/>
      </c>
      <c r="V650" s="1" t="str">
        <f>_xlfn.XLOOKUP(C650,Payers!$A$2:$A$9,Payers!$B$2:$B$9)</f>
        <v>Coastal Medicaid MCO</v>
      </c>
      <c r="W650" s="1" t="str">
        <f t="shared" si="43"/>
        <v>2026-08</v>
      </c>
    </row>
    <row r="651" spans="1:23">
      <c r="A651" s="1" t="s">
        <v>1300</v>
      </c>
      <c r="B651" s="1" t="s">
        <v>1301</v>
      </c>
      <c r="C651" s="1" t="s">
        <v>60</v>
      </c>
      <c r="D651" s="1" t="s">
        <v>30</v>
      </c>
      <c r="E651" s="1" t="s">
        <v>31</v>
      </c>
      <c r="F651">
        <v>2</v>
      </c>
      <c r="G651" s="2">
        <v>46102</v>
      </c>
      <c r="H651" s="2">
        <v>46108</v>
      </c>
      <c r="I651">
        <v>125.67</v>
      </c>
      <c r="J651">
        <v>52.75</v>
      </c>
      <c r="K651">
        <v>52.75</v>
      </c>
      <c r="L651">
        <v>0</v>
      </c>
      <c r="M651" s="1" t="s">
        <v>21</v>
      </c>
      <c r="N651" s="1" t="s">
        <v>22</v>
      </c>
      <c r="O651" s="2">
        <v>46127</v>
      </c>
      <c r="P651" s="2">
        <v>46127</v>
      </c>
      <c r="Q651">
        <f>_xlfn.XLOOKUP(E651,CPT!$A$2:$A$13,CPT!$D$2:$D$13)</f>
        <v>62</v>
      </c>
      <c r="R651" s="1">
        <f>_xlfn.XLOOKUP(C651,Contract!$A$2:$A$9,Contract!$B$2:$B$9)</f>
        <v>0.45</v>
      </c>
      <c r="S651" s="1">
        <f t="shared" si="40"/>
        <v>55.8</v>
      </c>
      <c r="T651" s="1">
        <f t="shared" si="41"/>
        <v>3.0499999999999972</v>
      </c>
      <c r="U651" s="1" t="str">
        <f t="shared" si="42"/>
        <v>Underpaid</v>
      </c>
      <c r="V651" s="1" t="str">
        <f>_xlfn.XLOOKUP(C651,Payers!$A$2:$A$9,Payers!$B$2:$B$9)</f>
        <v>Blue Horizon Commercial</v>
      </c>
      <c r="W651" s="1" t="str">
        <f t="shared" si="43"/>
        <v>2026-03</v>
      </c>
    </row>
    <row r="652" spans="1:23">
      <c r="A652" s="1" t="s">
        <v>1302</v>
      </c>
      <c r="B652" s="1" t="s">
        <v>1303</v>
      </c>
      <c r="C652" s="1" t="s">
        <v>18</v>
      </c>
      <c r="D652" s="1" t="s">
        <v>19</v>
      </c>
      <c r="E652" s="1" t="s">
        <v>88</v>
      </c>
      <c r="F652">
        <v>1</v>
      </c>
      <c r="G652" s="2">
        <v>46012</v>
      </c>
      <c r="H652" s="2">
        <v>46021</v>
      </c>
      <c r="I652">
        <v>252.57</v>
      </c>
      <c r="J652">
        <v>89.36</v>
      </c>
      <c r="K652">
        <v>71.489999999999995</v>
      </c>
      <c r="L652">
        <v>17.87</v>
      </c>
      <c r="M652" s="1" t="s">
        <v>21</v>
      </c>
      <c r="N652" s="1" t="s">
        <v>22</v>
      </c>
      <c r="O652" s="2">
        <v>46079</v>
      </c>
      <c r="P652" s="2">
        <v>46079</v>
      </c>
      <c r="Q652">
        <f>_xlfn.XLOOKUP(E652,CPT!$A$2:$A$13,CPT!$D$2:$D$13)</f>
        <v>260</v>
      </c>
      <c r="R652" s="1">
        <f>_xlfn.XLOOKUP(C652,Contract!$A$2:$A$9,Contract!$B$2:$B$9)</f>
        <v>0.38</v>
      </c>
      <c r="S652" s="1">
        <f t="shared" si="40"/>
        <v>98.8</v>
      </c>
      <c r="T652" s="1">
        <f t="shared" si="41"/>
        <v>9.4399999999999977</v>
      </c>
      <c r="U652" s="1" t="str">
        <f t="shared" si="42"/>
        <v>Underpaid</v>
      </c>
      <c r="V652" s="1" t="str">
        <f>_xlfn.XLOOKUP(C652,Payers!$A$2:$A$9,Payers!$B$2:$B$9)</f>
        <v>Sunshine Medicare Advantage</v>
      </c>
      <c r="W652" s="1" t="str">
        <f t="shared" si="43"/>
        <v>2025-12</v>
      </c>
    </row>
    <row r="653" spans="1:23">
      <c r="A653" s="1" t="s">
        <v>1304</v>
      </c>
      <c r="B653" s="1" t="s">
        <v>1198</v>
      </c>
      <c r="C653" s="1" t="s">
        <v>36</v>
      </c>
      <c r="D653" s="1" t="s">
        <v>26</v>
      </c>
      <c r="E653" s="1" t="s">
        <v>88</v>
      </c>
      <c r="F653">
        <v>1</v>
      </c>
      <c r="G653" s="2">
        <v>46063</v>
      </c>
      <c r="H653" s="2">
        <v>46065</v>
      </c>
      <c r="I653">
        <v>261.98</v>
      </c>
      <c r="M653" s="1" t="s">
        <v>32</v>
      </c>
      <c r="N653" s="1" t="s">
        <v>98</v>
      </c>
      <c r="O653" s="2">
        <v>46096</v>
      </c>
      <c r="P653" s="2"/>
      <c r="Q653">
        <f>_xlfn.XLOOKUP(E653,CPT!$A$2:$A$13,CPT!$D$2:$D$13)</f>
        <v>260</v>
      </c>
      <c r="R653" s="1">
        <f>_xlfn.XLOOKUP(C653,Contract!$A$2:$A$9,Contract!$B$2:$B$9)</f>
        <v>0.27</v>
      </c>
      <c r="S653" s="1">
        <f t="shared" si="40"/>
        <v>70.2</v>
      </c>
      <c r="T653" s="1" t="str">
        <f t="shared" si="41"/>
        <v/>
      </c>
      <c r="U653" s="1" t="str">
        <f t="shared" si="42"/>
        <v/>
      </c>
      <c r="V653" s="1" t="str">
        <f>_xlfn.XLOOKUP(C653,Payers!$A$2:$A$9,Payers!$B$2:$B$9)</f>
        <v>Florida Medicaid</v>
      </c>
      <c r="W653" s="1" t="str">
        <f t="shared" si="43"/>
        <v>2026-02</v>
      </c>
    </row>
    <row r="654" spans="1:23">
      <c r="A654" s="1" t="s">
        <v>1305</v>
      </c>
      <c r="B654" s="1" t="s">
        <v>1306</v>
      </c>
      <c r="C654" s="1" t="s">
        <v>79</v>
      </c>
      <c r="D654" s="1" t="s">
        <v>26</v>
      </c>
      <c r="E654" s="1" t="s">
        <v>185</v>
      </c>
      <c r="F654">
        <v>1</v>
      </c>
      <c r="G654" s="2">
        <v>46228</v>
      </c>
      <c r="H654" s="2">
        <v>46237</v>
      </c>
      <c r="I654">
        <v>1154.53</v>
      </c>
      <c r="M654" s="1" t="s">
        <v>69</v>
      </c>
      <c r="N654" s="1" t="s">
        <v>22</v>
      </c>
      <c r="O654" s="2"/>
      <c r="P654" s="2"/>
      <c r="Q654">
        <f>_xlfn.XLOOKUP(E654,CPT!$A$2:$A$13,CPT!$D$2:$D$13)</f>
        <v>1150</v>
      </c>
      <c r="R654" s="1">
        <f>_xlfn.XLOOKUP(C654,Contract!$A$2:$A$9,Contract!$B$2:$B$9)</f>
        <v>1</v>
      </c>
      <c r="S654" s="1">
        <f t="shared" si="40"/>
        <v>1150</v>
      </c>
      <c r="T654" s="1" t="str">
        <f t="shared" si="41"/>
        <v/>
      </c>
      <c r="U654" s="1" t="str">
        <f t="shared" si="42"/>
        <v/>
      </c>
      <c r="V654" s="1" t="str">
        <f>_xlfn.XLOOKUP(C654,Payers!$A$2:$A$9,Payers!$B$2:$B$9)</f>
        <v>Self-Pay</v>
      </c>
      <c r="W654" s="1" t="str">
        <f t="shared" si="43"/>
        <v>2026-07</v>
      </c>
    </row>
    <row r="655" spans="1:23">
      <c r="A655" s="1" t="s">
        <v>1307</v>
      </c>
      <c r="B655" s="1" t="s">
        <v>1308</v>
      </c>
      <c r="C655" s="1" t="s">
        <v>25</v>
      </c>
      <c r="D655" s="1" t="s">
        <v>37</v>
      </c>
      <c r="E655" s="1" t="s">
        <v>57</v>
      </c>
      <c r="F655">
        <v>1</v>
      </c>
      <c r="G655" s="2">
        <v>46002</v>
      </c>
      <c r="H655" s="2">
        <v>46005</v>
      </c>
      <c r="I655">
        <v>212.7</v>
      </c>
      <c r="J655">
        <v>72.47</v>
      </c>
      <c r="K655">
        <v>72.47</v>
      </c>
      <c r="L655">
        <v>0</v>
      </c>
      <c r="M655" s="1" t="s">
        <v>21</v>
      </c>
      <c r="N655" s="1" t="s">
        <v>22</v>
      </c>
      <c r="O655" s="2">
        <v>46021</v>
      </c>
      <c r="P655" s="2">
        <v>46021</v>
      </c>
      <c r="Q655">
        <f>_xlfn.XLOOKUP(E655,CPT!$A$2:$A$13,CPT!$D$2:$D$13)</f>
        <v>210</v>
      </c>
      <c r="R655" s="1">
        <f>_xlfn.XLOOKUP(C655,Contract!$A$2:$A$9,Contract!$B$2:$B$9)</f>
        <v>0.36</v>
      </c>
      <c r="S655" s="1">
        <f t="shared" si="40"/>
        <v>75.599999999999994</v>
      </c>
      <c r="T655" s="1">
        <f t="shared" si="41"/>
        <v>3.1299999999999955</v>
      </c>
      <c r="U655" s="1" t="str">
        <f t="shared" si="42"/>
        <v>OK</v>
      </c>
      <c r="V655" s="1" t="str">
        <f>_xlfn.XLOOKUP(C655,Payers!$A$2:$A$9,Payers!$B$2:$B$9)</f>
        <v>Medicare Part B</v>
      </c>
      <c r="W655" s="1" t="str">
        <f t="shared" si="43"/>
        <v>2025-12</v>
      </c>
    </row>
    <row r="656" spans="1:23">
      <c r="A656" s="1" t="s">
        <v>1309</v>
      </c>
      <c r="B656" s="1" t="s">
        <v>1310</v>
      </c>
      <c r="C656" s="1" t="s">
        <v>47</v>
      </c>
      <c r="D656" s="1" t="s">
        <v>26</v>
      </c>
      <c r="E656" s="1" t="s">
        <v>113</v>
      </c>
      <c r="F656">
        <v>1</v>
      </c>
      <c r="G656" s="2">
        <v>46174</v>
      </c>
      <c r="H656" s="2">
        <v>46175</v>
      </c>
      <c r="I656">
        <v>1032.03</v>
      </c>
      <c r="J656">
        <v>279.23</v>
      </c>
      <c r="K656">
        <v>251.31</v>
      </c>
      <c r="L656">
        <v>27.92</v>
      </c>
      <c r="M656" s="1" t="s">
        <v>21</v>
      </c>
      <c r="N656" s="1" t="s">
        <v>22</v>
      </c>
      <c r="O656" s="2">
        <v>46206</v>
      </c>
      <c r="P656" s="2">
        <v>46206</v>
      </c>
      <c r="Q656">
        <f>_xlfn.XLOOKUP(E656,CPT!$A$2:$A$13,CPT!$D$2:$D$13)</f>
        <v>1050</v>
      </c>
      <c r="R656" s="1">
        <f>_xlfn.XLOOKUP(C656,Contract!$A$2:$A$9,Contract!$B$2:$B$9)</f>
        <v>0.28000000000000003</v>
      </c>
      <c r="S656" s="1">
        <f t="shared" si="40"/>
        <v>294</v>
      </c>
      <c r="T656" s="1">
        <f t="shared" si="41"/>
        <v>14.769999999999982</v>
      </c>
      <c r="U656" s="1" t="str">
        <f t="shared" si="42"/>
        <v>Underpaid</v>
      </c>
      <c r="V656" s="1" t="str">
        <f>_xlfn.XLOOKUP(C656,Payers!$A$2:$A$9,Payers!$B$2:$B$9)</f>
        <v>Coastal Medicaid MCO</v>
      </c>
      <c r="W656" s="1" t="str">
        <f t="shared" si="43"/>
        <v>2026-06</v>
      </c>
    </row>
    <row r="657" spans="1:23">
      <c r="A657" s="1" t="s">
        <v>1311</v>
      </c>
      <c r="B657" s="1" t="s">
        <v>1312</v>
      </c>
      <c r="C657" s="1" t="s">
        <v>79</v>
      </c>
      <c r="D657" s="1" t="s">
        <v>19</v>
      </c>
      <c r="E657" s="1" t="s">
        <v>41</v>
      </c>
      <c r="F657">
        <v>1</v>
      </c>
      <c r="G657" s="2">
        <v>46283</v>
      </c>
      <c r="H657" s="2">
        <v>46286</v>
      </c>
      <c r="I657">
        <v>38.979999999999997</v>
      </c>
      <c r="M657" s="1" t="s">
        <v>69</v>
      </c>
      <c r="N657" s="1" t="s">
        <v>22</v>
      </c>
      <c r="O657" s="2"/>
      <c r="P657" s="2"/>
      <c r="Q657">
        <f>_xlfn.XLOOKUP(E657,CPT!$A$2:$A$13,CPT!$D$2:$D$13)</f>
        <v>38</v>
      </c>
      <c r="R657" s="1">
        <f>_xlfn.XLOOKUP(C657,Contract!$A$2:$A$9,Contract!$B$2:$B$9)</f>
        <v>1</v>
      </c>
      <c r="S657" s="1">
        <f t="shared" si="40"/>
        <v>38</v>
      </c>
      <c r="T657" s="1" t="str">
        <f t="shared" si="41"/>
        <v/>
      </c>
      <c r="U657" s="1" t="str">
        <f t="shared" si="42"/>
        <v/>
      </c>
      <c r="V657" s="1" t="str">
        <f>_xlfn.XLOOKUP(C657,Payers!$A$2:$A$9,Payers!$B$2:$B$9)</f>
        <v>Self-Pay</v>
      </c>
      <c r="W657" s="1" t="str">
        <f t="shared" si="43"/>
        <v>2026-09</v>
      </c>
    </row>
    <row r="658" spans="1:23">
      <c r="A658" s="1" t="s">
        <v>1313</v>
      </c>
      <c r="B658" s="1" t="s">
        <v>1314</v>
      </c>
      <c r="C658" s="1" t="s">
        <v>18</v>
      </c>
      <c r="D658" s="1" t="s">
        <v>19</v>
      </c>
      <c r="E658" s="1" t="s">
        <v>20</v>
      </c>
      <c r="F658">
        <v>1</v>
      </c>
      <c r="G658" s="2">
        <v>46164</v>
      </c>
      <c r="H658" s="2">
        <v>46170</v>
      </c>
      <c r="I658">
        <v>144.77000000000001</v>
      </c>
      <c r="J658">
        <v>53.12</v>
      </c>
      <c r="K658">
        <v>42.5</v>
      </c>
      <c r="L658">
        <v>10.62</v>
      </c>
      <c r="M658" s="1" t="s">
        <v>21</v>
      </c>
      <c r="N658" s="1" t="s">
        <v>22</v>
      </c>
      <c r="O658" s="2">
        <v>46242</v>
      </c>
      <c r="P658" s="2">
        <v>46242</v>
      </c>
      <c r="Q658">
        <f>_xlfn.XLOOKUP(E658,CPT!$A$2:$A$13,CPT!$D$2:$D$13)</f>
        <v>145</v>
      </c>
      <c r="R658" s="1">
        <f>_xlfn.XLOOKUP(C658,Contract!$A$2:$A$9,Contract!$B$2:$B$9)</f>
        <v>0.38</v>
      </c>
      <c r="S658" s="1">
        <f t="shared" si="40"/>
        <v>55.1</v>
      </c>
      <c r="T658" s="1">
        <f t="shared" si="41"/>
        <v>1.980000000000004</v>
      </c>
      <c r="U658" s="1" t="str">
        <f t="shared" si="42"/>
        <v>OK</v>
      </c>
      <c r="V658" s="1" t="str">
        <f>_xlfn.XLOOKUP(C658,Payers!$A$2:$A$9,Payers!$B$2:$B$9)</f>
        <v>Sunshine Medicare Advantage</v>
      </c>
      <c r="W658" s="1" t="str">
        <f t="shared" si="43"/>
        <v>2026-05</v>
      </c>
    </row>
    <row r="659" spans="1:23">
      <c r="A659" s="1" t="s">
        <v>1315</v>
      </c>
      <c r="B659" s="1" t="s">
        <v>1316</v>
      </c>
      <c r="C659" s="1" t="s">
        <v>76</v>
      </c>
      <c r="D659" s="1" t="s">
        <v>26</v>
      </c>
      <c r="E659" s="1" t="s">
        <v>27</v>
      </c>
      <c r="F659">
        <v>1</v>
      </c>
      <c r="G659" s="2">
        <v>46198</v>
      </c>
      <c r="H659" s="2">
        <v>46200</v>
      </c>
      <c r="I659">
        <v>235.01</v>
      </c>
      <c r="J659">
        <v>94.32</v>
      </c>
      <c r="K659">
        <v>75.459999999999994</v>
      </c>
      <c r="L659">
        <v>18.86</v>
      </c>
      <c r="M659" s="1" t="s">
        <v>21</v>
      </c>
      <c r="N659" s="1" t="s">
        <v>22</v>
      </c>
      <c r="O659" s="2">
        <v>46228</v>
      </c>
      <c r="P659" s="2">
        <v>46228</v>
      </c>
      <c r="Q659">
        <f>_xlfn.XLOOKUP(E659,CPT!$A$2:$A$13,CPT!$D$2:$D$13)</f>
        <v>240</v>
      </c>
      <c r="R659" s="1">
        <f>_xlfn.XLOOKUP(C659,Contract!$A$2:$A$9,Contract!$B$2:$B$9)</f>
        <v>0.43</v>
      </c>
      <c r="S659" s="1">
        <f t="shared" si="40"/>
        <v>103.2</v>
      </c>
      <c r="T659" s="1">
        <f t="shared" si="41"/>
        <v>8.8800000000000097</v>
      </c>
      <c r="U659" s="1" t="str">
        <f t="shared" si="42"/>
        <v>Underpaid</v>
      </c>
      <c r="V659" s="1" t="str">
        <f>_xlfn.XLOOKUP(C659,Payers!$A$2:$A$9,Payers!$B$2:$B$9)</f>
        <v>Summit Health Commercial</v>
      </c>
      <c r="W659" s="1" t="str">
        <f t="shared" si="43"/>
        <v>2026-06</v>
      </c>
    </row>
    <row r="660" spans="1:23">
      <c r="A660" s="1" t="s">
        <v>1317</v>
      </c>
      <c r="B660" s="1" t="s">
        <v>1318</v>
      </c>
      <c r="C660" s="1" t="s">
        <v>36</v>
      </c>
      <c r="D660" s="1" t="s">
        <v>37</v>
      </c>
      <c r="E660" s="1" t="s">
        <v>38</v>
      </c>
      <c r="F660">
        <v>5</v>
      </c>
      <c r="G660" s="2">
        <v>46146</v>
      </c>
      <c r="H660" s="2">
        <v>46148</v>
      </c>
      <c r="I660">
        <v>7440.02</v>
      </c>
      <c r="J660">
        <v>1810.74</v>
      </c>
      <c r="K660">
        <v>1629.67</v>
      </c>
      <c r="L660">
        <v>181.07</v>
      </c>
      <c r="M660" s="1" t="s">
        <v>21</v>
      </c>
      <c r="N660" s="1" t="s">
        <v>22</v>
      </c>
      <c r="O660" s="2">
        <v>46187</v>
      </c>
      <c r="P660" s="2">
        <v>46187</v>
      </c>
      <c r="Q660">
        <f>_xlfn.XLOOKUP(E660,CPT!$A$2:$A$13,CPT!$D$2:$D$13)</f>
        <v>1450</v>
      </c>
      <c r="R660" s="1">
        <f>_xlfn.XLOOKUP(C660,Contract!$A$2:$A$9,Contract!$B$2:$B$9)</f>
        <v>0.27</v>
      </c>
      <c r="S660" s="1">
        <f t="shared" si="40"/>
        <v>1957.5</v>
      </c>
      <c r="T660" s="1">
        <f t="shared" si="41"/>
        <v>146.76</v>
      </c>
      <c r="U660" s="1" t="str">
        <f t="shared" si="42"/>
        <v>Underpaid</v>
      </c>
      <c r="V660" s="1" t="str">
        <f>_xlfn.XLOOKUP(C660,Payers!$A$2:$A$9,Payers!$B$2:$B$9)</f>
        <v>Florida Medicaid</v>
      </c>
      <c r="W660" s="1" t="str">
        <f t="shared" si="43"/>
        <v>2026-05</v>
      </c>
    </row>
    <row r="661" spans="1:23">
      <c r="A661" s="1" t="s">
        <v>1319</v>
      </c>
      <c r="B661" s="1" t="s">
        <v>1320</v>
      </c>
      <c r="C661" s="1" t="s">
        <v>52</v>
      </c>
      <c r="D661" s="1" t="s">
        <v>30</v>
      </c>
      <c r="E661" s="1" t="s">
        <v>91</v>
      </c>
      <c r="F661">
        <v>3</v>
      </c>
      <c r="G661" s="2">
        <v>46089</v>
      </c>
      <c r="H661" s="2">
        <v>46091</v>
      </c>
      <c r="I661">
        <v>173.5</v>
      </c>
      <c r="J661">
        <v>90.49</v>
      </c>
      <c r="K661">
        <v>90.49</v>
      </c>
      <c r="L661">
        <v>0</v>
      </c>
      <c r="M661" s="1" t="s">
        <v>21</v>
      </c>
      <c r="N661" s="1" t="s">
        <v>22</v>
      </c>
      <c r="O661" s="2">
        <v>46135</v>
      </c>
      <c r="P661" s="2">
        <v>46135</v>
      </c>
      <c r="Q661">
        <f>_xlfn.XLOOKUP(E661,CPT!$A$2:$A$13,CPT!$D$2:$D$13)</f>
        <v>58</v>
      </c>
      <c r="R661" s="1">
        <f>_xlfn.XLOOKUP(C661,Contract!$A$2:$A$9,Contract!$B$2:$B$9)</f>
        <v>0.47</v>
      </c>
      <c r="S661" s="1">
        <f t="shared" si="40"/>
        <v>81.78</v>
      </c>
      <c r="T661" s="1">
        <f t="shared" si="41"/>
        <v>-8.7099999999999937</v>
      </c>
      <c r="U661" s="1" t="str">
        <f t="shared" si="42"/>
        <v>OK</v>
      </c>
      <c r="V661" s="1" t="str">
        <f>_xlfn.XLOOKUP(C661,Payers!$A$2:$A$9,Payers!$B$2:$B$9)</f>
        <v>Keystone Commercial PPO</v>
      </c>
      <c r="W661" s="1" t="str">
        <f t="shared" si="43"/>
        <v>2026-03</v>
      </c>
    </row>
    <row r="662" spans="1:23">
      <c r="A662" s="1" t="s">
        <v>1321</v>
      </c>
      <c r="B662" s="1" t="s">
        <v>1322</v>
      </c>
      <c r="C662" s="1" t="s">
        <v>52</v>
      </c>
      <c r="D662" s="1" t="s">
        <v>26</v>
      </c>
      <c r="E662" s="1" t="s">
        <v>41</v>
      </c>
      <c r="F662">
        <v>1</v>
      </c>
      <c r="G662" s="2">
        <v>46161</v>
      </c>
      <c r="H662" s="2">
        <v>46162</v>
      </c>
      <c r="I662">
        <v>38.380000000000003</v>
      </c>
      <c r="J662">
        <v>15.82</v>
      </c>
      <c r="K662">
        <v>12.66</v>
      </c>
      <c r="L662">
        <v>3.16</v>
      </c>
      <c r="M662" s="1" t="s">
        <v>21</v>
      </c>
      <c r="N662" s="1" t="s">
        <v>22</v>
      </c>
      <c r="O662" s="2">
        <v>46193</v>
      </c>
      <c r="P662" s="2">
        <v>46193</v>
      </c>
      <c r="Q662">
        <f>_xlfn.XLOOKUP(E662,CPT!$A$2:$A$13,CPT!$D$2:$D$13)</f>
        <v>38</v>
      </c>
      <c r="R662" s="1">
        <f>_xlfn.XLOOKUP(C662,Contract!$A$2:$A$9,Contract!$B$2:$B$9)</f>
        <v>0.47</v>
      </c>
      <c r="S662" s="1">
        <f t="shared" si="40"/>
        <v>17.86</v>
      </c>
      <c r="T662" s="1">
        <f t="shared" si="41"/>
        <v>2.0399999999999991</v>
      </c>
      <c r="U662" s="1" t="str">
        <f t="shared" si="42"/>
        <v>Underpaid</v>
      </c>
      <c r="V662" s="1" t="str">
        <f>_xlfn.XLOOKUP(C662,Payers!$A$2:$A$9,Payers!$B$2:$B$9)</f>
        <v>Keystone Commercial PPO</v>
      </c>
      <c r="W662" s="1" t="str">
        <f t="shared" si="43"/>
        <v>2026-05</v>
      </c>
    </row>
    <row r="663" spans="1:23">
      <c r="A663" s="1" t="s">
        <v>1323</v>
      </c>
      <c r="B663" s="1" t="s">
        <v>1324</v>
      </c>
      <c r="C663" s="1" t="s">
        <v>25</v>
      </c>
      <c r="D663" s="1" t="s">
        <v>30</v>
      </c>
      <c r="E663" s="1" t="s">
        <v>91</v>
      </c>
      <c r="F663">
        <v>2</v>
      </c>
      <c r="G663" s="2">
        <v>46274</v>
      </c>
      <c r="H663" s="2">
        <v>46279</v>
      </c>
      <c r="I663">
        <v>117.64</v>
      </c>
      <c r="J663">
        <v>43.3</v>
      </c>
      <c r="K663">
        <v>38.97</v>
      </c>
      <c r="L663">
        <v>4.33</v>
      </c>
      <c r="M663" s="1" t="s">
        <v>21</v>
      </c>
      <c r="N663" s="1" t="s">
        <v>22</v>
      </c>
      <c r="O663" s="2">
        <v>46291</v>
      </c>
      <c r="P663" s="2">
        <v>46291</v>
      </c>
      <c r="Q663">
        <f>_xlfn.XLOOKUP(E663,CPT!$A$2:$A$13,CPT!$D$2:$D$13)</f>
        <v>58</v>
      </c>
      <c r="R663" s="1">
        <f>_xlfn.XLOOKUP(C663,Contract!$A$2:$A$9,Contract!$B$2:$B$9)</f>
        <v>0.36</v>
      </c>
      <c r="S663" s="1">
        <f t="shared" si="40"/>
        <v>41.76</v>
      </c>
      <c r="T663" s="1">
        <f t="shared" si="41"/>
        <v>-1.5399999999999991</v>
      </c>
      <c r="U663" s="1" t="str">
        <f t="shared" si="42"/>
        <v>OK</v>
      </c>
      <c r="V663" s="1" t="str">
        <f>_xlfn.XLOOKUP(C663,Payers!$A$2:$A$9,Payers!$B$2:$B$9)</f>
        <v>Medicare Part B</v>
      </c>
      <c r="W663" s="1" t="str">
        <f t="shared" si="43"/>
        <v>2026-09</v>
      </c>
    </row>
    <row r="664" spans="1:23">
      <c r="A664" s="1" t="s">
        <v>1325</v>
      </c>
      <c r="B664" s="1" t="s">
        <v>1326</v>
      </c>
      <c r="C664" s="1" t="s">
        <v>25</v>
      </c>
      <c r="D664" s="1" t="s">
        <v>37</v>
      </c>
      <c r="E664" s="1" t="s">
        <v>57</v>
      </c>
      <c r="F664">
        <v>1</v>
      </c>
      <c r="G664" s="2">
        <v>46029</v>
      </c>
      <c r="H664" s="2">
        <v>46033</v>
      </c>
      <c r="I664">
        <v>215.74</v>
      </c>
      <c r="J664">
        <v>88.72</v>
      </c>
      <c r="K664">
        <v>88.72</v>
      </c>
      <c r="L664">
        <v>0</v>
      </c>
      <c r="M664" s="1" t="s">
        <v>21</v>
      </c>
      <c r="N664" s="1" t="s">
        <v>22</v>
      </c>
      <c r="O664" s="2">
        <v>46042</v>
      </c>
      <c r="P664" s="2">
        <v>46042</v>
      </c>
      <c r="Q664">
        <f>_xlfn.XLOOKUP(E664,CPT!$A$2:$A$13,CPT!$D$2:$D$13)</f>
        <v>210</v>
      </c>
      <c r="R664" s="1">
        <f>_xlfn.XLOOKUP(C664,Contract!$A$2:$A$9,Contract!$B$2:$B$9)</f>
        <v>0.36</v>
      </c>
      <c r="S664" s="1">
        <f t="shared" si="40"/>
        <v>75.599999999999994</v>
      </c>
      <c r="T664" s="1">
        <f t="shared" si="41"/>
        <v>-13.120000000000005</v>
      </c>
      <c r="U664" s="1" t="str">
        <f t="shared" si="42"/>
        <v>OK</v>
      </c>
      <c r="V664" s="1" t="str">
        <f>_xlfn.XLOOKUP(C664,Payers!$A$2:$A$9,Payers!$B$2:$B$9)</f>
        <v>Medicare Part B</v>
      </c>
      <c r="W664" s="1" t="str">
        <f t="shared" si="43"/>
        <v>2026-01</v>
      </c>
    </row>
    <row r="665" spans="1:23">
      <c r="A665" s="1" t="s">
        <v>1327</v>
      </c>
      <c r="B665" s="1" t="s">
        <v>1328</v>
      </c>
      <c r="C665" s="1" t="s">
        <v>60</v>
      </c>
      <c r="D665" s="1" t="s">
        <v>37</v>
      </c>
      <c r="E665" s="1" t="s">
        <v>57</v>
      </c>
      <c r="F665">
        <v>1</v>
      </c>
      <c r="G665" s="2">
        <v>45940</v>
      </c>
      <c r="H665" s="2">
        <v>45941</v>
      </c>
      <c r="I665">
        <v>207.16</v>
      </c>
      <c r="J665">
        <v>103.05</v>
      </c>
      <c r="K665">
        <v>82.44</v>
      </c>
      <c r="L665">
        <v>20.61</v>
      </c>
      <c r="M665" s="1" t="s">
        <v>21</v>
      </c>
      <c r="N665" s="1" t="s">
        <v>22</v>
      </c>
      <c r="O665" s="2">
        <v>45967</v>
      </c>
      <c r="P665" s="2">
        <v>45967</v>
      </c>
      <c r="Q665">
        <f>_xlfn.XLOOKUP(E665,CPT!$A$2:$A$13,CPT!$D$2:$D$13)</f>
        <v>210</v>
      </c>
      <c r="R665" s="1">
        <f>_xlfn.XLOOKUP(C665,Contract!$A$2:$A$9,Contract!$B$2:$B$9)</f>
        <v>0.45</v>
      </c>
      <c r="S665" s="1">
        <f t="shared" si="40"/>
        <v>94.5</v>
      </c>
      <c r="T665" s="1">
        <f t="shared" si="41"/>
        <v>-8.5499999999999972</v>
      </c>
      <c r="U665" s="1" t="str">
        <f t="shared" si="42"/>
        <v>OK</v>
      </c>
      <c r="V665" s="1" t="str">
        <f>_xlfn.XLOOKUP(C665,Payers!$A$2:$A$9,Payers!$B$2:$B$9)</f>
        <v>Blue Horizon Commercial</v>
      </c>
      <c r="W665" s="1" t="str">
        <f t="shared" si="43"/>
        <v>2025-10</v>
      </c>
    </row>
    <row r="666" spans="1:23">
      <c r="A666" s="1" t="s">
        <v>1329</v>
      </c>
      <c r="B666" s="1" t="s">
        <v>875</v>
      </c>
      <c r="C666" s="1" t="s">
        <v>47</v>
      </c>
      <c r="D666" s="1" t="s">
        <v>26</v>
      </c>
      <c r="E666" s="1" t="s">
        <v>88</v>
      </c>
      <c r="F666">
        <v>1</v>
      </c>
      <c r="G666" s="2">
        <v>46093</v>
      </c>
      <c r="H666" s="2">
        <v>46094</v>
      </c>
      <c r="I666">
        <v>258.16000000000003</v>
      </c>
      <c r="J666">
        <v>72.959999999999994</v>
      </c>
      <c r="K666">
        <v>72.959999999999994</v>
      </c>
      <c r="L666">
        <v>0</v>
      </c>
      <c r="M666" s="1" t="s">
        <v>21</v>
      </c>
      <c r="N666" s="1" t="s">
        <v>22</v>
      </c>
      <c r="O666" s="2">
        <v>46152</v>
      </c>
      <c r="P666" s="2">
        <v>46152</v>
      </c>
      <c r="Q666">
        <f>_xlfn.XLOOKUP(E666,CPT!$A$2:$A$13,CPT!$D$2:$D$13)</f>
        <v>260</v>
      </c>
      <c r="R666" s="1">
        <f>_xlfn.XLOOKUP(C666,Contract!$A$2:$A$9,Contract!$B$2:$B$9)</f>
        <v>0.28000000000000003</v>
      </c>
      <c r="S666" s="1">
        <f t="shared" si="40"/>
        <v>72.8</v>
      </c>
      <c r="T666" s="1">
        <f t="shared" si="41"/>
        <v>-0.15999999999999659</v>
      </c>
      <c r="U666" s="1" t="str">
        <f t="shared" si="42"/>
        <v>OK</v>
      </c>
      <c r="V666" s="1" t="str">
        <f>_xlfn.XLOOKUP(C666,Payers!$A$2:$A$9,Payers!$B$2:$B$9)</f>
        <v>Coastal Medicaid MCO</v>
      </c>
      <c r="W666" s="1" t="str">
        <f t="shared" si="43"/>
        <v>2026-03</v>
      </c>
    </row>
    <row r="667" spans="1:23">
      <c r="A667" s="1" t="s">
        <v>1330</v>
      </c>
      <c r="B667" s="1" t="s">
        <v>1331</v>
      </c>
      <c r="C667" s="1" t="s">
        <v>18</v>
      </c>
      <c r="D667" s="1" t="s">
        <v>26</v>
      </c>
      <c r="E667" s="1" t="s">
        <v>113</v>
      </c>
      <c r="F667">
        <v>1</v>
      </c>
      <c r="G667" s="2">
        <v>45961</v>
      </c>
      <c r="H667" s="2">
        <v>45963</v>
      </c>
      <c r="I667">
        <v>1057.21</v>
      </c>
      <c r="M667" s="1" t="s">
        <v>32</v>
      </c>
      <c r="N667" s="1" t="s">
        <v>315</v>
      </c>
      <c r="O667" s="2">
        <v>46024</v>
      </c>
      <c r="P667" s="2"/>
      <c r="Q667">
        <f>_xlfn.XLOOKUP(E667,CPT!$A$2:$A$13,CPT!$D$2:$D$13)</f>
        <v>1050</v>
      </c>
      <c r="R667" s="1">
        <f>_xlfn.XLOOKUP(C667,Contract!$A$2:$A$9,Contract!$B$2:$B$9)</f>
        <v>0.38</v>
      </c>
      <c r="S667" s="1">
        <f t="shared" si="40"/>
        <v>399</v>
      </c>
      <c r="T667" s="1" t="str">
        <f t="shared" si="41"/>
        <v/>
      </c>
      <c r="U667" s="1" t="str">
        <f t="shared" si="42"/>
        <v/>
      </c>
      <c r="V667" s="1" t="str">
        <f>_xlfn.XLOOKUP(C667,Payers!$A$2:$A$9,Payers!$B$2:$B$9)</f>
        <v>Sunshine Medicare Advantage</v>
      </c>
      <c r="W667" s="1" t="str">
        <f t="shared" si="43"/>
        <v>2025-10</v>
      </c>
    </row>
    <row r="668" spans="1:23">
      <c r="A668" s="1" t="s">
        <v>1332</v>
      </c>
      <c r="B668" s="1" t="s">
        <v>1333</v>
      </c>
      <c r="C668" s="1" t="s">
        <v>60</v>
      </c>
      <c r="D668" s="1" t="s">
        <v>30</v>
      </c>
      <c r="E668" s="1" t="s">
        <v>31</v>
      </c>
      <c r="F668">
        <v>3</v>
      </c>
      <c r="G668" s="2">
        <v>46053</v>
      </c>
      <c r="H668" s="2">
        <v>46056</v>
      </c>
      <c r="I668">
        <v>186.96</v>
      </c>
      <c r="J668">
        <v>74.06</v>
      </c>
      <c r="K668">
        <v>59.25</v>
      </c>
      <c r="L668">
        <v>14.81</v>
      </c>
      <c r="M668" s="1" t="s">
        <v>21</v>
      </c>
      <c r="N668" s="1" t="s">
        <v>22</v>
      </c>
      <c r="O668" s="2">
        <v>46092</v>
      </c>
      <c r="P668" s="2">
        <v>46092</v>
      </c>
      <c r="Q668">
        <f>_xlfn.XLOOKUP(E668,CPT!$A$2:$A$13,CPT!$D$2:$D$13)</f>
        <v>62</v>
      </c>
      <c r="R668" s="1">
        <f>_xlfn.XLOOKUP(C668,Contract!$A$2:$A$9,Contract!$B$2:$B$9)</f>
        <v>0.45</v>
      </c>
      <c r="S668" s="1">
        <f t="shared" si="40"/>
        <v>83.7</v>
      </c>
      <c r="T668" s="1">
        <f t="shared" si="41"/>
        <v>9.64</v>
      </c>
      <c r="U668" s="1" t="str">
        <f t="shared" si="42"/>
        <v>Underpaid</v>
      </c>
      <c r="V668" s="1" t="str">
        <f>_xlfn.XLOOKUP(C668,Payers!$A$2:$A$9,Payers!$B$2:$B$9)</f>
        <v>Blue Horizon Commercial</v>
      </c>
      <c r="W668" s="1" t="str">
        <f t="shared" si="43"/>
        <v>2026-01</v>
      </c>
    </row>
    <row r="669" spans="1:23">
      <c r="A669" s="1" t="s">
        <v>1334</v>
      </c>
      <c r="B669" s="1" t="s">
        <v>1335</v>
      </c>
      <c r="C669" s="1" t="s">
        <v>25</v>
      </c>
      <c r="D669" s="1" t="s">
        <v>19</v>
      </c>
      <c r="E669" s="1" t="s">
        <v>41</v>
      </c>
      <c r="F669">
        <v>1</v>
      </c>
      <c r="G669" s="2">
        <v>45940</v>
      </c>
      <c r="H669" s="2">
        <v>45954</v>
      </c>
      <c r="I669">
        <v>37.47</v>
      </c>
      <c r="J669">
        <v>12.42</v>
      </c>
      <c r="K669">
        <v>12.42</v>
      </c>
      <c r="L669">
        <v>0</v>
      </c>
      <c r="M669" s="1" t="s">
        <v>21</v>
      </c>
      <c r="N669" s="1" t="s">
        <v>22</v>
      </c>
      <c r="O669" s="2">
        <v>45974</v>
      </c>
      <c r="P669" s="2">
        <v>45974</v>
      </c>
      <c r="Q669">
        <f>_xlfn.XLOOKUP(E669,CPT!$A$2:$A$13,CPT!$D$2:$D$13)</f>
        <v>38</v>
      </c>
      <c r="R669" s="1">
        <f>_xlfn.XLOOKUP(C669,Contract!$A$2:$A$9,Contract!$B$2:$B$9)</f>
        <v>0.36</v>
      </c>
      <c r="S669" s="1">
        <f t="shared" si="40"/>
        <v>13.68</v>
      </c>
      <c r="T669" s="1">
        <f t="shared" si="41"/>
        <v>1.2599999999999998</v>
      </c>
      <c r="U669" s="1" t="str">
        <f t="shared" si="42"/>
        <v>Underpaid</v>
      </c>
      <c r="V669" s="1" t="str">
        <f>_xlfn.XLOOKUP(C669,Payers!$A$2:$A$9,Payers!$B$2:$B$9)</f>
        <v>Medicare Part B</v>
      </c>
      <c r="W669" s="1" t="str">
        <f t="shared" si="43"/>
        <v>2025-10</v>
      </c>
    </row>
    <row r="670" spans="1:23">
      <c r="A670" s="1" t="s">
        <v>1336</v>
      </c>
      <c r="B670" s="1" t="s">
        <v>1337</v>
      </c>
      <c r="C670" s="1" t="s">
        <v>60</v>
      </c>
      <c r="D670" s="1" t="s">
        <v>19</v>
      </c>
      <c r="E670" s="1" t="s">
        <v>41</v>
      </c>
      <c r="F670">
        <v>1</v>
      </c>
      <c r="G670" s="2">
        <v>46256</v>
      </c>
      <c r="H670" s="2">
        <v>46263</v>
      </c>
      <c r="I670">
        <v>38</v>
      </c>
      <c r="J670">
        <v>17.32</v>
      </c>
      <c r="K670">
        <v>13.86</v>
      </c>
      <c r="L670">
        <v>3.46</v>
      </c>
      <c r="M670" s="1" t="s">
        <v>21</v>
      </c>
      <c r="N670" s="1" t="s">
        <v>22</v>
      </c>
      <c r="O670" s="2">
        <v>46294</v>
      </c>
      <c r="P670" s="2">
        <v>46294</v>
      </c>
      <c r="Q670">
        <f>_xlfn.XLOOKUP(E670,CPT!$A$2:$A$13,CPT!$D$2:$D$13)</f>
        <v>38</v>
      </c>
      <c r="R670" s="1">
        <f>_xlfn.XLOOKUP(C670,Contract!$A$2:$A$9,Contract!$B$2:$B$9)</f>
        <v>0.45</v>
      </c>
      <c r="S670" s="1">
        <f t="shared" si="40"/>
        <v>17.100000000000001</v>
      </c>
      <c r="T670" s="1">
        <f t="shared" si="41"/>
        <v>-0.21999999999999886</v>
      </c>
      <c r="U670" s="1" t="str">
        <f t="shared" si="42"/>
        <v>OK</v>
      </c>
      <c r="V670" s="1" t="str">
        <f>_xlfn.XLOOKUP(C670,Payers!$A$2:$A$9,Payers!$B$2:$B$9)</f>
        <v>Blue Horizon Commercial</v>
      </c>
      <c r="W670" s="1" t="str">
        <f t="shared" si="43"/>
        <v>2026-08</v>
      </c>
    </row>
    <row r="671" spans="1:23">
      <c r="A671" s="1" t="s">
        <v>1338</v>
      </c>
      <c r="B671" s="1" t="s">
        <v>1339</v>
      </c>
      <c r="C671" s="1" t="s">
        <v>36</v>
      </c>
      <c r="D671" s="1" t="s">
        <v>19</v>
      </c>
      <c r="E671" s="1" t="s">
        <v>20</v>
      </c>
      <c r="F671">
        <v>1</v>
      </c>
      <c r="G671" s="2">
        <v>46248</v>
      </c>
      <c r="H671" s="2">
        <v>46263</v>
      </c>
      <c r="I671">
        <v>143.16999999999999</v>
      </c>
      <c r="M671" s="1" t="s">
        <v>69</v>
      </c>
      <c r="N671" s="1" t="s">
        <v>22</v>
      </c>
      <c r="O671" s="2"/>
      <c r="P671" s="2"/>
      <c r="Q671">
        <f>_xlfn.XLOOKUP(E671,CPT!$A$2:$A$13,CPT!$D$2:$D$13)</f>
        <v>145</v>
      </c>
      <c r="R671" s="1">
        <f>_xlfn.XLOOKUP(C671,Contract!$A$2:$A$9,Contract!$B$2:$B$9)</f>
        <v>0.27</v>
      </c>
      <c r="S671" s="1">
        <f t="shared" si="40"/>
        <v>39.15</v>
      </c>
      <c r="T671" s="1" t="str">
        <f t="shared" si="41"/>
        <v/>
      </c>
      <c r="U671" s="1" t="str">
        <f t="shared" si="42"/>
        <v/>
      </c>
      <c r="V671" s="1" t="str">
        <f>_xlfn.XLOOKUP(C671,Payers!$A$2:$A$9,Payers!$B$2:$B$9)</f>
        <v>Florida Medicaid</v>
      </c>
      <c r="W671" s="1" t="str">
        <f t="shared" si="43"/>
        <v>2026-08</v>
      </c>
    </row>
    <row r="672" spans="1:23">
      <c r="A672" s="1" t="s">
        <v>1340</v>
      </c>
      <c r="B672" s="1" t="s">
        <v>1341</v>
      </c>
      <c r="C672" s="1" t="s">
        <v>76</v>
      </c>
      <c r="D672" s="1" t="s">
        <v>26</v>
      </c>
      <c r="E672" s="1" t="s">
        <v>41</v>
      </c>
      <c r="F672">
        <v>1</v>
      </c>
      <c r="G672" s="2">
        <v>46110</v>
      </c>
      <c r="H672" s="2">
        <v>46111</v>
      </c>
      <c r="I672">
        <v>38.78</v>
      </c>
      <c r="J672">
        <v>15.45</v>
      </c>
      <c r="K672">
        <v>15.45</v>
      </c>
      <c r="L672">
        <v>0</v>
      </c>
      <c r="M672" s="1" t="s">
        <v>21</v>
      </c>
      <c r="N672" s="1" t="s">
        <v>22</v>
      </c>
      <c r="O672" s="2">
        <v>46149</v>
      </c>
      <c r="P672" s="2">
        <v>46149</v>
      </c>
      <c r="Q672">
        <f>_xlfn.XLOOKUP(E672,CPT!$A$2:$A$13,CPT!$D$2:$D$13)</f>
        <v>38</v>
      </c>
      <c r="R672" s="1">
        <f>_xlfn.XLOOKUP(C672,Contract!$A$2:$A$9,Contract!$B$2:$B$9)</f>
        <v>0.43</v>
      </c>
      <c r="S672" s="1">
        <f t="shared" si="40"/>
        <v>16.34</v>
      </c>
      <c r="T672" s="1">
        <f t="shared" si="41"/>
        <v>0.89000000000000057</v>
      </c>
      <c r="U672" s="1" t="str">
        <f t="shared" si="42"/>
        <v>Underpaid</v>
      </c>
      <c r="V672" s="1" t="str">
        <f>_xlfn.XLOOKUP(C672,Payers!$A$2:$A$9,Payers!$B$2:$B$9)</f>
        <v>Summit Health Commercial</v>
      </c>
      <c r="W672" s="1" t="str">
        <f t="shared" si="43"/>
        <v>2026-03</v>
      </c>
    </row>
    <row r="673" spans="1:23">
      <c r="A673" s="1" t="s">
        <v>1342</v>
      </c>
      <c r="B673" s="1" t="s">
        <v>1343</v>
      </c>
      <c r="C673" s="1" t="s">
        <v>60</v>
      </c>
      <c r="D673" s="1" t="s">
        <v>26</v>
      </c>
      <c r="E673" s="1" t="s">
        <v>41</v>
      </c>
      <c r="F673">
        <v>1</v>
      </c>
      <c r="G673" s="2">
        <v>46002</v>
      </c>
      <c r="H673" s="2">
        <v>46029</v>
      </c>
      <c r="I673">
        <v>38.51</v>
      </c>
      <c r="J673">
        <v>15.77</v>
      </c>
      <c r="K673">
        <v>14.19</v>
      </c>
      <c r="L673">
        <v>1.58</v>
      </c>
      <c r="M673" s="1" t="s">
        <v>21</v>
      </c>
      <c r="N673" s="1" t="s">
        <v>22</v>
      </c>
      <c r="O673" s="2">
        <v>46065</v>
      </c>
      <c r="P673" s="2">
        <v>46065</v>
      </c>
      <c r="Q673">
        <f>_xlfn.XLOOKUP(E673,CPT!$A$2:$A$13,CPT!$D$2:$D$13)</f>
        <v>38</v>
      </c>
      <c r="R673" s="1">
        <f>_xlfn.XLOOKUP(C673,Contract!$A$2:$A$9,Contract!$B$2:$B$9)</f>
        <v>0.45</v>
      </c>
      <c r="S673" s="1">
        <f t="shared" si="40"/>
        <v>17.100000000000001</v>
      </c>
      <c r="T673" s="1">
        <f t="shared" si="41"/>
        <v>1.3300000000000018</v>
      </c>
      <c r="U673" s="1" t="str">
        <f t="shared" si="42"/>
        <v>Underpaid</v>
      </c>
      <c r="V673" s="1" t="str">
        <f>_xlfn.XLOOKUP(C673,Payers!$A$2:$A$9,Payers!$B$2:$B$9)</f>
        <v>Blue Horizon Commercial</v>
      </c>
      <c r="W673" s="1" t="str">
        <f t="shared" si="43"/>
        <v>2025-12</v>
      </c>
    </row>
    <row r="674" spans="1:23">
      <c r="A674" s="1" t="s">
        <v>1344</v>
      </c>
      <c r="B674" s="1" t="s">
        <v>1345</v>
      </c>
      <c r="C674" s="1" t="s">
        <v>76</v>
      </c>
      <c r="D674" s="1" t="s">
        <v>30</v>
      </c>
      <c r="E674" s="1" t="s">
        <v>20</v>
      </c>
      <c r="F674">
        <v>1</v>
      </c>
      <c r="G674" s="2">
        <v>46293</v>
      </c>
      <c r="H674" s="2">
        <v>46295</v>
      </c>
      <c r="I674">
        <v>144.59</v>
      </c>
      <c r="M674" s="1" t="s">
        <v>69</v>
      </c>
      <c r="N674" s="1" t="s">
        <v>22</v>
      </c>
      <c r="O674" s="2"/>
      <c r="P674" s="2"/>
      <c r="Q674">
        <f>_xlfn.XLOOKUP(E674,CPT!$A$2:$A$13,CPT!$D$2:$D$13)</f>
        <v>145</v>
      </c>
      <c r="R674" s="1">
        <f>_xlfn.XLOOKUP(C674,Contract!$A$2:$A$9,Contract!$B$2:$B$9)</f>
        <v>0.43</v>
      </c>
      <c r="S674" s="1">
        <f t="shared" si="40"/>
        <v>62.35</v>
      </c>
      <c r="T674" s="1" t="str">
        <f t="shared" si="41"/>
        <v/>
      </c>
      <c r="U674" s="1" t="str">
        <f t="shared" si="42"/>
        <v/>
      </c>
      <c r="V674" s="1" t="str">
        <f>_xlfn.XLOOKUP(C674,Payers!$A$2:$A$9,Payers!$B$2:$B$9)</f>
        <v>Summit Health Commercial</v>
      </c>
      <c r="W674" s="1" t="str">
        <f t="shared" si="43"/>
        <v>2026-09</v>
      </c>
    </row>
    <row r="675" spans="1:23">
      <c r="A675" s="1" t="s">
        <v>1346</v>
      </c>
      <c r="B675" s="1" t="s">
        <v>1347</v>
      </c>
      <c r="C675" s="1" t="s">
        <v>25</v>
      </c>
      <c r="D675" s="1" t="s">
        <v>26</v>
      </c>
      <c r="E675" s="1" t="s">
        <v>88</v>
      </c>
      <c r="F675">
        <v>1</v>
      </c>
      <c r="G675" s="2">
        <v>45933</v>
      </c>
      <c r="H675" s="2">
        <v>45938</v>
      </c>
      <c r="I675">
        <v>266.26</v>
      </c>
      <c r="J675">
        <v>107.64</v>
      </c>
      <c r="K675">
        <v>86.11</v>
      </c>
      <c r="L675">
        <v>21.53</v>
      </c>
      <c r="M675" s="1" t="s">
        <v>21</v>
      </c>
      <c r="N675" s="1" t="s">
        <v>22</v>
      </c>
      <c r="O675" s="2">
        <v>45955</v>
      </c>
      <c r="P675" s="2">
        <v>45955</v>
      </c>
      <c r="Q675">
        <f>_xlfn.XLOOKUP(E675,CPT!$A$2:$A$13,CPT!$D$2:$D$13)</f>
        <v>260</v>
      </c>
      <c r="R675" s="1">
        <f>_xlfn.XLOOKUP(C675,Contract!$A$2:$A$9,Contract!$B$2:$B$9)</f>
        <v>0.36</v>
      </c>
      <c r="S675" s="1">
        <f t="shared" si="40"/>
        <v>93.6</v>
      </c>
      <c r="T675" s="1">
        <f t="shared" si="41"/>
        <v>-14.040000000000006</v>
      </c>
      <c r="U675" s="1" t="str">
        <f t="shared" si="42"/>
        <v>OK</v>
      </c>
      <c r="V675" s="1" t="str">
        <f>_xlfn.XLOOKUP(C675,Payers!$A$2:$A$9,Payers!$B$2:$B$9)</f>
        <v>Medicare Part B</v>
      </c>
      <c r="W675" s="1" t="str">
        <f t="shared" si="43"/>
        <v>2025-10</v>
      </c>
    </row>
    <row r="676" spans="1:23">
      <c r="A676" s="1" t="s">
        <v>1348</v>
      </c>
      <c r="B676" s="1" t="s">
        <v>1349</v>
      </c>
      <c r="C676" s="1" t="s">
        <v>36</v>
      </c>
      <c r="D676" s="1" t="s">
        <v>19</v>
      </c>
      <c r="E676" s="1" t="s">
        <v>20</v>
      </c>
      <c r="F676">
        <v>1</v>
      </c>
      <c r="G676" s="2">
        <v>46263</v>
      </c>
      <c r="H676" s="2">
        <v>46267</v>
      </c>
      <c r="I676">
        <v>146.32</v>
      </c>
      <c r="M676" s="1" t="s">
        <v>69</v>
      </c>
      <c r="N676" s="1" t="s">
        <v>22</v>
      </c>
      <c r="O676" s="2"/>
      <c r="P676" s="2"/>
      <c r="Q676">
        <f>_xlfn.XLOOKUP(E676,CPT!$A$2:$A$13,CPT!$D$2:$D$13)</f>
        <v>145</v>
      </c>
      <c r="R676" s="1">
        <f>_xlfn.XLOOKUP(C676,Contract!$A$2:$A$9,Contract!$B$2:$B$9)</f>
        <v>0.27</v>
      </c>
      <c r="S676" s="1">
        <f t="shared" si="40"/>
        <v>39.15</v>
      </c>
      <c r="T676" s="1" t="str">
        <f t="shared" si="41"/>
        <v/>
      </c>
      <c r="U676" s="1" t="str">
        <f t="shared" si="42"/>
        <v/>
      </c>
      <c r="V676" s="1" t="str">
        <f>_xlfn.XLOOKUP(C676,Payers!$A$2:$A$9,Payers!$B$2:$B$9)</f>
        <v>Florida Medicaid</v>
      </c>
      <c r="W676" s="1" t="str">
        <f t="shared" si="43"/>
        <v>2026-08</v>
      </c>
    </row>
    <row r="677" spans="1:23">
      <c r="A677" s="1" t="s">
        <v>1350</v>
      </c>
      <c r="B677" s="1" t="s">
        <v>1351</v>
      </c>
      <c r="C677" s="1" t="s">
        <v>76</v>
      </c>
      <c r="D677" s="1" t="s">
        <v>19</v>
      </c>
      <c r="E677" s="1" t="s">
        <v>88</v>
      </c>
      <c r="F677">
        <v>1</v>
      </c>
      <c r="G677" s="2">
        <v>46287</v>
      </c>
      <c r="H677" s="2">
        <v>46288</v>
      </c>
      <c r="I677">
        <v>267.55</v>
      </c>
      <c r="M677" s="1" t="s">
        <v>69</v>
      </c>
      <c r="N677" s="1" t="s">
        <v>22</v>
      </c>
      <c r="O677" s="2"/>
      <c r="P677" s="2"/>
      <c r="Q677">
        <f>_xlfn.XLOOKUP(E677,CPT!$A$2:$A$13,CPT!$D$2:$D$13)</f>
        <v>260</v>
      </c>
      <c r="R677" s="1">
        <f>_xlfn.XLOOKUP(C677,Contract!$A$2:$A$9,Contract!$B$2:$B$9)</f>
        <v>0.43</v>
      </c>
      <c r="S677" s="1">
        <f t="shared" si="40"/>
        <v>111.8</v>
      </c>
      <c r="T677" s="1" t="str">
        <f t="shared" si="41"/>
        <v/>
      </c>
      <c r="U677" s="1" t="str">
        <f t="shared" si="42"/>
        <v/>
      </c>
      <c r="V677" s="1" t="str">
        <f>_xlfn.XLOOKUP(C677,Payers!$A$2:$A$9,Payers!$B$2:$B$9)</f>
        <v>Summit Health Commercial</v>
      </c>
      <c r="W677" s="1" t="str">
        <f t="shared" si="43"/>
        <v>2026-09</v>
      </c>
    </row>
    <row r="678" spans="1:23">
      <c r="A678" s="1" t="s">
        <v>1352</v>
      </c>
      <c r="B678" s="1" t="s">
        <v>1353</v>
      </c>
      <c r="C678" s="1" t="s">
        <v>18</v>
      </c>
      <c r="D678" s="1" t="s">
        <v>26</v>
      </c>
      <c r="E678" s="1" t="s">
        <v>88</v>
      </c>
      <c r="F678">
        <v>1</v>
      </c>
      <c r="G678" s="2">
        <v>46279</v>
      </c>
      <c r="H678" s="2">
        <v>46281</v>
      </c>
      <c r="I678">
        <v>266.57</v>
      </c>
      <c r="M678" s="1" t="s">
        <v>69</v>
      </c>
      <c r="N678" s="1" t="s">
        <v>22</v>
      </c>
      <c r="O678" s="2"/>
      <c r="P678" s="2"/>
      <c r="Q678">
        <f>_xlfn.XLOOKUP(E678,CPT!$A$2:$A$13,CPT!$D$2:$D$13)</f>
        <v>260</v>
      </c>
      <c r="R678" s="1">
        <f>_xlfn.XLOOKUP(C678,Contract!$A$2:$A$9,Contract!$B$2:$B$9)</f>
        <v>0.38</v>
      </c>
      <c r="S678" s="1">
        <f t="shared" si="40"/>
        <v>98.8</v>
      </c>
      <c r="T678" s="1" t="str">
        <f t="shared" si="41"/>
        <v/>
      </c>
      <c r="U678" s="1" t="str">
        <f t="shared" si="42"/>
        <v/>
      </c>
      <c r="V678" s="1" t="str">
        <f>_xlfn.XLOOKUP(C678,Payers!$A$2:$A$9,Payers!$B$2:$B$9)</f>
        <v>Sunshine Medicare Advantage</v>
      </c>
      <c r="W678" s="1" t="str">
        <f t="shared" si="43"/>
        <v>2026-09</v>
      </c>
    </row>
    <row r="679" spans="1:23">
      <c r="A679" s="1" t="s">
        <v>1354</v>
      </c>
      <c r="B679" s="1" t="s">
        <v>1355</v>
      </c>
      <c r="C679" s="1" t="s">
        <v>76</v>
      </c>
      <c r="D679" s="1" t="s">
        <v>30</v>
      </c>
      <c r="E679" s="1" t="s">
        <v>31</v>
      </c>
      <c r="F679">
        <v>4</v>
      </c>
      <c r="G679" s="2">
        <v>46291</v>
      </c>
      <c r="H679" s="2">
        <v>46292</v>
      </c>
      <c r="I679">
        <v>249.58</v>
      </c>
      <c r="M679" s="1" t="s">
        <v>69</v>
      </c>
      <c r="N679" s="1" t="s">
        <v>22</v>
      </c>
      <c r="O679" s="2"/>
      <c r="P679" s="2"/>
      <c r="Q679">
        <f>_xlfn.XLOOKUP(E679,CPT!$A$2:$A$13,CPT!$D$2:$D$13)</f>
        <v>62</v>
      </c>
      <c r="R679" s="1">
        <f>_xlfn.XLOOKUP(C679,Contract!$A$2:$A$9,Contract!$B$2:$B$9)</f>
        <v>0.43</v>
      </c>
      <c r="S679" s="1">
        <f t="shared" si="40"/>
        <v>106.64</v>
      </c>
      <c r="T679" s="1" t="str">
        <f t="shared" si="41"/>
        <v/>
      </c>
      <c r="U679" s="1" t="str">
        <f t="shared" si="42"/>
        <v/>
      </c>
      <c r="V679" s="1" t="str">
        <f>_xlfn.XLOOKUP(C679,Payers!$A$2:$A$9,Payers!$B$2:$B$9)</f>
        <v>Summit Health Commercial</v>
      </c>
      <c r="W679" s="1" t="str">
        <f t="shared" si="43"/>
        <v>2026-09</v>
      </c>
    </row>
    <row r="680" spans="1:23">
      <c r="A680" s="1" t="s">
        <v>1356</v>
      </c>
      <c r="B680" s="1" t="s">
        <v>1357</v>
      </c>
      <c r="C680" s="1" t="s">
        <v>60</v>
      </c>
      <c r="D680" s="1" t="s">
        <v>19</v>
      </c>
      <c r="E680" s="1" t="s">
        <v>41</v>
      </c>
      <c r="F680">
        <v>1</v>
      </c>
      <c r="G680" s="2">
        <v>46030</v>
      </c>
      <c r="H680" s="2">
        <v>46034</v>
      </c>
      <c r="I680">
        <v>38.36</v>
      </c>
      <c r="J680">
        <v>17.61</v>
      </c>
      <c r="K680">
        <v>17.61</v>
      </c>
      <c r="L680">
        <v>0</v>
      </c>
      <c r="M680" s="1" t="s">
        <v>21</v>
      </c>
      <c r="N680" s="1" t="s">
        <v>22</v>
      </c>
      <c r="O680" s="2">
        <v>46066</v>
      </c>
      <c r="P680" s="2">
        <v>46066</v>
      </c>
      <c r="Q680">
        <f>_xlfn.XLOOKUP(E680,CPT!$A$2:$A$13,CPT!$D$2:$D$13)</f>
        <v>38</v>
      </c>
      <c r="R680" s="1">
        <f>_xlfn.XLOOKUP(C680,Contract!$A$2:$A$9,Contract!$B$2:$B$9)</f>
        <v>0.45</v>
      </c>
      <c r="S680" s="1">
        <f t="shared" si="40"/>
        <v>17.100000000000001</v>
      </c>
      <c r="T680" s="1">
        <f t="shared" si="41"/>
        <v>-0.50999999999999801</v>
      </c>
      <c r="U680" s="1" t="str">
        <f t="shared" si="42"/>
        <v>OK</v>
      </c>
      <c r="V680" s="1" t="str">
        <f>_xlfn.XLOOKUP(C680,Payers!$A$2:$A$9,Payers!$B$2:$B$9)</f>
        <v>Blue Horizon Commercial</v>
      </c>
      <c r="W680" s="1" t="str">
        <f t="shared" si="43"/>
        <v>2026-01</v>
      </c>
    </row>
    <row r="681" spans="1:23">
      <c r="A681" s="1" t="s">
        <v>1358</v>
      </c>
      <c r="B681" s="1" t="s">
        <v>1359</v>
      </c>
      <c r="C681" s="1" t="s">
        <v>36</v>
      </c>
      <c r="D681" s="1" t="s">
        <v>26</v>
      </c>
      <c r="E681" s="1" t="s">
        <v>27</v>
      </c>
      <c r="F681">
        <v>1</v>
      </c>
      <c r="G681" s="2">
        <v>46198</v>
      </c>
      <c r="H681" s="2">
        <v>46200</v>
      </c>
      <c r="I681">
        <v>243.3</v>
      </c>
      <c r="J681">
        <v>55.94</v>
      </c>
      <c r="K681">
        <v>50.35</v>
      </c>
      <c r="L681">
        <v>5.59</v>
      </c>
      <c r="M681" s="1" t="s">
        <v>21</v>
      </c>
      <c r="N681" s="1" t="s">
        <v>22</v>
      </c>
      <c r="O681" s="2">
        <v>46242</v>
      </c>
      <c r="P681" s="2">
        <v>46242</v>
      </c>
      <c r="Q681">
        <f>_xlfn.XLOOKUP(E681,CPT!$A$2:$A$13,CPT!$D$2:$D$13)</f>
        <v>240</v>
      </c>
      <c r="R681" s="1">
        <f>_xlfn.XLOOKUP(C681,Contract!$A$2:$A$9,Contract!$B$2:$B$9)</f>
        <v>0.27</v>
      </c>
      <c r="S681" s="1">
        <f t="shared" si="40"/>
        <v>64.8</v>
      </c>
      <c r="T681" s="1">
        <f t="shared" si="41"/>
        <v>8.86</v>
      </c>
      <c r="U681" s="1" t="str">
        <f t="shared" si="42"/>
        <v>Underpaid</v>
      </c>
      <c r="V681" s="1" t="str">
        <f>_xlfn.XLOOKUP(C681,Payers!$A$2:$A$9,Payers!$B$2:$B$9)</f>
        <v>Florida Medicaid</v>
      </c>
      <c r="W681" s="1" t="str">
        <f t="shared" si="43"/>
        <v>2026-06</v>
      </c>
    </row>
    <row r="682" spans="1:23">
      <c r="A682" s="1" t="s">
        <v>1360</v>
      </c>
      <c r="B682" s="1" t="s">
        <v>343</v>
      </c>
      <c r="C682" s="1" t="s">
        <v>60</v>
      </c>
      <c r="D682" s="1" t="s">
        <v>19</v>
      </c>
      <c r="E682" s="1" t="s">
        <v>41</v>
      </c>
      <c r="F682">
        <v>1</v>
      </c>
      <c r="G682" s="2">
        <v>46149</v>
      </c>
      <c r="H682" s="2">
        <v>46161</v>
      </c>
      <c r="I682">
        <v>38.32</v>
      </c>
      <c r="M682" s="1" t="s">
        <v>32</v>
      </c>
      <c r="N682" s="1" t="s">
        <v>49</v>
      </c>
      <c r="O682" s="2">
        <v>46195</v>
      </c>
      <c r="P682" s="2"/>
      <c r="Q682">
        <f>_xlfn.XLOOKUP(E682,CPT!$A$2:$A$13,CPT!$D$2:$D$13)</f>
        <v>38</v>
      </c>
      <c r="R682" s="1">
        <f>_xlfn.XLOOKUP(C682,Contract!$A$2:$A$9,Contract!$B$2:$B$9)</f>
        <v>0.45</v>
      </c>
      <c r="S682" s="1">
        <f t="shared" si="40"/>
        <v>17.100000000000001</v>
      </c>
      <c r="T682" s="1" t="str">
        <f t="shared" si="41"/>
        <v/>
      </c>
      <c r="U682" s="1" t="str">
        <f t="shared" si="42"/>
        <v/>
      </c>
      <c r="V682" s="1" t="str">
        <f>_xlfn.XLOOKUP(C682,Payers!$A$2:$A$9,Payers!$B$2:$B$9)</f>
        <v>Blue Horizon Commercial</v>
      </c>
      <c r="W682" s="1" t="str">
        <f t="shared" si="43"/>
        <v>2026-05</v>
      </c>
    </row>
    <row r="683" spans="1:23">
      <c r="A683" s="1" t="s">
        <v>1361</v>
      </c>
      <c r="B683" s="1" t="s">
        <v>1362</v>
      </c>
      <c r="C683" s="1" t="s">
        <v>60</v>
      </c>
      <c r="D683" s="1" t="s">
        <v>26</v>
      </c>
      <c r="E683" s="1" t="s">
        <v>41</v>
      </c>
      <c r="F683">
        <v>1</v>
      </c>
      <c r="G683" s="2">
        <v>46073</v>
      </c>
      <c r="H683" s="2">
        <v>46077</v>
      </c>
      <c r="I683">
        <v>38.950000000000003</v>
      </c>
      <c r="J683">
        <v>16.940000000000001</v>
      </c>
      <c r="K683">
        <v>15.25</v>
      </c>
      <c r="L683">
        <v>1.69</v>
      </c>
      <c r="M683" s="1" t="s">
        <v>21</v>
      </c>
      <c r="N683" s="1" t="s">
        <v>22</v>
      </c>
      <c r="O683" s="2">
        <v>46104</v>
      </c>
      <c r="P683" s="2">
        <v>46104</v>
      </c>
      <c r="Q683">
        <f>_xlfn.XLOOKUP(E683,CPT!$A$2:$A$13,CPT!$D$2:$D$13)</f>
        <v>38</v>
      </c>
      <c r="R683" s="1">
        <f>_xlfn.XLOOKUP(C683,Contract!$A$2:$A$9,Contract!$B$2:$B$9)</f>
        <v>0.45</v>
      </c>
      <c r="S683" s="1">
        <f t="shared" si="40"/>
        <v>17.100000000000001</v>
      </c>
      <c r="T683" s="1">
        <f t="shared" si="41"/>
        <v>0.16000000000000014</v>
      </c>
      <c r="U683" s="1" t="str">
        <f t="shared" si="42"/>
        <v>OK</v>
      </c>
      <c r="V683" s="1" t="str">
        <f>_xlfn.XLOOKUP(C683,Payers!$A$2:$A$9,Payers!$B$2:$B$9)</f>
        <v>Blue Horizon Commercial</v>
      </c>
      <c r="W683" s="1" t="str">
        <f t="shared" si="43"/>
        <v>2026-02</v>
      </c>
    </row>
    <row r="684" spans="1:23">
      <c r="A684" s="1" t="s">
        <v>1363</v>
      </c>
      <c r="B684" s="1" t="s">
        <v>1085</v>
      </c>
      <c r="C684" s="1" t="s">
        <v>79</v>
      </c>
      <c r="D684" s="1" t="s">
        <v>30</v>
      </c>
      <c r="E684" s="1" t="s">
        <v>31</v>
      </c>
      <c r="F684">
        <v>4</v>
      </c>
      <c r="G684" s="2">
        <v>46046</v>
      </c>
      <c r="H684" s="2">
        <v>46047</v>
      </c>
      <c r="I684">
        <v>246.87</v>
      </c>
      <c r="M684" s="1" t="s">
        <v>69</v>
      </c>
      <c r="N684" s="1" t="s">
        <v>22</v>
      </c>
      <c r="O684" s="2"/>
      <c r="P684" s="2"/>
      <c r="Q684">
        <f>_xlfn.XLOOKUP(E684,CPT!$A$2:$A$13,CPT!$D$2:$D$13)</f>
        <v>62</v>
      </c>
      <c r="R684" s="1">
        <f>_xlfn.XLOOKUP(C684,Contract!$A$2:$A$9,Contract!$B$2:$B$9)</f>
        <v>1</v>
      </c>
      <c r="S684" s="1">
        <f t="shared" si="40"/>
        <v>248</v>
      </c>
      <c r="T684" s="1" t="str">
        <f t="shared" si="41"/>
        <v/>
      </c>
      <c r="U684" s="1" t="str">
        <f t="shared" si="42"/>
        <v/>
      </c>
      <c r="V684" s="1" t="str">
        <f>_xlfn.XLOOKUP(C684,Payers!$A$2:$A$9,Payers!$B$2:$B$9)</f>
        <v>Self-Pay</v>
      </c>
      <c r="W684" s="1" t="str">
        <f t="shared" si="43"/>
        <v>2026-01</v>
      </c>
    </row>
    <row r="685" spans="1:23">
      <c r="A685" s="1" t="s">
        <v>1364</v>
      </c>
      <c r="B685" s="1" t="s">
        <v>1365</v>
      </c>
      <c r="C685" s="1" t="s">
        <v>25</v>
      </c>
      <c r="D685" s="1" t="s">
        <v>19</v>
      </c>
      <c r="E685" s="1" t="s">
        <v>20</v>
      </c>
      <c r="F685">
        <v>1</v>
      </c>
      <c r="G685" s="2">
        <v>46251</v>
      </c>
      <c r="H685" s="2">
        <v>46259</v>
      </c>
      <c r="I685">
        <v>148.79</v>
      </c>
      <c r="J685">
        <v>53.12</v>
      </c>
      <c r="K685">
        <v>47.81</v>
      </c>
      <c r="L685">
        <v>5.31</v>
      </c>
      <c r="M685" s="1" t="s">
        <v>21</v>
      </c>
      <c r="N685" s="1" t="s">
        <v>22</v>
      </c>
      <c r="O685" s="2">
        <v>46284</v>
      </c>
      <c r="P685" s="2">
        <v>46284</v>
      </c>
      <c r="Q685">
        <f>_xlfn.XLOOKUP(E685,CPT!$A$2:$A$13,CPT!$D$2:$D$13)</f>
        <v>145</v>
      </c>
      <c r="R685" s="1">
        <f>_xlfn.XLOOKUP(C685,Contract!$A$2:$A$9,Contract!$B$2:$B$9)</f>
        <v>0.36</v>
      </c>
      <c r="S685" s="1">
        <f t="shared" si="40"/>
        <v>52.2</v>
      </c>
      <c r="T685" s="1">
        <f t="shared" si="41"/>
        <v>-0.9199999999999946</v>
      </c>
      <c r="U685" s="1" t="str">
        <f t="shared" si="42"/>
        <v>OK</v>
      </c>
      <c r="V685" s="1" t="str">
        <f>_xlfn.XLOOKUP(C685,Payers!$A$2:$A$9,Payers!$B$2:$B$9)</f>
        <v>Medicare Part B</v>
      </c>
      <c r="W685" s="1" t="str">
        <f t="shared" si="43"/>
        <v>2026-08</v>
      </c>
    </row>
    <row r="686" spans="1:23">
      <c r="A686" s="1" t="s">
        <v>1366</v>
      </c>
      <c r="B686" s="1" t="s">
        <v>1367</v>
      </c>
      <c r="C686" s="1" t="s">
        <v>52</v>
      </c>
      <c r="D686" s="1" t="s">
        <v>26</v>
      </c>
      <c r="E686" s="1" t="s">
        <v>185</v>
      </c>
      <c r="F686">
        <v>1</v>
      </c>
      <c r="G686" s="2">
        <v>46052</v>
      </c>
      <c r="H686" s="2">
        <v>46058</v>
      </c>
      <c r="I686">
        <v>1180.5999999999999</v>
      </c>
      <c r="J686">
        <v>603.66999999999996</v>
      </c>
      <c r="K686">
        <v>603.66999999999996</v>
      </c>
      <c r="L686">
        <v>0</v>
      </c>
      <c r="M686" s="1" t="s">
        <v>21</v>
      </c>
      <c r="N686" s="1" t="s">
        <v>22</v>
      </c>
      <c r="O686" s="2">
        <v>46090</v>
      </c>
      <c r="P686" s="2">
        <v>46090</v>
      </c>
      <c r="Q686">
        <f>_xlfn.XLOOKUP(E686,CPT!$A$2:$A$13,CPT!$D$2:$D$13)</f>
        <v>1150</v>
      </c>
      <c r="R686" s="1">
        <f>_xlfn.XLOOKUP(C686,Contract!$A$2:$A$9,Contract!$B$2:$B$9)</f>
        <v>0.47</v>
      </c>
      <c r="S686" s="1">
        <f t="shared" si="40"/>
        <v>540.5</v>
      </c>
      <c r="T686" s="1">
        <f t="shared" si="41"/>
        <v>-63.169999999999959</v>
      </c>
      <c r="U686" s="1" t="str">
        <f t="shared" si="42"/>
        <v>OK</v>
      </c>
      <c r="V686" s="1" t="str">
        <f>_xlfn.XLOOKUP(C686,Payers!$A$2:$A$9,Payers!$B$2:$B$9)</f>
        <v>Keystone Commercial PPO</v>
      </c>
      <c r="W686" s="1" t="str">
        <f t="shared" si="43"/>
        <v>2026-01</v>
      </c>
    </row>
    <row r="687" spans="1:23">
      <c r="A687" s="1" t="s">
        <v>1368</v>
      </c>
      <c r="B687" s="1" t="s">
        <v>1369</v>
      </c>
      <c r="C687" s="1" t="s">
        <v>76</v>
      </c>
      <c r="D687" s="1" t="s">
        <v>30</v>
      </c>
      <c r="E687" s="1" t="s">
        <v>91</v>
      </c>
      <c r="F687">
        <v>1</v>
      </c>
      <c r="G687" s="2">
        <v>46286</v>
      </c>
      <c r="H687" s="2">
        <v>46287</v>
      </c>
      <c r="I687">
        <v>58.98</v>
      </c>
      <c r="M687" s="1" t="s">
        <v>69</v>
      </c>
      <c r="N687" s="1" t="s">
        <v>22</v>
      </c>
      <c r="O687" s="2"/>
      <c r="P687" s="2"/>
      <c r="Q687">
        <f>_xlfn.XLOOKUP(E687,CPT!$A$2:$A$13,CPT!$D$2:$D$13)</f>
        <v>58</v>
      </c>
      <c r="R687" s="1">
        <f>_xlfn.XLOOKUP(C687,Contract!$A$2:$A$9,Contract!$B$2:$B$9)</f>
        <v>0.43</v>
      </c>
      <c r="S687" s="1">
        <f t="shared" si="40"/>
        <v>24.94</v>
      </c>
      <c r="T687" s="1" t="str">
        <f t="shared" si="41"/>
        <v/>
      </c>
      <c r="U687" s="1" t="str">
        <f t="shared" si="42"/>
        <v/>
      </c>
      <c r="V687" s="1" t="str">
        <f>_xlfn.XLOOKUP(C687,Payers!$A$2:$A$9,Payers!$B$2:$B$9)</f>
        <v>Summit Health Commercial</v>
      </c>
      <c r="W687" s="1" t="str">
        <f t="shared" si="43"/>
        <v>2026-09</v>
      </c>
    </row>
    <row r="688" spans="1:23">
      <c r="A688" s="1" t="s">
        <v>1370</v>
      </c>
      <c r="B688" s="1" t="s">
        <v>1371</v>
      </c>
      <c r="C688" s="1" t="s">
        <v>60</v>
      </c>
      <c r="D688" s="1" t="s">
        <v>37</v>
      </c>
      <c r="E688" s="1" t="s">
        <v>57</v>
      </c>
      <c r="F688">
        <v>1</v>
      </c>
      <c r="G688" s="2">
        <v>46126</v>
      </c>
      <c r="H688" s="2">
        <v>46130</v>
      </c>
      <c r="I688">
        <v>208.76</v>
      </c>
      <c r="J688">
        <v>104.6</v>
      </c>
      <c r="K688">
        <v>83.68</v>
      </c>
      <c r="L688">
        <v>20.92</v>
      </c>
      <c r="M688" s="1" t="s">
        <v>21</v>
      </c>
      <c r="N688" s="1" t="s">
        <v>22</v>
      </c>
      <c r="O688" s="2">
        <v>46160</v>
      </c>
      <c r="P688" s="2">
        <v>46160</v>
      </c>
      <c r="Q688">
        <f>_xlfn.XLOOKUP(E688,CPT!$A$2:$A$13,CPT!$D$2:$D$13)</f>
        <v>210</v>
      </c>
      <c r="R688" s="1">
        <f>_xlfn.XLOOKUP(C688,Contract!$A$2:$A$9,Contract!$B$2:$B$9)</f>
        <v>0.45</v>
      </c>
      <c r="S688" s="1">
        <f t="shared" si="40"/>
        <v>94.5</v>
      </c>
      <c r="T688" s="1">
        <f t="shared" si="41"/>
        <v>-10.099999999999994</v>
      </c>
      <c r="U688" s="1" t="str">
        <f t="shared" si="42"/>
        <v>OK</v>
      </c>
      <c r="V688" s="1" t="str">
        <f>_xlfn.XLOOKUP(C688,Payers!$A$2:$A$9,Payers!$B$2:$B$9)</f>
        <v>Blue Horizon Commercial</v>
      </c>
      <c r="W688" s="1" t="str">
        <f t="shared" si="43"/>
        <v>2026-04</v>
      </c>
    </row>
    <row r="689" spans="1:23">
      <c r="A689" s="1" t="s">
        <v>1372</v>
      </c>
      <c r="B689" s="1" t="s">
        <v>1373</v>
      </c>
      <c r="C689" s="1" t="s">
        <v>47</v>
      </c>
      <c r="D689" s="1" t="s">
        <v>19</v>
      </c>
      <c r="E689" s="1" t="s">
        <v>41</v>
      </c>
      <c r="F689">
        <v>1</v>
      </c>
      <c r="G689" s="2">
        <v>46248</v>
      </c>
      <c r="H689" s="2">
        <v>46253</v>
      </c>
      <c r="I689">
        <v>37.090000000000003</v>
      </c>
      <c r="J689">
        <v>8.82</v>
      </c>
      <c r="K689">
        <v>7.94</v>
      </c>
      <c r="L689">
        <v>0.88</v>
      </c>
      <c r="M689" s="1" t="s">
        <v>21</v>
      </c>
      <c r="N689" s="1" t="s">
        <v>22</v>
      </c>
      <c r="O689" s="2">
        <v>46289</v>
      </c>
      <c r="P689" s="2">
        <v>46289</v>
      </c>
      <c r="Q689">
        <f>_xlfn.XLOOKUP(E689,CPT!$A$2:$A$13,CPT!$D$2:$D$13)</f>
        <v>38</v>
      </c>
      <c r="R689" s="1">
        <f>_xlfn.XLOOKUP(C689,Contract!$A$2:$A$9,Contract!$B$2:$B$9)</f>
        <v>0.28000000000000003</v>
      </c>
      <c r="S689" s="1">
        <f t="shared" si="40"/>
        <v>10.64</v>
      </c>
      <c r="T689" s="1">
        <f t="shared" si="41"/>
        <v>1.8200000000000003</v>
      </c>
      <c r="U689" s="1" t="str">
        <f t="shared" si="42"/>
        <v>Underpaid</v>
      </c>
      <c r="V689" s="1" t="str">
        <f>_xlfn.XLOOKUP(C689,Payers!$A$2:$A$9,Payers!$B$2:$B$9)</f>
        <v>Coastal Medicaid MCO</v>
      </c>
      <c r="W689" s="1" t="str">
        <f t="shared" si="43"/>
        <v>2026-08</v>
      </c>
    </row>
    <row r="690" spans="1:23">
      <c r="A690" s="1" t="s">
        <v>1374</v>
      </c>
      <c r="B690" s="1" t="s">
        <v>1375</v>
      </c>
      <c r="C690" s="1" t="s">
        <v>60</v>
      </c>
      <c r="D690" s="1" t="s">
        <v>26</v>
      </c>
      <c r="E690" s="1" t="s">
        <v>88</v>
      </c>
      <c r="F690">
        <v>1</v>
      </c>
      <c r="G690" s="2">
        <v>45965</v>
      </c>
      <c r="H690" s="2">
        <v>45973</v>
      </c>
      <c r="I690">
        <v>261.45</v>
      </c>
      <c r="J690">
        <v>103.96</v>
      </c>
      <c r="K690">
        <v>83.17</v>
      </c>
      <c r="L690">
        <v>20.79</v>
      </c>
      <c r="M690" s="1" t="s">
        <v>21</v>
      </c>
      <c r="N690" s="1" t="s">
        <v>22</v>
      </c>
      <c r="O690" s="2">
        <v>45993</v>
      </c>
      <c r="P690" s="2">
        <v>45993</v>
      </c>
      <c r="Q690">
        <f>_xlfn.XLOOKUP(E690,CPT!$A$2:$A$13,CPT!$D$2:$D$13)</f>
        <v>260</v>
      </c>
      <c r="R690" s="1">
        <f>_xlfn.XLOOKUP(C690,Contract!$A$2:$A$9,Contract!$B$2:$B$9)</f>
        <v>0.45</v>
      </c>
      <c r="S690" s="1">
        <f t="shared" si="40"/>
        <v>117</v>
      </c>
      <c r="T690" s="1">
        <f t="shared" si="41"/>
        <v>13.040000000000006</v>
      </c>
      <c r="U690" s="1" t="str">
        <f t="shared" si="42"/>
        <v>Underpaid</v>
      </c>
      <c r="V690" s="1" t="str">
        <f>_xlfn.XLOOKUP(C690,Payers!$A$2:$A$9,Payers!$B$2:$B$9)</f>
        <v>Blue Horizon Commercial</v>
      </c>
      <c r="W690" s="1" t="str">
        <f t="shared" si="43"/>
        <v>2025-11</v>
      </c>
    </row>
    <row r="691" spans="1:23">
      <c r="A691" s="1" t="s">
        <v>1376</v>
      </c>
      <c r="B691" s="1" t="s">
        <v>1377</v>
      </c>
      <c r="C691" s="1" t="s">
        <v>76</v>
      </c>
      <c r="D691" s="1" t="s">
        <v>19</v>
      </c>
      <c r="E691" s="1" t="s">
        <v>57</v>
      </c>
      <c r="F691">
        <v>1</v>
      </c>
      <c r="G691" s="2">
        <v>45953</v>
      </c>
      <c r="H691" s="2">
        <v>45955</v>
      </c>
      <c r="I691">
        <v>204.46</v>
      </c>
      <c r="J691">
        <v>99.91</v>
      </c>
      <c r="K691">
        <v>89.92</v>
      </c>
      <c r="L691">
        <v>9.99</v>
      </c>
      <c r="M691" s="1" t="s">
        <v>21</v>
      </c>
      <c r="N691" s="1" t="s">
        <v>22</v>
      </c>
      <c r="O691" s="2">
        <v>45986</v>
      </c>
      <c r="P691" s="2">
        <v>45986</v>
      </c>
      <c r="Q691">
        <f>_xlfn.XLOOKUP(E691,CPT!$A$2:$A$13,CPT!$D$2:$D$13)</f>
        <v>210</v>
      </c>
      <c r="R691" s="1">
        <f>_xlfn.XLOOKUP(C691,Contract!$A$2:$A$9,Contract!$B$2:$B$9)</f>
        <v>0.43</v>
      </c>
      <c r="S691" s="1">
        <f t="shared" si="40"/>
        <v>90.3</v>
      </c>
      <c r="T691" s="1">
        <f t="shared" si="41"/>
        <v>-9.61</v>
      </c>
      <c r="U691" s="1" t="str">
        <f t="shared" si="42"/>
        <v>OK</v>
      </c>
      <c r="V691" s="1" t="str">
        <f>_xlfn.XLOOKUP(C691,Payers!$A$2:$A$9,Payers!$B$2:$B$9)</f>
        <v>Summit Health Commercial</v>
      </c>
      <c r="W691" s="1" t="str">
        <f t="shared" si="43"/>
        <v>2025-10</v>
      </c>
    </row>
    <row r="692" spans="1:23">
      <c r="A692" s="1" t="s">
        <v>1378</v>
      </c>
      <c r="B692" s="1" t="s">
        <v>1379</v>
      </c>
      <c r="C692" s="1" t="s">
        <v>60</v>
      </c>
      <c r="D692" s="1" t="s">
        <v>19</v>
      </c>
      <c r="E692" s="1" t="s">
        <v>57</v>
      </c>
      <c r="F692">
        <v>1</v>
      </c>
      <c r="G692" s="2">
        <v>46089</v>
      </c>
      <c r="H692" s="2">
        <v>46091</v>
      </c>
      <c r="I692">
        <v>211.3</v>
      </c>
      <c r="J692">
        <v>95.61</v>
      </c>
      <c r="K692">
        <v>95.61</v>
      </c>
      <c r="L692">
        <v>0</v>
      </c>
      <c r="M692" s="1" t="s">
        <v>21</v>
      </c>
      <c r="N692" s="1" t="s">
        <v>22</v>
      </c>
      <c r="O692" s="2">
        <v>46116</v>
      </c>
      <c r="P692" s="2">
        <v>46116</v>
      </c>
      <c r="Q692">
        <f>_xlfn.XLOOKUP(E692,CPT!$A$2:$A$13,CPT!$D$2:$D$13)</f>
        <v>210</v>
      </c>
      <c r="R692" s="1">
        <f>_xlfn.XLOOKUP(C692,Contract!$A$2:$A$9,Contract!$B$2:$B$9)</f>
        <v>0.45</v>
      </c>
      <c r="S692" s="1">
        <f t="shared" si="40"/>
        <v>94.5</v>
      </c>
      <c r="T692" s="1">
        <f t="shared" si="41"/>
        <v>-1.1099999999999994</v>
      </c>
      <c r="U692" s="1" t="str">
        <f t="shared" si="42"/>
        <v>OK</v>
      </c>
      <c r="V692" s="1" t="str">
        <f>_xlfn.XLOOKUP(C692,Payers!$A$2:$A$9,Payers!$B$2:$B$9)</f>
        <v>Blue Horizon Commercial</v>
      </c>
      <c r="W692" s="1" t="str">
        <f t="shared" si="43"/>
        <v>2026-03</v>
      </c>
    </row>
    <row r="693" spans="1:23">
      <c r="A693" s="1" t="s">
        <v>1380</v>
      </c>
      <c r="B693" s="1" t="s">
        <v>1381</v>
      </c>
      <c r="C693" s="1" t="s">
        <v>47</v>
      </c>
      <c r="D693" s="1" t="s">
        <v>30</v>
      </c>
      <c r="E693" s="1" t="s">
        <v>20</v>
      </c>
      <c r="F693">
        <v>1</v>
      </c>
      <c r="G693" s="2">
        <v>46147</v>
      </c>
      <c r="H693" s="2">
        <v>46163</v>
      </c>
      <c r="I693">
        <v>143.63999999999999</v>
      </c>
      <c r="M693" s="1" t="s">
        <v>32</v>
      </c>
      <c r="N693" s="1" t="s">
        <v>33</v>
      </c>
      <c r="O693" s="2">
        <v>46215</v>
      </c>
      <c r="P693" s="2"/>
      <c r="Q693">
        <f>_xlfn.XLOOKUP(E693,CPT!$A$2:$A$13,CPT!$D$2:$D$13)</f>
        <v>145</v>
      </c>
      <c r="R693" s="1">
        <f>_xlfn.XLOOKUP(C693,Contract!$A$2:$A$9,Contract!$B$2:$B$9)</f>
        <v>0.28000000000000003</v>
      </c>
      <c r="S693" s="1">
        <f t="shared" si="40"/>
        <v>40.6</v>
      </c>
      <c r="T693" s="1" t="str">
        <f t="shared" si="41"/>
        <v/>
      </c>
      <c r="U693" s="1" t="str">
        <f t="shared" si="42"/>
        <v/>
      </c>
      <c r="V693" s="1" t="str">
        <f>_xlfn.XLOOKUP(C693,Payers!$A$2:$A$9,Payers!$B$2:$B$9)</f>
        <v>Coastal Medicaid MCO</v>
      </c>
      <c r="W693" s="1" t="str">
        <f t="shared" si="43"/>
        <v>2026-05</v>
      </c>
    </row>
    <row r="694" spans="1:23">
      <c r="A694" s="1" t="s">
        <v>1382</v>
      </c>
      <c r="B694" s="1" t="s">
        <v>1383</v>
      </c>
      <c r="C694" s="1" t="s">
        <v>18</v>
      </c>
      <c r="D694" s="1" t="s">
        <v>30</v>
      </c>
      <c r="E694" s="1" t="s">
        <v>20</v>
      </c>
      <c r="F694">
        <v>1</v>
      </c>
      <c r="G694" s="2">
        <v>46227</v>
      </c>
      <c r="H694" s="2">
        <v>46229</v>
      </c>
      <c r="I694">
        <v>145.58000000000001</v>
      </c>
      <c r="M694" s="1" t="s">
        <v>69</v>
      </c>
      <c r="N694" s="1" t="s">
        <v>22</v>
      </c>
      <c r="O694" s="2"/>
      <c r="P694" s="2"/>
      <c r="Q694">
        <f>_xlfn.XLOOKUP(E694,CPT!$A$2:$A$13,CPT!$D$2:$D$13)</f>
        <v>145</v>
      </c>
      <c r="R694" s="1">
        <f>_xlfn.XLOOKUP(C694,Contract!$A$2:$A$9,Contract!$B$2:$B$9)</f>
        <v>0.38</v>
      </c>
      <c r="S694" s="1">
        <f t="shared" si="40"/>
        <v>55.1</v>
      </c>
      <c r="T694" s="1" t="str">
        <f t="shared" si="41"/>
        <v/>
      </c>
      <c r="U694" s="1" t="str">
        <f t="shared" si="42"/>
        <v/>
      </c>
      <c r="V694" s="1" t="str">
        <f>_xlfn.XLOOKUP(C694,Payers!$A$2:$A$9,Payers!$B$2:$B$9)</f>
        <v>Sunshine Medicare Advantage</v>
      </c>
      <c r="W694" s="1" t="str">
        <f t="shared" si="43"/>
        <v>2026-07</v>
      </c>
    </row>
    <row r="695" spans="1:23">
      <c r="A695" s="1" t="s">
        <v>1384</v>
      </c>
      <c r="B695" s="1" t="s">
        <v>1385</v>
      </c>
      <c r="C695" s="1" t="s">
        <v>25</v>
      </c>
      <c r="D695" s="1" t="s">
        <v>26</v>
      </c>
      <c r="E695" s="1" t="s">
        <v>88</v>
      </c>
      <c r="F695">
        <v>1</v>
      </c>
      <c r="G695" s="2">
        <v>46285</v>
      </c>
      <c r="H695" s="2">
        <v>46289</v>
      </c>
      <c r="I695">
        <v>255.79</v>
      </c>
      <c r="M695" s="1" t="s">
        <v>69</v>
      </c>
      <c r="N695" s="1" t="s">
        <v>22</v>
      </c>
      <c r="O695" s="2"/>
      <c r="P695" s="2"/>
      <c r="Q695">
        <f>_xlfn.XLOOKUP(E695,CPT!$A$2:$A$13,CPT!$D$2:$D$13)</f>
        <v>260</v>
      </c>
      <c r="R695" s="1">
        <f>_xlfn.XLOOKUP(C695,Contract!$A$2:$A$9,Contract!$B$2:$B$9)</f>
        <v>0.36</v>
      </c>
      <c r="S695" s="1">
        <f t="shared" si="40"/>
        <v>93.6</v>
      </c>
      <c r="T695" s="1" t="str">
        <f t="shared" si="41"/>
        <v/>
      </c>
      <c r="U695" s="1" t="str">
        <f t="shared" si="42"/>
        <v/>
      </c>
      <c r="V695" s="1" t="str">
        <f>_xlfn.XLOOKUP(C695,Payers!$A$2:$A$9,Payers!$B$2:$B$9)</f>
        <v>Medicare Part B</v>
      </c>
      <c r="W695" s="1" t="str">
        <f t="shared" si="43"/>
        <v>2026-09</v>
      </c>
    </row>
    <row r="696" spans="1:23">
      <c r="A696" s="1" t="s">
        <v>1386</v>
      </c>
      <c r="B696" s="1" t="s">
        <v>1387</v>
      </c>
      <c r="C696" s="1" t="s">
        <v>76</v>
      </c>
      <c r="D696" s="1" t="s">
        <v>26</v>
      </c>
      <c r="E696" s="1" t="s">
        <v>41</v>
      </c>
      <c r="F696">
        <v>1</v>
      </c>
      <c r="G696" s="2">
        <v>46135</v>
      </c>
      <c r="H696" s="2">
        <v>46154</v>
      </c>
      <c r="I696">
        <v>37.28</v>
      </c>
      <c r="J696">
        <v>13.82</v>
      </c>
      <c r="K696">
        <v>12.44</v>
      </c>
      <c r="L696">
        <v>1.38</v>
      </c>
      <c r="M696" s="1" t="s">
        <v>21</v>
      </c>
      <c r="N696" s="1" t="s">
        <v>22</v>
      </c>
      <c r="O696" s="2">
        <v>46190</v>
      </c>
      <c r="P696" s="2">
        <v>46190</v>
      </c>
      <c r="Q696">
        <f>_xlfn.XLOOKUP(E696,CPT!$A$2:$A$13,CPT!$D$2:$D$13)</f>
        <v>38</v>
      </c>
      <c r="R696" s="1">
        <f>_xlfn.XLOOKUP(C696,Contract!$A$2:$A$9,Contract!$B$2:$B$9)</f>
        <v>0.43</v>
      </c>
      <c r="S696" s="1">
        <f t="shared" si="40"/>
        <v>16.34</v>
      </c>
      <c r="T696" s="1">
        <f t="shared" si="41"/>
        <v>2.5199999999999996</v>
      </c>
      <c r="U696" s="1" t="str">
        <f t="shared" si="42"/>
        <v>Underpaid</v>
      </c>
      <c r="V696" s="1" t="str">
        <f>_xlfn.XLOOKUP(C696,Payers!$A$2:$A$9,Payers!$B$2:$B$9)</f>
        <v>Summit Health Commercial</v>
      </c>
      <c r="W696" s="1" t="str">
        <f t="shared" si="43"/>
        <v>2026-04</v>
      </c>
    </row>
    <row r="697" spans="1:23">
      <c r="A697" s="1" t="s">
        <v>1388</v>
      </c>
      <c r="B697" s="1" t="s">
        <v>1389</v>
      </c>
      <c r="C697" s="1" t="s">
        <v>47</v>
      </c>
      <c r="D697" s="1" t="s">
        <v>26</v>
      </c>
      <c r="E697" s="1" t="s">
        <v>27</v>
      </c>
      <c r="F697">
        <v>1</v>
      </c>
      <c r="G697" s="2">
        <v>46115</v>
      </c>
      <c r="H697" s="2">
        <v>46116</v>
      </c>
      <c r="I697">
        <v>233.43</v>
      </c>
      <c r="M697" s="1" t="s">
        <v>32</v>
      </c>
      <c r="N697" s="1" t="s">
        <v>33</v>
      </c>
      <c r="O697" s="2">
        <v>46178</v>
      </c>
      <c r="P697" s="2"/>
      <c r="Q697">
        <f>_xlfn.XLOOKUP(E697,CPT!$A$2:$A$13,CPT!$D$2:$D$13)</f>
        <v>240</v>
      </c>
      <c r="R697" s="1">
        <f>_xlfn.XLOOKUP(C697,Contract!$A$2:$A$9,Contract!$B$2:$B$9)</f>
        <v>0.28000000000000003</v>
      </c>
      <c r="S697" s="1">
        <f t="shared" si="40"/>
        <v>67.2</v>
      </c>
      <c r="T697" s="1" t="str">
        <f t="shared" si="41"/>
        <v/>
      </c>
      <c r="U697" s="1" t="str">
        <f t="shared" si="42"/>
        <v/>
      </c>
      <c r="V697" s="1" t="str">
        <f>_xlfn.XLOOKUP(C697,Payers!$A$2:$A$9,Payers!$B$2:$B$9)</f>
        <v>Coastal Medicaid MCO</v>
      </c>
      <c r="W697" s="1" t="str">
        <f t="shared" si="43"/>
        <v>2026-04</v>
      </c>
    </row>
    <row r="698" spans="1:23">
      <c r="A698" s="1" t="s">
        <v>1390</v>
      </c>
      <c r="B698" s="1" t="s">
        <v>325</v>
      </c>
      <c r="C698" s="1" t="s">
        <v>60</v>
      </c>
      <c r="D698" s="1" t="s">
        <v>30</v>
      </c>
      <c r="E698" s="1" t="s">
        <v>31</v>
      </c>
      <c r="F698">
        <v>1</v>
      </c>
      <c r="G698" s="2">
        <v>46277</v>
      </c>
      <c r="H698" s="2">
        <v>46284</v>
      </c>
      <c r="I698">
        <v>61.55</v>
      </c>
      <c r="M698" s="1" t="s">
        <v>69</v>
      </c>
      <c r="N698" s="1" t="s">
        <v>22</v>
      </c>
      <c r="O698" s="2"/>
      <c r="P698" s="2"/>
      <c r="Q698">
        <f>_xlfn.XLOOKUP(E698,CPT!$A$2:$A$13,CPT!$D$2:$D$13)</f>
        <v>62</v>
      </c>
      <c r="R698" s="1">
        <f>_xlfn.XLOOKUP(C698,Contract!$A$2:$A$9,Contract!$B$2:$B$9)</f>
        <v>0.45</v>
      </c>
      <c r="S698" s="1">
        <f t="shared" si="40"/>
        <v>27.9</v>
      </c>
      <c r="T698" s="1" t="str">
        <f t="shared" si="41"/>
        <v/>
      </c>
      <c r="U698" s="1" t="str">
        <f t="shared" si="42"/>
        <v/>
      </c>
      <c r="V698" s="1" t="str">
        <f>_xlfn.XLOOKUP(C698,Payers!$A$2:$A$9,Payers!$B$2:$B$9)</f>
        <v>Blue Horizon Commercial</v>
      </c>
      <c r="W698" s="1" t="str">
        <f t="shared" si="43"/>
        <v>2026-09</v>
      </c>
    </row>
    <row r="699" spans="1:23">
      <c r="A699" s="1" t="s">
        <v>1391</v>
      </c>
      <c r="B699" s="1" t="s">
        <v>1392</v>
      </c>
      <c r="C699" s="1" t="s">
        <v>79</v>
      </c>
      <c r="D699" s="1" t="s">
        <v>26</v>
      </c>
      <c r="E699" s="1" t="s">
        <v>27</v>
      </c>
      <c r="F699">
        <v>1</v>
      </c>
      <c r="G699" s="2">
        <v>46250</v>
      </c>
      <c r="H699" s="2">
        <v>46259</v>
      </c>
      <c r="I699">
        <v>245.5</v>
      </c>
      <c r="M699" s="1" t="s">
        <v>69</v>
      </c>
      <c r="N699" s="1" t="s">
        <v>22</v>
      </c>
      <c r="O699" s="2"/>
      <c r="P699" s="2"/>
      <c r="Q699">
        <f>_xlfn.XLOOKUP(E699,CPT!$A$2:$A$13,CPT!$D$2:$D$13)</f>
        <v>240</v>
      </c>
      <c r="R699" s="1">
        <f>_xlfn.XLOOKUP(C699,Contract!$A$2:$A$9,Contract!$B$2:$B$9)</f>
        <v>1</v>
      </c>
      <c r="S699" s="1">
        <f t="shared" si="40"/>
        <v>240</v>
      </c>
      <c r="T699" s="1" t="str">
        <f t="shared" si="41"/>
        <v/>
      </c>
      <c r="U699" s="1" t="str">
        <f t="shared" si="42"/>
        <v/>
      </c>
      <c r="V699" s="1" t="str">
        <f>_xlfn.XLOOKUP(C699,Payers!$A$2:$A$9,Payers!$B$2:$B$9)</f>
        <v>Self-Pay</v>
      </c>
      <c r="W699" s="1" t="str">
        <f t="shared" si="43"/>
        <v>2026-08</v>
      </c>
    </row>
    <row r="700" spans="1:23">
      <c r="A700" s="1" t="s">
        <v>1393</v>
      </c>
      <c r="B700" s="1" t="s">
        <v>1394</v>
      </c>
      <c r="C700" s="1" t="s">
        <v>36</v>
      </c>
      <c r="D700" s="1" t="s">
        <v>30</v>
      </c>
      <c r="E700" s="1" t="s">
        <v>31</v>
      </c>
      <c r="F700">
        <v>3</v>
      </c>
      <c r="G700" s="2">
        <v>46029</v>
      </c>
      <c r="H700" s="2">
        <v>46031</v>
      </c>
      <c r="I700">
        <v>184.64</v>
      </c>
      <c r="J700">
        <v>45.89</v>
      </c>
      <c r="K700">
        <v>45.89</v>
      </c>
      <c r="L700">
        <v>0</v>
      </c>
      <c r="M700" s="1" t="s">
        <v>21</v>
      </c>
      <c r="N700" s="1" t="s">
        <v>22</v>
      </c>
      <c r="O700" s="2">
        <v>46086</v>
      </c>
      <c r="P700" s="2">
        <v>46086</v>
      </c>
      <c r="Q700">
        <f>_xlfn.XLOOKUP(E700,CPT!$A$2:$A$13,CPT!$D$2:$D$13)</f>
        <v>62</v>
      </c>
      <c r="R700" s="1">
        <f>_xlfn.XLOOKUP(C700,Contract!$A$2:$A$9,Contract!$B$2:$B$9)</f>
        <v>0.27</v>
      </c>
      <c r="S700" s="1">
        <f t="shared" si="40"/>
        <v>50.22</v>
      </c>
      <c r="T700" s="1">
        <f t="shared" si="41"/>
        <v>4.3299999999999983</v>
      </c>
      <c r="U700" s="1" t="str">
        <f t="shared" si="42"/>
        <v>Underpaid</v>
      </c>
      <c r="V700" s="1" t="str">
        <f>_xlfn.XLOOKUP(C700,Payers!$A$2:$A$9,Payers!$B$2:$B$9)</f>
        <v>Florida Medicaid</v>
      </c>
      <c r="W700" s="1" t="str">
        <f t="shared" si="43"/>
        <v>2026-01</v>
      </c>
    </row>
    <row r="701" spans="1:23">
      <c r="A701" s="1" t="s">
        <v>1395</v>
      </c>
      <c r="B701" s="1" t="s">
        <v>1396</v>
      </c>
      <c r="C701" s="1" t="s">
        <v>76</v>
      </c>
      <c r="D701" s="1" t="s">
        <v>19</v>
      </c>
      <c r="E701" s="1" t="s">
        <v>57</v>
      </c>
      <c r="F701">
        <v>1</v>
      </c>
      <c r="G701" s="2">
        <v>45958</v>
      </c>
      <c r="H701" s="2">
        <v>45960</v>
      </c>
      <c r="I701">
        <v>211.63</v>
      </c>
      <c r="M701" s="1" t="s">
        <v>32</v>
      </c>
      <c r="N701" s="1" t="s">
        <v>124</v>
      </c>
      <c r="O701" s="2">
        <v>45995</v>
      </c>
      <c r="P701" s="2"/>
      <c r="Q701">
        <f>_xlfn.XLOOKUP(E701,CPT!$A$2:$A$13,CPT!$D$2:$D$13)</f>
        <v>210</v>
      </c>
      <c r="R701" s="1">
        <f>_xlfn.XLOOKUP(C701,Contract!$A$2:$A$9,Contract!$B$2:$B$9)</f>
        <v>0.43</v>
      </c>
      <c r="S701" s="1">
        <f t="shared" si="40"/>
        <v>90.3</v>
      </c>
      <c r="T701" s="1" t="str">
        <f t="shared" si="41"/>
        <v/>
      </c>
      <c r="U701" s="1" t="str">
        <f t="shared" si="42"/>
        <v/>
      </c>
      <c r="V701" s="1" t="str">
        <f>_xlfn.XLOOKUP(C701,Payers!$A$2:$A$9,Payers!$B$2:$B$9)</f>
        <v>Summit Health Commercial</v>
      </c>
      <c r="W701" s="1" t="str">
        <f t="shared" si="43"/>
        <v>2025-10</v>
      </c>
    </row>
    <row r="702" spans="1:23">
      <c r="A702" s="1" t="s">
        <v>1397</v>
      </c>
      <c r="B702" s="1" t="s">
        <v>1398</v>
      </c>
      <c r="C702" s="1" t="s">
        <v>52</v>
      </c>
      <c r="D702" s="1" t="s">
        <v>19</v>
      </c>
      <c r="E702" s="1" t="s">
        <v>57</v>
      </c>
      <c r="F702">
        <v>1</v>
      </c>
      <c r="G702" s="2">
        <v>46261</v>
      </c>
      <c r="H702" s="2">
        <v>46263</v>
      </c>
      <c r="I702">
        <v>213.16</v>
      </c>
      <c r="M702" s="1" t="s">
        <v>69</v>
      </c>
      <c r="N702" s="1" t="s">
        <v>22</v>
      </c>
      <c r="O702" s="2"/>
      <c r="P702" s="2"/>
      <c r="Q702">
        <f>_xlfn.XLOOKUP(E702,CPT!$A$2:$A$13,CPT!$D$2:$D$13)</f>
        <v>210</v>
      </c>
      <c r="R702" s="1">
        <f>_xlfn.XLOOKUP(C702,Contract!$A$2:$A$9,Contract!$B$2:$B$9)</f>
        <v>0.47</v>
      </c>
      <c r="S702" s="1">
        <f t="shared" si="40"/>
        <v>98.7</v>
      </c>
      <c r="T702" s="1" t="str">
        <f t="shared" si="41"/>
        <v/>
      </c>
      <c r="U702" s="1" t="str">
        <f t="shared" si="42"/>
        <v/>
      </c>
      <c r="V702" s="1" t="str">
        <f>_xlfn.XLOOKUP(C702,Payers!$A$2:$A$9,Payers!$B$2:$B$9)</f>
        <v>Keystone Commercial PPO</v>
      </c>
      <c r="W702" s="1" t="str">
        <f t="shared" si="43"/>
        <v>2026-08</v>
      </c>
    </row>
    <row r="703" spans="1:23">
      <c r="A703" s="1" t="s">
        <v>1399</v>
      </c>
      <c r="B703" s="1" t="s">
        <v>1400</v>
      </c>
      <c r="C703" s="1" t="s">
        <v>52</v>
      </c>
      <c r="D703" s="1" t="s">
        <v>37</v>
      </c>
      <c r="E703" s="1" t="s">
        <v>48</v>
      </c>
      <c r="F703">
        <v>1</v>
      </c>
      <c r="G703" s="2">
        <v>46228</v>
      </c>
      <c r="H703" s="2">
        <v>46239</v>
      </c>
      <c r="I703">
        <v>417.5</v>
      </c>
      <c r="J703">
        <v>168.83</v>
      </c>
      <c r="K703">
        <v>168.83</v>
      </c>
      <c r="L703">
        <v>0</v>
      </c>
      <c r="M703" s="1" t="s">
        <v>21</v>
      </c>
      <c r="N703" s="1" t="s">
        <v>22</v>
      </c>
      <c r="O703" s="2">
        <v>46267</v>
      </c>
      <c r="P703" s="2">
        <v>46267</v>
      </c>
      <c r="Q703">
        <f>_xlfn.XLOOKUP(E703,CPT!$A$2:$A$13,CPT!$D$2:$D$13)</f>
        <v>420</v>
      </c>
      <c r="R703" s="1">
        <f>_xlfn.XLOOKUP(C703,Contract!$A$2:$A$9,Contract!$B$2:$B$9)</f>
        <v>0.47</v>
      </c>
      <c r="S703" s="1">
        <f t="shared" si="40"/>
        <v>197.4</v>
      </c>
      <c r="T703" s="1">
        <f t="shared" si="41"/>
        <v>28.569999999999993</v>
      </c>
      <c r="U703" s="1" t="str">
        <f t="shared" si="42"/>
        <v>Underpaid</v>
      </c>
      <c r="V703" s="1" t="str">
        <f>_xlfn.XLOOKUP(C703,Payers!$A$2:$A$9,Payers!$B$2:$B$9)</f>
        <v>Keystone Commercial PPO</v>
      </c>
      <c r="W703" s="1" t="str">
        <f t="shared" si="43"/>
        <v>2026-07</v>
      </c>
    </row>
    <row r="704" spans="1:23">
      <c r="A704" s="1" t="s">
        <v>1401</v>
      </c>
      <c r="B704" s="1" t="s">
        <v>1402</v>
      </c>
      <c r="C704" s="1" t="s">
        <v>76</v>
      </c>
      <c r="D704" s="1" t="s">
        <v>19</v>
      </c>
      <c r="E704" s="1" t="s">
        <v>57</v>
      </c>
      <c r="F704">
        <v>1</v>
      </c>
      <c r="G704" s="2">
        <v>46087</v>
      </c>
      <c r="H704" s="2">
        <v>46089</v>
      </c>
      <c r="I704">
        <v>209.06</v>
      </c>
      <c r="J704">
        <v>98.89</v>
      </c>
      <c r="K704">
        <v>98.89</v>
      </c>
      <c r="L704">
        <v>0</v>
      </c>
      <c r="M704" s="1" t="s">
        <v>21</v>
      </c>
      <c r="N704" s="1" t="s">
        <v>22</v>
      </c>
      <c r="O704" s="2">
        <v>46120</v>
      </c>
      <c r="P704" s="2">
        <v>46120</v>
      </c>
      <c r="Q704">
        <f>_xlfn.XLOOKUP(E704,CPT!$A$2:$A$13,CPT!$D$2:$D$13)</f>
        <v>210</v>
      </c>
      <c r="R704" s="1">
        <f>_xlfn.XLOOKUP(C704,Contract!$A$2:$A$9,Contract!$B$2:$B$9)</f>
        <v>0.43</v>
      </c>
      <c r="S704" s="1">
        <f t="shared" si="40"/>
        <v>90.3</v>
      </c>
      <c r="T704" s="1">
        <f t="shared" si="41"/>
        <v>-8.5900000000000034</v>
      </c>
      <c r="U704" s="1" t="str">
        <f t="shared" si="42"/>
        <v>OK</v>
      </c>
      <c r="V704" s="1" t="str">
        <f>_xlfn.XLOOKUP(C704,Payers!$A$2:$A$9,Payers!$B$2:$B$9)</f>
        <v>Summit Health Commercial</v>
      </c>
      <c r="W704" s="1" t="str">
        <f t="shared" si="43"/>
        <v>2026-03</v>
      </c>
    </row>
    <row r="705" spans="1:23">
      <c r="A705" s="1" t="s">
        <v>1403</v>
      </c>
      <c r="B705" s="1" t="s">
        <v>1404</v>
      </c>
      <c r="C705" s="1" t="s">
        <v>60</v>
      </c>
      <c r="D705" s="1" t="s">
        <v>19</v>
      </c>
      <c r="E705" s="1" t="s">
        <v>88</v>
      </c>
      <c r="F705">
        <v>1</v>
      </c>
      <c r="G705" s="2">
        <v>45952</v>
      </c>
      <c r="H705" s="2">
        <v>45956</v>
      </c>
      <c r="I705">
        <v>259.45999999999998</v>
      </c>
      <c r="J705">
        <v>115.58</v>
      </c>
      <c r="K705">
        <v>92.46</v>
      </c>
      <c r="L705">
        <v>23.12</v>
      </c>
      <c r="M705" s="1" t="s">
        <v>21</v>
      </c>
      <c r="N705" s="1" t="s">
        <v>22</v>
      </c>
      <c r="O705" s="2">
        <v>45987</v>
      </c>
      <c r="P705" s="2">
        <v>45987</v>
      </c>
      <c r="Q705">
        <f>_xlfn.XLOOKUP(E705,CPT!$A$2:$A$13,CPT!$D$2:$D$13)</f>
        <v>260</v>
      </c>
      <c r="R705" s="1">
        <f>_xlfn.XLOOKUP(C705,Contract!$A$2:$A$9,Contract!$B$2:$B$9)</f>
        <v>0.45</v>
      </c>
      <c r="S705" s="1">
        <f t="shared" si="40"/>
        <v>117</v>
      </c>
      <c r="T705" s="1">
        <f t="shared" si="41"/>
        <v>1.4200000000000017</v>
      </c>
      <c r="U705" s="1" t="str">
        <f t="shared" si="42"/>
        <v>OK</v>
      </c>
      <c r="V705" s="1" t="str">
        <f>_xlfn.XLOOKUP(C705,Payers!$A$2:$A$9,Payers!$B$2:$B$9)</f>
        <v>Blue Horizon Commercial</v>
      </c>
      <c r="W705" s="1" t="str">
        <f t="shared" si="43"/>
        <v>2025-10</v>
      </c>
    </row>
    <row r="706" spans="1:23">
      <c r="A706" s="1" t="s">
        <v>1405</v>
      </c>
      <c r="B706" s="1" t="s">
        <v>1067</v>
      </c>
      <c r="C706" s="1" t="s">
        <v>76</v>
      </c>
      <c r="D706" s="1" t="s">
        <v>30</v>
      </c>
      <c r="E706" s="1" t="s">
        <v>91</v>
      </c>
      <c r="F706">
        <v>1</v>
      </c>
      <c r="G706" s="2">
        <v>45943</v>
      </c>
      <c r="H706" s="2">
        <v>46043</v>
      </c>
      <c r="I706">
        <v>57.8</v>
      </c>
      <c r="M706" s="1" t="s">
        <v>32</v>
      </c>
      <c r="N706" s="1" t="s">
        <v>137</v>
      </c>
      <c r="O706" s="2">
        <v>46071</v>
      </c>
      <c r="P706" s="2"/>
      <c r="Q706">
        <f>_xlfn.XLOOKUP(E706,CPT!$A$2:$A$13,CPT!$D$2:$D$13)</f>
        <v>58</v>
      </c>
      <c r="R706" s="1">
        <f>_xlfn.XLOOKUP(C706,Contract!$A$2:$A$9,Contract!$B$2:$B$9)</f>
        <v>0.43</v>
      </c>
      <c r="S706" s="1">
        <f t="shared" ref="S706:S769" si="44">ROUND(Q706*F706*R706,2)</f>
        <v>24.94</v>
      </c>
      <c r="T706" s="1" t="str">
        <f t="shared" ref="T706:T769" si="45">IF(M706="Paid",S706-J706,"")</f>
        <v/>
      </c>
      <c r="U706" s="1" t="str">
        <f t="shared" ref="U706:U769" si="46">IF(M706&lt;&gt;"Paid","",IF(T706&gt;S706*0.05,"Underpaid","OK"))</f>
        <v/>
      </c>
      <c r="V706" s="1" t="str">
        <f>_xlfn.XLOOKUP(C706,Payers!$A$2:$A$9,Payers!$B$2:$B$9)</f>
        <v>Summit Health Commercial</v>
      </c>
      <c r="W706" s="1" t="str">
        <f t="shared" ref="W706:W769" si="47">TEXT(G706,"yyyy-mm")</f>
        <v>2025-10</v>
      </c>
    </row>
    <row r="707" spans="1:23">
      <c r="A707" s="1" t="s">
        <v>1406</v>
      </c>
      <c r="B707" s="1" t="s">
        <v>1407</v>
      </c>
      <c r="C707" s="1" t="s">
        <v>60</v>
      </c>
      <c r="D707" s="1" t="s">
        <v>30</v>
      </c>
      <c r="E707" s="1" t="s">
        <v>31</v>
      </c>
      <c r="F707">
        <v>1</v>
      </c>
      <c r="G707" s="2">
        <v>46115</v>
      </c>
      <c r="H707" s="2">
        <v>46117</v>
      </c>
      <c r="I707">
        <v>62.17</v>
      </c>
      <c r="J707">
        <v>30.11</v>
      </c>
      <c r="K707">
        <v>27.1</v>
      </c>
      <c r="L707">
        <v>3.01</v>
      </c>
      <c r="M707" s="1" t="s">
        <v>21</v>
      </c>
      <c r="N707" s="1" t="s">
        <v>22</v>
      </c>
      <c r="O707" s="2">
        <v>46144</v>
      </c>
      <c r="P707" s="2">
        <v>46144</v>
      </c>
      <c r="Q707">
        <f>_xlfn.XLOOKUP(E707,CPT!$A$2:$A$13,CPT!$D$2:$D$13)</f>
        <v>62</v>
      </c>
      <c r="R707" s="1">
        <f>_xlfn.XLOOKUP(C707,Contract!$A$2:$A$9,Contract!$B$2:$B$9)</f>
        <v>0.45</v>
      </c>
      <c r="S707" s="1">
        <f t="shared" si="44"/>
        <v>27.9</v>
      </c>
      <c r="T707" s="1">
        <f t="shared" si="45"/>
        <v>-2.2100000000000009</v>
      </c>
      <c r="U707" s="1" t="str">
        <f t="shared" si="46"/>
        <v>OK</v>
      </c>
      <c r="V707" s="1" t="str">
        <f>_xlfn.XLOOKUP(C707,Payers!$A$2:$A$9,Payers!$B$2:$B$9)</f>
        <v>Blue Horizon Commercial</v>
      </c>
      <c r="W707" s="1" t="str">
        <f t="shared" si="47"/>
        <v>2026-04</v>
      </c>
    </row>
    <row r="708" spans="1:23">
      <c r="A708" s="1" t="s">
        <v>1408</v>
      </c>
      <c r="B708" s="1" t="s">
        <v>412</v>
      </c>
      <c r="C708" s="1" t="s">
        <v>60</v>
      </c>
      <c r="D708" s="1" t="s">
        <v>37</v>
      </c>
      <c r="E708" s="1" t="s">
        <v>38</v>
      </c>
      <c r="F708">
        <v>20</v>
      </c>
      <c r="G708" s="2">
        <v>46209</v>
      </c>
      <c r="H708" s="2">
        <v>46211</v>
      </c>
      <c r="I708">
        <v>28144.85</v>
      </c>
      <c r="J708">
        <v>13780.79</v>
      </c>
      <c r="K708">
        <v>13780.79</v>
      </c>
      <c r="L708">
        <v>0</v>
      </c>
      <c r="M708" s="1" t="s">
        <v>21</v>
      </c>
      <c r="N708" s="1" t="s">
        <v>22</v>
      </c>
      <c r="O708" s="2">
        <v>46231</v>
      </c>
      <c r="P708" s="2">
        <v>46231</v>
      </c>
      <c r="Q708">
        <f>_xlfn.XLOOKUP(E708,CPT!$A$2:$A$13,CPT!$D$2:$D$13)</f>
        <v>1450</v>
      </c>
      <c r="R708" s="1">
        <f>_xlfn.XLOOKUP(C708,Contract!$A$2:$A$9,Contract!$B$2:$B$9)</f>
        <v>0.45</v>
      </c>
      <c r="S708" s="1">
        <f t="shared" si="44"/>
        <v>13050</v>
      </c>
      <c r="T708" s="1">
        <f t="shared" si="45"/>
        <v>-730.79000000000087</v>
      </c>
      <c r="U708" s="1" t="str">
        <f t="shared" si="46"/>
        <v>OK</v>
      </c>
      <c r="V708" s="1" t="str">
        <f>_xlfn.XLOOKUP(C708,Payers!$A$2:$A$9,Payers!$B$2:$B$9)</f>
        <v>Blue Horizon Commercial</v>
      </c>
      <c r="W708" s="1" t="str">
        <f t="shared" si="47"/>
        <v>2026-07</v>
      </c>
    </row>
    <row r="709" spans="1:23">
      <c r="A709" s="1" t="s">
        <v>1409</v>
      </c>
      <c r="B709" s="1" t="s">
        <v>1410</v>
      </c>
      <c r="C709" s="1" t="s">
        <v>47</v>
      </c>
      <c r="D709" s="1" t="s">
        <v>37</v>
      </c>
      <c r="E709" s="1" t="s">
        <v>38</v>
      </c>
      <c r="F709">
        <v>10</v>
      </c>
      <c r="G709" s="2">
        <v>46047</v>
      </c>
      <c r="H709" s="2">
        <v>46048</v>
      </c>
      <c r="I709">
        <v>14694.3</v>
      </c>
      <c r="M709" s="1" t="s">
        <v>32</v>
      </c>
      <c r="N709" s="1" t="s">
        <v>49</v>
      </c>
      <c r="O709" s="2">
        <v>46119</v>
      </c>
      <c r="P709" s="2"/>
      <c r="Q709">
        <f>_xlfn.XLOOKUP(E709,CPT!$A$2:$A$13,CPT!$D$2:$D$13)</f>
        <v>1450</v>
      </c>
      <c r="R709" s="1">
        <f>_xlfn.XLOOKUP(C709,Contract!$A$2:$A$9,Contract!$B$2:$B$9)</f>
        <v>0.28000000000000003</v>
      </c>
      <c r="S709" s="1">
        <f t="shared" si="44"/>
        <v>4060</v>
      </c>
      <c r="T709" s="1" t="str">
        <f t="shared" si="45"/>
        <v/>
      </c>
      <c r="U709" s="1" t="str">
        <f t="shared" si="46"/>
        <v/>
      </c>
      <c r="V709" s="1" t="str">
        <f>_xlfn.XLOOKUP(C709,Payers!$A$2:$A$9,Payers!$B$2:$B$9)</f>
        <v>Coastal Medicaid MCO</v>
      </c>
      <c r="W709" s="1" t="str">
        <f t="shared" si="47"/>
        <v>2026-01</v>
      </c>
    </row>
    <row r="710" spans="1:23">
      <c r="A710" s="1" t="s">
        <v>1411</v>
      </c>
      <c r="B710" s="1" t="s">
        <v>1412</v>
      </c>
      <c r="C710" s="1" t="s">
        <v>76</v>
      </c>
      <c r="D710" s="1" t="s">
        <v>19</v>
      </c>
      <c r="E710" s="1" t="s">
        <v>20</v>
      </c>
      <c r="F710">
        <v>1</v>
      </c>
      <c r="G710" s="2">
        <v>46027</v>
      </c>
      <c r="H710" s="2">
        <v>46039</v>
      </c>
      <c r="I710">
        <v>144.38</v>
      </c>
      <c r="J710">
        <v>60.54</v>
      </c>
      <c r="K710">
        <v>60.54</v>
      </c>
      <c r="L710">
        <v>0</v>
      </c>
      <c r="M710" s="1" t="s">
        <v>21</v>
      </c>
      <c r="N710" s="1" t="s">
        <v>22</v>
      </c>
      <c r="O710" s="2">
        <v>46072</v>
      </c>
      <c r="P710" s="2">
        <v>46072</v>
      </c>
      <c r="Q710">
        <f>_xlfn.XLOOKUP(E710,CPT!$A$2:$A$13,CPT!$D$2:$D$13)</f>
        <v>145</v>
      </c>
      <c r="R710" s="1">
        <f>_xlfn.XLOOKUP(C710,Contract!$A$2:$A$9,Contract!$B$2:$B$9)</f>
        <v>0.43</v>
      </c>
      <c r="S710" s="1">
        <f t="shared" si="44"/>
        <v>62.35</v>
      </c>
      <c r="T710" s="1">
        <f t="shared" si="45"/>
        <v>1.8100000000000023</v>
      </c>
      <c r="U710" s="1" t="str">
        <f t="shared" si="46"/>
        <v>OK</v>
      </c>
      <c r="V710" s="1" t="str">
        <f>_xlfn.XLOOKUP(C710,Payers!$A$2:$A$9,Payers!$B$2:$B$9)</f>
        <v>Summit Health Commercial</v>
      </c>
      <c r="W710" s="1" t="str">
        <f t="shared" si="47"/>
        <v>2026-01</v>
      </c>
    </row>
    <row r="711" spans="1:23">
      <c r="A711" s="1" t="s">
        <v>1413</v>
      </c>
      <c r="B711" s="1" t="s">
        <v>1414</v>
      </c>
      <c r="C711" s="1" t="s">
        <v>47</v>
      </c>
      <c r="D711" s="1" t="s">
        <v>30</v>
      </c>
      <c r="E711" s="1" t="s">
        <v>91</v>
      </c>
      <c r="F711">
        <v>2</v>
      </c>
      <c r="G711" s="2">
        <v>45935</v>
      </c>
      <c r="H711" s="2">
        <v>45943</v>
      </c>
      <c r="I711">
        <v>118.16</v>
      </c>
      <c r="J711">
        <v>34.869999999999997</v>
      </c>
      <c r="K711">
        <v>27.9</v>
      </c>
      <c r="L711">
        <v>6.97</v>
      </c>
      <c r="M711" s="1" t="s">
        <v>21</v>
      </c>
      <c r="N711" s="1" t="s">
        <v>22</v>
      </c>
      <c r="O711" s="2">
        <v>46000</v>
      </c>
      <c r="P711" s="2">
        <v>46000</v>
      </c>
      <c r="Q711">
        <f>_xlfn.XLOOKUP(E711,CPT!$A$2:$A$13,CPT!$D$2:$D$13)</f>
        <v>58</v>
      </c>
      <c r="R711" s="1">
        <f>_xlfn.XLOOKUP(C711,Contract!$A$2:$A$9,Contract!$B$2:$B$9)</f>
        <v>0.28000000000000003</v>
      </c>
      <c r="S711" s="1">
        <f t="shared" si="44"/>
        <v>32.479999999999997</v>
      </c>
      <c r="T711" s="1">
        <f t="shared" si="45"/>
        <v>-2.3900000000000006</v>
      </c>
      <c r="U711" s="1" t="str">
        <f t="shared" si="46"/>
        <v>OK</v>
      </c>
      <c r="V711" s="1" t="str">
        <f>_xlfn.XLOOKUP(C711,Payers!$A$2:$A$9,Payers!$B$2:$B$9)</f>
        <v>Coastal Medicaid MCO</v>
      </c>
      <c r="W711" s="1" t="str">
        <f t="shared" si="47"/>
        <v>2025-10</v>
      </c>
    </row>
    <row r="712" spans="1:23">
      <c r="A712" s="1" t="s">
        <v>1415</v>
      </c>
      <c r="B712" s="1" t="s">
        <v>1416</v>
      </c>
      <c r="C712" s="1" t="s">
        <v>76</v>
      </c>
      <c r="D712" s="1" t="s">
        <v>37</v>
      </c>
      <c r="E712" s="1" t="s">
        <v>57</v>
      </c>
      <c r="F712">
        <v>1</v>
      </c>
      <c r="G712" s="2">
        <v>46231</v>
      </c>
      <c r="H712" s="2">
        <v>46238</v>
      </c>
      <c r="I712">
        <v>203.99</v>
      </c>
      <c r="J712">
        <v>77.81</v>
      </c>
      <c r="K712">
        <v>62.25</v>
      </c>
      <c r="L712">
        <v>15.56</v>
      </c>
      <c r="M712" s="1" t="s">
        <v>21</v>
      </c>
      <c r="N712" s="1" t="s">
        <v>22</v>
      </c>
      <c r="O712" s="2">
        <v>46278</v>
      </c>
      <c r="P712" s="2">
        <v>46278</v>
      </c>
      <c r="Q712">
        <f>_xlfn.XLOOKUP(E712,CPT!$A$2:$A$13,CPT!$D$2:$D$13)</f>
        <v>210</v>
      </c>
      <c r="R712" s="1">
        <f>_xlfn.XLOOKUP(C712,Contract!$A$2:$A$9,Contract!$B$2:$B$9)</f>
        <v>0.43</v>
      </c>
      <c r="S712" s="1">
        <f t="shared" si="44"/>
        <v>90.3</v>
      </c>
      <c r="T712" s="1">
        <f t="shared" si="45"/>
        <v>12.489999999999995</v>
      </c>
      <c r="U712" s="1" t="str">
        <f t="shared" si="46"/>
        <v>Underpaid</v>
      </c>
      <c r="V712" s="1" t="str">
        <f>_xlfn.XLOOKUP(C712,Payers!$A$2:$A$9,Payers!$B$2:$B$9)</f>
        <v>Summit Health Commercial</v>
      </c>
      <c r="W712" s="1" t="str">
        <f t="shared" si="47"/>
        <v>2026-07</v>
      </c>
    </row>
    <row r="713" spans="1:23">
      <c r="A713" s="1" t="s">
        <v>1417</v>
      </c>
      <c r="B713" s="1" t="s">
        <v>560</v>
      </c>
      <c r="C713" s="1" t="s">
        <v>60</v>
      </c>
      <c r="D713" s="1" t="s">
        <v>26</v>
      </c>
      <c r="E713" s="1" t="s">
        <v>113</v>
      </c>
      <c r="F713">
        <v>1</v>
      </c>
      <c r="G713" s="2">
        <v>46128</v>
      </c>
      <c r="H713" s="2">
        <v>46129</v>
      </c>
      <c r="I713">
        <v>1030.3699999999999</v>
      </c>
      <c r="J713">
        <v>456.68</v>
      </c>
      <c r="K713">
        <v>411.01</v>
      </c>
      <c r="L713">
        <v>45.67</v>
      </c>
      <c r="M713" s="1" t="s">
        <v>21</v>
      </c>
      <c r="N713" s="1" t="s">
        <v>22</v>
      </c>
      <c r="O713" s="2">
        <v>46154</v>
      </c>
      <c r="P713" s="2">
        <v>46154</v>
      </c>
      <c r="Q713">
        <f>_xlfn.XLOOKUP(E713,CPT!$A$2:$A$13,CPT!$D$2:$D$13)</f>
        <v>1050</v>
      </c>
      <c r="R713" s="1">
        <f>_xlfn.XLOOKUP(C713,Contract!$A$2:$A$9,Contract!$B$2:$B$9)</f>
        <v>0.45</v>
      </c>
      <c r="S713" s="1">
        <f t="shared" si="44"/>
        <v>472.5</v>
      </c>
      <c r="T713" s="1">
        <f t="shared" si="45"/>
        <v>15.819999999999993</v>
      </c>
      <c r="U713" s="1" t="str">
        <f t="shared" si="46"/>
        <v>OK</v>
      </c>
      <c r="V713" s="1" t="str">
        <f>_xlfn.XLOOKUP(C713,Payers!$A$2:$A$9,Payers!$B$2:$B$9)</f>
        <v>Blue Horizon Commercial</v>
      </c>
      <c r="W713" s="1" t="str">
        <f t="shared" si="47"/>
        <v>2026-04</v>
      </c>
    </row>
    <row r="714" spans="1:23">
      <c r="A714" s="1" t="s">
        <v>1418</v>
      </c>
      <c r="B714" s="1" t="s">
        <v>1419</v>
      </c>
      <c r="C714" s="1" t="s">
        <v>25</v>
      </c>
      <c r="D714" s="1" t="s">
        <v>26</v>
      </c>
      <c r="E714" s="1" t="s">
        <v>41</v>
      </c>
      <c r="F714">
        <v>1</v>
      </c>
      <c r="G714" s="2">
        <v>45947</v>
      </c>
      <c r="H714" s="2">
        <v>45951</v>
      </c>
      <c r="I714">
        <v>38.74</v>
      </c>
      <c r="M714" s="1" t="s">
        <v>32</v>
      </c>
      <c r="N714" s="1" t="s">
        <v>33</v>
      </c>
      <c r="O714" s="2">
        <v>45966</v>
      </c>
      <c r="P714" s="2"/>
      <c r="Q714">
        <f>_xlfn.XLOOKUP(E714,CPT!$A$2:$A$13,CPT!$D$2:$D$13)</f>
        <v>38</v>
      </c>
      <c r="R714" s="1">
        <f>_xlfn.XLOOKUP(C714,Contract!$A$2:$A$9,Contract!$B$2:$B$9)</f>
        <v>0.36</v>
      </c>
      <c r="S714" s="1">
        <f t="shared" si="44"/>
        <v>13.68</v>
      </c>
      <c r="T714" s="1" t="str">
        <f t="shared" si="45"/>
        <v/>
      </c>
      <c r="U714" s="1" t="str">
        <f t="shared" si="46"/>
        <v/>
      </c>
      <c r="V714" s="1" t="str">
        <f>_xlfn.XLOOKUP(C714,Payers!$A$2:$A$9,Payers!$B$2:$B$9)</f>
        <v>Medicare Part B</v>
      </c>
      <c r="W714" s="1" t="str">
        <f t="shared" si="47"/>
        <v>2025-10</v>
      </c>
    </row>
    <row r="715" spans="1:23">
      <c r="A715" s="1" t="s">
        <v>1420</v>
      </c>
      <c r="B715" s="1" t="s">
        <v>289</v>
      </c>
      <c r="C715" s="1" t="s">
        <v>76</v>
      </c>
      <c r="D715" s="1" t="s">
        <v>26</v>
      </c>
      <c r="E715" s="1" t="s">
        <v>88</v>
      </c>
      <c r="F715">
        <v>1</v>
      </c>
      <c r="G715" s="2">
        <v>45936</v>
      </c>
      <c r="H715" s="2">
        <v>45944</v>
      </c>
      <c r="I715">
        <v>254.88</v>
      </c>
      <c r="J715">
        <v>97.34</v>
      </c>
      <c r="K715">
        <v>97.34</v>
      </c>
      <c r="L715">
        <v>0</v>
      </c>
      <c r="M715" s="1" t="s">
        <v>21</v>
      </c>
      <c r="N715" s="1" t="s">
        <v>22</v>
      </c>
      <c r="O715" s="2">
        <v>45980</v>
      </c>
      <c r="P715" s="2">
        <v>45980</v>
      </c>
      <c r="Q715">
        <f>_xlfn.XLOOKUP(E715,CPT!$A$2:$A$13,CPT!$D$2:$D$13)</f>
        <v>260</v>
      </c>
      <c r="R715" s="1">
        <f>_xlfn.XLOOKUP(C715,Contract!$A$2:$A$9,Contract!$B$2:$B$9)</f>
        <v>0.43</v>
      </c>
      <c r="S715" s="1">
        <f t="shared" si="44"/>
        <v>111.8</v>
      </c>
      <c r="T715" s="1">
        <f t="shared" si="45"/>
        <v>14.459999999999994</v>
      </c>
      <c r="U715" s="1" t="str">
        <f t="shared" si="46"/>
        <v>Underpaid</v>
      </c>
      <c r="V715" s="1" t="str">
        <f>_xlfn.XLOOKUP(C715,Payers!$A$2:$A$9,Payers!$B$2:$B$9)</f>
        <v>Summit Health Commercial</v>
      </c>
      <c r="W715" s="1" t="str">
        <f t="shared" si="47"/>
        <v>2025-10</v>
      </c>
    </row>
    <row r="716" spans="1:23">
      <c r="A716" s="1" t="s">
        <v>1421</v>
      </c>
      <c r="B716" s="1" t="s">
        <v>176</v>
      </c>
      <c r="C716" s="1" t="s">
        <v>18</v>
      </c>
      <c r="D716" s="1" t="s">
        <v>19</v>
      </c>
      <c r="E716" s="1" t="s">
        <v>41</v>
      </c>
      <c r="F716">
        <v>1</v>
      </c>
      <c r="G716" s="2">
        <v>46130</v>
      </c>
      <c r="H716" s="2">
        <v>46139</v>
      </c>
      <c r="I716">
        <v>39.04</v>
      </c>
      <c r="M716" s="1" t="s">
        <v>32</v>
      </c>
      <c r="N716" s="1" t="s">
        <v>33</v>
      </c>
      <c r="O716" s="2">
        <v>46186</v>
      </c>
      <c r="P716" s="2"/>
      <c r="Q716">
        <f>_xlfn.XLOOKUP(E716,CPT!$A$2:$A$13,CPT!$D$2:$D$13)</f>
        <v>38</v>
      </c>
      <c r="R716" s="1">
        <f>_xlfn.XLOOKUP(C716,Contract!$A$2:$A$9,Contract!$B$2:$B$9)</f>
        <v>0.38</v>
      </c>
      <c r="S716" s="1">
        <f t="shared" si="44"/>
        <v>14.44</v>
      </c>
      <c r="T716" s="1" t="str">
        <f t="shared" si="45"/>
        <v/>
      </c>
      <c r="U716" s="1" t="str">
        <f t="shared" si="46"/>
        <v/>
      </c>
      <c r="V716" s="1" t="str">
        <f>_xlfn.XLOOKUP(C716,Payers!$A$2:$A$9,Payers!$B$2:$B$9)</f>
        <v>Sunshine Medicare Advantage</v>
      </c>
      <c r="W716" s="1" t="str">
        <f t="shared" si="47"/>
        <v>2026-04</v>
      </c>
    </row>
    <row r="717" spans="1:23">
      <c r="A717" s="1" t="s">
        <v>1422</v>
      </c>
      <c r="B717" s="1" t="s">
        <v>1423</v>
      </c>
      <c r="C717" s="1" t="s">
        <v>52</v>
      </c>
      <c r="D717" s="1" t="s">
        <v>26</v>
      </c>
      <c r="E717" s="1" t="s">
        <v>57</v>
      </c>
      <c r="F717">
        <v>1</v>
      </c>
      <c r="G717" s="2">
        <v>46281</v>
      </c>
      <c r="H717" s="2">
        <v>46282</v>
      </c>
      <c r="I717">
        <v>209.48</v>
      </c>
      <c r="M717" s="1" t="s">
        <v>69</v>
      </c>
      <c r="N717" s="1" t="s">
        <v>22</v>
      </c>
      <c r="O717" s="2"/>
      <c r="P717" s="2"/>
      <c r="Q717">
        <f>_xlfn.XLOOKUP(E717,CPT!$A$2:$A$13,CPT!$D$2:$D$13)</f>
        <v>210</v>
      </c>
      <c r="R717" s="1">
        <f>_xlfn.XLOOKUP(C717,Contract!$A$2:$A$9,Contract!$B$2:$B$9)</f>
        <v>0.47</v>
      </c>
      <c r="S717" s="1">
        <f t="shared" si="44"/>
        <v>98.7</v>
      </c>
      <c r="T717" s="1" t="str">
        <f t="shared" si="45"/>
        <v/>
      </c>
      <c r="U717" s="1" t="str">
        <f t="shared" si="46"/>
        <v/>
      </c>
      <c r="V717" s="1" t="str">
        <f>_xlfn.XLOOKUP(C717,Payers!$A$2:$A$9,Payers!$B$2:$B$9)</f>
        <v>Keystone Commercial PPO</v>
      </c>
      <c r="W717" s="1" t="str">
        <f t="shared" si="47"/>
        <v>2026-09</v>
      </c>
    </row>
    <row r="718" spans="1:23">
      <c r="A718" s="1" t="s">
        <v>1424</v>
      </c>
      <c r="B718" s="1" t="s">
        <v>1425</v>
      </c>
      <c r="C718" s="1" t="s">
        <v>25</v>
      </c>
      <c r="D718" s="1" t="s">
        <v>19</v>
      </c>
      <c r="E718" s="1" t="s">
        <v>57</v>
      </c>
      <c r="F718">
        <v>1</v>
      </c>
      <c r="G718" s="2">
        <v>46222</v>
      </c>
      <c r="H718" s="2">
        <v>46225</v>
      </c>
      <c r="I718">
        <v>214.78</v>
      </c>
      <c r="J718">
        <v>83.03</v>
      </c>
      <c r="K718">
        <v>66.42</v>
      </c>
      <c r="L718">
        <v>16.61</v>
      </c>
      <c r="M718" s="1" t="s">
        <v>21</v>
      </c>
      <c r="N718" s="1" t="s">
        <v>22</v>
      </c>
      <c r="O718" s="2">
        <v>46240</v>
      </c>
      <c r="P718" s="2">
        <v>46240</v>
      </c>
      <c r="Q718">
        <f>_xlfn.XLOOKUP(E718,CPT!$A$2:$A$13,CPT!$D$2:$D$13)</f>
        <v>210</v>
      </c>
      <c r="R718" s="1">
        <f>_xlfn.XLOOKUP(C718,Contract!$A$2:$A$9,Contract!$B$2:$B$9)</f>
        <v>0.36</v>
      </c>
      <c r="S718" s="1">
        <f t="shared" si="44"/>
        <v>75.599999999999994</v>
      </c>
      <c r="T718" s="1">
        <f t="shared" si="45"/>
        <v>-7.4300000000000068</v>
      </c>
      <c r="U718" s="1" t="str">
        <f t="shared" si="46"/>
        <v>OK</v>
      </c>
      <c r="V718" s="1" t="str">
        <f>_xlfn.XLOOKUP(C718,Payers!$A$2:$A$9,Payers!$B$2:$B$9)</f>
        <v>Medicare Part B</v>
      </c>
      <c r="W718" s="1" t="str">
        <f t="shared" si="47"/>
        <v>2026-07</v>
      </c>
    </row>
    <row r="719" spans="1:23">
      <c r="A719" s="1" t="s">
        <v>1426</v>
      </c>
      <c r="B719" s="1" t="s">
        <v>1427</v>
      </c>
      <c r="C719" s="1" t="s">
        <v>36</v>
      </c>
      <c r="D719" s="1" t="s">
        <v>37</v>
      </c>
      <c r="E719" s="1" t="s">
        <v>57</v>
      </c>
      <c r="F719">
        <v>1</v>
      </c>
      <c r="G719" s="2">
        <v>46131</v>
      </c>
      <c r="H719" s="2">
        <v>46138</v>
      </c>
      <c r="I719">
        <v>211.42</v>
      </c>
      <c r="J719">
        <v>52.63</v>
      </c>
      <c r="K719">
        <v>42.1</v>
      </c>
      <c r="L719">
        <v>10.53</v>
      </c>
      <c r="M719" s="1" t="s">
        <v>21</v>
      </c>
      <c r="N719" s="1" t="s">
        <v>22</v>
      </c>
      <c r="O719" s="2">
        <v>46202</v>
      </c>
      <c r="P719" s="2">
        <v>46202</v>
      </c>
      <c r="Q719">
        <f>_xlfn.XLOOKUP(E719,CPT!$A$2:$A$13,CPT!$D$2:$D$13)</f>
        <v>210</v>
      </c>
      <c r="R719" s="1">
        <f>_xlfn.XLOOKUP(C719,Contract!$A$2:$A$9,Contract!$B$2:$B$9)</f>
        <v>0.27</v>
      </c>
      <c r="S719" s="1">
        <f t="shared" si="44"/>
        <v>56.7</v>
      </c>
      <c r="T719" s="1">
        <f t="shared" si="45"/>
        <v>4.07</v>
      </c>
      <c r="U719" s="1" t="str">
        <f t="shared" si="46"/>
        <v>Underpaid</v>
      </c>
      <c r="V719" s="1" t="str">
        <f>_xlfn.XLOOKUP(C719,Payers!$A$2:$A$9,Payers!$B$2:$B$9)</f>
        <v>Florida Medicaid</v>
      </c>
      <c r="W719" s="1" t="str">
        <f t="shared" si="47"/>
        <v>2026-04</v>
      </c>
    </row>
    <row r="720" spans="1:23">
      <c r="A720" s="1" t="s">
        <v>1428</v>
      </c>
      <c r="B720" s="1" t="s">
        <v>1129</v>
      </c>
      <c r="C720" s="1" t="s">
        <v>18</v>
      </c>
      <c r="D720" s="1" t="s">
        <v>19</v>
      </c>
      <c r="E720" s="1" t="s">
        <v>57</v>
      </c>
      <c r="F720">
        <v>1</v>
      </c>
      <c r="G720" s="2">
        <v>45979</v>
      </c>
      <c r="H720" s="2">
        <v>45991</v>
      </c>
      <c r="I720">
        <v>208.66</v>
      </c>
      <c r="M720" s="1" t="s">
        <v>32</v>
      </c>
      <c r="N720" s="1" t="s">
        <v>281</v>
      </c>
      <c r="O720" s="2">
        <v>46034</v>
      </c>
      <c r="P720" s="2"/>
      <c r="Q720">
        <f>_xlfn.XLOOKUP(E720,CPT!$A$2:$A$13,CPT!$D$2:$D$13)</f>
        <v>210</v>
      </c>
      <c r="R720" s="1">
        <f>_xlfn.XLOOKUP(C720,Contract!$A$2:$A$9,Contract!$B$2:$B$9)</f>
        <v>0.38</v>
      </c>
      <c r="S720" s="1">
        <f t="shared" si="44"/>
        <v>79.8</v>
      </c>
      <c r="T720" s="1" t="str">
        <f t="shared" si="45"/>
        <v/>
      </c>
      <c r="U720" s="1" t="str">
        <f t="shared" si="46"/>
        <v/>
      </c>
      <c r="V720" s="1" t="str">
        <f>_xlfn.XLOOKUP(C720,Payers!$A$2:$A$9,Payers!$B$2:$B$9)</f>
        <v>Sunshine Medicare Advantage</v>
      </c>
      <c r="W720" s="1" t="str">
        <f t="shared" si="47"/>
        <v>2025-11</v>
      </c>
    </row>
    <row r="721" spans="1:23">
      <c r="A721" s="1" t="s">
        <v>1429</v>
      </c>
      <c r="B721" s="1" t="s">
        <v>1430</v>
      </c>
      <c r="C721" s="1" t="s">
        <v>47</v>
      </c>
      <c r="D721" s="1" t="s">
        <v>37</v>
      </c>
      <c r="E721" s="1" t="s">
        <v>38</v>
      </c>
      <c r="F721">
        <v>5</v>
      </c>
      <c r="G721" s="2">
        <v>46141</v>
      </c>
      <c r="H721" s="2">
        <v>46142</v>
      </c>
      <c r="I721">
        <v>7465.46</v>
      </c>
      <c r="M721" s="1" t="s">
        <v>32</v>
      </c>
      <c r="N721" s="1" t="s">
        <v>33</v>
      </c>
      <c r="O721" s="2">
        <v>46192</v>
      </c>
      <c r="P721" s="2"/>
      <c r="Q721">
        <f>_xlfn.XLOOKUP(E721,CPT!$A$2:$A$13,CPT!$D$2:$D$13)</f>
        <v>1450</v>
      </c>
      <c r="R721" s="1">
        <f>_xlfn.XLOOKUP(C721,Contract!$A$2:$A$9,Contract!$B$2:$B$9)</f>
        <v>0.28000000000000003</v>
      </c>
      <c r="S721" s="1">
        <f t="shared" si="44"/>
        <v>2030</v>
      </c>
      <c r="T721" s="1" t="str">
        <f t="shared" si="45"/>
        <v/>
      </c>
      <c r="U721" s="1" t="str">
        <f t="shared" si="46"/>
        <v/>
      </c>
      <c r="V721" s="1" t="str">
        <f>_xlfn.XLOOKUP(C721,Payers!$A$2:$A$9,Payers!$B$2:$B$9)</f>
        <v>Coastal Medicaid MCO</v>
      </c>
      <c r="W721" s="1" t="str">
        <f t="shared" si="47"/>
        <v>2026-04</v>
      </c>
    </row>
    <row r="722" spans="1:23">
      <c r="A722" s="1" t="s">
        <v>1431</v>
      </c>
      <c r="B722" s="1" t="s">
        <v>1432</v>
      </c>
      <c r="C722" s="1" t="s">
        <v>76</v>
      </c>
      <c r="D722" s="1" t="s">
        <v>19</v>
      </c>
      <c r="E722" s="1" t="s">
        <v>41</v>
      </c>
      <c r="F722">
        <v>1</v>
      </c>
      <c r="G722" s="2">
        <v>46135</v>
      </c>
      <c r="H722" s="2">
        <v>46138</v>
      </c>
      <c r="I722">
        <v>38.81</v>
      </c>
      <c r="M722" s="1" t="s">
        <v>32</v>
      </c>
      <c r="N722" s="1" t="s">
        <v>33</v>
      </c>
      <c r="O722" s="2">
        <v>46162</v>
      </c>
      <c r="P722" s="2"/>
      <c r="Q722">
        <f>_xlfn.XLOOKUP(E722,CPT!$A$2:$A$13,CPT!$D$2:$D$13)</f>
        <v>38</v>
      </c>
      <c r="R722" s="1">
        <f>_xlfn.XLOOKUP(C722,Contract!$A$2:$A$9,Contract!$B$2:$B$9)</f>
        <v>0.43</v>
      </c>
      <c r="S722" s="1">
        <f t="shared" si="44"/>
        <v>16.34</v>
      </c>
      <c r="T722" s="1" t="str">
        <f t="shared" si="45"/>
        <v/>
      </c>
      <c r="U722" s="1" t="str">
        <f t="shared" si="46"/>
        <v/>
      </c>
      <c r="V722" s="1" t="str">
        <f>_xlfn.XLOOKUP(C722,Payers!$A$2:$A$9,Payers!$B$2:$B$9)</f>
        <v>Summit Health Commercial</v>
      </c>
      <c r="W722" s="1" t="str">
        <f t="shared" si="47"/>
        <v>2026-04</v>
      </c>
    </row>
    <row r="723" spans="1:23">
      <c r="A723" s="1" t="s">
        <v>1433</v>
      </c>
      <c r="B723" s="1" t="s">
        <v>1434</v>
      </c>
      <c r="C723" s="1" t="s">
        <v>36</v>
      </c>
      <c r="D723" s="1" t="s">
        <v>19</v>
      </c>
      <c r="E723" s="1" t="s">
        <v>41</v>
      </c>
      <c r="F723">
        <v>1</v>
      </c>
      <c r="G723" s="2">
        <v>46013</v>
      </c>
      <c r="H723" s="2">
        <v>46014</v>
      </c>
      <c r="I723">
        <v>37.25</v>
      </c>
      <c r="M723" s="1" t="s">
        <v>32</v>
      </c>
      <c r="N723" s="1" t="s">
        <v>33</v>
      </c>
      <c r="O723" s="2">
        <v>46071</v>
      </c>
      <c r="P723" s="2"/>
      <c r="Q723">
        <f>_xlfn.XLOOKUP(E723,CPT!$A$2:$A$13,CPT!$D$2:$D$13)</f>
        <v>38</v>
      </c>
      <c r="R723" s="1">
        <f>_xlfn.XLOOKUP(C723,Contract!$A$2:$A$9,Contract!$B$2:$B$9)</f>
        <v>0.27</v>
      </c>
      <c r="S723" s="1">
        <f t="shared" si="44"/>
        <v>10.26</v>
      </c>
      <c r="T723" s="1" t="str">
        <f t="shared" si="45"/>
        <v/>
      </c>
      <c r="U723" s="1" t="str">
        <f t="shared" si="46"/>
        <v/>
      </c>
      <c r="V723" s="1" t="str">
        <f>_xlfn.XLOOKUP(C723,Payers!$A$2:$A$9,Payers!$B$2:$B$9)</f>
        <v>Florida Medicaid</v>
      </c>
      <c r="W723" s="1" t="str">
        <f t="shared" si="47"/>
        <v>2025-12</v>
      </c>
    </row>
    <row r="724" spans="1:23">
      <c r="A724" s="1" t="s">
        <v>1435</v>
      </c>
      <c r="B724" s="1" t="s">
        <v>1436</v>
      </c>
      <c r="C724" s="1" t="s">
        <v>47</v>
      </c>
      <c r="D724" s="1" t="s">
        <v>26</v>
      </c>
      <c r="E724" s="1" t="s">
        <v>88</v>
      </c>
      <c r="F724">
        <v>1</v>
      </c>
      <c r="G724" s="2">
        <v>46203</v>
      </c>
      <c r="H724" s="2">
        <v>46208</v>
      </c>
      <c r="I724">
        <v>255.57</v>
      </c>
      <c r="J724">
        <v>78.209999999999994</v>
      </c>
      <c r="K724">
        <v>78.209999999999994</v>
      </c>
      <c r="L724">
        <v>0</v>
      </c>
      <c r="M724" s="1" t="s">
        <v>21</v>
      </c>
      <c r="N724" s="1" t="s">
        <v>22</v>
      </c>
      <c r="O724" s="2">
        <v>46250</v>
      </c>
      <c r="P724" s="2">
        <v>46250</v>
      </c>
      <c r="Q724">
        <f>_xlfn.XLOOKUP(E724,CPT!$A$2:$A$13,CPT!$D$2:$D$13)</f>
        <v>260</v>
      </c>
      <c r="R724" s="1">
        <f>_xlfn.XLOOKUP(C724,Contract!$A$2:$A$9,Contract!$B$2:$B$9)</f>
        <v>0.28000000000000003</v>
      </c>
      <c r="S724" s="1">
        <f t="shared" si="44"/>
        <v>72.8</v>
      </c>
      <c r="T724" s="1">
        <f t="shared" si="45"/>
        <v>-5.4099999999999966</v>
      </c>
      <c r="U724" s="1" t="str">
        <f t="shared" si="46"/>
        <v>OK</v>
      </c>
      <c r="V724" s="1" t="str">
        <f>_xlfn.XLOOKUP(C724,Payers!$A$2:$A$9,Payers!$B$2:$B$9)</f>
        <v>Coastal Medicaid MCO</v>
      </c>
      <c r="W724" s="1" t="str">
        <f t="shared" si="47"/>
        <v>2026-06</v>
      </c>
    </row>
    <row r="725" spans="1:23">
      <c r="A725" s="1" t="s">
        <v>1437</v>
      </c>
      <c r="B725" s="1" t="s">
        <v>335</v>
      </c>
      <c r="C725" s="1" t="s">
        <v>60</v>
      </c>
      <c r="D725" s="1" t="s">
        <v>37</v>
      </c>
      <c r="E725" s="1" t="s">
        <v>48</v>
      </c>
      <c r="F725">
        <v>1</v>
      </c>
      <c r="G725" s="2">
        <v>45933</v>
      </c>
      <c r="H725" s="2">
        <v>45935</v>
      </c>
      <c r="I725">
        <v>408.63</v>
      </c>
      <c r="J725">
        <v>169.56</v>
      </c>
      <c r="K725">
        <v>169.56</v>
      </c>
      <c r="L725">
        <v>0</v>
      </c>
      <c r="M725" s="1" t="s">
        <v>21</v>
      </c>
      <c r="N725" s="1" t="s">
        <v>22</v>
      </c>
      <c r="O725" s="2">
        <v>45952</v>
      </c>
      <c r="P725" s="2">
        <v>45952</v>
      </c>
      <c r="Q725">
        <f>_xlfn.XLOOKUP(E725,CPT!$A$2:$A$13,CPT!$D$2:$D$13)</f>
        <v>420</v>
      </c>
      <c r="R725" s="1">
        <f>_xlfn.XLOOKUP(C725,Contract!$A$2:$A$9,Contract!$B$2:$B$9)</f>
        <v>0.45</v>
      </c>
      <c r="S725" s="1">
        <f t="shared" si="44"/>
        <v>189</v>
      </c>
      <c r="T725" s="1">
        <f t="shared" si="45"/>
        <v>19.439999999999998</v>
      </c>
      <c r="U725" s="1" t="str">
        <f t="shared" si="46"/>
        <v>Underpaid</v>
      </c>
      <c r="V725" s="1" t="str">
        <f>_xlfn.XLOOKUP(C725,Payers!$A$2:$A$9,Payers!$B$2:$B$9)</f>
        <v>Blue Horizon Commercial</v>
      </c>
      <c r="W725" s="1" t="str">
        <f t="shared" si="47"/>
        <v>2025-10</v>
      </c>
    </row>
    <row r="726" spans="1:23">
      <c r="A726" s="1" t="s">
        <v>1438</v>
      </c>
      <c r="B726" s="1" t="s">
        <v>1439</v>
      </c>
      <c r="C726" s="1" t="s">
        <v>60</v>
      </c>
      <c r="D726" s="1" t="s">
        <v>26</v>
      </c>
      <c r="E726" s="1" t="s">
        <v>113</v>
      </c>
      <c r="F726">
        <v>1</v>
      </c>
      <c r="G726" s="2">
        <v>45938</v>
      </c>
      <c r="H726" s="2">
        <v>45939</v>
      </c>
      <c r="I726">
        <v>1039.74</v>
      </c>
      <c r="J726">
        <v>427.21</v>
      </c>
      <c r="K726">
        <v>427.21</v>
      </c>
      <c r="L726">
        <v>0</v>
      </c>
      <c r="M726" s="1" t="s">
        <v>21</v>
      </c>
      <c r="N726" s="1" t="s">
        <v>22</v>
      </c>
      <c r="O726" s="2">
        <v>45978</v>
      </c>
      <c r="P726" s="2">
        <v>45978</v>
      </c>
      <c r="Q726">
        <f>_xlfn.XLOOKUP(E726,CPT!$A$2:$A$13,CPT!$D$2:$D$13)</f>
        <v>1050</v>
      </c>
      <c r="R726" s="1">
        <f>_xlfn.XLOOKUP(C726,Contract!$A$2:$A$9,Contract!$B$2:$B$9)</f>
        <v>0.45</v>
      </c>
      <c r="S726" s="1">
        <f t="shared" si="44"/>
        <v>472.5</v>
      </c>
      <c r="T726" s="1">
        <f t="shared" si="45"/>
        <v>45.29000000000002</v>
      </c>
      <c r="U726" s="1" t="str">
        <f t="shared" si="46"/>
        <v>Underpaid</v>
      </c>
      <c r="V726" s="1" t="str">
        <f>_xlfn.XLOOKUP(C726,Payers!$A$2:$A$9,Payers!$B$2:$B$9)</f>
        <v>Blue Horizon Commercial</v>
      </c>
      <c r="W726" s="1" t="str">
        <f t="shared" si="47"/>
        <v>2025-10</v>
      </c>
    </row>
    <row r="727" spans="1:23">
      <c r="A727" s="1" t="s">
        <v>1440</v>
      </c>
      <c r="B727" s="1" t="s">
        <v>1441</v>
      </c>
      <c r="C727" s="1" t="s">
        <v>52</v>
      </c>
      <c r="D727" s="1" t="s">
        <v>26</v>
      </c>
      <c r="E727" s="1" t="s">
        <v>113</v>
      </c>
      <c r="F727">
        <v>1</v>
      </c>
      <c r="G727" s="2">
        <v>46098</v>
      </c>
      <c r="H727" s="2">
        <v>46102</v>
      </c>
      <c r="I727">
        <v>1038.83</v>
      </c>
      <c r="J727">
        <v>557.16999999999996</v>
      </c>
      <c r="K727">
        <v>445.74</v>
      </c>
      <c r="L727">
        <v>111.43</v>
      </c>
      <c r="M727" s="1" t="s">
        <v>21</v>
      </c>
      <c r="N727" s="1" t="s">
        <v>22</v>
      </c>
      <c r="O727" s="2">
        <v>46130</v>
      </c>
      <c r="P727" s="2">
        <v>46130</v>
      </c>
      <c r="Q727">
        <f>_xlfn.XLOOKUP(E727,CPT!$A$2:$A$13,CPT!$D$2:$D$13)</f>
        <v>1050</v>
      </c>
      <c r="R727" s="1">
        <f>_xlfn.XLOOKUP(C727,Contract!$A$2:$A$9,Contract!$B$2:$B$9)</f>
        <v>0.47</v>
      </c>
      <c r="S727" s="1">
        <f t="shared" si="44"/>
        <v>493.5</v>
      </c>
      <c r="T727" s="1">
        <f t="shared" si="45"/>
        <v>-63.669999999999959</v>
      </c>
      <c r="U727" s="1" t="str">
        <f t="shared" si="46"/>
        <v>OK</v>
      </c>
      <c r="V727" s="1" t="str">
        <f>_xlfn.XLOOKUP(C727,Payers!$A$2:$A$9,Payers!$B$2:$B$9)</f>
        <v>Keystone Commercial PPO</v>
      </c>
      <c r="W727" s="1" t="str">
        <f t="shared" si="47"/>
        <v>2026-03</v>
      </c>
    </row>
    <row r="728" spans="1:23">
      <c r="A728" s="1" t="s">
        <v>1442</v>
      </c>
      <c r="B728" s="1" t="s">
        <v>1443</v>
      </c>
      <c r="C728" s="1" t="s">
        <v>60</v>
      </c>
      <c r="D728" s="1" t="s">
        <v>26</v>
      </c>
      <c r="E728" s="1" t="s">
        <v>57</v>
      </c>
      <c r="F728">
        <v>1</v>
      </c>
      <c r="G728" s="2">
        <v>46096</v>
      </c>
      <c r="H728" s="2">
        <v>46099</v>
      </c>
      <c r="I728">
        <v>205.89</v>
      </c>
      <c r="J728">
        <v>89.46</v>
      </c>
      <c r="K728">
        <v>80.510000000000005</v>
      </c>
      <c r="L728">
        <v>8.9499999999999993</v>
      </c>
      <c r="M728" s="1" t="s">
        <v>21</v>
      </c>
      <c r="N728" s="1" t="s">
        <v>22</v>
      </c>
      <c r="O728" s="2">
        <v>46123</v>
      </c>
      <c r="P728" s="2">
        <v>46123</v>
      </c>
      <c r="Q728">
        <f>_xlfn.XLOOKUP(E728,CPT!$A$2:$A$13,CPT!$D$2:$D$13)</f>
        <v>210</v>
      </c>
      <c r="R728" s="1">
        <f>_xlfn.XLOOKUP(C728,Contract!$A$2:$A$9,Contract!$B$2:$B$9)</f>
        <v>0.45</v>
      </c>
      <c r="S728" s="1">
        <f t="shared" si="44"/>
        <v>94.5</v>
      </c>
      <c r="T728" s="1">
        <f t="shared" si="45"/>
        <v>5.0400000000000063</v>
      </c>
      <c r="U728" s="1" t="str">
        <f t="shared" si="46"/>
        <v>Underpaid</v>
      </c>
      <c r="V728" s="1" t="str">
        <f>_xlfn.XLOOKUP(C728,Payers!$A$2:$A$9,Payers!$B$2:$B$9)</f>
        <v>Blue Horizon Commercial</v>
      </c>
      <c r="W728" s="1" t="str">
        <f t="shared" si="47"/>
        <v>2026-03</v>
      </c>
    </row>
    <row r="729" spans="1:23">
      <c r="A729" s="1" t="s">
        <v>1444</v>
      </c>
      <c r="B729" s="1" t="s">
        <v>1445</v>
      </c>
      <c r="C729" s="1" t="s">
        <v>60</v>
      </c>
      <c r="D729" s="1" t="s">
        <v>19</v>
      </c>
      <c r="E729" s="1" t="s">
        <v>20</v>
      </c>
      <c r="F729">
        <v>1</v>
      </c>
      <c r="G729" s="2">
        <v>46042</v>
      </c>
      <c r="H729" s="2">
        <v>46048</v>
      </c>
      <c r="I729">
        <v>144.22999999999999</v>
      </c>
      <c r="J729">
        <v>74.81</v>
      </c>
      <c r="K729">
        <v>74.81</v>
      </c>
      <c r="L729">
        <v>0</v>
      </c>
      <c r="M729" s="1" t="s">
        <v>21</v>
      </c>
      <c r="N729" s="1" t="s">
        <v>22</v>
      </c>
      <c r="O729" s="2">
        <v>46076</v>
      </c>
      <c r="P729" s="2">
        <v>46076</v>
      </c>
      <c r="Q729">
        <f>_xlfn.XLOOKUP(E729,CPT!$A$2:$A$13,CPT!$D$2:$D$13)</f>
        <v>145</v>
      </c>
      <c r="R729" s="1">
        <f>_xlfn.XLOOKUP(C729,Contract!$A$2:$A$9,Contract!$B$2:$B$9)</f>
        <v>0.45</v>
      </c>
      <c r="S729" s="1">
        <f t="shared" si="44"/>
        <v>65.25</v>
      </c>
      <c r="T729" s="1">
        <f t="shared" si="45"/>
        <v>-9.5600000000000023</v>
      </c>
      <c r="U729" s="1" t="str">
        <f t="shared" si="46"/>
        <v>OK</v>
      </c>
      <c r="V729" s="1" t="str">
        <f>_xlfn.XLOOKUP(C729,Payers!$A$2:$A$9,Payers!$B$2:$B$9)</f>
        <v>Blue Horizon Commercial</v>
      </c>
      <c r="W729" s="1" t="str">
        <f t="shared" si="47"/>
        <v>2026-01</v>
      </c>
    </row>
    <row r="730" spans="1:23">
      <c r="A730" s="1" t="s">
        <v>1446</v>
      </c>
      <c r="B730" s="1" t="s">
        <v>1447</v>
      </c>
      <c r="C730" s="1" t="s">
        <v>76</v>
      </c>
      <c r="D730" s="1" t="s">
        <v>30</v>
      </c>
      <c r="E730" s="1" t="s">
        <v>20</v>
      </c>
      <c r="F730">
        <v>1</v>
      </c>
      <c r="G730" s="2">
        <v>46254</v>
      </c>
      <c r="H730" s="2">
        <v>46259</v>
      </c>
      <c r="I730">
        <v>146.71</v>
      </c>
      <c r="J730">
        <v>59.44</v>
      </c>
      <c r="K730">
        <v>53.5</v>
      </c>
      <c r="L730">
        <v>5.94</v>
      </c>
      <c r="M730" s="1" t="s">
        <v>21</v>
      </c>
      <c r="N730" s="1" t="s">
        <v>22</v>
      </c>
      <c r="O730" s="2">
        <v>46277</v>
      </c>
      <c r="P730" s="2">
        <v>46277</v>
      </c>
      <c r="Q730">
        <f>_xlfn.XLOOKUP(E730,CPT!$A$2:$A$13,CPT!$D$2:$D$13)</f>
        <v>145</v>
      </c>
      <c r="R730" s="1">
        <f>_xlfn.XLOOKUP(C730,Contract!$A$2:$A$9,Contract!$B$2:$B$9)</f>
        <v>0.43</v>
      </c>
      <c r="S730" s="1">
        <f t="shared" si="44"/>
        <v>62.35</v>
      </c>
      <c r="T730" s="1">
        <f t="shared" si="45"/>
        <v>2.9100000000000037</v>
      </c>
      <c r="U730" s="1" t="str">
        <f t="shared" si="46"/>
        <v>OK</v>
      </c>
      <c r="V730" s="1" t="str">
        <f>_xlfn.XLOOKUP(C730,Payers!$A$2:$A$9,Payers!$B$2:$B$9)</f>
        <v>Summit Health Commercial</v>
      </c>
      <c r="W730" s="1" t="str">
        <f t="shared" si="47"/>
        <v>2026-08</v>
      </c>
    </row>
    <row r="731" spans="1:23">
      <c r="A731" s="1" t="s">
        <v>1448</v>
      </c>
      <c r="B731" s="1" t="s">
        <v>1449</v>
      </c>
      <c r="C731" s="1" t="s">
        <v>76</v>
      </c>
      <c r="D731" s="1" t="s">
        <v>37</v>
      </c>
      <c r="E731" s="1" t="s">
        <v>38</v>
      </c>
      <c r="F731">
        <v>30</v>
      </c>
      <c r="G731" s="2">
        <v>46242</v>
      </c>
      <c r="H731" s="2">
        <v>46247</v>
      </c>
      <c r="I731">
        <v>43192.99</v>
      </c>
      <c r="M731" s="1" t="s">
        <v>32</v>
      </c>
      <c r="N731" s="1" t="s">
        <v>49</v>
      </c>
      <c r="O731" s="2">
        <v>46264</v>
      </c>
      <c r="P731" s="2"/>
      <c r="Q731">
        <f>_xlfn.XLOOKUP(E731,CPT!$A$2:$A$13,CPT!$D$2:$D$13)</f>
        <v>1450</v>
      </c>
      <c r="R731" s="1">
        <f>_xlfn.XLOOKUP(C731,Contract!$A$2:$A$9,Contract!$B$2:$B$9)</f>
        <v>0.43</v>
      </c>
      <c r="S731" s="1">
        <f t="shared" si="44"/>
        <v>18705</v>
      </c>
      <c r="T731" s="1" t="str">
        <f t="shared" si="45"/>
        <v/>
      </c>
      <c r="U731" s="1" t="str">
        <f t="shared" si="46"/>
        <v/>
      </c>
      <c r="V731" s="1" t="str">
        <f>_xlfn.XLOOKUP(C731,Payers!$A$2:$A$9,Payers!$B$2:$B$9)</f>
        <v>Summit Health Commercial</v>
      </c>
      <c r="W731" s="1" t="str">
        <f t="shared" si="47"/>
        <v>2026-08</v>
      </c>
    </row>
    <row r="732" spans="1:23">
      <c r="A732" s="1" t="s">
        <v>1450</v>
      </c>
      <c r="B732" s="1" t="s">
        <v>1451</v>
      </c>
      <c r="C732" s="1" t="s">
        <v>18</v>
      </c>
      <c r="D732" s="1" t="s">
        <v>26</v>
      </c>
      <c r="E732" s="1" t="s">
        <v>113</v>
      </c>
      <c r="F732">
        <v>1</v>
      </c>
      <c r="G732" s="2">
        <v>46248</v>
      </c>
      <c r="H732" s="2">
        <v>46249</v>
      </c>
      <c r="I732">
        <v>1023.5</v>
      </c>
      <c r="J732">
        <v>355.19</v>
      </c>
      <c r="K732">
        <v>355.19</v>
      </c>
      <c r="L732">
        <v>0</v>
      </c>
      <c r="M732" s="1" t="s">
        <v>21</v>
      </c>
      <c r="N732" s="1" t="s">
        <v>22</v>
      </c>
      <c r="O732" s="2">
        <v>46285</v>
      </c>
      <c r="P732" s="2">
        <v>46285</v>
      </c>
      <c r="Q732">
        <f>_xlfn.XLOOKUP(E732,CPT!$A$2:$A$13,CPT!$D$2:$D$13)</f>
        <v>1050</v>
      </c>
      <c r="R732" s="1">
        <f>_xlfn.XLOOKUP(C732,Contract!$A$2:$A$9,Contract!$B$2:$B$9)</f>
        <v>0.38</v>
      </c>
      <c r="S732" s="1">
        <f t="shared" si="44"/>
        <v>399</v>
      </c>
      <c r="T732" s="1">
        <f t="shared" si="45"/>
        <v>43.81</v>
      </c>
      <c r="U732" s="1" t="str">
        <f t="shared" si="46"/>
        <v>Underpaid</v>
      </c>
      <c r="V732" s="1" t="str">
        <f>_xlfn.XLOOKUP(C732,Payers!$A$2:$A$9,Payers!$B$2:$B$9)</f>
        <v>Sunshine Medicare Advantage</v>
      </c>
      <c r="W732" s="1" t="str">
        <f t="shared" si="47"/>
        <v>2026-08</v>
      </c>
    </row>
    <row r="733" spans="1:23">
      <c r="A733" s="1" t="s">
        <v>1452</v>
      </c>
      <c r="B733" s="1" t="s">
        <v>1453</v>
      </c>
      <c r="C733" s="1" t="s">
        <v>18</v>
      </c>
      <c r="D733" s="1" t="s">
        <v>19</v>
      </c>
      <c r="E733" s="1" t="s">
        <v>41</v>
      </c>
      <c r="F733">
        <v>1</v>
      </c>
      <c r="G733" s="2">
        <v>46099</v>
      </c>
      <c r="H733" s="2">
        <v>46101</v>
      </c>
      <c r="I733">
        <v>37.17</v>
      </c>
      <c r="J733">
        <v>12.18</v>
      </c>
      <c r="K733">
        <v>9.74</v>
      </c>
      <c r="L733">
        <v>2.44</v>
      </c>
      <c r="M733" s="1" t="s">
        <v>21</v>
      </c>
      <c r="N733" s="1" t="s">
        <v>22</v>
      </c>
      <c r="O733" s="2">
        <v>46168</v>
      </c>
      <c r="P733" s="2">
        <v>46168</v>
      </c>
      <c r="Q733">
        <f>_xlfn.XLOOKUP(E733,CPT!$A$2:$A$13,CPT!$D$2:$D$13)</f>
        <v>38</v>
      </c>
      <c r="R733" s="1">
        <f>_xlfn.XLOOKUP(C733,Contract!$A$2:$A$9,Contract!$B$2:$B$9)</f>
        <v>0.38</v>
      </c>
      <c r="S733" s="1">
        <f t="shared" si="44"/>
        <v>14.44</v>
      </c>
      <c r="T733" s="1">
        <f t="shared" si="45"/>
        <v>2.2599999999999998</v>
      </c>
      <c r="U733" s="1" t="str">
        <f t="shared" si="46"/>
        <v>Underpaid</v>
      </c>
      <c r="V733" s="1" t="str">
        <f>_xlfn.XLOOKUP(C733,Payers!$A$2:$A$9,Payers!$B$2:$B$9)</f>
        <v>Sunshine Medicare Advantage</v>
      </c>
      <c r="W733" s="1" t="str">
        <f t="shared" si="47"/>
        <v>2026-03</v>
      </c>
    </row>
    <row r="734" spans="1:23">
      <c r="A734" s="1" t="s">
        <v>1454</v>
      </c>
      <c r="B734" s="1" t="s">
        <v>1455</v>
      </c>
      <c r="C734" s="1" t="s">
        <v>60</v>
      </c>
      <c r="D734" s="1" t="s">
        <v>30</v>
      </c>
      <c r="E734" s="1" t="s">
        <v>31</v>
      </c>
      <c r="F734">
        <v>1</v>
      </c>
      <c r="G734" s="2">
        <v>46100</v>
      </c>
      <c r="H734" s="2">
        <v>46104</v>
      </c>
      <c r="I734">
        <v>61.04</v>
      </c>
      <c r="J734">
        <v>25.32</v>
      </c>
      <c r="K734">
        <v>20.260000000000002</v>
      </c>
      <c r="L734">
        <v>5.0599999999999996</v>
      </c>
      <c r="M734" s="1" t="s">
        <v>21</v>
      </c>
      <c r="N734" s="1" t="s">
        <v>22</v>
      </c>
      <c r="O734" s="2">
        <v>46126</v>
      </c>
      <c r="P734" s="2">
        <v>46126</v>
      </c>
      <c r="Q734">
        <f>_xlfn.XLOOKUP(E734,CPT!$A$2:$A$13,CPT!$D$2:$D$13)</f>
        <v>62</v>
      </c>
      <c r="R734" s="1">
        <f>_xlfn.XLOOKUP(C734,Contract!$A$2:$A$9,Contract!$B$2:$B$9)</f>
        <v>0.45</v>
      </c>
      <c r="S734" s="1">
        <f t="shared" si="44"/>
        <v>27.9</v>
      </c>
      <c r="T734" s="1">
        <f t="shared" si="45"/>
        <v>2.5799999999999983</v>
      </c>
      <c r="U734" s="1" t="str">
        <f t="shared" si="46"/>
        <v>Underpaid</v>
      </c>
      <c r="V734" s="1" t="str">
        <f>_xlfn.XLOOKUP(C734,Payers!$A$2:$A$9,Payers!$B$2:$B$9)</f>
        <v>Blue Horizon Commercial</v>
      </c>
      <c r="W734" s="1" t="str">
        <f t="shared" si="47"/>
        <v>2026-03</v>
      </c>
    </row>
    <row r="735" spans="1:23">
      <c r="A735" s="1" t="s">
        <v>1456</v>
      </c>
      <c r="B735" s="1" t="s">
        <v>1457</v>
      </c>
      <c r="C735" s="1" t="s">
        <v>25</v>
      </c>
      <c r="D735" s="1" t="s">
        <v>26</v>
      </c>
      <c r="E735" s="1" t="s">
        <v>113</v>
      </c>
      <c r="F735">
        <v>1</v>
      </c>
      <c r="G735" s="2">
        <v>45964</v>
      </c>
      <c r="H735" s="2">
        <v>45965</v>
      </c>
      <c r="I735">
        <v>1073.3</v>
      </c>
      <c r="J735">
        <v>402.54</v>
      </c>
      <c r="K735">
        <v>402.54</v>
      </c>
      <c r="L735">
        <v>0</v>
      </c>
      <c r="M735" s="1" t="s">
        <v>21</v>
      </c>
      <c r="N735" s="1" t="s">
        <v>22</v>
      </c>
      <c r="O735" s="2">
        <v>45975</v>
      </c>
      <c r="P735" s="2">
        <v>45975</v>
      </c>
      <c r="Q735">
        <f>_xlfn.XLOOKUP(E735,CPT!$A$2:$A$13,CPT!$D$2:$D$13)</f>
        <v>1050</v>
      </c>
      <c r="R735" s="1">
        <f>_xlfn.XLOOKUP(C735,Contract!$A$2:$A$9,Contract!$B$2:$B$9)</f>
        <v>0.36</v>
      </c>
      <c r="S735" s="1">
        <f t="shared" si="44"/>
        <v>378</v>
      </c>
      <c r="T735" s="1">
        <f t="shared" si="45"/>
        <v>-24.54000000000002</v>
      </c>
      <c r="U735" s="1" t="str">
        <f t="shared" si="46"/>
        <v>OK</v>
      </c>
      <c r="V735" s="1" t="str">
        <f>_xlfn.XLOOKUP(C735,Payers!$A$2:$A$9,Payers!$B$2:$B$9)</f>
        <v>Medicare Part B</v>
      </c>
      <c r="W735" s="1" t="str">
        <f t="shared" si="47"/>
        <v>2025-11</v>
      </c>
    </row>
    <row r="736" spans="1:23">
      <c r="A736" s="1" t="s">
        <v>1458</v>
      </c>
      <c r="B736" s="1" t="s">
        <v>143</v>
      </c>
      <c r="C736" s="1" t="s">
        <v>25</v>
      </c>
      <c r="D736" s="1" t="s">
        <v>26</v>
      </c>
      <c r="E736" s="1" t="s">
        <v>57</v>
      </c>
      <c r="F736">
        <v>1</v>
      </c>
      <c r="G736" s="2">
        <v>46035</v>
      </c>
      <c r="H736" s="2">
        <v>46036</v>
      </c>
      <c r="I736">
        <v>206.68</v>
      </c>
      <c r="J736">
        <v>70.040000000000006</v>
      </c>
      <c r="K736">
        <v>70.040000000000006</v>
      </c>
      <c r="L736">
        <v>0</v>
      </c>
      <c r="M736" s="1" t="s">
        <v>21</v>
      </c>
      <c r="N736" s="1" t="s">
        <v>22</v>
      </c>
      <c r="O736" s="2">
        <v>46053</v>
      </c>
      <c r="P736" s="2">
        <v>46053</v>
      </c>
      <c r="Q736">
        <f>_xlfn.XLOOKUP(E736,CPT!$A$2:$A$13,CPT!$D$2:$D$13)</f>
        <v>210</v>
      </c>
      <c r="R736" s="1">
        <f>_xlfn.XLOOKUP(C736,Contract!$A$2:$A$9,Contract!$B$2:$B$9)</f>
        <v>0.36</v>
      </c>
      <c r="S736" s="1">
        <f t="shared" si="44"/>
        <v>75.599999999999994</v>
      </c>
      <c r="T736" s="1">
        <f t="shared" si="45"/>
        <v>5.5599999999999881</v>
      </c>
      <c r="U736" s="1" t="str">
        <f t="shared" si="46"/>
        <v>Underpaid</v>
      </c>
      <c r="V736" s="1" t="str">
        <f>_xlfn.XLOOKUP(C736,Payers!$A$2:$A$9,Payers!$B$2:$B$9)</f>
        <v>Medicare Part B</v>
      </c>
      <c r="W736" s="1" t="str">
        <f t="shared" si="47"/>
        <v>2026-01</v>
      </c>
    </row>
    <row r="737" spans="1:23">
      <c r="A737" s="1" t="s">
        <v>1459</v>
      </c>
      <c r="B737" s="1" t="s">
        <v>470</v>
      </c>
      <c r="C737" s="1" t="s">
        <v>25</v>
      </c>
      <c r="D737" s="1" t="s">
        <v>26</v>
      </c>
      <c r="E737" s="1" t="s">
        <v>185</v>
      </c>
      <c r="F737">
        <v>1</v>
      </c>
      <c r="G737" s="2">
        <v>46256</v>
      </c>
      <c r="H737" s="2">
        <v>46264</v>
      </c>
      <c r="I737">
        <v>1129.4000000000001</v>
      </c>
      <c r="J737">
        <v>463.63</v>
      </c>
      <c r="K737">
        <v>417.27</v>
      </c>
      <c r="L737">
        <v>46.36</v>
      </c>
      <c r="M737" s="1" t="s">
        <v>21</v>
      </c>
      <c r="N737" s="1" t="s">
        <v>22</v>
      </c>
      <c r="O737" s="2">
        <v>46278</v>
      </c>
      <c r="P737" s="2">
        <v>46278</v>
      </c>
      <c r="Q737">
        <f>_xlfn.XLOOKUP(E737,CPT!$A$2:$A$13,CPT!$D$2:$D$13)</f>
        <v>1150</v>
      </c>
      <c r="R737" s="1">
        <f>_xlfn.XLOOKUP(C737,Contract!$A$2:$A$9,Contract!$B$2:$B$9)</f>
        <v>0.36</v>
      </c>
      <c r="S737" s="1">
        <f t="shared" si="44"/>
        <v>414</v>
      </c>
      <c r="T737" s="1">
        <f t="shared" si="45"/>
        <v>-49.629999999999995</v>
      </c>
      <c r="U737" s="1" t="str">
        <f t="shared" si="46"/>
        <v>OK</v>
      </c>
      <c r="V737" s="1" t="str">
        <f>_xlfn.XLOOKUP(C737,Payers!$A$2:$A$9,Payers!$B$2:$B$9)</f>
        <v>Medicare Part B</v>
      </c>
      <c r="W737" s="1" t="str">
        <f t="shared" si="47"/>
        <v>2026-08</v>
      </c>
    </row>
    <row r="738" spans="1:23">
      <c r="A738" s="1" t="s">
        <v>1460</v>
      </c>
      <c r="B738" s="1" t="s">
        <v>1461</v>
      </c>
      <c r="C738" s="1" t="s">
        <v>52</v>
      </c>
      <c r="D738" s="1" t="s">
        <v>19</v>
      </c>
      <c r="E738" s="1" t="s">
        <v>41</v>
      </c>
      <c r="F738">
        <v>1</v>
      </c>
      <c r="G738" s="2">
        <v>46189</v>
      </c>
      <c r="H738" s="2">
        <v>46192</v>
      </c>
      <c r="I738">
        <v>38.25</v>
      </c>
      <c r="M738" s="1" t="s">
        <v>32</v>
      </c>
      <c r="N738" s="1" t="s">
        <v>49</v>
      </c>
      <c r="O738" s="2">
        <v>46238</v>
      </c>
      <c r="P738" s="2"/>
      <c r="Q738">
        <f>_xlfn.XLOOKUP(E738,CPT!$A$2:$A$13,CPT!$D$2:$D$13)</f>
        <v>38</v>
      </c>
      <c r="R738" s="1">
        <f>_xlfn.XLOOKUP(C738,Contract!$A$2:$A$9,Contract!$B$2:$B$9)</f>
        <v>0.47</v>
      </c>
      <c r="S738" s="1">
        <f t="shared" si="44"/>
        <v>17.86</v>
      </c>
      <c r="T738" s="1" t="str">
        <f t="shared" si="45"/>
        <v/>
      </c>
      <c r="U738" s="1" t="str">
        <f t="shared" si="46"/>
        <v/>
      </c>
      <c r="V738" s="1" t="str">
        <f>_xlfn.XLOOKUP(C738,Payers!$A$2:$A$9,Payers!$B$2:$B$9)</f>
        <v>Keystone Commercial PPO</v>
      </c>
      <c r="W738" s="1" t="str">
        <f t="shared" si="47"/>
        <v>2026-06</v>
      </c>
    </row>
    <row r="739" spans="1:23">
      <c r="A739" s="1" t="s">
        <v>1462</v>
      </c>
      <c r="B739" s="1" t="s">
        <v>1463</v>
      </c>
      <c r="C739" s="1" t="s">
        <v>25</v>
      </c>
      <c r="D739" s="1" t="s">
        <v>30</v>
      </c>
      <c r="E739" s="1" t="s">
        <v>20</v>
      </c>
      <c r="F739">
        <v>1</v>
      </c>
      <c r="G739" s="2">
        <v>46214</v>
      </c>
      <c r="H739" s="2">
        <v>46216</v>
      </c>
      <c r="I739">
        <v>146.97</v>
      </c>
      <c r="J739">
        <v>50.85</v>
      </c>
      <c r="K739">
        <v>40.68</v>
      </c>
      <c r="L739">
        <v>10.17</v>
      </c>
      <c r="M739" s="1" t="s">
        <v>21</v>
      </c>
      <c r="N739" s="1" t="s">
        <v>22</v>
      </c>
      <c r="O739" s="2">
        <v>46228</v>
      </c>
      <c r="P739" s="2">
        <v>46228</v>
      </c>
      <c r="Q739">
        <f>_xlfn.XLOOKUP(E739,CPT!$A$2:$A$13,CPT!$D$2:$D$13)</f>
        <v>145</v>
      </c>
      <c r="R739" s="1">
        <f>_xlfn.XLOOKUP(C739,Contract!$A$2:$A$9,Contract!$B$2:$B$9)</f>
        <v>0.36</v>
      </c>
      <c r="S739" s="1">
        <f t="shared" si="44"/>
        <v>52.2</v>
      </c>
      <c r="T739" s="1">
        <f t="shared" si="45"/>
        <v>1.3500000000000014</v>
      </c>
      <c r="U739" s="1" t="str">
        <f t="shared" si="46"/>
        <v>OK</v>
      </c>
      <c r="V739" s="1" t="str">
        <f>_xlfn.XLOOKUP(C739,Payers!$A$2:$A$9,Payers!$B$2:$B$9)</f>
        <v>Medicare Part B</v>
      </c>
      <c r="W739" s="1" t="str">
        <f t="shared" si="47"/>
        <v>2026-07</v>
      </c>
    </row>
    <row r="740" spans="1:23">
      <c r="A740" s="1" t="s">
        <v>1464</v>
      </c>
      <c r="B740" s="1" t="s">
        <v>847</v>
      </c>
      <c r="C740" s="1" t="s">
        <v>52</v>
      </c>
      <c r="D740" s="1" t="s">
        <v>26</v>
      </c>
      <c r="E740" s="1" t="s">
        <v>41</v>
      </c>
      <c r="F740">
        <v>1</v>
      </c>
      <c r="G740" s="2">
        <v>46010</v>
      </c>
      <c r="H740" s="2">
        <v>46011</v>
      </c>
      <c r="I740">
        <v>38.950000000000003</v>
      </c>
      <c r="J740">
        <v>19.72</v>
      </c>
      <c r="K740">
        <v>15.78</v>
      </c>
      <c r="L740">
        <v>3.94</v>
      </c>
      <c r="M740" s="1" t="s">
        <v>21</v>
      </c>
      <c r="N740" s="1" t="s">
        <v>22</v>
      </c>
      <c r="O740" s="2">
        <v>46046</v>
      </c>
      <c r="P740" s="2">
        <v>46046</v>
      </c>
      <c r="Q740">
        <f>_xlfn.XLOOKUP(E740,CPT!$A$2:$A$13,CPT!$D$2:$D$13)</f>
        <v>38</v>
      </c>
      <c r="R740" s="1">
        <f>_xlfn.XLOOKUP(C740,Contract!$A$2:$A$9,Contract!$B$2:$B$9)</f>
        <v>0.47</v>
      </c>
      <c r="S740" s="1">
        <f t="shared" si="44"/>
        <v>17.86</v>
      </c>
      <c r="T740" s="1">
        <f t="shared" si="45"/>
        <v>-1.8599999999999994</v>
      </c>
      <c r="U740" s="1" t="str">
        <f t="shared" si="46"/>
        <v>OK</v>
      </c>
      <c r="V740" s="1" t="str">
        <f>_xlfn.XLOOKUP(C740,Payers!$A$2:$A$9,Payers!$B$2:$B$9)</f>
        <v>Keystone Commercial PPO</v>
      </c>
      <c r="W740" s="1" t="str">
        <f t="shared" si="47"/>
        <v>2025-12</v>
      </c>
    </row>
    <row r="741" spans="1:23">
      <c r="A741" s="1" t="s">
        <v>1465</v>
      </c>
      <c r="B741" s="1" t="s">
        <v>1466</v>
      </c>
      <c r="C741" s="1" t="s">
        <v>76</v>
      </c>
      <c r="D741" s="1" t="s">
        <v>30</v>
      </c>
      <c r="E741" s="1" t="s">
        <v>91</v>
      </c>
      <c r="F741">
        <v>4</v>
      </c>
      <c r="G741" s="2">
        <v>46088</v>
      </c>
      <c r="H741" s="2">
        <v>46089</v>
      </c>
      <c r="I741">
        <v>238.79</v>
      </c>
      <c r="J741">
        <v>90.16</v>
      </c>
      <c r="K741">
        <v>90.16</v>
      </c>
      <c r="L741">
        <v>0</v>
      </c>
      <c r="M741" s="1" t="s">
        <v>21</v>
      </c>
      <c r="N741" s="1" t="s">
        <v>22</v>
      </c>
      <c r="O741" s="2">
        <v>46127</v>
      </c>
      <c r="P741" s="2">
        <v>46127</v>
      </c>
      <c r="Q741">
        <f>_xlfn.XLOOKUP(E741,CPT!$A$2:$A$13,CPT!$D$2:$D$13)</f>
        <v>58</v>
      </c>
      <c r="R741" s="1">
        <f>_xlfn.XLOOKUP(C741,Contract!$A$2:$A$9,Contract!$B$2:$B$9)</f>
        <v>0.43</v>
      </c>
      <c r="S741" s="1">
        <f t="shared" si="44"/>
        <v>99.76</v>
      </c>
      <c r="T741" s="1">
        <f t="shared" si="45"/>
        <v>9.6000000000000085</v>
      </c>
      <c r="U741" s="1" t="str">
        <f t="shared" si="46"/>
        <v>Underpaid</v>
      </c>
      <c r="V741" s="1" t="str">
        <f>_xlfn.XLOOKUP(C741,Payers!$A$2:$A$9,Payers!$B$2:$B$9)</f>
        <v>Summit Health Commercial</v>
      </c>
      <c r="W741" s="1" t="str">
        <f t="shared" si="47"/>
        <v>2026-03</v>
      </c>
    </row>
    <row r="742" spans="1:23">
      <c r="A742" s="1" t="s">
        <v>1467</v>
      </c>
      <c r="B742" s="1" t="s">
        <v>902</v>
      </c>
      <c r="C742" s="1" t="s">
        <v>18</v>
      </c>
      <c r="D742" s="1" t="s">
        <v>37</v>
      </c>
      <c r="E742" s="1" t="s">
        <v>48</v>
      </c>
      <c r="F742">
        <v>1</v>
      </c>
      <c r="G742" s="2">
        <v>46109</v>
      </c>
      <c r="H742" s="2">
        <v>46112</v>
      </c>
      <c r="I742">
        <v>420.24</v>
      </c>
      <c r="J742">
        <v>170.57</v>
      </c>
      <c r="K742">
        <v>170.57</v>
      </c>
      <c r="L742">
        <v>0</v>
      </c>
      <c r="M742" s="1" t="s">
        <v>21</v>
      </c>
      <c r="N742" s="1" t="s">
        <v>22</v>
      </c>
      <c r="O742" s="2">
        <v>46143</v>
      </c>
      <c r="P742" s="2">
        <v>46143</v>
      </c>
      <c r="Q742">
        <f>_xlfn.XLOOKUP(E742,CPT!$A$2:$A$13,CPT!$D$2:$D$13)</f>
        <v>420</v>
      </c>
      <c r="R742" s="1">
        <f>_xlfn.XLOOKUP(C742,Contract!$A$2:$A$9,Contract!$B$2:$B$9)</f>
        <v>0.38</v>
      </c>
      <c r="S742" s="1">
        <f t="shared" si="44"/>
        <v>159.6</v>
      </c>
      <c r="T742" s="1">
        <f t="shared" si="45"/>
        <v>-10.969999999999999</v>
      </c>
      <c r="U742" s="1" t="str">
        <f t="shared" si="46"/>
        <v>OK</v>
      </c>
      <c r="V742" s="1" t="str">
        <f>_xlfn.XLOOKUP(C742,Payers!$A$2:$A$9,Payers!$B$2:$B$9)</f>
        <v>Sunshine Medicare Advantage</v>
      </c>
      <c r="W742" s="1" t="str">
        <f t="shared" si="47"/>
        <v>2026-03</v>
      </c>
    </row>
    <row r="743" spans="1:23">
      <c r="A743" s="1" t="s">
        <v>1468</v>
      </c>
      <c r="B743" s="1" t="s">
        <v>1469</v>
      </c>
      <c r="C743" s="1" t="s">
        <v>25</v>
      </c>
      <c r="D743" s="1" t="s">
        <v>19</v>
      </c>
      <c r="E743" s="1" t="s">
        <v>88</v>
      </c>
      <c r="F743">
        <v>1</v>
      </c>
      <c r="G743" s="2">
        <v>46277</v>
      </c>
      <c r="H743" s="2">
        <v>46282</v>
      </c>
      <c r="I743">
        <v>252.64</v>
      </c>
      <c r="J743">
        <v>93.93</v>
      </c>
      <c r="K743">
        <v>93.93</v>
      </c>
      <c r="L743">
        <v>0</v>
      </c>
      <c r="M743" s="1" t="s">
        <v>21</v>
      </c>
      <c r="N743" s="1" t="s">
        <v>22</v>
      </c>
      <c r="O743" s="2">
        <v>46289</v>
      </c>
      <c r="P743" s="2">
        <v>46289</v>
      </c>
      <c r="Q743">
        <f>_xlfn.XLOOKUP(E743,CPT!$A$2:$A$13,CPT!$D$2:$D$13)</f>
        <v>260</v>
      </c>
      <c r="R743" s="1">
        <f>_xlfn.XLOOKUP(C743,Contract!$A$2:$A$9,Contract!$B$2:$B$9)</f>
        <v>0.36</v>
      </c>
      <c r="S743" s="1">
        <f t="shared" si="44"/>
        <v>93.6</v>
      </c>
      <c r="T743" s="1">
        <f t="shared" si="45"/>
        <v>-0.33000000000001251</v>
      </c>
      <c r="U743" s="1" t="str">
        <f t="shared" si="46"/>
        <v>OK</v>
      </c>
      <c r="V743" s="1" t="str">
        <f>_xlfn.XLOOKUP(C743,Payers!$A$2:$A$9,Payers!$B$2:$B$9)</f>
        <v>Medicare Part B</v>
      </c>
      <c r="W743" s="1" t="str">
        <f t="shared" si="47"/>
        <v>2026-09</v>
      </c>
    </row>
    <row r="744" spans="1:23">
      <c r="A744" s="1" t="s">
        <v>1470</v>
      </c>
      <c r="B744" s="1" t="s">
        <v>1471</v>
      </c>
      <c r="C744" s="1" t="s">
        <v>47</v>
      </c>
      <c r="D744" s="1" t="s">
        <v>26</v>
      </c>
      <c r="E744" s="1" t="s">
        <v>27</v>
      </c>
      <c r="F744">
        <v>1</v>
      </c>
      <c r="G744" s="2">
        <v>46013</v>
      </c>
      <c r="H744" s="2">
        <v>46019</v>
      </c>
      <c r="I744">
        <v>232.98</v>
      </c>
      <c r="J744">
        <v>73.430000000000007</v>
      </c>
      <c r="K744">
        <v>73.430000000000007</v>
      </c>
      <c r="L744">
        <v>0</v>
      </c>
      <c r="M744" s="1" t="s">
        <v>21</v>
      </c>
      <c r="N744" s="1" t="s">
        <v>22</v>
      </c>
      <c r="O744" s="2">
        <v>46060</v>
      </c>
      <c r="P744" s="2">
        <v>46060</v>
      </c>
      <c r="Q744">
        <f>_xlfn.XLOOKUP(E744,CPT!$A$2:$A$13,CPT!$D$2:$D$13)</f>
        <v>240</v>
      </c>
      <c r="R744" s="1">
        <f>_xlfn.XLOOKUP(C744,Contract!$A$2:$A$9,Contract!$B$2:$B$9)</f>
        <v>0.28000000000000003</v>
      </c>
      <c r="S744" s="1">
        <f t="shared" si="44"/>
        <v>67.2</v>
      </c>
      <c r="T744" s="1">
        <f t="shared" si="45"/>
        <v>-6.230000000000004</v>
      </c>
      <c r="U744" s="1" t="str">
        <f t="shared" si="46"/>
        <v>OK</v>
      </c>
      <c r="V744" s="1" t="str">
        <f>_xlfn.XLOOKUP(C744,Payers!$A$2:$A$9,Payers!$B$2:$B$9)</f>
        <v>Coastal Medicaid MCO</v>
      </c>
      <c r="W744" s="1" t="str">
        <f t="shared" si="47"/>
        <v>2025-12</v>
      </c>
    </row>
    <row r="745" spans="1:23">
      <c r="A745" s="1" t="s">
        <v>1472</v>
      </c>
      <c r="B745" s="1" t="s">
        <v>480</v>
      </c>
      <c r="C745" s="1" t="s">
        <v>60</v>
      </c>
      <c r="D745" s="1" t="s">
        <v>30</v>
      </c>
      <c r="E745" s="1" t="s">
        <v>91</v>
      </c>
      <c r="F745">
        <v>1</v>
      </c>
      <c r="G745" s="2">
        <v>46149</v>
      </c>
      <c r="H745" s="2">
        <v>46152</v>
      </c>
      <c r="I745">
        <v>58.67</v>
      </c>
      <c r="J745">
        <v>27.11</v>
      </c>
      <c r="K745">
        <v>21.69</v>
      </c>
      <c r="L745">
        <v>5.42</v>
      </c>
      <c r="M745" s="1" t="s">
        <v>21</v>
      </c>
      <c r="N745" s="1" t="s">
        <v>22</v>
      </c>
      <c r="O745" s="2">
        <v>46186</v>
      </c>
      <c r="P745" s="2">
        <v>46186</v>
      </c>
      <c r="Q745">
        <f>_xlfn.XLOOKUP(E745,CPT!$A$2:$A$13,CPT!$D$2:$D$13)</f>
        <v>58</v>
      </c>
      <c r="R745" s="1">
        <f>_xlfn.XLOOKUP(C745,Contract!$A$2:$A$9,Contract!$B$2:$B$9)</f>
        <v>0.45</v>
      </c>
      <c r="S745" s="1">
        <f t="shared" si="44"/>
        <v>26.1</v>
      </c>
      <c r="T745" s="1">
        <f t="shared" si="45"/>
        <v>-1.009999999999998</v>
      </c>
      <c r="U745" s="1" t="str">
        <f t="shared" si="46"/>
        <v>OK</v>
      </c>
      <c r="V745" s="1" t="str">
        <f>_xlfn.XLOOKUP(C745,Payers!$A$2:$A$9,Payers!$B$2:$B$9)</f>
        <v>Blue Horizon Commercial</v>
      </c>
      <c r="W745" s="1" t="str">
        <f t="shared" si="47"/>
        <v>2026-05</v>
      </c>
    </row>
    <row r="746" spans="1:23">
      <c r="A746" s="1" t="s">
        <v>1473</v>
      </c>
      <c r="B746" s="1" t="s">
        <v>1474</v>
      </c>
      <c r="C746" s="1" t="s">
        <v>47</v>
      </c>
      <c r="D746" s="1" t="s">
        <v>30</v>
      </c>
      <c r="E746" s="1" t="s">
        <v>20</v>
      </c>
      <c r="F746">
        <v>1</v>
      </c>
      <c r="G746" s="2">
        <v>45986</v>
      </c>
      <c r="H746" s="2">
        <v>45992</v>
      </c>
      <c r="I746">
        <v>146.18</v>
      </c>
      <c r="M746" s="1" t="s">
        <v>32</v>
      </c>
      <c r="N746" s="1" t="s">
        <v>168</v>
      </c>
      <c r="O746" s="2">
        <v>46040</v>
      </c>
      <c r="P746" s="2"/>
      <c r="Q746">
        <f>_xlfn.XLOOKUP(E746,CPT!$A$2:$A$13,CPT!$D$2:$D$13)</f>
        <v>145</v>
      </c>
      <c r="R746" s="1">
        <f>_xlfn.XLOOKUP(C746,Contract!$A$2:$A$9,Contract!$B$2:$B$9)</f>
        <v>0.28000000000000003</v>
      </c>
      <c r="S746" s="1">
        <f t="shared" si="44"/>
        <v>40.6</v>
      </c>
      <c r="T746" s="1" t="str">
        <f t="shared" si="45"/>
        <v/>
      </c>
      <c r="U746" s="1" t="str">
        <f t="shared" si="46"/>
        <v/>
      </c>
      <c r="V746" s="1" t="str">
        <f>_xlfn.XLOOKUP(C746,Payers!$A$2:$A$9,Payers!$B$2:$B$9)</f>
        <v>Coastal Medicaid MCO</v>
      </c>
      <c r="W746" s="1" t="str">
        <f t="shared" si="47"/>
        <v>2025-11</v>
      </c>
    </row>
    <row r="747" spans="1:23">
      <c r="A747" s="1" t="s">
        <v>1475</v>
      </c>
      <c r="B747" s="1" t="s">
        <v>1476</v>
      </c>
      <c r="C747" s="1" t="s">
        <v>18</v>
      </c>
      <c r="D747" s="1" t="s">
        <v>26</v>
      </c>
      <c r="E747" s="1" t="s">
        <v>88</v>
      </c>
      <c r="F747">
        <v>1</v>
      </c>
      <c r="G747" s="2">
        <v>46144</v>
      </c>
      <c r="H747" s="2">
        <v>46149</v>
      </c>
      <c r="I747">
        <v>260.39</v>
      </c>
      <c r="J747">
        <v>89.39</v>
      </c>
      <c r="K747">
        <v>80.45</v>
      </c>
      <c r="L747">
        <v>8.94</v>
      </c>
      <c r="M747" s="1" t="s">
        <v>21</v>
      </c>
      <c r="N747" s="1" t="s">
        <v>22</v>
      </c>
      <c r="O747" s="2">
        <v>46209</v>
      </c>
      <c r="P747" s="2">
        <v>46209</v>
      </c>
      <c r="Q747">
        <f>_xlfn.XLOOKUP(E747,CPT!$A$2:$A$13,CPT!$D$2:$D$13)</f>
        <v>260</v>
      </c>
      <c r="R747" s="1">
        <f>_xlfn.XLOOKUP(C747,Contract!$A$2:$A$9,Contract!$B$2:$B$9)</f>
        <v>0.38</v>
      </c>
      <c r="S747" s="1">
        <f t="shared" si="44"/>
        <v>98.8</v>
      </c>
      <c r="T747" s="1">
        <f t="shared" si="45"/>
        <v>9.4099999999999966</v>
      </c>
      <c r="U747" s="1" t="str">
        <f t="shared" si="46"/>
        <v>Underpaid</v>
      </c>
      <c r="V747" s="1" t="str">
        <f>_xlfn.XLOOKUP(C747,Payers!$A$2:$A$9,Payers!$B$2:$B$9)</f>
        <v>Sunshine Medicare Advantage</v>
      </c>
      <c r="W747" s="1" t="str">
        <f t="shared" si="47"/>
        <v>2026-05</v>
      </c>
    </row>
    <row r="748" spans="1:23">
      <c r="A748" s="1" t="s">
        <v>1477</v>
      </c>
      <c r="B748" s="1" t="s">
        <v>1478</v>
      </c>
      <c r="C748" s="1" t="s">
        <v>52</v>
      </c>
      <c r="D748" s="1" t="s">
        <v>37</v>
      </c>
      <c r="E748" s="1" t="s">
        <v>38</v>
      </c>
      <c r="F748">
        <v>5</v>
      </c>
      <c r="G748" s="2">
        <v>46188</v>
      </c>
      <c r="H748" s="2">
        <v>46195</v>
      </c>
      <c r="I748">
        <v>7228.54</v>
      </c>
      <c r="M748" s="1" t="s">
        <v>32</v>
      </c>
      <c r="N748" s="1" t="s">
        <v>315</v>
      </c>
      <c r="O748" s="2">
        <v>46240</v>
      </c>
      <c r="P748" s="2"/>
      <c r="Q748">
        <f>_xlfn.XLOOKUP(E748,CPT!$A$2:$A$13,CPT!$D$2:$D$13)</f>
        <v>1450</v>
      </c>
      <c r="R748" s="1">
        <f>_xlfn.XLOOKUP(C748,Contract!$A$2:$A$9,Contract!$B$2:$B$9)</f>
        <v>0.47</v>
      </c>
      <c r="S748" s="1">
        <f t="shared" si="44"/>
        <v>3407.5</v>
      </c>
      <c r="T748" s="1" t="str">
        <f t="shared" si="45"/>
        <v/>
      </c>
      <c r="U748" s="1" t="str">
        <f t="shared" si="46"/>
        <v/>
      </c>
      <c r="V748" s="1" t="str">
        <f>_xlfn.XLOOKUP(C748,Payers!$A$2:$A$9,Payers!$B$2:$B$9)</f>
        <v>Keystone Commercial PPO</v>
      </c>
      <c r="W748" s="1" t="str">
        <f t="shared" si="47"/>
        <v>2026-06</v>
      </c>
    </row>
    <row r="749" spans="1:23">
      <c r="A749" s="1" t="s">
        <v>1479</v>
      </c>
      <c r="B749" s="1" t="s">
        <v>1351</v>
      </c>
      <c r="C749" s="1" t="s">
        <v>60</v>
      </c>
      <c r="D749" s="1" t="s">
        <v>26</v>
      </c>
      <c r="E749" s="1" t="s">
        <v>185</v>
      </c>
      <c r="F749">
        <v>1</v>
      </c>
      <c r="G749" s="2">
        <v>45994</v>
      </c>
      <c r="H749" s="2">
        <v>45996</v>
      </c>
      <c r="I749">
        <v>1134.5999999999999</v>
      </c>
      <c r="J749">
        <v>507.06</v>
      </c>
      <c r="K749">
        <v>507.06</v>
      </c>
      <c r="L749">
        <v>0</v>
      </c>
      <c r="M749" s="1" t="s">
        <v>21</v>
      </c>
      <c r="N749" s="1" t="s">
        <v>22</v>
      </c>
      <c r="O749" s="2">
        <v>46017</v>
      </c>
      <c r="P749" s="2">
        <v>46017</v>
      </c>
      <c r="Q749">
        <f>_xlfn.XLOOKUP(E749,CPT!$A$2:$A$13,CPT!$D$2:$D$13)</f>
        <v>1150</v>
      </c>
      <c r="R749" s="1">
        <f>_xlfn.XLOOKUP(C749,Contract!$A$2:$A$9,Contract!$B$2:$B$9)</f>
        <v>0.45</v>
      </c>
      <c r="S749" s="1">
        <f t="shared" si="44"/>
        <v>517.5</v>
      </c>
      <c r="T749" s="1">
        <f t="shared" si="45"/>
        <v>10.439999999999998</v>
      </c>
      <c r="U749" s="1" t="str">
        <f t="shared" si="46"/>
        <v>OK</v>
      </c>
      <c r="V749" s="1" t="str">
        <f>_xlfn.XLOOKUP(C749,Payers!$A$2:$A$9,Payers!$B$2:$B$9)</f>
        <v>Blue Horizon Commercial</v>
      </c>
      <c r="W749" s="1" t="str">
        <f t="shared" si="47"/>
        <v>2025-12</v>
      </c>
    </row>
    <row r="750" spans="1:23">
      <c r="A750" s="1" t="s">
        <v>1480</v>
      </c>
      <c r="B750" s="1" t="s">
        <v>1481</v>
      </c>
      <c r="C750" s="1" t="s">
        <v>79</v>
      </c>
      <c r="D750" s="1" t="s">
        <v>26</v>
      </c>
      <c r="E750" s="1" t="s">
        <v>44</v>
      </c>
      <c r="F750">
        <v>1</v>
      </c>
      <c r="G750" s="2">
        <v>46271</v>
      </c>
      <c r="H750" s="2">
        <v>46289</v>
      </c>
      <c r="I750">
        <v>4823.74</v>
      </c>
      <c r="M750" s="1" t="s">
        <v>69</v>
      </c>
      <c r="N750" s="1" t="s">
        <v>22</v>
      </c>
      <c r="O750" s="2"/>
      <c r="P750" s="2"/>
      <c r="Q750">
        <f>_xlfn.XLOOKUP(E750,CPT!$A$2:$A$13,CPT!$D$2:$D$13)</f>
        <v>4800</v>
      </c>
      <c r="R750" s="1">
        <f>_xlfn.XLOOKUP(C750,Contract!$A$2:$A$9,Contract!$B$2:$B$9)</f>
        <v>1</v>
      </c>
      <c r="S750" s="1">
        <f t="shared" si="44"/>
        <v>4800</v>
      </c>
      <c r="T750" s="1" t="str">
        <f t="shared" si="45"/>
        <v/>
      </c>
      <c r="U750" s="1" t="str">
        <f t="shared" si="46"/>
        <v/>
      </c>
      <c r="V750" s="1" t="str">
        <f>_xlfn.XLOOKUP(C750,Payers!$A$2:$A$9,Payers!$B$2:$B$9)</f>
        <v>Self-Pay</v>
      </c>
      <c r="W750" s="1" t="str">
        <f t="shared" si="47"/>
        <v>2026-09</v>
      </c>
    </row>
    <row r="751" spans="1:23">
      <c r="A751" s="1" t="s">
        <v>1482</v>
      </c>
      <c r="B751" s="1" t="s">
        <v>301</v>
      </c>
      <c r="C751" s="1" t="s">
        <v>52</v>
      </c>
      <c r="D751" s="1" t="s">
        <v>26</v>
      </c>
      <c r="E751" s="1" t="s">
        <v>113</v>
      </c>
      <c r="F751">
        <v>1</v>
      </c>
      <c r="G751" s="2">
        <v>46103</v>
      </c>
      <c r="H751" s="2">
        <v>46105</v>
      </c>
      <c r="I751">
        <v>1056.58</v>
      </c>
      <c r="J751">
        <v>474.86</v>
      </c>
      <c r="K751">
        <v>427.37</v>
      </c>
      <c r="L751">
        <v>47.49</v>
      </c>
      <c r="M751" s="1" t="s">
        <v>21</v>
      </c>
      <c r="N751" s="1" t="s">
        <v>22</v>
      </c>
      <c r="O751" s="2">
        <v>46150</v>
      </c>
      <c r="P751" s="2">
        <v>46150</v>
      </c>
      <c r="Q751">
        <f>_xlfn.XLOOKUP(E751,CPT!$A$2:$A$13,CPT!$D$2:$D$13)</f>
        <v>1050</v>
      </c>
      <c r="R751" s="1">
        <f>_xlfn.XLOOKUP(C751,Contract!$A$2:$A$9,Contract!$B$2:$B$9)</f>
        <v>0.47</v>
      </c>
      <c r="S751" s="1">
        <f t="shared" si="44"/>
        <v>493.5</v>
      </c>
      <c r="T751" s="1">
        <f t="shared" si="45"/>
        <v>18.639999999999986</v>
      </c>
      <c r="U751" s="1" t="str">
        <f t="shared" si="46"/>
        <v>OK</v>
      </c>
      <c r="V751" s="1" t="str">
        <f>_xlfn.XLOOKUP(C751,Payers!$A$2:$A$9,Payers!$B$2:$B$9)</f>
        <v>Keystone Commercial PPO</v>
      </c>
      <c r="W751" s="1" t="str">
        <f t="shared" si="47"/>
        <v>2026-03</v>
      </c>
    </row>
    <row r="752" spans="1:23">
      <c r="A752" s="1" t="s">
        <v>1483</v>
      </c>
      <c r="B752" s="1" t="s">
        <v>1451</v>
      </c>
      <c r="C752" s="1" t="s">
        <v>25</v>
      </c>
      <c r="D752" s="1" t="s">
        <v>26</v>
      </c>
      <c r="E752" s="1" t="s">
        <v>185</v>
      </c>
      <c r="F752">
        <v>1</v>
      </c>
      <c r="G752" s="2">
        <v>46124</v>
      </c>
      <c r="H752" s="2">
        <v>46139</v>
      </c>
      <c r="I752">
        <v>1157.6500000000001</v>
      </c>
      <c r="J752">
        <v>456.46</v>
      </c>
      <c r="K752">
        <v>365.17</v>
      </c>
      <c r="L752">
        <v>91.29</v>
      </c>
      <c r="M752" s="1" t="s">
        <v>21</v>
      </c>
      <c r="N752" s="1" t="s">
        <v>22</v>
      </c>
      <c r="O752" s="2">
        <v>46167</v>
      </c>
      <c r="P752" s="2">
        <v>46167</v>
      </c>
      <c r="Q752">
        <f>_xlfn.XLOOKUP(E752,CPT!$A$2:$A$13,CPT!$D$2:$D$13)</f>
        <v>1150</v>
      </c>
      <c r="R752" s="1">
        <f>_xlfn.XLOOKUP(C752,Contract!$A$2:$A$9,Contract!$B$2:$B$9)</f>
        <v>0.36</v>
      </c>
      <c r="S752" s="1">
        <f t="shared" si="44"/>
        <v>414</v>
      </c>
      <c r="T752" s="1">
        <f t="shared" si="45"/>
        <v>-42.45999999999998</v>
      </c>
      <c r="U752" s="1" t="str">
        <f t="shared" si="46"/>
        <v>OK</v>
      </c>
      <c r="V752" s="1" t="str">
        <f>_xlfn.XLOOKUP(C752,Payers!$A$2:$A$9,Payers!$B$2:$B$9)</f>
        <v>Medicare Part B</v>
      </c>
      <c r="W752" s="1" t="str">
        <f t="shared" si="47"/>
        <v>2026-04</v>
      </c>
    </row>
    <row r="753" spans="1:23">
      <c r="A753" s="1" t="s">
        <v>1484</v>
      </c>
      <c r="B753" s="1" t="s">
        <v>1485</v>
      </c>
      <c r="C753" s="1" t="s">
        <v>60</v>
      </c>
      <c r="D753" s="1" t="s">
        <v>30</v>
      </c>
      <c r="E753" s="1" t="s">
        <v>31</v>
      </c>
      <c r="F753">
        <v>3</v>
      </c>
      <c r="G753" s="2">
        <v>45993</v>
      </c>
      <c r="H753" s="2">
        <v>45998</v>
      </c>
      <c r="I753">
        <v>183.54</v>
      </c>
      <c r="J753">
        <v>85.63</v>
      </c>
      <c r="K753">
        <v>68.5</v>
      </c>
      <c r="L753">
        <v>17.13</v>
      </c>
      <c r="M753" s="1" t="s">
        <v>21</v>
      </c>
      <c r="N753" s="1" t="s">
        <v>22</v>
      </c>
      <c r="O753" s="2">
        <v>46026</v>
      </c>
      <c r="P753" s="2">
        <v>46026</v>
      </c>
      <c r="Q753">
        <f>_xlfn.XLOOKUP(E753,CPT!$A$2:$A$13,CPT!$D$2:$D$13)</f>
        <v>62</v>
      </c>
      <c r="R753" s="1">
        <f>_xlfn.XLOOKUP(C753,Contract!$A$2:$A$9,Contract!$B$2:$B$9)</f>
        <v>0.45</v>
      </c>
      <c r="S753" s="1">
        <f t="shared" si="44"/>
        <v>83.7</v>
      </c>
      <c r="T753" s="1">
        <f t="shared" si="45"/>
        <v>-1.9299999999999926</v>
      </c>
      <c r="U753" s="1" t="str">
        <f t="shared" si="46"/>
        <v>OK</v>
      </c>
      <c r="V753" s="1" t="str">
        <f>_xlfn.XLOOKUP(C753,Payers!$A$2:$A$9,Payers!$B$2:$B$9)</f>
        <v>Blue Horizon Commercial</v>
      </c>
      <c r="W753" s="1" t="str">
        <f t="shared" si="47"/>
        <v>2025-12</v>
      </c>
    </row>
    <row r="754" spans="1:23">
      <c r="A754" s="1" t="s">
        <v>1486</v>
      </c>
      <c r="B754" s="1" t="s">
        <v>1487</v>
      </c>
      <c r="C754" s="1" t="s">
        <v>60</v>
      </c>
      <c r="D754" s="1" t="s">
        <v>19</v>
      </c>
      <c r="E754" s="1" t="s">
        <v>57</v>
      </c>
      <c r="F754">
        <v>1</v>
      </c>
      <c r="G754" s="2">
        <v>46257</v>
      </c>
      <c r="H754" s="2">
        <v>46264</v>
      </c>
      <c r="I754">
        <v>215.77</v>
      </c>
      <c r="M754" s="1" t="s">
        <v>32</v>
      </c>
      <c r="N754" s="1" t="s">
        <v>124</v>
      </c>
      <c r="O754" s="2">
        <v>46294</v>
      </c>
      <c r="P754" s="2"/>
      <c r="Q754">
        <f>_xlfn.XLOOKUP(E754,CPT!$A$2:$A$13,CPT!$D$2:$D$13)</f>
        <v>210</v>
      </c>
      <c r="R754" s="1">
        <f>_xlfn.XLOOKUP(C754,Contract!$A$2:$A$9,Contract!$B$2:$B$9)</f>
        <v>0.45</v>
      </c>
      <c r="S754" s="1">
        <f t="shared" si="44"/>
        <v>94.5</v>
      </c>
      <c r="T754" s="1" t="str">
        <f t="shared" si="45"/>
        <v/>
      </c>
      <c r="U754" s="1" t="str">
        <f t="shared" si="46"/>
        <v/>
      </c>
      <c r="V754" s="1" t="str">
        <f>_xlfn.XLOOKUP(C754,Payers!$A$2:$A$9,Payers!$B$2:$B$9)</f>
        <v>Blue Horizon Commercial</v>
      </c>
      <c r="W754" s="1" t="str">
        <f t="shared" si="47"/>
        <v>2026-08</v>
      </c>
    </row>
    <row r="755" spans="1:23">
      <c r="A755" s="1" t="s">
        <v>1488</v>
      </c>
      <c r="B755" s="1" t="s">
        <v>1489</v>
      </c>
      <c r="C755" s="1" t="s">
        <v>76</v>
      </c>
      <c r="D755" s="1" t="s">
        <v>19</v>
      </c>
      <c r="E755" s="1" t="s">
        <v>20</v>
      </c>
      <c r="F755">
        <v>1</v>
      </c>
      <c r="G755" s="2">
        <v>46174</v>
      </c>
      <c r="H755" s="2">
        <v>46182</v>
      </c>
      <c r="I755">
        <v>149.24</v>
      </c>
      <c r="J755">
        <v>68.45</v>
      </c>
      <c r="K755">
        <v>61.6</v>
      </c>
      <c r="L755">
        <v>6.85</v>
      </c>
      <c r="M755" s="1" t="s">
        <v>21</v>
      </c>
      <c r="N755" s="1" t="s">
        <v>22</v>
      </c>
      <c r="O755" s="2">
        <v>46206</v>
      </c>
      <c r="P755" s="2">
        <v>46206</v>
      </c>
      <c r="Q755">
        <f>_xlfn.XLOOKUP(E755,CPT!$A$2:$A$13,CPT!$D$2:$D$13)</f>
        <v>145</v>
      </c>
      <c r="R755" s="1">
        <f>_xlfn.XLOOKUP(C755,Contract!$A$2:$A$9,Contract!$B$2:$B$9)</f>
        <v>0.43</v>
      </c>
      <c r="S755" s="1">
        <f t="shared" si="44"/>
        <v>62.35</v>
      </c>
      <c r="T755" s="1">
        <f t="shared" si="45"/>
        <v>-6.1000000000000014</v>
      </c>
      <c r="U755" s="1" t="str">
        <f t="shared" si="46"/>
        <v>OK</v>
      </c>
      <c r="V755" s="1" t="str">
        <f>_xlfn.XLOOKUP(C755,Payers!$A$2:$A$9,Payers!$B$2:$B$9)</f>
        <v>Summit Health Commercial</v>
      </c>
      <c r="W755" s="1" t="str">
        <f t="shared" si="47"/>
        <v>2026-06</v>
      </c>
    </row>
    <row r="756" spans="1:23">
      <c r="A756" s="1" t="s">
        <v>1490</v>
      </c>
      <c r="B756" s="1" t="s">
        <v>1491</v>
      </c>
      <c r="C756" s="1" t="s">
        <v>47</v>
      </c>
      <c r="D756" s="1" t="s">
        <v>26</v>
      </c>
      <c r="E756" s="1" t="s">
        <v>57</v>
      </c>
      <c r="F756">
        <v>1</v>
      </c>
      <c r="G756" s="2">
        <v>46223</v>
      </c>
      <c r="H756" s="2">
        <v>46229</v>
      </c>
      <c r="I756">
        <v>213.59</v>
      </c>
      <c r="M756" s="1" t="s">
        <v>69</v>
      </c>
      <c r="N756" s="1" t="s">
        <v>22</v>
      </c>
      <c r="O756" s="2"/>
      <c r="P756" s="2"/>
      <c r="Q756">
        <f>_xlfn.XLOOKUP(E756,CPT!$A$2:$A$13,CPT!$D$2:$D$13)</f>
        <v>210</v>
      </c>
      <c r="R756" s="1">
        <f>_xlfn.XLOOKUP(C756,Contract!$A$2:$A$9,Contract!$B$2:$B$9)</f>
        <v>0.28000000000000003</v>
      </c>
      <c r="S756" s="1">
        <f t="shared" si="44"/>
        <v>58.8</v>
      </c>
      <c r="T756" s="1" t="str">
        <f t="shared" si="45"/>
        <v/>
      </c>
      <c r="U756" s="1" t="str">
        <f t="shared" si="46"/>
        <v/>
      </c>
      <c r="V756" s="1" t="str">
        <f>_xlfn.XLOOKUP(C756,Payers!$A$2:$A$9,Payers!$B$2:$B$9)</f>
        <v>Coastal Medicaid MCO</v>
      </c>
      <c r="W756" s="1" t="str">
        <f t="shared" si="47"/>
        <v>2026-07</v>
      </c>
    </row>
    <row r="757" spans="1:23">
      <c r="A757" s="1" t="s">
        <v>1492</v>
      </c>
      <c r="B757" s="1" t="s">
        <v>1493</v>
      </c>
      <c r="C757" s="1" t="s">
        <v>79</v>
      </c>
      <c r="D757" s="1" t="s">
        <v>26</v>
      </c>
      <c r="E757" s="1" t="s">
        <v>113</v>
      </c>
      <c r="F757">
        <v>1</v>
      </c>
      <c r="G757" s="2">
        <v>46177</v>
      </c>
      <c r="H757" s="2">
        <v>46179</v>
      </c>
      <c r="I757">
        <v>1060.25</v>
      </c>
      <c r="J757">
        <v>1060.25</v>
      </c>
      <c r="K757">
        <v>1060.25</v>
      </c>
      <c r="L757">
        <v>0</v>
      </c>
      <c r="M757" s="1" t="s">
        <v>21</v>
      </c>
      <c r="N757" s="1" t="s">
        <v>22</v>
      </c>
      <c r="O757" s="2">
        <v>46188</v>
      </c>
      <c r="P757" s="2">
        <v>46188</v>
      </c>
      <c r="Q757">
        <f>_xlfn.XLOOKUP(E757,CPT!$A$2:$A$13,CPT!$D$2:$D$13)</f>
        <v>1050</v>
      </c>
      <c r="R757" s="1">
        <f>_xlfn.XLOOKUP(C757,Contract!$A$2:$A$9,Contract!$B$2:$B$9)</f>
        <v>1</v>
      </c>
      <c r="S757" s="1">
        <f t="shared" si="44"/>
        <v>1050</v>
      </c>
      <c r="T757" s="1">
        <f t="shared" si="45"/>
        <v>-10.25</v>
      </c>
      <c r="U757" s="1" t="str">
        <f t="shared" si="46"/>
        <v>OK</v>
      </c>
      <c r="V757" s="1" t="str">
        <f>_xlfn.XLOOKUP(C757,Payers!$A$2:$A$9,Payers!$B$2:$B$9)</f>
        <v>Self-Pay</v>
      </c>
      <c r="W757" s="1" t="str">
        <f t="shared" si="47"/>
        <v>2026-06</v>
      </c>
    </row>
    <row r="758" spans="1:23">
      <c r="A758" s="1" t="s">
        <v>1494</v>
      </c>
      <c r="B758" s="1" t="s">
        <v>1495</v>
      </c>
      <c r="C758" s="1" t="s">
        <v>52</v>
      </c>
      <c r="D758" s="1" t="s">
        <v>37</v>
      </c>
      <c r="E758" s="1" t="s">
        <v>38</v>
      </c>
      <c r="F758">
        <v>10</v>
      </c>
      <c r="G758" s="2">
        <v>45945</v>
      </c>
      <c r="H758" s="2">
        <v>45947</v>
      </c>
      <c r="I758">
        <v>14873.23</v>
      </c>
      <c r="J758">
        <v>6547.38</v>
      </c>
      <c r="K758">
        <v>6547.38</v>
      </c>
      <c r="L758">
        <v>0</v>
      </c>
      <c r="M758" s="1" t="s">
        <v>21</v>
      </c>
      <c r="N758" s="1" t="s">
        <v>22</v>
      </c>
      <c r="O758" s="2">
        <v>45988</v>
      </c>
      <c r="P758" s="2">
        <v>45988</v>
      </c>
      <c r="Q758">
        <f>_xlfn.XLOOKUP(E758,CPT!$A$2:$A$13,CPT!$D$2:$D$13)</f>
        <v>1450</v>
      </c>
      <c r="R758" s="1">
        <f>_xlfn.XLOOKUP(C758,Contract!$A$2:$A$9,Contract!$B$2:$B$9)</f>
        <v>0.47</v>
      </c>
      <c r="S758" s="1">
        <f t="shared" si="44"/>
        <v>6815</v>
      </c>
      <c r="T758" s="1">
        <f t="shared" si="45"/>
        <v>267.61999999999989</v>
      </c>
      <c r="U758" s="1" t="str">
        <f t="shared" si="46"/>
        <v>OK</v>
      </c>
      <c r="V758" s="1" t="str">
        <f>_xlfn.XLOOKUP(C758,Payers!$A$2:$A$9,Payers!$B$2:$B$9)</f>
        <v>Keystone Commercial PPO</v>
      </c>
      <c r="W758" s="1" t="str">
        <f t="shared" si="47"/>
        <v>2025-10</v>
      </c>
    </row>
    <row r="759" spans="1:23">
      <c r="A759" s="1" t="s">
        <v>1496</v>
      </c>
      <c r="B759" s="1" t="s">
        <v>1497</v>
      </c>
      <c r="C759" s="1" t="s">
        <v>25</v>
      </c>
      <c r="D759" s="1" t="s">
        <v>26</v>
      </c>
      <c r="E759" s="1" t="s">
        <v>27</v>
      </c>
      <c r="F759">
        <v>1</v>
      </c>
      <c r="G759" s="2">
        <v>46182</v>
      </c>
      <c r="H759" s="2">
        <v>46187</v>
      </c>
      <c r="I759">
        <v>234.1</v>
      </c>
      <c r="J759">
        <v>95.6</v>
      </c>
      <c r="K759">
        <v>95.6</v>
      </c>
      <c r="L759">
        <v>0</v>
      </c>
      <c r="M759" s="1" t="s">
        <v>21</v>
      </c>
      <c r="N759" s="1" t="s">
        <v>22</v>
      </c>
      <c r="O759" s="2">
        <v>46197</v>
      </c>
      <c r="P759" s="2">
        <v>46197</v>
      </c>
      <c r="Q759">
        <f>_xlfn.XLOOKUP(E759,CPT!$A$2:$A$13,CPT!$D$2:$D$13)</f>
        <v>240</v>
      </c>
      <c r="R759" s="1">
        <f>_xlfn.XLOOKUP(C759,Contract!$A$2:$A$9,Contract!$B$2:$B$9)</f>
        <v>0.36</v>
      </c>
      <c r="S759" s="1">
        <f t="shared" si="44"/>
        <v>86.4</v>
      </c>
      <c r="T759" s="1">
        <f t="shared" si="45"/>
        <v>-9.1999999999999886</v>
      </c>
      <c r="U759" s="1" t="str">
        <f t="shared" si="46"/>
        <v>OK</v>
      </c>
      <c r="V759" s="1" t="str">
        <f>_xlfn.XLOOKUP(C759,Payers!$A$2:$A$9,Payers!$B$2:$B$9)</f>
        <v>Medicare Part B</v>
      </c>
      <c r="W759" s="1" t="str">
        <f t="shared" si="47"/>
        <v>2026-06</v>
      </c>
    </row>
    <row r="760" spans="1:23">
      <c r="A760" s="1" t="s">
        <v>1498</v>
      </c>
      <c r="B760" s="1" t="s">
        <v>1499</v>
      </c>
      <c r="C760" s="1" t="s">
        <v>25</v>
      </c>
      <c r="D760" s="1" t="s">
        <v>19</v>
      </c>
      <c r="E760" s="1" t="s">
        <v>41</v>
      </c>
      <c r="F760">
        <v>1</v>
      </c>
      <c r="G760" s="2">
        <v>46218</v>
      </c>
      <c r="H760" s="2">
        <v>46221</v>
      </c>
      <c r="I760">
        <v>39.06</v>
      </c>
      <c r="J760">
        <v>13.01</v>
      </c>
      <c r="K760">
        <v>11.71</v>
      </c>
      <c r="L760">
        <v>1.3</v>
      </c>
      <c r="M760" s="1" t="s">
        <v>21</v>
      </c>
      <c r="N760" s="1" t="s">
        <v>22</v>
      </c>
      <c r="O760" s="2">
        <v>46238</v>
      </c>
      <c r="P760" s="2">
        <v>46238</v>
      </c>
      <c r="Q760">
        <f>_xlfn.XLOOKUP(E760,CPT!$A$2:$A$13,CPT!$D$2:$D$13)</f>
        <v>38</v>
      </c>
      <c r="R760" s="1">
        <f>_xlfn.XLOOKUP(C760,Contract!$A$2:$A$9,Contract!$B$2:$B$9)</f>
        <v>0.36</v>
      </c>
      <c r="S760" s="1">
        <f t="shared" si="44"/>
        <v>13.68</v>
      </c>
      <c r="T760" s="1">
        <f t="shared" si="45"/>
        <v>0.66999999999999993</v>
      </c>
      <c r="U760" s="1" t="str">
        <f t="shared" si="46"/>
        <v>OK</v>
      </c>
      <c r="V760" s="1" t="str">
        <f>_xlfn.XLOOKUP(C760,Payers!$A$2:$A$9,Payers!$B$2:$B$9)</f>
        <v>Medicare Part B</v>
      </c>
      <c r="W760" s="1" t="str">
        <f t="shared" si="47"/>
        <v>2026-07</v>
      </c>
    </row>
    <row r="761" spans="1:23">
      <c r="A761" s="1" t="s">
        <v>1500</v>
      </c>
      <c r="B761" s="1" t="s">
        <v>1501</v>
      </c>
      <c r="C761" s="1" t="s">
        <v>18</v>
      </c>
      <c r="D761" s="1" t="s">
        <v>19</v>
      </c>
      <c r="E761" s="1" t="s">
        <v>57</v>
      </c>
      <c r="F761">
        <v>1</v>
      </c>
      <c r="G761" s="2">
        <v>45990</v>
      </c>
      <c r="H761" s="2">
        <v>45991</v>
      </c>
      <c r="I761">
        <v>210.92</v>
      </c>
      <c r="J761">
        <v>77.67</v>
      </c>
      <c r="K761">
        <v>77.67</v>
      </c>
      <c r="L761">
        <v>0</v>
      </c>
      <c r="M761" s="1" t="s">
        <v>21</v>
      </c>
      <c r="N761" s="1" t="s">
        <v>22</v>
      </c>
      <c r="O761" s="2">
        <v>46050</v>
      </c>
      <c r="P761" s="2">
        <v>46050</v>
      </c>
      <c r="Q761">
        <f>_xlfn.XLOOKUP(E761,CPT!$A$2:$A$13,CPT!$D$2:$D$13)</f>
        <v>210</v>
      </c>
      <c r="R761" s="1">
        <f>_xlfn.XLOOKUP(C761,Contract!$A$2:$A$9,Contract!$B$2:$B$9)</f>
        <v>0.38</v>
      </c>
      <c r="S761" s="1">
        <f t="shared" si="44"/>
        <v>79.8</v>
      </c>
      <c r="T761" s="1">
        <f t="shared" si="45"/>
        <v>2.1299999999999955</v>
      </c>
      <c r="U761" s="1" t="str">
        <f t="shared" si="46"/>
        <v>OK</v>
      </c>
      <c r="V761" s="1" t="str">
        <f>_xlfn.XLOOKUP(C761,Payers!$A$2:$A$9,Payers!$B$2:$B$9)</f>
        <v>Sunshine Medicare Advantage</v>
      </c>
      <c r="W761" s="1" t="str">
        <f t="shared" si="47"/>
        <v>2025-11</v>
      </c>
    </row>
    <row r="762" spans="1:23">
      <c r="A762" s="1" t="s">
        <v>1502</v>
      </c>
      <c r="B762" s="1" t="s">
        <v>1503</v>
      </c>
      <c r="C762" s="1" t="s">
        <v>60</v>
      </c>
      <c r="D762" s="1" t="s">
        <v>26</v>
      </c>
      <c r="E762" s="1" t="s">
        <v>27</v>
      </c>
      <c r="F762">
        <v>1</v>
      </c>
      <c r="G762" s="2">
        <v>46129</v>
      </c>
      <c r="H762" s="2">
        <v>46131</v>
      </c>
      <c r="I762">
        <v>246.91</v>
      </c>
      <c r="J762">
        <v>117.31</v>
      </c>
      <c r="K762">
        <v>117.31</v>
      </c>
      <c r="L762">
        <v>0</v>
      </c>
      <c r="M762" s="1" t="s">
        <v>21</v>
      </c>
      <c r="N762" s="1" t="s">
        <v>22</v>
      </c>
      <c r="O762" s="2">
        <v>46161</v>
      </c>
      <c r="P762" s="2">
        <v>46161</v>
      </c>
      <c r="Q762">
        <f>_xlfn.XLOOKUP(E762,CPT!$A$2:$A$13,CPT!$D$2:$D$13)</f>
        <v>240</v>
      </c>
      <c r="R762" s="1">
        <f>_xlfn.XLOOKUP(C762,Contract!$A$2:$A$9,Contract!$B$2:$B$9)</f>
        <v>0.45</v>
      </c>
      <c r="S762" s="1">
        <f t="shared" si="44"/>
        <v>108</v>
      </c>
      <c r="T762" s="1">
        <f t="shared" si="45"/>
        <v>-9.3100000000000023</v>
      </c>
      <c r="U762" s="1" t="str">
        <f t="shared" si="46"/>
        <v>OK</v>
      </c>
      <c r="V762" s="1" t="str">
        <f>_xlfn.XLOOKUP(C762,Payers!$A$2:$A$9,Payers!$B$2:$B$9)</f>
        <v>Blue Horizon Commercial</v>
      </c>
      <c r="W762" s="1" t="str">
        <f t="shared" si="47"/>
        <v>2026-04</v>
      </c>
    </row>
    <row r="763" spans="1:23">
      <c r="A763" s="1" t="s">
        <v>1504</v>
      </c>
      <c r="B763" s="1" t="s">
        <v>1505</v>
      </c>
      <c r="C763" s="1" t="s">
        <v>76</v>
      </c>
      <c r="D763" s="1" t="s">
        <v>19</v>
      </c>
      <c r="E763" s="1" t="s">
        <v>41</v>
      </c>
      <c r="F763">
        <v>1</v>
      </c>
      <c r="G763" s="2">
        <v>46082</v>
      </c>
      <c r="H763" s="2">
        <v>46085</v>
      </c>
      <c r="I763">
        <v>38.770000000000003</v>
      </c>
      <c r="J763">
        <v>17.100000000000001</v>
      </c>
      <c r="K763">
        <v>17.100000000000001</v>
      </c>
      <c r="L763">
        <v>0</v>
      </c>
      <c r="M763" s="1" t="s">
        <v>21</v>
      </c>
      <c r="N763" s="1" t="s">
        <v>22</v>
      </c>
      <c r="O763" s="2">
        <v>46105</v>
      </c>
      <c r="P763" s="2">
        <v>46105</v>
      </c>
      <c r="Q763">
        <f>_xlfn.XLOOKUP(E763,CPT!$A$2:$A$13,CPT!$D$2:$D$13)</f>
        <v>38</v>
      </c>
      <c r="R763" s="1">
        <f>_xlfn.XLOOKUP(C763,Contract!$A$2:$A$9,Contract!$B$2:$B$9)</f>
        <v>0.43</v>
      </c>
      <c r="S763" s="1">
        <f t="shared" si="44"/>
        <v>16.34</v>
      </c>
      <c r="T763" s="1">
        <f t="shared" si="45"/>
        <v>-0.76000000000000156</v>
      </c>
      <c r="U763" s="1" t="str">
        <f t="shared" si="46"/>
        <v>OK</v>
      </c>
      <c r="V763" s="1" t="str">
        <f>_xlfn.XLOOKUP(C763,Payers!$A$2:$A$9,Payers!$B$2:$B$9)</f>
        <v>Summit Health Commercial</v>
      </c>
      <c r="W763" s="1" t="str">
        <f t="shared" si="47"/>
        <v>2026-03</v>
      </c>
    </row>
    <row r="764" spans="1:23">
      <c r="A764" s="1" t="s">
        <v>1506</v>
      </c>
      <c r="B764" s="1" t="s">
        <v>1507</v>
      </c>
      <c r="C764" s="1" t="s">
        <v>60</v>
      </c>
      <c r="D764" s="1" t="s">
        <v>37</v>
      </c>
      <c r="E764" s="1" t="s">
        <v>57</v>
      </c>
      <c r="F764">
        <v>1</v>
      </c>
      <c r="G764" s="2">
        <v>46094</v>
      </c>
      <c r="H764" s="2">
        <v>46113</v>
      </c>
      <c r="I764">
        <v>207.59</v>
      </c>
      <c r="J764">
        <v>107.86</v>
      </c>
      <c r="K764">
        <v>107.86</v>
      </c>
      <c r="L764">
        <v>0</v>
      </c>
      <c r="M764" s="1" t="s">
        <v>21</v>
      </c>
      <c r="N764" s="1" t="s">
        <v>22</v>
      </c>
      <c r="O764" s="2">
        <v>46138</v>
      </c>
      <c r="P764" s="2">
        <v>46138</v>
      </c>
      <c r="Q764">
        <f>_xlfn.XLOOKUP(E764,CPT!$A$2:$A$13,CPT!$D$2:$D$13)</f>
        <v>210</v>
      </c>
      <c r="R764" s="1">
        <f>_xlfn.XLOOKUP(C764,Contract!$A$2:$A$9,Contract!$B$2:$B$9)</f>
        <v>0.45</v>
      </c>
      <c r="S764" s="1">
        <f t="shared" si="44"/>
        <v>94.5</v>
      </c>
      <c r="T764" s="1">
        <f t="shared" si="45"/>
        <v>-13.36</v>
      </c>
      <c r="U764" s="1" t="str">
        <f t="shared" si="46"/>
        <v>OK</v>
      </c>
      <c r="V764" s="1" t="str">
        <f>_xlfn.XLOOKUP(C764,Payers!$A$2:$A$9,Payers!$B$2:$B$9)</f>
        <v>Blue Horizon Commercial</v>
      </c>
      <c r="W764" s="1" t="str">
        <f t="shared" si="47"/>
        <v>2026-03</v>
      </c>
    </row>
    <row r="765" spans="1:23">
      <c r="A765" s="1" t="s">
        <v>1508</v>
      </c>
      <c r="B765" s="1" t="s">
        <v>1297</v>
      </c>
      <c r="C765" s="1" t="s">
        <v>60</v>
      </c>
      <c r="D765" s="1" t="s">
        <v>26</v>
      </c>
      <c r="E765" s="1" t="s">
        <v>113</v>
      </c>
      <c r="F765">
        <v>1</v>
      </c>
      <c r="G765" s="2">
        <v>46101</v>
      </c>
      <c r="H765" s="2">
        <v>46107</v>
      </c>
      <c r="I765">
        <v>1028.1199999999999</v>
      </c>
      <c r="J765">
        <v>525.17999999999995</v>
      </c>
      <c r="K765">
        <v>525.17999999999995</v>
      </c>
      <c r="L765">
        <v>0</v>
      </c>
      <c r="M765" s="1" t="s">
        <v>21</v>
      </c>
      <c r="N765" s="1" t="s">
        <v>22</v>
      </c>
      <c r="O765" s="2">
        <v>46125</v>
      </c>
      <c r="P765" s="2">
        <v>46125</v>
      </c>
      <c r="Q765">
        <f>_xlfn.XLOOKUP(E765,CPT!$A$2:$A$13,CPT!$D$2:$D$13)</f>
        <v>1050</v>
      </c>
      <c r="R765" s="1">
        <f>_xlfn.XLOOKUP(C765,Contract!$A$2:$A$9,Contract!$B$2:$B$9)</f>
        <v>0.45</v>
      </c>
      <c r="S765" s="1">
        <f t="shared" si="44"/>
        <v>472.5</v>
      </c>
      <c r="T765" s="1">
        <f t="shared" si="45"/>
        <v>-52.67999999999995</v>
      </c>
      <c r="U765" s="1" t="str">
        <f t="shared" si="46"/>
        <v>OK</v>
      </c>
      <c r="V765" s="1" t="str">
        <f>_xlfn.XLOOKUP(C765,Payers!$A$2:$A$9,Payers!$B$2:$B$9)</f>
        <v>Blue Horizon Commercial</v>
      </c>
      <c r="W765" s="1" t="str">
        <f t="shared" si="47"/>
        <v>2026-03</v>
      </c>
    </row>
    <row r="766" spans="1:23">
      <c r="A766" s="1" t="s">
        <v>1509</v>
      </c>
      <c r="B766" s="1" t="s">
        <v>484</v>
      </c>
      <c r="C766" s="1" t="s">
        <v>36</v>
      </c>
      <c r="D766" s="1" t="s">
        <v>37</v>
      </c>
      <c r="E766" s="1" t="s">
        <v>38</v>
      </c>
      <c r="F766">
        <v>20</v>
      </c>
      <c r="G766" s="2">
        <v>46131</v>
      </c>
      <c r="H766" s="2">
        <v>46136</v>
      </c>
      <c r="I766">
        <v>29842.84</v>
      </c>
      <c r="J766">
        <v>9288.56</v>
      </c>
      <c r="K766">
        <v>7430.85</v>
      </c>
      <c r="L766">
        <v>1857.71</v>
      </c>
      <c r="M766" s="1" t="s">
        <v>21</v>
      </c>
      <c r="N766" s="1" t="s">
        <v>22</v>
      </c>
      <c r="O766" s="2">
        <v>46165</v>
      </c>
      <c r="P766" s="2">
        <v>46165</v>
      </c>
      <c r="Q766">
        <f>_xlfn.XLOOKUP(E766,CPT!$A$2:$A$13,CPT!$D$2:$D$13)</f>
        <v>1450</v>
      </c>
      <c r="R766" s="1">
        <f>_xlfn.XLOOKUP(C766,Contract!$A$2:$A$9,Contract!$B$2:$B$9)</f>
        <v>0.27</v>
      </c>
      <c r="S766" s="1">
        <f t="shared" si="44"/>
        <v>7830</v>
      </c>
      <c r="T766" s="1">
        <f t="shared" si="45"/>
        <v>-1458.5599999999995</v>
      </c>
      <c r="U766" s="1" t="str">
        <f t="shared" si="46"/>
        <v>OK</v>
      </c>
      <c r="V766" s="1" t="str">
        <f>_xlfn.XLOOKUP(C766,Payers!$A$2:$A$9,Payers!$B$2:$B$9)</f>
        <v>Florida Medicaid</v>
      </c>
      <c r="W766" s="1" t="str">
        <f t="shared" si="47"/>
        <v>2026-04</v>
      </c>
    </row>
    <row r="767" spans="1:23">
      <c r="A767" s="1" t="s">
        <v>1510</v>
      </c>
      <c r="B767" s="1" t="s">
        <v>1511</v>
      </c>
      <c r="C767" s="1" t="s">
        <v>60</v>
      </c>
      <c r="D767" s="1" t="s">
        <v>37</v>
      </c>
      <c r="E767" s="1" t="s">
        <v>48</v>
      </c>
      <c r="F767">
        <v>1</v>
      </c>
      <c r="G767" s="2">
        <v>46075</v>
      </c>
      <c r="H767" s="2">
        <v>46086</v>
      </c>
      <c r="I767">
        <v>414.52</v>
      </c>
      <c r="J767">
        <v>189.32</v>
      </c>
      <c r="K767">
        <v>189.32</v>
      </c>
      <c r="L767">
        <v>0</v>
      </c>
      <c r="M767" s="1" t="s">
        <v>21</v>
      </c>
      <c r="N767" s="1" t="s">
        <v>22</v>
      </c>
      <c r="O767" s="2">
        <v>46111</v>
      </c>
      <c r="P767" s="2">
        <v>46111</v>
      </c>
      <c r="Q767">
        <f>_xlfn.XLOOKUP(E767,CPT!$A$2:$A$13,CPT!$D$2:$D$13)</f>
        <v>420</v>
      </c>
      <c r="R767" s="1">
        <f>_xlfn.XLOOKUP(C767,Contract!$A$2:$A$9,Contract!$B$2:$B$9)</f>
        <v>0.45</v>
      </c>
      <c r="S767" s="1">
        <f t="shared" si="44"/>
        <v>189</v>
      </c>
      <c r="T767" s="1">
        <f t="shared" si="45"/>
        <v>-0.31999999999999318</v>
      </c>
      <c r="U767" s="1" t="str">
        <f t="shared" si="46"/>
        <v>OK</v>
      </c>
      <c r="V767" s="1" t="str">
        <f>_xlfn.XLOOKUP(C767,Payers!$A$2:$A$9,Payers!$B$2:$B$9)</f>
        <v>Blue Horizon Commercial</v>
      </c>
      <c r="W767" s="1" t="str">
        <f t="shared" si="47"/>
        <v>2026-02</v>
      </c>
    </row>
    <row r="768" spans="1:23">
      <c r="A768" s="1" t="s">
        <v>1512</v>
      </c>
      <c r="B768" s="1" t="s">
        <v>1513</v>
      </c>
      <c r="C768" s="1" t="s">
        <v>25</v>
      </c>
      <c r="D768" s="1" t="s">
        <v>26</v>
      </c>
      <c r="E768" s="1" t="s">
        <v>44</v>
      </c>
      <c r="F768">
        <v>1</v>
      </c>
      <c r="G768" s="2">
        <v>45958</v>
      </c>
      <c r="H768" s="2">
        <v>45963</v>
      </c>
      <c r="I768">
        <v>4900.75</v>
      </c>
      <c r="J768">
        <v>1579.68</v>
      </c>
      <c r="K768">
        <v>1421.71</v>
      </c>
      <c r="L768">
        <v>157.97</v>
      </c>
      <c r="M768" s="1" t="s">
        <v>21</v>
      </c>
      <c r="N768" s="1" t="s">
        <v>22</v>
      </c>
      <c r="O768" s="2">
        <v>45986</v>
      </c>
      <c r="P768" s="2">
        <v>45986</v>
      </c>
      <c r="Q768">
        <f>_xlfn.XLOOKUP(E768,CPT!$A$2:$A$13,CPT!$D$2:$D$13)</f>
        <v>4800</v>
      </c>
      <c r="R768" s="1">
        <f>_xlfn.XLOOKUP(C768,Contract!$A$2:$A$9,Contract!$B$2:$B$9)</f>
        <v>0.36</v>
      </c>
      <c r="S768" s="1">
        <f t="shared" si="44"/>
        <v>1728</v>
      </c>
      <c r="T768" s="1">
        <f t="shared" si="45"/>
        <v>148.31999999999994</v>
      </c>
      <c r="U768" s="1" t="str">
        <f t="shared" si="46"/>
        <v>Underpaid</v>
      </c>
      <c r="V768" s="1" t="str">
        <f>_xlfn.XLOOKUP(C768,Payers!$A$2:$A$9,Payers!$B$2:$B$9)</f>
        <v>Medicare Part B</v>
      </c>
      <c r="W768" s="1" t="str">
        <f t="shared" si="47"/>
        <v>2025-10</v>
      </c>
    </row>
    <row r="769" spans="1:23">
      <c r="A769" s="1" t="s">
        <v>1514</v>
      </c>
      <c r="B769" s="1" t="s">
        <v>1515</v>
      </c>
      <c r="C769" s="1" t="s">
        <v>18</v>
      </c>
      <c r="D769" s="1" t="s">
        <v>26</v>
      </c>
      <c r="E769" s="1" t="s">
        <v>44</v>
      </c>
      <c r="F769">
        <v>1</v>
      </c>
      <c r="G769" s="2">
        <v>46264</v>
      </c>
      <c r="H769" s="2">
        <v>46270</v>
      </c>
      <c r="I769">
        <v>4658.63</v>
      </c>
      <c r="M769" s="1" t="s">
        <v>69</v>
      </c>
      <c r="N769" s="1" t="s">
        <v>22</v>
      </c>
      <c r="O769" s="2"/>
      <c r="P769" s="2"/>
      <c r="Q769">
        <f>_xlfn.XLOOKUP(E769,CPT!$A$2:$A$13,CPT!$D$2:$D$13)</f>
        <v>4800</v>
      </c>
      <c r="R769" s="1">
        <f>_xlfn.XLOOKUP(C769,Contract!$A$2:$A$9,Contract!$B$2:$B$9)</f>
        <v>0.38</v>
      </c>
      <c r="S769" s="1">
        <f t="shared" si="44"/>
        <v>1824</v>
      </c>
      <c r="T769" s="1" t="str">
        <f t="shared" si="45"/>
        <v/>
      </c>
      <c r="U769" s="1" t="str">
        <f t="shared" si="46"/>
        <v/>
      </c>
      <c r="V769" s="1" t="str">
        <f>_xlfn.XLOOKUP(C769,Payers!$A$2:$A$9,Payers!$B$2:$B$9)</f>
        <v>Sunshine Medicare Advantage</v>
      </c>
      <c r="W769" s="1" t="str">
        <f t="shared" si="47"/>
        <v>2026-08</v>
      </c>
    </row>
    <row r="770" spans="1:23">
      <c r="A770" s="1" t="s">
        <v>1516</v>
      </c>
      <c r="B770" s="1" t="s">
        <v>1517</v>
      </c>
      <c r="C770" s="1" t="s">
        <v>18</v>
      </c>
      <c r="D770" s="1" t="s">
        <v>19</v>
      </c>
      <c r="E770" s="1" t="s">
        <v>41</v>
      </c>
      <c r="F770">
        <v>1</v>
      </c>
      <c r="G770" s="2">
        <v>46017</v>
      </c>
      <c r="H770" s="2">
        <v>46018</v>
      </c>
      <c r="I770">
        <v>38.97</v>
      </c>
      <c r="J770">
        <v>13.42</v>
      </c>
      <c r="K770">
        <v>12.08</v>
      </c>
      <c r="L770">
        <v>1.34</v>
      </c>
      <c r="M770" s="1" t="s">
        <v>21</v>
      </c>
      <c r="N770" s="1" t="s">
        <v>22</v>
      </c>
      <c r="O770" s="2">
        <v>46111</v>
      </c>
      <c r="P770" s="2">
        <v>46111</v>
      </c>
      <c r="Q770">
        <f>_xlfn.XLOOKUP(E770,CPT!$A$2:$A$13,CPT!$D$2:$D$13)</f>
        <v>38</v>
      </c>
      <c r="R770" s="1">
        <f>_xlfn.XLOOKUP(C770,Contract!$A$2:$A$9,Contract!$B$2:$B$9)</f>
        <v>0.38</v>
      </c>
      <c r="S770" s="1">
        <f t="shared" ref="S770:S833" si="48">ROUND(Q770*F770*R770,2)</f>
        <v>14.44</v>
      </c>
      <c r="T770" s="1">
        <f t="shared" ref="T770:T833" si="49">IF(M770="Paid",S770-J770,"")</f>
        <v>1.0199999999999996</v>
      </c>
      <c r="U770" s="1" t="str">
        <f t="shared" ref="U770:U833" si="50">IF(M770&lt;&gt;"Paid","",IF(T770&gt;S770*0.05,"Underpaid","OK"))</f>
        <v>Underpaid</v>
      </c>
      <c r="V770" s="1" t="str">
        <f>_xlfn.XLOOKUP(C770,Payers!$A$2:$A$9,Payers!$B$2:$B$9)</f>
        <v>Sunshine Medicare Advantage</v>
      </c>
      <c r="W770" s="1" t="str">
        <f t="shared" ref="W770:W833" si="51">TEXT(G770,"yyyy-mm")</f>
        <v>2025-12</v>
      </c>
    </row>
    <row r="771" spans="1:23">
      <c r="A771" s="1" t="s">
        <v>1518</v>
      </c>
      <c r="B771" s="1" t="s">
        <v>1519</v>
      </c>
      <c r="C771" s="1" t="s">
        <v>25</v>
      </c>
      <c r="D771" s="1" t="s">
        <v>19</v>
      </c>
      <c r="E771" s="1" t="s">
        <v>57</v>
      </c>
      <c r="F771">
        <v>1</v>
      </c>
      <c r="G771" s="2">
        <v>46137</v>
      </c>
      <c r="H771" s="2">
        <v>46138</v>
      </c>
      <c r="I771">
        <v>206.79</v>
      </c>
      <c r="J771">
        <v>69.87</v>
      </c>
      <c r="K771">
        <v>69.87</v>
      </c>
      <c r="L771">
        <v>0</v>
      </c>
      <c r="M771" s="1" t="s">
        <v>21</v>
      </c>
      <c r="N771" s="1" t="s">
        <v>22</v>
      </c>
      <c r="O771" s="2">
        <v>46160</v>
      </c>
      <c r="P771" s="2">
        <v>46160</v>
      </c>
      <c r="Q771">
        <f>_xlfn.XLOOKUP(E771,CPT!$A$2:$A$13,CPT!$D$2:$D$13)</f>
        <v>210</v>
      </c>
      <c r="R771" s="1">
        <f>_xlfn.XLOOKUP(C771,Contract!$A$2:$A$9,Contract!$B$2:$B$9)</f>
        <v>0.36</v>
      </c>
      <c r="S771" s="1">
        <f t="shared" si="48"/>
        <v>75.599999999999994</v>
      </c>
      <c r="T771" s="1">
        <f t="shared" si="49"/>
        <v>5.7299999999999898</v>
      </c>
      <c r="U771" s="1" t="str">
        <f t="shared" si="50"/>
        <v>Underpaid</v>
      </c>
      <c r="V771" s="1" t="str">
        <f>_xlfn.XLOOKUP(C771,Payers!$A$2:$A$9,Payers!$B$2:$B$9)</f>
        <v>Medicare Part B</v>
      </c>
      <c r="W771" s="1" t="str">
        <f t="shared" si="51"/>
        <v>2026-04</v>
      </c>
    </row>
    <row r="772" spans="1:23">
      <c r="A772" s="1" t="s">
        <v>1520</v>
      </c>
      <c r="B772" s="1" t="s">
        <v>1521</v>
      </c>
      <c r="C772" s="1" t="s">
        <v>79</v>
      </c>
      <c r="D772" s="1" t="s">
        <v>37</v>
      </c>
      <c r="E772" s="1" t="s">
        <v>57</v>
      </c>
      <c r="F772">
        <v>1</v>
      </c>
      <c r="G772" s="2">
        <v>46274</v>
      </c>
      <c r="H772" s="2">
        <v>46281</v>
      </c>
      <c r="I772">
        <v>212</v>
      </c>
      <c r="M772" s="1" t="s">
        <v>69</v>
      </c>
      <c r="N772" s="1" t="s">
        <v>22</v>
      </c>
      <c r="O772" s="2"/>
      <c r="P772" s="2"/>
      <c r="Q772">
        <f>_xlfn.XLOOKUP(E772,CPT!$A$2:$A$13,CPT!$D$2:$D$13)</f>
        <v>210</v>
      </c>
      <c r="R772" s="1">
        <f>_xlfn.XLOOKUP(C772,Contract!$A$2:$A$9,Contract!$B$2:$B$9)</f>
        <v>1</v>
      </c>
      <c r="S772" s="1">
        <f t="shared" si="48"/>
        <v>210</v>
      </c>
      <c r="T772" s="1" t="str">
        <f t="shared" si="49"/>
        <v/>
      </c>
      <c r="U772" s="1" t="str">
        <f t="shared" si="50"/>
        <v/>
      </c>
      <c r="V772" s="1" t="str">
        <f>_xlfn.XLOOKUP(C772,Payers!$A$2:$A$9,Payers!$B$2:$B$9)</f>
        <v>Self-Pay</v>
      </c>
      <c r="W772" s="1" t="str">
        <f t="shared" si="51"/>
        <v>2026-09</v>
      </c>
    </row>
    <row r="773" spans="1:23">
      <c r="A773" s="1" t="s">
        <v>1522</v>
      </c>
      <c r="B773" s="1" t="s">
        <v>1523</v>
      </c>
      <c r="C773" s="1" t="s">
        <v>60</v>
      </c>
      <c r="D773" s="1" t="s">
        <v>19</v>
      </c>
      <c r="E773" s="1" t="s">
        <v>20</v>
      </c>
      <c r="F773">
        <v>1</v>
      </c>
      <c r="G773" s="2">
        <v>45973</v>
      </c>
      <c r="H773" s="2">
        <v>45978</v>
      </c>
      <c r="I773">
        <v>141.71</v>
      </c>
      <c r="J773">
        <v>58.31</v>
      </c>
      <c r="K773">
        <v>46.65</v>
      </c>
      <c r="L773">
        <v>11.66</v>
      </c>
      <c r="M773" s="1" t="s">
        <v>21</v>
      </c>
      <c r="N773" s="1" t="s">
        <v>22</v>
      </c>
      <c r="O773" s="2">
        <v>46000</v>
      </c>
      <c r="P773" s="2">
        <v>46000</v>
      </c>
      <c r="Q773">
        <f>_xlfn.XLOOKUP(E773,CPT!$A$2:$A$13,CPT!$D$2:$D$13)</f>
        <v>145</v>
      </c>
      <c r="R773" s="1">
        <f>_xlfn.XLOOKUP(C773,Contract!$A$2:$A$9,Contract!$B$2:$B$9)</f>
        <v>0.45</v>
      </c>
      <c r="S773" s="1">
        <f t="shared" si="48"/>
        <v>65.25</v>
      </c>
      <c r="T773" s="1">
        <f t="shared" si="49"/>
        <v>6.9399999999999977</v>
      </c>
      <c r="U773" s="1" t="str">
        <f t="shared" si="50"/>
        <v>Underpaid</v>
      </c>
      <c r="V773" s="1" t="str">
        <f>_xlfn.XLOOKUP(C773,Payers!$A$2:$A$9,Payers!$B$2:$B$9)</f>
        <v>Blue Horizon Commercial</v>
      </c>
      <c r="W773" s="1" t="str">
        <f t="shared" si="51"/>
        <v>2025-11</v>
      </c>
    </row>
    <row r="774" spans="1:23">
      <c r="A774" s="1" t="s">
        <v>1524</v>
      </c>
      <c r="B774" s="1" t="s">
        <v>1525</v>
      </c>
      <c r="C774" s="1" t="s">
        <v>36</v>
      </c>
      <c r="D774" s="1" t="s">
        <v>37</v>
      </c>
      <c r="E774" s="1" t="s">
        <v>38</v>
      </c>
      <c r="F774">
        <v>30</v>
      </c>
      <c r="G774" s="2">
        <v>46023</v>
      </c>
      <c r="H774" s="2">
        <v>46028</v>
      </c>
      <c r="I774">
        <v>43458.74</v>
      </c>
      <c r="J774">
        <v>11994.59</v>
      </c>
      <c r="K774">
        <v>11994.59</v>
      </c>
      <c r="L774">
        <v>0</v>
      </c>
      <c r="M774" s="1" t="s">
        <v>21</v>
      </c>
      <c r="N774" s="1" t="s">
        <v>22</v>
      </c>
      <c r="O774" s="2">
        <v>46071</v>
      </c>
      <c r="P774" s="2">
        <v>46071</v>
      </c>
      <c r="Q774">
        <f>_xlfn.XLOOKUP(E774,CPT!$A$2:$A$13,CPT!$D$2:$D$13)</f>
        <v>1450</v>
      </c>
      <c r="R774" s="1">
        <f>_xlfn.XLOOKUP(C774,Contract!$A$2:$A$9,Contract!$B$2:$B$9)</f>
        <v>0.27</v>
      </c>
      <c r="S774" s="1">
        <f t="shared" si="48"/>
        <v>11745</v>
      </c>
      <c r="T774" s="1">
        <f t="shared" si="49"/>
        <v>-249.59000000000015</v>
      </c>
      <c r="U774" s="1" t="str">
        <f t="shared" si="50"/>
        <v>OK</v>
      </c>
      <c r="V774" s="1" t="str">
        <f>_xlfn.XLOOKUP(C774,Payers!$A$2:$A$9,Payers!$B$2:$B$9)</f>
        <v>Florida Medicaid</v>
      </c>
      <c r="W774" s="1" t="str">
        <f t="shared" si="51"/>
        <v>2026-01</v>
      </c>
    </row>
    <row r="775" spans="1:23">
      <c r="A775" s="1" t="s">
        <v>1526</v>
      </c>
      <c r="B775" s="1" t="s">
        <v>1527</v>
      </c>
      <c r="C775" s="1" t="s">
        <v>76</v>
      </c>
      <c r="D775" s="1" t="s">
        <v>30</v>
      </c>
      <c r="E775" s="1" t="s">
        <v>31</v>
      </c>
      <c r="F775">
        <v>3</v>
      </c>
      <c r="G775" s="2">
        <v>46205</v>
      </c>
      <c r="H775" s="2">
        <v>46208</v>
      </c>
      <c r="I775">
        <v>185.87</v>
      </c>
      <c r="J775">
        <v>86.63</v>
      </c>
      <c r="K775">
        <v>86.63</v>
      </c>
      <c r="L775">
        <v>0</v>
      </c>
      <c r="M775" s="1" t="s">
        <v>21</v>
      </c>
      <c r="N775" s="1" t="s">
        <v>22</v>
      </c>
      <c r="O775" s="2">
        <v>46242</v>
      </c>
      <c r="P775" s="2">
        <v>46242</v>
      </c>
      <c r="Q775">
        <f>_xlfn.XLOOKUP(E775,CPT!$A$2:$A$13,CPT!$D$2:$D$13)</f>
        <v>62</v>
      </c>
      <c r="R775" s="1">
        <f>_xlfn.XLOOKUP(C775,Contract!$A$2:$A$9,Contract!$B$2:$B$9)</f>
        <v>0.43</v>
      </c>
      <c r="S775" s="1">
        <f t="shared" si="48"/>
        <v>79.98</v>
      </c>
      <c r="T775" s="1">
        <f t="shared" si="49"/>
        <v>-6.6499999999999915</v>
      </c>
      <c r="U775" s="1" t="str">
        <f t="shared" si="50"/>
        <v>OK</v>
      </c>
      <c r="V775" s="1" t="str">
        <f>_xlfn.XLOOKUP(C775,Payers!$A$2:$A$9,Payers!$B$2:$B$9)</f>
        <v>Summit Health Commercial</v>
      </c>
      <c r="W775" s="1" t="str">
        <f t="shared" si="51"/>
        <v>2026-07</v>
      </c>
    </row>
    <row r="776" spans="1:23">
      <c r="A776" s="1" t="s">
        <v>1528</v>
      </c>
      <c r="B776" s="1" t="s">
        <v>1519</v>
      </c>
      <c r="C776" s="1" t="s">
        <v>47</v>
      </c>
      <c r="D776" s="1" t="s">
        <v>37</v>
      </c>
      <c r="E776" s="1" t="s">
        <v>57</v>
      </c>
      <c r="F776">
        <v>1</v>
      </c>
      <c r="G776" s="2">
        <v>46023</v>
      </c>
      <c r="H776" s="2">
        <v>46028</v>
      </c>
      <c r="I776">
        <v>214.56</v>
      </c>
      <c r="M776" s="1" t="s">
        <v>32</v>
      </c>
      <c r="N776" s="1" t="s">
        <v>124</v>
      </c>
      <c r="O776" s="2">
        <v>46112</v>
      </c>
      <c r="P776" s="2"/>
      <c r="Q776">
        <f>_xlfn.XLOOKUP(E776,CPT!$A$2:$A$13,CPT!$D$2:$D$13)</f>
        <v>210</v>
      </c>
      <c r="R776" s="1">
        <f>_xlfn.XLOOKUP(C776,Contract!$A$2:$A$9,Contract!$B$2:$B$9)</f>
        <v>0.28000000000000003</v>
      </c>
      <c r="S776" s="1">
        <f t="shared" si="48"/>
        <v>58.8</v>
      </c>
      <c r="T776" s="1" t="str">
        <f t="shared" si="49"/>
        <v/>
      </c>
      <c r="U776" s="1" t="str">
        <f t="shared" si="50"/>
        <v/>
      </c>
      <c r="V776" s="1" t="str">
        <f>_xlfn.XLOOKUP(C776,Payers!$A$2:$A$9,Payers!$B$2:$B$9)</f>
        <v>Coastal Medicaid MCO</v>
      </c>
      <c r="W776" s="1" t="str">
        <f t="shared" si="51"/>
        <v>2026-01</v>
      </c>
    </row>
    <row r="777" spans="1:23">
      <c r="A777" s="1" t="s">
        <v>1529</v>
      </c>
      <c r="B777" s="1" t="s">
        <v>1341</v>
      </c>
      <c r="C777" s="1" t="s">
        <v>52</v>
      </c>
      <c r="D777" s="1" t="s">
        <v>26</v>
      </c>
      <c r="E777" s="1" t="s">
        <v>88</v>
      </c>
      <c r="F777">
        <v>1</v>
      </c>
      <c r="G777" s="2">
        <v>46117</v>
      </c>
      <c r="H777" s="2">
        <v>46118</v>
      </c>
      <c r="I777">
        <v>267.27</v>
      </c>
      <c r="J777">
        <v>132.5</v>
      </c>
      <c r="K777">
        <v>132.5</v>
      </c>
      <c r="L777">
        <v>0</v>
      </c>
      <c r="M777" s="1" t="s">
        <v>21</v>
      </c>
      <c r="N777" s="1" t="s">
        <v>22</v>
      </c>
      <c r="O777" s="2">
        <v>46167</v>
      </c>
      <c r="P777" s="2">
        <v>46167</v>
      </c>
      <c r="Q777">
        <f>_xlfn.XLOOKUP(E777,CPT!$A$2:$A$13,CPT!$D$2:$D$13)</f>
        <v>260</v>
      </c>
      <c r="R777" s="1">
        <f>_xlfn.XLOOKUP(C777,Contract!$A$2:$A$9,Contract!$B$2:$B$9)</f>
        <v>0.47</v>
      </c>
      <c r="S777" s="1">
        <f t="shared" si="48"/>
        <v>122.2</v>
      </c>
      <c r="T777" s="1">
        <f t="shared" si="49"/>
        <v>-10.299999999999997</v>
      </c>
      <c r="U777" s="1" t="str">
        <f t="shared" si="50"/>
        <v>OK</v>
      </c>
      <c r="V777" s="1" t="str">
        <f>_xlfn.XLOOKUP(C777,Payers!$A$2:$A$9,Payers!$B$2:$B$9)</f>
        <v>Keystone Commercial PPO</v>
      </c>
      <c r="W777" s="1" t="str">
        <f t="shared" si="51"/>
        <v>2026-04</v>
      </c>
    </row>
    <row r="778" spans="1:23">
      <c r="A778" s="1" t="s">
        <v>1530</v>
      </c>
      <c r="B778" s="1" t="s">
        <v>1531</v>
      </c>
      <c r="C778" s="1" t="s">
        <v>47</v>
      </c>
      <c r="D778" s="1" t="s">
        <v>26</v>
      </c>
      <c r="E778" s="1" t="s">
        <v>27</v>
      </c>
      <c r="F778">
        <v>1</v>
      </c>
      <c r="G778" s="2">
        <v>46081</v>
      </c>
      <c r="H778" s="2">
        <v>46084</v>
      </c>
      <c r="I778">
        <v>242.29</v>
      </c>
      <c r="J778">
        <v>71.7</v>
      </c>
      <c r="K778">
        <v>64.53</v>
      </c>
      <c r="L778">
        <v>7.17</v>
      </c>
      <c r="M778" s="1" t="s">
        <v>21</v>
      </c>
      <c r="N778" s="1" t="s">
        <v>22</v>
      </c>
      <c r="O778" s="2">
        <v>46092</v>
      </c>
      <c r="P778" s="2">
        <v>46092</v>
      </c>
      <c r="Q778">
        <f>_xlfn.XLOOKUP(E778,CPT!$A$2:$A$13,CPT!$D$2:$D$13)</f>
        <v>240</v>
      </c>
      <c r="R778" s="1">
        <f>_xlfn.XLOOKUP(C778,Contract!$A$2:$A$9,Contract!$B$2:$B$9)</f>
        <v>0.28000000000000003</v>
      </c>
      <c r="S778" s="1">
        <f t="shared" si="48"/>
        <v>67.2</v>
      </c>
      <c r="T778" s="1">
        <f t="shared" si="49"/>
        <v>-4.5</v>
      </c>
      <c r="U778" s="1" t="str">
        <f t="shared" si="50"/>
        <v>OK</v>
      </c>
      <c r="V778" s="1" t="str">
        <f>_xlfn.XLOOKUP(C778,Payers!$A$2:$A$9,Payers!$B$2:$B$9)</f>
        <v>Coastal Medicaid MCO</v>
      </c>
      <c r="W778" s="1" t="str">
        <f t="shared" si="51"/>
        <v>2026-02</v>
      </c>
    </row>
    <row r="779" spans="1:23">
      <c r="A779" s="1" t="s">
        <v>1532</v>
      </c>
      <c r="B779" s="1" t="s">
        <v>394</v>
      </c>
      <c r="C779" s="1" t="s">
        <v>18</v>
      </c>
      <c r="D779" s="1" t="s">
        <v>19</v>
      </c>
      <c r="E779" s="1" t="s">
        <v>57</v>
      </c>
      <c r="F779">
        <v>1</v>
      </c>
      <c r="G779" s="2">
        <v>46270</v>
      </c>
      <c r="H779" s="2">
        <v>46272</v>
      </c>
      <c r="I779">
        <v>214.03</v>
      </c>
      <c r="M779" s="1" t="s">
        <v>69</v>
      </c>
      <c r="N779" s="1" t="s">
        <v>22</v>
      </c>
      <c r="O779" s="2"/>
      <c r="P779" s="2"/>
      <c r="Q779">
        <f>_xlfn.XLOOKUP(E779,CPT!$A$2:$A$13,CPT!$D$2:$D$13)</f>
        <v>210</v>
      </c>
      <c r="R779" s="1">
        <f>_xlfn.XLOOKUP(C779,Contract!$A$2:$A$9,Contract!$B$2:$B$9)</f>
        <v>0.38</v>
      </c>
      <c r="S779" s="1">
        <f t="shared" si="48"/>
        <v>79.8</v>
      </c>
      <c r="T779" s="1" t="str">
        <f t="shared" si="49"/>
        <v/>
      </c>
      <c r="U779" s="1" t="str">
        <f t="shared" si="50"/>
        <v/>
      </c>
      <c r="V779" s="1" t="str">
        <f>_xlfn.XLOOKUP(C779,Payers!$A$2:$A$9,Payers!$B$2:$B$9)</f>
        <v>Sunshine Medicare Advantage</v>
      </c>
      <c r="W779" s="1" t="str">
        <f t="shared" si="51"/>
        <v>2026-09</v>
      </c>
    </row>
    <row r="780" spans="1:23">
      <c r="A780" s="1" t="s">
        <v>1533</v>
      </c>
      <c r="B780" s="1" t="s">
        <v>1534</v>
      </c>
      <c r="C780" s="1" t="s">
        <v>25</v>
      </c>
      <c r="D780" s="1" t="s">
        <v>19</v>
      </c>
      <c r="E780" s="1" t="s">
        <v>57</v>
      </c>
      <c r="F780">
        <v>1</v>
      </c>
      <c r="G780" s="2">
        <v>46073</v>
      </c>
      <c r="H780" s="2">
        <v>46077</v>
      </c>
      <c r="I780">
        <v>205.32</v>
      </c>
      <c r="M780" s="1" t="s">
        <v>32</v>
      </c>
      <c r="N780" s="1" t="s">
        <v>33</v>
      </c>
      <c r="O780" s="2">
        <v>46099</v>
      </c>
      <c r="P780" s="2"/>
      <c r="Q780">
        <f>_xlfn.XLOOKUP(E780,CPT!$A$2:$A$13,CPT!$D$2:$D$13)</f>
        <v>210</v>
      </c>
      <c r="R780" s="1">
        <f>_xlfn.XLOOKUP(C780,Contract!$A$2:$A$9,Contract!$B$2:$B$9)</f>
        <v>0.36</v>
      </c>
      <c r="S780" s="1">
        <f t="shared" si="48"/>
        <v>75.599999999999994</v>
      </c>
      <c r="T780" s="1" t="str">
        <f t="shared" si="49"/>
        <v/>
      </c>
      <c r="U780" s="1" t="str">
        <f t="shared" si="50"/>
        <v/>
      </c>
      <c r="V780" s="1" t="str">
        <f>_xlfn.XLOOKUP(C780,Payers!$A$2:$A$9,Payers!$B$2:$B$9)</f>
        <v>Medicare Part B</v>
      </c>
      <c r="W780" s="1" t="str">
        <f t="shared" si="51"/>
        <v>2026-02</v>
      </c>
    </row>
    <row r="781" spans="1:23">
      <c r="A781" s="1" t="s">
        <v>1535</v>
      </c>
      <c r="B781" s="1" t="s">
        <v>1536</v>
      </c>
      <c r="C781" s="1" t="s">
        <v>60</v>
      </c>
      <c r="D781" s="1" t="s">
        <v>37</v>
      </c>
      <c r="E781" s="1" t="s">
        <v>57</v>
      </c>
      <c r="F781">
        <v>1</v>
      </c>
      <c r="G781" s="2">
        <v>46035</v>
      </c>
      <c r="H781" s="2">
        <v>46041</v>
      </c>
      <c r="I781">
        <v>204.59</v>
      </c>
      <c r="J781">
        <v>97.7</v>
      </c>
      <c r="K781">
        <v>97.7</v>
      </c>
      <c r="L781">
        <v>0</v>
      </c>
      <c r="M781" s="1" t="s">
        <v>21</v>
      </c>
      <c r="N781" s="1" t="s">
        <v>22</v>
      </c>
      <c r="O781" s="2">
        <v>46064</v>
      </c>
      <c r="P781" s="2">
        <v>46064</v>
      </c>
      <c r="Q781">
        <f>_xlfn.XLOOKUP(E781,CPT!$A$2:$A$13,CPT!$D$2:$D$13)</f>
        <v>210</v>
      </c>
      <c r="R781" s="1">
        <f>_xlfn.XLOOKUP(C781,Contract!$A$2:$A$9,Contract!$B$2:$B$9)</f>
        <v>0.45</v>
      </c>
      <c r="S781" s="1">
        <f t="shared" si="48"/>
        <v>94.5</v>
      </c>
      <c r="T781" s="1">
        <f t="shared" si="49"/>
        <v>-3.2000000000000028</v>
      </c>
      <c r="U781" s="1" t="str">
        <f t="shared" si="50"/>
        <v>OK</v>
      </c>
      <c r="V781" s="1" t="str">
        <f>_xlfn.XLOOKUP(C781,Payers!$A$2:$A$9,Payers!$B$2:$B$9)</f>
        <v>Blue Horizon Commercial</v>
      </c>
      <c r="W781" s="1" t="str">
        <f t="shared" si="51"/>
        <v>2026-01</v>
      </c>
    </row>
    <row r="782" spans="1:23">
      <c r="A782" s="1" t="s">
        <v>1537</v>
      </c>
      <c r="B782" s="1" t="s">
        <v>1538</v>
      </c>
      <c r="C782" s="1" t="s">
        <v>52</v>
      </c>
      <c r="D782" s="1" t="s">
        <v>19</v>
      </c>
      <c r="E782" s="1" t="s">
        <v>57</v>
      </c>
      <c r="F782">
        <v>1</v>
      </c>
      <c r="G782" s="2">
        <v>46009</v>
      </c>
      <c r="H782" s="2">
        <v>46016</v>
      </c>
      <c r="I782">
        <v>207.69</v>
      </c>
      <c r="J782">
        <v>112.3</v>
      </c>
      <c r="K782">
        <v>112.3</v>
      </c>
      <c r="L782">
        <v>0</v>
      </c>
      <c r="M782" s="1" t="s">
        <v>21</v>
      </c>
      <c r="N782" s="1" t="s">
        <v>22</v>
      </c>
      <c r="O782" s="2">
        <v>46061</v>
      </c>
      <c r="P782" s="2">
        <v>46061</v>
      </c>
      <c r="Q782">
        <f>_xlfn.XLOOKUP(E782,CPT!$A$2:$A$13,CPT!$D$2:$D$13)</f>
        <v>210</v>
      </c>
      <c r="R782" s="1">
        <f>_xlfn.XLOOKUP(C782,Contract!$A$2:$A$9,Contract!$B$2:$B$9)</f>
        <v>0.47</v>
      </c>
      <c r="S782" s="1">
        <f t="shared" si="48"/>
        <v>98.7</v>
      </c>
      <c r="T782" s="1">
        <f t="shared" si="49"/>
        <v>-13.599999999999994</v>
      </c>
      <c r="U782" s="1" t="str">
        <f t="shared" si="50"/>
        <v>OK</v>
      </c>
      <c r="V782" s="1" t="str">
        <f>_xlfn.XLOOKUP(C782,Payers!$A$2:$A$9,Payers!$B$2:$B$9)</f>
        <v>Keystone Commercial PPO</v>
      </c>
      <c r="W782" s="1" t="str">
        <f t="shared" si="51"/>
        <v>2025-12</v>
      </c>
    </row>
    <row r="783" spans="1:23">
      <c r="A783" s="1" t="s">
        <v>1539</v>
      </c>
      <c r="B783" s="1" t="s">
        <v>1540</v>
      </c>
      <c r="C783" s="1" t="s">
        <v>76</v>
      </c>
      <c r="D783" s="1" t="s">
        <v>19</v>
      </c>
      <c r="E783" s="1" t="s">
        <v>20</v>
      </c>
      <c r="F783">
        <v>1</v>
      </c>
      <c r="G783" s="2">
        <v>45976</v>
      </c>
      <c r="H783" s="2">
        <v>45978</v>
      </c>
      <c r="I783">
        <v>143.81</v>
      </c>
      <c r="J783">
        <v>68.53</v>
      </c>
      <c r="K783">
        <v>68.53</v>
      </c>
      <c r="L783">
        <v>0</v>
      </c>
      <c r="M783" s="1" t="s">
        <v>21</v>
      </c>
      <c r="N783" s="1" t="s">
        <v>22</v>
      </c>
      <c r="O783" s="2">
        <v>46017</v>
      </c>
      <c r="P783" s="2">
        <v>46017</v>
      </c>
      <c r="Q783">
        <f>_xlfn.XLOOKUP(E783,CPT!$A$2:$A$13,CPT!$D$2:$D$13)</f>
        <v>145</v>
      </c>
      <c r="R783" s="1">
        <f>_xlfn.XLOOKUP(C783,Contract!$A$2:$A$9,Contract!$B$2:$B$9)</f>
        <v>0.43</v>
      </c>
      <c r="S783" s="1">
        <f t="shared" si="48"/>
        <v>62.35</v>
      </c>
      <c r="T783" s="1">
        <f t="shared" si="49"/>
        <v>-6.18</v>
      </c>
      <c r="U783" s="1" t="str">
        <f t="shared" si="50"/>
        <v>OK</v>
      </c>
      <c r="V783" s="1" t="str">
        <f>_xlfn.XLOOKUP(C783,Payers!$A$2:$A$9,Payers!$B$2:$B$9)</f>
        <v>Summit Health Commercial</v>
      </c>
      <c r="W783" s="1" t="str">
        <f t="shared" si="51"/>
        <v>2025-11</v>
      </c>
    </row>
    <row r="784" spans="1:23">
      <c r="A784" s="1" t="s">
        <v>1541</v>
      </c>
      <c r="B784" s="1" t="s">
        <v>1205</v>
      </c>
      <c r="C784" s="1" t="s">
        <v>79</v>
      </c>
      <c r="D784" s="1" t="s">
        <v>26</v>
      </c>
      <c r="E784" s="1" t="s">
        <v>113</v>
      </c>
      <c r="F784">
        <v>1</v>
      </c>
      <c r="G784" s="2">
        <v>46044</v>
      </c>
      <c r="H784" s="2">
        <v>46045</v>
      </c>
      <c r="I784">
        <v>1042.3499999999999</v>
      </c>
      <c r="M784" s="1" t="s">
        <v>69</v>
      </c>
      <c r="N784" s="1" t="s">
        <v>22</v>
      </c>
      <c r="O784" s="2"/>
      <c r="P784" s="2"/>
      <c r="Q784">
        <f>_xlfn.XLOOKUP(E784,CPT!$A$2:$A$13,CPT!$D$2:$D$13)</f>
        <v>1050</v>
      </c>
      <c r="R784" s="1">
        <f>_xlfn.XLOOKUP(C784,Contract!$A$2:$A$9,Contract!$B$2:$B$9)</f>
        <v>1</v>
      </c>
      <c r="S784" s="1">
        <f t="shared" si="48"/>
        <v>1050</v>
      </c>
      <c r="T784" s="1" t="str">
        <f t="shared" si="49"/>
        <v/>
      </c>
      <c r="U784" s="1" t="str">
        <f t="shared" si="50"/>
        <v/>
      </c>
      <c r="V784" s="1" t="str">
        <f>_xlfn.XLOOKUP(C784,Payers!$A$2:$A$9,Payers!$B$2:$B$9)</f>
        <v>Self-Pay</v>
      </c>
      <c r="W784" s="1" t="str">
        <f t="shared" si="51"/>
        <v>2026-01</v>
      </c>
    </row>
    <row r="785" spans="1:23">
      <c r="A785" s="1" t="s">
        <v>1542</v>
      </c>
      <c r="B785" s="1" t="s">
        <v>1543</v>
      </c>
      <c r="C785" s="1" t="s">
        <v>25</v>
      </c>
      <c r="D785" s="1" t="s">
        <v>30</v>
      </c>
      <c r="E785" s="1" t="s">
        <v>31</v>
      </c>
      <c r="F785">
        <v>3</v>
      </c>
      <c r="G785" s="2">
        <v>46289</v>
      </c>
      <c r="H785" s="2">
        <v>46293</v>
      </c>
      <c r="I785">
        <v>190.08</v>
      </c>
      <c r="M785" s="1" t="s">
        <v>69</v>
      </c>
      <c r="N785" s="1" t="s">
        <v>22</v>
      </c>
      <c r="O785" s="2"/>
      <c r="P785" s="2"/>
      <c r="Q785">
        <f>_xlfn.XLOOKUP(E785,CPT!$A$2:$A$13,CPT!$D$2:$D$13)</f>
        <v>62</v>
      </c>
      <c r="R785" s="1">
        <f>_xlfn.XLOOKUP(C785,Contract!$A$2:$A$9,Contract!$B$2:$B$9)</f>
        <v>0.36</v>
      </c>
      <c r="S785" s="1">
        <f t="shared" si="48"/>
        <v>66.959999999999994</v>
      </c>
      <c r="T785" s="1" t="str">
        <f t="shared" si="49"/>
        <v/>
      </c>
      <c r="U785" s="1" t="str">
        <f t="shared" si="50"/>
        <v/>
      </c>
      <c r="V785" s="1" t="str">
        <f>_xlfn.XLOOKUP(C785,Payers!$A$2:$A$9,Payers!$B$2:$B$9)</f>
        <v>Medicare Part B</v>
      </c>
      <c r="W785" s="1" t="str">
        <f t="shared" si="51"/>
        <v>2026-09</v>
      </c>
    </row>
    <row r="786" spans="1:23">
      <c r="A786" s="1" t="s">
        <v>1544</v>
      </c>
      <c r="B786" s="1" t="s">
        <v>1351</v>
      </c>
      <c r="C786" s="1" t="s">
        <v>36</v>
      </c>
      <c r="D786" s="1" t="s">
        <v>19</v>
      </c>
      <c r="E786" s="1" t="s">
        <v>88</v>
      </c>
      <c r="F786">
        <v>1</v>
      </c>
      <c r="G786" s="2">
        <v>46278</v>
      </c>
      <c r="H786" s="2">
        <v>46282</v>
      </c>
      <c r="I786">
        <v>267.3</v>
      </c>
      <c r="M786" s="1" t="s">
        <v>69</v>
      </c>
      <c r="N786" s="1" t="s">
        <v>22</v>
      </c>
      <c r="O786" s="2"/>
      <c r="P786" s="2"/>
      <c r="Q786">
        <f>_xlfn.XLOOKUP(E786,CPT!$A$2:$A$13,CPT!$D$2:$D$13)</f>
        <v>260</v>
      </c>
      <c r="R786" s="1">
        <f>_xlfn.XLOOKUP(C786,Contract!$A$2:$A$9,Contract!$B$2:$B$9)</f>
        <v>0.27</v>
      </c>
      <c r="S786" s="1">
        <f t="shared" si="48"/>
        <v>70.2</v>
      </c>
      <c r="T786" s="1" t="str">
        <f t="shared" si="49"/>
        <v/>
      </c>
      <c r="U786" s="1" t="str">
        <f t="shared" si="50"/>
        <v/>
      </c>
      <c r="V786" s="1" t="str">
        <f>_xlfn.XLOOKUP(C786,Payers!$A$2:$A$9,Payers!$B$2:$B$9)</f>
        <v>Florida Medicaid</v>
      </c>
      <c r="W786" s="1" t="str">
        <f t="shared" si="51"/>
        <v>2026-09</v>
      </c>
    </row>
    <row r="787" spans="1:23">
      <c r="A787" s="1" t="s">
        <v>1545</v>
      </c>
      <c r="B787" s="1" t="s">
        <v>1546</v>
      </c>
      <c r="C787" s="1" t="s">
        <v>60</v>
      </c>
      <c r="D787" s="1" t="s">
        <v>37</v>
      </c>
      <c r="E787" s="1" t="s">
        <v>57</v>
      </c>
      <c r="F787">
        <v>1</v>
      </c>
      <c r="G787" s="2">
        <v>45995</v>
      </c>
      <c r="H787" s="2">
        <v>45999</v>
      </c>
      <c r="I787">
        <v>205.5</v>
      </c>
      <c r="J787">
        <v>104.51</v>
      </c>
      <c r="K787">
        <v>94.06</v>
      </c>
      <c r="L787">
        <v>10.45</v>
      </c>
      <c r="M787" s="1" t="s">
        <v>21</v>
      </c>
      <c r="N787" s="1" t="s">
        <v>22</v>
      </c>
      <c r="O787" s="2">
        <v>46027</v>
      </c>
      <c r="P787" s="2">
        <v>46027</v>
      </c>
      <c r="Q787">
        <f>_xlfn.XLOOKUP(E787,CPT!$A$2:$A$13,CPT!$D$2:$D$13)</f>
        <v>210</v>
      </c>
      <c r="R787" s="1">
        <f>_xlfn.XLOOKUP(C787,Contract!$A$2:$A$9,Contract!$B$2:$B$9)</f>
        <v>0.45</v>
      </c>
      <c r="S787" s="1">
        <f t="shared" si="48"/>
        <v>94.5</v>
      </c>
      <c r="T787" s="1">
        <f t="shared" si="49"/>
        <v>-10.010000000000005</v>
      </c>
      <c r="U787" s="1" t="str">
        <f t="shared" si="50"/>
        <v>OK</v>
      </c>
      <c r="V787" s="1" t="str">
        <f>_xlfn.XLOOKUP(C787,Payers!$A$2:$A$9,Payers!$B$2:$B$9)</f>
        <v>Blue Horizon Commercial</v>
      </c>
      <c r="W787" s="1" t="str">
        <f t="shared" si="51"/>
        <v>2025-12</v>
      </c>
    </row>
    <row r="788" spans="1:23">
      <c r="A788" s="1" t="s">
        <v>1547</v>
      </c>
      <c r="B788" s="1" t="s">
        <v>920</v>
      </c>
      <c r="C788" s="1" t="s">
        <v>25</v>
      </c>
      <c r="D788" s="1" t="s">
        <v>37</v>
      </c>
      <c r="E788" s="1" t="s">
        <v>57</v>
      </c>
      <c r="F788">
        <v>1</v>
      </c>
      <c r="G788" s="2">
        <v>46292</v>
      </c>
      <c r="H788" s="2">
        <v>46295</v>
      </c>
      <c r="I788">
        <v>209.47</v>
      </c>
      <c r="M788" s="1" t="s">
        <v>69</v>
      </c>
      <c r="N788" s="1" t="s">
        <v>22</v>
      </c>
      <c r="O788" s="2"/>
      <c r="P788" s="2"/>
      <c r="Q788">
        <f>_xlfn.XLOOKUP(E788,CPT!$A$2:$A$13,CPT!$D$2:$D$13)</f>
        <v>210</v>
      </c>
      <c r="R788" s="1">
        <f>_xlfn.XLOOKUP(C788,Contract!$A$2:$A$9,Contract!$B$2:$B$9)</f>
        <v>0.36</v>
      </c>
      <c r="S788" s="1">
        <f t="shared" si="48"/>
        <v>75.599999999999994</v>
      </c>
      <c r="T788" s="1" t="str">
        <f t="shared" si="49"/>
        <v/>
      </c>
      <c r="U788" s="1" t="str">
        <f t="shared" si="50"/>
        <v/>
      </c>
      <c r="V788" s="1" t="str">
        <f>_xlfn.XLOOKUP(C788,Payers!$A$2:$A$9,Payers!$B$2:$B$9)</f>
        <v>Medicare Part B</v>
      </c>
      <c r="W788" s="1" t="str">
        <f t="shared" si="51"/>
        <v>2026-09</v>
      </c>
    </row>
    <row r="789" spans="1:23">
      <c r="A789" s="1" t="s">
        <v>1548</v>
      </c>
      <c r="B789" s="1" t="s">
        <v>17</v>
      </c>
      <c r="C789" s="1" t="s">
        <v>76</v>
      </c>
      <c r="D789" s="1" t="s">
        <v>30</v>
      </c>
      <c r="E789" s="1" t="s">
        <v>31</v>
      </c>
      <c r="F789">
        <v>1</v>
      </c>
      <c r="G789" s="2">
        <v>45975</v>
      </c>
      <c r="H789" s="2">
        <v>46075</v>
      </c>
      <c r="I789">
        <v>61.65</v>
      </c>
      <c r="M789" s="1" t="s">
        <v>32</v>
      </c>
      <c r="N789" s="1" t="s">
        <v>137</v>
      </c>
      <c r="O789" s="2">
        <v>46130</v>
      </c>
      <c r="P789" s="2"/>
      <c r="Q789">
        <f>_xlfn.XLOOKUP(E789,CPT!$A$2:$A$13,CPT!$D$2:$D$13)</f>
        <v>62</v>
      </c>
      <c r="R789" s="1">
        <f>_xlfn.XLOOKUP(C789,Contract!$A$2:$A$9,Contract!$B$2:$B$9)</f>
        <v>0.43</v>
      </c>
      <c r="S789" s="1">
        <f t="shared" si="48"/>
        <v>26.66</v>
      </c>
      <c r="T789" s="1" t="str">
        <f t="shared" si="49"/>
        <v/>
      </c>
      <c r="U789" s="1" t="str">
        <f t="shared" si="50"/>
        <v/>
      </c>
      <c r="V789" s="1" t="str">
        <f>_xlfn.XLOOKUP(C789,Payers!$A$2:$A$9,Payers!$B$2:$B$9)</f>
        <v>Summit Health Commercial</v>
      </c>
      <c r="W789" s="1" t="str">
        <f t="shared" si="51"/>
        <v>2025-11</v>
      </c>
    </row>
    <row r="790" spans="1:23">
      <c r="A790" s="1" t="s">
        <v>1549</v>
      </c>
      <c r="B790" s="1" t="s">
        <v>1550</v>
      </c>
      <c r="C790" s="1" t="s">
        <v>60</v>
      </c>
      <c r="D790" s="1" t="s">
        <v>26</v>
      </c>
      <c r="E790" s="1" t="s">
        <v>88</v>
      </c>
      <c r="F790">
        <v>1</v>
      </c>
      <c r="G790" s="2">
        <v>46077</v>
      </c>
      <c r="H790" s="2">
        <v>46080</v>
      </c>
      <c r="I790">
        <v>260.83999999999997</v>
      </c>
      <c r="J790">
        <v>134.26</v>
      </c>
      <c r="K790">
        <v>134.26</v>
      </c>
      <c r="L790">
        <v>0</v>
      </c>
      <c r="M790" s="1" t="s">
        <v>21</v>
      </c>
      <c r="N790" s="1" t="s">
        <v>22</v>
      </c>
      <c r="O790" s="2">
        <v>46099</v>
      </c>
      <c r="P790" s="2">
        <v>46099</v>
      </c>
      <c r="Q790">
        <f>_xlfn.XLOOKUP(E790,CPT!$A$2:$A$13,CPT!$D$2:$D$13)</f>
        <v>260</v>
      </c>
      <c r="R790" s="1">
        <f>_xlfn.XLOOKUP(C790,Contract!$A$2:$A$9,Contract!$B$2:$B$9)</f>
        <v>0.45</v>
      </c>
      <c r="S790" s="1">
        <f t="shared" si="48"/>
        <v>117</v>
      </c>
      <c r="T790" s="1">
        <f t="shared" si="49"/>
        <v>-17.259999999999991</v>
      </c>
      <c r="U790" s="1" t="str">
        <f t="shared" si="50"/>
        <v>OK</v>
      </c>
      <c r="V790" s="1" t="str">
        <f>_xlfn.XLOOKUP(C790,Payers!$A$2:$A$9,Payers!$B$2:$B$9)</f>
        <v>Blue Horizon Commercial</v>
      </c>
      <c r="W790" s="1" t="str">
        <f t="shared" si="51"/>
        <v>2026-02</v>
      </c>
    </row>
    <row r="791" spans="1:23">
      <c r="A791" s="1" t="s">
        <v>1551</v>
      </c>
      <c r="B791" s="1" t="s">
        <v>263</v>
      </c>
      <c r="C791" s="1" t="s">
        <v>76</v>
      </c>
      <c r="D791" s="1" t="s">
        <v>19</v>
      </c>
      <c r="E791" s="1" t="s">
        <v>20</v>
      </c>
      <c r="F791">
        <v>1</v>
      </c>
      <c r="G791" s="2">
        <v>46246</v>
      </c>
      <c r="H791" s="2">
        <v>46254</v>
      </c>
      <c r="I791">
        <v>142.30000000000001</v>
      </c>
      <c r="M791" s="1" t="s">
        <v>32</v>
      </c>
      <c r="N791" s="1" t="s">
        <v>124</v>
      </c>
      <c r="O791" s="2">
        <v>46291</v>
      </c>
      <c r="P791" s="2"/>
      <c r="Q791">
        <f>_xlfn.XLOOKUP(E791,CPT!$A$2:$A$13,CPT!$D$2:$D$13)</f>
        <v>145</v>
      </c>
      <c r="R791" s="1">
        <f>_xlfn.XLOOKUP(C791,Contract!$A$2:$A$9,Contract!$B$2:$B$9)</f>
        <v>0.43</v>
      </c>
      <c r="S791" s="1">
        <f t="shared" si="48"/>
        <v>62.35</v>
      </c>
      <c r="T791" s="1" t="str">
        <f t="shared" si="49"/>
        <v/>
      </c>
      <c r="U791" s="1" t="str">
        <f t="shared" si="50"/>
        <v/>
      </c>
      <c r="V791" s="1" t="str">
        <f>_xlfn.XLOOKUP(C791,Payers!$A$2:$A$9,Payers!$B$2:$B$9)</f>
        <v>Summit Health Commercial</v>
      </c>
      <c r="W791" s="1" t="str">
        <f t="shared" si="51"/>
        <v>2026-08</v>
      </c>
    </row>
    <row r="792" spans="1:23">
      <c r="A792" s="1" t="s">
        <v>1552</v>
      </c>
      <c r="B792" s="1" t="s">
        <v>1553</v>
      </c>
      <c r="C792" s="1" t="s">
        <v>18</v>
      </c>
      <c r="D792" s="1" t="s">
        <v>37</v>
      </c>
      <c r="E792" s="1" t="s">
        <v>57</v>
      </c>
      <c r="F792">
        <v>1</v>
      </c>
      <c r="G792" s="2">
        <v>45952</v>
      </c>
      <c r="H792" s="2">
        <v>45966</v>
      </c>
      <c r="I792">
        <v>211.35</v>
      </c>
      <c r="J792">
        <v>90.45</v>
      </c>
      <c r="K792">
        <v>90.45</v>
      </c>
      <c r="L792">
        <v>0</v>
      </c>
      <c r="M792" s="1" t="s">
        <v>21</v>
      </c>
      <c r="N792" s="1" t="s">
        <v>22</v>
      </c>
      <c r="O792" s="2">
        <v>46006</v>
      </c>
      <c r="P792" s="2">
        <v>46006</v>
      </c>
      <c r="Q792">
        <f>_xlfn.XLOOKUP(E792,CPT!$A$2:$A$13,CPT!$D$2:$D$13)</f>
        <v>210</v>
      </c>
      <c r="R792" s="1">
        <f>_xlfn.XLOOKUP(C792,Contract!$A$2:$A$9,Contract!$B$2:$B$9)</f>
        <v>0.38</v>
      </c>
      <c r="S792" s="1">
        <f t="shared" si="48"/>
        <v>79.8</v>
      </c>
      <c r="T792" s="1">
        <f t="shared" si="49"/>
        <v>-10.650000000000006</v>
      </c>
      <c r="U792" s="1" t="str">
        <f t="shared" si="50"/>
        <v>OK</v>
      </c>
      <c r="V792" s="1" t="str">
        <f>_xlfn.XLOOKUP(C792,Payers!$A$2:$A$9,Payers!$B$2:$B$9)</f>
        <v>Sunshine Medicare Advantage</v>
      </c>
      <c r="W792" s="1" t="str">
        <f t="shared" si="51"/>
        <v>2025-10</v>
      </c>
    </row>
    <row r="793" spans="1:23">
      <c r="A793" s="1" t="s">
        <v>1554</v>
      </c>
      <c r="B793" s="1" t="s">
        <v>1555</v>
      </c>
      <c r="C793" s="1" t="s">
        <v>76</v>
      </c>
      <c r="D793" s="1" t="s">
        <v>30</v>
      </c>
      <c r="E793" s="1" t="s">
        <v>20</v>
      </c>
      <c r="F793">
        <v>1</v>
      </c>
      <c r="G793" s="2">
        <v>45957</v>
      </c>
      <c r="H793" s="2">
        <v>45959</v>
      </c>
      <c r="I793">
        <v>144.33000000000001</v>
      </c>
      <c r="M793" s="1" t="s">
        <v>32</v>
      </c>
      <c r="N793" s="1" t="s">
        <v>281</v>
      </c>
      <c r="O793" s="2">
        <v>45989</v>
      </c>
      <c r="P793" s="2"/>
      <c r="Q793">
        <f>_xlfn.XLOOKUP(E793,CPT!$A$2:$A$13,CPT!$D$2:$D$13)</f>
        <v>145</v>
      </c>
      <c r="R793" s="1">
        <f>_xlfn.XLOOKUP(C793,Contract!$A$2:$A$9,Contract!$B$2:$B$9)</f>
        <v>0.43</v>
      </c>
      <c r="S793" s="1">
        <f t="shared" si="48"/>
        <v>62.35</v>
      </c>
      <c r="T793" s="1" t="str">
        <f t="shared" si="49"/>
        <v/>
      </c>
      <c r="U793" s="1" t="str">
        <f t="shared" si="50"/>
        <v/>
      </c>
      <c r="V793" s="1" t="str">
        <f>_xlfn.XLOOKUP(C793,Payers!$A$2:$A$9,Payers!$B$2:$B$9)</f>
        <v>Summit Health Commercial</v>
      </c>
      <c r="W793" s="1" t="str">
        <f t="shared" si="51"/>
        <v>2025-10</v>
      </c>
    </row>
    <row r="794" spans="1:23">
      <c r="A794" s="1" t="s">
        <v>1556</v>
      </c>
      <c r="B794" s="1" t="s">
        <v>1557</v>
      </c>
      <c r="C794" s="1" t="s">
        <v>76</v>
      </c>
      <c r="D794" s="1" t="s">
        <v>30</v>
      </c>
      <c r="E794" s="1" t="s">
        <v>91</v>
      </c>
      <c r="F794">
        <v>1</v>
      </c>
      <c r="G794" s="2">
        <v>46081</v>
      </c>
      <c r="H794" s="2">
        <v>46087</v>
      </c>
      <c r="I794">
        <v>57</v>
      </c>
      <c r="J794">
        <v>22.89</v>
      </c>
      <c r="K794">
        <v>22.89</v>
      </c>
      <c r="L794">
        <v>0</v>
      </c>
      <c r="M794" s="1" t="s">
        <v>21</v>
      </c>
      <c r="N794" s="1" t="s">
        <v>22</v>
      </c>
      <c r="O794" s="2">
        <v>46131</v>
      </c>
      <c r="P794" s="2">
        <v>46131</v>
      </c>
      <c r="Q794">
        <f>_xlfn.XLOOKUP(E794,CPT!$A$2:$A$13,CPT!$D$2:$D$13)</f>
        <v>58</v>
      </c>
      <c r="R794" s="1">
        <f>_xlfn.XLOOKUP(C794,Contract!$A$2:$A$9,Contract!$B$2:$B$9)</f>
        <v>0.43</v>
      </c>
      <c r="S794" s="1">
        <f t="shared" si="48"/>
        <v>24.94</v>
      </c>
      <c r="T794" s="1">
        <f t="shared" si="49"/>
        <v>2.0500000000000007</v>
      </c>
      <c r="U794" s="1" t="str">
        <f t="shared" si="50"/>
        <v>Underpaid</v>
      </c>
      <c r="V794" s="1" t="str">
        <f>_xlfn.XLOOKUP(C794,Payers!$A$2:$A$9,Payers!$B$2:$B$9)</f>
        <v>Summit Health Commercial</v>
      </c>
      <c r="W794" s="1" t="str">
        <f t="shared" si="51"/>
        <v>2026-02</v>
      </c>
    </row>
    <row r="795" spans="1:23">
      <c r="A795" s="1" t="s">
        <v>1558</v>
      </c>
      <c r="B795" s="1" t="s">
        <v>1559</v>
      </c>
      <c r="C795" s="1" t="s">
        <v>60</v>
      </c>
      <c r="D795" s="1" t="s">
        <v>30</v>
      </c>
      <c r="E795" s="1" t="s">
        <v>91</v>
      </c>
      <c r="F795">
        <v>3</v>
      </c>
      <c r="G795" s="2">
        <v>45934</v>
      </c>
      <c r="H795" s="2">
        <v>45936</v>
      </c>
      <c r="I795">
        <v>173.59</v>
      </c>
      <c r="J795">
        <v>83.52</v>
      </c>
      <c r="K795">
        <v>66.819999999999993</v>
      </c>
      <c r="L795">
        <v>16.7</v>
      </c>
      <c r="M795" s="1" t="s">
        <v>21</v>
      </c>
      <c r="N795" s="1" t="s">
        <v>22</v>
      </c>
      <c r="O795" s="2">
        <v>45959</v>
      </c>
      <c r="P795" s="2">
        <v>45959</v>
      </c>
      <c r="Q795">
        <f>_xlfn.XLOOKUP(E795,CPT!$A$2:$A$13,CPT!$D$2:$D$13)</f>
        <v>58</v>
      </c>
      <c r="R795" s="1">
        <f>_xlfn.XLOOKUP(C795,Contract!$A$2:$A$9,Contract!$B$2:$B$9)</f>
        <v>0.45</v>
      </c>
      <c r="S795" s="1">
        <f t="shared" si="48"/>
        <v>78.3</v>
      </c>
      <c r="T795" s="1">
        <f t="shared" si="49"/>
        <v>-5.2199999999999989</v>
      </c>
      <c r="U795" s="1" t="str">
        <f t="shared" si="50"/>
        <v>OK</v>
      </c>
      <c r="V795" s="1" t="str">
        <f>_xlfn.XLOOKUP(C795,Payers!$A$2:$A$9,Payers!$B$2:$B$9)</f>
        <v>Blue Horizon Commercial</v>
      </c>
      <c r="W795" s="1" t="str">
        <f t="shared" si="51"/>
        <v>2025-10</v>
      </c>
    </row>
    <row r="796" spans="1:23">
      <c r="A796" s="1" t="s">
        <v>1560</v>
      </c>
      <c r="B796" s="1" t="s">
        <v>1561</v>
      </c>
      <c r="C796" s="1" t="s">
        <v>52</v>
      </c>
      <c r="D796" s="1" t="s">
        <v>26</v>
      </c>
      <c r="E796" s="1" t="s">
        <v>113</v>
      </c>
      <c r="F796">
        <v>1</v>
      </c>
      <c r="G796" s="2">
        <v>45974</v>
      </c>
      <c r="H796" s="2">
        <v>45984</v>
      </c>
      <c r="I796">
        <v>1051.83</v>
      </c>
      <c r="J796">
        <v>560.86</v>
      </c>
      <c r="K796">
        <v>504.77</v>
      </c>
      <c r="L796">
        <v>56.09</v>
      </c>
      <c r="M796" s="1" t="s">
        <v>21</v>
      </c>
      <c r="N796" s="1" t="s">
        <v>22</v>
      </c>
      <c r="O796" s="2">
        <v>46052</v>
      </c>
      <c r="P796" s="2">
        <v>46052</v>
      </c>
      <c r="Q796">
        <f>_xlfn.XLOOKUP(E796,CPT!$A$2:$A$13,CPT!$D$2:$D$13)</f>
        <v>1050</v>
      </c>
      <c r="R796" s="1">
        <f>_xlfn.XLOOKUP(C796,Contract!$A$2:$A$9,Contract!$B$2:$B$9)</f>
        <v>0.47</v>
      </c>
      <c r="S796" s="1">
        <f t="shared" si="48"/>
        <v>493.5</v>
      </c>
      <c r="T796" s="1">
        <f t="shared" si="49"/>
        <v>-67.360000000000014</v>
      </c>
      <c r="U796" s="1" t="str">
        <f t="shared" si="50"/>
        <v>OK</v>
      </c>
      <c r="V796" s="1" t="str">
        <f>_xlfn.XLOOKUP(C796,Payers!$A$2:$A$9,Payers!$B$2:$B$9)</f>
        <v>Keystone Commercial PPO</v>
      </c>
      <c r="W796" s="1" t="str">
        <f t="shared" si="51"/>
        <v>2025-11</v>
      </c>
    </row>
    <row r="797" spans="1:23">
      <c r="A797" s="1" t="s">
        <v>1562</v>
      </c>
      <c r="B797" s="1" t="s">
        <v>1563</v>
      </c>
      <c r="C797" s="1" t="s">
        <v>76</v>
      </c>
      <c r="D797" s="1" t="s">
        <v>19</v>
      </c>
      <c r="E797" s="1" t="s">
        <v>88</v>
      </c>
      <c r="F797">
        <v>1</v>
      </c>
      <c r="G797" s="2">
        <v>46150</v>
      </c>
      <c r="H797" s="2">
        <v>46154</v>
      </c>
      <c r="I797">
        <v>266.12</v>
      </c>
      <c r="J797">
        <v>131.09</v>
      </c>
      <c r="K797">
        <v>104.87</v>
      </c>
      <c r="L797">
        <v>26.22</v>
      </c>
      <c r="M797" s="1" t="s">
        <v>21</v>
      </c>
      <c r="N797" s="1" t="s">
        <v>22</v>
      </c>
      <c r="O797" s="2">
        <v>46186</v>
      </c>
      <c r="P797" s="2">
        <v>46186</v>
      </c>
      <c r="Q797">
        <f>_xlfn.XLOOKUP(E797,CPT!$A$2:$A$13,CPT!$D$2:$D$13)</f>
        <v>260</v>
      </c>
      <c r="R797" s="1">
        <f>_xlfn.XLOOKUP(C797,Contract!$A$2:$A$9,Contract!$B$2:$B$9)</f>
        <v>0.43</v>
      </c>
      <c r="S797" s="1">
        <f t="shared" si="48"/>
        <v>111.8</v>
      </c>
      <c r="T797" s="1">
        <f t="shared" si="49"/>
        <v>-19.290000000000006</v>
      </c>
      <c r="U797" s="1" t="str">
        <f t="shared" si="50"/>
        <v>OK</v>
      </c>
      <c r="V797" s="1" t="str">
        <f>_xlfn.XLOOKUP(C797,Payers!$A$2:$A$9,Payers!$B$2:$B$9)</f>
        <v>Summit Health Commercial</v>
      </c>
      <c r="W797" s="1" t="str">
        <f t="shared" si="51"/>
        <v>2026-05</v>
      </c>
    </row>
    <row r="798" spans="1:23">
      <c r="A798" s="1" t="s">
        <v>1564</v>
      </c>
      <c r="B798" s="1" t="s">
        <v>1565</v>
      </c>
      <c r="C798" s="1" t="s">
        <v>52</v>
      </c>
      <c r="D798" s="1" t="s">
        <v>26</v>
      </c>
      <c r="E798" s="1" t="s">
        <v>41</v>
      </c>
      <c r="F798">
        <v>1</v>
      </c>
      <c r="G798" s="2">
        <v>46114</v>
      </c>
      <c r="H798" s="2">
        <v>46119</v>
      </c>
      <c r="I798">
        <v>38.869999999999997</v>
      </c>
      <c r="M798" s="1" t="s">
        <v>32</v>
      </c>
      <c r="N798" s="1" t="s">
        <v>33</v>
      </c>
      <c r="O798" s="2">
        <v>46153</v>
      </c>
      <c r="P798" s="2"/>
      <c r="Q798">
        <f>_xlfn.XLOOKUP(E798,CPT!$A$2:$A$13,CPT!$D$2:$D$13)</f>
        <v>38</v>
      </c>
      <c r="R798" s="1">
        <f>_xlfn.XLOOKUP(C798,Contract!$A$2:$A$9,Contract!$B$2:$B$9)</f>
        <v>0.47</v>
      </c>
      <c r="S798" s="1">
        <f t="shared" si="48"/>
        <v>17.86</v>
      </c>
      <c r="T798" s="1" t="str">
        <f t="shared" si="49"/>
        <v/>
      </c>
      <c r="U798" s="1" t="str">
        <f t="shared" si="50"/>
        <v/>
      </c>
      <c r="V798" s="1" t="str">
        <f>_xlfn.XLOOKUP(C798,Payers!$A$2:$A$9,Payers!$B$2:$B$9)</f>
        <v>Keystone Commercial PPO</v>
      </c>
      <c r="W798" s="1" t="str">
        <f t="shared" si="51"/>
        <v>2026-04</v>
      </c>
    </row>
    <row r="799" spans="1:23">
      <c r="A799" s="1" t="s">
        <v>1566</v>
      </c>
      <c r="B799" s="1" t="s">
        <v>1567</v>
      </c>
      <c r="C799" s="1" t="s">
        <v>52</v>
      </c>
      <c r="D799" s="1" t="s">
        <v>30</v>
      </c>
      <c r="E799" s="1" t="s">
        <v>31</v>
      </c>
      <c r="F799">
        <v>2</v>
      </c>
      <c r="G799" s="2">
        <v>46212</v>
      </c>
      <c r="H799" s="2">
        <v>46218</v>
      </c>
      <c r="I799">
        <v>126.23</v>
      </c>
      <c r="J799">
        <v>66.73</v>
      </c>
      <c r="K799">
        <v>53.38</v>
      </c>
      <c r="L799">
        <v>13.35</v>
      </c>
      <c r="M799" s="1" t="s">
        <v>21</v>
      </c>
      <c r="N799" s="1" t="s">
        <v>22</v>
      </c>
      <c r="O799" s="2">
        <v>46268</v>
      </c>
      <c r="P799" s="2">
        <v>46268</v>
      </c>
      <c r="Q799">
        <f>_xlfn.XLOOKUP(E799,CPT!$A$2:$A$13,CPT!$D$2:$D$13)</f>
        <v>62</v>
      </c>
      <c r="R799" s="1">
        <f>_xlfn.XLOOKUP(C799,Contract!$A$2:$A$9,Contract!$B$2:$B$9)</f>
        <v>0.47</v>
      </c>
      <c r="S799" s="1">
        <f t="shared" si="48"/>
        <v>58.28</v>
      </c>
      <c r="T799" s="1">
        <f t="shared" si="49"/>
        <v>-8.4500000000000028</v>
      </c>
      <c r="U799" s="1" t="str">
        <f t="shared" si="50"/>
        <v>OK</v>
      </c>
      <c r="V799" s="1" t="str">
        <f>_xlfn.XLOOKUP(C799,Payers!$A$2:$A$9,Payers!$B$2:$B$9)</f>
        <v>Keystone Commercial PPO</v>
      </c>
      <c r="W799" s="1" t="str">
        <f t="shared" si="51"/>
        <v>2026-07</v>
      </c>
    </row>
    <row r="800" spans="1:23">
      <c r="A800" s="1" t="s">
        <v>1568</v>
      </c>
      <c r="B800" s="1" t="s">
        <v>1569</v>
      </c>
      <c r="C800" s="1" t="s">
        <v>36</v>
      </c>
      <c r="D800" s="1" t="s">
        <v>26</v>
      </c>
      <c r="E800" s="1" t="s">
        <v>88</v>
      </c>
      <c r="F800">
        <v>1</v>
      </c>
      <c r="G800" s="2">
        <v>45995</v>
      </c>
      <c r="H800" s="2">
        <v>45998</v>
      </c>
      <c r="I800">
        <v>254.63</v>
      </c>
      <c r="J800">
        <v>63.11</v>
      </c>
      <c r="K800">
        <v>63.11</v>
      </c>
      <c r="L800">
        <v>0</v>
      </c>
      <c r="M800" s="1" t="s">
        <v>21</v>
      </c>
      <c r="N800" s="1" t="s">
        <v>22</v>
      </c>
      <c r="O800" s="2">
        <v>46033</v>
      </c>
      <c r="P800" s="2">
        <v>46033</v>
      </c>
      <c r="Q800">
        <f>_xlfn.XLOOKUP(E800,CPT!$A$2:$A$13,CPT!$D$2:$D$13)</f>
        <v>260</v>
      </c>
      <c r="R800" s="1">
        <f>_xlfn.XLOOKUP(C800,Contract!$A$2:$A$9,Contract!$B$2:$B$9)</f>
        <v>0.27</v>
      </c>
      <c r="S800" s="1">
        <f t="shared" si="48"/>
        <v>70.2</v>
      </c>
      <c r="T800" s="1">
        <f t="shared" si="49"/>
        <v>7.0900000000000034</v>
      </c>
      <c r="U800" s="1" t="str">
        <f t="shared" si="50"/>
        <v>Underpaid</v>
      </c>
      <c r="V800" s="1" t="str">
        <f>_xlfn.XLOOKUP(C800,Payers!$A$2:$A$9,Payers!$B$2:$B$9)</f>
        <v>Florida Medicaid</v>
      </c>
      <c r="W800" s="1" t="str">
        <f t="shared" si="51"/>
        <v>2025-12</v>
      </c>
    </row>
    <row r="801" spans="1:23">
      <c r="A801" s="1" t="s">
        <v>1570</v>
      </c>
      <c r="B801" s="1" t="s">
        <v>1571</v>
      </c>
      <c r="C801" s="1" t="s">
        <v>52</v>
      </c>
      <c r="D801" s="1" t="s">
        <v>19</v>
      </c>
      <c r="E801" s="1" t="s">
        <v>88</v>
      </c>
      <c r="F801">
        <v>1</v>
      </c>
      <c r="G801" s="2">
        <v>46150</v>
      </c>
      <c r="H801" s="2">
        <v>46151</v>
      </c>
      <c r="I801">
        <v>256.06</v>
      </c>
      <c r="J801">
        <v>111.56</v>
      </c>
      <c r="K801">
        <v>111.56</v>
      </c>
      <c r="L801">
        <v>0</v>
      </c>
      <c r="M801" s="1" t="s">
        <v>21</v>
      </c>
      <c r="N801" s="1" t="s">
        <v>22</v>
      </c>
      <c r="O801" s="2">
        <v>46184</v>
      </c>
      <c r="P801" s="2">
        <v>46184</v>
      </c>
      <c r="Q801">
        <f>_xlfn.XLOOKUP(E801,CPT!$A$2:$A$13,CPT!$D$2:$D$13)</f>
        <v>260</v>
      </c>
      <c r="R801" s="1">
        <f>_xlfn.XLOOKUP(C801,Contract!$A$2:$A$9,Contract!$B$2:$B$9)</f>
        <v>0.47</v>
      </c>
      <c r="S801" s="1">
        <f t="shared" si="48"/>
        <v>122.2</v>
      </c>
      <c r="T801" s="1">
        <f t="shared" si="49"/>
        <v>10.64</v>
      </c>
      <c r="U801" s="1" t="str">
        <f t="shared" si="50"/>
        <v>Underpaid</v>
      </c>
      <c r="V801" s="1" t="str">
        <f>_xlfn.XLOOKUP(C801,Payers!$A$2:$A$9,Payers!$B$2:$B$9)</f>
        <v>Keystone Commercial PPO</v>
      </c>
      <c r="W801" s="1" t="str">
        <f t="shared" si="51"/>
        <v>2026-05</v>
      </c>
    </row>
    <row r="802" spans="1:23">
      <c r="A802" s="1" t="s">
        <v>1572</v>
      </c>
      <c r="B802" s="1" t="s">
        <v>782</v>
      </c>
      <c r="C802" s="1" t="s">
        <v>25</v>
      </c>
      <c r="D802" s="1" t="s">
        <v>30</v>
      </c>
      <c r="E802" s="1" t="s">
        <v>31</v>
      </c>
      <c r="F802">
        <v>1</v>
      </c>
      <c r="G802" s="2">
        <v>46150</v>
      </c>
      <c r="H802" s="2">
        <v>46157</v>
      </c>
      <c r="I802">
        <v>61.9</v>
      </c>
      <c r="J802">
        <v>23.05</v>
      </c>
      <c r="K802">
        <v>23.05</v>
      </c>
      <c r="L802">
        <v>0</v>
      </c>
      <c r="M802" s="1" t="s">
        <v>21</v>
      </c>
      <c r="N802" s="1" t="s">
        <v>22</v>
      </c>
      <c r="O802" s="2">
        <v>46178</v>
      </c>
      <c r="P802" s="2">
        <v>46178</v>
      </c>
      <c r="Q802">
        <f>_xlfn.XLOOKUP(E802,CPT!$A$2:$A$13,CPT!$D$2:$D$13)</f>
        <v>62</v>
      </c>
      <c r="R802" s="1">
        <f>_xlfn.XLOOKUP(C802,Contract!$A$2:$A$9,Contract!$B$2:$B$9)</f>
        <v>0.36</v>
      </c>
      <c r="S802" s="1">
        <f t="shared" si="48"/>
        <v>22.32</v>
      </c>
      <c r="T802" s="1">
        <f t="shared" si="49"/>
        <v>-0.73000000000000043</v>
      </c>
      <c r="U802" s="1" t="str">
        <f t="shared" si="50"/>
        <v>OK</v>
      </c>
      <c r="V802" s="1" t="str">
        <f>_xlfn.XLOOKUP(C802,Payers!$A$2:$A$9,Payers!$B$2:$B$9)</f>
        <v>Medicare Part B</v>
      </c>
      <c r="W802" s="1" t="str">
        <f t="shared" si="51"/>
        <v>2026-05</v>
      </c>
    </row>
    <row r="803" spans="1:23">
      <c r="A803" s="1" t="s">
        <v>1573</v>
      </c>
      <c r="B803" s="1" t="s">
        <v>1574</v>
      </c>
      <c r="C803" s="1" t="s">
        <v>60</v>
      </c>
      <c r="D803" s="1" t="s">
        <v>26</v>
      </c>
      <c r="E803" s="1" t="s">
        <v>113</v>
      </c>
      <c r="F803">
        <v>1</v>
      </c>
      <c r="G803" s="2">
        <v>46029</v>
      </c>
      <c r="H803" s="2">
        <v>46032</v>
      </c>
      <c r="I803">
        <v>1077.03</v>
      </c>
      <c r="J803">
        <v>422.98</v>
      </c>
      <c r="K803">
        <v>422.98</v>
      </c>
      <c r="L803">
        <v>0</v>
      </c>
      <c r="M803" s="1" t="s">
        <v>21</v>
      </c>
      <c r="N803" s="1" t="s">
        <v>22</v>
      </c>
      <c r="O803" s="2">
        <v>46075</v>
      </c>
      <c r="P803" s="2">
        <v>46075</v>
      </c>
      <c r="Q803">
        <f>_xlfn.XLOOKUP(E803,CPT!$A$2:$A$13,CPT!$D$2:$D$13)</f>
        <v>1050</v>
      </c>
      <c r="R803" s="1">
        <f>_xlfn.XLOOKUP(C803,Contract!$A$2:$A$9,Contract!$B$2:$B$9)</f>
        <v>0.45</v>
      </c>
      <c r="S803" s="1">
        <f t="shared" si="48"/>
        <v>472.5</v>
      </c>
      <c r="T803" s="1">
        <f t="shared" si="49"/>
        <v>49.519999999999982</v>
      </c>
      <c r="U803" s="1" t="str">
        <f t="shared" si="50"/>
        <v>Underpaid</v>
      </c>
      <c r="V803" s="1" t="str">
        <f>_xlfn.XLOOKUP(C803,Payers!$A$2:$A$9,Payers!$B$2:$B$9)</f>
        <v>Blue Horizon Commercial</v>
      </c>
      <c r="W803" s="1" t="str">
        <f t="shared" si="51"/>
        <v>2026-01</v>
      </c>
    </row>
    <row r="804" spans="1:23">
      <c r="A804" s="1" t="s">
        <v>1575</v>
      </c>
      <c r="B804" s="1" t="s">
        <v>1576</v>
      </c>
      <c r="C804" s="1" t="s">
        <v>18</v>
      </c>
      <c r="D804" s="1" t="s">
        <v>19</v>
      </c>
      <c r="E804" s="1" t="s">
        <v>88</v>
      </c>
      <c r="F804">
        <v>1</v>
      </c>
      <c r="G804" s="2">
        <v>46049</v>
      </c>
      <c r="H804" s="2">
        <v>46052</v>
      </c>
      <c r="I804">
        <v>255.66</v>
      </c>
      <c r="M804" s="1" t="s">
        <v>32</v>
      </c>
      <c r="N804" s="1" t="s">
        <v>124</v>
      </c>
      <c r="O804" s="2">
        <v>46115</v>
      </c>
      <c r="P804" s="2"/>
      <c r="Q804">
        <f>_xlfn.XLOOKUP(E804,CPT!$A$2:$A$13,CPT!$D$2:$D$13)</f>
        <v>260</v>
      </c>
      <c r="R804" s="1">
        <f>_xlfn.XLOOKUP(C804,Contract!$A$2:$A$9,Contract!$B$2:$B$9)</f>
        <v>0.38</v>
      </c>
      <c r="S804" s="1">
        <f t="shared" si="48"/>
        <v>98.8</v>
      </c>
      <c r="T804" s="1" t="str">
        <f t="shared" si="49"/>
        <v/>
      </c>
      <c r="U804" s="1" t="str">
        <f t="shared" si="50"/>
        <v/>
      </c>
      <c r="V804" s="1" t="str">
        <f>_xlfn.XLOOKUP(C804,Payers!$A$2:$A$9,Payers!$B$2:$B$9)</f>
        <v>Sunshine Medicare Advantage</v>
      </c>
      <c r="W804" s="1" t="str">
        <f t="shared" si="51"/>
        <v>2026-01</v>
      </c>
    </row>
    <row r="805" spans="1:23">
      <c r="A805" s="1" t="s">
        <v>1577</v>
      </c>
      <c r="B805" s="1" t="s">
        <v>1578</v>
      </c>
      <c r="C805" s="1" t="s">
        <v>60</v>
      </c>
      <c r="D805" s="1" t="s">
        <v>26</v>
      </c>
      <c r="E805" s="1" t="s">
        <v>88</v>
      </c>
      <c r="F805">
        <v>1</v>
      </c>
      <c r="G805" s="2">
        <v>45931</v>
      </c>
      <c r="H805" s="2">
        <v>45937</v>
      </c>
      <c r="I805">
        <v>253.01</v>
      </c>
      <c r="J805">
        <v>112.86</v>
      </c>
      <c r="K805">
        <v>112.86</v>
      </c>
      <c r="L805">
        <v>0</v>
      </c>
      <c r="M805" s="1" t="s">
        <v>21</v>
      </c>
      <c r="N805" s="1" t="s">
        <v>22</v>
      </c>
      <c r="O805" s="2">
        <v>45970</v>
      </c>
      <c r="P805" s="2">
        <v>45970</v>
      </c>
      <c r="Q805">
        <f>_xlfn.XLOOKUP(E805,CPT!$A$2:$A$13,CPT!$D$2:$D$13)</f>
        <v>260</v>
      </c>
      <c r="R805" s="1">
        <f>_xlfn.XLOOKUP(C805,Contract!$A$2:$A$9,Contract!$B$2:$B$9)</f>
        <v>0.45</v>
      </c>
      <c r="S805" s="1">
        <f t="shared" si="48"/>
        <v>117</v>
      </c>
      <c r="T805" s="1">
        <f t="shared" si="49"/>
        <v>4.1400000000000006</v>
      </c>
      <c r="U805" s="1" t="str">
        <f t="shared" si="50"/>
        <v>OK</v>
      </c>
      <c r="V805" s="1" t="str">
        <f>_xlfn.XLOOKUP(C805,Payers!$A$2:$A$9,Payers!$B$2:$B$9)</f>
        <v>Blue Horizon Commercial</v>
      </c>
      <c r="W805" s="1" t="str">
        <f t="shared" si="51"/>
        <v>2025-10</v>
      </c>
    </row>
    <row r="806" spans="1:23">
      <c r="A806" s="1" t="s">
        <v>1579</v>
      </c>
      <c r="B806" s="1" t="s">
        <v>1580</v>
      </c>
      <c r="C806" s="1" t="s">
        <v>76</v>
      </c>
      <c r="D806" s="1" t="s">
        <v>26</v>
      </c>
      <c r="E806" s="1" t="s">
        <v>113</v>
      </c>
      <c r="F806">
        <v>1</v>
      </c>
      <c r="G806" s="2">
        <v>46086</v>
      </c>
      <c r="H806" s="2">
        <v>46091</v>
      </c>
      <c r="I806">
        <v>1025.53</v>
      </c>
      <c r="J806">
        <v>475.3</v>
      </c>
      <c r="K806">
        <v>427.77</v>
      </c>
      <c r="L806">
        <v>47.53</v>
      </c>
      <c r="M806" s="1" t="s">
        <v>21</v>
      </c>
      <c r="N806" s="1" t="s">
        <v>22</v>
      </c>
      <c r="O806" s="2">
        <v>46129</v>
      </c>
      <c r="P806" s="2">
        <v>46129</v>
      </c>
      <c r="Q806">
        <f>_xlfn.XLOOKUP(E806,CPT!$A$2:$A$13,CPT!$D$2:$D$13)</f>
        <v>1050</v>
      </c>
      <c r="R806" s="1">
        <f>_xlfn.XLOOKUP(C806,Contract!$A$2:$A$9,Contract!$B$2:$B$9)</f>
        <v>0.43</v>
      </c>
      <c r="S806" s="1">
        <f t="shared" si="48"/>
        <v>451.5</v>
      </c>
      <c r="T806" s="1">
        <f t="shared" si="49"/>
        <v>-23.800000000000011</v>
      </c>
      <c r="U806" s="1" t="str">
        <f t="shared" si="50"/>
        <v>OK</v>
      </c>
      <c r="V806" s="1" t="str">
        <f>_xlfn.XLOOKUP(C806,Payers!$A$2:$A$9,Payers!$B$2:$B$9)</f>
        <v>Summit Health Commercial</v>
      </c>
      <c r="W806" s="1" t="str">
        <f t="shared" si="51"/>
        <v>2026-03</v>
      </c>
    </row>
    <row r="807" spans="1:23">
      <c r="A807" s="1" t="s">
        <v>1581</v>
      </c>
      <c r="B807" s="1" t="s">
        <v>1582</v>
      </c>
      <c r="C807" s="1" t="s">
        <v>25</v>
      </c>
      <c r="D807" s="1" t="s">
        <v>37</v>
      </c>
      <c r="E807" s="1" t="s">
        <v>57</v>
      </c>
      <c r="F807">
        <v>1</v>
      </c>
      <c r="G807" s="2">
        <v>46052</v>
      </c>
      <c r="H807" s="2">
        <v>46053</v>
      </c>
      <c r="I807">
        <v>211.89</v>
      </c>
      <c r="J807">
        <v>85.47</v>
      </c>
      <c r="K807">
        <v>85.47</v>
      </c>
      <c r="L807">
        <v>0</v>
      </c>
      <c r="M807" s="1" t="s">
        <v>21</v>
      </c>
      <c r="N807" s="1" t="s">
        <v>22</v>
      </c>
      <c r="O807" s="2">
        <v>46074</v>
      </c>
      <c r="P807" s="2">
        <v>46074</v>
      </c>
      <c r="Q807">
        <f>_xlfn.XLOOKUP(E807,CPT!$A$2:$A$13,CPT!$D$2:$D$13)</f>
        <v>210</v>
      </c>
      <c r="R807" s="1">
        <f>_xlfn.XLOOKUP(C807,Contract!$A$2:$A$9,Contract!$B$2:$B$9)</f>
        <v>0.36</v>
      </c>
      <c r="S807" s="1">
        <f t="shared" si="48"/>
        <v>75.599999999999994</v>
      </c>
      <c r="T807" s="1">
        <f t="shared" si="49"/>
        <v>-9.8700000000000045</v>
      </c>
      <c r="U807" s="1" t="str">
        <f t="shared" si="50"/>
        <v>OK</v>
      </c>
      <c r="V807" s="1" t="str">
        <f>_xlfn.XLOOKUP(C807,Payers!$A$2:$A$9,Payers!$B$2:$B$9)</f>
        <v>Medicare Part B</v>
      </c>
      <c r="W807" s="1" t="str">
        <f t="shared" si="51"/>
        <v>2026-01</v>
      </c>
    </row>
    <row r="808" spans="1:23">
      <c r="A808" s="1" t="s">
        <v>1583</v>
      </c>
      <c r="B808" s="1" t="s">
        <v>1584</v>
      </c>
      <c r="C808" s="1" t="s">
        <v>60</v>
      </c>
      <c r="D808" s="1" t="s">
        <v>37</v>
      </c>
      <c r="E808" s="1" t="s">
        <v>38</v>
      </c>
      <c r="F808">
        <v>10</v>
      </c>
      <c r="G808" s="2">
        <v>46266</v>
      </c>
      <c r="H808" s="2">
        <v>46269</v>
      </c>
      <c r="I808">
        <v>14232.85</v>
      </c>
      <c r="M808" s="1" t="s">
        <v>32</v>
      </c>
      <c r="N808" s="1" t="s">
        <v>124</v>
      </c>
      <c r="O808" s="2">
        <v>46293</v>
      </c>
      <c r="P808" s="2"/>
      <c r="Q808">
        <f>_xlfn.XLOOKUP(E808,CPT!$A$2:$A$13,CPT!$D$2:$D$13)</f>
        <v>1450</v>
      </c>
      <c r="R808" s="1">
        <f>_xlfn.XLOOKUP(C808,Contract!$A$2:$A$9,Contract!$B$2:$B$9)</f>
        <v>0.45</v>
      </c>
      <c r="S808" s="1">
        <f t="shared" si="48"/>
        <v>6525</v>
      </c>
      <c r="T808" s="1" t="str">
        <f t="shared" si="49"/>
        <v/>
      </c>
      <c r="U808" s="1" t="str">
        <f t="shared" si="50"/>
        <v/>
      </c>
      <c r="V808" s="1" t="str">
        <f>_xlfn.XLOOKUP(C808,Payers!$A$2:$A$9,Payers!$B$2:$B$9)</f>
        <v>Blue Horizon Commercial</v>
      </c>
      <c r="W808" s="1" t="str">
        <f t="shared" si="51"/>
        <v>2026-09</v>
      </c>
    </row>
    <row r="809" spans="1:23">
      <c r="A809" s="1" t="s">
        <v>1585</v>
      </c>
      <c r="B809" s="1" t="s">
        <v>1586</v>
      </c>
      <c r="C809" s="1" t="s">
        <v>60</v>
      </c>
      <c r="D809" s="1" t="s">
        <v>37</v>
      </c>
      <c r="E809" s="1" t="s">
        <v>38</v>
      </c>
      <c r="F809">
        <v>20</v>
      </c>
      <c r="G809" s="2">
        <v>46145</v>
      </c>
      <c r="H809" s="2">
        <v>46151</v>
      </c>
      <c r="I809">
        <v>29681.360000000001</v>
      </c>
      <c r="J809">
        <v>13607.37</v>
      </c>
      <c r="K809">
        <v>12246.63</v>
      </c>
      <c r="L809">
        <v>1360.74</v>
      </c>
      <c r="M809" s="1" t="s">
        <v>21</v>
      </c>
      <c r="N809" s="1" t="s">
        <v>22</v>
      </c>
      <c r="O809" s="2">
        <v>46188</v>
      </c>
      <c r="P809" s="2">
        <v>46188</v>
      </c>
      <c r="Q809">
        <f>_xlfn.XLOOKUP(E809,CPT!$A$2:$A$13,CPT!$D$2:$D$13)</f>
        <v>1450</v>
      </c>
      <c r="R809" s="1">
        <f>_xlfn.XLOOKUP(C809,Contract!$A$2:$A$9,Contract!$B$2:$B$9)</f>
        <v>0.45</v>
      </c>
      <c r="S809" s="1">
        <f t="shared" si="48"/>
        <v>13050</v>
      </c>
      <c r="T809" s="1">
        <f t="shared" si="49"/>
        <v>-557.3700000000008</v>
      </c>
      <c r="U809" s="1" t="str">
        <f t="shared" si="50"/>
        <v>OK</v>
      </c>
      <c r="V809" s="1" t="str">
        <f>_xlfn.XLOOKUP(C809,Payers!$A$2:$A$9,Payers!$B$2:$B$9)</f>
        <v>Blue Horizon Commercial</v>
      </c>
      <c r="W809" s="1" t="str">
        <f t="shared" si="51"/>
        <v>2026-05</v>
      </c>
    </row>
    <row r="810" spans="1:23">
      <c r="A810" s="1" t="s">
        <v>1587</v>
      </c>
      <c r="B810" s="1" t="s">
        <v>1588</v>
      </c>
      <c r="C810" s="1" t="s">
        <v>47</v>
      </c>
      <c r="D810" s="1" t="s">
        <v>19</v>
      </c>
      <c r="E810" s="1" t="s">
        <v>20</v>
      </c>
      <c r="F810">
        <v>1</v>
      </c>
      <c r="G810" s="2">
        <v>45965</v>
      </c>
      <c r="H810" s="2">
        <v>45968</v>
      </c>
      <c r="I810">
        <v>144.85</v>
      </c>
      <c r="J810">
        <v>44.07</v>
      </c>
      <c r="K810">
        <v>44.07</v>
      </c>
      <c r="L810">
        <v>0</v>
      </c>
      <c r="M810" s="1" t="s">
        <v>21</v>
      </c>
      <c r="N810" s="1" t="s">
        <v>22</v>
      </c>
      <c r="O810" s="2">
        <v>46036</v>
      </c>
      <c r="P810" s="2">
        <v>46036</v>
      </c>
      <c r="Q810">
        <f>_xlfn.XLOOKUP(E810,CPT!$A$2:$A$13,CPT!$D$2:$D$13)</f>
        <v>145</v>
      </c>
      <c r="R810" s="1">
        <f>_xlfn.XLOOKUP(C810,Contract!$A$2:$A$9,Contract!$B$2:$B$9)</f>
        <v>0.28000000000000003</v>
      </c>
      <c r="S810" s="1">
        <f t="shared" si="48"/>
        <v>40.6</v>
      </c>
      <c r="T810" s="1">
        <f t="shared" si="49"/>
        <v>-3.4699999999999989</v>
      </c>
      <c r="U810" s="1" t="str">
        <f t="shared" si="50"/>
        <v>OK</v>
      </c>
      <c r="V810" s="1" t="str">
        <f>_xlfn.XLOOKUP(C810,Payers!$A$2:$A$9,Payers!$B$2:$B$9)</f>
        <v>Coastal Medicaid MCO</v>
      </c>
      <c r="W810" s="1" t="str">
        <f t="shared" si="51"/>
        <v>2025-11</v>
      </c>
    </row>
    <row r="811" spans="1:23">
      <c r="A811" s="1" t="s">
        <v>1589</v>
      </c>
      <c r="B811" s="1" t="s">
        <v>1590</v>
      </c>
      <c r="C811" s="1" t="s">
        <v>60</v>
      </c>
      <c r="D811" s="1" t="s">
        <v>26</v>
      </c>
      <c r="E811" s="1" t="s">
        <v>27</v>
      </c>
      <c r="F811">
        <v>1</v>
      </c>
      <c r="G811" s="2">
        <v>46286</v>
      </c>
      <c r="H811" s="2">
        <v>46293</v>
      </c>
      <c r="I811">
        <v>235.54</v>
      </c>
      <c r="M811" s="1" t="s">
        <v>69</v>
      </c>
      <c r="N811" s="1" t="s">
        <v>22</v>
      </c>
      <c r="O811" s="2"/>
      <c r="P811" s="2"/>
      <c r="Q811">
        <f>_xlfn.XLOOKUP(E811,CPT!$A$2:$A$13,CPT!$D$2:$D$13)</f>
        <v>240</v>
      </c>
      <c r="R811" s="1">
        <f>_xlfn.XLOOKUP(C811,Contract!$A$2:$A$9,Contract!$B$2:$B$9)</f>
        <v>0.45</v>
      </c>
      <c r="S811" s="1">
        <f t="shared" si="48"/>
        <v>108</v>
      </c>
      <c r="T811" s="1" t="str">
        <f t="shared" si="49"/>
        <v/>
      </c>
      <c r="U811" s="1" t="str">
        <f t="shared" si="50"/>
        <v/>
      </c>
      <c r="V811" s="1" t="str">
        <f>_xlfn.XLOOKUP(C811,Payers!$A$2:$A$9,Payers!$B$2:$B$9)</f>
        <v>Blue Horizon Commercial</v>
      </c>
      <c r="W811" s="1" t="str">
        <f t="shared" si="51"/>
        <v>2026-09</v>
      </c>
    </row>
    <row r="812" spans="1:23">
      <c r="A812" s="1" t="s">
        <v>1591</v>
      </c>
      <c r="B812" s="1" t="s">
        <v>1592</v>
      </c>
      <c r="C812" s="1" t="s">
        <v>52</v>
      </c>
      <c r="D812" s="1" t="s">
        <v>30</v>
      </c>
      <c r="E812" s="1" t="s">
        <v>31</v>
      </c>
      <c r="F812">
        <v>2</v>
      </c>
      <c r="G812" s="2">
        <v>46191</v>
      </c>
      <c r="H812" s="2">
        <v>46193</v>
      </c>
      <c r="I812">
        <v>124.46</v>
      </c>
      <c r="J812">
        <v>49.73</v>
      </c>
      <c r="K812">
        <v>49.73</v>
      </c>
      <c r="L812">
        <v>0</v>
      </c>
      <c r="M812" s="1" t="s">
        <v>21</v>
      </c>
      <c r="N812" s="1" t="s">
        <v>22</v>
      </c>
      <c r="O812" s="2">
        <v>46221</v>
      </c>
      <c r="P812" s="2">
        <v>46221</v>
      </c>
      <c r="Q812">
        <f>_xlfn.XLOOKUP(E812,CPT!$A$2:$A$13,CPT!$D$2:$D$13)</f>
        <v>62</v>
      </c>
      <c r="R812" s="1">
        <f>_xlfn.XLOOKUP(C812,Contract!$A$2:$A$9,Contract!$B$2:$B$9)</f>
        <v>0.47</v>
      </c>
      <c r="S812" s="1">
        <f t="shared" si="48"/>
        <v>58.28</v>
      </c>
      <c r="T812" s="1">
        <f t="shared" si="49"/>
        <v>8.5500000000000043</v>
      </c>
      <c r="U812" s="1" t="str">
        <f t="shared" si="50"/>
        <v>Underpaid</v>
      </c>
      <c r="V812" s="1" t="str">
        <f>_xlfn.XLOOKUP(C812,Payers!$A$2:$A$9,Payers!$B$2:$B$9)</f>
        <v>Keystone Commercial PPO</v>
      </c>
      <c r="W812" s="1" t="str">
        <f t="shared" si="51"/>
        <v>2026-06</v>
      </c>
    </row>
    <row r="813" spans="1:23">
      <c r="A813" s="1" t="s">
        <v>1593</v>
      </c>
      <c r="B813" s="1" t="s">
        <v>1594</v>
      </c>
      <c r="C813" s="1" t="s">
        <v>76</v>
      </c>
      <c r="D813" s="1" t="s">
        <v>19</v>
      </c>
      <c r="E813" s="1" t="s">
        <v>88</v>
      </c>
      <c r="F813">
        <v>1</v>
      </c>
      <c r="G813" s="2">
        <v>46043</v>
      </c>
      <c r="H813" s="2">
        <v>46045</v>
      </c>
      <c r="I813">
        <v>256.82</v>
      </c>
      <c r="M813" s="1" t="s">
        <v>32</v>
      </c>
      <c r="N813" s="1" t="s">
        <v>33</v>
      </c>
      <c r="O813" s="2">
        <v>46071</v>
      </c>
      <c r="P813" s="2"/>
      <c r="Q813">
        <f>_xlfn.XLOOKUP(E813,CPT!$A$2:$A$13,CPT!$D$2:$D$13)</f>
        <v>260</v>
      </c>
      <c r="R813" s="1">
        <f>_xlfn.XLOOKUP(C813,Contract!$A$2:$A$9,Contract!$B$2:$B$9)</f>
        <v>0.43</v>
      </c>
      <c r="S813" s="1">
        <f t="shared" si="48"/>
        <v>111.8</v>
      </c>
      <c r="T813" s="1" t="str">
        <f t="shared" si="49"/>
        <v/>
      </c>
      <c r="U813" s="1" t="str">
        <f t="shared" si="50"/>
        <v/>
      </c>
      <c r="V813" s="1" t="str">
        <f>_xlfn.XLOOKUP(C813,Payers!$A$2:$A$9,Payers!$B$2:$B$9)</f>
        <v>Summit Health Commercial</v>
      </c>
      <c r="W813" s="1" t="str">
        <f t="shared" si="51"/>
        <v>2026-01</v>
      </c>
    </row>
    <row r="814" spans="1:23">
      <c r="A814" s="1" t="s">
        <v>1595</v>
      </c>
      <c r="B814" s="1" t="s">
        <v>1596</v>
      </c>
      <c r="C814" s="1" t="s">
        <v>60</v>
      </c>
      <c r="D814" s="1" t="s">
        <v>26</v>
      </c>
      <c r="E814" s="1" t="s">
        <v>44</v>
      </c>
      <c r="F814">
        <v>1</v>
      </c>
      <c r="G814" s="2">
        <v>46058</v>
      </c>
      <c r="H814" s="2">
        <v>46059</v>
      </c>
      <c r="I814">
        <v>4940.99</v>
      </c>
      <c r="M814" s="1" t="s">
        <v>32</v>
      </c>
      <c r="N814" s="1" t="s">
        <v>33</v>
      </c>
      <c r="O814" s="2">
        <v>46094</v>
      </c>
      <c r="P814" s="2"/>
      <c r="Q814">
        <f>_xlfn.XLOOKUP(E814,CPT!$A$2:$A$13,CPT!$D$2:$D$13)</f>
        <v>4800</v>
      </c>
      <c r="R814" s="1">
        <f>_xlfn.XLOOKUP(C814,Contract!$A$2:$A$9,Contract!$B$2:$B$9)</f>
        <v>0.45</v>
      </c>
      <c r="S814" s="1">
        <f t="shared" si="48"/>
        <v>2160</v>
      </c>
      <c r="T814" s="1" t="str">
        <f t="shared" si="49"/>
        <v/>
      </c>
      <c r="U814" s="1" t="str">
        <f t="shared" si="50"/>
        <v/>
      </c>
      <c r="V814" s="1" t="str">
        <f>_xlfn.XLOOKUP(C814,Payers!$A$2:$A$9,Payers!$B$2:$B$9)</f>
        <v>Blue Horizon Commercial</v>
      </c>
      <c r="W814" s="1" t="str">
        <f t="shared" si="51"/>
        <v>2026-02</v>
      </c>
    </row>
    <row r="815" spans="1:23">
      <c r="A815" s="1" t="s">
        <v>1597</v>
      </c>
      <c r="B815" s="1" t="s">
        <v>1598</v>
      </c>
      <c r="C815" s="1" t="s">
        <v>76</v>
      </c>
      <c r="D815" s="1" t="s">
        <v>26</v>
      </c>
      <c r="E815" s="1" t="s">
        <v>57</v>
      </c>
      <c r="F815">
        <v>1</v>
      </c>
      <c r="G815" s="2">
        <v>46244</v>
      </c>
      <c r="H815" s="2">
        <v>46261</v>
      </c>
      <c r="I815">
        <v>207.42</v>
      </c>
      <c r="J815">
        <v>75.17</v>
      </c>
      <c r="K815">
        <v>67.650000000000006</v>
      </c>
      <c r="L815">
        <v>7.52</v>
      </c>
      <c r="M815" s="1" t="s">
        <v>21</v>
      </c>
      <c r="N815" s="1" t="s">
        <v>22</v>
      </c>
      <c r="O815" s="2">
        <v>46291</v>
      </c>
      <c r="P815" s="2">
        <v>46291</v>
      </c>
      <c r="Q815">
        <f>_xlfn.XLOOKUP(E815,CPT!$A$2:$A$13,CPT!$D$2:$D$13)</f>
        <v>210</v>
      </c>
      <c r="R815" s="1">
        <f>_xlfn.XLOOKUP(C815,Contract!$A$2:$A$9,Contract!$B$2:$B$9)</f>
        <v>0.43</v>
      </c>
      <c r="S815" s="1">
        <f t="shared" si="48"/>
        <v>90.3</v>
      </c>
      <c r="T815" s="1">
        <f t="shared" si="49"/>
        <v>15.129999999999995</v>
      </c>
      <c r="U815" s="1" t="str">
        <f t="shared" si="50"/>
        <v>Underpaid</v>
      </c>
      <c r="V815" s="1" t="str">
        <f>_xlfn.XLOOKUP(C815,Payers!$A$2:$A$9,Payers!$B$2:$B$9)</f>
        <v>Summit Health Commercial</v>
      </c>
      <c r="W815" s="1" t="str">
        <f t="shared" si="51"/>
        <v>2026-08</v>
      </c>
    </row>
    <row r="816" spans="1:23">
      <c r="A816" s="1" t="s">
        <v>1599</v>
      </c>
      <c r="B816" s="1" t="s">
        <v>1600</v>
      </c>
      <c r="C816" s="1" t="s">
        <v>60</v>
      </c>
      <c r="D816" s="1" t="s">
        <v>37</v>
      </c>
      <c r="E816" s="1" t="s">
        <v>48</v>
      </c>
      <c r="F816">
        <v>1</v>
      </c>
      <c r="G816" s="2">
        <v>45939</v>
      </c>
      <c r="H816" s="2">
        <v>45955</v>
      </c>
      <c r="I816">
        <v>420.94</v>
      </c>
      <c r="J816">
        <v>205.95</v>
      </c>
      <c r="K816">
        <v>164.76</v>
      </c>
      <c r="L816">
        <v>41.19</v>
      </c>
      <c r="M816" s="1" t="s">
        <v>21</v>
      </c>
      <c r="N816" s="1" t="s">
        <v>22</v>
      </c>
      <c r="O816" s="2">
        <v>45993</v>
      </c>
      <c r="P816" s="2">
        <v>45993</v>
      </c>
      <c r="Q816">
        <f>_xlfn.XLOOKUP(E816,CPT!$A$2:$A$13,CPT!$D$2:$D$13)</f>
        <v>420</v>
      </c>
      <c r="R816" s="1">
        <f>_xlfn.XLOOKUP(C816,Contract!$A$2:$A$9,Contract!$B$2:$B$9)</f>
        <v>0.45</v>
      </c>
      <c r="S816" s="1">
        <f t="shared" si="48"/>
        <v>189</v>
      </c>
      <c r="T816" s="1">
        <f t="shared" si="49"/>
        <v>-16.949999999999989</v>
      </c>
      <c r="U816" s="1" t="str">
        <f t="shared" si="50"/>
        <v>OK</v>
      </c>
      <c r="V816" s="1" t="str">
        <f>_xlfn.XLOOKUP(C816,Payers!$A$2:$A$9,Payers!$B$2:$B$9)</f>
        <v>Blue Horizon Commercial</v>
      </c>
      <c r="W816" s="1" t="str">
        <f t="shared" si="51"/>
        <v>2025-10</v>
      </c>
    </row>
    <row r="817" spans="1:23">
      <c r="A817" s="1" t="s">
        <v>1601</v>
      </c>
      <c r="B817" s="1" t="s">
        <v>261</v>
      </c>
      <c r="C817" s="1" t="s">
        <v>25</v>
      </c>
      <c r="D817" s="1" t="s">
        <v>26</v>
      </c>
      <c r="E817" s="1" t="s">
        <v>41</v>
      </c>
      <c r="F817">
        <v>1</v>
      </c>
      <c r="G817" s="2">
        <v>46213</v>
      </c>
      <c r="H817" s="2">
        <v>46216</v>
      </c>
      <c r="I817">
        <v>37.33</v>
      </c>
      <c r="J817">
        <v>12.2</v>
      </c>
      <c r="K817">
        <v>9.76</v>
      </c>
      <c r="L817">
        <v>2.44</v>
      </c>
      <c r="M817" s="1" t="s">
        <v>21</v>
      </c>
      <c r="N817" s="1" t="s">
        <v>22</v>
      </c>
      <c r="O817" s="2">
        <v>46239</v>
      </c>
      <c r="P817" s="2">
        <v>46239</v>
      </c>
      <c r="Q817">
        <f>_xlfn.XLOOKUP(E817,CPT!$A$2:$A$13,CPT!$D$2:$D$13)</f>
        <v>38</v>
      </c>
      <c r="R817" s="1">
        <f>_xlfn.XLOOKUP(C817,Contract!$A$2:$A$9,Contract!$B$2:$B$9)</f>
        <v>0.36</v>
      </c>
      <c r="S817" s="1">
        <f t="shared" si="48"/>
        <v>13.68</v>
      </c>
      <c r="T817" s="1">
        <f t="shared" si="49"/>
        <v>1.4800000000000004</v>
      </c>
      <c r="U817" s="1" t="str">
        <f t="shared" si="50"/>
        <v>Underpaid</v>
      </c>
      <c r="V817" s="1" t="str">
        <f>_xlfn.XLOOKUP(C817,Payers!$A$2:$A$9,Payers!$B$2:$B$9)</f>
        <v>Medicare Part B</v>
      </c>
      <c r="W817" s="1" t="str">
        <f t="shared" si="51"/>
        <v>2026-07</v>
      </c>
    </row>
    <row r="818" spans="1:23">
      <c r="A818" s="1" t="s">
        <v>1602</v>
      </c>
      <c r="B818" s="1" t="s">
        <v>1603</v>
      </c>
      <c r="C818" s="1" t="s">
        <v>76</v>
      </c>
      <c r="D818" s="1" t="s">
        <v>19</v>
      </c>
      <c r="E818" s="1" t="s">
        <v>41</v>
      </c>
      <c r="F818">
        <v>1</v>
      </c>
      <c r="G818" s="2">
        <v>46176</v>
      </c>
      <c r="H818" s="2">
        <v>46177</v>
      </c>
      <c r="I818">
        <v>37.07</v>
      </c>
      <c r="J818">
        <v>17.63</v>
      </c>
      <c r="K818">
        <v>17.63</v>
      </c>
      <c r="L818">
        <v>0</v>
      </c>
      <c r="M818" s="1" t="s">
        <v>21</v>
      </c>
      <c r="N818" s="1" t="s">
        <v>22</v>
      </c>
      <c r="O818" s="2">
        <v>46213</v>
      </c>
      <c r="P818" s="2">
        <v>46213</v>
      </c>
      <c r="Q818">
        <f>_xlfn.XLOOKUP(E818,CPT!$A$2:$A$13,CPT!$D$2:$D$13)</f>
        <v>38</v>
      </c>
      <c r="R818" s="1">
        <f>_xlfn.XLOOKUP(C818,Contract!$A$2:$A$9,Contract!$B$2:$B$9)</f>
        <v>0.43</v>
      </c>
      <c r="S818" s="1">
        <f t="shared" si="48"/>
        <v>16.34</v>
      </c>
      <c r="T818" s="1">
        <f t="shared" si="49"/>
        <v>-1.2899999999999991</v>
      </c>
      <c r="U818" s="1" t="str">
        <f t="shared" si="50"/>
        <v>OK</v>
      </c>
      <c r="V818" s="1" t="str">
        <f>_xlfn.XLOOKUP(C818,Payers!$A$2:$A$9,Payers!$B$2:$B$9)</f>
        <v>Summit Health Commercial</v>
      </c>
      <c r="W818" s="1" t="str">
        <f t="shared" si="51"/>
        <v>2026-06</v>
      </c>
    </row>
    <row r="819" spans="1:23">
      <c r="A819" s="1" t="s">
        <v>1604</v>
      </c>
      <c r="B819" s="1" t="s">
        <v>1605</v>
      </c>
      <c r="C819" s="1" t="s">
        <v>60</v>
      </c>
      <c r="D819" s="1" t="s">
        <v>26</v>
      </c>
      <c r="E819" s="1" t="s">
        <v>185</v>
      </c>
      <c r="F819">
        <v>1</v>
      </c>
      <c r="G819" s="2">
        <v>46021</v>
      </c>
      <c r="H819" s="2">
        <v>46026</v>
      </c>
      <c r="I819">
        <v>1171.9100000000001</v>
      </c>
      <c r="M819" s="1" t="s">
        <v>32</v>
      </c>
      <c r="N819" s="1" t="s">
        <v>315</v>
      </c>
      <c r="O819" s="2">
        <v>46063</v>
      </c>
      <c r="P819" s="2"/>
      <c r="Q819">
        <f>_xlfn.XLOOKUP(E819,CPT!$A$2:$A$13,CPT!$D$2:$D$13)</f>
        <v>1150</v>
      </c>
      <c r="R819" s="1">
        <f>_xlfn.XLOOKUP(C819,Contract!$A$2:$A$9,Contract!$B$2:$B$9)</f>
        <v>0.45</v>
      </c>
      <c r="S819" s="1">
        <f t="shared" si="48"/>
        <v>517.5</v>
      </c>
      <c r="T819" s="1" t="str">
        <f t="shared" si="49"/>
        <v/>
      </c>
      <c r="U819" s="1" t="str">
        <f t="shared" si="50"/>
        <v/>
      </c>
      <c r="V819" s="1" t="str">
        <f>_xlfn.XLOOKUP(C819,Payers!$A$2:$A$9,Payers!$B$2:$B$9)</f>
        <v>Blue Horizon Commercial</v>
      </c>
      <c r="W819" s="1" t="str">
        <f t="shared" si="51"/>
        <v>2025-12</v>
      </c>
    </row>
    <row r="820" spans="1:23">
      <c r="A820" s="1" t="s">
        <v>1606</v>
      </c>
      <c r="B820" s="1" t="s">
        <v>1607</v>
      </c>
      <c r="C820" s="1" t="s">
        <v>18</v>
      </c>
      <c r="D820" s="1" t="s">
        <v>30</v>
      </c>
      <c r="E820" s="1" t="s">
        <v>31</v>
      </c>
      <c r="F820">
        <v>4</v>
      </c>
      <c r="G820" s="2">
        <v>46001</v>
      </c>
      <c r="H820" s="2">
        <v>46120</v>
      </c>
      <c r="I820">
        <v>251.73</v>
      </c>
      <c r="M820" s="1" t="s">
        <v>32</v>
      </c>
      <c r="N820" s="1" t="s">
        <v>137</v>
      </c>
      <c r="O820" s="2">
        <v>46173</v>
      </c>
      <c r="P820" s="2"/>
      <c r="Q820">
        <f>_xlfn.XLOOKUP(E820,CPT!$A$2:$A$13,CPT!$D$2:$D$13)</f>
        <v>62</v>
      </c>
      <c r="R820" s="1">
        <f>_xlfn.XLOOKUP(C820,Contract!$A$2:$A$9,Contract!$B$2:$B$9)</f>
        <v>0.38</v>
      </c>
      <c r="S820" s="1">
        <f t="shared" si="48"/>
        <v>94.24</v>
      </c>
      <c r="T820" s="1" t="str">
        <f t="shared" si="49"/>
        <v/>
      </c>
      <c r="U820" s="1" t="str">
        <f t="shared" si="50"/>
        <v/>
      </c>
      <c r="V820" s="1" t="str">
        <f>_xlfn.XLOOKUP(C820,Payers!$A$2:$A$9,Payers!$B$2:$B$9)</f>
        <v>Sunshine Medicare Advantage</v>
      </c>
      <c r="W820" s="1" t="str">
        <f t="shared" si="51"/>
        <v>2025-12</v>
      </c>
    </row>
    <row r="821" spans="1:23">
      <c r="A821" s="1" t="s">
        <v>1608</v>
      </c>
      <c r="B821" s="1" t="s">
        <v>1167</v>
      </c>
      <c r="C821" s="1" t="s">
        <v>60</v>
      </c>
      <c r="D821" s="1" t="s">
        <v>26</v>
      </c>
      <c r="E821" s="1" t="s">
        <v>44</v>
      </c>
      <c r="F821">
        <v>1</v>
      </c>
      <c r="G821" s="2">
        <v>46004</v>
      </c>
      <c r="H821" s="2">
        <v>46008</v>
      </c>
      <c r="I821">
        <v>4926.32</v>
      </c>
      <c r="J821">
        <v>1878.48</v>
      </c>
      <c r="K821">
        <v>1878.48</v>
      </c>
      <c r="L821">
        <v>0</v>
      </c>
      <c r="M821" s="1" t="s">
        <v>21</v>
      </c>
      <c r="N821" s="1" t="s">
        <v>22</v>
      </c>
      <c r="O821" s="2">
        <v>46023</v>
      </c>
      <c r="P821" s="2">
        <v>46023</v>
      </c>
      <c r="Q821">
        <f>_xlfn.XLOOKUP(E821,CPT!$A$2:$A$13,CPT!$D$2:$D$13)</f>
        <v>4800</v>
      </c>
      <c r="R821" s="1">
        <f>_xlfn.XLOOKUP(C821,Contract!$A$2:$A$9,Contract!$B$2:$B$9)</f>
        <v>0.45</v>
      </c>
      <c r="S821" s="1">
        <f t="shared" si="48"/>
        <v>2160</v>
      </c>
      <c r="T821" s="1">
        <f t="shared" si="49"/>
        <v>281.52</v>
      </c>
      <c r="U821" s="1" t="str">
        <f t="shared" si="50"/>
        <v>Underpaid</v>
      </c>
      <c r="V821" s="1" t="str">
        <f>_xlfn.XLOOKUP(C821,Payers!$A$2:$A$9,Payers!$B$2:$B$9)</f>
        <v>Blue Horizon Commercial</v>
      </c>
      <c r="W821" s="1" t="str">
        <f t="shared" si="51"/>
        <v>2025-12</v>
      </c>
    </row>
    <row r="822" spans="1:23">
      <c r="A822" s="1" t="s">
        <v>1609</v>
      </c>
      <c r="B822" s="1" t="s">
        <v>1610</v>
      </c>
      <c r="C822" s="1" t="s">
        <v>36</v>
      </c>
      <c r="D822" s="1" t="s">
        <v>37</v>
      </c>
      <c r="E822" s="1" t="s">
        <v>48</v>
      </c>
      <c r="F822">
        <v>1</v>
      </c>
      <c r="G822" s="2">
        <v>45974</v>
      </c>
      <c r="H822" s="2">
        <v>45977</v>
      </c>
      <c r="I822">
        <v>412.5</v>
      </c>
      <c r="J822">
        <v>109.45</v>
      </c>
      <c r="K822">
        <v>109.45</v>
      </c>
      <c r="L822">
        <v>0</v>
      </c>
      <c r="M822" s="1" t="s">
        <v>21</v>
      </c>
      <c r="N822" s="1" t="s">
        <v>22</v>
      </c>
      <c r="O822" s="2">
        <v>46022</v>
      </c>
      <c r="P822" s="2">
        <v>46022</v>
      </c>
      <c r="Q822">
        <f>_xlfn.XLOOKUP(E822,CPT!$A$2:$A$13,CPT!$D$2:$D$13)</f>
        <v>420</v>
      </c>
      <c r="R822" s="1">
        <f>_xlfn.XLOOKUP(C822,Contract!$A$2:$A$9,Contract!$B$2:$B$9)</f>
        <v>0.27</v>
      </c>
      <c r="S822" s="1">
        <f t="shared" si="48"/>
        <v>113.4</v>
      </c>
      <c r="T822" s="1">
        <f t="shared" si="49"/>
        <v>3.9500000000000028</v>
      </c>
      <c r="U822" s="1" t="str">
        <f t="shared" si="50"/>
        <v>OK</v>
      </c>
      <c r="V822" s="1" t="str">
        <f>_xlfn.XLOOKUP(C822,Payers!$A$2:$A$9,Payers!$B$2:$B$9)</f>
        <v>Florida Medicaid</v>
      </c>
      <c r="W822" s="1" t="str">
        <f t="shared" si="51"/>
        <v>2025-11</v>
      </c>
    </row>
    <row r="823" spans="1:23">
      <c r="A823" s="1" t="s">
        <v>1611</v>
      </c>
      <c r="B823" s="1" t="s">
        <v>1612</v>
      </c>
      <c r="C823" s="1" t="s">
        <v>76</v>
      </c>
      <c r="D823" s="1" t="s">
        <v>26</v>
      </c>
      <c r="E823" s="1" t="s">
        <v>41</v>
      </c>
      <c r="F823">
        <v>1</v>
      </c>
      <c r="G823" s="2">
        <v>46209</v>
      </c>
      <c r="H823" s="2">
        <v>46216</v>
      </c>
      <c r="I823">
        <v>37.14</v>
      </c>
      <c r="M823" s="1" t="s">
        <v>32</v>
      </c>
      <c r="N823" s="1" t="s">
        <v>33</v>
      </c>
      <c r="O823" s="2">
        <v>46255</v>
      </c>
      <c r="P823" s="2"/>
      <c r="Q823">
        <f>_xlfn.XLOOKUP(E823,CPT!$A$2:$A$13,CPT!$D$2:$D$13)</f>
        <v>38</v>
      </c>
      <c r="R823" s="1">
        <f>_xlfn.XLOOKUP(C823,Contract!$A$2:$A$9,Contract!$B$2:$B$9)</f>
        <v>0.43</v>
      </c>
      <c r="S823" s="1">
        <f t="shared" si="48"/>
        <v>16.34</v>
      </c>
      <c r="T823" s="1" t="str">
        <f t="shared" si="49"/>
        <v/>
      </c>
      <c r="U823" s="1" t="str">
        <f t="shared" si="50"/>
        <v/>
      </c>
      <c r="V823" s="1" t="str">
        <f>_xlfn.XLOOKUP(C823,Payers!$A$2:$A$9,Payers!$B$2:$B$9)</f>
        <v>Summit Health Commercial</v>
      </c>
      <c r="W823" s="1" t="str">
        <f t="shared" si="51"/>
        <v>2026-07</v>
      </c>
    </row>
    <row r="824" spans="1:23">
      <c r="A824" s="1" t="s">
        <v>1613</v>
      </c>
      <c r="B824" s="1" t="s">
        <v>1614</v>
      </c>
      <c r="C824" s="1" t="s">
        <v>76</v>
      </c>
      <c r="D824" s="1" t="s">
        <v>26</v>
      </c>
      <c r="E824" s="1" t="s">
        <v>41</v>
      </c>
      <c r="F824">
        <v>1</v>
      </c>
      <c r="G824" s="2">
        <v>46281</v>
      </c>
      <c r="H824" s="2">
        <v>46290</v>
      </c>
      <c r="I824">
        <v>37.74</v>
      </c>
      <c r="M824" s="1" t="s">
        <v>69</v>
      </c>
      <c r="N824" s="1" t="s">
        <v>22</v>
      </c>
      <c r="O824" s="2"/>
      <c r="P824" s="2"/>
      <c r="Q824">
        <f>_xlfn.XLOOKUP(E824,CPT!$A$2:$A$13,CPT!$D$2:$D$13)</f>
        <v>38</v>
      </c>
      <c r="R824" s="1">
        <f>_xlfn.XLOOKUP(C824,Contract!$A$2:$A$9,Contract!$B$2:$B$9)</f>
        <v>0.43</v>
      </c>
      <c r="S824" s="1">
        <f t="shared" si="48"/>
        <v>16.34</v>
      </c>
      <c r="T824" s="1" t="str">
        <f t="shared" si="49"/>
        <v/>
      </c>
      <c r="U824" s="1" t="str">
        <f t="shared" si="50"/>
        <v/>
      </c>
      <c r="V824" s="1" t="str">
        <f>_xlfn.XLOOKUP(C824,Payers!$A$2:$A$9,Payers!$B$2:$B$9)</f>
        <v>Summit Health Commercial</v>
      </c>
      <c r="W824" s="1" t="str">
        <f t="shared" si="51"/>
        <v>2026-09</v>
      </c>
    </row>
    <row r="825" spans="1:23">
      <c r="A825" s="1" t="s">
        <v>1615</v>
      </c>
      <c r="B825" s="1" t="s">
        <v>1616</v>
      </c>
      <c r="C825" s="1" t="s">
        <v>76</v>
      </c>
      <c r="D825" s="1" t="s">
        <v>30</v>
      </c>
      <c r="E825" s="1" t="s">
        <v>91</v>
      </c>
      <c r="F825">
        <v>1</v>
      </c>
      <c r="G825" s="2">
        <v>46246</v>
      </c>
      <c r="H825" s="2">
        <v>46257</v>
      </c>
      <c r="I825">
        <v>56.67</v>
      </c>
      <c r="J825">
        <v>25.01</v>
      </c>
      <c r="K825">
        <v>25.01</v>
      </c>
      <c r="L825">
        <v>0</v>
      </c>
      <c r="M825" s="1" t="s">
        <v>21</v>
      </c>
      <c r="N825" s="1" t="s">
        <v>22</v>
      </c>
      <c r="O825" s="2">
        <v>46293</v>
      </c>
      <c r="P825" s="2">
        <v>46293</v>
      </c>
      <c r="Q825">
        <f>_xlfn.XLOOKUP(E825,CPT!$A$2:$A$13,CPT!$D$2:$D$13)</f>
        <v>58</v>
      </c>
      <c r="R825" s="1">
        <f>_xlfn.XLOOKUP(C825,Contract!$A$2:$A$9,Contract!$B$2:$B$9)</f>
        <v>0.43</v>
      </c>
      <c r="S825" s="1">
        <f t="shared" si="48"/>
        <v>24.94</v>
      </c>
      <c r="T825" s="1">
        <f t="shared" si="49"/>
        <v>-7.0000000000000284E-2</v>
      </c>
      <c r="U825" s="1" t="str">
        <f t="shared" si="50"/>
        <v>OK</v>
      </c>
      <c r="V825" s="1" t="str">
        <f>_xlfn.XLOOKUP(C825,Payers!$A$2:$A$9,Payers!$B$2:$B$9)</f>
        <v>Summit Health Commercial</v>
      </c>
      <c r="W825" s="1" t="str">
        <f t="shared" si="51"/>
        <v>2026-08</v>
      </c>
    </row>
    <row r="826" spans="1:23">
      <c r="A826" s="1" t="s">
        <v>1617</v>
      </c>
      <c r="B826" s="1" t="s">
        <v>1618</v>
      </c>
      <c r="C826" s="1" t="s">
        <v>18</v>
      </c>
      <c r="D826" s="1" t="s">
        <v>19</v>
      </c>
      <c r="E826" s="1" t="s">
        <v>57</v>
      </c>
      <c r="F826">
        <v>1</v>
      </c>
      <c r="G826" s="2">
        <v>46007</v>
      </c>
      <c r="H826" s="2">
        <v>46012</v>
      </c>
      <c r="I826">
        <v>214.95</v>
      </c>
      <c r="J826">
        <v>76.77</v>
      </c>
      <c r="K826">
        <v>61.42</v>
      </c>
      <c r="L826">
        <v>15.35</v>
      </c>
      <c r="M826" s="1" t="s">
        <v>21</v>
      </c>
      <c r="N826" s="1" t="s">
        <v>22</v>
      </c>
      <c r="O826" s="2">
        <v>46072</v>
      </c>
      <c r="P826" s="2">
        <v>46072</v>
      </c>
      <c r="Q826">
        <f>_xlfn.XLOOKUP(E826,CPT!$A$2:$A$13,CPT!$D$2:$D$13)</f>
        <v>210</v>
      </c>
      <c r="R826" s="1">
        <f>_xlfn.XLOOKUP(C826,Contract!$A$2:$A$9,Contract!$B$2:$B$9)</f>
        <v>0.38</v>
      </c>
      <c r="S826" s="1">
        <f t="shared" si="48"/>
        <v>79.8</v>
      </c>
      <c r="T826" s="1">
        <f t="shared" si="49"/>
        <v>3.0300000000000011</v>
      </c>
      <c r="U826" s="1" t="str">
        <f t="shared" si="50"/>
        <v>OK</v>
      </c>
      <c r="V826" s="1" t="str">
        <f>_xlfn.XLOOKUP(C826,Payers!$A$2:$A$9,Payers!$B$2:$B$9)</f>
        <v>Sunshine Medicare Advantage</v>
      </c>
      <c r="W826" s="1" t="str">
        <f t="shared" si="51"/>
        <v>2025-12</v>
      </c>
    </row>
    <row r="827" spans="1:23">
      <c r="A827" s="1" t="s">
        <v>1619</v>
      </c>
      <c r="B827" s="1" t="s">
        <v>1620</v>
      </c>
      <c r="C827" s="1" t="s">
        <v>36</v>
      </c>
      <c r="D827" s="1" t="s">
        <v>30</v>
      </c>
      <c r="E827" s="1" t="s">
        <v>31</v>
      </c>
      <c r="F827">
        <v>1</v>
      </c>
      <c r="G827" s="2">
        <v>46006</v>
      </c>
      <c r="H827" s="2">
        <v>46009</v>
      </c>
      <c r="I827">
        <v>60.69</v>
      </c>
      <c r="J827">
        <v>17.989999999999998</v>
      </c>
      <c r="K827">
        <v>17.989999999999998</v>
      </c>
      <c r="L827">
        <v>0</v>
      </c>
      <c r="M827" s="1" t="s">
        <v>21</v>
      </c>
      <c r="N827" s="1" t="s">
        <v>22</v>
      </c>
      <c r="O827" s="2">
        <v>46042</v>
      </c>
      <c r="P827" s="2">
        <v>46042</v>
      </c>
      <c r="Q827">
        <f>_xlfn.XLOOKUP(E827,CPT!$A$2:$A$13,CPT!$D$2:$D$13)</f>
        <v>62</v>
      </c>
      <c r="R827" s="1">
        <f>_xlfn.XLOOKUP(C827,Contract!$A$2:$A$9,Contract!$B$2:$B$9)</f>
        <v>0.27</v>
      </c>
      <c r="S827" s="1">
        <f t="shared" si="48"/>
        <v>16.739999999999998</v>
      </c>
      <c r="T827" s="1">
        <f t="shared" si="49"/>
        <v>-1.25</v>
      </c>
      <c r="U827" s="1" t="str">
        <f t="shared" si="50"/>
        <v>OK</v>
      </c>
      <c r="V827" s="1" t="str">
        <f>_xlfn.XLOOKUP(C827,Payers!$A$2:$A$9,Payers!$B$2:$B$9)</f>
        <v>Florida Medicaid</v>
      </c>
      <c r="W827" s="1" t="str">
        <f t="shared" si="51"/>
        <v>2025-12</v>
      </c>
    </row>
    <row r="828" spans="1:23">
      <c r="A828" s="1" t="s">
        <v>1621</v>
      </c>
      <c r="B828" s="1" t="s">
        <v>1622</v>
      </c>
      <c r="C828" s="1" t="s">
        <v>60</v>
      </c>
      <c r="D828" s="1" t="s">
        <v>19</v>
      </c>
      <c r="E828" s="1" t="s">
        <v>88</v>
      </c>
      <c r="F828">
        <v>1</v>
      </c>
      <c r="G828" s="2">
        <v>46096</v>
      </c>
      <c r="H828" s="2">
        <v>46097</v>
      </c>
      <c r="I828">
        <v>267.72000000000003</v>
      </c>
      <c r="J828">
        <v>113.7</v>
      </c>
      <c r="K828">
        <v>90.96</v>
      </c>
      <c r="L828">
        <v>22.74</v>
      </c>
      <c r="M828" s="1" t="s">
        <v>21</v>
      </c>
      <c r="N828" s="1" t="s">
        <v>22</v>
      </c>
      <c r="O828" s="2">
        <v>46113</v>
      </c>
      <c r="P828" s="2">
        <v>46113</v>
      </c>
      <c r="Q828">
        <f>_xlfn.XLOOKUP(E828,CPT!$A$2:$A$13,CPT!$D$2:$D$13)</f>
        <v>260</v>
      </c>
      <c r="R828" s="1">
        <f>_xlfn.XLOOKUP(C828,Contract!$A$2:$A$9,Contract!$B$2:$B$9)</f>
        <v>0.45</v>
      </c>
      <c r="S828" s="1">
        <f t="shared" si="48"/>
        <v>117</v>
      </c>
      <c r="T828" s="1">
        <f t="shared" si="49"/>
        <v>3.2999999999999972</v>
      </c>
      <c r="U828" s="1" t="str">
        <f t="shared" si="50"/>
        <v>OK</v>
      </c>
      <c r="V828" s="1" t="str">
        <f>_xlfn.XLOOKUP(C828,Payers!$A$2:$A$9,Payers!$B$2:$B$9)</f>
        <v>Blue Horizon Commercial</v>
      </c>
      <c r="W828" s="1" t="str">
        <f t="shared" si="51"/>
        <v>2026-03</v>
      </c>
    </row>
    <row r="829" spans="1:23">
      <c r="A829" s="1" t="s">
        <v>1623</v>
      </c>
      <c r="B829" s="1" t="s">
        <v>961</v>
      </c>
      <c r="C829" s="1" t="s">
        <v>60</v>
      </c>
      <c r="D829" s="1" t="s">
        <v>37</v>
      </c>
      <c r="E829" s="1" t="s">
        <v>48</v>
      </c>
      <c r="F829">
        <v>1</v>
      </c>
      <c r="G829" s="2">
        <v>46265</v>
      </c>
      <c r="H829" s="2">
        <v>46267</v>
      </c>
      <c r="I829">
        <v>430.62</v>
      </c>
      <c r="M829" s="1" t="s">
        <v>69</v>
      </c>
      <c r="N829" s="1" t="s">
        <v>22</v>
      </c>
      <c r="O829" s="2"/>
      <c r="P829" s="2"/>
      <c r="Q829">
        <f>_xlfn.XLOOKUP(E829,CPT!$A$2:$A$13,CPT!$D$2:$D$13)</f>
        <v>420</v>
      </c>
      <c r="R829" s="1">
        <f>_xlfn.XLOOKUP(C829,Contract!$A$2:$A$9,Contract!$B$2:$B$9)</f>
        <v>0.45</v>
      </c>
      <c r="S829" s="1">
        <f t="shared" si="48"/>
        <v>189</v>
      </c>
      <c r="T829" s="1" t="str">
        <f t="shared" si="49"/>
        <v/>
      </c>
      <c r="U829" s="1" t="str">
        <f t="shared" si="50"/>
        <v/>
      </c>
      <c r="V829" s="1" t="str">
        <f>_xlfn.XLOOKUP(C829,Payers!$A$2:$A$9,Payers!$B$2:$B$9)</f>
        <v>Blue Horizon Commercial</v>
      </c>
      <c r="W829" s="1" t="str">
        <f t="shared" si="51"/>
        <v>2026-08</v>
      </c>
    </row>
    <row r="830" spans="1:23">
      <c r="A830" s="1" t="s">
        <v>1624</v>
      </c>
      <c r="B830" s="1" t="s">
        <v>1625</v>
      </c>
      <c r="C830" s="1" t="s">
        <v>76</v>
      </c>
      <c r="D830" s="1" t="s">
        <v>19</v>
      </c>
      <c r="E830" s="1" t="s">
        <v>57</v>
      </c>
      <c r="F830">
        <v>1</v>
      </c>
      <c r="G830" s="2">
        <v>46228</v>
      </c>
      <c r="H830" s="2">
        <v>46231</v>
      </c>
      <c r="I830">
        <v>212.71</v>
      </c>
      <c r="J830">
        <v>99.74</v>
      </c>
      <c r="K830">
        <v>89.77</v>
      </c>
      <c r="L830">
        <v>9.9700000000000006</v>
      </c>
      <c r="M830" s="1" t="s">
        <v>21</v>
      </c>
      <c r="N830" s="1" t="s">
        <v>22</v>
      </c>
      <c r="O830" s="2">
        <v>46263</v>
      </c>
      <c r="P830" s="2">
        <v>46263</v>
      </c>
      <c r="Q830">
        <f>_xlfn.XLOOKUP(E830,CPT!$A$2:$A$13,CPT!$D$2:$D$13)</f>
        <v>210</v>
      </c>
      <c r="R830" s="1">
        <f>_xlfn.XLOOKUP(C830,Contract!$A$2:$A$9,Contract!$B$2:$B$9)</f>
        <v>0.43</v>
      </c>
      <c r="S830" s="1">
        <f t="shared" si="48"/>
        <v>90.3</v>
      </c>
      <c r="T830" s="1">
        <f t="shared" si="49"/>
        <v>-9.4399999999999977</v>
      </c>
      <c r="U830" s="1" t="str">
        <f t="shared" si="50"/>
        <v>OK</v>
      </c>
      <c r="V830" s="1" t="str">
        <f>_xlfn.XLOOKUP(C830,Payers!$A$2:$A$9,Payers!$B$2:$B$9)</f>
        <v>Summit Health Commercial</v>
      </c>
      <c r="W830" s="1" t="str">
        <f t="shared" si="51"/>
        <v>2026-07</v>
      </c>
    </row>
    <row r="831" spans="1:23">
      <c r="A831" s="1" t="s">
        <v>1626</v>
      </c>
      <c r="B831" s="1" t="s">
        <v>1627</v>
      </c>
      <c r="C831" s="1" t="s">
        <v>60</v>
      </c>
      <c r="D831" s="1" t="s">
        <v>26</v>
      </c>
      <c r="E831" s="1" t="s">
        <v>44</v>
      </c>
      <c r="F831">
        <v>1</v>
      </c>
      <c r="G831" s="2">
        <v>46216</v>
      </c>
      <c r="H831" s="2">
        <v>46217</v>
      </c>
      <c r="I831">
        <v>4792.49</v>
      </c>
      <c r="M831" s="1" t="s">
        <v>32</v>
      </c>
      <c r="N831" s="1" t="s">
        <v>124</v>
      </c>
      <c r="O831" s="2">
        <v>46248</v>
      </c>
      <c r="P831" s="2"/>
      <c r="Q831">
        <f>_xlfn.XLOOKUP(E831,CPT!$A$2:$A$13,CPT!$D$2:$D$13)</f>
        <v>4800</v>
      </c>
      <c r="R831" s="1">
        <f>_xlfn.XLOOKUP(C831,Contract!$A$2:$A$9,Contract!$B$2:$B$9)</f>
        <v>0.45</v>
      </c>
      <c r="S831" s="1">
        <f t="shared" si="48"/>
        <v>2160</v>
      </c>
      <c r="T831" s="1" t="str">
        <f t="shared" si="49"/>
        <v/>
      </c>
      <c r="U831" s="1" t="str">
        <f t="shared" si="50"/>
        <v/>
      </c>
      <c r="V831" s="1" t="str">
        <f>_xlfn.XLOOKUP(C831,Payers!$A$2:$A$9,Payers!$B$2:$B$9)</f>
        <v>Blue Horizon Commercial</v>
      </c>
      <c r="W831" s="1" t="str">
        <f t="shared" si="51"/>
        <v>2026-07</v>
      </c>
    </row>
    <row r="832" spans="1:23">
      <c r="A832" s="1" t="s">
        <v>1628</v>
      </c>
      <c r="B832" s="1" t="s">
        <v>193</v>
      </c>
      <c r="C832" s="1" t="s">
        <v>18</v>
      </c>
      <c r="D832" s="1" t="s">
        <v>26</v>
      </c>
      <c r="E832" s="1" t="s">
        <v>41</v>
      </c>
      <c r="F832">
        <v>1</v>
      </c>
      <c r="G832" s="2">
        <v>46124</v>
      </c>
      <c r="H832" s="2">
        <v>46129</v>
      </c>
      <c r="I832">
        <v>38.53</v>
      </c>
      <c r="J832">
        <v>12.69</v>
      </c>
      <c r="K832">
        <v>10.15</v>
      </c>
      <c r="L832">
        <v>2.54</v>
      </c>
      <c r="M832" s="1" t="s">
        <v>21</v>
      </c>
      <c r="N832" s="1" t="s">
        <v>22</v>
      </c>
      <c r="O832" s="2">
        <v>46197</v>
      </c>
      <c r="P832" s="2">
        <v>46197</v>
      </c>
      <c r="Q832">
        <f>_xlfn.XLOOKUP(E832,CPT!$A$2:$A$13,CPT!$D$2:$D$13)</f>
        <v>38</v>
      </c>
      <c r="R832" s="1">
        <f>_xlfn.XLOOKUP(C832,Contract!$A$2:$A$9,Contract!$B$2:$B$9)</f>
        <v>0.38</v>
      </c>
      <c r="S832" s="1">
        <f t="shared" si="48"/>
        <v>14.44</v>
      </c>
      <c r="T832" s="1">
        <f t="shared" si="49"/>
        <v>1.75</v>
      </c>
      <c r="U832" s="1" t="str">
        <f t="shared" si="50"/>
        <v>Underpaid</v>
      </c>
      <c r="V832" s="1" t="str">
        <f>_xlfn.XLOOKUP(C832,Payers!$A$2:$A$9,Payers!$B$2:$B$9)</f>
        <v>Sunshine Medicare Advantage</v>
      </c>
      <c r="W832" s="1" t="str">
        <f t="shared" si="51"/>
        <v>2026-04</v>
      </c>
    </row>
    <row r="833" spans="1:23">
      <c r="A833" s="1" t="s">
        <v>1629</v>
      </c>
      <c r="B833" s="1" t="s">
        <v>1630</v>
      </c>
      <c r="C833" s="1" t="s">
        <v>60</v>
      </c>
      <c r="D833" s="1" t="s">
        <v>19</v>
      </c>
      <c r="E833" s="1" t="s">
        <v>57</v>
      </c>
      <c r="F833">
        <v>1</v>
      </c>
      <c r="G833" s="2">
        <v>46118</v>
      </c>
      <c r="H833" s="2">
        <v>46120</v>
      </c>
      <c r="I833">
        <v>205.48</v>
      </c>
      <c r="M833" s="1" t="s">
        <v>32</v>
      </c>
      <c r="N833" s="1" t="s">
        <v>281</v>
      </c>
      <c r="O833" s="2">
        <v>46154</v>
      </c>
      <c r="P833" s="2"/>
      <c r="Q833">
        <f>_xlfn.XLOOKUP(E833,CPT!$A$2:$A$13,CPT!$D$2:$D$13)</f>
        <v>210</v>
      </c>
      <c r="R833" s="1">
        <f>_xlfn.XLOOKUP(C833,Contract!$A$2:$A$9,Contract!$B$2:$B$9)</f>
        <v>0.45</v>
      </c>
      <c r="S833" s="1">
        <f t="shared" si="48"/>
        <v>94.5</v>
      </c>
      <c r="T833" s="1" t="str">
        <f t="shared" si="49"/>
        <v/>
      </c>
      <c r="U833" s="1" t="str">
        <f t="shared" si="50"/>
        <v/>
      </c>
      <c r="V833" s="1" t="str">
        <f>_xlfn.XLOOKUP(C833,Payers!$A$2:$A$9,Payers!$B$2:$B$9)</f>
        <v>Blue Horizon Commercial</v>
      </c>
      <c r="W833" s="1" t="str">
        <f t="shared" si="51"/>
        <v>2026-04</v>
      </c>
    </row>
    <row r="834" spans="1:23">
      <c r="A834" s="1" t="s">
        <v>1631</v>
      </c>
      <c r="B834" s="1" t="s">
        <v>1632</v>
      </c>
      <c r="C834" s="1" t="s">
        <v>18</v>
      </c>
      <c r="D834" s="1" t="s">
        <v>26</v>
      </c>
      <c r="E834" s="1" t="s">
        <v>113</v>
      </c>
      <c r="F834">
        <v>1</v>
      </c>
      <c r="G834" s="2">
        <v>46158</v>
      </c>
      <c r="H834" s="2">
        <v>46163</v>
      </c>
      <c r="I834">
        <v>1067.73</v>
      </c>
      <c r="M834" s="1" t="s">
        <v>32</v>
      </c>
      <c r="N834" s="1" t="s">
        <v>315</v>
      </c>
      <c r="O834" s="2">
        <v>46240</v>
      </c>
      <c r="P834" s="2"/>
      <c r="Q834">
        <f>_xlfn.XLOOKUP(E834,CPT!$A$2:$A$13,CPT!$D$2:$D$13)</f>
        <v>1050</v>
      </c>
      <c r="R834" s="1">
        <f>_xlfn.XLOOKUP(C834,Contract!$A$2:$A$9,Contract!$B$2:$B$9)</f>
        <v>0.38</v>
      </c>
      <c r="S834" s="1">
        <f t="shared" ref="S834:S897" si="52">ROUND(Q834*F834*R834,2)</f>
        <v>399</v>
      </c>
      <c r="T834" s="1" t="str">
        <f t="shared" ref="T834:T897" si="53">IF(M834="Paid",S834-J834,"")</f>
        <v/>
      </c>
      <c r="U834" s="1" t="str">
        <f t="shared" ref="U834:U897" si="54">IF(M834&lt;&gt;"Paid","",IF(T834&gt;S834*0.05,"Underpaid","OK"))</f>
        <v/>
      </c>
      <c r="V834" s="1" t="str">
        <f>_xlfn.XLOOKUP(C834,Payers!$A$2:$A$9,Payers!$B$2:$B$9)</f>
        <v>Sunshine Medicare Advantage</v>
      </c>
      <c r="W834" s="1" t="str">
        <f t="shared" ref="W834:W897" si="55">TEXT(G834,"yyyy-mm")</f>
        <v>2026-05</v>
      </c>
    </row>
    <row r="835" spans="1:23">
      <c r="A835" s="1" t="s">
        <v>1633</v>
      </c>
      <c r="B835" s="1" t="s">
        <v>1634</v>
      </c>
      <c r="C835" s="1" t="s">
        <v>25</v>
      </c>
      <c r="D835" s="1" t="s">
        <v>37</v>
      </c>
      <c r="E835" s="1" t="s">
        <v>48</v>
      </c>
      <c r="F835">
        <v>1</v>
      </c>
      <c r="G835" s="2">
        <v>46063</v>
      </c>
      <c r="H835" s="2">
        <v>46066</v>
      </c>
      <c r="I835">
        <v>430.56</v>
      </c>
      <c r="J835">
        <v>151.32</v>
      </c>
      <c r="K835">
        <v>151.32</v>
      </c>
      <c r="L835">
        <v>0</v>
      </c>
      <c r="M835" s="1" t="s">
        <v>21</v>
      </c>
      <c r="N835" s="1" t="s">
        <v>22</v>
      </c>
      <c r="O835" s="2">
        <v>46085</v>
      </c>
      <c r="P835" s="2">
        <v>46085</v>
      </c>
      <c r="Q835">
        <f>_xlfn.XLOOKUP(E835,CPT!$A$2:$A$13,CPT!$D$2:$D$13)</f>
        <v>420</v>
      </c>
      <c r="R835" s="1">
        <f>_xlfn.XLOOKUP(C835,Contract!$A$2:$A$9,Contract!$B$2:$B$9)</f>
        <v>0.36</v>
      </c>
      <c r="S835" s="1">
        <f t="shared" si="52"/>
        <v>151.19999999999999</v>
      </c>
      <c r="T835" s="1">
        <f t="shared" si="53"/>
        <v>-0.12000000000000455</v>
      </c>
      <c r="U835" s="1" t="str">
        <f t="shared" si="54"/>
        <v>OK</v>
      </c>
      <c r="V835" s="1" t="str">
        <f>_xlfn.XLOOKUP(C835,Payers!$A$2:$A$9,Payers!$B$2:$B$9)</f>
        <v>Medicare Part B</v>
      </c>
      <c r="W835" s="1" t="str">
        <f t="shared" si="55"/>
        <v>2026-02</v>
      </c>
    </row>
    <row r="836" spans="1:23">
      <c r="A836" s="1" t="s">
        <v>1635</v>
      </c>
      <c r="B836" s="1" t="s">
        <v>1636</v>
      </c>
      <c r="C836" s="1" t="s">
        <v>76</v>
      </c>
      <c r="D836" s="1" t="s">
        <v>30</v>
      </c>
      <c r="E836" s="1" t="s">
        <v>20</v>
      </c>
      <c r="F836">
        <v>1</v>
      </c>
      <c r="G836" s="2">
        <v>45995</v>
      </c>
      <c r="H836" s="2">
        <v>46115</v>
      </c>
      <c r="I836">
        <v>147.12</v>
      </c>
      <c r="M836" s="1" t="s">
        <v>32</v>
      </c>
      <c r="N836" s="1" t="s">
        <v>137</v>
      </c>
      <c r="O836" s="2">
        <v>46129</v>
      </c>
      <c r="P836" s="2"/>
      <c r="Q836">
        <f>_xlfn.XLOOKUP(E836,CPT!$A$2:$A$13,CPT!$D$2:$D$13)</f>
        <v>145</v>
      </c>
      <c r="R836" s="1">
        <f>_xlfn.XLOOKUP(C836,Contract!$A$2:$A$9,Contract!$B$2:$B$9)</f>
        <v>0.43</v>
      </c>
      <c r="S836" s="1">
        <f t="shared" si="52"/>
        <v>62.35</v>
      </c>
      <c r="T836" s="1" t="str">
        <f t="shared" si="53"/>
        <v/>
      </c>
      <c r="U836" s="1" t="str">
        <f t="shared" si="54"/>
        <v/>
      </c>
      <c r="V836" s="1" t="str">
        <f>_xlfn.XLOOKUP(C836,Payers!$A$2:$A$9,Payers!$B$2:$B$9)</f>
        <v>Summit Health Commercial</v>
      </c>
      <c r="W836" s="1" t="str">
        <f t="shared" si="55"/>
        <v>2025-12</v>
      </c>
    </row>
    <row r="837" spans="1:23">
      <c r="A837" s="1" t="s">
        <v>1637</v>
      </c>
      <c r="B837" s="1" t="s">
        <v>1638</v>
      </c>
      <c r="C837" s="1" t="s">
        <v>76</v>
      </c>
      <c r="D837" s="1" t="s">
        <v>37</v>
      </c>
      <c r="E837" s="1" t="s">
        <v>48</v>
      </c>
      <c r="F837">
        <v>1</v>
      </c>
      <c r="G837" s="2">
        <v>46259</v>
      </c>
      <c r="H837" s="2">
        <v>46261</v>
      </c>
      <c r="I837">
        <v>417.61</v>
      </c>
      <c r="M837" s="1" t="s">
        <v>32</v>
      </c>
      <c r="N837" s="1" t="s">
        <v>315</v>
      </c>
      <c r="O837" s="2">
        <v>46286</v>
      </c>
      <c r="P837" s="2"/>
      <c r="Q837">
        <f>_xlfn.XLOOKUP(E837,CPT!$A$2:$A$13,CPT!$D$2:$D$13)</f>
        <v>420</v>
      </c>
      <c r="R837" s="1">
        <f>_xlfn.XLOOKUP(C837,Contract!$A$2:$A$9,Contract!$B$2:$B$9)</f>
        <v>0.43</v>
      </c>
      <c r="S837" s="1">
        <f t="shared" si="52"/>
        <v>180.6</v>
      </c>
      <c r="T837" s="1" t="str">
        <f t="shared" si="53"/>
        <v/>
      </c>
      <c r="U837" s="1" t="str">
        <f t="shared" si="54"/>
        <v/>
      </c>
      <c r="V837" s="1" t="str">
        <f>_xlfn.XLOOKUP(C837,Payers!$A$2:$A$9,Payers!$B$2:$B$9)</f>
        <v>Summit Health Commercial</v>
      </c>
      <c r="W837" s="1" t="str">
        <f t="shared" si="55"/>
        <v>2026-08</v>
      </c>
    </row>
    <row r="838" spans="1:23">
      <c r="A838" s="1" t="s">
        <v>1639</v>
      </c>
      <c r="B838" s="1" t="s">
        <v>1640</v>
      </c>
      <c r="C838" s="1" t="s">
        <v>36</v>
      </c>
      <c r="D838" s="1" t="s">
        <v>26</v>
      </c>
      <c r="E838" s="1" t="s">
        <v>27</v>
      </c>
      <c r="F838">
        <v>1</v>
      </c>
      <c r="G838" s="2">
        <v>46102</v>
      </c>
      <c r="H838" s="2">
        <v>46104</v>
      </c>
      <c r="I838">
        <v>233.2</v>
      </c>
      <c r="J838">
        <v>54.45</v>
      </c>
      <c r="K838">
        <v>49</v>
      </c>
      <c r="L838">
        <v>5.45</v>
      </c>
      <c r="M838" s="1" t="s">
        <v>21</v>
      </c>
      <c r="N838" s="1" t="s">
        <v>22</v>
      </c>
      <c r="O838" s="2">
        <v>46127</v>
      </c>
      <c r="P838" s="2">
        <v>46127</v>
      </c>
      <c r="Q838">
        <f>_xlfn.XLOOKUP(E838,CPT!$A$2:$A$13,CPT!$D$2:$D$13)</f>
        <v>240</v>
      </c>
      <c r="R838" s="1">
        <f>_xlfn.XLOOKUP(C838,Contract!$A$2:$A$9,Contract!$B$2:$B$9)</f>
        <v>0.27</v>
      </c>
      <c r="S838" s="1">
        <f t="shared" si="52"/>
        <v>64.8</v>
      </c>
      <c r="T838" s="1">
        <f t="shared" si="53"/>
        <v>10.349999999999994</v>
      </c>
      <c r="U838" s="1" t="str">
        <f t="shared" si="54"/>
        <v>Underpaid</v>
      </c>
      <c r="V838" s="1" t="str">
        <f>_xlfn.XLOOKUP(C838,Payers!$A$2:$A$9,Payers!$B$2:$B$9)</f>
        <v>Florida Medicaid</v>
      </c>
      <c r="W838" s="1" t="str">
        <f t="shared" si="55"/>
        <v>2026-03</v>
      </c>
    </row>
    <row r="839" spans="1:23">
      <c r="A839" s="1" t="s">
        <v>1641</v>
      </c>
      <c r="B839" s="1" t="s">
        <v>1642</v>
      </c>
      <c r="C839" s="1" t="s">
        <v>76</v>
      </c>
      <c r="D839" s="1" t="s">
        <v>19</v>
      </c>
      <c r="E839" s="1" t="s">
        <v>20</v>
      </c>
      <c r="F839">
        <v>1</v>
      </c>
      <c r="G839" s="2">
        <v>45974</v>
      </c>
      <c r="H839" s="2">
        <v>45978</v>
      </c>
      <c r="I839">
        <v>149.15</v>
      </c>
      <c r="J839">
        <v>69.52</v>
      </c>
      <c r="K839">
        <v>69.52</v>
      </c>
      <c r="L839">
        <v>0</v>
      </c>
      <c r="M839" s="1" t="s">
        <v>21</v>
      </c>
      <c r="N839" s="1" t="s">
        <v>22</v>
      </c>
      <c r="O839" s="2">
        <v>46000</v>
      </c>
      <c r="P839" s="2">
        <v>46000</v>
      </c>
      <c r="Q839">
        <f>_xlfn.XLOOKUP(E839,CPT!$A$2:$A$13,CPT!$D$2:$D$13)</f>
        <v>145</v>
      </c>
      <c r="R839" s="1">
        <f>_xlfn.XLOOKUP(C839,Contract!$A$2:$A$9,Contract!$B$2:$B$9)</f>
        <v>0.43</v>
      </c>
      <c r="S839" s="1">
        <f t="shared" si="52"/>
        <v>62.35</v>
      </c>
      <c r="T839" s="1">
        <f t="shared" si="53"/>
        <v>-7.1699999999999946</v>
      </c>
      <c r="U839" s="1" t="str">
        <f t="shared" si="54"/>
        <v>OK</v>
      </c>
      <c r="V839" s="1" t="str">
        <f>_xlfn.XLOOKUP(C839,Payers!$A$2:$A$9,Payers!$B$2:$B$9)</f>
        <v>Summit Health Commercial</v>
      </c>
      <c r="W839" s="1" t="str">
        <f t="shared" si="55"/>
        <v>2025-11</v>
      </c>
    </row>
    <row r="840" spans="1:23">
      <c r="A840" s="1" t="s">
        <v>1643</v>
      </c>
      <c r="B840" s="1" t="s">
        <v>1644</v>
      </c>
      <c r="C840" s="1" t="s">
        <v>60</v>
      </c>
      <c r="D840" s="1" t="s">
        <v>26</v>
      </c>
      <c r="E840" s="1" t="s">
        <v>185</v>
      </c>
      <c r="F840">
        <v>1</v>
      </c>
      <c r="G840" s="2">
        <v>46113</v>
      </c>
      <c r="H840" s="2">
        <v>46126</v>
      </c>
      <c r="I840">
        <v>1167.3699999999999</v>
      </c>
      <c r="J840">
        <v>495</v>
      </c>
      <c r="K840">
        <v>495</v>
      </c>
      <c r="L840">
        <v>0</v>
      </c>
      <c r="M840" s="1" t="s">
        <v>21</v>
      </c>
      <c r="N840" s="1" t="s">
        <v>22</v>
      </c>
      <c r="O840" s="2">
        <v>46147</v>
      </c>
      <c r="P840" s="2">
        <v>46147</v>
      </c>
      <c r="Q840">
        <f>_xlfn.XLOOKUP(E840,CPT!$A$2:$A$13,CPT!$D$2:$D$13)</f>
        <v>1150</v>
      </c>
      <c r="R840" s="1">
        <f>_xlfn.XLOOKUP(C840,Contract!$A$2:$A$9,Contract!$B$2:$B$9)</f>
        <v>0.45</v>
      </c>
      <c r="S840" s="1">
        <f t="shared" si="52"/>
        <v>517.5</v>
      </c>
      <c r="T840" s="1">
        <f t="shared" si="53"/>
        <v>22.5</v>
      </c>
      <c r="U840" s="1" t="str">
        <f t="shared" si="54"/>
        <v>OK</v>
      </c>
      <c r="V840" s="1" t="str">
        <f>_xlfn.XLOOKUP(C840,Payers!$A$2:$A$9,Payers!$B$2:$B$9)</f>
        <v>Blue Horizon Commercial</v>
      </c>
      <c r="W840" s="1" t="str">
        <f t="shared" si="55"/>
        <v>2026-04</v>
      </c>
    </row>
    <row r="841" spans="1:23">
      <c r="A841" s="1" t="s">
        <v>1645</v>
      </c>
      <c r="B841" s="1" t="s">
        <v>1646</v>
      </c>
      <c r="C841" s="1" t="s">
        <v>76</v>
      </c>
      <c r="D841" s="1" t="s">
        <v>37</v>
      </c>
      <c r="E841" s="1" t="s">
        <v>48</v>
      </c>
      <c r="F841">
        <v>1</v>
      </c>
      <c r="G841" s="2">
        <v>46188</v>
      </c>
      <c r="H841" s="2">
        <v>46195</v>
      </c>
      <c r="I841">
        <v>409.95</v>
      </c>
      <c r="J841">
        <v>180.01</v>
      </c>
      <c r="K841">
        <v>144.01</v>
      </c>
      <c r="L841">
        <v>36</v>
      </c>
      <c r="M841" s="1" t="s">
        <v>21</v>
      </c>
      <c r="N841" s="1" t="s">
        <v>22</v>
      </c>
      <c r="O841" s="2">
        <v>46232</v>
      </c>
      <c r="P841" s="2">
        <v>46232</v>
      </c>
      <c r="Q841">
        <f>_xlfn.XLOOKUP(E841,CPT!$A$2:$A$13,CPT!$D$2:$D$13)</f>
        <v>420</v>
      </c>
      <c r="R841" s="1">
        <f>_xlfn.XLOOKUP(C841,Contract!$A$2:$A$9,Contract!$B$2:$B$9)</f>
        <v>0.43</v>
      </c>
      <c r="S841" s="1">
        <f t="shared" si="52"/>
        <v>180.6</v>
      </c>
      <c r="T841" s="1">
        <f t="shared" si="53"/>
        <v>0.59000000000000341</v>
      </c>
      <c r="U841" s="1" t="str">
        <f t="shared" si="54"/>
        <v>OK</v>
      </c>
      <c r="V841" s="1" t="str">
        <f>_xlfn.XLOOKUP(C841,Payers!$A$2:$A$9,Payers!$B$2:$B$9)</f>
        <v>Summit Health Commercial</v>
      </c>
      <c r="W841" s="1" t="str">
        <f t="shared" si="55"/>
        <v>2026-06</v>
      </c>
    </row>
    <row r="842" spans="1:23">
      <c r="A842" s="1" t="s">
        <v>1647</v>
      </c>
      <c r="B842" s="1" t="s">
        <v>1648</v>
      </c>
      <c r="C842" s="1" t="s">
        <v>76</v>
      </c>
      <c r="D842" s="1" t="s">
        <v>19</v>
      </c>
      <c r="E842" s="1" t="s">
        <v>20</v>
      </c>
      <c r="F842">
        <v>1</v>
      </c>
      <c r="G842" s="2">
        <v>46008</v>
      </c>
      <c r="H842" s="2">
        <v>46009</v>
      </c>
      <c r="I842">
        <v>146.59</v>
      </c>
      <c r="J842">
        <v>71.5</v>
      </c>
      <c r="K842">
        <v>71.5</v>
      </c>
      <c r="L842">
        <v>0</v>
      </c>
      <c r="M842" s="1" t="s">
        <v>21</v>
      </c>
      <c r="N842" s="1" t="s">
        <v>22</v>
      </c>
      <c r="O842" s="2">
        <v>46041</v>
      </c>
      <c r="P842" s="2">
        <v>46041</v>
      </c>
      <c r="Q842">
        <f>_xlfn.XLOOKUP(E842,CPT!$A$2:$A$13,CPT!$D$2:$D$13)</f>
        <v>145</v>
      </c>
      <c r="R842" s="1">
        <f>_xlfn.XLOOKUP(C842,Contract!$A$2:$A$9,Contract!$B$2:$B$9)</f>
        <v>0.43</v>
      </c>
      <c r="S842" s="1">
        <f t="shared" si="52"/>
        <v>62.35</v>
      </c>
      <c r="T842" s="1">
        <f t="shared" si="53"/>
        <v>-9.1499999999999986</v>
      </c>
      <c r="U842" s="1" t="str">
        <f t="shared" si="54"/>
        <v>OK</v>
      </c>
      <c r="V842" s="1" t="str">
        <f>_xlfn.XLOOKUP(C842,Payers!$A$2:$A$9,Payers!$B$2:$B$9)</f>
        <v>Summit Health Commercial</v>
      </c>
      <c r="W842" s="1" t="str">
        <f t="shared" si="55"/>
        <v>2025-12</v>
      </c>
    </row>
    <row r="843" spans="1:23">
      <c r="A843" s="1" t="s">
        <v>1649</v>
      </c>
      <c r="B843" s="1" t="s">
        <v>1650</v>
      </c>
      <c r="C843" s="1" t="s">
        <v>52</v>
      </c>
      <c r="D843" s="1" t="s">
        <v>37</v>
      </c>
      <c r="E843" s="1" t="s">
        <v>57</v>
      </c>
      <c r="F843">
        <v>1</v>
      </c>
      <c r="G843" s="2">
        <v>46242</v>
      </c>
      <c r="H843" s="2">
        <v>46253</v>
      </c>
      <c r="I843">
        <v>211.91</v>
      </c>
      <c r="M843" s="1" t="s">
        <v>69</v>
      </c>
      <c r="N843" s="1" t="s">
        <v>22</v>
      </c>
      <c r="O843" s="2"/>
      <c r="P843" s="2"/>
      <c r="Q843">
        <f>_xlfn.XLOOKUP(E843,CPT!$A$2:$A$13,CPT!$D$2:$D$13)</f>
        <v>210</v>
      </c>
      <c r="R843" s="1">
        <f>_xlfn.XLOOKUP(C843,Contract!$A$2:$A$9,Contract!$B$2:$B$9)</f>
        <v>0.47</v>
      </c>
      <c r="S843" s="1">
        <f t="shared" si="52"/>
        <v>98.7</v>
      </c>
      <c r="T843" s="1" t="str">
        <f t="shared" si="53"/>
        <v/>
      </c>
      <c r="U843" s="1" t="str">
        <f t="shared" si="54"/>
        <v/>
      </c>
      <c r="V843" s="1" t="str">
        <f>_xlfn.XLOOKUP(C843,Payers!$A$2:$A$9,Payers!$B$2:$B$9)</f>
        <v>Keystone Commercial PPO</v>
      </c>
      <c r="W843" s="1" t="str">
        <f t="shared" si="55"/>
        <v>2026-08</v>
      </c>
    </row>
    <row r="844" spans="1:23">
      <c r="A844" s="1" t="s">
        <v>1651</v>
      </c>
      <c r="B844" s="1" t="s">
        <v>1652</v>
      </c>
      <c r="C844" s="1" t="s">
        <v>36</v>
      </c>
      <c r="D844" s="1" t="s">
        <v>26</v>
      </c>
      <c r="E844" s="1" t="s">
        <v>27</v>
      </c>
      <c r="F844">
        <v>1</v>
      </c>
      <c r="G844" s="2">
        <v>46151</v>
      </c>
      <c r="H844" s="2">
        <v>46156</v>
      </c>
      <c r="I844">
        <v>233.38</v>
      </c>
      <c r="J844">
        <v>57.9</v>
      </c>
      <c r="K844">
        <v>57.9</v>
      </c>
      <c r="L844">
        <v>0</v>
      </c>
      <c r="M844" s="1" t="s">
        <v>21</v>
      </c>
      <c r="N844" s="1" t="s">
        <v>22</v>
      </c>
      <c r="O844" s="2">
        <v>46212</v>
      </c>
      <c r="P844" s="2">
        <v>46212</v>
      </c>
      <c r="Q844">
        <f>_xlfn.XLOOKUP(E844,CPT!$A$2:$A$13,CPT!$D$2:$D$13)</f>
        <v>240</v>
      </c>
      <c r="R844" s="1">
        <f>_xlfn.XLOOKUP(C844,Contract!$A$2:$A$9,Contract!$B$2:$B$9)</f>
        <v>0.27</v>
      </c>
      <c r="S844" s="1">
        <f t="shared" si="52"/>
        <v>64.8</v>
      </c>
      <c r="T844" s="1">
        <f t="shared" si="53"/>
        <v>6.8999999999999986</v>
      </c>
      <c r="U844" s="1" t="str">
        <f t="shared" si="54"/>
        <v>Underpaid</v>
      </c>
      <c r="V844" s="1" t="str">
        <f>_xlfn.XLOOKUP(C844,Payers!$A$2:$A$9,Payers!$B$2:$B$9)</f>
        <v>Florida Medicaid</v>
      </c>
      <c r="W844" s="1" t="str">
        <f t="shared" si="55"/>
        <v>2026-05</v>
      </c>
    </row>
    <row r="845" spans="1:23">
      <c r="A845" s="1" t="s">
        <v>1653</v>
      </c>
      <c r="B845" s="1" t="s">
        <v>1654</v>
      </c>
      <c r="C845" s="1" t="s">
        <v>60</v>
      </c>
      <c r="D845" s="1" t="s">
        <v>19</v>
      </c>
      <c r="E845" s="1" t="s">
        <v>41</v>
      </c>
      <c r="F845">
        <v>1</v>
      </c>
      <c r="G845" s="2">
        <v>45938</v>
      </c>
      <c r="H845" s="2">
        <v>45947</v>
      </c>
      <c r="I845">
        <v>37.19</v>
      </c>
      <c r="J845">
        <v>19.18</v>
      </c>
      <c r="K845">
        <v>19.18</v>
      </c>
      <c r="L845">
        <v>0</v>
      </c>
      <c r="M845" s="1" t="s">
        <v>21</v>
      </c>
      <c r="N845" s="1" t="s">
        <v>22</v>
      </c>
      <c r="O845" s="2">
        <v>45974</v>
      </c>
      <c r="P845" s="2">
        <v>45974</v>
      </c>
      <c r="Q845">
        <f>_xlfn.XLOOKUP(E845,CPT!$A$2:$A$13,CPT!$D$2:$D$13)</f>
        <v>38</v>
      </c>
      <c r="R845" s="1">
        <f>_xlfn.XLOOKUP(C845,Contract!$A$2:$A$9,Contract!$B$2:$B$9)</f>
        <v>0.45</v>
      </c>
      <c r="S845" s="1">
        <f t="shared" si="52"/>
        <v>17.100000000000001</v>
      </c>
      <c r="T845" s="1">
        <f t="shared" si="53"/>
        <v>-2.0799999999999983</v>
      </c>
      <c r="U845" s="1" t="str">
        <f t="shared" si="54"/>
        <v>OK</v>
      </c>
      <c r="V845" s="1" t="str">
        <f>_xlfn.XLOOKUP(C845,Payers!$A$2:$A$9,Payers!$B$2:$B$9)</f>
        <v>Blue Horizon Commercial</v>
      </c>
      <c r="W845" s="1" t="str">
        <f t="shared" si="55"/>
        <v>2025-10</v>
      </c>
    </row>
    <row r="846" spans="1:23">
      <c r="A846" s="1" t="s">
        <v>1655</v>
      </c>
      <c r="B846" s="1" t="s">
        <v>1656</v>
      </c>
      <c r="C846" s="1" t="s">
        <v>60</v>
      </c>
      <c r="D846" s="1" t="s">
        <v>26</v>
      </c>
      <c r="E846" s="1" t="s">
        <v>185</v>
      </c>
      <c r="F846">
        <v>1</v>
      </c>
      <c r="G846" s="2">
        <v>46082</v>
      </c>
      <c r="H846" s="2">
        <v>46084</v>
      </c>
      <c r="I846">
        <v>1126.6400000000001</v>
      </c>
      <c r="J846">
        <v>442.2</v>
      </c>
      <c r="K846">
        <v>397.98</v>
      </c>
      <c r="L846">
        <v>44.22</v>
      </c>
      <c r="M846" s="1" t="s">
        <v>21</v>
      </c>
      <c r="N846" s="1" t="s">
        <v>22</v>
      </c>
      <c r="O846" s="2">
        <v>46118</v>
      </c>
      <c r="P846" s="2">
        <v>46118</v>
      </c>
      <c r="Q846">
        <f>_xlfn.XLOOKUP(E846,CPT!$A$2:$A$13,CPT!$D$2:$D$13)</f>
        <v>1150</v>
      </c>
      <c r="R846" s="1">
        <f>_xlfn.XLOOKUP(C846,Contract!$A$2:$A$9,Contract!$B$2:$B$9)</f>
        <v>0.45</v>
      </c>
      <c r="S846" s="1">
        <f t="shared" si="52"/>
        <v>517.5</v>
      </c>
      <c r="T846" s="1">
        <f t="shared" si="53"/>
        <v>75.300000000000011</v>
      </c>
      <c r="U846" s="1" t="str">
        <f t="shared" si="54"/>
        <v>Underpaid</v>
      </c>
      <c r="V846" s="1" t="str">
        <f>_xlfn.XLOOKUP(C846,Payers!$A$2:$A$9,Payers!$B$2:$B$9)</f>
        <v>Blue Horizon Commercial</v>
      </c>
      <c r="W846" s="1" t="str">
        <f t="shared" si="55"/>
        <v>2026-03</v>
      </c>
    </row>
    <row r="847" spans="1:23">
      <c r="A847" s="1" t="s">
        <v>1657</v>
      </c>
      <c r="B847" s="1" t="s">
        <v>1658</v>
      </c>
      <c r="C847" s="1" t="s">
        <v>25</v>
      </c>
      <c r="D847" s="1" t="s">
        <v>30</v>
      </c>
      <c r="E847" s="1" t="s">
        <v>91</v>
      </c>
      <c r="F847">
        <v>1</v>
      </c>
      <c r="G847" s="2">
        <v>46002</v>
      </c>
      <c r="H847" s="2">
        <v>46005</v>
      </c>
      <c r="I847">
        <v>59.64</v>
      </c>
      <c r="J847">
        <v>20.86</v>
      </c>
      <c r="K847">
        <v>20.86</v>
      </c>
      <c r="L847">
        <v>0</v>
      </c>
      <c r="M847" s="1" t="s">
        <v>21</v>
      </c>
      <c r="N847" s="1" t="s">
        <v>22</v>
      </c>
      <c r="O847" s="2">
        <v>46031</v>
      </c>
      <c r="P847" s="2">
        <v>46031</v>
      </c>
      <c r="Q847">
        <f>_xlfn.XLOOKUP(E847,CPT!$A$2:$A$13,CPT!$D$2:$D$13)</f>
        <v>58</v>
      </c>
      <c r="R847" s="1">
        <f>_xlfn.XLOOKUP(C847,Contract!$A$2:$A$9,Contract!$B$2:$B$9)</f>
        <v>0.36</v>
      </c>
      <c r="S847" s="1">
        <f t="shared" si="52"/>
        <v>20.88</v>
      </c>
      <c r="T847" s="1">
        <f t="shared" si="53"/>
        <v>1.9999999999999574E-2</v>
      </c>
      <c r="U847" s="1" t="str">
        <f t="shared" si="54"/>
        <v>OK</v>
      </c>
      <c r="V847" s="1" t="str">
        <f>_xlfn.XLOOKUP(C847,Payers!$A$2:$A$9,Payers!$B$2:$B$9)</f>
        <v>Medicare Part B</v>
      </c>
      <c r="W847" s="1" t="str">
        <f t="shared" si="55"/>
        <v>2025-12</v>
      </c>
    </row>
    <row r="848" spans="1:23">
      <c r="A848" s="1" t="s">
        <v>1659</v>
      </c>
      <c r="B848" s="1" t="s">
        <v>1660</v>
      </c>
      <c r="C848" s="1" t="s">
        <v>76</v>
      </c>
      <c r="D848" s="1" t="s">
        <v>19</v>
      </c>
      <c r="E848" s="1" t="s">
        <v>88</v>
      </c>
      <c r="F848">
        <v>1</v>
      </c>
      <c r="G848" s="2">
        <v>46280</v>
      </c>
      <c r="H848" s="2">
        <v>46283</v>
      </c>
      <c r="I848">
        <v>258.64999999999998</v>
      </c>
      <c r="M848" s="1" t="s">
        <v>69</v>
      </c>
      <c r="N848" s="1" t="s">
        <v>22</v>
      </c>
      <c r="O848" s="2"/>
      <c r="P848" s="2"/>
      <c r="Q848">
        <f>_xlfn.XLOOKUP(E848,CPT!$A$2:$A$13,CPT!$D$2:$D$13)</f>
        <v>260</v>
      </c>
      <c r="R848" s="1">
        <f>_xlfn.XLOOKUP(C848,Contract!$A$2:$A$9,Contract!$B$2:$B$9)</f>
        <v>0.43</v>
      </c>
      <c r="S848" s="1">
        <f t="shared" si="52"/>
        <v>111.8</v>
      </c>
      <c r="T848" s="1" t="str">
        <f t="shared" si="53"/>
        <v/>
      </c>
      <c r="U848" s="1" t="str">
        <f t="shared" si="54"/>
        <v/>
      </c>
      <c r="V848" s="1" t="str">
        <f>_xlfn.XLOOKUP(C848,Payers!$A$2:$A$9,Payers!$B$2:$B$9)</f>
        <v>Summit Health Commercial</v>
      </c>
      <c r="W848" s="1" t="str">
        <f t="shared" si="55"/>
        <v>2026-09</v>
      </c>
    </row>
    <row r="849" spans="1:23">
      <c r="A849" s="1" t="s">
        <v>1661</v>
      </c>
      <c r="B849" s="1" t="s">
        <v>102</v>
      </c>
      <c r="C849" s="1" t="s">
        <v>18</v>
      </c>
      <c r="D849" s="1" t="s">
        <v>37</v>
      </c>
      <c r="E849" s="1" t="s">
        <v>38</v>
      </c>
      <c r="F849">
        <v>5</v>
      </c>
      <c r="G849" s="2">
        <v>46218</v>
      </c>
      <c r="H849" s="2">
        <v>46219</v>
      </c>
      <c r="I849">
        <v>7099.73</v>
      </c>
      <c r="J849">
        <v>2774.9</v>
      </c>
      <c r="K849">
        <v>2774.9</v>
      </c>
      <c r="L849">
        <v>0</v>
      </c>
      <c r="M849" s="1" t="s">
        <v>21</v>
      </c>
      <c r="N849" s="1" t="s">
        <v>22</v>
      </c>
      <c r="O849" s="2">
        <v>46282</v>
      </c>
      <c r="P849" s="2">
        <v>46282</v>
      </c>
      <c r="Q849">
        <f>_xlfn.XLOOKUP(E849,CPT!$A$2:$A$13,CPT!$D$2:$D$13)</f>
        <v>1450</v>
      </c>
      <c r="R849" s="1">
        <f>_xlfn.XLOOKUP(C849,Contract!$A$2:$A$9,Contract!$B$2:$B$9)</f>
        <v>0.38</v>
      </c>
      <c r="S849" s="1">
        <f t="shared" si="52"/>
        <v>2755</v>
      </c>
      <c r="T849" s="1">
        <f t="shared" si="53"/>
        <v>-19.900000000000091</v>
      </c>
      <c r="U849" s="1" t="str">
        <f t="shared" si="54"/>
        <v>OK</v>
      </c>
      <c r="V849" s="1" t="str">
        <f>_xlfn.XLOOKUP(C849,Payers!$A$2:$A$9,Payers!$B$2:$B$9)</f>
        <v>Sunshine Medicare Advantage</v>
      </c>
      <c r="W849" s="1" t="str">
        <f t="shared" si="55"/>
        <v>2026-07</v>
      </c>
    </row>
    <row r="850" spans="1:23">
      <c r="A850" s="1" t="s">
        <v>1662</v>
      </c>
      <c r="B850" s="1" t="s">
        <v>1663</v>
      </c>
      <c r="C850" s="1" t="s">
        <v>18</v>
      </c>
      <c r="D850" s="1" t="s">
        <v>19</v>
      </c>
      <c r="E850" s="1" t="s">
        <v>41</v>
      </c>
      <c r="F850">
        <v>1</v>
      </c>
      <c r="G850" s="2">
        <v>46109</v>
      </c>
      <c r="H850" s="2">
        <v>46114</v>
      </c>
      <c r="I850">
        <v>37.92</v>
      </c>
      <c r="J850">
        <v>14.35</v>
      </c>
      <c r="K850">
        <v>11.48</v>
      </c>
      <c r="L850">
        <v>2.87</v>
      </c>
      <c r="M850" s="1" t="s">
        <v>21</v>
      </c>
      <c r="N850" s="1" t="s">
        <v>22</v>
      </c>
      <c r="O850" s="2">
        <v>46187</v>
      </c>
      <c r="P850" s="2">
        <v>46187</v>
      </c>
      <c r="Q850">
        <f>_xlfn.XLOOKUP(E850,CPT!$A$2:$A$13,CPT!$D$2:$D$13)</f>
        <v>38</v>
      </c>
      <c r="R850" s="1">
        <f>_xlfn.XLOOKUP(C850,Contract!$A$2:$A$9,Contract!$B$2:$B$9)</f>
        <v>0.38</v>
      </c>
      <c r="S850" s="1">
        <f t="shared" si="52"/>
        <v>14.44</v>
      </c>
      <c r="T850" s="1">
        <f t="shared" si="53"/>
        <v>8.9999999999999858E-2</v>
      </c>
      <c r="U850" s="1" t="str">
        <f t="shared" si="54"/>
        <v>OK</v>
      </c>
      <c r="V850" s="1" t="str">
        <f>_xlfn.XLOOKUP(C850,Payers!$A$2:$A$9,Payers!$B$2:$B$9)</f>
        <v>Sunshine Medicare Advantage</v>
      </c>
      <c r="W850" s="1" t="str">
        <f t="shared" si="55"/>
        <v>2026-03</v>
      </c>
    </row>
    <row r="851" spans="1:23">
      <c r="A851" s="1" t="s">
        <v>1664</v>
      </c>
      <c r="B851" s="1" t="s">
        <v>1665</v>
      </c>
      <c r="C851" s="1" t="s">
        <v>76</v>
      </c>
      <c r="D851" s="1" t="s">
        <v>19</v>
      </c>
      <c r="E851" s="1" t="s">
        <v>41</v>
      </c>
      <c r="F851">
        <v>1</v>
      </c>
      <c r="G851" s="2">
        <v>46093</v>
      </c>
      <c r="H851" s="2">
        <v>46097</v>
      </c>
      <c r="I851">
        <v>37.64</v>
      </c>
      <c r="J851">
        <v>17.3</v>
      </c>
      <c r="K851">
        <v>17.3</v>
      </c>
      <c r="L851">
        <v>0</v>
      </c>
      <c r="M851" s="1" t="s">
        <v>21</v>
      </c>
      <c r="N851" s="1" t="s">
        <v>22</v>
      </c>
      <c r="O851" s="2">
        <v>46136</v>
      </c>
      <c r="P851" s="2">
        <v>46136</v>
      </c>
      <c r="Q851">
        <f>_xlfn.XLOOKUP(E851,CPT!$A$2:$A$13,CPT!$D$2:$D$13)</f>
        <v>38</v>
      </c>
      <c r="R851" s="1">
        <f>_xlfn.XLOOKUP(C851,Contract!$A$2:$A$9,Contract!$B$2:$B$9)</f>
        <v>0.43</v>
      </c>
      <c r="S851" s="1">
        <f t="shared" si="52"/>
        <v>16.34</v>
      </c>
      <c r="T851" s="1">
        <f t="shared" si="53"/>
        <v>-0.96000000000000085</v>
      </c>
      <c r="U851" s="1" t="str">
        <f t="shared" si="54"/>
        <v>OK</v>
      </c>
      <c r="V851" s="1" t="str">
        <f>_xlfn.XLOOKUP(C851,Payers!$A$2:$A$9,Payers!$B$2:$B$9)</f>
        <v>Summit Health Commercial</v>
      </c>
      <c r="W851" s="1" t="str">
        <f t="shared" si="55"/>
        <v>2026-03</v>
      </c>
    </row>
    <row r="852" spans="1:23">
      <c r="A852" s="1" t="s">
        <v>1666</v>
      </c>
      <c r="B852" s="1" t="s">
        <v>247</v>
      </c>
      <c r="C852" s="1" t="s">
        <v>47</v>
      </c>
      <c r="D852" s="1" t="s">
        <v>19</v>
      </c>
      <c r="E852" s="1" t="s">
        <v>57</v>
      </c>
      <c r="F852">
        <v>1</v>
      </c>
      <c r="G852" s="2">
        <v>46005</v>
      </c>
      <c r="H852" s="2">
        <v>46007</v>
      </c>
      <c r="I852">
        <v>211.77</v>
      </c>
      <c r="M852" s="1" t="s">
        <v>32</v>
      </c>
      <c r="N852" s="1" t="s">
        <v>98</v>
      </c>
      <c r="O852" s="2">
        <v>46083</v>
      </c>
      <c r="P852" s="2"/>
      <c r="Q852">
        <f>_xlfn.XLOOKUP(E852,CPT!$A$2:$A$13,CPT!$D$2:$D$13)</f>
        <v>210</v>
      </c>
      <c r="R852" s="1">
        <f>_xlfn.XLOOKUP(C852,Contract!$A$2:$A$9,Contract!$B$2:$B$9)</f>
        <v>0.28000000000000003</v>
      </c>
      <c r="S852" s="1">
        <f t="shared" si="52"/>
        <v>58.8</v>
      </c>
      <c r="T852" s="1" t="str">
        <f t="shared" si="53"/>
        <v/>
      </c>
      <c r="U852" s="1" t="str">
        <f t="shared" si="54"/>
        <v/>
      </c>
      <c r="V852" s="1" t="str">
        <f>_xlfn.XLOOKUP(C852,Payers!$A$2:$A$9,Payers!$B$2:$B$9)</f>
        <v>Coastal Medicaid MCO</v>
      </c>
      <c r="W852" s="1" t="str">
        <f t="shared" si="55"/>
        <v>2025-12</v>
      </c>
    </row>
    <row r="853" spans="1:23">
      <c r="A853" s="1" t="s">
        <v>1667</v>
      </c>
      <c r="B853" s="1" t="s">
        <v>1668</v>
      </c>
      <c r="C853" s="1" t="s">
        <v>47</v>
      </c>
      <c r="D853" s="1" t="s">
        <v>26</v>
      </c>
      <c r="E853" s="1" t="s">
        <v>57</v>
      </c>
      <c r="F853">
        <v>1</v>
      </c>
      <c r="G853" s="2">
        <v>46281</v>
      </c>
      <c r="H853" s="2">
        <v>46283</v>
      </c>
      <c r="I853">
        <v>209.03</v>
      </c>
      <c r="M853" s="1" t="s">
        <v>69</v>
      </c>
      <c r="N853" s="1" t="s">
        <v>22</v>
      </c>
      <c r="O853" s="2"/>
      <c r="P853" s="2"/>
      <c r="Q853">
        <f>_xlfn.XLOOKUP(E853,CPT!$A$2:$A$13,CPT!$D$2:$D$13)</f>
        <v>210</v>
      </c>
      <c r="R853" s="1">
        <f>_xlfn.XLOOKUP(C853,Contract!$A$2:$A$9,Contract!$B$2:$B$9)</f>
        <v>0.28000000000000003</v>
      </c>
      <c r="S853" s="1">
        <f t="shared" si="52"/>
        <v>58.8</v>
      </c>
      <c r="T853" s="1" t="str">
        <f t="shared" si="53"/>
        <v/>
      </c>
      <c r="U853" s="1" t="str">
        <f t="shared" si="54"/>
        <v/>
      </c>
      <c r="V853" s="1" t="str">
        <f>_xlfn.XLOOKUP(C853,Payers!$A$2:$A$9,Payers!$B$2:$B$9)</f>
        <v>Coastal Medicaid MCO</v>
      </c>
      <c r="W853" s="1" t="str">
        <f t="shared" si="55"/>
        <v>2026-09</v>
      </c>
    </row>
    <row r="854" spans="1:23">
      <c r="A854" s="1" t="s">
        <v>1669</v>
      </c>
      <c r="B854" s="1" t="s">
        <v>1289</v>
      </c>
      <c r="C854" s="1" t="s">
        <v>52</v>
      </c>
      <c r="D854" s="1" t="s">
        <v>26</v>
      </c>
      <c r="E854" s="1" t="s">
        <v>41</v>
      </c>
      <c r="F854">
        <v>1</v>
      </c>
      <c r="G854" s="2">
        <v>46145</v>
      </c>
      <c r="H854" s="2">
        <v>46150</v>
      </c>
      <c r="I854">
        <v>38.06</v>
      </c>
      <c r="J854">
        <v>19.829999999999998</v>
      </c>
      <c r="K854">
        <v>17.850000000000001</v>
      </c>
      <c r="L854">
        <v>1.98</v>
      </c>
      <c r="M854" s="1" t="s">
        <v>21</v>
      </c>
      <c r="N854" s="1" t="s">
        <v>22</v>
      </c>
      <c r="O854" s="2">
        <v>46219</v>
      </c>
      <c r="P854" s="2">
        <v>46219</v>
      </c>
      <c r="Q854">
        <f>_xlfn.XLOOKUP(E854,CPT!$A$2:$A$13,CPT!$D$2:$D$13)</f>
        <v>38</v>
      </c>
      <c r="R854" s="1">
        <f>_xlfn.XLOOKUP(C854,Contract!$A$2:$A$9,Contract!$B$2:$B$9)</f>
        <v>0.47</v>
      </c>
      <c r="S854" s="1">
        <f t="shared" si="52"/>
        <v>17.86</v>
      </c>
      <c r="T854" s="1">
        <f t="shared" si="53"/>
        <v>-1.9699999999999989</v>
      </c>
      <c r="U854" s="1" t="str">
        <f t="shared" si="54"/>
        <v>OK</v>
      </c>
      <c r="V854" s="1" t="str">
        <f>_xlfn.XLOOKUP(C854,Payers!$A$2:$A$9,Payers!$B$2:$B$9)</f>
        <v>Keystone Commercial PPO</v>
      </c>
      <c r="W854" s="1" t="str">
        <f t="shared" si="55"/>
        <v>2026-05</v>
      </c>
    </row>
    <row r="855" spans="1:23">
      <c r="A855" s="1" t="s">
        <v>1670</v>
      </c>
      <c r="B855" s="1" t="s">
        <v>1559</v>
      </c>
      <c r="C855" s="1" t="s">
        <v>76</v>
      </c>
      <c r="D855" s="1" t="s">
        <v>26</v>
      </c>
      <c r="E855" s="1" t="s">
        <v>57</v>
      </c>
      <c r="F855">
        <v>1</v>
      </c>
      <c r="G855" s="2">
        <v>46145</v>
      </c>
      <c r="H855" s="2">
        <v>46149</v>
      </c>
      <c r="I855">
        <v>209.77</v>
      </c>
      <c r="J855">
        <v>102.67</v>
      </c>
      <c r="K855">
        <v>82.14</v>
      </c>
      <c r="L855">
        <v>20.53</v>
      </c>
      <c r="M855" s="1" t="s">
        <v>21</v>
      </c>
      <c r="N855" s="1" t="s">
        <v>22</v>
      </c>
      <c r="O855" s="2">
        <v>46192</v>
      </c>
      <c r="P855" s="2">
        <v>46192</v>
      </c>
      <c r="Q855">
        <f>_xlfn.XLOOKUP(E855,CPT!$A$2:$A$13,CPT!$D$2:$D$13)</f>
        <v>210</v>
      </c>
      <c r="R855" s="1">
        <f>_xlfn.XLOOKUP(C855,Contract!$A$2:$A$9,Contract!$B$2:$B$9)</f>
        <v>0.43</v>
      </c>
      <c r="S855" s="1">
        <f t="shared" si="52"/>
        <v>90.3</v>
      </c>
      <c r="T855" s="1">
        <f t="shared" si="53"/>
        <v>-12.370000000000005</v>
      </c>
      <c r="U855" s="1" t="str">
        <f t="shared" si="54"/>
        <v>OK</v>
      </c>
      <c r="V855" s="1" t="str">
        <f>_xlfn.XLOOKUP(C855,Payers!$A$2:$A$9,Payers!$B$2:$B$9)</f>
        <v>Summit Health Commercial</v>
      </c>
      <c r="W855" s="1" t="str">
        <f t="shared" si="55"/>
        <v>2026-05</v>
      </c>
    </row>
    <row r="856" spans="1:23">
      <c r="A856" s="1" t="s">
        <v>1671</v>
      </c>
      <c r="B856" s="1" t="s">
        <v>1672</v>
      </c>
      <c r="C856" s="1" t="s">
        <v>76</v>
      </c>
      <c r="D856" s="1" t="s">
        <v>30</v>
      </c>
      <c r="E856" s="1" t="s">
        <v>20</v>
      </c>
      <c r="F856">
        <v>1</v>
      </c>
      <c r="G856" s="2">
        <v>45936</v>
      </c>
      <c r="H856" s="2">
        <v>45945</v>
      </c>
      <c r="I856">
        <v>145.53</v>
      </c>
      <c r="J856">
        <v>63.73</v>
      </c>
      <c r="K856">
        <v>57.36</v>
      </c>
      <c r="L856">
        <v>6.37</v>
      </c>
      <c r="M856" s="1" t="s">
        <v>21</v>
      </c>
      <c r="N856" s="1" t="s">
        <v>22</v>
      </c>
      <c r="O856" s="2">
        <v>45985</v>
      </c>
      <c r="P856" s="2">
        <v>45985</v>
      </c>
      <c r="Q856">
        <f>_xlfn.XLOOKUP(E856,CPT!$A$2:$A$13,CPT!$D$2:$D$13)</f>
        <v>145</v>
      </c>
      <c r="R856" s="1">
        <f>_xlfn.XLOOKUP(C856,Contract!$A$2:$A$9,Contract!$B$2:$B$9)</f>
        <v>0.43</v>
      </c>
      <c r="S856" s="1">
        <f t="shared" si="52"/>
        <v>62.35</v>
      </c>
      <c r="T856" s="1">
        <f t="shared" si="53"/>
        <v>-1.3799999999999955</v>
      </c>
      <c r="U856" s="1" t="str">
        <f t="shared" si="54"/>
        <v>OK</v>
      </c>
      <c r="V856" s="1" t="str">
        <f>_xlfn.XLOOKUP(C856,Payers!$A$2:$A$9,Payers!$B$2:$B$9)</f>
        <v>Summit Health Commercial</v>
      </c>
      <c r="W856" s="1" t="str">
        <f t="shared" si="55"/>
        <v>2025-10</v>
      </c>
    </row>
    <row r="857" spans="1:23">
      <c r="A857" s="1" t="s">
        <v>1673</v>
      </c>
      <c r="B857" s="1" t="s">
        <v>165</v>
      </c>
      <c r="C857" s="1" t="s">
        <v>47</v>
      </c>
      <c r="D857" s="1" t="s">
        <v>26</v>
      </c>
      <c r="E857" s="1" t="s">
        <v>113</v>
      </c>
      <c r="F857">
        <v>1</v>
      </c>
      <c r="G857" s="2">
        <v>46186</v>
      </c>
      <c r="H857" s="2">
        <v>46187</v>
      </c>
      <c r="I857">
        <v>1072.95</v>
      </c>
      <c r="J857">
        <v>290.63</v>
      </c>
      <c r="K857">
        <v>290.63</v>
      </c>
      <c r="L857">
        <v>0</v>
      </c>
      <c r="M857" s="1" t="s">
        <v>21</v>
      </c>
      <c r="N857" s="1" t="s">
        <v>22</v>
      </c>
      <c r="O857" s="2">
        <v>46269</v>
      </c>
      <c r="P857" s="2">
        <v>46269</v>
      </c>
      <c r="Q857">
        <f>_xlfn.XLOOKUP(E857,CPT!$A$2:$A$13,CPT!$D$2:$D$13)</f>
        <v>1050</v>
      </c>
      <c r="R857" s="1">
        <f>_xlfn.XLOOKUP(C857,Contract!$A$2:$A$9,Contract!$B$2:$B$9)</f>
        <v>0.28000000000000003</v>
      </c>
      <c r="S857" s="1">
        <f t="shared" si="52"/>
        <v>294</v>
      </c>
      <c r="T857" s="1">
        <f t="shared" si="53"/>
        <v>3.3700000000000045</v>
      </c>
      <c r="U857" s="1" t="str">
        <f t="shared" si="54"/>
        <v>OK</v>
      </c>
      <c r="V857" s="1" t="str">
        <f>_xlfn.XLOOKUP(C857,Payers!$A$2:$A$9,Payers!$B$2:$B$9)</f>
        <v>Coastal Medicaid MCO</v>
      </c>
      <c r="W857" s="1" t="str">
        <f t="shared" si="55"/>
        <v>2026-06</v>
      </c>
    </row>
    <row r="858" spans="1:23">
      <c r="A858" s="1" t="s">
        <v>1674</v>
      </c>
      <c r="B858" s="1" t="s">
        <v>1143</v>
      </c>
      <c r="C858" s="1" t="s">
        <v>25</v>
      </c>
      <c r="D858" s="1" t="s">
        <v>30</v>
      </c>
      <c r="E858" s="1" t="s">
        <v>31</v>
      </c>
      <c r="F858">
        <v>3</v>
      </c>
      <c r="G858" s="2">
        <v>46258</v>
      </c>
      <c r="H858" s="2">
        <v>46259</v>
      </c>
      <c r="I858">
        <v>181.51</v>
      </c>
      <c r="J858">
        <v>66.28</v>
      </c>
      <c r="K858">
        <v>59.65</v>
      </c>
      <c r="L858">
        <v>6.63</v>
      </c>
      <c r="M858" s="1" t="s">
        <v>21</v>
      </c>
      <c r="N858" s="1" t="s">
        <v>22</v>
      </c>
      <c r="O858" s="2">
        <v>46279</v>
      </c>
      <c r="P858" s="2">
        <v>46279</v>
      </c>
      <c r="Q858">
        <f>_xlfn.XLOOKUP(E858,CPT!$A$2:$A$13,CPT!$D$2:$D$13)</f>
        <v>62</v>
      </c>
      <c r="R858" s="1">
        <f>_xlfn.XLOOKUP(C858,Contract!$A$2:$A$9,Contract!$B$2:$B$9)</f>
        <v>0.36</v>
      </c>
      <c r="S858" s="1">
        <f t="shared" si="52"/>
        <v>66.959999999999994</v>
      </c>
      <c r="T858" s="1">
        <f t="shared" si="53"/>
        <v>0.67999999999999261</v>
      </c>
      <c r="U858" s="1" t="str">
        <f t="shared" si="54"/>
        <v>OK</v>
      </c>
      <c r="V858" s="1" t="str">
        <f>_xlfn.XLOOKUP(C858,Payers!$A$2:$A$9,Payers!$B$2:$B$9)</f>
        <v>Medicare Part B</v>
      </c>
      <c r="W858" s="1" t="str">
        <f t="shared" si="55"/>
        <v>2026-08</v>
      </c>
    </row>
    <row r="859" spans="1:23">
      <c r="A859" s="1" t="s">
        <v>1675</v>
      </c>
      <c r="B859" s="1" t="s">
        <v>1676</v>
      </c>
      <c r="C859" s="1" t="s">
        <v>25</v>
      </c>
      <c r="D859" s="1" t="s">
        <v>30</v>
      </c>
      <c r="E859" s="1" t="s">
        <v>20</v>
      </c>
      <c r="F859">
        <v>1</v>
      </c>
      <c r="G859" s="2">
        <v>45938</v>
      </c>
      <c r="H859" s="2">
        <v>45940</v>
      </c>
      <c r="I859">
        <v>143.87</v>
      </c>
      <c r="J859">
        <v>56.93</v>
      </c>
      <c r="K859">
        <v>56.93</v>
      </c>
      <c r="L859">
        <v>0</v>
      </c>
      <c r="M859" s="1" t="s">
        <v>21</v>
      </c>
      <c r="N859" s="1" t="s">
        <v>22</v>
      </c>
      <c r="O859" s="2">
        <v>45962</v>
      </c>
      <c r="P859" s="2">
        <v>45962</v>
      </c>
      <c r="Q859">
        <f>_xlfn.XLOOKUP(E859,CPT!$A$2:$A$13,CPT!$D$2:$D$13)</f>
        <v>145</v>
      </c>
      <c r="R859" s="1">
        <f>_xlfn.XLOOKUP(C859,Contract!$A$2:$A$9,Contract!$B$2:$B$9)</f>
        <v>0.36</v>
      </c>
      <c r="S859" s="1">
        <f t="shared" si="52"/>
        <v>52.2</v>
      </c>
      <c r="T859" s="1">
        <f t="shared" si="53"/>
        <v>-4.7299999999999969</v>
      </c>
      <c r="U859" s="1" t="str">
        <f t="shared" si="54"/>
        <v>OK</v>
      </c>
      <c r="V859" s="1" t="str">
        <f>_xlfn.XLOOKUP(C859,Payers!$A$2:$A$9,Payers!$B$2:$B$9)</f>
        <v>Medicare Part B</v>
      </c>
      <c r="W859" s="1" t="str">
        <f t="shared" si="55"/>
        <v>2025-10</v>
      </c>
    </row>
    <row r="860" spans="1:23">
      <c r="A860" s="1" t="s">
        <v>1677</v>
      </c>
      <c r="B860" s="1" t="s">
        <v>1678</v>
      </c>
      <c r="C860" s="1" t="s">
        <v>52</v>
      </c>
      <c r="D860" s="1" t="s">
        <v>19</v>
      </c>
      <c r="E860" s="1" t="s">
        <v>41</v>
      </c>
      <c r="F860">
        <v>1</v>
      </c>
      <c r="G860" s="2">
        <v>46111</v>
      </c>
      <c r="H860" s="2">
        <v>46115</v>
      </c>
      <c r="I860">
        <v>37.659999999999997</v>
      </c>
      <c r="J860">
        <v>19.260000000000002</v>
      </c>
      <c r="K860">
        <v>15.41</v>
      </c>
      <c r="L860">
        <v>3.85</v>
      </c>
      <c r="M860" s="1" t="s">
        <v>21</v>
      </c>
      <c r="N860" s="1" t="s">
        <v>22</v>
      </c>
      <c r="O860" s="2">
        <v>46166</v>
      </c>
      <c r="P860" s="2">
        <v>46166</v>
      </c>
      <c r="Q860">
        <f>_xlfn.XLOOKUP(E860,CPT!$A$2:$A$13,CPT!$D$2:$D$13)</f>
        <v>38</v>
      </c>
      <c r="R860" s="1">
        <f>_xlfn.XLOOKUP(C860,Contract!$A$2:$A$9,Contract!$B$2:$B$9)</f>
        <v>0.47</v>
      </c>
      <c r="S860" s="1">
        <f t="shared" si="52"/>
        <v>17.86</v>
      </c>
      <c r="T860" s="1">
        <f t="shared" si="53"/>
        <v>-1.4000000000000021</v>
      </c>
      <c r="U860" s="1" t="str">
        <f t="shared" si="54"/>
        <v>OK</v>
      </c>
      <c r="V860" s="1" t="str">
        <f>_xlfn.XLOOKUP(C860,Payers!$A$2:$A$9,Payers!$B$2:$B$9)</f>
        <v>Keystone Commercial PPO</v>
      </c>
      <c r="W860" s="1" t="str">
        <f t="shared" si="55"/>
        <v>2026-03</v>
      </c>
    </row>
    <row r="861" spans="1:23">
      <c r="A861" s="1" t="s">
        <v>1679</v>
      </c>
      <c r="B861" s="1" t="s">
        <v>702</v>
      </c>
      <c r="C861" s="1" t="s">
        <v>60</v>
      </c>
      <c r="D861" s="1" t="s">
        <v>26</v>
      </c>
      <c r="E861" s="1" t="s">
        <v>27</v>
      </c>
      <c r="F861">
        <v>1</v>
      </c>
      <c r="G861" s="2">
        <v>46154</v>
      </c>
      <c r="H861" s="2">
        <v>46162</v>
      </c>
      <c r="I861">
        <v>238.29</v>
      </c>
      <c r="J861">
        <v>105.15</v>
      </c>
      <c r="K861">
        <v>94.63</v>
      </c>
      <c r="L861">
        <v>10.52</v>
      </c>
      <c r="M861" s="1" t="s">
        <v>21</v>
      </c>
      <c r="N861" s="1" t="s">
        <v>22</v>
      </c>
      <c r="O861" s="2">
        <v>46193</v>
      </c>
      <c r="P861" s="2">
        <v>46193</v>
      </c>
      <c r="Q861">
        <f>_xlfn.XLOOKUP(E861,CPT!$A$2:$A$13,CPT!$D$2:$D$13)</f>
        <v>240</v>
      </c>
      <c r="R861" s="1">
        <f>_xlfn.XLOOKUP(C861,Contract!$A$2:$A$9,Contract!$B$2:$B$9)</f>
        <v>0.45</v>
      </c>
      <c r="S861" s="1">
        <f t="shared" si="52"/>
        <v>108</v>
      </c>
      <c r="T861" s="1">
        <f t="shared" si="53"/>
        <v>2.8499999999999943</v>
      </c>
      <c r="U861" s="1" t="str">
        <f t="shared" si="54"/>
        <v>OK</v>
      </c>
      <c r="V861" s="1" t="str">
        <f>_xlfn.XLOOKUP(C861,Payers!$A$2:$A$9,Payers!$B$2:$B$9)</f>
        <v>Blue Horizon Commercial</v>
      </c>
      <c r="W861" s="1" t="str">
        <f t="shared" si="55"/>
        <v>2026-05</v>
      </c>
    </row>
    <row r="862" spans="1:23">
      <c r="A862" s="1" t="s">
        <v>1680</v>
      </c>
      <c r="B862" s="1" t="s">
        <v>1681</v>
      </c>
      <c r="C862" s="1" t="s">
        <v>79</v>
      </c>
      <c r="D862" s="1" t="s">
        <v>19</v>
      </c>
      <c r="E862" s="1" t="s">
        <v>20</v>
      </c>
      <c r="F862">
        <v>1</v>
      </c>
      <c r="G862" s="2">
        <v>45984</v>
      </c>
      <c r="H862" s="2">
        <v>45985</v>
      </c>
      <c r="I862">
        <v>141.43</v>
      </c>
      <c r="J862">
        <v>141.43</v>
      </c>
      <c r="K862">
        <v>141.43</v>
      </c>
      <c r="L862">
        <v>0</v>
      </c>
      <c r="M862" s="1" t="s">
        <v>21</v>
      </c>
      <c r="N862" s="1" t="s">
        <v>22</v>
      </c>
      <c r="O862" s="2">
        <v>46089</v>
      </c>
      <c r="P862" s="2">
        <v>46089</v>
      </c>
      <c r="Q862">
        <f>_xlfn.XLOOKUP(E862,CPT!$A$2:$A$13,CPT!$D$2:$D$13)</f>
        <v>145</v>
      </c>
      <c r="R862" s="1">
        <f>_xlfn.XLOOKUP(C862,Contract!$A$2:$A$9,Contract!$B$2:$B$9)</f>
        <v>1</v>
      </c>
      <c r="S862" s="1">
        <f t="shared" si="52"/>
        <v>145</v>
      </c>
      <c r="T862" s="1">
        <f t="shared" si="53"/>
        <v>3.5699999999999932</v>
      </c>
      <c r="U862" s="1" t="str">
        <f t="shared" si="54"/>
        <v>OK</v>
      </c>
      <c r="V862" s="1" t="str">
        <f>_xlfn.XLOOKUP(C862,Payers!$A$2:$A$9,Payers!$B$2:$B$9)</f>
        <v>Self-Pay</v>
      </c>
      <c r="W862" s="1" t="str">
        <f t="shared" si="55"/>
        <v>2025-11</v>
      </c>
    </row>
    <row r="863" spans="1:23">
      <c r="A863" s="1" t="s">
        <v>1682</v>
      </c>
      <c r="B863" s="1" t="s">
        <v>1177</v>
      </c>
      <c r="C863" s="1" t="s">
        <v>52</v>
      </c>
      <c r="D863" s="1" t="s">
        <v>26</v>
      </c>
      <c r="E863" s="1" t="s">
        <v>113</v>
      </c>
      <c r="F863">
        <v>1</v>
      </c>
      <c r="G863" s="2">
        <v>45947</v>
      </c>
      <c r="H863" s="2">
        <v>45955</v>
      </c>
      <c r="I863">
        <v>1060.57</v>
      </c>
      <c r="M863" s="1" t="s">
        <v>32</v>
      </c>
      <c r="N863" s="1" t="s">
        <v>33</v>
      </c>
      <c r="O863" s="2">
        <v>46013</v>
      </c>
      <c r="P863" s="2"/>
      <c r="Q863">
        <f>_xlfn.XLOOKUP(E863,CPT!$A$2:$A$13,CPT!$D$2:$D$13)</f>
        <v>1050</v>
      </c>
      <c r="R863" s="1">
        <f>_xlfn.XLOOKUP(C863,Contract!$A$2:$A$9,Contract!$B$2:$B$9)</f>
        <v>0.47</v>
      </c>
      <c r="S863" s="1">
        <f t="shared" si="52"/>
        <v>493.5</v>
      </c>
      <c r="T863" s="1" t="str">
        <f t="shared" si="53"/>
        <v/>
      </c>
      <c r="U863" s="1" t="str">
        <f t="shared" si="54"/>
        <v/>
      </c>
      <c r="V863" s="1" t="str">
        <f>_xlfn.XLOOKUP(C863,Payers!$A$2:$A$9,Payers!$B$2:$B$9)</f>
        <v>Keystone Commercial PPO</v>
      </c>
      <c r="W863" s="1" t="str">
        <f t="shared" si="55"/>
        <v>2025-10</v>
      </c>
    </row>
    <row r="864" spans="1:23">
      <c r="A864" s="1" t="s">
        <v>1683</v>
      </c>
      <c r="B864" s="1" t="s">
        <v>1684</v>
      </c>
      <c r="C864" s="1" t="s">
        <v>60</v>
      </c>
      <c r="D864" s="1" t="s">
        <v>19</v>
      </c>
      <c r="E864" s="1" t="s">
        <v>41</v>
      </c>
      <c r="F864">
        <v>1</v>
      </c>
      <c r="G864" s="2">
        <v>46122</v>
      </c>
      <c r="H864" s="2">
        <v>46125</v>
      </c>
      <c r="I864">
        <v>38.64</v>
      </c>
      <c r="J864">
        <v>18.25</v>
      </c>
      <c r="K864">
        <v>14.6</v>
      </c>
      <c r="L864">
        <v>3.65</v>
      </c>
      <c r="M864" s="1" t="s">
        <v>21</v>
      </c>
      <c r="N864" s="1" t="s">
        <v>22</v>
      </c>
      <c r="O864" s="2">
        <v>46146</v>
      </c>
      <c r="P864" s="2">
        <v>46146</v>
      </c>
      <c r="Q864">
        <f>_xlfn.XLOOKUP(E864,CPT!$A$2:$A$13,CPT!$D$2:$D$13)</f>
        <v>38</v>
      </c>
      <c r="R864" s="1">
        <f>_xlfn.XLOOKUP(C864,Contract!$A$2:$A$9,Contract!$B$2:$B$9)</f>
        <v>0.45</v>
      </c>
      <c r="S864" s="1">
        <f t="shared" si="52"/>
        <v>17.100000000000001</v>
      </c>
      <c r="T864" s="1">
        <f t="shared" si="53"/>
        <v>-1.1499999999999986</v>
      </c>
      <c r="U864" s="1" t="str">
        <f t="shared" si="54"/>
        <v>OK</v>
      </c>
      <c r="V864" s="1" t="str">
        <f>_xlfn.XLOOKUP(C864,Payers!$A$2:$A$9,Payers!$B$2:$B$9)</f>
        <v>Blue Horizon Commercial</v>
      </c>
      <c r="W864" s="1" t="str">
        <f t="shared" si="55"/>
        <v>2026-04</v>
      </c>
    </row>
    <row r="865" spans="1:23">
      <c r="A865" s="1" t="s">
        <v>1685</v>
      </c>
      <c r="B865" s="1" t="s">
        <v>969</v>
      </c>
      <c r="C865" s="1" t="s">
        <v>60</v>
      </c>
      <c r="D865" s="1" t="s">
        <v>26</v>
      </c>
      <c r="E865" s="1" t="s">
        <v>113</v>
      </c>
      <c r="F865">
        <v>1</v>
      </c>
      <c r="G865" s="2">
        <v>45944</v>
      </c>
      <c r="H865" s="2">
        <v>45946</v>
      </c>
      <c r="I865">
        <v>1028.1600000000001</v>
      </c>
      <c r="J865">
        <v>508.74</v>
      </c>
      <c r="K865">
        <v>457.87</v>
      </c>
      <c r="L865">
        <v>50.87</v>
      </c>
      <c r="M865" s="1" t="s">
        <v>21</v>
      </c>
      <c r="N865" s="1" t="s">
        <v>22</v>
      </c>
      <c r="O865" s="2">
        <v>45990</v>
      </c>
      <c r="P865" s="2">
        <v>45990</v>
      </c>
      <c r="Q865">
        <f>_xlfn.XLOOKUP(E865,CPT!$A$2:$A$13,CPT!$D$2:$D$13)</f>
        <v>1050</v>
      </c>
      <c r="R865" s="1">
        <f>_xlfn.XLOOKUP(C865,Contract!$A$2:$A$9,Contract!$B$2:$B$9)</f>
        <v>0.45</v>
      </c>
      <c r="S865" s="1">
        <f t="shared" si="52"/>
        <v>472.5</v>
      </c>
      <c r="T865" s="1">
        <f t="shared" si="53"/>
        <v>-36.240000000000009</v>
      </c>
      <c r="U865" s="1" t="str">
        <f t="shared" si="54"/>
        <v>OK</v>
      </c>
      <c r="V865" s="1" t="str">
        <f>_xlfn.XLOOKUP(C865,Payers!$A$2:$A$9,Payers!$B$2:$B$9)</f>
        <v>Blue Horizon Commercial</v>
      </c>
      <c r="W865" s="1" t="str">
        <f t="shared" si="55"/>
        <v>2025-10</v>
      </c>
    </row>
    <row r="866" spans="1:23">
      <c r="A866" s="1" t="s">
        <v>1686</v>
      </c>
      <c r="B866" s="1" t="s">
        <v>1687</v>
      </c>
      <c r="C866" s="1" t="s">
        <v>79</v>
      </c>
      <c r="D866" s="1" t="s">
        <v>26</v>
      </c>
      <c r="E866" s="1" t="s">
        <v>27</v>
      </c>
      <c r="F866">
        <v>1</v>
      </c>
      <c r="G866" s="2">
        <v>46054</v>
      </c>
      <c r="H866" s="2">
        <v>46056</v>
      </c>
      <c r="I866">
        <v>240.8</v>
      </c>
      <c r="J866">
        <v>240.8</v>
      </c>
      <c r="K866">
        <v>240.8</v>
      </c>
      <c r="L866">
        <v>0</v>
      </c>
      <c r="M866" s="1" t="s">
        <v>21</v>
      </c>
      <c r="N866" s="1" t="s">
        <v>22</v>
      </c>
      <c r="O866" s="2">
        <v>46125</v>
      </c>
      <c r="P866" s="2">
        <v>46125</v>
      </c>
      <c r="Q866">
        <f>_xlfn.XLOOKUP(E866,CPT!$A$2:$A$13,CPT!$D$2:$D$13)</f>
        <v>240</v>
      </c>
      <c r="R866" s="1">
        <f>_xlfn.XLOOKUP(C866,Contract!$A$2:$A$9,Contract!$B$2:$B$9)</f>
        <v>1</v>
      </c>
      <c r="S866" s="1">
        <f t="shared" si="52"/>
        <v>240</v>
      </c>
      <c r="T866" s="1">
        <f t="shared" si="53"/>
        <v>-0.80000000000001137</v>
      </c>
      <c r="U866" s="1" t="str">
        <f t="shared" si="54"/>
        <v>OK</v>
      </c>
      <c r="V866" s="1" t="str">
        <f>_xlfn.XLOOKUP(C866,Payers!$A$2:$A$9,Payers!$B$2:$B$9)</f>
        <v>Self-Pay</v>
      </c>
      <c r="W866" s="1" t="str">
        <f t="shared" si="55"/>
        <v>2026-02</v>
      </c>
    </row>
    <row r="867" spans="1:23">
      <c r="A867" s="1" t="s">
        <v>1688</v>
      </c>
      <c r="B867" s="1" t="s">
        <v>1689</v>
      </c>
      <c r="C867" s="1" t="s">
        <v>76</v>
      </c>
      <c r="D867" s="1" t="s">
        <v>26</v>
      </c>
      <c r="E867" s="1" t="s">
        <v>41</v>
      </c>
      <c r="F867">
        <v>1</v>
      </c>
      <c r="G867" s="2">
        <v>46019</v>
      </c>
      <c r="H867" s="2">
        <v>46021</v>
      </c>
      <c r="I867">
        <v>37.78</v>
      </c>
      <c r="J867">
        <v>14.8</v>
      </c>
      <c r="K867">
        <v>14.8</v>
      </c>
      <c r="L867">
        <v>0</v>
      </c>
      <c r="M867" s="1" t="s">
        <v>21</v>
      </c>
      <c r="N867" s="1" t="s">
        <v>22</v>
      </c>
      <c r="O867" s="2">
        <v>46054</v>
      </c>
      <c r="P867" s="2">
        <v>46054</v>
      </c>
      <c r="Q867">
        <f>_xlfn.XLOOKUP(E867,CPT!$A$2:$A$13,CPT!$D$2:$D$13)</f>
        <v>38</v>
      </c>
      <c r="R867" s="1">
        <f>_xlfn.XLOOKUP(C867,Contract!$A$2:$A$9,Contract!$B$2:$B$9)</f>
        <v>0.43</v>
      </c>
      <c r="S867" s="1">
        <f t="shared" si="52"/>
        <v>16.34</v>
      </c>
      <c r="T867" s="1">
        <f t="shared" si="53"/>
        <v>1.5399999999999991</v>
      </c>
      <c r="U867" s="1" t="str">
        <f t="shared" si="54"/>
        <v>Underpaid</v>
      </c>
      <c r="V867" s="1" t="str">
        <f>_xlfn.XLOOKUP(C867,Payers!$A$2:$A$9,Payers!$B$2:$B$9)</f>
        <v>Summit Health Commercial</v>
      </c>
      <c r="W867" s="1" t="str">
        <f t="shared" si="55"/>
        <v>2025-12</v>
      </c>
    </row>
    <row r="868" spans="1:23">
      <c r="A868" s="1" t="s">
        <v>1690</v>
      </c>
      <c r="B868" s="1" t="s">
        <v>924</v>
      </c>
      <c r="C868" s="1" t="s">
        <v>36</v>
      </c>
      <c r="D868" s="1" t="s">
        <v>26</v>
      </c>
      <c r="E868" s="1" t="s">
        <v>27</v>
      </c>
      <c r="F868">
        <v>1</v>
      </c>
      <c r="G868" s="2">
        <v>46252</v>
      </c>
      <c r="H868" s="2">
        <v>46260</v>
      </c>
      <c r="I868">
        <v>246</v>
      </c>
      <c r="M868" s="1" t="s">
        <v>69</v>
      </c>
      <c r="N868" s="1" t="s">
        <v>22</v>
      </c>
      <c r="O868" s="2"/>
      <c r="P868" s="2"/>
      <c r="Q868">
        <f>_xlfn.XLOOKUP(E868,CPT!$A$2:$A$13,CPT!$D$2:$D$13)</f>
        <v>240</v>
      </c>
      <c r="R868" s="1">
        <f>_xlfn.XLOOKUP(C868,Contract!$A$2:$A$9,Contract!$B$2:$B$9)</f>
        <v>0.27</v>
      </c>
      <c r="S868" s="1">
        <f t="shared" si="52"/>
        <v>64.8</v>
      </c>
      <c r="T868" s="1" t="str">
        <f t="shared" si="53"/>
        <v/>
      </c>
      <c r="U868" s="1" t="str">
        <f t="shared" si="54"/>
        <v/>
      </c>
      <c r="V868" s="1" t="str">
        <f>_xlfn.XLOOKUP(C868,Payers!$A$2:$A$9,Payers!$B$2:$B$9)</f>
        <v>Florida Medicaid</v>
      </c>
      <c r="W868" s="1" t="str">
        <f t="shared" si="55"/>
        <v>2026-08</v>
      </c>
    </row>
    <row r="869" spans="1:23">
      <c r="A869" s="1" t="s">
        <v>1691</v>
      </c>
      <c r="B869" s="1" t="s">
        <v>949</v>
      </c>
      <c r="C869" s="1" t="s">
        <v>25</v>
      </c>
      <c r="D869" s="1" t="s">
        <v>19</v>
      </c>
      <c r="E869" s="1" t="s">
        <v>20</v>
      </c>
      <c r="F869">
        <v>1</v>
      </c>
      <c r="G869" s="2">
        <v>46209</v>
      </c>
      <c r="H869" s="2">
        <v>46210</v>
      </c>
      <c r="I869">
        <v>148.66</v>
      </c>
      <c r="J869">
        <v>57.55</v>
      </c>
      <c r="K869">
        <v>57.55</v>
      </c>
      <c r="L869">
        <v>0</v>
      </c>
      <c r="M869" s="1" t="s">
        <v>21</v>
      </c>
      <c r="N869" s="1" t="s">
        <v>22</v>
      </c>
      <c r="O869" s="2">
        <v>46228</v>
      </c>
      <c r="P869" s="2">
        <v>46228</v>
      </c>
      <c r="Q869">
        <f>_xlfn.XLOOKUP(E869,CPT!$A$2:$A$13,CPT!$D$2:$D$13)</f>
        <v>145</v>
      </c>
      <c r="R869" s="1">
        <f>_xlfn.XLOOKUP(C869,Contract!$A$2:$A$9,Contract!$B$2:$B$9)</f>
        <v>0.36</v>
      </c>
      <c r="S869" s="1">
        <f t="shared" si="52"/>
        <v>52.2</v>
      </c>
      <c r="T869" s="1">
        <f t="shared" si="53"/>
        <v>-5.3499999999999943</v>
      </c>
      <c r="U869" s="1" t="str">
        <f t="shared" si="54"/>
        <v>OK</v>
      </c>
      <c r="V869" s="1" t="str">
        <f>_xlfn.XLOOKUP(C869,Payers!$A$2:$A$9,Payers!$B$2:$B$9)</f>
        <v>Medicare Part B</v>
      </c>
      <c r="W869" s="1" t="str">
        <f t="shared" si="55"/>
        <v>2026-07</v>
      </c>
    </row>
    <row r="870" spans="1:23">
      <c r="A870" s="1" t="s">
        <v>1692</v>
      </c>
      <c r="B870" s="1" t="s">
        <v>896</v>
      </c>
      <c r="C870" s="1" t="s">
        <v>60</v>
      </c>
      <c r="D870" s="1" t="s">
        <v>19</v>
      </c>
      <c r="E870" s="1" t="s">
        <v>88</v>
      </c>
      <c r="F870">
        <v>1</v>
      </c>
      <c r="G870" s="2">
        <v>46265</v>
      </c>
      <c r="H870" s="2">
        <v>46267</v>
      </c>
      <c r="I870">
        <v>266.20999999999998</v>
      </c>
      <c r="M870" s="1" t="s">
        <v>69</v>
      </c>
      <c r="N870" s="1" t="s">
        <v>22</v>
      </c>
      <c r="O870" s="2"/>
      <c r="P870" s="2"/>
      <c r="Q870">
        <f>_xlfn.XLOOKUP(E870,CPT!$A$2:$A$13,CPT!$D$2:$D$13)</f>
        <v>260</v>
      </c>
      <c r="R870" s="1">
        <f>_xlfn.XLOOKUP(C870,Contract!$A$2:$A$9,Contract!$B$2:$B$9)</f>
        <v>0.45</v>
      </c>
      <c r="S870" s="1">
        <f t="shared" si="52"/>
        <v>117</v>
      </c>
      <c r="T870" s="1" t="str">
        <f t="shared" si="53"/>
        <v/>
      </c>
      <c r="U870" s="1" t="str">
        <f t="shared" si="54"/>
        <v/>
      </c>
      <c r="V870" s="1" t="str">
        <f>_xlfn.XLOOKUP(C870,Payers!$A$2:$A$9,Payers!$B$2:$B$9)</f>
        <v>Blue Horizon Commercial</v>
      </c>
      <c r="W870" s="1" t="str">
        <f t="shared" si="55"/>
        <v>2026-08</v>
      </c>
    </row>
    <row r="871" spans="1:23">
      <c r="A871" s="1" t="s">
        <v>1693</v>
      </c>
      <c r="B871" s="1" t="s">
        <v>1694</v>
      </c>
      <c r="C871" s="1" t="s">
        <v>76</v>
      </c>
      <c r="D871" s="1" t="s">
        <v>26</v>
      </c>
      <c r="E871" s="1" t="s">
        <v>88</v>
      </c>
      <c r="F871">
        <v>1</v>
      </c>
      <c r="G871" s="2">
        <v>46004</v>
      </c>
      <c r="H871" s="2">
        <v>46009</v>
      </c>
      <c r="I871">
        <v>261.99</v>
      </c>
      <c r="J871">
        <v>98.18</v>
      </c>
      <c r="K871">
        <v>78.540000000000006</v>
      </c>
      <c r="L871">
        <v>19.64</v>
      </c>
      <c r="M871" s="1" t="s">
        <v>21</v>
      </c>
      <c r="N871" s="1" t="s">
        <v>22</v>
      </c>
      <c r="O871" s="2">
        <v>46024</v>
      </c>
      <c r="P871" s="2">
        <v>46024</v>
      </c>
      <c r="Q871">
        <f>_xlfn.XLOOKUP(E871,CPT!$A$2:$A$13,CPT!$D$2:$D$13)</f>
        <v>260</v>
      </c>
      <c r="R871" s="1">
        <f>_xlfn.XLOOKUP(C871,Contract!$A$2:$A$9,Contract!$B$2:$B$9)</f>
        <v>0.43</v>
      </c>
      <c r="S871" s="1">
        <f t="shared" si="52"/>
        <v>111.8</v>
      </c>
      <c r="T871" s="1">
        <f t="shared" si="53"/>
        <v>13.61999999999999</v>
      </c>
      <c r="U871" s="1" t="str">
        <f t="shared" si="54"/>
        <v>Underpaid</v>
      </c>
      <c r="V871" s="1" t="str">
        <f>_xlfn.XLOOKUP(C871,Payers!$A$2:$A$9,Payers!$B$2:$B$9)</f>
        <v>Summit Health Commercial</v>
      </c>
      <c r="W871" s="1" t="str">
        <f t="shared" si="55"/>
        <v>2025-12</v>
      </c>
    </row>
    <row r="872" spans="1:23">
      <c r="A872" s="1" t="s">
        <v>1695</v>
      </c>
      <c r="B872" s="1" t="s">
        <v>1696</v>
      </c>
      <c r="C872" s="1" t="s">
        <v>76</v>
      </c>
      <c r="D872" s="1" t="s">
        <v>26</v>
      </c>
      <c r="E872" s="1" t="s">
        <v>57</v>
      </c>
      <c r="F872">
        <v>1</v>
      </c>
      <c r="G872" s="2">
        <v>46023</v>
      </c>
      <c r="H872" s="2">
        <v>46026</v>
      </c>
      <c r="I872">
        <v>204.87</v>
      </c>
      <c r="J872">
        <v>96.8</v>
      </c>
      <c r="K872">
        <v>96.8</v>
      </c>
      <c r="L872">
        <v>0</v>
      </c>
      <c r="M872" s="1" t="s">
        <v>21</v>
      </c>
      <c r="N872" s="1" t="s">
        <v>22</v>
      </c>
      <c r="O872" s="2">
        <v>46049</v>
      </c>
      <c r="P872" s="2">
        <v>46049</v>
      </c>
      <c r="Q872">
        <f>_xlfn.XLOOKUP(E872,CPT!$A$2:$A$13,CPT!$D$2:$D$13)</f>
        <v>210</v>
      </c>
      <c r="R872" s="1">
        <f>_xlfn.XLOOKUP(C872,Contract!$A$2:$A$9,Contract!$B$2:$B$9)</f>
        <v>0.43</v>
      </c>
      <c r="S872" s="1">
        <f t="shared" si="52"/>
        <v>90.3</v>
      </c>
      <c r="T872" s="1">
        <f t="shared" si="53"/>
        <v>-6.5</v>
      </c>
      <c r="U872" s="1" t="str">
        <f t="shared" si="54"/>
        <v>OK</v>
      </c>
      <c r="V872" s="1" t="str">
        <f>_xlfn.XLOOKUP(C872,Payers!$A$2:$A$9,Payers!$B$2:$B$9)</f>
        <v>Summit Health Commercial</v>
      </c>
      <c r="W872" s="1" t="str">
        <f t="shared" si="55"/>
        <v>2026-01</v>
      </c>
    </row>
    <row r="873" spans="1:23">
      <c r="A873" s="1" t="s">
        <v>1697</v>
      </c>
      <c r="B873" s="1" t="s">
        <v>1698</v>
      </c>
      <c r="C873" s="1" t="s">
        <v>60</v>
      </c>
      <c r="D873" s="1" t="s">
        <v>26</v>
      </c>
      <c r="E873" s="1" t="s">
        <v>41</v>
      </c>
      <c r="F873">
        <v>1</v>
      </c>
      <c r="G873" s="2">
        <v>46282</v>
      </c>
      <c r="H873" s="2">
        <v>46291</v>
      </c>
      <c r="I873">
        <v>37.82</v>
      </c>
      <c r="M873" s="1" t="s">
        <v>69</v>
      </c>
      <c r="N873" s="1" t="s">
        <v>22</v>
      </c>
      <c r="O873" s="2"/>
      <c r="P873" s="2"/>
      <c r="Q873">
        <f>_xlfn.XLOOKUP(E873,CPT!$A$2:$A$13,CPT!$D$2:$D$13)</f>
        <v>38</v>
      </c>
      <c r="R873" s="1">
        <f>_xlfn.XLOOKUP(C873,Contract!$A$2:$A$9,Contract!$B$2:$B$9)</f>
        <v>0.45</v>
      </c>
      <c r="S873" s="1">
        <f t="shared" si="52"/>
        <v>17.100000000000001</v>
      </c>
      <c r="T873" s="1" t="str">
        <f t="shared" si="53"/>
        <v/>
      </c>
      <c r="U873" s="1" t="str">
        <f t="shared" si="54"/>
        <v/>
      </c>
      <c r="V873" s="1" t="str">
        <f>_xlfn.XLOOKUP(C873,Payers!$A$2:$A$9,Payers!$B$2:$B$9)</f>
        <v>Blue Horizon Commercial</v>
      </c>
      <c r="W873" s="1" t="str">
        <f t="shared" si="55"/>
        <v>2026-09</v>
      </c>
    </row>
    <row r="874" spans="1:23">
      <c r="A874" s="1" t="s">
        <v>1699</v>
      </c>
      <c r="B874" s="1" t="s">
        <v>1700</v>
      </c>
      <c r="C874" s="1" t="s">
        <v>47</v>
      </c>
      <c r="D874" s="1" t="s">
        <v>26</v>
      </c>
      <c r="E874" s="1" t="s">
        <v>88</v>
      </c>
      <c r="F874">
        <v>1</v>
      </c>
      <c r="G874" s="2">
        <v>46268</v>
      </c>
      <c r="H874" s="2">
        <v>46272</v>
      </c>
      <c r="I874">
        <v>261.05</v>
      </c>
      <c r="M874" s="1" t="s">
        <v>69</v>
      </c>
      <c r="N874" s="1" t="s">
        <v>22</v>
      </c>
      <c r="O874" s="2"/>
      <c r="P874" s="2"/>
      <c r="Q874">
        <f>_xlfn.XLOOKUP(E874,CPT!$A$2:$A$13,CPT!$D$2:$D$13)</f>
        <v>260</v>
      </c>
      <c r="R874" s="1">
        <f>_xlfn.XLOOKUP(C874,Contract!$A$2:$A$9,Contract!$B$2:$B$9)</f>
        <v>0.28000000000000003</v>
      </c>
      <c r="S874" s="1">
        <f t="shared" si="52"/>
        <v>72.8</v>
      </c>
      <c r="T874" s="1" t="str">
        <f t="shared" si="53"/>
        <v/>
      </c>
      <c r="U874" s="1" t="str">
        <f t="shared" si="54"/>
        <v/>
      </c>
      <c r="V874" s="1" t="str">
        <f>_xlfn.XLOOKUP(C874,Payers!$A$2:$A$9,Payers!$B$2:$B$9)</f>
        <v>Coastal Medicaid MCO</v>
      </c>
      <c r="W874" s="1" t="str">
        <f t="shared" si="55"/>
        <v>2026-09</v>
      </c>
    </row>
    <row r="875" spans="1:23">
      <c r="A875" s="1" t="s">
        <v>1701</v>
      </c>
      <c r="B875" s="1" t="s">
        <v>1702</v>
      </c>
      <c r="C875" s="1" t="s">
        <v>18</v>
      </c>
      <c r="D875" s="1" t="s">
        <v>26</v>
      </c>
      <c r="E875" s="1" t="s">
        <v>27</v>
      </c>
      <c r="F875">
        <v>1</v>
      </c>
      <c r="G875" s="2">
        <v>45993</v>
      </c>
      <c r="H875" s="2">
        <v>45994</v>
      </c>
      <c r="I875">
        <v>235.58</v>
      </c>
      <c r="M875" s="1" t="s">
        <v>32</v>
      </c>
      <c r="N875" s="1" t="s">
        <v>124</v>
      </c>
      <c r="O875" s="2">
        <v>46048</v>
      </c>
      <c r="P875" s="2"/>
      <c r="Q875">
        <f>_xlfn.XLOOKUP(E875,CPT!$A$2:$A$13,CPT!$D$2:$D$13)</f>
        <v>240</v>
      </c>
      <c r="R875" s="1">
        <f>_xlfn.XLOOKUP(C875,Contract!$A$2:$A$9,Contract!$B$2:$B$9)</f>
        <v>0.38</v>
      </c>
      <c r="S875" s="1">
        <f t="shared" si="52"/>
        <v>91.2</v>
      </c>
      <c r="T875" s="1" t="str">
        <f t="shared" si="53"/>
        <v/>
      </c>
      <c r="U875" s="1" t="str">
        <f t="shared" si="54"/>
        <v/>
      </c>
      <c r="V875" s="1" t="str">
        <f>_xlfn.XLOOKUP(C875,Payers!$A$2:$A$9,Payers!$B$2:$B$9)</f>
        <v>Sunshine Medicare Advantage</v>
      </c>
      <c r="W875" s="1" t="str">
        <f t="shared" si="55"/>
        <v>2025-12</v>
      </c>
    </row>
    <row r="876" spans="1:23">
      <c r="A876" s="1" t="s">
        <v>1703</v>
      </c>
      <c r="B876" s="1" t="s">
        <v>1704</v>
      </c>
      <c r="C876" s="1" t="s">
        <v>18</v>
      </c>
      <c r="D876" s="1" t="s">
        <v>26</v>
      </c>
      <c r="E876" s="1" t="s">
        <v>41</v>
      </c>
      <c r="F876">
        <v>1</v>
      </c>
      <c r="G876" s="2">
        <v>45995</v>
      </c>
      <c r="H876" s="2">
        <v>45998</v>
      </c>
      <c r="I876">
        <v>37.47</v>
      </c>
      <c r="J876">
        <v>13.66</v>
      </c>
      <c r="K876">
        <v>10.93</v>
      </c>
      <c r="L876">
        <v>2.73</v>
      </c>
      <c r="M876" s="1" t="s">
        <v>21</v>
      </c>
      <c r="N876" s="1" t="s">
        <v>22</v>
      </c>
      <c r="O876" s="2">
        <v>46037</v>
      </c>
      <c r="P876" s="2">
        <v>46037</v>
      </c>
      <c r="Q876">
        <f>_xlfn.XLOOKUP(E876,CPT!$A$2:$A$13,CPT!$D$2:$D$13)</f>
        <v>38</v>
      </c>
      <c r="R876" s="1">
        <f>_xlfn.XLOOKUP(C876,Contract!$A$2:$A$9,Contract!$B$2:$B$9)</f>
        <v>0.38</v>
      </c>
      <c r="S876" s="1">
        <f t="shared" si="52"/>
        <v>14.44</v>
      </c>
      <c r="T876" s="1">
        <f t="shared" si="53"/>
        <v>0.77999999999999936</v>
      </c>
      <c r="U876" s="1" t="str">
        <f t="shared" si="54"/>
        <v>Underpaid</v>
      </c>
      <c r="V876" s="1" t="str">
        <f>_xlfn.XLOOKUP(C876,Payers!$A$2:$A$9,Payers!$B$2:$B$9)</f>
        <v>Sunshine Medicare Advantage</v>
      </c>
      <c r="W876" s="1" t="str">
        <f t="shared" si="55"/>
        <v>2025-12</v>
      </c>
    </row>
    <row r="877" spans="1:23">
      <c r="A877" s="1" t="s">
        <v>1705</v>
      </c>
      <c r="B877" s="1" t="s">
        <v>1706</v>
      </c>
      <c r="C877" s="1" t="s">
        <v>47</v>
      </c>
      <c r="D877" s="1" t="s">
        <v>19</v>
      </c>
      <c r="E877" s="1" t="s">
        <v>41</v>
      </c>
      <c r="F877">
        <v>1</v>
      </c>
      <c r="G877" s="2">
        <v>46059</v>
      </c>
      <c r="H877" s="2">
        <v>46064</v>
      </c>
      <c r="I877">
        <v>37.25</v>
      </c>
      <c r="J877">
        <v>9.68</v>
      </c>
      <c r="K877">
        <v>7.74</v>
      </c>
      <c r="L877">
        <v>1.94</v>
      </c>
      <c r="M877" s="1" t="s">
        <v>21</v>
      </c>
      <c r="N877" s="1" t="s">
        <v>22</v>
      </c>
      <c r="O877" s="2">
        <v>46120</v>
      </c>
      <c r="P877" s="2">
        <v>46120</v>
      </c>
      <c r="Q877">
        <f>_xlfn.XLOOKUP(E877,CPT!$A$2:$A$13,CPT!$D$2:$D$13)</f>
        <v>38</v>
      </c>
      <c r="R877" s="1">
        <f>_xlfn.XLOOKUP(C877,Contract!$A$2:$A$9,Contract!$B$2:$B$9)</f>
        <v>0.28000000000000003</v>
      </c>
      <c r="S877" s="1">
        <f t="shared" si="52"/>
        <v>10.64</v>
      </c>
      <c r="T877" s="1">
        <f t="shared" si="53"/>
        <v>0.96000000000000085</v>
      </c>
      <c r="U877" s="1" t="str">
        <f t="shared" si="54"/>
        <v>Underpaid</v>
      </c>
      <c r="V877" s="1" t="str">
        <f>_xlfn.XLOOKUP(C877,Payers!$A$2:$A$9,Payers!$B$2:$B$9)</f>
        <v>Coastal Medicaid MCO</v>
      </c>
      <c r="W877" s="1" t="str">
        <f t="shared" si="55"/>
        <v>2026-02</v>
      </c>
    </row>
    <row r="878" spans="1:23">
      <c r="A878" s="1" t="s">
        <v>1707</v>
      </c>
      <c r="B878" s="1" t="s">
        <v>1708</v>
      </c>
      <c r="C878" s="1" t="s">
        <v>60</v>
      </c>
      <c r="D878" s="1" t="s">
        <v>19</v>
      </c>
      <c r="E878" s="1" t="s">
        <v>88</v>
      </c>
      <c r="F878">
        <v>1</v>
      </c>
      <c r="G878" s="2">
        <v>46036</v>
      </c>
      <c r="H878" s="2">
        <v>46039</v>
      </c>
      <c r="I878">
        <v>267.08</v>
      </c>
      <c r="J878">
        <v>117.33</v>
      </c>
      <c r="K878">
        <v>117.33</v>
      </c>
      <c r="L878">
        <v>0</v>
      </c>
      <c r="M878" s="1" t="s">
        <v>21</v>
      </c>
      <c r="N878" s="1" t="s">
        <v>22</v>
      </c>
      <c r="O878" s="2">
        <v>46066</v>
      </c>
      <c r="P878" s="2">
        <v>46066</v>
      </c>
      <c r="Q878">
        <f>_xlfn.XLOOKUP(E878,CPT!$A$2:$A$13,CPT!$D$2:$D$13)</f>
        <v>260</v>
      </c>
      <c r="R878" s="1">
        <f>_xlfn.XLOOKUP(C878,Contract!$A$2:$A$9,Contract!$B$2:$B$9)</f>
        <v>0.45</v>
      </c>
      <c r="S878" s="1">
        <f t="shared" si="52"/>
        <v>117</v>
      </c>
      <c r="T878" s="1">
        <f t="shared" si="53"/>
        <v>-0.32999999999999829</v>
      </c>
      <c r="U878" s="1" t="str">
        <f t="shared" si="54"/>
        <v>OK</v>
      </c>
      <c r="V878" s="1" t="str">
        <f>_xlfn.XLOOKUP(C878,Payers!$A$2:$A$9,Payers!$B$2:$B$9)</f>
        <v>Blue Horizon Commercial</v>
      </c>
      <c r="W878" s="1" t="str">
        <f t="shared" si="55"/>
        <v>2026-01</v>
      </c>
    </row>
    <row r="879" spans="1:23">
      <c r="A879" s="1" t="s">
        <v>1709</v>
      </c>
      <c r="B879" s="1" t="s">
        <v>805</v>
      </c>
      <c r="C879" s="1" t="s">
        <v>25</v>
      </c>
      <c r="D879" s="1" t="s">
        <v>19</v>
      </c>
      <c r="E879" s="1" t="s">
        <v>57</v>
      </c>
      <c r="F879">
        <v>1</v>
      </c>
      <c r="G879" s="2">
        <v>46122</v>
      </c>
      <c r="H879" s="2">
        <v>46129</v>
      </c>
      <c r="I879">
        <v>215.01</v>
      </c>
      <c r="J879">
        <v>86.78</v>
      </c>
      <c r="K879">
        <v>78.099999999999994</v>
      </c>
      <c r="L879">
        <v>8.68</v>
      </c>
      <c r="M879" s="1" t="s">
        <v>21</v>
      </c>
      <c r="N879" s="1" t="s">
        <v>22</v>
      </c>
      <c r="O879" s="2">
        <v>46137</v>
      </c>
      <c r="P879" s="2">
        <v>46137</v>
      </c>
      <c r="Q879">
        <f>_xlfn.XLOOKUP(E879,CPT!$A$2:$A$13,CPT!$D$2:$D$13)</f>
        <v>210</v>
      </c>
      <c r="R879" s="1">
        <f>_xlfn.XLOOKUP(C879,Contract!$A$2:$A$9,Contract!$B$2:$B$9)</f>
        <v>0.36</v>
      </c>
      <c r="S879" s="1">
        <f t="shared" si="52"/>
        <v>75.599999999999994</v>
      </c>
      <c r="T879" s="1">
        <f t="shared" si="53"/>
        <v>-11.180000000000007</v>
      </c>
      <c r="U879" s="1" t="str">
        <f t="shared" si="54"/>
        <v>OK</v>
      </c>
      <c r="V879" s="1" t="str">
        <f>_xlfn.XLOOKUP(C879,Payers!$A$2:$A$9,Payers!$B$2:$B$9)</f>
        <v>Medicare Part B</v>
      </c>
      <c r="W879" s="1" t="str">
        <f t="shared" si="55"/>
        <v>2026-04</v>
      </c>
    </row>
    <row r="880" spans="1:23">
      <c r="A880" s="1" t="s">
        <v>1710</v>
      </c>
      <c r="B880" s="1" t="s">
        <v>1711</v>
      </c>
      <c r="C880" s="1" t="s">
        <v>76</v>
      </c>
      <c r="D880" s="1" t="s">
        <v>19</v>
      </c>
      <c r="E880" s="1" t="s">
        <v>88</v>
      </c>
      <c r="F880">
        <v>1</v>
      </c>
      <c r="G880" s="2">
        <v>45989</v>
      </c>
      <c r="H880" s="2">
        <v>45991</v>
      </c>
      <c r="I880">
        <v>255.01</v>
      </c>
      <c r="J880">
        <v>104.19</v>
      </c>
      <c r="K880">
        <v>93.77</v>
      </c>
      <c r="L880">
        <v>10.42</v>
      </c>
      <c r="M880" s="1" t="s">
        <v>21</v>
      </c>
      <c r="N880" s="1" t="s">
        <v>22</v>
      </c>
      <c r="O880" s="2">
        <v>46035</v>
      </c>
      <c r="P880" s="2">
        <v>46035</v>
      </c>
      <c r="Q880">
        <f>_xlfn.XLOOKUP(E880,CPT!$A$2:$A$13,CPT!$D$2:$D$13)</f>
        <v>260</v>
      </c>
      <c r="R880" s="1">
        <f>_xlfn.XLOOKUP(C880,Contract!$A$2:$A$9,Contract!$B$2:$B$9)</f>
        <v>0.43</v>
      </c>
      <c r="S880" s="1">
        <f t="shared" si="52"/>
        <v>111.8</v>
      </c>
      <c r="T880" s="1">
        <f t="shared" si="53"/>
        <v>7.6099999999999994</v>
      </c>
      <c r="U880" s="1" t="str">
        <f t="shared" si="54"/>
        <v>Underpaid</v>
      </c>
      <c r="V880" s="1" t="str">
        <f>_xlfn.XLOOKUP(C880,Payers!$A$2:$A$9,Payers!$B$2:$B$9)</f>
        <v>Summit Health Commercial</v>
      </c>
      <c r="W880" s="1" t="str">
        <f t="shared" si="55"/>
        <v>2025-11</v>
      </c>
    </row>
    <row r="881" spans="1:23">
      <c r="A881" s="1" t="s">
        <v>1712</v>
      </c>
      <c r="B881" s="1" t="s">
        <v>1449</v>
      </c>
      <c r="C881" s="1" t="s">
        <v>60</v>
      </c>
      <c r="D881" s="1" t="s">
        <v>37</v>
      </c>
      <c r="E881" s="1" t="s">
        <v>38</v>
      </c>
      <c r="F881">
        <v>5</v>
      </c>
      <c r="G881" s="2">
        <v>46283</v>
      </c>
      <c r="H881" s="2">
        <v>46284</v>
      </c>
      <c r="I881">
        <v>7344.31</v>
      </c>
      <c r="M881" s="1" t="s">
        <v>69</v>
      </c>
      <c r="N881" s="1" t="s">
        <v>22</v>
      </c>
      <c r="O881" s="2"/>
      <c r="P881" s="2"/>
      <c r="Q881">
        <f>_xlfn.XLOOKUP(E881,CPT!$A$2:$A$13,CPT!$D$2:$D$13)</f>
        <v>1450</v>
      </c>
      <c r="R881" s="1">
        <f>_xlfn.XLOOKUP(C881,Contract!$A$2:$A$9,Contract!$B$2:$B$9)</f>
        <v>0.45</v>
      </c>
      <c r="S881" s="1">
        <f t="shared" si="52"/>
        <v>3262.5</v>
      </c>
      <c r="T881" s="1" t="str">
        <f t="shared" si="53"/>
        <v/>
      </c>
      <c r="U881" s="1" t="str">
        <f t="shared" si="54"/>
        <v/>
      </c>
      <c r="V881" s="1" t="str">
        <f>_xlfn.XLOOKUP(C881,Payers!$A$2:$A$9,Payers!$B$2:$B$9)</f>
        <v>Blue Horizon Commercial</v>
      </c>
      <c r="W881" s="1" t="str">
        <f t="shared" si="55"/>
        <v>2026-09</v>
      </c>
    </row>
    <row r="882" spans="1:23">
      <c r="A882" s="1" t="s">
        <v>1713</v>
      </c>
      <c r="B882" s="1" t="s">
        <v>548</v>
      </c>
      <c r="C882" s="1" t="s">
        <v>76</v>
      </c>
      <c r="D882" s="1" t="s">
        <v>19</v>
      </c>
      <c r="E882" s="1" t="s">
        <v>41</v>
      </c>
      <c r="F882">
        <v>1</v>
      </c>
      <c r="G882" s="2">
        <v>46039</v>
      </c>
      <c r="H882" s="2">
        <v>46040</v>
      </c>
      <c r="I882">
        <v>38.06</v>
      </c>
      <c r="J882">
        <v>16.82</v>
      </c>
      <c r="K882">
        <v>16.82</v>
      </c>
      <c r="L882">
        <v>0</v>
      </c>
      <c r="M882" s="1" t="s">
        <v>21</v>
      </c>
      <c r="N882" s="1" t="s">
        <v>22</v>
      </c>
      <c r="O882" s="2">
        <v>46086</v>
      </c>
      <c r="P882" s="2">
        <v>46086</v>
      </c>
      <c r="Q882">
        <f>_xlfn.XLOOKUP(E882,CPT!$A$2:$A$13,CPT!$D$2:$D$13)</f>
        <v>38</v>
      </c>
      <c r="R882" s="1">
        <f>_xlfn.XLOOKUP(C882,Contract!$A$2:$A$9,Contract!$B$2:$B$9)</f>
        <v>0.43</v>
      </c>
      <c r="S882" s="1">
        <f t="shared" si="52"/>
        <v>16.34</v>
      </c>
      <c r="T882" s="1">
        <f t="shared" si="53"/>
        <v>-0.48000000000000043</v>
      </c>
      <c r="U882" s="1" t="str">
        <f t="shared" si="54"/>
        <v>OK</v>
      </c>
      <c r="V882" s="1" t="str">
        <f>_xlfn.XLOOKUP(C882,Payers!$A$2:$A$9,Payers!$B$2:$B$9)</f>
        <v>Summit Health Commercial</v>
      </c>
      <c r="W882" s="1" t="str">
        <f t="shared" si="55"/>
        <v>2026-01</v>
      </c>
    </row>
    <row r="883" spans="1:23">
      <c r="A883" s="1" t="s">
        <v>1714</v>
      </c>
      <c r="B883" s="1" t="s">
        <v>1715</v>
      </c>
      <c r="C883" s="1" t="s">
        <v>18</v>
      </c>
      <c r="D883" s="1" t="s">
        <v>30</v>
      </c>
      <c r="E883" s="1" t="s">
        <v>91</v>
      </c>
      <c r="F883">
        <v>1</v>
      </c>
      <c r="G883" s="2">
        <v>46153</v>
      </c>
      <c r="H883" s="2">
        <v>46279</v>
      </c>
      <c r="I883">
        <v>59.09</v>
      </c>
      <c r="M883" s="1" t="s">
        <v>69</v>
      </c>
      <c r="N883" s="1" t="s">
        <v>22</v>
      </c>
      <c r="O883" s="2"/>
      <c r="P883" s="2"/>
      <c r="Q883">
        <f>_xlfn.XLOOKUP(E883,CPT!$A$2:$A$13,CPT!$D$2:$D$13)</f>
        <v>58</v>
      </c>
      <c r="R883" s="1">
        <f>_xlfn.XLOOKUP(C883,Contract!$A$2:$A$9,Contract!$B$2:$B$9)</f>
        <v>0.38</v>
      </c>
      <c r="S883" s="1">
        <f t="shared" si="52"/>
        <v>22.04</v>
      </c>
      <c r="T883" s="1" t="str">
        <f t="shared" si="53"/>
        <v/>
      </c>
      <c r="U883" s="1" t="str">
        <f t="shared" si="54"/>
        <v/>
      </c>
      <c r="V883" s="1" t="str">
        <f>_xlfn.XLOOKUP(C883,Payers!$A$2:$A$9,Payers!$B$2:$B$9)</f>
        <v>Sunshine Medicare Advantage</v>
      </c>
      <c r="W883" s="1" t="str">
        <f t="shared" si="55"/>
        <v>2026-05</v>
      </c>
    </row>
    <row r="884" spans="1:23">
      <c r="A884" s="1" t="s">
        <v>1716</v>
      </c>
      <c r="B884" s="1" t="s">
        <v>1717</v>
      </c>
      <c r="C884" s="1" t="s">
        <v>60</v>
      </c>
      <c r="D884" s="1" t="s">
        <v>26</v>
      </c>
      <c r="E884" s="1" t="s">
        <v>113</v>
      </c>
      <c r="F884">
        <v>1</v>
      </c>
      <c r="G884" s="2">
        <v>46098</v>
      </c>
      <c r="H884" s="2">
        <v>46100</v>
      </c>
      <c r="I884">
        <v>1055.74</v>
      </c>
      <c r="M884" s="1" t="s">
        <v>32</v>
      </c>
      <c r="N884" s="1" t="s">
        <v>315</v>
      </c>
      <c r="O884" s="2">
        <v>46127</v>
      </c>
      <c r="P884" s="2"/>
      <c r="Q884">
        <f>_xlfn.XLOOKUP(E884,CPT!$A$2:$A$13,CPT!$D$2:$D$13)</f>
        <v>1050</v>
      </c>
      <c r="R884" s="1">
        <f>_xlfn.XLOOKUP(C884,Contract!$A$2:$A$9,Contract!$B$2:$B$9)</f>
        <v>0.45</v>
      </c>
      <c r="S884" s="1">
        <f t="shared" si="52"/>
        <v>472.5</v>
      </c>
      <c r="T884" s="1" t="str">
        <f t="shared" si="53"/>
        <v/>
      </c>
      <c r="U884" s="1" t="str">
        <f t="shared" si="54"/>
        <v/>
      </c>
      <c r="V884" s="1" t="str">
        <f>_xlfn.XLOOKUP(C884,Payers!$A$2:$A$9,Payers!$B$2:$B$9)</f>
        <v>Blue Horizon Commercial</v>
      </c>
      <c r="W884" s="1" t="str">
        <f t="shared" si="55"/>
        <v>2026-03</v>
      </c>
    </row>
    <row r="885" spans="1:23">
      <c r="A885" s="1" t="s">
        <v>1718</v>
      </c>
      <c r="B885" s="1" t="s">
        <v>1719</v>
      </c>
      <c r="C885" s="1" t="s">
        <v>76</v>
      </c>
      <c r="D885" s="1" t="s">
        <v>30</v>
      </c>
      <c r="E885" s="1" t="s">
        <v>31</v>
      </c>
      <c r="F885">
        <v>1</v>
      </c>
      <c r="G885" s="2">
        <v>45939</v>
      </c>
      <c r="H885" s="2">
        <v>45947</v>
      </c>
      <c r="I885">
        <v>61.89</v>
      </c>
      <c r="J885">
        <v>24.95</v>
      </c>
      <c r="K885">
        <v>22.45</v>
      </c>
      <c r="L885">
        <v>2.5</v>
      </c>
      <c r="M885" s="1" t="s">
        <v>21</v>
      </c>
      <c r="N885" s="1" t="s">
        <v>22</v>
      </c>
      <c r="O885" s="2">
        <v>45978</v>
      </c>
      <c r="P885" s="2">
        <v>45978</v>
      </c>
      <c r="Q885">
        <f>_xlfn.XLOOKUP(E885,CPT!$A$2:$A$13,CPT!$D$2:$D$13)</f>
        <v>62</v>
      </c>
      <c r="R885" s="1">
        <f>_xlfn.XLOOKUP(C885,Contract!$A$2:$A$9,Contract!$B$2:$B$9)</f>
        <v>0.43</v>
      </c>
      <c r="S885" s="1">
        <f t="shared" si="52"/>
        <v>26.66</v>
      </c>
      <c r="T885" s="1">
        <f t="shared" si="53"/>
        <v>1.7100000000000009</v>
      </c>
      <c r="U885" s="1" t="str">
        <f t="shared" si="54"/>
        <v>Underpaid</v>
      </c>
      <c r="V885" s="1" t="str">
        <f>_xlfn.XLOOKUP(C885,Payers!$A$2:$A$9,Payers!$B$2:$B$9)</f>
        <v>Summit Health Commercial</v>
      </c>
      <c r="W885" s="1" t="str">
        <f t="shared" si="55"/>
        <v>2025-10</v>
      </c>
    </row>
    <row r="886" spans="1:23">
      <c r="A886" s="1" t="s">
        <v>1720</v>
      </c>
      <c r="B886" s="1" t="s">
        <v>1221</v>
      </c>
      <c r="C886" s="1" t="s">
        <v>76</v>
      </c>
      <c r="D886" s="1" t="s">
        <v>26</v>
      </c>
      <c r="E886" s="1" t="s">
        <v>44</v>
      </c>
      <c r="F886">
        <v>1</v>
      </c>
      <c r="G886" s="2">
        <v>46244</v>
      </c>
      <c r="H886" s="2">
        <v>46246</v>
      </c>
      <c r="I886">
        <v>4669.5600000000004</v>
      </c>
      <c r="J886">
        <v>1992.1</v>
      </c>
      <c r="K886">
        <v>1792.89</v>
      </c>
      <c r="L886">
        <v>199.21</v>
      </c>
      <c r="M886" s="1" t="s">
        <v>21</v>
      </c>
      <c r="N886" s="1" t="s">
        <v>22</v>
      </c>
      <c r="O886" s="2">
        <v>46264</v>
      </c>
      <c r="P886" s="2">
        <v>46264</v>
      </c>
      <c r="Q886">
        <f>_xlfn.XLOOKUP(E886,CPT!$A$2:$A$13,CPT!$D$2:$D$13)</f>
        <v>4800</v>
      </c>
      <c r="R886" s="1">
        <f>_xlfn.XLOOKUP(C886,Contract!$A$2:$A$9,Contract!$B$2:$B$9)</f>
        <v>0.43</v>
      </c>
      <c r="S886" s="1">
        <f t="shared" si="52"/>
        <v>2064</v>
      </c>
      <c r="T886" s="1">
        <f t="shared" si="53"/>
        <v>71.900000000000091</v>
      </c>
      <c r="U886" s="1" t="str">
        <f t="shared" si="54"/>
        <v>OK</v>
      </c>
      <c r="V886" s="1" t="str">
        <f>_xlfn.XLOOKUP(C886,Payers!$A$2:$A$9,Payers!$B$2:$B$9)</f>
        <v>Summit Health Commercial</v>
      </c>
      <c r="W886" s="1" t="str">
        <f t="shared" si="55"/>
        <v>2026-08</v>
      </c>
    </row>
    <row r="887" spans="1:23">
      <c r="A887" s="1" t="s">
        <v>1721</v>
      </c>
      <c r="B887" s="1" t="s">
        <v>1722</v>
      </c>
      <c r="C887" s="1" t="s">
        <v>60</v>
      </c>
      <c r="D887" s="1" t="s">
        <v>26</v>
      </c>
      <c r="E887" s="1" t="s">
        <v>57</v>
      </c>
      <c r="F887">
        <v>1</v>
      </c>
      <c r="G887" s="2">
        <v>45936</v>
      </c>
      <c r="H887" s="2">
        <v>45957</v>
      </c>
      <c r="I887">
        <v>205.45</v>
      </c>
      <c r="J887">
        <v>98.9</v>
      </c>
      <c r="K887">
        <v>98.9</v>
      </c>
      <c r="L887">
        <v>0</v>
      </c>
      <c r="M887" s="1" t="s">
        <v>21</v>
      </c>
      <c r="N887" s="1" t="s">
        <v>22</v>
      </c>
      <c r="O887" s="2">
        <v>45970</v>
      </c>
      <c r="P887" s="2">
        <v>45970</v>
      </c>
      <c r="Q887">
        <f>_xlfn.XLOOKUP(E887,CPT!$A$2:$A$13,CPT!$D$2:$D$13)</f>
        <v>210</v>
      </c>
      <c r="R887" s="1">
        <f>_xlfn.XLOOKUP(C887,Contract!$A$2:$A$9,Contract!$B$2:$B$9)</f>
        <v>0.45</v>
      </c>
      <c r="S887" s="1">
        <f t="shared" si="52"/>
        <v>94.5</v>
      </c>
      <c r="T887" s="1">
        <f t="shared" si="53"/>
        <v>-4.4000000000000057</v>
      </c>
      <c r="U887" s="1" t="str">
        <f t="shared" si="54"/>
        <v>OK</v>
      </c>
      <c r="V887" s="1" t="str">
        <f>_xlfn.XLOOKUP(C887,Payers!$A$2:$A$9,Payers!$B$2:$B$9)</f>
        <v>Blue Horizon Commercial</v>
      </c>
      <c r="W887" s="1" t="str">
        <f t="shared" si="55"/>
        <v>2025-10</v>
      </c>
    </row>
    <row r="888" spans="1:23">
      <c r="A888" s="1" t="s">
        <v>1723</v>
      </c>
      <c r="B888" s="1" t="s">
        <v>1642</v>
      </c>
      <c r="C888" s="1" t="s">
        <v>47</v>
      </c>
      <c r="D888" s="1" t="s">
        <v>26</v>
      </c>
      <c r="E888" s="1" t="s">
        <v>41</v>
      </c>
      <c r="F888">
        <v>1</v>
      </c>
      <c r="G888" s="2">
        <v>46119</v>
      </c>
      <c r="H888" s="2">
        <v>46123</v>
      </c>
      <c r="I888">
        <v>38.72</v>
      </c>
      <c r="M888" s="1" t="s">
        <v>32</v>
      </c>
      <c r="N888" s="1" t="s">
        <v>168</v>
      </c>
      <c r="O888" s="2">
        <v>46188</v>
      </c>
      <c r="P888" s="2"/>
      <c r="Q888">
        <f>_xlfn.XLOOKUP(E888,CPT!$A$2:$A$13,CPT!$D$2:$D$13)</f>
        <v>38</v>
      </c>
      <c r="R888" s="1">
        <f>_xlfn.XLOOKUP(C888,Contract!$A$2:$A$9,Contract!$B$2:$B$9)</f>
        <v>0.28000000000000003</v>
      </c>
      <c r="S888" s="1">
        <f t="shared" si="52"/>
        <v>10.64</v>
      </c>
      <c r="T888" s="1" t="str">
        <f t="shared" si="53"/>
        <v/>
      </c>
      <c r="U888" s="1" t="str">
        <f t="shared" si="54"/>
        <v/>
      </c>
      <c r="V888" s="1" t="str">
        <f>_xlfn.XLOOKUP(C888,Payers!$A$2:$A$9,Payers!$B$2:$B$9)</f>
        <v>Coastal Medicaid MCO</v>
      </c>
      <c r="W888" s="1" t="str">
        <f t="shared" si="55"/>
        <v>2026-04</v>
      </c>
    </row>
    <row r="889" spans="1:23">
      <c r="A889" s="1" t="s">
        <v>1724</v>
      </c>
      <c r="B889" s="1" t="s">
        <v>1725</v>
      </c>
      <c r="C889" s="1" t="s">
        <v>18</v>
      </c>
      <c r="D889" s="1" t="s">
        <v>26</v>
      </c>
      <c r="E889" s="1" t="s">
        <v>185</v>
      </c>
      <c r="F889">
        <v>1</v>
      </c>
      <c r="G889" s="2">
        <v>46125</v>
      </c>
      <c r="H889" s="2">
        <v>46126</v>
      </c>
      <c r="I889">
        <v>1134.1199999999999</v>
      </c>
      <c r="M889" s="1" t="s">
        <v>32</v>
      </c>
      <c r="N889" s="1" t="s">
        <v>49</v>
      </c>
      <c r="O889" s="2">
        <v>46174</v>
      </c>
      <c r="P889" s="2"/>
      <c r="Q889">
        <f>_xlfn.XLOOKUP(E889,CPT!$A$2:$A$13,CPT!$D$2:$D$13)</f>
        <v>1150</v>
      </c>
      <c r="R889" s="1">
        <f>_xlfn.XLOOKUP(C889,Contract!$A$2:$A$9,Contract!$B$2:$B$9)</f>
        <v>0.38</v>
      </c>
      <c r="S889" s="1">
        <f t="shared" si="52"/>
        <v>437</v>
      </c>
      <c r="T889" s="1" t="str">
        <f t="shared" si="53"/>
        <v/>
      </c>
      <c r="U889" s="1" t="str">
        <f t="shared" si="54"/>
        <v/>
      </c>
      <c r="V889" s="1" t="str">
        <f>_xlfn.XLOOKUP(C889,Payers!$A$2:$A$9,Payers!$B$2:$B$9)</f>
        <v>Sunshine Medicare Advantage</v>
      </c>
      <c r="W889" s="1" t="str">
        <f t="shared" si="55"/>
        <v>2026-04</v>
      </c>
    </row>
    <row r="890" spans="1:23">
      <c r="A890" s="1" t="s">
        <v>1726</v>
      </c>
      <c r="B890" s="1" t="s">
        <v>1727</v>
      </c>
      <c r="C890" s="1" t="s">
        <v>25</v>
      </c>
      <c r="D890" s="1" t="s">
        <v>30</v>
      </c>
      <c r="E890" s="1" t="s">
        <v>91</v>
      </c>
      <c r="F890">
        <v>1</v>
      </c>
      <c r="G890" s="2">
        <v>46273</v>
      </c>
      <c r="H890" s="2">
        <v>46275</v>
      </c>
      <c r="I890">
        <v>58.08</v>
      </c>
      <c r="J890">
        <v>19.48</v>
      </c>
      <c r="K890">
        <v>19.48</v>
      </c>
      <c r="L890">
        <v>0</v>
      </c>
      <c r="M890" s="1" t="s">
        <v>21</v>
      </c>
      <c r="N890" s="1" t="s">
        <v>22</v>
      </c>
      <c r="O890" s="2">
        <v>46293</v>
      </c>
      <c r="P890" s="2">
        <v>46293</v>
      </c>
      <c r="Q890">
        <f>_xlfn.XLOOKUP(E890,CPT!$A$2:$A$13,CPT!$D$2:$D$13)</f>
        <v>58</v>
      </c>
      <c r="R890" s="1">
        <f>_xlfn.XLOOKUP(C890,Contract!$A$2:$A$9,Contract!$B$2:$B$9)</f>
        <v>0.36</v>
      </c>
      <c r="S890" s="1">
        <f t="shared" si="52"/>
        <v>20.88</v>
      </c>
      <c r="T890" s="1">
        <f t="shared" si="53"/>
        <v>1.3999999999999986</v>
      </c>
      <c r="U890" s="1" t="str">
        <f t="shared" si="54"/>
        <v>Underpaid</v>
      </c>
      <c r="V890" s="1" t="str">
        <f>_xlfn.XLOOKUP(C890,Payers!$A$2:$A$9,Payers!$B$2:$B$9)</f>
        <v>Medicare Part B</v>
      </c>
      <c r="W890" s="1" t="str">
        <f t="shared" si="55"/>
        <v>2026-09</v>
      </c>
    </row>
    <row r="891" spans="1:23">
      <c r="A891" s="1" t="s">
        <v>1728</v>
      </c>
      <c r="B891" s="1" t="s">
        <v>1729</v>
      </c>
      <c r="C891" s="1" t="s">
        <v>60</v>
      </c>
      <c r="D891" s="1" t="s">
        <v>37</v>
      </c>
      <c r="E891" s="1" t="s">
        <v>57</v>
      </c>
      <c r="F891">
        <v>1</v>
      </c>
      <c r="G891" s="2">
        <v>46216</v>
      </c>
      <c r="H891" s="2">
        <v>46218</v>
      </c>
      <c r="I891">
        <v>214.23</v>
      </c>
      <c r="J891">
        <v>107.08</v>
      </c>
      <c r="K891">
        <v>107.08</v>
      </c>
      <c r="L891">
        <v>0</v>
      </c>
      <c r="M891" s="1" t="s">
        <v>21</v>
      </c>
      <c r="N891" s="1" t="s">
        <v>22</v>
      </c>
      <c r="O891" s="2">
        <v>46236</v>
      </c>
      <c r="P891" s="2">
        <v>46236</v>
      </c>
      <c r="Q891">
        <f>_xlfn.XLOOKUP(E891,CPT!$A$2:$A$13,CPT!$D$2:$D$13)</f>
        <v>210</v>
      </c>
      <c r="R891" s="1">
        <f>_xlfn.XLOOKUP(C891,Contract!$A$2:$A$9,Contract!$B$2:$B$9)</f>
        <v>0.45</v>
      </c>
      <c r="S891" s="1">
        <f t="shared" si="52"/>
        <v>94.5</v>
      </c>
      <c r="T891" s="1">
        <f t="shared" si="53"/>
        <v>-12.579999999999998</v>
      </c>
      <c r="U891" s="1" t="str">
        <f t="shared" si="54"/>
        <v>OK</v>
      </c>
      <c r="V891" s="1" t="str">
        <f>_xlfn.XLOOKUP(C891,Payers!$A$2:$A$9,Payers!$B$2:$B$9)</f>
        <v>Blue Horizon Commercial</v>
      </c>
      <c r="W891" s="1" t="str">
        <f t="shared" si="55"/>
        <v>2026-07</v>
      </c>
    </row>
    <row r="892" spans="1:23">
      <c r="A892" s="1" t="s">
        <v>1730</v>
      </c>
      <c r="B892" s="1" t="s">
        <v>1731</v>
      </c>
      <c r="C892" s="1" t="s">
        <v>60</v>
      </c>
      <c r="D892" s="1" t="s">
        <v>30</v>
      </c>
      <c r="E892" s="1" t="s">
        <v>31</v>
      </c>
      <c r="F892">
        <v>1</v>
      </c>
      <c r="G892" s="2">
        <v>46274</v>
      </c>
      <c r="H892" s="2">
        <v>46276</v>
      </c>
      <c r="I892">
        <v>61.88</v>
      </c>
      <c r="M892" s="1" t="s">
        <v>69</v>
      </c>
      <c r="N892" s="1" t="s">
        <v>22</v>
      </c>
      <c r="O892" s="2"/>
      <c r="P892" s="2"/>
      <c r="Q892">
        <f>_xlfn.XLOOKUP(E892,CPT!$A$2:$A$13,CPT!$D$2:$D$13)</f>
        <v>62</v>
      </c>
      <c r="R892" s="1">
        <f>_xlfn.XLOOKUP(C892,Contract!$A$2:$A$9,Contract!$B$2:$B$9)</f>
        <v>0.45</v>
      </c>
      <c r="S892" s="1">
        <f t="shared" si="52"/>
        <v>27.9</v>
      </c>
      <c r="T892" s="1" t="str">
        <f t="shared" si="53"/>
        <v/>
      </c>
      <c r="U892" s="1" t="str">
        <f t="shared" si="54"/>
        <v/>
      </c>
      <c r="V892" s="1" t="str">
        <f>_xlfn.XLOOKUP(C892,Payers!$A$2:$A$9,Payers!$B$2:$B$9)</f>
        <v>Blue Horizon Commercial</v>
      </c>
      <c r="W892" s="1" t="str">
        <f t="shared" si="55"/>
        <v>2026-09</v>
      </c>
    </row>
    <row r="893" spans="1:23">
      <c r="A893" s="1" t="s">
        <v>1732</v>
      </c>
      <c r="B893" s="1" t="s">
        <v>1733</v>
      </c>
      <c r="C893" s="1" t="s">
        <v>18</v>
      </c>
      <c r="D893" s="1" t="s">
        <v>37</v>
      </c>
      <c r="E893" s="1" t="s">
        <v>48</v>
      </c>
      <c r="F893">
        <v>1</v>
      </c>
      <c r="G893" s="2">
        <v>46266</v>
      </c>
      <c r="H893" s="2">
        <v>46269</v>
      </c>
      <c r="I893">
        <v>411.28</v>
      </c>
      <c r="M893" s="1" t="s">
        <v>69</v>
      </c>
      <c r="N893" s="1" t="s">
        <v>22</v>
      </c>
      <c r="O893" s="2"/>
      <c r="P893" s="2"/>
      <c r="Q893">
        <f>_xlfn.XLOOKUP(E893,CPT!$A$2:$A$13,CPT!$D$2:$D$13)</f>
        <v>420</v>
      </c>
      <c r="R893" s="1">
        <f>_xlfn.XLOOKUP(C893,Contract!$A$2:$A$9,Contract!$B$2:$B$9)</f>
        <v>0.38</v>
      </c>
      <c r="S893" s="1">
        <f t="shared" si="52"/>
        <v>159.6</v>
      </c>
      <c r="T893" s="1" t="str">
        <f t="shared" si="53"/>
        <v/>
      </c>
      <c r="U893" s="1" t="str">
        <f t="shared" si="54"/>
        <v/>
      </c>
      <c r="V893" s="1" t="str">
        <f>_xlfn.XLOOKUP(C893,Payers!$A$2:$A$9,Payers!$B$2:$B$9)</f>
        <v>Sunshine Medicare Advantage</v>
      </c>
      <c r="W893" s="1" t="str">
        <f t="shared" si="55"/>
        <v>2026-09</v>
      </c>
    </row>
    <row r="894" spans="1:23">
      <c r="A894" s="1" t="s">
        <v>1734</v>
      </c>
      <c r="B894" s="1" t="s">
        <v>1735</v>
      </c>
      <c r="C894" s="1" t="s">
        <v>47</v>
      </c>
      <c r="D894" s="1" t="s">
        <v>19</v>
      </c>
      <c r="E894" s="1" t="s">
        <v>41</v>
      </c>
      <c r="F894">
        <v>1</v>
      </c>
      <c r="G894" s="2">
        <v>46193</v>
      </c>
      <c r="H894" s="2">
        <v>46196</v>
      </c>
      <c r="I894">
        <v>37.32</v>
      </c>
      <c r="M894" s="1" t="s">
        <v>32</v>
      </c>
      <c r="N894" s="1" t="s">
        <v>124</v>
      </c>
      <c r="O894" s="2">
        <v>46279</v>
      </c>
      <c r="P894" s="2"/>
      <c r="Q894">
        <f>_xlfn.XLOOKUP(E894,CPT!$A$2:$A$13,CPT!$D$2:$D$13)</f>
        <v>38</v>
      </c>
      <c r="R894" s="1">
        <f>_xlfn.XLOOKUP(C894,Contract!$A$2:$A$9,Contract!$B$2:$B$9)</f>
        <v>0.28000000000000003</v>
      </c>
      <c r="S894" s="1">
        <f t="shared" si="52"/>
        <v>10.64</v>
      </c>
      <c r="T894" s="1" t="str">
        <f t="shared" si="53"/>
        <v/>
      </c>
      <c r="U894" s="1" t="str">
        <f t="shared" si="54"/>
        <v/>
      </c>
      <c r="V894" s="1" t="str">
        <f>_xlfn.XLOOKUP(C894,Payers!$A$2:$A$9,Payers!$B$2:$B$9)</f>
        <v>Coastal Medicaid MCO</v>
      </c>
      <c r="W894" s="1" t="str">
        <f t="shared" si="55"/>
        <v>2026-06</v>
      </c>
    </row>
    <row r="895" spans="1:23">
      <c r="A895" s="1" t="s">
        <v>1736</v>
      </c>
      <c r="B895" s="1" t="s">
        <v>1737</v>
      </c>
      <c r="C895" s="1" t="s">
        <v>60</v>
      </c>
      <c r="D895" s="1" t="s">
        <v>26</v>
      </c>
      <c r="E895" s="1" t="s">
        <v>113</v>
      </c>
      <c r="F895">
        <v>1</v>
      </c>
      <c r="G895" s="2">
        <v>45945</v>
      </c>
      <c r="H895" s="2">
        <v>45949</v>
      </c>
      <c r="I895">
        <v>1048.5</v>
      </c>
      <c r="J895">
        <v>415.8</v>
      </c>
      <c r="K895">
        <v>415.8</v>
      </c>
      <c r="L895">
        <v>0</v>
      </c>
      <c r="M895" s="1" t="s">
        <v>21</v>
      </c>
      <c r="N895" s="1" t="s">
        <v>22</v>
      </c>
      <c r="O895" s="2">
        <v>45973</v>
      </c>
      <c r="P895" s="2">
        <v>45973</v>
      </c>
      <c r="Q895">
        <f>_xlfn.XLOOKUP(E895,CPT!$A$2:$A$13,CPT!$D$2:$D$13)</f>
        <v>1050</v>
      </c>
      <c r="R895" s="1">
        <f>_xlfn.XLOOKUP(C895,Contract!$A$2:$A$9,Contract!$B$2:$B$9)</f>
        <v>0.45</v>
      </c>
      <c r="S895" s="1">
        <f t="shared" si="52"/>
        <v>472.5</v>
      </c>
      <c r="T895" s="1">
        <f t="shared" si="53"/>
        <v>56.699999999999989</v>
      </c>
      <c r="U895" s="1" t="str">
        <f t="shared" si="54"/>
        <v>Underpaid</v>
      </c>
      <c r="V895" s="1" t="str">
        <f>_xlfn.XLOOKUP(C895,Payers!$A$2:$A$9,Payers!$B$2:$B$9)</f>
        <v>Blue Horizon Commercial</v>
      </c>
      <c r="W895" s="1" t="str">
        <f t="shared" si="55"/>
        <v>2025-10</v>
      </c>
    </row>
    <row r="896" spans="1:23">
      <c r="A896" s="1" t="s">
        <v>1738</v>
      </c>
      <c r="B896" s="1" t="s">
        <v>1739</v>
      </c>
      <c r="C896" s="1" t="s">
        <v>76</v>
      </c>
      <c r="D896" s="1" t="s">
        <v>19</v>
      </c>
      <c r="E896" s="1" t="s">
        <v>57</v>
      </c>
      <c r="F896">
        <v>1</v>
      </c>
      <c r="G896" s="2">
        <v>46151</v>
      </c>
      <c r="H896" s="2">
        <v>46152</v>
      </c>
      <c r="I896">
        <v>210.1</v>
      </c>
      <c r="J896">
        <v>78.58</v>
      </c>
      <c r="K896">
        <v>62.86</v>
      </c>
      <c r="L896">
        <v>15.72</v>
      </c>
      <c r="M896" s="1" t="s">
        <v>21</v>
      </c>
      <c r="N896" s="1" t="s">
        <v>22</v>
      </c>
      <c r="O896" s="2">
        <v>46174</v>
      </c>
      <c r="P896" s="2">
        <v>46174</v>
      </c>
      <c r="Q896">
        <f>_xlfn.XLOOKUP(E896,CPT!$A$2:$A$13,CPT!$D$2:$D$13)</f>
        <v>210</v>
      </c>
      <c r="R896" s="1">
        <f>_xlfn.XLOOKUP(C896,Contract!$A$2:$A$9,Contract!$B$2:$B$9)</f>
        <v>0.43</v>
      </c>
      <c r="S896" s="1">
        <f t="shared" si="52"/>
        <v>90.3</v>
      </c>
      <c r="T896" s="1">
        <f t="shared" si="53"/>
        <v>11.719999999999999</v>
      </c>
      <c r="U896" s="1" t="str">
        <f t="shared" si="54"/>
        <v>Underpaid</v>
      </c>
      <c r="V896" s="1" t="str">
        <f>_xlfn.XLOOKUP(C896,Payers!$A$2:$A$9,Payers!$B$2:$B$9)</f>
        <v>Summit Health Commercial</v>
      </c>
      <c r="W896" s="1" t="str">
        <f t="shared" si="55"/>
        <v>2026-05</v>
      </c>
    </row>
    <row r="897" spans="1:23">
      <c r="A897" s="1" t="s">
        <v>1740</v>
      </c>
      <c r="B897" s="1" t="s">
        <v>1741</v>
      </c>
      <c r="C897" s="1" t="s">
        <v>60</v>
      </c>
      <c r="D897" s="1" t="s">
        <v>26</v>
      </c>
      <c r="E897" s="1" t="s">
        <v>113</v>
      </c>
      <c r="F897">
        <v>1</v>
      </c>
      <c r="G897" s="2">
        <v>46072</v>
      </c>
      <c r="H897" s="2">
        <v>46075</v>
      </c>
      <c r="I897">
        <v>1051.8599999999999</v>
      </c>
      <c r="J897">
        <v>500.01</v>
      </c>
      <c r="K897">
        <v>500.01</v>
      </c>
      <c r="L897">
        <v>0</v>
      </c>
      <c r="M897" s="1" t="s">
        <v>21</v>
      </c>
      <c r="N897" s="1" t="s">
        <v>22</v>
      </c>
      <c r="O897" s="2">
        <v>46092</v>
      </c>
      <c r="P897" s="2">
        <v>46092</v>
      </c>
      <c r="Q897">
        <f>_xlfn.XLOOKUP(E897,CPT!$A$2:$A$13,CPT!$D$2:$D$13)</f>
        <v>1050</v>
      </c>
      <c r="R897" s="1">
        <f>_xlfn.XLOOKUP(C897,Contract!$A$2:$A$9,Contract!$B$2:$B$9)</f>
        <v>0.45</v>
      </c>
      <c r="S897" s="1">
        <f t="shared" si="52"/>
        <v>472.5</v>
      </c>
      <c r="T897" s="1">
        <f t="shared" si="53"/>
        <v>-27.509999999999991</v>
      </c>
      <c r="U897" s="1" t="str">
        <f t="shared" si="54"/>
        <v>OK</v>
      </c>
      <c r="V897" s="1" t="str">
        <f>_xlfn.XLOOKUP(C897,Payers!$A$2:$A$9,Payers!$B$2:$B$9)</f>
        <v>Blue Horizon Commercial</v>
      </c>
      <c r="W897" s="1" t="str">
        <f t="shared" si="55"/>
        <v>2026-02</v>
      </c>
    </row>
    <row r="898" spans="1:23">
      <c r="A898" s="1" t="s">
        <v>1742</v>
      </c>
      <c r="B898" s="1" t="s">
        <v>606</v>
      </c>
      <c r="C898" s="1" t="s">
        <v>47</v>
      </c>
      <c r="D898" s="1" t="s">
        <v>26</v>
      </c>
      <c r="E898" s="1" t="s">
        <v>88</v>
      </c>
      <c r="F898">
        <v>1</v>
      </c>
      <c r="G898" s="2">
        <v>46225</v>
      </c>
      <c r="H898" s="2">
        <v>46226</v>
      </c>
      <c r="I898">
        <v>256.35000000000002</v>
      </c>
      <c r="M898" s="1" t="s">
        <v>32</v>
      </c>
      <c r="N898" s="1" t="s">
        <v>33</v>
      </c>
      <c r="O898" s="2">
        <v>46283</v>
      </c>
      <c r="P898" s="2"/>
      <c r="Q898">
        <f>_xlfn.XLOOKUP(E898,CPT!$A$2:$A$13,CPT!$D$2:$D$13)</f>
        <v>260</v>
      </c>
      <c r="R898" s="1">
        <f>_xlfn.XLOOKUP(C898,Contract!$A$2:$A$9,Contract!$B$2:$B$9)</f>
        <v>0.28000000000000003</v>
      </c>
      <c r="S898" s="1">
        <f t="shared" ref="S898:S961" si="56">ROUND(Q898*F898*R898,2)</f>
        <v>72.8</v>
      </c>
      <c r="T898" s="1" t="str">
        <f t="shared" ref="T898:T961" si="57">IF(M898="Paid",S898-J898,"")</f>
        <v/>
      </c>
      <c r="U898" s="1" t="str">
        <f t="shared" ref="U898:U961" si="58">IF(M898&lt;&gt;"Paid","",IF(T898&gt;S898*0.05,"Underpaid","OK"))</f>
        <v/>
      </c>
      <c r="V898" s="1" t="str">
        <f>_xlfn.XLOOKUP(C898,Payers!$A$2:$A$9,Payers!$B$2:$B$9)</f>
        <v>Coastal Medicaid MCO</v>
      </c>
      <c r="W898" s="1" t="str">
        <f t="shared" ref="W898:W961" si="59">TEXT(G898,"yyyy-mm")</f>
        <v>2026-07</v>
      </c>
    </row>
    <row r="899" spans="1:23">
      <c r="A899" s="1" t="s">
        <v>1743</v>
      </c>
      <c r="B899" s="1" t="s">
        <v>1632</v>
      </c>
      <c r="C899" s="1" t="s">
        <v>36</v>
      </c>
      <c r="D899" s="1" t="s">
        <v>19</v>
      </c>
      <c r="E899" s="1" t="s">
        <v>57</v>
      </c>
      <c r="F899">
        <v>1</v>
      </c>
      <c r="G899" s="2">
        <v>46108</v>
      </c>
      <c r="H899" s="2">
        <v>46113</v>
      </c>
      <c r="I899">
        <v>211.72</v>
      </c>
      <c r="J899">
        <v>48.33</v>
      </c>
      <c r="K899">
        <v>48.33</v>
      </c>
      <c r="L899">
        <v>0</v>
      </c>
      <c r="M899" s="1" t="s">
        <v>21</v>
      </c>
      <c r="N899" s="1" t="s">
        <v>22</v>
      </c>
      <c r="O899" s="2">
        <v>46141</v>
      </c>
      <c r="P899" s="2">
        <v>46141</v>
      </c>
      <c r="Q899">
        <f>_xlfn.XLOOKUP(E899,CPT!$A$2:$A$13,CPT!$D$2:$D$13)</f>
        <v>210</v>
      </c>
      <c r="R899" s="1">
        <f>_xlfn.XLOOKUP(C899,Contract!$A$2:$A$9,Contract!$B$2:$B$9)</f>
        <v>0.27</v>
      </c>
      <c r="S899" s="1">
        <f t="shared" si="56"/>
        <v>56.7</v>
      </c>
      <c r="T899" s="1">
        <f t="shared" si="57"/>
        <v>8.3700000000000045</v>
      </c>
      <c r="U899" s="1" t="str">
        <f t="shared" si="58"/>
        <v>Underpaid</v>
      </c>
      <c r="V899" s="1" t="str">
        <f>_xlfn.XLOOKUP(C899,Payers!$A$2:$A$9,Payers!$B$2:$B$9)</f>
        <v>Florida Medicaid</v>
      </c>
      <c r="W899" s="1" t="str">
        <f t="shared" si="59"/>
        <v>2026-03</v>
      </c>
    </row>
    <row r="900" spans="1:23">
      <c r="A900" s="1" t="s">
        <v>1744</v>
      </c>
      <c r="B900" s="1" t="s">
        <v>1745</v>
      </c>
      <c r="C900" s="1" t="s">
        <v>52</v>
      </c>
      <c r="D900" s="1" t="s">
        <v>30</v>
      </c>
      <c r="E900" s="1" t="s">
        <v>20</v>
      </c>
      <c r="F900">
        <v>1</v>
      </c>
      <c r="G900" s="2">
        <v>46087</v>
      </c>
      <c r="H900" s="2">
        <v>46092</v>
      </c>
      <c r="I900">
        <v>148.07</v>
      </c>
      <c r="J900">
        <v>62.71</v>
      </c>
      <c r="K900">
        <v>62.71</v>
      </c>
      <c r="L900">
        <v>0</v>
      </c>
      <c r="M900" s="1" t="s">
        <v>21</v>
      </c>
      <c r="N900" s="1" t="s">
        <v>22</v>
      </c>
      <c r="O900" s="2">
        <v>46129</v>
      </c>
      <c r="P900" s="2">
        <v>46129</v>
      </c>
      <c r="Q900">
        <f>_xlfn.XLOOKUP(E900,CPT!$A$2:$A$13,CPT!$D$2:$D$13)</f>
        <v>145</v>
      </c>
      <c r="R900" s="1">
        <f>_xlfn.XLOOKUP(C900,Contract!$A$2:$A$9,Contract!$B$2:$B$9)</f>
        <v>0.47</v>
      </c>
      <c r="S900" s="1">
        <f t="shared" si="56"/>
        <v>68.150000000000006</v>
      </c>
      <c r="T900" s="1">
        <f t="shared" si="57"/>
        <v>5.4400000000000048</v>
      </c>
      <c r="U900" s="1" t="str">
        <f t="shared" si="58"/>
        <v>Underpaid</v>
      </c>
      <c r="V900" s="1" t="str">
        <f>_xlfn.XLOOKUP(C900,Payers!$A$2:$A$9,Payers!$B$2:$B$9)</f>
        <v>Keystone Commercial PPO</v>
      </c>
      <c r="W900" s="1" t="str">
        <f t="shared" si="59"/>
        <v>2026-03</v>
      </c>
    </row>
    <row r="901" spans="1:23">
      <c r="A901" s="1" t="s">
        <v>1746</v>
      </c>
      <c r="B901" s="1" t="s">
        <v>1747</v>
      </c>
      <c r="C901" s="1" t="s">
        <v>60</v>
      </c>
      <c r="D901" s="1" t="s">
        <v>19</v>
      </c>
      <c r="E901" s="1" t="s">
        <v>88</v>
      </c>
      <c r="F901">
        <v>1</v>
      </c>
      <c r="G901" s="2">
        <v>46066</v>
      </c>
      <c r="H901" s="2">
        <v>46067</v>
      </c>
      <c r="I901">
        <v>265.95</v>
      </c>
      <c r="J901">
        <v>101.42</v>
      </c>
      <c r="K901">
        <v>91.28</v>
      </c>
      <c r="L901">
        <v>10.14</v>
      </c>
      <c r="M901" s="1" t="s">
        <v>21</v>
      </c>
      <c r="N901" s="1" t="s">
        <v>22</v>
      </c>
      <c r="O901" s="2">
        <v>46103</v>
      </c>
      <c r="P901" s="2">
        <v>46103</v>
      </c>
      <c r="Q901">
        <f>_xlfn.XLOOKUP(E901,CPT!$A$2:$A$13,CPT!$D$2:$D$13)</f>
        <v>260</v>
      </c>
      <c r="R901" s="1">
        <f>_xlfn.XLOOKUP(C901,Contract!$A$2:$A$9,Contract!$B$2:$B$9)</f>
        <v>0.45</v>
      </c>
      <c r="S901" s="1">
        <f t="shared" si="56"/>
        <v>117</v>
      </c>
      <c r="T901" s="1">
        <f t="shared" si="57"/>
        <v>15.579999999999998</v>
      </c>
      <c r="U901" s="1" t="str">
        <f t="shared" si="58"/>
        <v>Underpaid</v>
      </c>
      <c r="V901" s="1" t="str">
        <f>_xlfn.XLOOKUP(C901,Payers!$A$2:$A$9,Payers!$B$2:$B$9)</f>
        <v>Blue Horizon Commercial</v>
      </c>
      <c r="W901" s="1" t="str">
        <f t="shared" si="59"/>
        <v>2026-02</v>
      </c>
    </row>
    <row r="902" spans="1:23">
      <c r="A902" s="1" t="s">
        <v>1748</v>
      </c>
      <c r="B902" s="1" t="s">
        <v>720</v>
      </c>
      <c r="C902" s="1" t="s">
        <v>47</v>
      </c>
      <c r="D902" s="1" t="s">
        <v>19</v>
      </c>
      <c r="E902" s="1" t="s">
        <v>41</v>
      </c>
      <c r="F902">
        <v>1</v>
      </c>
      <c r="G902" s="2">
        <v>46172</v>
      </c>
      <c r="H902" s="2">
        <v>46179</v>
      </c>
      <c r="I902">
        <v>37.11</v>
      </c>
      <c r="J902">
        <v>11.93</v>
      </c>
      <c r="K902">
        <v>11.93</v>
      </c>
      <c r="L902">
        <v>0</v>
      </c>
      <c r="M902" s="1" t="s">
        <v>21</v>
      </c>
      <c r="N902" s="1" t="s">
        <v>22</v>
      </c>
      <c r="O902" s="2">
        <v>46251</v>
      </c>
      <c r="P902" s="2">
        <v>46251</v>
      </c>
      <c r="Q902">
        <f>_xlfn.XLOOKUP(E902,CPT!$A$2:$A$13,CPT!$D$2:$D$13)</f>
        <v>38</v>
      </c>
      <c r="R902" s="1">
        <f>_xlfn.XLOOKUP(C902,Contract!$A$2:$A$9,Contract!$B$2:$B$9)</f>
        <v>0.28000000000000003</v>
      </c>
      <c r="S902" s="1">
        <f t="shared" si="56"/>
        <v>10.64</v>
      </c>
      <c r="T902" s="1">
        <f t="shared" si="57"/>
        <v>-1.2899999999999991</v>
      </c>
      <c r="U902" s="1" t="str">
        <f t="shared" si="58"/>
        <v>OK</v>
      </c>
      <c r="V902" s="1" t="str">
        <f>_xlfn.XLOOKUP(C902,Payers!$A$2:$A$9,Payers!$B$2:$B$9)</f>
        <v>Coastal Medicaid MCO</v>
      </c>
      <c r="W902" s="1" t="str">
        <f t="shared" si="59"/>
        <v>2026-05</v>
      </c>
    </row>
    <row r="903" spans="1:23">
      <c r="A903" s="1" t="s">
        <v>1749</v>
      </c>
      <c r="B903" s="1" t="s">
        <v>1750</v>
      </c>
      <c r="C903" s="1" t="s">
        <v>60</v>
      </c>
      <c r="D903" s="1" t="s">
        <v>26</v>
      </c>
      <c r="E903" s="1" t="s">
        <v>88</v>
      </c>
      <c r="F903">
        <v>1</v>
      </c>
      <c r="G903" s="2">
        <v>46102</v>
      </c>
      <c r="H903" s="2">
        <v>46108</v>
      </c>
      <c r="I903">
        <v>259.26</v>
      </c>
      <c r="J903">
        <v>107.86</v>
      </c>
      <c r="K903">
        <v>86.29</v>
      </c>
      <c r="L903">
        <v>21.57</v>
      </c>
      <c r="M903" s="1" t="s">
        <v>21</v>
      </c>
      <c r="N903" s="1" t="s">
        <v>22</v>
      </c>
      <c r="O903" s="2">
        <v>46127</v>
      </c>
      <c r="P903" s="2">
        <v>46127</v>
      </c>
      <c r="Q903">
        <f>_xlfn.XLOOKUP(E903,CPT!$A$2:$A$13,CPT!$D$2:$D$13)</f>
        <v>260</v>
      </c>
      <c r="R903" s="1">
        <f>_xlfn.XLOOKUP(C903,Contract!$A$2:$A$9,Contract!$B$2:$B$9)</f>
        <v>0.45</v>
      </c>
      <c r="S903" s="1">
        <f t="shared" si="56"/>
        <v>117</v>
      </c>
      <c r="T903" s="1">
        <f t="shared" si="57"/>
        <v>9.14</v>
      </c>
      <c r="U903" s="1" t="str">
        <f t="shared" si="58"/>
        <v>Underpaid</v>
      </c>
      <c r="V903" s="1" t="str">
        <f>_xlfn.XLOOKUP(C903,Payers!$A$2:$A$9,Payers!$B$2:$B$9)</f>
        <v>Blue Horizon Commercial</v>
      </c>
      <c r="W903" s="1" t="str">
        <f t="shared" si="59"/>
        <v>2026-03</v>
      </c>
    </row>
    <row r="904" spans="1:23">
      <c r="A904" s="1" t="s">
        <v>1751</v>
      </c>
      <c r="B904" s="1" t="s">
        <v>1638</v>
      </c>
      <c r="C904" s="1" t="s">
        <v>36</v>
      </c>
      <c r="D904" s="1" t="s">
        <v>19</v>
      </c>
      <c r="E904" s="1" t="s">
        <v>20</v>
      </c>
      <c r="F904">
        <v>1</v>
      </c>
      <c r="G904" s="2">
        <v>46085</v>
      </c>
      <c r="H904" s="2">
        <v>46094</v>
      </c>
      <c r="I904">
        <v>146.83000000000001</v>
      </c>
      <c r="J904">
        <v>44.05</v>
      </c>
      <c r="K904">
        <v>44.05</v>
      </c>
      <c r="L904">
        <v>0</v>
      </c>
      <c r="M904" s="1" t="s">
        <v>21</v>
      </c>
      <c r="N904" s="1" t="s">
        <v>22</v>
      </c>
      <c r="O904" s="2">
        <v>46147</v>
      </c>
      <c r="P904" s="2">
        <v>46147</v>
      </c>
      <c r="Q904">
        <f>_xlfn.XLOOKUP(E904,CPT!$A$2:$A$13,CPT!$D$2:$D$13)</f>
        <v>145</v>
      </c>
      <c r="R904" s="1">
        <f>_xlfn.XLOOKUP(C904,Contract!$A$2:$A$9,Contract!$B$2:$B$9)</f>
        <v>0.27</v>
      </c>
      <c r="S904" s="1">
        <f t="shared" si="56"/>
        <v>39.15</v>
      </c>
      <c r="T904" s="1">
        <f t="shared" si="57"/>
        <v>-4.8999999999999986</v>
      </c>
      <c r="U904" s="1" t="str">
        <f t="shared" si="58"/>
        <v>OK</v>
      </c>
      <c r="V904" s="1" t="str">
        <f>_xlfn.XLOOKUP(C904,Payers!$A$2:$A$9,Payers!$B$2:$B$9)</f>
        <v>Florida Medicaid</v>
      </c>
      <c r="W904" s="1" t="str">
        <f t="shared" si="59"/>
        <v>2026-03</v>
      </c>
    </row>
    <row r="905" spans="1:23">
      <c r="A905" s="1" t="s">
        <v>1752</v>
      </c>
      <c r="B905" s="1" t="s">
        <v>1753</v>
      </c>
      <c r="C905" s="1" t="s">
        <v>25</v>
      </c>
      <c r="D905" s="1" t="s">
        <v>37</v>
      </c>
      <c r="E905" s="1" t="s">
        <v>57</v>
      </c>
      <c r="F905">
        <v>1</v>
      </c>
      <c r="G905" s="2">
        <v>46006</v>
      </c>
      <c r="H905" s="2">
        <v>46014</v>
      </c>
      <c r="I905">
        <v>216.03</v>
      </c>
      <c r="J905">
        <v>69.099999999999994</v>
      </c>
      <c r="K905">
        <v>55.28</v>
      </c>
      <c r="L905">
        <v>13.82</v>
      </c>
      <c r="M905" s="1" t="s">
        <v>21</v>
      </c>
      <c r="N905" s="1" t="s">
        <v>22</v>
      </c>
      <c r="O905" s="2">
        <v>46027</v>
      </c>
      <c r="P905" s="2">
        <v>46027</v>
      </c>
      <c r="Q905">
        <f>_xlfn.XLOOKUP(E905,CPT!$A$2:$A$13,CPT!$D$2:$D$13)</f>
        <v>210</v>
      </c>
      <c r="R905" s="1">
        <f>_xlfn.XLOOKUP(C905,Contract!$A$2:$A$9,Contract!$B$2:$B$9)</f>
        <v>0.36</v>
      </c>
      <c r="S905" s="1">
        <f t="shared" si="56"/>
        <v>75.599999999999994</v>
      </c>
      <c r="T905" s="1">
        <f t="shared" si="57"/>
        <v>6.5</v>
      </c>
      <c r="U905" s="1" t="str">
        <f t="shared" si="58"/>
        <v>Underpaid</v>
      </c>
      <c r="V905" s="1" t="str">
        <f>_xlfn.XLOOKUP(C905,Payers!$A$2:$A$9,Payers!$B$2:$B$9)</f>
        <v>Medicare Part B</v>
      </c>
      <c r="W905" s="1" t="str">
        <f t="shared" si="59"/>
        <v>2025-12</v>
      </c>
    </row>
    <row r="906" spans="1:23">
      <c r="A906" s="1" t="s">
        <v>1754</v>
      </c>
      <c r="B906" s="1" t="s">
        <v>1755</v>
      </c>
      <c r="C906" s="1" t="s">
        <v>18</v>
      </c>
      <c r="D906" s="1" t="s">
        <v>26</v>
      </c>
      <c r="E906" s="1" t="s">
        <v>41</v>
      </c>
      <c r="F906">
        <v>1</v>
      </c>
      <c r="G906" s="2">
        <v>46151</v>
      </c>
      <c r="H906" s="2">
        <v>46157</v>
      </c>
      <c r="I906">
        <v>37.68</v>
      </c>
      <c r="M906" s="1" t="s">
        <v>32</v>
      </c>
      <c r="N906" s="1" t="s">
        <v>49</v>
      </c>
      <c r="O906" s="2">
        <v>46240</v>
      </c>
      <c r="P906" s="2"/>
      <c r="Q906">
        <f>_xlfn.XLOOKUP(E906,CPT!$A$2:$A$13,CPT!$D$2:$D$13)</f>
        <v>38</v>
      </c>
      <c r="R906" s="1">
        <f>_xlfn.XLOOKUP(C906,Contract!$A$2:$A$9,Contract!$B$2:$B$9)</f>
        <v>0.38</v>
      </c>
      <c r="S906" s="1">
        <f t="shared" si="56"/>
        <v>14.44</v>
      </c>
      <c r="T906" s="1" t="str">
        <f t="shared" si="57"/>
        <v/>
      </c>
      <c r="U906" s="1" t="str">
        <f t="shared" si="58"/>
        <v/>
      </c>
      <c r="V906" s="1" t="str">
        <f>_xlfn.XLOOKUP(C906,Payers!$A$2:$A$9,Payers!$B$2:$B$9)</f>
        <v>Sunshine Medicare Advantage</v>
      </c>
      <c r="W906" s="1" t="str">
        <f t="shared" si="59"/>
        <v>2026-05</v>
      </c>
    </row>
    <row r="907" spans="1:23">
      <c r="A907" s="1" t="s">
        <v>1756</v>
      </c>
      <c r="B907" s="1" t="s">
        <v>1757</v>
      </c>
      <c r="C907" s="1" t="s">
        <v>76</v>
      </c>
      <c r="D907" s="1" t="s">
        <v>26</v>
      </c>
      <c r="E907" s="1" t="s">
        <v>41</v>
      </c>
      <c r="F907">
        <v>1</v>
      </c>
      <c r="G907" s="2">
        <v>46100</v>
      </c>
      <c r="H907" s="2">
        <v>46103</v>
      </c>
      <c r="I907">
        <v>37.75</v>
      </c>
      <c r="J907">
        <v>15.18</v>
      </c>
      <c r="K907">
        <v>15.18</v>
      </c>
      <c r="L907">
        <v>0</v>
      </c>
      <c r="M907" s="1" t="s">
        <v>21</v>
      </c>
      <c r="N907" s="1" t="s">
        <v>22</v>
      </c>
      <c r="O907" s="2">
        <v>46130</v>
      </c>
      <c r="P907" s="2">
        <v>46130</v>
      </c>
      <c r="Q907">
        <f>_xlfn.XLOOKUP(E907,CPT!$A$2:$A$13,CPT!$D$2:$D$13)</f>
        <v>38</v>
      </c>
      <c r="R907" s="1">
        <f>_xlfn.XLOOKUP(C907,Contract!$A$2:$A$9,Contract!$B$2:$B$9)</f>
        <v>0.43</v>
      </c>
      <c r="S907" s="1">
        <f t="shared" si="56"/>
        <v>16.34</v>
      </c>
      <c r="T907" s="1">
        <f t="shared" si="57"/>
        <v>1.1600000000000001</v>
      </c>
      <c r="U907" s="1" t="str">
        <f t="shared" si="58"/>
        <v>Underpaid</v>
      </c>
      <c r="V907" s="1" t="str">
        <f>_xlfn.XLOOKUP(C907,Payers!$A$2:$A$9,Payers!$B$2:$B$9)</f>
        <v>Summit Health Commercial</v>
      </c>
      <c r="W907" s="1" t="str">
        <f t="shared" si="59"/>
        <v>2026-03</v>
      </c>
    </row>
    <row r="908" spans="1:23">
      <c r="A908" s="1" t="s">
        <v>1758</v>
      </c>
      <c r="B908" s="1" t="s">
        <v>1759</v>
      </c>
      <c r="C908" s="1" t="s">
        <v>36</v>
      </c>
      <c r="D908" s="1" t="s">
        <v>19</v>
      </c>
      <c r="E908" s="1" t="s">
        <v>88</v>
      </c>
      <c r="F908">
        <v>1</v>
      </c>
      <c r="G908" s="2">
        <v>45993</v>
      </c>
      <c r="H908" s="2">
        <v>45996</v>
      </c>
      <c r="I908">
        <v>258.95999999999998</v>
      </c>
      <c r="J908">
        <v>76.28</v>
      </c>
      <c r="K908">
        <v>61.02</v>
      </c>
      <c r="L908">
        <v>15.26</v>
      </c>
      <c r="M908" s="1" t="s">
        <v>21</v>
      </c>
      <c r="N908" s="1" t="s">
        <v>22</v>
      </c>
      <c r="O908" s="2">
        <v>46028</v>
      </c>
      <c r="P908" s="2">
        <v>46028</v>
      </c>
      <c r="Q908">
        <f>_xlfn.XLOOKUP(E908,CPT!$A$2:$A$13,CPT!$D$2:$D$13)</f>
        <v>260</v>
      </c>
      <c r="R908" s="1">
        <f>_xlfn.XLOOKUP(C908,Contract!$A$2:$A$9,Contract!$B$2:$B$9)</f>
        <v>0.27</v>
      </c>
      <c r="S908" s="1">
        <f t="shared" si="56"/>
        <v>70.2</v>
      </c>
      <c r="T908" s="1">
        <f t="shared" si="57"/>
        <v>-6.0799999999999983</v>
      </c>
      <c r="U908" s="1" t="str">
        <f t="shared" si="58"/>
        <v>OK</v>
      </c>
      <c r="V908" s="1" t="str">
        <f>_xlfn.XLOOKUP(C908,Payers!$A$2:$A$9,Payers!$B$2:$B$9)</f>
        <v>Florida Medicaid</v>
      </c>
      <c r="W908" s="1" t="str">
        <f t="shared" si="59"/>
        <v>2025-12</v>
      </c>
    </row>
    <row r="909" spans="1:23">
      <c r="A909" s="1" t="s">
        <v>1760</v>
      </c>
      <c r="B909" s="1" t="s">
        <v>1761</v>
      </c>
      <c r="C909" s="1" t="s">
        <v>60</v>
      </c>
      <c r="D909" s="1" t="s">
        <v>26</v>
      </c>
      <c r="E909" s="1" t="s">
        <v>41</v>
      </c>
      <c r="F909">
        <v>1</v>
      </c>
      <c r="G909" s="2">
        <v>46079</v>
      </c>
      <c r="H909" s="2">
        <v>46084</v>
      </c>
      <c r="I909">
        <v>38.28</v>
      </c>
      <c r="J909">
        <v>16.09</v>
      </c>
      <c r="K909">
        <v>14.48</v>
      </c>
      <c r="L909">
        <v>1.61</v>
      </c>
      <c r="M909" s="1" t="s">
        <v>21</v>
      </c>
      <c r="N909" s="1" t="s">
        <v>22</v>
      </c>
      <c r="O909" s="2">
        <v>46133</v>
      </c>
      <c r="P909" s="2">
        <v>46133</v>
      </c>
      <c r="Q909">
        <f>_xlfn.XLOOKUP(E909,CPT!$A$2:$A$13,CPT!$D$2:$D$13)</f>
        <v>38</v>
      </c>
      <c r="R909" s="1">
        <f>_xlfn.XLOOKUP(C909,Contract!$A$2:$A$9,Contract!$B$2:$B$9)</f>
        <v>0.45</v>
      </c>
      <c r="S909" s="1">
        <f t="shared" si="56"/>
        <v>17.100000000000001</v>
      </c>
      <c r="T909" s="1">
        <f t="shared" si="57"/>
        <v>1.0100000000000016</v>
      </c>
      <c r="U909" s="1" t="str">
        <f t="shared" si="58"/>
        <v>Underpaid</v>
      </c>
      <c r="V909" s="1" t="str">
        <f>_xlfn.XLOOKUP(C909,Payers!$A$2:$A$9,Payers!$B$2:$B$9)</f>
        <v>Blue Horizon Commercial</v>
      </c>
      <c r="W909" s="1" t="str">
        <f t="shared" si="59"/>
        <v>2026-02</v>
      </c>
    </row>
    <row r="910" spans="1:23">
      <c r="A910" s="1" t="s">
        <v>1762</v>
      </c>
      <c r="B910" s="1" t="s">
        <v>1763</v>
      </c>
      <c r="C910" s="1" t="s">
        <v>76</v>
      </c>
      <c r="D910" s="1" t="s">
        <v>19</v>
      </c>
      <c r="E910" s="1" t="s">
        <v>57</v>
      </c>
      <c r="F910">
        <v>1</v>
      </c>
      <c r="G910" s="2">
        <v>46234</v>
      </c>
      <c r="H910" s="2">
        <v>46237</v>
      </c>
      <c r="I910">
        <v>205.26</v>
      </c>
      <c r="M910" s="1" t="s">
        <v>32</v>
      </c>
      <c r="N910" s="1" t="s">
        <v>124</v>
      </c>
      <c r="O910" s="2">
        <v>46273</v>
      </c>
      <c r="P910" s="2"/>
      <c r="Q910">
        <f>_xlfn.XLOOKUP(E910,CPT!$A$2:$A$13,CPT!$D$2:$D$13)</f>
        <v>210</v>
      </c>
      <c r="R910" s="1">
        <f>_xlfn.XLOOKUP(C910,Contract!$A$2:$A$9,Contract!$B$2:$B$9)</f>
        <v>0.43</v>
      </c>
      <c r="S910" s="1">
        <f t="shared" si="56"/>
        <v>90.3</v>
      </c>
      <c r="T910" s="1" t="str">
        <f t="shared" si="57"/>
        <v/>
      </c>
      <c r="U910" s="1" t="str">
        <f t="shared" si="58"/>
        <v/>
      </c>
      <c r="V910" s="1" t="str">
        <f>_xlfn.XLOOKUP(C910,Payers!$A$2:$A$9,Payers!$B$2:$B$9)</f>
        <v>Summit Health Commercial</v>
      </c>
      <c r="W910" s="1" t="str">
        <f t="shared" si="59"/>
        <v>2026-07</v>
      </c>
    </row>
    <row r="911" spans="1:23">
      <c r="A911" s="1" t="s">
        <v>1764</v>
      </c>
      <c r="B911" s="1" t="s">
        <v>1765</v>
      </c>
      <c r="C911" s="1" t="s">
        <v>79</v>
      </c>
      <c r="D911" s="1" t="s">
        <v>19</v>
      </c>
      <c r="E911" s="1" t="s">
        <v>57</v>
      </c>
      <c r="F911">
        <v>1</v>
      </c>
      <c r="G911" s="2">
        <v>46069</v>
      </c>
      <c r="H911" s="2">
        <v>46075</v>
      </c>
      <c r="I911">
        <v>205.5</v>
      </c>
      <c r="J911">
        <v>205.5</v>
      </c>
      <c r="K911">
        <v>205.5</v>
      </c>
      <c r="L911">
        <v>0</v>
      </c>
      <c r="M911" s="1" t="s">
        <v>21</v>
      </c>
      <c r="N911" s="1" t="s">
        <v>22</v>
      </c>
      <c r="O911" s="2">
        <v>46153</v>
      </c>
      <c r="P911" s="2">
        <v>46153</v>
      </c>
      <c r="Q911">
        <f>_xlfn.XLOOKUP(E911,CPT!$A$2:$A$13,CPT!$D$2:$D$13)</f>
        <v>210</v>
      </c>
      <c r="R911" s="1">
        <f>_xlfn.XLOOKUP(C911,Contract!$A$2:$A$9,Contract!$B$2:$B$9)</f>
        <v>1</v>
      </c>
      <c r="S911" s="1">
        <f t="shared" si="56"/>
        <v>210</v>
      </c>
      <c r="T911" s="1">
        <f t="shared" si="57"/>
        <v>4.5</v>
      </c>
      <c r="U911" s="1" t="str">
        <f t="shared" si="58"/>
        <v>OK</v>
      </c>
      <c r="V911" s="1" t="str">
        <f>_xlfn.XLOOKUP(C911,Payers!$A$2:$A$9,Payers!$B$2:$B$9)</f>
        <v>Self-Pay</v>
      </c>
      <c r="W911" s="1" t="str">
        <f t="shared" si="59"/>
        <v>2026-02</v>
      </c>
    </row>
    <row r="912" spans="1:23">
      <c r="A912" s="1" t="s">
        <v>1766</v>
      </c>
      <c r="B912" s="1" t="s">
        <v>1767</v>
      </c>
      <c r="C912" s="1" t="s">
        <v>47</v>
      </c>
      <c r="D912" s="1" t="s">
        <v>26</v>
      </c>
      <c r="E912" s="1" t="s">
        <v>113</v>
      </c>
      <c r="F912">
        <v>1</v>
      </c>
      <c r="G912" s="2">
        <v>46058</v>
      </c>
      <c r="H912" s="2">
        <v>46063</v>
      </c>
      <c r="I912">
        <v>1069.6400000000001</v>
      </c>
      <c r="M912" s="1" t="s">
        <v>32</v>
      </c>
      <c r="N912" s="1" t="s">
        <v>124</v>
      </c>
      <c r="O912" s="2">
        <v>46122</v>
      </c>
      <c r="P912" s="2"/>
      <c r="Q912">
        <f>_xlfn.XLOOKUP(E912,CPT!$A$2:$A$13,CPT!$D$2:$D$13)</f>
        <v>1050</v>
      </c>
      <c r="R912" s="1">
        <f>_xlfn.XLOOKUP(C912,Contract!$A$2:$A$9,Contract!$B$2:$B$9)</f>
        <v>0.28000000000000003</v>
      </c>
      <c r="S912" s="1">
        <f t="shared" si="56"/>
        <v>294</v>
      </c>
      <c r="T912" s="1" t="str">
        <f t="shared" si="57"/>
        <v/>
      </c>
      <c r="U912" s="1" t="str">
        <f t="shared" si="58"/>
        <v/>
      </c>
      <c r="V912" s="1" t="str">
        <f>_xlfn.XLOOKUP(C912,Payers!$A$2:$A$9,Payers!$B$2:$B$9)</f>
        <v>Coastal Medicaid MCO</v>
      </c>
      <c r="W912" s="1" t="str">
        <f t="shared" si="59"/>
        <v>2026-02</v>
      </c>
    </row>
    <row r="913" spans="1:23">
      <c r="A913" s="1" t="s">
        <v>1768</v>
      </c>
      <c r="B913" s="1" t="s">
        <v>1769</v>
      </c>
      <c r="C913" s="1" t="s">
        <v>60</v>
      </c>
      <c r="D913" s="1" t="s">
        <v>26</v>
      </c>
      <c r="E913" s="1" t="s">
        <v>44</v>
      </c>
      <c r="F913">
        <v>1</v>
      </c>
      <c r="G913" s="2">
        <v>46000</v>
      </c>
      <c r="H913" s="2">
        <v>46001</v>
      </c>
      <c r="I913">
        <v>4775.8999999999996</v>
      </c>
      <c r="J913">
        <v>2013.65</v>
      </c>
      <c r="K913">
        <v>1610.92</v>
      </c>
      <c r="L913">
        <v>402.73</v>
      </c>
      <c r="M913" s="1" t="s">
        <v>21</v>
      </c>
      <c r="N913" s="1" t="s">
        <v>22</v>
      </c>
      <c r="O913" s="2">
        <v>46036</v>
      </c>
      <c r="P913" s="2">
        <v>46036</v>
      </c>
      <c r="Q913">
        <f>_xlfn.XLOOKUP(E913,CPT!$A$2:$A$13,CPT!$D$2:$D$13)</f>
        <v>4800</v>
      </c>
      <c r="R913" s="1">
        <f>_xlfn.XLOOKUP(C913,Contract!$A$2:$A$9,Contract!$B$2:$B$9)</f>
        <v>0.45</v>
      </c>
      <c r="S913" s="1">
        <f t="shared" si="56"/>
        <v>2160</v>
      </c>
      <c r="T913" s="1">
        <f t="shared" si="57"/>
        <v>146.34999999999991</v>
      </c>
      <c r="U913" s="1" t="str">
        <f t="shared" si="58"/>
        <v>Underpaid</v>
      </c>
      <c r="V913" s="1" t="str">
        <f>_xlfn.XLOOKUP(C913,Payers!$A$2:$A$9,Payers!$B$2:$B$9)</f>
        <v>Blue Horizon Commercial</v>
      </c>
      <c r="W913" s="1" t="str">
        <f t="shared" si="59"/>
        <v>2025-12</v>
      </c>
    </row>
    <row r="914" spans="1:23">
      <c r="A914" s="1" t="s">
        <v>1770</v>
      </c>
      <c r="B914" s="1" t="s">
        <v>1771</v>
      </c>
      <c r="C914" s="1" t="s">
        <v>47</v>
      </c>
      <c r="D914" s="1" t="s">
        <v>26</v>
      </c>
      <c r="E914" s="1" t="s">
        <v>44</v>
      </c>
      <c r="F914">
        <v>1</v>
      </c>
      <c r="G914" s="2">
        <v>46154</v>
      </c>
      <c r="H914" s="2">
        <v>46157</v>
      </c>
      <c r="I914">
        <v>4683.66</v>
      </c>
      <c r="J914">
        <v>1308.29</v>
      </c>
      <c r="K914">
        <v>1177.46</v>
      </c>
      <c r="L914">
        <v>130.83000000000001</v>
      </c>
      <c r="M914" s="1" t="s">
        <v>21</v>
      </c>
      <c r="N914" s="1" t="s">
        <v>22</v>
      </c>
      <c r="O914" s="2">
        <v>46211</v>
      </c>
      <c r="P914" s="2">
        <v>46211</v>
      </c>
      <c r="Q914">
        <f>_xlfn.XLOOKUP(E914,CPT!$A$2:$A$13,CPT!$D$2:$D$13)</f>
        <v>4800</v>
      </c>
      <c r="R914" s="1">
        <f>_xlfn.XLOOKUP(C914,Contract!$A$2:$A$9,Contract!$B$2:$B$9)</f>
        <v>0.28000000000000003</v>
      </c>
      <c r="S914" s="1">
        <f t="shared" si="56"/>
        <v>1344</v>
      </c>
      <c r="T914" s="1">
        <f t="shared" si="57"/>
        <v>35.710000000000036</v>
      </c>
      <c r="U914" s="1" t="str">
        <f t="shared" si="58"/>
        <v>OK</v>
      </c>
      <c r="V914" s="1" t="str">
        <f>_xlfn.XLOOKUP(C914,Payers!$A$2:$A$9,Payers!$B$2:$B$9)</f>
        <v>Coastal Medicaid MCO</v>
      </c>
      <c r="W914" s="1" t="str">
        <f t="shared" si="59"/>
        <v>2026-05</v>
      </c>
    </row>
    <row r="915" spans="1:23">
      <c r="A915" s="1" t="s">
        <v>1772</v>
      </c>
      <c r="B915" s="1" t="s">
        <v>1102</v>
      </c>
      <c r="C915" s="1" t="s">
        <v>52</v>
      </c>
      <c r="D915" s="1" t="s">
        <v>19</v>
      </c>
      <c r="E915" s="1" t="s">
        <v>41</v>
      </c>
      <c r="F915">
        <v>1</v>
      </c>
      <c r="G915" s="2">
        <v>46217</v>
      </c>
      <c r="H915" s="2">
        <v>46223</v>
      </c>
      <c r="I915">
        <v>36.92</v>
      </c>
      <c r="M915" s="1" t="s">
        <v>32</v>
      </c>
      <c r="N915" s="1" t="s">
        <v>33</v>
      </c>
      <c r="O915" s="2">
        <v>46256</v>
      </c>
      <c r="P915" s="2"/>
      <c r="Q915">
        <f>_xlfn.XLOOKUP(E915,CPT!$A$2:$A$13,CPT!$D$2:$D$13)</f>
        <v>38</v>
      </c>
      <c r="R915" s="1">
        <f>_xlfn.XLOOKUP(C915,Contract!$A$2:$A$9,Contract!$B$2:$B$9)</f>
        <v>0.47</v>
      </c>
      <c r="S915" s="1">
        <f t="shared" si="56"/>
        <v>17.86</v>
      </c>
      <c r="T915" s="1" t="str">
        <f t="shared" si="57"/>
        <v/>
      </c>
      <c r="U915" s="1" t="str">
        <f t="shared" si="58"/>
        <v/>
      </c>
      <c r="V915" s="1" t="str">
        <f>_xlfn.XLOOKUP(C915,Payers!$A$2:$A$9,Payers!$B$2:$B$9)</f>
        <v>Keystone Commercial PPO</v>
      </c>
      <c r="W915" s="1" t="str">
        <f t="shared" si="59"/>
        <v>2026-07</v>
      </c>
    </row>
    <row r="916" spans="1:23">
      <c r="A916" s="1" t="s">
        <v>1773</v>
      </c>
      <c r="B916" s="1" t="s">
        <v>1774</v>
      </c>
      <c r="C916" s="1" t="s">
        <v>47</v>
      </c>
      <c r="D916" s="1" t="s">
        <v>26</v>
      </c>
      <c r="E916" s="1" t="s">
        <v>27</v>
      </c>
      <c r="F916">
        <v>1</v>
      </c>
      <c r="G916" s="2">
        <v>46081</v>
      </c>
      <c r="H916" s="2">
        <v>46089</v>
      </c>
      <c r="I916">
        <v>233.57</v>
      </c>
      <c r="M916" s="1" t="s">
        <v>32</v>
      </c>
      <c r="N916" s="1" t="s">
        <v>98</v>
      </c>
      <c r="O916" s="2">
        <v>46151</v>
      </c>
      <c r="P916" s="2"/>
      <c r="Q916">
        <f>_xlfn.XLOOKUP(E916,CPT!$A$2:$A$13,CPT!$D$2:$D$13)</f>
        <v>240</v>
      </c>
      <c r="R916" s="1">
        <f>_xlfn.XLOOKUP(C916,Contract!$A$2:$A$9,Contract!$B$2:$B$9)</f>
        <v>0.28000000000000003</v>
      </c>
      <c r="S916" s="1">
        <f t="shared" si="56"/>
        <v>67.2</v>
      </c>
      <c r="T916" s="1" t="str">
        <f t="shared" si="57"/>
        <v/>
      </c>
      <c r="U916" s="1" t="str">
        <f t="shared" si="58"/>
        <v/>
      </c>
      <c r="V916" s="1" t="str">
        <f>_xlfn.XLOOKUP(C916,Payers!$A$2:$A$9,Payers!$B$2:$B$9)</f>
        <v>Coastal Medicaid MCO</v>
      </c>
      <c r="W916" s="1" t="str">
        <f t="shared" si="59"/>
        <v>2026-02</v>
      </c>
    </row>
    <row r="917" spans="1:23">
      <c r="A917" s="1" t="s">
        <v>1775</v>
      </c>
      <c r="B917" s="1" t="s">
        <v>1776</v>
      </c>
      <c r="C917" s="1" t="s">
        <v>25</v>
      </c>
      <c r="D917" s="1" t="s">
        <v>37</v>
      </c>
      <c r="E917" s="1" t="s">
        <v>48</v>
      </c>
      <c r="F917">
        <v>1</v>
      </c>
      <c r="G917" s="2">
        <v>46079</v>
      </c>
      <c r="H917" s="2">
        <v>46084</v>
      </c>
      <c r="I917">
        <v>421.65</v>
      </c>
      <c r="J917">
        <v>133.91999999999999</v>
      </c>
      <c r="K917">
        <v>133.91999999999999</v>
      </c>
      <c r="L917">
        <v>0</v>
      </c>
      <c r="M917" s="1" t="s">
        <v>21</v>
      </c>
      <c r="N917" s="1" t="s">
        <v>22</v>
      </c>
      <c r="O917" s="2">
        <v>46095</v>
      </c>
      <c r="P917" s="2">
        <v>46095</v>
      </c>
      <c r="Q917">
        <f>_xlfn.XLOOKUP(E917,CPT!$A$2:$A$13,CPT!$D$2:$D$13)</f>
        <v>420</v>
      </c>
      <c r="R917" s="1">
        <f>_xlfn.XLOOKUP(C917,Contract!$A$2:$A$9,Contract!$B$2:$B$9)</f>
        <v>0.36</v>
      </c>
      <c r="S917" s="1">
        <f t="shared" si="56"/>
        <v>151.19999999999999</v>
      </c>
      <c r="T917" s="1">
        <f t="shared" si="57"/>
        <v>17.28</v>
      </c>
      <c r="U917" s="1" t="str">
        <f t="shared" si="58"/>
        <v>Underpaid</v>
      </c>
      <c r="V917" s="1" t="str">
        <f>_xlfn.XLOOKUP(C917,Payers!$A$2:$A$9,Payers!$B$2:$B$9)</f>
        <v>Medicare Part B</v>
      </c>
      <c r="W917" s="1" t="str">
        <f t="shared" si="59"/>
        <v>2026-02</v>
      </c>
    </row>
    <row r="918" spans="1:23">
      <c r="A918" s="1" t="s">
        <v>1777</v>
      </c>
      <c r="B918" s="1" t="s">
        <v>867</v>
      </c>
      <c r="C918" s="1" t="s">
        <v>25</v>
      </c>
      <c r="D918" s="1" t="s">
        <v>26</v>
      </c>
      <c r="E918" s="1" t="s">
        <v>57</v>
      </c>
      <c r="F918">
        <v>1</v>
      </c>
      <c r="G918" s="2">
        <v>46184</v>
      </c>
      <c r="H918" s="2">
        <v>46194</v>
      </c>
      <c r="I918">
        <v>205.42</v>
      </c>
      <c r="J918">
        <v>66.010000000000005</v>
      </c>
      <c r="K918">
        <v>66.010000000000005</v>
      </c>
      <c r="L918">
        <v>0</v>
      </c>
      <c r="M918" s="1" t="s">
        <v>21</v>
      </c>
      <c r="N918" s="1" t="s">
        <v>22</v>
      </c>
      <c r="O918" s="2">
        <v>46206</v>
      </c>
      <c r="P918" s="2">
        <v>46206</v>
      </c>
      <c r="Q918">
        <f>_xlfn.XLOOKUP(E918,CPT!$A$2:$A$13,CPT!$D$2:$D$13)</f>
        <v>210</v>
      </c>
      <c r="R918" s="1">
        <f>_xlfn.XLOOKUP(C918,Contract!$A$2:$A$9,Contract!$B$2:$B$9)</f>
        <v>0.36</v>
      </c>
      <c r="S918" s="1">
        <f t="shared" si="56"/>
        <v>75.599999999999994</v>
      </c>
      <c r="T918" s="1">
        <f t="shared" si="57"/>
        <v>9.5899999999999892</v>
      </c>
      <c r="U918" s="1" t="str">
        <f t="shared" si="58"/>
        <v>Underpaid</v>
      </c>
      <c r="V918" s="1" t="str">
        <f>_xlfn.XLOOKUP(C918,Payers!$A$2:$A$9,Payers!$B$2:$B$9)</f>
        <v>Medicare Part B</v>
      </c>
      <c r="W918" s="1" t="str">
        <f t="shared" si="59"/>
        <v>2026-06</v>
      </c>
    </row>
    <row r="919" spans="1:23">
      <c r="A919" s="1" t="s">
        <v>1778</v>
      </c>
      <c r="B919" s="1" t="s">
        <v>1747</v>
      </c>
      <c r="C919" s="1" t="s">
        <v>60</v>
      </c>
      <c r="D919" s="1" t="s">
        <v>19</v>
      </c>
      <c r="E919" s="1" t="s">
        <v>57</v>
      </c>
      <c r="F919">
        <v>1</v>
      </c>
      <c r="G919" s="2">
        <v>45931</v>
      </c>
      <c r="H919" s="2">
        <v>45940</v>
      </c>
      <c r="I919">
        <v>205.63</v>
      </c>
      <c r="J919">
        <v>85.26</v>
      </c>
      <c r="K919">
        <v>85.26</v>
      </c>
      <c r="L919">
        <v>0</v>
      </c>
      <c r="M919" s="1" t="s">
        <v>21</v>
      </c>
      <c r="N919" s="1" t="s">
        <v>22</v>
      </c>
      <c r="O919" s="2">
        <v>45958</v>
      </c>
      <c r="P919" s="2">
        <v>45958</v>
      </c>
      <c r="Q919">
        <f>_xlfn.XLOOKUP(E919,CPT!$A$2:$A$13,CPT!$D$2:$D$13)</f>
        <v>210</v>
      </c>
      <c r="R919" s="1">
        <f>_xlfn.XLOOKUP(C919,Contract!$A$2:$A$9,Contract!$B$2:$B$9)</f>
        <v>0.45</v>
      </c>
      <c r="S919" s="1">
        <f t="shared" si="56"/>
        <v>94.5</v>
      </c>
      <c r="T919" s="1">
        <f t="shared" si="57"/>
        <v>9.2399999999999949</v>
      </c>
      <c r="U919" s="1" t="str">
        <f t="shared" si="58"/>
        <v>Underpaid</v>
      </c>
      <c r="V919" s="1" t="str">
        <f>_xlfn.XLOOKUP(C919,Payers!$A$2:$A$9,Payers!$B$2:$B$9)</f>
        <v>Blue Horizon Commercial</v>
      </c>
      <c r="W919" s="1" t="str">
        <f t="shared" si="59"/>
        <v>2025-10</v>
      </c>
    </row>
    <row r="920" spans="1:23">
      <c r="A920" s="1" t="s">
        <v>1779</v>
      </c>
      <c r="B920" s="1" t="s">
        <v>1780</v>
      </c>
      <c r="C920" s="1" t="s">
        <v>52</v>
      </c>
      <c r="D920" s="1" t="s">
        <v>26</v>
      </c>
      <c r="E920" s="1" t="s">
        <v>27</v>
      </c>
      <c r="F920">
        <v>1</v>
      </c>
      <c r="G920" s="2">
        <v>45959</v>
      </c>
      <c r="H920" s="2">
        <v>45961</v>
      </c>
      <c r="I920">
        <v>246.14</v>
      </c>
      <c r="J920">
        <v>104.87</v>
      </c>
      <c r="K920">
        <v>94.38</v>
      </c>
      <c r="L920">
        <v>10.49</v>
      </c>
      <c r="M920" s="1" t="s">
        <v>21</v>
      </c>
      <c r="N920" s="1" t="s">
        <v>22</v>
      </c>
      <c r="O920" s="2">
        <v>46008</v>
      </c>
      <c r="P920" s="2">
        <v>46008</v>
      </c>
      <c r="Q920">
        <f>_xlfn.XLOOKUP(E920,CPT!$A$2:$A$13,CPT!$D$2:$D$13)</f>
        <v>240</v>
      </c>
      <c r="R920" s="1">
        <f>_xlfn.XLOOKUP(C920,Contract!$A$2:$A$9,Contract!$B$2:$B$9)</f>
        <v>0.47</v>
      </c>
      <c r="S920" s="1">
        <f t="shared" si="56"/>
        <v>112.8</v>
      </c>
      <c r="T920" s="1">
        <f t="shared" si="57"/>
        <v>7.9299999999999926</v>
      </c>
      <c r="U920" s="1" t="str">
        <f t="shared" si="58"/>
        <v>Underpaid</v>
      </c>
      <c r="V920" s="1" t="str">
        <f>_xlfn.XLOOKUP(C920,Payers!$A$2:$A$9,Payers!$B$2:$B$9)</f>
        <v>Keystone Commercial PPO</v>
      </c>
      <c r="W920" s="1" t="str">
        <f t="shared" si="59"/>
        <v>2025-10</v>
      </c>
    </row>
    <row r="921" spans="1:23">
      <c r="A921" s="1" t="s">
        <v>1781</v>
      </c>
      <c r="B921" s="1" t="s">
        <v>1782</v>
      </c>
      <c r="C921" s="1" t="s">
        <v>47</v>
      </c>
      <c r="D921" s="1" t="s">
        <v>19</v>
      </c>
      <c r="E921" s="1" t="s">
        <v>41</v>
      </c>
      <c r="F921">
        <v>1</v>
      </c>
      <c r="G921" s="2">
        <v>46246</v>
      </c>
      <c r="H921" s="2">
        <v>46247</v>
      </c>
      <c r="I921">
        <v>37.14</v>
      </c>
      <c r="M921" s="1" t="s">
        <v>69</v>
      </c>
      <c r="N921" s="1" t="s">
        <v>22</v>
      </c>
      <c r="O921" s="2"/>
      <c r="P921" s="2"/>
      <c r="Q921">
        <f>_xlfn.XLOOKUP(E921,CPT!$A$2:$A$13,CPT!$D$2:$D$13)</f>
        <v>38</v>
      </c>
      <c r="R921" s="1">
        <f>_xlfn.XLOOKUP(C921,Contract!$A$2:$A$9,Contract!$B$2:$B$9)</f>
        <v>0.28000000000000003</v>
      </c>
      <c r="S921" s="1">
        <f t="shared" si="56"/>
        <v>10.64</v>
      </c>
      <c r="T921" s="1" t="str">
        <f t="shared" si="57"/>
        <v/>
      </c>
      <c r="U921" s="1" t="str">
        <f t="shared" si="58"/>
        <v/>
      </c>
      <c r="V921" s="1" t="str">
        <f>_xlfn.XLOOKUP(C921,Payers!$A$2:$A$9,Payers!$B$2:$B$9)</f>
        <v>Coastal Medicaid MCO</v>
      </c>
      <c r="W921" s="1" t="str">
        <f t="shared" si="59"/>
        <v>2026-08</v>
      </c>
    </row>
    <row r="922" spans="1:23">
      <c r="A922" s="1" t="s">
        <v>1783</v>
      </c>
      <c r="B922" s="1" t="s">
        <v>1784</v>
      </c>
      <c r="C922" s="1" t="s">
        <v>18</v>
      </c>
      <c r="D922" s="1" t="s">
        <v>26</v>
      </c>
      <c r="E922" s="1" t="s">
        <v>41</v>
      </c>
      <c r="F922">
        <v>1</v>
      </c>
      <c r="G922" s="2">
        <v>46033</v>
      </c>
      <c r="H922" s="2">
        <v>46035</v>
      </c>
      <c r="I922">
        <v>37.950000000000003</v>
      </c>
      <c r="J922">
        <v>16.59</v>
      </c>
      <c r="K922">
        <v>13.27</v>
      </c>
      <c r="L922">
        <v>3.32</v>
      </c>
      <c r="M922" s="1" t="s">
        <v>21</v>
      </c>
      <c r="N922" s="1" t="s">
        <v>22</v>
      </c>
      <c r="O922" s="2">
        <v>46063</v>
      </c>
      <c r="P922" s="2">
        <v>46063</v>
      </c>
      <c r="Q922">
        <f>_xlfn.XLOOKUP(E922,CPT!$A$2:$A$13,CPT!$D$2:$D$13)</f>
        <v>38</v>
      </c>
      <c r="R922" s="1">
        <f>_xlfn.XLOOKUP(C922,Contract!$A$2:$A$9,Contract!$B$2:$B$9)</f>
        <v>0.38</v>
      </c>
      <c r="S922" s="1">
        <f t="shared" si="56"/>
        <v>14.44</v>
      </c>
      <c r="T922" s="1">
        <f t="shared" si="57"/>
        <v>-2.1500000000000004</v>
      </c>
      <c r="U922" s="1" t="str">
        <f t="shared" si="58"/>
        <v>OK</v>
      </c>
      <c r="V922" s="1" t="str">
        <f>_xlfn.XLOOKUP(C922,Payers!$A$2:$A$9,Payers!$B$2:$B$9)</f>
        <v>Sunshine Medicare Advantage</v>
      </c>
      <c r="W922" s="1" t="str">
        <f t="shared" si="59"/>
        <v>2026-01</v>
      </c>
    </row>
    <row r="923" spans="1:23">
      <c r="A923" s="1" t="s">
        <v>1785</v>
      </c>
      <c r="B923" s="1" t="s">
        <v>1786</v>
      </c>
      <c r="C923" s="1" t="s">
        <v>52</v>
      </c>
      <c r="D923" s="1" t="s">
        <v>37</v>
      </c>
      <c r="E923" s="1" t="s">
        <v>38</v>
      </c>
      <c r="F923">
        <v>10</v>
      </c>
      <c r="G923" s="2">
        <v>46148</v>
      </c>
      <c r="H923" s="2">
        <v>46151</v>
      </c>
      <c r="I923">
        <v>14089.33</v>
      </c>
      <c r="J923">
        <v>5644.47</v>
      </c>
      <c r="K923">
        <v>5080.0200000000004</v>
      </c>
      <c r="L923">
        <v>564.45000000000005</v>
      </c>
      <c r="M923" s="1" t="s">
        <v>21</v>
      </c>
      <c r="N923" s="1" t="s">
        <v>22</v>
      </c>
      <c r="O923" s="2">
        <v>46196</v>
      </c>
      <c r="P923" s="2">
        <v>46196</v>
      </c>
      <c r="Q923">
        <f>_xlfn.XLOOKUP(E923,CPT!$A$2:$A$13,CPT!$D$2:$D$13)</f>
        <v>1450</v>
      </c>
      <c r="R923" s="1">
        <f>_xlfn.XLOOKUP(C923,Contract!$A$2:$A$9,Contract!$B$2:$B$9)</f>
        <v>0.47</v>
      </c>
      <c r="S923" s="1">
        <f t="shared" si="56"/>
        <v>6815</v>
      </c>
      <c r="T923" s="1">
        <f t="shared" si="57"/>
        <v>1170.5299999999997</v>
      </c>
      <c r="U923" s="1" t="str">
        <f t="shared" si="58"/>
        <v>Underpaid</v>
      </c>
      <c r="V923" s="1" t="str">
        <f>_xlfn.XLOOKUP(C923,Payers!$A$2:$A$9,Payers!$B$2:$B$9)</f>
        <v>Keystone Commercial PPO</v>
      </c>
      <c r="W923" s="1" t="str">
        <f t="shared" si="59"/>
        <v>2026-05</v>
      </c>
    </row>
    <row r="924" spans="1:23">
      <c r="A924" s="1" t="s">
        <v>1787</v>
      </c>
      <c r="B924" s="1" t="s">
        <v>1788</v>
      </c>
      <c r="C924" s="1" t="s">
        <v>25</v>
      </c>
      <c r="D924" s="1" t="s">
        <v>37</v>
      </c>
      <c r="E924" s="1" t="s">
        <v>57</v>
      </c>
      <c r="F924">
        <v>1</v>
      </c>
      <c r="G924" s="2">
        <v>45952</v>
      </c>
      <c r="H924" s="2">
        <v>45954</v>
      </c>
      <c r="I924">
        <v>215.14</v>
      </c>
      <c r="J924">
        <v>86.67</v>
      </c>
      <c r="K924">
        <v>86.67</v>
      </c>
      <c r="L924">
        <v>0</v>
      </c>
      <c r="M924" s="1" t="s">
        <v>21</v>
      </c>
      <c r="N924" s="1" t="s">
        <v>22</v>
      </c>
      <c r="O924" s="2">
        <v>45971</v>
      </c>
      <c r="P924" s="2">
        <v>45971</v>
      </c>
      <c r="Q924">
        <f>_xlfn.XLOOKUP(E924,CPT!$A$2:$A$13,CPT!$D$2:$D$13)</f>
        <v>210</v>
      </c>
      <c r="R924" s="1">
        <f>_xlfn.XLOOKUP(C924,Contract!$A$2:$A$9,Contract!$B$2:$B$9)</f>
        <v>0.36</v>
      </c>
      <c r="S924" s="1">
        <f t="shared" si="56"/>
        <v>75.599999999999994</v>
      </c>
      <c r="T924" s="1">
        <f t="shared" si="57"/>
        <v>-11.070000000000007</v>
      </c>
      <c r="U924" s="1" t="str">
        <f t="shared" si="58"/>
        <v>OK</v>
      </c>
      <c r="V924" s="1" t="str">
        <f>_xlfn.XLOOKUP(C924,Payers!$A$2:$A$9,Payers!$B$2:$B$9)</f>
        <v>Medicare Part B</v>
      </c>
      <c r="W924" s="1" t="str">
        <f t="shared" si="59"/>
        <v>2025-10</v>
      </c>
    </row>
    <row r="925" spans="1:23">
      <c r="A925" s="1" t="s">
        <v>1789</v>
      </c>
      <c r="B925" s="1" t="s">
        <v>1790</v>
      </c>
      <c r="C925" s="1" t="s">
        <v>76</v>
      </c>
      <c r="D925" s="1" t="s">
        <v>19</v>
      </c>
      <c r="E925" s="1" t="s">
        <v>57</v>
      </c>
      <c r="F925">
        <v>1</v>
      </c>
      <c r="G925" s="2">
        <v>46292</v>
      </c>
      <c r="H925" s="2">
        <v>46295</v>
      </c>
      <c r="I925">
        <v>210.32</v>
      </c>
      <c r="M925" s="1" t="s">
        <v>69</v>
      </c>
      <c r="N925" s="1" t="s">
        <v>22</v>
      </c>
      <c r="O925" s="2"/>
      <c r="P925" s="2"/>
      <c r="Q925">
        <f>_xlfn.XLOOKUP(E925,CPT!$A$2:$A$13,CPT!$D$2:$D$13)</f>
        <v>210</v>
      </c>
      <c r="R925" s="1">
        <f>_xlfn.XLOOKUP(C925,Contract!$A$2:$A$9,Contract!$B$2:$B$9)</f>
        <v>0.43</v>
      </c>
      <c r="S925" s="1">
        <f t="shared" si="56"/>
        <v>90.3</v>
      </c>
      <c r="T925" s="1" t="str">
        <f t="shared" si="57"/>
        <v/>
      </c>
      <c r="U925" s="1" t="str">
        <f t="shared" si="58"/>
        <v/>
      </c>
      <c r="V925" s="1" t="str">
        <f>_xlfn.XLOOKUP(C925,Payers!$A$2:$A$9,Payers!$B$2:$B$9)</f>
        <v>Summit Health Commercial</v>
      </c>
      <c r="W925" s="1" t="str">
        <f t="shared" si="59"/>
        <v>2026-09</v>
      </c>
    </row>
    <row r="926" spans="1:23">
      <c r="A926" s="1" t="s">
        <v>1791</v>
      </c>
      <c r="B926" s="1" t="s">
        <v>1792</v>
      </c>
      <c r="C926" s="1" t="s">
        <v>52</v>
      </c>
      <c r="D926" s="1" t="s">
        <v>37</v>
      </c>
      <c r="E926" s="1" t="s">
        <v>48</v>
      </c>
      <c r="F926">
        <v>1</v>
      </c>
      <c r="G926" s="2">
        <v>46002</v>
      </c>
      <c r="H926" s="2">
        <v>46008</v>
      </c>
      <c r="I926">
        <v>414.41</v>
      </c>
      <c r="J926">
        <v>189.35</v>
      </c>
      <c r="K926">
        <v>151.47999999999999</v>
      </c>
      <c r="L926">
        <v>37.869999999999997</v>
      </c>
      <c r="M926" s="1" t="s">
        <v>21</v>
      </c>
      <c r="N926" s="1" t="s">
        <v>22</v>
      </c>
      <c r="O926" s="2">
        <v>46069</v>
      </c>
      <c r="P926" s="2">
        <v>46069</v>
      </c>
      <c r="Q926">
        <f>_xlfn.XLOOKUP(E926,CPT!$A$2:$A$13,CPT!$D$2:$D$13)</f>
        <v>420</v>
      </c>
      <c r="R926" s="1">
        <f>_xlfn.XLOOKUP(C926,Contract!$A$2:$A$9,Contract!$B$2:$B$9)</f>
        <v>0.47</v>
      </c>
      <c r="S926" s="1">
        <f t="shared" si="56"/>
        <v>197.4</v>
      </c>
      <c r="T926" s="1">
        <f t="shared" si="57"/>
        <v>8.0500000000000114</v>
      </c>
      <c r="U926" s="1" t="str">
        <f t="shared" si="58"/>
        <v>OK</v>
      </c>
      <c r="V926" s="1" t="str">
        <f>_xlfn.XLOOKUP(C926,Payers!$A$2:$A$9,Payers!$B$2:$B$9)</f>
        <v>Keystone Commercial PPO</v>
      </c>
      <c r="W926" s="1" t="str">
        <f t="shared" si="59"/>
        <v>2025-12</v>
      </c>
    </row>
    <row r="927" spans="1:23">
      <c r="A927" s="1" t="s">
        <v>1793</v>
      </c>
      <c r="B927" s="1" t="s">
        <v>1794</v>
      </c>
      <c r="C927" s="1" t="s">
        <v>25</v>
      </c>
      <c r="D927" s="1" t="s">
        <v>19</v>
      </c>
      <c r="E927" s="1" t="s">
        <v>57</v>
      </c>
      <c r="F927">
        <v>1</v>
      </c>
      <c r="G927" s="2">
        <v>46190</v>
      </c>
      <c r="H927" s="2">
        <v>46193</v>
      </c>
      <c r="I927">
        <v>213.47</v>
      </c>
      <c r="J927">
        <v>72.64</v>
      </c>
      <c r="K927">
        <v>65.38</v>
      </c>
      <c r="L927">
        <v>7.26</v>
      </c>
      <c r="M927" s="1" t="s">
        <v>21</v>
      </c>
      <c r="N927" s="1" t="s">
        <v>22</v>
      </c>
      <c r="O927" s="2">
        <v>46207</v>
      </c>
      <c r="P927" s="2">
        <v>46207</v>
      </c>
      <c r="Q927">
        <f>_xlfn.XLOOKUP(E927,CPT!$A$2:$A$13,CPT!$D$2:$D$13)</f>
        <v>210</v>
      </c>
      <c r="R927" s="1">
        <f>_xlfn.XLOOKUP(C927,Contract!$A$2:$A$9,Contract!$B$2:$B$9)</f>
        <v>0.36</v>
      </c>
      <c r="S927" s="1">
        <f t="shared" si="56"/>
        <v>75.599999999999994</v>
      </c>
      <c r="T927" s="1">
        <f t="shared" si="57"/>
        <v>2.9599999999999937</v>
      </c>
      <c r="U927" s="1" t="str">
        <f t="shared" si="58"/>
        <v>OK</v>
      </c>
      <c r="V927" s="1" t="str">
        <f>_xlfn.XLOOKUP(C927,Payers!$A$2:$A$9,Payers!$B$2:$B$9)</f>
        <v>Medicare Part B</v>
      </c>
      <c r="W927" s="1" t="str">
        <f t="shared" si="59"/>
        <v>2026-06</v>
      </c>
    </row>
    <row r="928" spans="1:23">
      <c r="A928" s="1" t="s">
        <v>1795</v>
      </c>
      <c r="B928" s="1" t="s">
        <v>1796</v>
      </c>
      <c r="C928" s="1" t="s">
        <v>60</v>
      </c>
      <c r="D928" s="1" t="s">
        <v>19</v>
      </c>
      <c r="E928" s="1" t="s">
        <v>41</v>
      </c>
      <c r="F928">
        <v>1</v>
      </c>
      <c r="G928" s="2">
        <v>45946</v>
      </c>
      <c r="H928" s="2">
        <v>45947</v>
      </c>
      <c r="I928">
        <v>38.799999999999997</v>
      </c>
      <c r="M928" s="1" t="s">
        <v>32</v>
      </c>
      <c r="N928" s="1" t="s">
        <v>33</v>
      </c>
      <c r="O928" s="2">
        <v>45960</v>
      </c>
      <c r="P928" s="2"/>
      <c r="Q928">
        <f>_xlfn.XLOOKUP(E928,CPT!$A$2:$A$13,CPT!$D$2:$D$13)</f>
        <v>38</v>
      </c>
      <c r="R928" s="1">
        <f>_xlfn.XLOOKUP(C928,Contract!$A$2:$A$9,Contract!$B$2:$B$9)</f>
        <v>0.45</v>
      </c>
      <c r="S928" s="1">
        <f t="shared" si="56"/>
        <v>17.100000000000001</v>
      </c>
      <c r="T928" s="1" t="str">
        <f t="shared" si="57"/>
        <v/>
      </c>
      <c r="U928" s="1" t="str">
        <f t="shared" si="58"/>
        <v/>
      </c>
      <c r="V928" s="1" t="str">
        <f>_xlfn.XLOOKUP(C928,Payers!$A$2:$A$9,Payers!$B$2:$B$9)</f>
        <v>Blue Horizon Commercial</v>
      </c>
      <c r="W928" s="1" t="str">
        <f t="shared" si="59"/>
        <v>2025-10</v>
      </c>
    </row>
    <row r="929" spans="1:23">
      <c r="A929" s="1" t="s">
        <v>1797</v>
      </c>
      <c r="B929" s="1" t="s">
        <v>1798</v>
      </c>
      <c r="C929" s="1" t="s">
        <v>60</v>
      </c>
      <c r="D929" s="1" t="s">
        <v>37</v>
      </c>
      <c r="E929" s="1" t="s">
        <v>38</v>
      </c>
      <c r="F929">
        <v>30</v>
      </c>
      <c r="G929" s="2">
        <v>46020</v>
      </c>
      <c r="H929" s="2">
        <v>46023</v>
      </c>
      <c r="I929">
        <v>44167.67</v>
      </c>
      <c r="M929" s="1" t="s">
        <v>32</v>
      </c>
      <c r="N929" s="1" t="s">
        <v>33</v>
      </c>
      <c r="O929" s="2">
        <v>46053</v>
      </c>
      <c r="P929" s="2"/>
      <c r="Q929">
        <f>_xlfn.XLOOKUP(E929,CPT!$A$2:$A$13,CPT!$D$2:$D$13)</f>
        <v>1450</v>
      </c>
      <c r="R929" s="1">
        <f>_xlfn.XLOOKUP(C929,Contract!$A$2:$A$9,Contract!$B$2:$B$9)</f>
        <v>0.45</v>
      </c>
      <c r="S929" s="1">
        <f t="shared" si="56"/>
        <v>19575</v>
      </c>
      <c r="T929" s="1" t="str">
        <f t="shared" si="57"/>
        <v/>
      </c>
      <c r="U929" s="1" t="str">
        <f t="shared" si="58"/>
        <v/>
      </c>
      <c r="V929" s="1" t="str">
        <f>_xlfn.XLOOKUP(C929,Payers!$A$2:$A$9,Payers!$B$2:$B$9)</f>
        <v>Blue Horizon Commercial</v>
      </c>
      <c r="W929" s="1" t="str">
        <f t="shared" si="59"/>
        <v>2025-12</v>
      </c>
    </row>
    <row r="930" spans="1:23">
      <c r="A930" s="1" t="s">
        <v>1799</v>
      </c>
      <c r="B930" s="1" t="s">
        <v>1800</v>
      </c>
      <c r="C930" s="1" t="s">
        <v>25</v>
      </c>
      <c r="D930" s="1" t="s">
        <v>19</v>
      </c>
      <c r="E930" s="1" t="s">
        <v>88</v>
      </c>
      <c r="F930">
        <v>1</v>
      </c>
      <c r="G930" s="2">
        <v>45946</v>
      </c>
      <c r="H930" s="2">
        <v>45948</v>
      </c>
      <c r="I930">
        <v>266.61</v>
      </c>
      <c r="J930">
        <v>92.33</v>
      </c>
      <c r="K930">
        <v>92.33</v>
      </c>
      <c r="L930">
        <v>0</v>
      </c>
      <c r="M930" s="1" t="s">
        <v>21</v>
      </c>
      <c r="N930" s="1" t="s">
        <v>22</v>
      </c>
      <c r="O930" s="2">
        <v>45973</v>
      </c>
      <c r="P930" s="2">
        <v>45973</v>
      </c>
      <c r="Q930">
        <f>_xlfn.XLOOKUP(E930,CPT!$A$2:$A$13,CPT!$D$2:$D$13)</f>
        <v>260</v>
      </c>
      <c r="R930" s="1">
        <f>_xlfn.XLOOKUP(C930,Contract!$A$2:$A$9,Contract!$B$2:$B$9)</f>
        <v>0.36</v>
      </c>
      <c r="S930" s="1">
        <f t="shared" si="56"/>
        <v>93.6</v>
      </c>
      <c r="T930" s="1">
        <f t="shared" si="57"/>
        <v>1.269999999999996</v>
      </c>
      <c r="U930" s="1" t="str">
        <f t="shared" si="58"/>
        <v>OK</v>
      </c>
      <c r="V930" s="1" t="str">
        <f>_xlfn.XLOOKUP(C930,Payers!$A$2:$A$9,Payers!$B$2:$B$9)</f>
        <v>Medicare Part B</v>
      </c>
      <c r="W930" s="1" t="str">
        <f t="shared" si="59"/>
        <v>2025-10</v>
      </c>
    </row>
    <row r="931" spans="1:23">
      <c r="A931" s="1" t="s">
        <v>1801</v>
      </c>
      <c r="B931" s="1" t="s">
        <v>985</v>
      </c>
      <c r="C931" s="1" t="s">
        <v>18</v>
      </c>
      <c r="D931" s="1" t="s">
        <v>26</v>
      </c>
      <c r="E931" s="1" t="s">
        <v>113</v>
      </c>
      <c r="F931">
        <v>1</v>
      </c>
      <c r="G931" s="2">
        <v>46046</v>
      </c>
      <c r="H931" s="2">
        <v>46047</v>
      </c>
      <c r="I931">
        <v>1031.18</v>
      </c>
      <c r="J931">
        <v>432.3</v>
      </c>
      <c r="K931">
        <v>432.3</v>
      </c>
      <c r="L931">
        <v>0</v>
      </c>
      <c r="M931" s="1" t="s">
        <v>21</v>
      </c>
      <c r="N931" s="1" t="s">
        <v>22</v>
      </c>
      <c r="O931" s="2">
        <v>46097</v>
      </c>
      <c r="P931" s="2">
        <v>46097</v>
      </c>
      <c r="Q931">
        <f>_xlfn.XLOOKUP(E931,CPT!$A$2:$A$13,CPT!$D$2:$D$13)</f>
        <v>1050</v>
      </c>
      <c r="R931" s="1">
        <f>_xlfn.XLOOKUP(C931,Contract!$A$2:$A$9,Contract!$B$2:$B$9)</f>
        <v>0.38</v>
      </c>
      <c r="S931" s="1">
        <f t="shared" si="56"/>
        <v>399</v>
      </c>
      <c r="T931" s="1">
        <f t="shared" si="57"/>
        <v>-33.300000000000011</v>
      </c>
      <c r="U931" s="1" t="str">
        <f t="shared" si="58"/>
        <v>OK</v>
      </c>
      <c r="V931" s="1" t="str">
        <f>_xlfn.XLOOKUP(C931,Payers!$A$2:$A$9,Payers!$B$2:$B$9)</f>
        <v>Sunshine Medicare Advantage</v>
      </c>
      <c r="W931" s="1" t="str">
        <f t="shared" si="59"/>
        <v>2026-01</v>
      </c>
    </row>
    <row r="932" spans="1:23">
      <c r="A932" s="1" t="s">
        <v>1802</v>
      </c>
      <c r="B932" s="1" t="s">
        <v>1803</v>
      </c>
      <c r="C932" s="1" t="s">
        <v>60</v>
      </c>
      <c r="D932" s="1" t="s">
        <v>19</v>
      </c>
      <c r="E932" s="1" t="s">
        <v>20</v>
      </c>
      <c r="F932">
        <v>1</v>
      </c>
      <c r="G932" s="2">
        <v>46002</v>
      </c>
      <c r="H932" s="2">
        <v>46004</v>
      </c>
      <c r="I932">
        <v>148.41999999999999</v>
      </c>
      <c r="J932">
        <v>67.760000000000005</v>
      </c>
      <c r="K932">
        <v>54.21</v>
      </c>
      <c r="L932">
        <v>13.55</v>
      </c>
      <c r="M932" s="1" t="s">
        <v>21</v>
      </c>
      <c r="N932" s="1" t="s">
        <v>22</v>
      </c>
      <c r="O932" s="2">
        <v>46036</v>
      </c>
      <c r="P932" s="2">
        <v>46036</v>
      </c>
      <c r="Q932">
        <f>_xlfn.XLOOKUP(E932,CPT!$A$2:$A$13,CPT!$D$2:$D$13)</f>
        <v>145</v>
      </c>
      <c r="R932" s="1">
        <f>_xlfn.XLOOKUP(C932,Contract!$A$2:$A$9,Contract!$B$2:$B$9)</f>
        <v>0.45</v>
      </c>
      <c r="S932" s="1">
        <f t="shared" si="56"/>
        <v>65.25</v>
      </c>
      <c r="T932" s="1">
        <f t="shared" si="57"/>
        <v>-2.5100000000000051</v>
      </c>
      <c r="U932" s="1" t="str">
        <f t="shared" si="58"/>
        <v>OK</v>
      </c>
      <c r="V932" s="1" t="str">
        <f>_xlfn.XLOOKUP(C932,Payers!$A$2:$A$9,Payers!$B$2:$B$9)</f>
        <v>Blue Horizon Commercial</v>
      </c>
      <c r="W932" s="1" t="str">
        <f t="shared" si="59"/>
        <v>2025-12</v>
      </c>
    </row>
    <row r="933" spans="1:23">
      <c r="A933" s="1" t="s">
        <v>1804</v>
      </c>
      <c r="B933" s="1" t="s">
        <v>259</v>
      </c>
      <c r="C933" s="1" t="s">
        <v>36</v>
      </c>
      <c r="D933" s="1" t="s">
        <v>30</v>
      </c>
      <c r="E933" s="1" t="s">
        <v>20</v>
      </c>
      <c r="F933">
        <v>1</v>
      </c>
      <c r="G933" s="2">
        <v>46187</v>
      </c>
      <c r="H933" s="2">
        <v>46191</v>
      </c>
      <c r="I933">
        <v>143.71</v>
      </c>
      <c r="M933" s="1" t="s">
        <v>32</v>
      </c>
      <c r="N933" s="1" t="s">
        <v>33</v>
      </c>
      <c r="O933" s="2">
        <v>46234</v>
      </c>
      <c r="P933" s="2"/>
      <c r="Q933">
        <f>_xlfn.XLOOKUP(E933,CPT!$A$2:$A$13,CPT!$D$2:$D$13)</f>
        <v>145</v>
      </c>
      <c r="R933" s="1">
        <f>_xlfn.XLOOKUP(C933,Contract!$A$2:$A$9,Contract!$B$2:$B$9)</f>
        <v>0.27</v>
      </c>
      <c r="S933" s="1">
        <f t="shared" si="56"/>
        <v>39.15</v>
      </c>
      <c r="T933" s="1" t="str">
        <f t="shared" si="57"/>
        <v/>
      </c>
      <c r="U933" s="1" t="str">
        <f t="shared" si="58"/>
        <v/>
      </c>
      <c r="V933" s="1" t="str">
        <f>_xlfn.XLOOKUP(C933,Payers!$A$2:$A$9,Payers!$B$2:$B$9)</f>
        <v>Florida Medicaid</v>
      </c>
      <c r="W933" s="1" t="str">
        <f t="shared" si="59"/>
        <v>2026-06</v>
      </c>
    </row>
    <row r="934" spans="1:23">
      <c r="A934" s="1" t="s">
        <v>1805</v>
      </c>
      <c r="B934" s="1" t="s">
        <v>1806</v>
      </c>
      <c r="C934" s="1" t="s">
        <v>36</v>
      </c>
      <c r="D934" s="1" t="s">
        <v>19</v>
      </c>
      <c r="E934" s="1" t="s">
        <v>57</v>
      </c>
      <c r="F934">
        <v>1</v>
      </c>
      <c r="G934" s="2">
        <v>46083</v>
      </c>
      <c r="H934" s="2">
        <v>46086</v>
      </c>
      <c r="I934">
        <v>204.97</v>
      </c>
      <c r="M934" s="1" t="s">
        <v>32</v>
      </c>
      <c r="N934" s="1" t="s">
        <v>98</v>
      </c>
      <c r="O934" s="2">
        <v>46130</v>
      </c>
      <c r="P934" s="2"/>
      <c r="Q934">
        <f>_xlfn.XLOOKUP(E934,CPT!$A$2:$A$13,CPT!$D$2:$D$13)</f>
        <v>210</v>
      </c>
      <c r="R934" s="1">
        <f>_xlfn.XLOOKUP(C934,Contract!$A$2:$A$9,Contract!$B$2:$B$9)</f>
        <v>0.27</v>
      </c>
      <c r="S934" s="1">
        <f t="shared" si="56"/>
        <v>56.7</v>
      </c>
      <c r="T934" s="1" t="str">
        <f t="shared" si="57"/>
        <v/>
      </c>
      <c r="U934" s="1" t="str">
        <f t="shared" si="58"/>
        <v/>
      </c>
      <c r="V934" s="1" t="str">
        <f>_xlfn.XLOOKUP(C934,Payers!$A$2:$A$9,Payers!$B$2:$B$9)</f>
        <v>Florida Medicaid</v>
      </c>
      <c r="W934" s="1" t="str">
        <f t="shared" si="59"/>
        <v>2026-03</v>
      </c>
    </row>
    <row r="935" spans="1:23">
      <c r="A935" s="1" t="s">
        <v>1807</v>
      </c>
      <c r="B935" s="1" t="s">
        <v>1808</v>
      </c>
      <c r="C935" s="1" t="s">
        <v>60</v>
      </c>
      <c r="D935" s="1" t="s">
        <v>26</v>
      </c>
      <c r="E935" s="1" t="s">
        <v>185</v>
      </c>
      <c r="F935">
        <v>1</v>
      </c>
      <c r="G935" s="2">
        <v>46225</v>
      </c>
      <c r="H935" s="2">
        <v>46228</v>
      </c>
      <c r="I935">
        <v>1132.1600000000001</v>
      </c>
      <c r="J935">
        <v>479.71</v>
      </c>
      <c r="K935">
        <v>479.71</v>
      </c>
      <c r="L935">
        <v>0</v>
      </c>
      <c r="M935" s="1" t="s">
        <v>21</v>
      </c>
      <c r="N935" s="1" t="s">
        <v>22</v>
      </c>
      <c r="O935" s="2">
        <v>46249</v>
      </c>
      <c r="P935" s="2">
        <v>46249</v>
      </c>
      <c r="Q935">
        <f>_xlfn.XLOOKUP(E935,CPT!$A$2:$A$13,CPT!$D$2:$D$13)</f>
        <v>1150</v>
      </c>
      <c r="R935" s="1">
        <f>_xlfn.XLOOKUP(C935,Contract!$A$2:$A$9,Contract!$B$2:$B$9)</f>
        <v>0.45</v>
      </c>
      <c r="S935" s="1">
        <f t="shared" si="56"/>
        <v>517.5</v>
      </c>
      <c r="T935" s="1">
        <f t="shared" si="57"/>
        <v>37.79000000000002</v>
      </c>
      <c r="U935" s="1" t="str">
        <f t="shared" si="58"/>
        <v>Underpaid</v>
      </c>
      <c r="V935" s="1" t="str">
        <f>_xlfn.XLOOKUP(C935,Payers!$A$2:$A$9,Payers!$B$2:$B$9)</f>
        <v>Blue Horizon Commercial</v>
      </c>
      <c r="W935" s="1" t="str">
        <f t="shared" si="59"/>
        <v>2026-07</v>
      </c>
    </row>
    <row r="936" spans="1:23">
      <c r="A936" s="1" t="s">
        <v>1809</v>
      </c>
      <c r="B936" s="1" t="s">
        <v>404</v>
      </c>
      <c r="C936" s="1" t="s">
        <v>25</v>
      </c>
      <c r="D936" s="1" t="s">
        <v>37</v>
      </c>
      <c r="E936" s="1" t="s">
        <v>38</v>
      </c>
      <c r="F936">
        <v>5</v>
      </c>
      <c r="G936" s="2">
        <v>46065</v>
      </c>
      <c r="H936" s="2">
        <v>46068</v>
      </c>
      <c r="I936">
        <v>7046.54</v>
      </c>
      <c r="J936">
        <v>2842.99</v>
      </c>
      <c r="K936">
        <v>2558.69</v>
      </c>
      <c r="L936">
        <v>284.3</v>
      </c>
      <c r="M936" s="1" t="s">
        <v>21</v>
      </c>
      <c r="N936" s="1" t="s">
        <v>22</v>
      </c>
      <c r="O936" s="2">
        <v>46089</v>
      </c>
      <c r="P936" s="2">
        <v>46089</v>
      </c>
      <c r="Q936">
        <f>_xlfn.XLOOKUP(E936,CPT!$A$2:$A$13,CPT!$D$2:$D$13)</f>
        <v>1450</v>
      </c>
      <c r="R936" s="1">
        <f>_xlfn.XLOOKUP(C936,Contract!$A$2:$A$9,Contract!$B$2:$B$9)</f>
        <v>0.36</v>
      </c>
      <c r="S936" s="1">
        <f t="shared" si="56"/>
        <v>2610</v>
      </c>
      <c r="T936" s="1">
        <f t="shared" si="57"/>
        <v>-232.98999999999978</v>
      </c>
      <c r="U936" s="1" t="str">
        <f t="shared" si="58"/>
        <v>OK</v>
      </c>
      <c r="V936" s="1" t="str">
        <f>_xlfn.XLOOKUP(C936,Payers!$A$2:$A$9,Payers!$B$2:$B$9)</f>
        <v>Medicare Part B</v>
      </c>
      <c r="W936" s="1" t="str">
        <f t="shared" si="59"/>
        <v>2026-02</v>
      </c>
    </row>
    <row r="937" spans="1:23">
      <c r="A937" s="1" t="s">
        <v>1810</v>
      </c>
      <c r="B937" s="1" t="s">
        <v>1811</v>
      </c>
      <c r="C937" s="1" t="s">
        <v>60</v>
      </c>
      <c r="D937" s="1" t="s">
        <v>37</v>
      </c>
      <c r="E937" s="1" t="s">
        <v>38</v>
      </c>
      <c r="F937">
        <v>5</v>
      </c>
      <c r="G937" s="2">
        <v>45968</v>
      </c>
      <c r="H937" s="2">
        <v>45969</v>
      </c>
      <c r="I937">
        <v>7182.94</v>
      </c>
      <c r="J937">
        <v>3472.96</v>
      </c>
      <c r="K937">
        <v>3472.96</v>
      </c>
      <c r="L937">
        <v>0</v>
      </c>
      <c r="M937" s="1" t="s">
        <v>21</v>
      </c>
      <c r="N937" s="1" t="s">
        <v>22</v>
      </c>
      <c r="O937" s="2">
        <v>45999</v>
      </c>
      <c r="P937" s="2">
        <v>45999</v>
      </c>
      <c r="Q937">
        <f>_xlfn.XLOOKUP(E937,CPT!$A$2:$A$13,CPT!$D$2:$D$13)</f>
        <v>1450</v>
      </c>
      <c r="R937" s="1">
        <f>_xlfn.XLOOKUP(C937,Contract!$A$2:$A$9,Contract!$B$2:$B$9)</f>
        <v>0.45</v>
      </c>
      <c r="S937" s="1">
        <f t="shared" si="56"/>
        <v>3262.5</v>
      </c>
      <c r="T937" s="1">
        <f t="shared" si="57"/>
        <v>-210.46000000000004</v>
      </c>
      <c r="U937" s="1" t="str">
        <f t="shared" si="58"/>
        <v>OK</v>
      </c>
      <c r="V937" s="1" t="str">
        <f>_xlfn.XLOOKUP(C937,Payers!$A$2:$A$9,Payers!$B$2:$B$9)</f>
        <v>Blue Horizon Commercial</v>
      </c>
      <c r="W937" s="1" t="str">
        <f t="shared" si="59"/>
        <v>2025-11</v>
      </c>
    </row>
    <row r="938" spans="1:23">
      <c r="A938" s="1" t="s">
        <v>1812</v>
      </c>
      <c r="B938" s="1" t="s">
        <v>1813</v>
      </c>
      <c r="C938" s="1" t="s">
        <v>76</v>
      </c>
      <c r="D938" s="1" t="s">
        <v>19</v>
      </c>
      <c r="E938" s="1" t="s">
        <v>57</v>
      </c>
      <c r="F938">
        <v>1</v>
      </c>
      <c r="G938" s="2">
        <v>45952</v>
      </c>
      <c r="H938" s="2">
        <v>45955</v>
      </c>
      <c r="I938">
        <v>205.01</v>
      </c>
      <c r="J938">
        <v>83.56</v>
      </c>
      <c r="K938">
        <v>83.56</v>
      </c>
      <c r="L938">
        <v>0</v>
      </c>
      <c r="M938" s="1" t="s">
        <v>21</v>
      </c>
      <c r="N938" s="1" t="s">
        <v>22</v>
      </c>
      <c r="O938" s="2">
        <v>45970</v>
      </c>
      <c r="P938" s="2">
        <v>45970</v>
      </c>
      <c r="Q938">
        <f>_xlfn.XLOOKUP(E938,CPT!$A$2:$A$13,CPT!$D$2:$D$13)</f>
        <v>210</v>
      </c>
      <c r="R938" s="1">
        <f>_xlfn.XLOOKUP(C938,Contract!$A$2:$A$9,Contract!$B$2:$B$9)</f>
        <v>0.43</v>
      </c>
      <c r="S938" s="1">
        <f t="shared" si="56"/>
        <v>90.3</v>
      </c>
      <c r="T938" s="1">
        <f t="shared" si="57"/>
        <v>6.7399999999999949</v>
      </c>
      <c r="U938" s="1" t="str">
        <f t="shared" si="58"/>
        <v>Underpaid</v>
      </c>
      <c r="V938" s="1" t="str">
        <f>_xlfn.XLOOKUP(C938,Payers!$A$2:$A$9,Payers!$B$2:$B$9)</f>
        <v>Summit Health Commercial</v>
      </c>
      <c r="W938" s="1" t="str">
        <f t="shared" si="59"/>
        <v>2025-10</v>
      </c>
    </row>
    <row r="939" spans="1:23">
      <c r="A939" s="1" t="s">
        <v>1814</v>
      </c>
      <c r="B939" s="1" t="s">
        <v>1815</v>
      </c>
      <c r="C939" s="1" t="s">
        <v>18</v>
      </c>
      <c r="D939" s="1" t="s">
        <v>30</v>
      </c>
      <c r="E939" s="1" t="s">
        <v>31</v>
      </c>
      <c r="F939">
        <v>3</v>
      </c>
      <c r="G939" s="2">
        <v>46031</v>
      </c>
      <c r="H939" s="2">
        <v>46033</v>
      </c>
      <c r="I939">
        <v>187.21</v>
      </c>
      <c r="M939" s="1" t="s">
        <v>32</v>
      </c>
      <c r="N939" s="1" t="s">
        <v>124</v>
      </c>
      <c r="O939" s="2">
        <v>46088</v>
      </c>
      <c r="P939" s="2"/>
      <c r="Q939">
        <f>_xlfn.XLOOKUP(E939,CPT!$A$2:$A$13,CPT!$D$2:$D$13)</f>
        <v>62</v>
      </c>
      <c r="R939" s="1">
        <f>_xlfn.XLOOKUP(C939,Contract!$A$2:$A$9,Contract!$B$2:$B$9)</f>
        <v>0.38</v>
      </c>
      <c r="S939" s="1">
        <f t="shared" si="56"/>
        <v>70.680000000000007</v>
      </c>
      <c r="T939" s="1" t="str">
        <f t="shared" si="57"/>
        <v/>
      </c>
      <c r="U939" s="1" t="str">
        <f t="shared" si="58"/>
        <v/>
      </c>
      <c r="V939" s="1" t="str">
        <f>_xlfn.XLOOKUP(C939,Payers!$A$2:$A$9,Payers!$B$2:$B$9)</f>
        <v>Sunshine Medicare Advantage</v>
      </c>
      <c r="W939" s="1" t="str">
        <f t="shared" si="59"/>
        <v>2026-01</v>
      </c>
    </row>
    <row r="940" spans="1:23">
      <c r="A940" s="1" t="s">
        <v>1816</v>
      </c>
      <c r="B940" s="1" t="s">
        <v>1817</v>
      </c>
      <c r="C940" s="1" t="s">
        <v>25</v>
      </c>
      <c r="D940" s="1" t="s">
        <v>19</v>
      </c>
      <c r="E940" s="1" t="s">
        <v>41</v>
      </c>
      <c r="F940">
        <v>1</v>
      </c>
      <c r="G940" s="2">
        <v>45990</v>
      </c>
      <c r="H940" s="2">
        <v>46000</v>
      </c>
      <c r="I940">
        <v>37.86</v>
      </c>
      <c r="J940">
        <v>13.07</v>
      </c>
      <c r="K940">
        <v>13.07</v>
      </c>
      <c r="L940">
        <v>0</v>
      </c>
      <c r="M940" s="1" t="s">
        <v>21</v>
      </c>
      <c r="N940" s="1" t="s">
        <v>22</v>
      </c>
      <c r="O940" s="2">
        <v>46020</v>
      </c>
      <c r="P940" s="2">
        <v>46020</v>
      </c>
      <c r="Q940">
        <f>_xlfn.XLOOKUP(E940,CPT!$A$2:$A$13,CPT!$D$2:$D$13)</f>
        <v>38</v>
      </c>
      <c r="R940" s="1">
        <f>_xlfn.XLOOKUP(C940,Contract!$A$2:$A$9,Contract!$B$2:$B$9)</f>
        <v>0.36</v>
      </c>
      <c r="S940" s="1">
        <f t="shared" si="56"/>
        <v>13.68</v>
      </c>
      <c r="T940" s="1">
        <f t="shared" si="57"/>
        <v>0.60999999999999943</v>
      </c>
      <c r="U940" s="1" t="str">
        <f t="shared" si="58"/>
        <v>OK</v>
      </c>
      <c r="V940" s="1" t="str">
        <f>_xlfn.XLOOKUP(C940,Payers!$A$2:$A$9,Payers!$B$2:$B$9)</f>
        <v>Medicare Part B</v>
      </c>
      <c r="W940" s="1" t="str">
        <f t="shared" si="59"/>
        <v>2025-11</v>
      </c>
    </row>
    <row r="941" spans="1:23">
      <c r="A941" s="1" t="s">
        <v>1818</v>
      </c>
      <c r="B941" s="1" t="s">
        <v>1819</v>
      </c>
      <c r="C941" s="1" t="s">
        <v>60</v>
      </c>
      <c r="D941" s="1" t="s">
        <v>26</v>
      </c>
      <c r="E941" s="1" t="s">
        <v>27</v>
      </c>
      <c r="F941">
        <v>1</v>
      </c>
      <c r="G941" s="2">
        <v>46142</v>
      </c>
      <c r="H941" s="2">
        <v>46151</v>
      </c>
      <c r="I941">
        <v>243.56</v>
      </c>
      <c r="J941">
        <v>111.92</v>
      </c>
      <c r="K941">
        <v>111.92</v>
      </c>
      <c r="L941">
        <v>0</v>
      </c>
      <c r="M941" s="1" t="s">
        <v>21</v>
      </c>
      <c r="N941" s="1" t="s">
        <v>22</v>
      </c>
      <c r="O941" s="2">
        <v>46187</v>
      </c>
      <c r="P941" s="2">
        <v>46187</v>
      </c>
      <c r="Q941">
        <f>_xlfn.XLOOKUP(E941,CPT!$A$2:$A$13,CPT!$D$2:$D$13)</f>
        <v>240</v>
      </c>
      <c r="R941" s="1">
        <f>_xlfn.XLOOKUP(C941,Contract!$A$2:$A$9,Contract!$B$2:$B$9)</f>
        <v>0.45</v>
      </c>
      <c r="S941" s="1">
        <f t="shared" si="56"/>
        <v>108</v>
      </c>
      <c r="T941" s="1">
        <f t="shared" si="57"/>
        <v>-3.9200000000000017</v>
      </c>
      <c r="U941" s="1" t="str">
        <f t="shared" si="58"/>
        <v>OK</v>
      </c>
      <c r="V941" s="1" t="str">
        <f>_xlfn.XLOOKUP(C941,Payers!$A$2:$A$9,Payers!$B$2:$B$9)</f>
        <v>Blue Horizon Commercial</v>
      </c>
      <c r="W941" s="1" t="str">
        <f t="shared" si="59"/>
        <v>2026-04</v>
      </c>
    </row>
    <row r="942" spans="1:23">
      <c r="A942" s="1" t="s">
        <v>1820</v>
      </c>
      <c r="B942" s="1" t="s">
        <v>1531</v>
      </c>
      <c r="C942" s="1" t="s">
        <v>60</v>
      </c>
      <c r="D942" s="1" t="s">
        <v>26</v>
      </c>
      <c r="E942" s="1" t="s">
        <v>88</v>
      </c>
      <c r="F942">
        <v>1</v>
      </c>
      <c r="G942" s="2">
        <v>45995</v>
      </c>
      <c r="H942" s="2">
        <v>45997</v>
      </c>
      <c r="I942">
        <v>259.04000000000002</v>
      </c>
      <c r="J942">
        <v>120.28</v>
      </c>
      <c r="K942">
        <v>120.28</v>
      </c>
      <c r="L942">
        <v>0</v>
      </c>
      <c r="M942" s="1" t="s">
        <v>21</v>
      </c>
      <c r="N942" s="1" t="s">
        <v>22</v>
      </c>
      <c r="O942" s="2">
        <v>46047</v>
      </c>
      <c r="P942" s="2">
        <v>46047</v>
      </c>
      <c r="Q942">
        <f>_xlfn.XLOOKUP(E942,CPT!$A$2:$A$13,CPT!$D$2:$D$13)</f>
        <v>260</v>
      </c>
      <c r="R942" s="1">
        <f>_xlfn.XLOOKUP(C942,Contract!$A$2:$A$9,Contract!$B$2:$B$9)</f>
        <v>0.45</v>
      </c>
      <c r="S942" s="1">
        <f t="shared" si="56"/>
        <v>117</v>
      </c>
      <c r="T942" s="1">
        <f t="shared" si="57"/>
        <v>-3.2800000000000011</v>
      </c>
      <c r="U942" s="1" t="str">
        <f t="shared" si="58"/>
        <v>OK</v>
      </c>
      <c r="V942" s="1" t="str">
        <f>_xlfn.XLOOKUP(C942,Payers!$A$2:$A$9,Payers!$B$2:$B$9)</f>
        <v>Blue Horizon Commercial</v>
      </c>
      <c r="W942" s="1" t="str">
        <f t="shared" si="59"/>
        <v>2025-12</v>
      </c>
    </row>
    <row r="943" spans="1:23">
      <c r="A943" s="1" t="s">
        <v>1821</v>
      </c>
      <c r="B943" s="1" t="s">
        <v>1822</v>
      </c>
      <c r="C943" s="1" t="s">
        <v>25</v>
      </c>
      <c r="D943" s="1" t="s">
        <v>19</v>
      </c>
      <c r="E943" s="1" t="s">
        <v>20</v>
      </c>
      <c r="F943">
        <v>1</v>
      </c>
      <c r="G943" s="2">
        <v>45970</v>
      </c>
      <c r="H943" s="2">
        <v>45974</v>
      </c>
      <c r="I943">
        <v>142.83000000000001</v>
      </c>
      <c r="J943">
        <v>55.18</v>
      </c>
      <c r="K943">
        <v>49.66</v>
      </c>
      <c r="L943">
        <v>5.52</v>
      </c>
      <c r="M943" s="1" t="s">
        <v>21</v>
      </c>
      <c r="N943" s="1" t="s">
        <v>22</v>
      </c>
      <c r="O943" s="2">
        <v>45979</v>
      </c>
      <c r="P943" s="2">
        <v>45979</v>
      </c>
      <c r="Q943">
        <f>_xlfn.XLOOKUP(E943,CPT!$A$2:$A$13,CPT!$D$2:$D$13)</f>
        <v>145</v>
      </c>
      <c r="R943" s="1">
        <f>_xlfn.XLOOKUP(C943,Contract!$A$2:$A$9,Contract!$B$2:$B$9)</f>
        <v>0.36</v>
      </c>
      <c r="S943" s="1">
        <f t="shared" si="56"/>
        <v>52.2</v>
      </c>
      <c r="T943" s="1">
        <f t="shared" si="57"/>
        <v>-2.9799999999999969</v>
      </c>
      <c r="U943" s="1" t="str">
        <f t="shared" si="58"/>
        <v>OK</v>
      </c>
      <c r="V943" s="1" t="str">
        <f>_xlfn.XLOOKUP(C943,Payers!$A$2:$A$9,Payers!$B$2:$B$9)</f>
        <v>Medicare Part B</v>
      </c>
      <c r="W943" s="1" t="str">
        <f t="shared" si="59"/>
        <v>2025-11</v>
      </c>
    </row>
    <row r="944" spans="1:23">
      <c r="A944" s="1" t="s">
        <v>1823</v>
      </c>
      <c r="B944" s="1" t="s">
        <v>1824</v>
      </c>
      <c r="C944" s="1" t="s">
        <v>47</v>
      </c>
      <c r="D944" s="1" t="s">
        <v>19</v>
      </c>
      <c r="E944" s="1" t="s">
        <v>88</v>
      </c>
      <c r="F944">
        <v>1</v>
      </c>
      <c r="G944" s="2">
        <v>46213</v>
      </c>
      <c r="H944" s="2">
        <v>46218</v>
      </c>
      <c r="I944">
        <v>256.77</v>
      </c>
      <c r="J944">
        <v>66.459999999999994</v>
      </c>
      <c r="K944">
        <v>66.459999999999994</v>
      </c>
      <c r="L944">
        <v>0</v>
      </c>
      <c r="M944" s="1" t="s">
        <v>21</v>
      </c>
      <c r="N944" s="1" t="s">
        <v>22</v>
      </c>
      <c r="O944" s="2">
        <v>46272</v>
      </c>
      <c r="P944" s="2">
        <v>46272</v>
      </c>
      <c r="Q944">
        <f>_xlfn.XLOOKUP(E944,CPT!$A$2:$A$13,CPT!$D$2:$D$13)</f>
        <v>260</v>
      </c>
      <c r="R944" s="1">
        <f>_xlfn.XLOOKUP(C944,Contract!$A$2:$A$9,Contract!$B$2:$B$9)</f>
        <v>0.28000000000000003</v>
      </c>
      <c r="S944" s="1">
        <f t="shared" si="56"/>
        <v>72.8</v>
      </c>
      <c r="T944" s="1">
        <f t="shared" si="57"/>
        <v>6.3400000000000034</v>
      </c>
      <c r="U944" s="1" t="str">
        <f t="shared" si="58"/>
        <v>Underpaid</v>
      </c>
      <c r="V944" s="1" t="str">
        <f>_xlfn.XLOOKUP(C944,Payers!$A$2:$A$9,Payers!$B$2:$B$9)</f>
        <v>Coastal Medicaid MCO</v>
      </c>
      <c r="W944" s="1" t="str">
        <f t="shared" si="59"/>
        <v>2026-07</v>
      </c>
    </row>
    <row r="945" spans="1:23">
      <c r="A945" s="1" t="s">
        <v>1825</v>
      </c>
      <c r="B945" s="1" t="s">
        <v>1826</v>
      </c>
      <c r="C945" s="1" t="s">
        <v>47</v>
      </c>
      <c r="D945" s="1" t="s">
        <v>30</v>
      </c>
      <c r="E945" s="1" t="s">
        <v>20</v>
      </c>
      <c r="F945">
        <v>1</v>
      </c>
      <c r="G945" s="2">
        <v>46179</v>
      </c>
      <c r="H945" s="2">
        <v>46180</v>
      </c>
      <c r="I945">
        <v>143.08000000000001</v>
      </c>
      <c r="J945">
        <v>36.57</v>
      </c>
      <c r="K945">
        <v>36.57</v>
      </c>
      <c r="L945">
        <v>0</v>
      </c>
      <c r="M945" s="1" t="s">
        <v>21</v>
      </c>
      <c r="N945" s="1" t="s">
        <v>22</v>
      </c>
      <c r="O945" s="2">
        <v>46220</v>
      </c>
      <c r="P945" s="2">
        <v>46220</v>
      </c>
      <c r="Q945">
        <f>_xlfn.XLOOKUP(E945,CPT!$A$2:$A$13,CPT!$D$2:$D$13)</f>
        <v>145</v>
      </c>
      <c r="R945" s="1">
        <f>_xlfn.XLOOKUP(C945,Contract!$A$2:$A$9,Contract!$B$2:$B$9)</f>
        <v>0.28000000000000003</v>
      </c>
      <c r="S945" s="1">
        <f t="shared" si="56"/>
        <v>40.6</v>
      </c>
      <c r="T945" s="1">
        <f t="shared" si="57"/>
        <v>4.0300000000000011</v>
      </c>
      <c r="U945" s="1" t="str">
        <f t="shared" si="58"/>
        <v>Underpaid</v>
      </c>
      <c r="V945" s="1" t="str">
        <f>_xlfn.XLOOKUP(C945,Payers!$A$2:$A$9,Payers!$B$2:$B$9)</f>
        <v>Coastal Medicaid MCO</v>
      </c>
      <c r="W945" s="1" t="str">
        <f t="shared" si="59"/>
        <v>2026-06</v>
      </c>
    </row>
    <row r="946" spans="1:23">
      <c r="A946" s="1" t="s">
        <v>1827</v>
      </c>
      <c r="B946" s="1" t="s">
        <v>1828</v>
      </c>
      <c r="C946" s="1" t="s">
        <v>60</v>
      </c>
      <c r="D946" s="1" t="s">
        <v>19</v>
      </c>
      <c r="E946" s="1" t="s">
        <v>57</v>
      </c>
      <c r="F946">
        <v>1</v>
      </c>
      <c r="G946" s="2">
        <v>46051</v>
      </c>
      <c r="H946" s="2">
        <v>46056</v>
      </c>
      <c r="I946">
        <v>212.5</v>
      </c>
      <c r="J946">
        <v>84.15</v>
      </c>
      <c r="K946">
        <v>75.73</v>
      </c>
      <c r="L946">
        <v>8.42</v>
      </c>
      <c r="M946" s="1" t="s">
        <v>21</v>
      </c>
      <c r="N946" s="1" t="s">
        <v>22</v>
      </c>
      <c r="O946" s="2">
        <v>46081</v>
      </c>
      <c r="P946" s="2">
        <v>46081</v>
      </c>
      <c r="Q946">
        <f>_xlfn.XLOOKUP(E946,CPT!$A$2:$A$13,CPT!$D$2:$D$13)</f>
        <v>210</v>
      </c>
      <c r="R946" s="1">
        <f>_xlfn.XLOOKUP(C946,Contract!$A$2:$A$9,Contract!$B$2:$B$9)</f>
        <v>0.45</v>
      </c>
      <c r="S946" s="1">
        <f t="shared" si="56"/>
        <v>94.5</v>
      </c>
      <c r="T946" s="1">
        <f t="shared" si="57"/>
        <v>10.349999999999994</v>
      </c>
      <c r="U946" s="1" t="str">
        <f t="shared" si="58"/>
        <v>Underpaid</v>
      </c>
      <c r="V946" s="1" t="str">
        <f>_xlfn.XLOOKUP(C946,Payers!$A$2:$A$9,Payers!$B$2:$B$9)</f>
        <v>Blue Horizon Commercial</v>
      </c>
      <c r="W946" s="1" t="str">
        <f t="shared" si="59"/>
        <v>2026-01</v>
      </c>
    </row>
    <row r="947" spans="1:23">
      <c r="A947" s="1" t="s">
        <v>1829</v>
      </c>
      <c r="B947" s="1" t="s">
        <v>1830</v>
      </c>
      <c r="C947" s="1" t="s">
        <v>60</v>
      </c>
      <c r="D947" s="1" t="s">
        <v>19</v>
      </c>
      <c r="E947" s="1" t="s">
        <v>20</v>
      </c>
      <c r="F947">
        <v>1</v>
      </c>
      <c r="G947" s="2">
        <v>46243</v>
      </c>
      <c r="H947" s="2">
        <v>46244</v>
      </c>
      <c r="I947">
        <v>143.99</v>
      </c>
      <c r="J947">
        <v>63.67</v>
      </c>
      <c r="K947">
        <v>63.67</v>
      </c>
      <c r="L947">
        <v>0</v>
      </c>
      <c r="M947" s="1" t="s">
        <v>21</v>
      </c>
      <c r="N947" s="1" t="s">
        <v>22</v>
      </c>
      <c r="O947" s="2">
        <v>46272</v>
      </c>
      <c r="P947" s="2">
        <v>46272</v>
      </c>
      <c r="Q947">
        <f>_xlfn.XLOOKUP(E947,CPT!$A$2:$A$13,CPT!$D$2:$D$13)</f>
        <v>145</v>
      </c>
      <c r="R947" s="1">
        <f>_xlfn.XLOOKUP(C947,Contract!$A$2:$A$9,Contract!$B$2:$B$9)</f>
        <v>0.45</v>
      </c>
      <c r="S947" s="1">
        <f t="shared" si="56"/>
        <v>65.25</v>
      </c>
      <c r="T947" s="1">
        <f t="shared" si="57"/>
        <v>1.5799999999999983</v>
      </c>
      <c r="U947" s="1" t="str">
        <f t="shared" si="58"/>
        <v>OK</v>
      </c>
      <c r="V947" s="1" t="str">
        <f>_xlfn.XLOOKUP(C947,Payers!$A$2:$A$9,Payers!$B$2:$B$9)</f>
        <v>Blue Horizon Commercial</v>
      </c>
      <c r="W947" s="1" t="str">
        <f t="shared" si="59"/>
        <v>2026-08</v>
      </c>
    </row>
    <row r="948" spans="1:23">
      <c r="A948" s="1" t="s">
        <v>1831</v>
      </c>
      <c r="B948" s="1" t="s">
        <v>1832</v>
      </c>
      <c r="C948" s="1" t="s">
        <v>25</v>
      </c>
      <c r="D948" s="1" t="s">
        <v>19</v>
      </c>
      <c r="E948" s="1" t="s">
        <v>41</v>
      </c>
      <c r="F948">
        <v>1</v>
      </c>
      <c r="G948" s="2">
        <v>46269</v>
      </c>
      <c r="H948" s="2">
        <v>46273</v>
      </c>
      <c r="I948">
        <v>37.56</v>
      </c>
      <c r="J948">
        <v>11.53</v>
      </c>
      <c r="K948">
        <v>10.38</v>
      </c>
      <c r="L948">
        <v>1.1499999999999999</v>
      </c>
      <c r="M948" s="1" t="s">
        <v>21</v>
      </c>
      <c r="N948" s="1" t="s">
        <v>22</v>
      </c>
      <c r="O948" s="2">
        <v>46282</v>
      </c>
      <c r="P948" s="2">
        <v>46282</v>
      </c>
      <c r="Q948">
        <f>_xlfn.XLOOKUP(E948,CPT!$A$2:$A$13,CPT!$D$2:$D$13)</f>
        <v>38</v>
      </c>
      <c r="R948" s="1">
        <f>_xlfn.XLOOKUP(C948,Contract!$A$2:$A$9,Contract!$B$2:$B$9)</f>
        <v>0.36</v>
      </c>
      <c r="S948" s="1">
        <f t="shared" si="56"/>
        <v>13.68</v>
      </c>
      <c r="T948" s="1">
        <f t="shared" si="57"/>
        <v>2.1500000000000004</v>
      </c>
      <c r="U948" s="1" t="str">
        <f t="shared" si="58"/>
        <v>Underpaid</v>
      </c>
      <c r="V948" s="1" t="str">
        <f>_xlfn.XLOOKUP(C948,Payers!$A$2:$A$9,Payers!$B$2:$B$9)</f>
        <v>Medicare Part B</v>
      </c>
      <c r="W948" s="1" t="str">
        <f t="shared" si="59"/>
        <v>2026-09</v>
      </c>
    </row>
    <row r="949" spans="1:23">
      <c r="A949" s="1" t="s">
        <v>1833</v>
      </c>
      <c r="B949" s="1" t="s">
        <v>161</v>
      </c>
      <c r="C949" s="1" t="s">
        <v>18</v>
      </c>
      <c r="D949" s="1" t="s">
        <v>37</v>
      </c>
      <c r="E949" s="1" t="s">
        <v>38</v>
      </c>
      <c r="F949">
        <v>30</v>
      </c>
      <c r="G949" s="2">
        <v>46105</v>
      </c>
      <c r="H949" s="2">
        <v>46112</v>
      </c>
      <c r="I949">
        <v>44454.59</v>
      </c>
      <c r="J949">
        <v>18339.099999999999</v>
      </c>
      <c r="K949">
        <v>18339.099999999999</v>
      </c>
      <c r="L949">
        <v>0</v>
      </c>
      <c r="M949" s="1" t="s">
        <v>21</v>
      </c>
      <c r="N949" s="1" t="s">
        <v>22</v>
      </c>
      <c r="O949" s="2">
        <v>46143</v>
      </c>
      <c r="P949" s="2">
        <v>46143</v>
      </c>
      <c r="Q949">
        <f>_xlfn.XLOOKUP(E949,CPT!$A$2:$A$13,CPT!$D$2:$D$13)</f>
        <v>1450</v>
      </c>
      <c r="R949" s="1">
        <f>_xlfn.XLOOKUP(C949,Contract!$A$2:$A$9,Contract!$B$2:$B$9)</f>
        <v>0.38</v>
      </c>
      <c r="S949" s="1">
        <f t="shared" si="56"/>
        <v>16530</v>
      </c>
      <c r="T949" s="1">
        <f t="shared" si="57"/>
        <v>-1809.0999999999985</v>
      </c>
      <c r="U949" s="1" t="str">
        <f t="shared" si="58"/>
        <v>OK</v>
      </c>
      <c r="V949" s="1" t="str">
        <f>_xlfn.XLOOKUP(C949,Payers!$A$2:$A$9,Payers!$B$2:$B$9)</f>
        <v>Sunshine Medicare Advantage</v>
      </c>
      <c r="W949" s="1" t="str">
        <f t="shared" si="59"/>
        <v>2026-03</v>
      </c>
    </row>
    <row r="950" spans="1:23">
      <c r="A950" s="1" t="s">
        <v>1834</v>
      </c>
      <c r="B950" s="1" t="s">
        <v>534</v>
      </c>
      <c r="C950" s="1" t="s">
        <v>47</v>
      </c>
      <c r="D950" s="1" t="s">
        <v>19</v>
      </c>
      <c r="E950" s="1" t="s">
        <v>88</v>
      </c>
      <c r="F950">
        <v>1</v>
      </c>
      <c r="G950" s="2">
        <v>46204</v>
      </c>
      <c r="H950" s="2">
        <v>46208</v>
      </c>
      <c r="I950">
        <v>259.43</v>
      </c>
      <c r="J950">
        <v>72.81</v>
      </c>
      <c r="K950">
        <v>72.81</v>
      </c>
      <c r="L950">
        <v>0</v>
      </c>
      <c r="M950" s="1" t="s">
        <v>21</v>
      </c>
      <c r="N950" s="1" t="s">
        <v>22</v>
      </c>
      <c r="O950" s="2">
        <v>46278</v>
      </c>
      <c r="P950" s="2">
        <v>46278</v>
      </c>
      <c r="Q950">
        <f>_xlfn.XLOOKUP(E950,CPT!$A$2:$A$13,CPT!$D$2:$D$13)</f>
        <v>260</v>
      </c>
      <c r="R950" s="1">
        <f>_xlfn.XLOOKUP(C950,Contract!$A$2:$A$9,Contract!$B$2:$B$9)</f>
        <v>0.28000000000000003</v>
      </c>
      <c r="S950" s="1">
        <f t="shared" si="56"/>
        <v>72.8</v>
      </c>
      <c r="T950" s="1">
        <f t="shared" si="57"/>
        <v>-1.0000000000005116E-2</v>
      </c>
      <c r="U950" s="1" t="str">
        <f t="shared" si="58"/>
        <v>OK</v>
      </c>
      <c r="V950" s="1" t="str">
        <f>_xlfn.XLOOKUP(C950,Payers!$A$2:$A$9,Payers!$B$2:$B$9)</f>
        <v>Coastal Medicaid MCO</v>
      </c>
      <c r="W950" s="1" t="str">
        <f t="shared" si="59"/>
        <v>2026-07</v>
      </c>
    </row>
    <row r="951" spans="1:23">
      <c r="A951" s="1" t="s">
        <v>1835</v>
      </c>
      <c r="B951" s="1" t="s">
        <v>1285</v>
      </c>
      <c r="C951" s="1" t="s">
        <v>36</v>
      </c>
      <c r="D951" s="1" t="s">
        <v>30</v>
      </c>
      <c r="E951" s="1" t="s">
        <v>91</v>
      </c>
      <c r="F951">
        <v>1</v>
      </c>
      <c r="G951" s="2">
        <v>46071</v>
      </c>
      <c r="H951" s="2">
        <v>46077</v>
      </c>
      <c r="I951">
        <v>59.74</v>
      </c>
      <c r="J951">
        <v>13.81</v>
      </c>
      <c r="K951">
        <v>12.43</v>
      </c>
      <c r="L951">
        <v>1.38</v>
      </c>
      <c r="M951" s="1" t="s">
        <v>21</v>
      </c>
      <c r="N951" s="1" t="s">
        <v>22</v>
      </c>
      <c r="O951" s="2">
        <v>46127</v>
      </c>
      <c r="P951" s="2">
        <v>46127</v>
      </c>
      <c r="Q951">
        <f>_xlfn.XLOOKUP(E951,CPT!$A$2:$A$13,CPT!$D$2:$D$13)</f>
        <v>58</v>
      </c>
      <c r="R951" s="1">
        <f>_xlfn.XLOOKUP(C951,Contract!$A$2:$A$9,Contract!$B$2:$B$9)</f>
        <v>0.27</v>
      </c>
      <c r="S951" s="1">
        <f t="shared" si="56"/>
        <v>15.66</v>
      </c>
      <c r="T951" s="1">
        <f t="shared" si="57"/>
        <v>1.8499999999999996</v>
      </c>
      <c r="U951" s="1" t="str">
        <f t="shared" si="58"/>
        <v>Underpaid</v>
      </c>
      <c r="V951" s="1" t="str">
        <f>_xlfn.XLOOKUP(C951,Payers!$A$2:$A$9,Payers!$B$2:$B$9)</f>
        <v>Florida Medicaid</v>
      </c>
      <c r="W951" s="1" t="str">
        <f t="shared" si="59"/>
        <v>2026-02</v>
      </c>
    </row>
    <row r="952" spans="1:23">
      <c r="A952" s="1" t="s">
        <v>1836</v>
      </c>
      <c r="B952" s="1" t="s">
        <v>1837</v>
      </c>
      <c r="C952" s="1" t="s">
        <v>36</v>
      </c>
      <c r="D952" s="1" t="s">
        <v>26</v>
      </c>
      <c r="E952" s="1" t="s">
        <v>185</v>
      </c>
      <c r="F952">
        <v>1</v>
      </c>
      <c r="G952" s="2">
        <v>46242</v>
      </c>
      <c r="H952" s="2">
        <v>46244</v>
      </c>
      <c r="I952">
        <v>1116.3499999999999</v>
      </c>
      <c r="J952">
        <v>332.92</v>
      </c>
      <c r="K952">
        <v>332.92</v>
      </c>
      <c r="L952">
        <v>0</v>
      </c>
      <c r="M952" s="1" t="s">
        <v>21</v>
      </c>
      <c r="N952" s="1" t="s">
        <v>22</v>
      </c>
      <c r="O952" s="2">
        <v>46291</v>
      </c>
      <c r="P952" s="2">
        <v>46291</v>
      </c>
      <c r="Q952">
        <f>_xlfn.XLOOKUP(E952,CPT!$A$2:$A$13,CPT!$D$2:$D$13)</f>
        <v>1150</v>
      </c>
      <c r="R952" s="1">
        <f>_xlfn.XLOOKUP(C952,Contract!$A$2:$A$9,Contract!$B$2:$B$9)</f>
        <v>0.27</v>
      </c>
      <c r="S952" s="1">
        <f t="shared" si="56"/>
        <v>310.5</v>
      </c>
      <c r="T952" s="1">
        <f t="shared" si="57"/>
        <v>-22.420000000000016</v>
      </c>
      <c r="U952" s="1" t="str">
        <f t="shared" si="58"/>
        <v>OK</v>
      </c>
      <c r="V952" s="1" t="str">
        <f>_xlfn.XLOOKUP(C952,Payers!$A$2:$A$9,Payers!$B$2:$B$9)</f>
        <v>Florida Medicaid</v>
      </c>
      <c r="W952" s="1" t="str">
        <f t="shared" si="59"/>
        <v>2026-08</v>
      </c>
    </row>
    <row r="953" spans="1:23">
      <c r="A953" s="1" t="s">
        <v>1838</v>
      </c>
      <c r="B953" s="1" t="s">
        <v>1839</v>
      </c>
      <c r="C953" s="1" t="s">
        <v>79</v>
      </c>
      <c r="D953" s="1" t="s">
        <v>26</v>
      </c>
      <c r="E953" s="1" t="s">
        <v>88</v>
      </c>
      <c r="F953">
        <v>1</v>
      </c>
      <c r="G953" s="2">
        <v>46176</v>
      </c>
      <c r="H953" s="2">
        <v>46180</v>
      </c>
      <c r="I953">
        <v>262.14999999999998</v>
      </c>
      <c r="J953">
        <v>262.14999999999998</v>
      </c>
      <c r="K953">
        <v>262.14999999999998</v>
      </c>
      <c r="L953">
        <v>0</v>
      </c>
      <c r="M953" s="1" t="s">
        <v>21</v>
      </c>
      <c r="N953" s="1" t="s">
        <v>22</v>
      </c>
      <c r="O953" s="2">
        <v>46235</v>
      </c>
      <c r="P953" s="2">
        <v>46235</v>
      </c>
      <c r="Q953">
        <f>_xlfn.XLOOKUP(E953,CPT!$A$2:$A$13,CPT!$D$2:$D$13)</f>
        <v>260</v>
      </c>
      <c r="R953" s="1">
        <f>_xlfn.XLOOKUP(C953,Contract!$A$2:$A$9,Contract!$B$2:$B$9)</f>
        <v>1</v>
      </c>
      <c r="S953" s="1">
        <f t="shared" si="56"/>
        <v>260</v>
      </c>
      <c r="T953" s="1">
        <f t="shared" si="57"/>
        <v>-2.1499999999999773</v>
      </c>
      <c r="U953" s="1" t="str">
        <f t="shared" si="58"/>
        <v>OK</v>
      </c>
      <c r="V953" s="1" t="str">
        <f>_xlfn.XLOOKUP(C953,Payers!$A$2:$A$9,Payers!$B$2:$B$9)</f>
        <v>Self-Pay</v>
      </c>
      <c r="W953" s="1" t="str">
        <f t="shared" si="59"/>
        <v>2026-06</v>
      </c>
    </row>
    <row r="954" spans="1:23">
      <c r="A954" s="1" t="s">
        <v>1840</v>
      </c>
      <c r="B954" s="1" t="s">
        <v>1841</v>
      </c>
      <c r="C954" s="1" t="s">
        <v>25</v>
      </c>
      <c r="D954" s="1" t="s">
        <v>26</v>
      </c>
      <c r="E954" s="1" t="s">
        <v>27</v>
      </c>
      <c r="F954">
        <v>1</v>
      </c>
      <c r="G954" s="2">
        <v>45963</v>
      </c>
      <c r="H954" s="2">
        <v>45965</v>
      </c>
      <c r="I954">
        <v>239.14</v>
      </c>
      <c r="J954">
        <v>79.650000000000006</v>
      </c>
      <c r="K954">
        <v>79.650000000000006</v>
      </c>
      <c r="L954">
        <v>0</v>
      </c>
      <c r="M954" s="1" t="s">
        <v>21</v>
      </c>
      <c r="N954" s="1" t="s">
        <v>22</v>
      </c>
      <c r="O954" s="2">
        <v>45979</v>
      </c>
      <c r="P954" s="2">
        <v>45979</v>
      </c>
      <c r="Q954">
        <f>_xlfn.XLOOKUP(E954,CPT!$A$2:$A$13,CPT!$D$2:$D$13)</f>
        <v>240</v>
      </c>
      <c r="R954" s="1">
        <f>_xlfn.XLOOKUP(C954,Contract!$A$2:$A$9,Contract!$B$2:$B$9)</f>
        <v>0.36</v>
      </c>
      <c r="S954" s="1">
        <f t="shared" si="56"/>
        <v>86.4</v>
      </c>
      <c r="T954" s="1">
        <f t="shared" si="57"/>
        <v>6.75</v>
      </c>
      <c r="U954" s="1" t="str">
        <f t="shared" si="58"/>
        <v>Underpaid</v>
      </c>
      <c r="V954" s="1" t="str">
        <f>_xlfn.XLOOKUP(C954,Payers!$A$2:$A$9,Payers!$B$2:$B$9)</f>
        <v>Medicare Part B</v>
      </c>
      <c r="W954" s="1" t="str">
        <f t="shared" si="59"/>
        <v>2025-11</v>
      </c>
    </row>
    <row r="955" spans="1:23">
      <c r="A955" s="1" t="s">
        <v>1842</v>
      </c>
      <c r="B955" s="1" t="s">
        <v>1843</v>
      </c>
      <c r="C955" s="1" t="s">
        <v>60</v>
      </c>
      <c r="D955" s="1" t="s">
        <v>30</v>
      </c>
      <c r="E955" s="1" t="s">
        <v>20</v>
      </c>
      <c r="F955">
        <v>1</v>
      </c>
      <c r="G955" s="2">
        <v>45989</v>
      </c>
      <c r="H955" s="2">
        <v>45990</v>
      </c>
      <c r="I955">
        <v>146.35</v>
      </c>
      <c r="J955">
        <v>62.11</v>
      </c>
      <c r="K955">
        <v>62.11</v>
      </c>
      <c r="L955">
        <v>0</v>
      </c>
      <c r="M955" s="1" t="s">
        <v>21</v>
      </c>
      <c r="N955" s="1" t="s">
        <v>22</v>
      </c>
      <c r="O955" s="2">
        <v>46018</v>
      </c>
      <c r="P955" s="2">
        <v>46018</v>
      </c>
      <c r="Q955">
        <f>_xlfn.XLOOKUP(E955,CPT!$A$2:$A$13,CPT!$D$2:$D$13)</f>
        <v>145</v>
      </c>
      <c r="R955" s="1">
        <f>_xlfn.XLOOKUP(C955,Contract!$A$2:$A$9,Contract!$B$2:$B$9)</f>
        <v>0.45</v>
      </c>
      <c r="S955" s="1">
        <f t="shared" si="56"/>
        <v>65.25</v>
      </c>
      <c r="T955" s="1">
        <f t="shared" si="57"/>
        <v>3.1400000000000006</v>
      </c>
      <c r="U955" s="1" t="str">
        <f t="shared" si="58"/>
        <v>OK</v>
      </c>
      <c r="V955" s="1" t="str">
        <f>_xlfn.XLOOKUP(C955,Payers!$A$2:$A$9,Payers!$B$2:$B$9)</f>
        <v>Blue Horizon Commercial</v>
      </c>
      <c r="W955" s="1" t="str">
        <f t="shared" si="59"/>
        <v>2025-11</v>
      </c>
    </row>
    <row r="956" spans="1:23">
      <c r="A956" s="1" t="s">
        <v>1844</v>
      </c>
      <c r="B956" s="1" t="s">
        <v>1845</v>
      </c>
      <c r="C956" s="1" t="s">
        <v>79</v>
      </c>
      <c r="D956" s="1" t="s">
        <v>30</v>
      </c>
      <c r="E956" s="1" t="s">
        <v>91</v>
      </c>
      <c r="F956">
        <v>4</v>
      </c>
      <c r="G956" s="2">
        <v>45939</v>
      </c>
      <c r="H956" s="2">
        <v>45947</v>
      </c>
      <c r="I956">
        <v>236.8</v>
      </c>
      <c r="M956" s="1" t="s">
        <v>69</v>
      </c>
      <c r="N956" s="1" t="s">
        <v>22</v>
      </c>
      <c r="O956" s="2"/>
      <c r="P956" s="2"/>
      <c r="Q956">
        <f>_xlfn.XLOOKUP(E956,CPT!$A$2:$A$13,CPT!$D$2:$D$13)</f>
        <v>58</v>
      </c>
      <c r="R956" s="1">
        <f>_xlfn.XLOOKUP(C956,Contract!$A$2:$A$9,Contract!$B$2:$B$9)</f>
        <v>1</v>
      </c>
      <c r="S956" s="1">
        <f t="shared" si="56"/>
        <v>232</v>
      </c>
      <c r="T956" s="1" t="str">
        <f t="shared" si="57"/>
        <v/>
      </c>
      <c r="U956" s="1" t="str">
        <f t="shared" si="58"/>
        <v/>
      </c>
      <c r="V956" s="1" t="str">
        <f>_xlfn.XLOOKUP(C956,Payers!$A$2:$A$9,Payers!$B$2:$B$9)</f>
        <v>Self-Pay</v>
      </c>
      <c r="W956" s="1" t="str">
        <f t="shared" si="59"/>
        <v>2025-10</v>
      </c>
    </row>
    <row r="957" spans="1:23">
      <c r="A957" s="1" t="s">
        <v>1846</v>
      </c>
      <c r="B957" s="1" t="s">
        <v>1847</v>
      </c>
      <c r="C957" s="1" t="s">
        <v>60</v>
      </c>
      <c r="D957" s="1" t="s">
        <v>19</v>
      </c>
      <c r="E957" s="1" t="s">
        <v>57</v>
      </c>
      <c r="F957">
        <v>1</v>
      </c>
      <c r="G957" s="2">
        <v>46223</v>
      </c>
      <c r="H957" s="2">
        <v>46230</v>
      </c>
      <c r="I957">
        <v>208.38</v>
      </c>
      <c r="J957">
        <v>97.91</v>
      </c>
      <c r="K957">
        <v>88.12</v>
      </c>
      <c r="L957">
        <v>9.7899999999999991</v>
      </c>
      <c r="M957" s="1" t="s">
        <v>21</v>
      </c>
      <c r="N957" s="1" t="s">
        <v>22</v>
      </c>
      <c r="O957" s="2">
        <v>46262</v>
      </c>
      <c r="P957" s="2">
        <v>46262</v>
      </c>
      <c r="Q957">
        <f>_xlfn.XLOOKUP(E957,CPT!$A$2:$A$13,CPT!$D$2:$D$13)</f>
        <v>210</v>
      </c>
      <c r="R957" s="1">
        <f>_xlfn.XLOOKUP(C957,Contract!$A$2:$A$9,Contract!$B$2:$B$9)</f>
        <v>0.45</v>
      </c>
      <c r="S957" s="1">
        <f t="shared" si="56"/>
        <v>94.5</v>
      </c>
      <c r="T957" s="1">
        <f t="shared" si="57"/>
        <v>-3.4099999999999966</v>
      </c>
      <c r="U957" s="1" t="str">
        <f t="shared" si="58"/>
        <v>OK</v>
      </c>
      <c r="V957" s="1" t="str">
        <f>_xlfn.XLOOKUP(C957,Payers!$A$2:$A$9,Payers!$B$2:$B$9)</f>
        <v>Blue Horizon Commercial</v>
      </c>
      <c r="W957" s="1" t="str">
        <f t="shared" si="59"/>
        <v>2026-07</v>
      </c>
    </row>
    <row r="958" spans="1:23">
      <c r="A958" s="1" t="s">
        <v>1848</v>
      </c>
      <c r="B958" s="1" t="s">
        <v>1849</v>
      </c>
      <c r="C958" s="1" t="s">
        <v>36</v>
      </c>
      <c r="D958" s="1" t="s">
        <v>26</v>
      </c>
      <c r="E958" s="1" t="s">
        <v>27</v>
      </c>
      <c r="F958">
        <v>1</v>
      </c>
      <c r="G958" s="2">
        <v>46102</v>
      </c>
      <c r="H958" s="2">
        <v>46112</v>
      </c>
      <c r="I958">
        <v>246.84</v>
      </c>
      <c r="J958">
        <v>75.819999999999993</v>
      </c>
      <c r="K958">
        <v>68.239999999999995</v>
      </c>
      <c r="L958">
        <v>7.58</v>
      </c>
      <c r="M958" s="1" t="s">
        <v>21</v>
      </c>
      <c r="N958" s="1" t="s">
        <v>22</v>
      </c>
      <c r="O958" s="2">
        <v>46151</v>
      </c>
      <c r="P958" s="2">
        <v>46151</v>
      </c>
      <c r="Q958">
        <f>_xlfn.XLOOKUP(E958,CPT!$A$2:$A$13,CPT!$D$2:$D$13)</f>
        <v>240</v>
      </c>
      <c r="R958" s="1">
        <f>_xlfn.XLOOKUP(C958,Contract!$A$2:$A$9,Contract!$B$2:$B$9)</f>
        <v>0.27</v>
      </c>
      <c r="S958" s="1">
        <f t="shared" si="56"/>
        <v>64.8</v>
      </c>
      <c r="T958" s="1">
        <f t="shared" si="57"/>
        <v>-11.019999999999996</v>
      </c>
      <c r="U958" s="1" t="str">
        <f t="shared" si="58"/>
        <v>OK</v>
      </c>
      <c r="V958" s="1" t="str">
        <f>_xlfn.XLOOKUP(C958,Payers!$A$2:$A$9,Payers!$B$2:$B$9)</f>
        <v>Florida Medicaid</v>
      </c>
      <c r="W958" s="1" t="str">
        <f t="shared" si="59"/>
        <v>2026-03</v>
      </c>
    </row>
    <row r="959" spans="1:23">
      <c r="A959" s="1" t="s">
        <v>1850</v>
      </c>
      <c r="B959" s="1" t="s">
        <v>1851</v>
      </c>
      <c r="C959" s="1" t="s">
        <v>47</v>
      </c>
      <c r="D959" s="1" t="s">
        <v>26</v>
      </c>
      <c r="E959" s="1" t="s">
        <v>57</v>
      </c>
      <c r="F959">
        <v>1</v>
      </c>
      <c r="G959" s="2">
        <v>45944</v>
      </c>
      <c r="H959" s="2">
        <v>45945</v>
      </c>
      <c r="I959">
        <v>205.04</v>
      </c>
      <c r="J959">
        <v>61.05</v>
      </c>
      <c r="K959">
        <v>54.94</v>
      </c>
      <c r="L959">
        <v>6.11</v>
      </c>
      <c r="M959" s="1" t="s">
        <v>21</v>
      </c>
      <c r="N959" s="1" t="s">
        <v>22</v>
      </c>
      <c r="O959" s="2">
        <v>46010</v>
      </c>
      <c r="P959" s="2">
        <v>46010</v>
      </c>
      <c r="Q959">
        <f>_xlfn.XLOOKUP(E959,CPT!$A$2:$A$13,CPT!$D$2:$D$13)</f>
        <v>210</v>
      </c>
      <c r="R959" s="1">
        <f>_xlfn.XLOOKUP(C959,Contract!$A$2:$A$9,Contract!$B$2:$B$9)</f>
        <v>0.28000000000000003</v>
      </c>
      <c r="S959" s="1">
        <f t="shared" si="56"/>
        <v>58.8</v>
      </c>
      <c r="T959" s="1">
        <f t="shared" si="57"/>
        <v>-2.25</v>
      </c>
      <c r="U959" s="1" t="str">
        <f t="shared" si="58"/>
        <v>OK</v>
      </c>
      <c r="V959" s="1" t="str">
        <f>_xlfn.XLOOKUP(C959,Payers!$A$2:$A$9,Payers!$B$2:$B$9)</f>
        <v>Coastal Medicaid MCO</v>
      </c>
      <c r="W959" s="1" t="str">
        <f t="shared" si="59"/>
        <v>2025-10</v>
      </c>
    </row>
    <row r="960" spans="1:23">
      <c r="A960" s="1" t="s">
        <v>1852</v>
      </c>
      <c r="B960" s="1" t="s">
        <v>1853</v>
      </c>
      <c r="C960" s="1" t="s">
        <v>25</v>
      </c>
      <c r="D960" s="1" t="s">
        <v>19</v>
      </c>
      <c r="E960" s="1" t="s">
        <v>20</v>
      </c>
      <c r="F960">
        <v>1</v>
      </c>
      <c r="G960" s="2">
        <v>46007</v>
      </c>
      <c r="H960" s="2">
        <v>46032</v>
      </c>
      <c r="I960">
        <v>143.97</v>
      </c>
      <c r="M960" s="1" t="s">
        <v>32</v>
      </c>
      <c r="N960" s="1" t="s">
        <v>33</v>
      </c>
      <c r="O960" s="2">
        <v>46051</v>
      </c>
      <c r="P960" s="2"/>
      <c r="Q960">
        <f>_xlfn.XLOOKUP(E960,CPT!$A$2:$A$13,CPT!$D$2:$D$13)</f>
        <v>145</v>
      </c>
      <c r="R960" s="1">
        <f>_xlfn.XLOOKUP(C960,Contract!$A$2:$A$9,Contract!$B$2:$B$9)</f>
        <v>0.36</v>
      </c>
      <c r="S960" s="1">
        <f t="shared" si="56"/>
        <v>52.2</v>
      </c>
      <c r="T960" s="1" t="str">
        <f t="shared" si="57"/>
        <v/>
      </c>
      <c r="U960" s="1" t="str">
        <f t="shared" si="58"/>
        <v/>
      </c>
      <c r="V960" s="1" t="str">
        <f>_xlfn.XLOOKUP(C960,Payers!$A$2:$A$9,Payers!$B$2:$B$9)</f>
        <v>Medicare Part B</v>
      </c>
      <c r="W960" s="1" t="str">
        <f t="shared" si="59"/>
        <v>2025-12</v>
      </c>
    </row>
    <row r="961" spans="1:23">
      <c r="A961" s="1" t="s">
        <v>1854</v>
      </c>
      <c r="B961" s="1" t="s">
        <v>641</v>
      </c>
      <c r="C961" s="1" t="s">
        <v>18</v>
      </c>
      <c r="D961" s="1" t="s">
        <v>37</v>
      </c>
      <c r="E961" s="1" t="s">
        <v>57</v>
      </c>
      <c r="F961">
        <v>1</v>
      </c>
      <c r="G961" s="2">
        <v>46201</v>
      </c>
      <c r="H961" s="2">
        <v>46205</v>
      </c>
      <c r="I961">
        <v>213.76</v>
      </c>
      <c r="J961">
        <v>82.28</v>
      </c>
      <c r="K961">
        <v>74.05</v>
      </c>
      <c r="L961">
        <v>8.23</v>
      </c>
      <c r="M961" s="1" t="s">
        <v>21</v>
      </c>
      <c r="N961" s="1" t="s">
        <v>22</v>
      </c>
      <c r="O961" s="2">
        <v>46275</v>
      </c>
      <c r="P961" s="2">
        <v>46275</v>
      </c>
      <c r="Q961">
        <f>_xlfn.XLOOKUP(E961,CPT!$A$2:$A$13,CPT!$D$2:$D$13)</f>
        <v>210</v>
      </c>
      <c r="R961" s="1">
        <f>_xlfn.XLOOKUP(C961,Contract!$A$2:$A$9,Contract!$B$2:$B$9)</f>
        <v>0.38</v>
      </c>
      <c r="S961" s="1">
        <f t="shared" si="56"/>
        <v>79.8</v>
      </c>
      <c r="T961" s="1">
        <f t="shared" si="57"/>
        <v>-2.480000000000004</v>
      </c>
      <c r="U961" s="1" t="str">
        <f t="shared" si="58"/>
        <v>OK</v>
      </c>
      <c r="V961" s="1" t="str">
        <f>_xlfn.XLOOKUP(C961,Payers!$A$2:$A$9,Payers!$B$2:$B$9)</f>
        <v>Sunshine Medicare Advantage</v>
      </c>
      <c r="W961" s="1" t="str">
        <f t="shared" si="59"/>
        <v>2026-06</v>
      </c>
    </row>
    <row r="962" spans="1:23">
      <c r="A962" s="1" t="s">
        <v>1855</v>
      </c>
      <c r="B962" s="1" t="s">
        <v>1856</v>
      </c>
      <c r="C962" s="1" t="s">
        <v>76</v>
      </c>
      <c r="D962" s="1" t="s">
        <v>26</v>
      </c>
      <c r="E962" s="1" t="s">
        <v>27</v>
      </c>
      <c r="F962">
        <v>1</v>
      </c>
      <c r="G962" s="2">
        <v>46055</v>
      </c>
      <c r="H962" s="2">
        <v>46062</v>
      </c>
      <c r="I962">
        <v>237.53</v>
      </c>
      <c r="J962">
        <v>93.04</v>
      </c>
      <c r="K962">
        <v>93.04</v>
      </c>
      <c r="L962">
        <v>0</v>
      </c>
      <c r="M962" s="1" t="s">
        <v>21</v>
      </c>
      <c r="N962" s="1" t="s">
        <v>22</v>
      </c>
      <c r="O962" s="2">
        <v>46083</v>
      </c>
      <c r="P962" s="2">
        <v>46083</v>
      </c>
      <c r="Q962">
        <f>_xlfn.XLOOKUP(E962,CPT!$A$2:$A$13,CPT!$D$2:$D$13)</f>
        <v>240</v>
      </c>
      <c r="R962" s="1">
        <f>_xlfn.XLOOKUP(C962,Contract!$A$2:$A$9,Contract!$B$2:$B$9)</f>
        <v>0.43</v>
      </c>
      <c r="S962" s="1">
        <f t="shared" ref="S962:S1025" si="60">ROUND(Q962*F962*R962,2)</f>
        <v>103.2</v>
      </c>
      <c r="T962" s="1">
        <f t="shared" ref="T962:T1025" si="61">IF(M962="Paid",S962-J962,"")</f>
        <v>10.159999999999997</v>
      </c>
      <c r="U962" s="1" t="str">
        <f t="shared" ref="U962:U1025" si="62">IF(M962&lt;&gt;"Paid","",IF(T962&gt;S962*0.05,"Underpaid","OK"))</f>
        <v>Underpaid</v>
      </c>
      <c r="V962" s="1" t="str">
        <f>_xlfn.XLOOKUP(C962,Payers!$A$2:$A$9,Payers!$B$2:$B$9)</f>
        <v>Summit Health Commercial</v>
      </c>
      <c r="W962" s="1" t="str">
        <f t="shared" ref="W962:W1025" si="63">TEXT(G962,"yyyy-mm")</f>
        <v>2026-02</v>
      </c>
    </row>
    <row r="963" spans="1:23">
      <c r="A963" s="1" t="s">
        <v>1857</v>
      </c>
      <c r="B963" s="1" t="s">
        <v>1858</v>
      </c>
      <c r="C963" s="1" t="s">
        <v>76</v>
      </c>
      <c r="D963" s="1" t="s">
        <v>37</v>
      </c>
      <c r="E963" s="1" t="s">
        <v>48</v>
      </c>
      <c r="F963">
        <v>1</v>
      </c>
      <c r="G963" s="2">
        <v>46111</v>
      </c>
      <c r="H963" s="2">
        <v>46112</v>
      </c>
      <c r="I963">
        <v>421.52</v>
      </c>
      <c r="J963">
        <v>179.31</v>
      </c>
      <c r="K963">
        <v>179.31</v>
      </c>
      <c r="L963">
        <v>0</v>
      </c>
      <c r="M963" s="1" t="s">
        <v>21</v>
      </c>
      <c r="N963" s="1" t="s">
        <v>22</v>
      </c>
      <c r="O963" s="2">
        <v>46167</v>
      </c>
      <c r="P963" s="2">
        <v>46167</v>
      </c>
      <c r="Q963">
        <f>_xlfn.XLOOKUP(E963,CPT!$A$2:$A$13,CPT!$D$2:$D$13)</f>
        <v>420</v>
      </c>
      <c r="R963" s="1">
        <f>_xlfn.XLOOKUP(C963,Contract!$A$2:$A$9,Contract!$B$2:$B$9)</f>
        <v>0.43</v>
      </c>
      <c r="S963" s="1">
        <f t="shared" si="60"/>
        <v>180.6</v>
      </c>
      <c r="T963" s="1">
        <f t="shared" si="61"/>
        <v>1.289999999999992</v>
      </c>
      <c r="U963" s="1" t="str">
        <f t="shared" si="62"/>
        <v>OK</v>
      </c>
      <c r="V963" s="1" t="str">
        <f>_xlfn.XLOOKUP(C963,Payers!$A$2:$A$9,Payers!$B$2:$B$9)</f>
        <v>Summit Health Commercial</v>
      </c>
      <c r="W963" s="1" t="str">
        <f t="shared" si="63"/>
        <v>2026-03</v>
      </c>
    </row>
    <row r="964" spans="1:23">
      <c r="A964" s="1" t="s">
        <v>1859</v>
      </c>
      <c r="B964" s="1" t="s">
        <v>1860</v>
      </c>
      <c r="C964" s="1" t="s">
        <v>25</v>
      </c>
      <c r="D964" s="1" t="s">
        <v>37</v>
      </c>
      <c r="E964" s="1" t="s">
        <v>38</v>
      </c>
      <c r="F964">
        <v>10</v>
      </c>
      <c r="G964" s="2">
        <v>45995</v>
      </c>
      <c r="H964" s="2">
        <v>45998</v>
      </c>
      <c r="I964">
        <v>14740.51</v>
      </c>
      <c r="J964">
        <v>4709.18</v>
      </c>
      <c r="K964">
        <v>4238.26</v>
      </c>
      <c r="L964">
        <v>470.92</v>
      </c>
      <c r="M964" s="1" t="s">
        <v>21</v>
      </c>
      <c r="N964" s="1" t="s">
        <v>22</v>
      </c>
      <c r="O964" s="2">
        <v>46015</v>
      </c>
      <c r="P964" s="2">
        <v>46015</v>
      </c>
      <c r="Q964">
        <f>_xlfn.XLOOKUP(E964,CPT!$A$2:$A$13,CPT!$D$2:$D$13)</f>
        <v>1450</v>
      </c>
      <c r="R964" s="1">
        <f>_xlfn.XLOOKUP(C964,Contract!$A$2:$A$9,Contract!$B$2:$B$9)</f>
        <v>0.36</v>
      </c>
      <c r="S964" s="1">
        <f t="shared" si="60"/>
        <v>5220</v>
      </c>
      <c r="T964" s="1">
        <f t="shared" si="61"/>
        <v>510.81999999999971</v>
      </c>
      <c r="U964" s="1" t="str">
        <f t="shared" si="62"/>
        <v>Underpaid</v>
      </c>
      <c r="V964" s="1" t="str">
        <f>_xlfn.XLOOKUP(C964,Payers!$A$2:$A$9,Payers!$B$2:$B$9)</f>
        <v>Medicare Part B</v>
      </c>
      <c r="W964" s="1" t="str">
        <f t="shared" si="63"/>
        <v>2025-12</v>
      </c>
    </row>
    <row r="965" spans="1:23">
      <c r="A965" s="1" t="s">
        <v>1861</v>
      </c>
      <c r="B965" s="1" t="s">
        <v>1761</v>
      </c>
      <c r="C965" s="1" t="s">
        <v>52</v>
      </c>
      <c r="D965" s="1" t="s">
        <v>26</v>
      </c>
      <c r="E965" s="1" t="s">
        <v>113</v>
      </c>
      <c r="F965">
        <v>1</v>
      </c>
      <c r="G965" s="2">
        <v>46006</v>
      </c>
      <c r="H965" s="2">
        <v>46011</v>
      </c>
      <c r="I965">
        <v>1054.79</v>
      </c>
      <c r="J965">
        <v>560.39</v>
      </c>
      <c r="K965">
        <v>448.31</v>
      </c>
      <c r="L965">
        <v>112.08</v>
      </c>
      <c r="M965" s="1" t="s">
        <v>21</v>
      </c>
      <c r="N965" s="1" t="s">
        <v>22</v>
      </c>
      <c r="O965" s="2">
        <v>46067</v>
      </c>
      <c r="P965" s="2">
        <v>46067</v>
      </c>
      <c r="Q965">
        <f>_xlfn.XLOOKUP(E965,CPT!$A$2:$A$13,CPT!$D$2:$D$13)</f>
        <v>1050</v>
      </c>
      <c r="R965" s="1">
        <f>_xlfn.XLOOKUP(C965,Contract!$A$2:$A$9,Contract!$B$2:$B$9)</f>
        <v>0.47</v>
      </c>
      <c r="S965" s="1">
        <f t="shared" si="60"/>
        <v>493.5</v>
      </c>
      <c r="T965" s="1">
        <f t="shared" si="61"/>
        <v>-66.889999999999986</v>
      </c>
      <c r="U965" s="1" t="str">
        <f t="shared" si="62"/>
        <v>OK</v>
      </c>
      <c r="V965" s="1" t="str">
        <f>_xlfn.XLOOKUP(C965,Payers!$A$2:$A$9,Payers!$B$2:$B$9)</f>
        <v>Keystone Commercial PPO</v>
      </c>
      <c r="W965" s="1" t="str">
        <f t="shared" si="63"/>
        <v>2025-12</v>
      </c>
    </row>
    <row r="966" spans="1:23">
      <c r="A966" s="1" t="s">
        <v>1862</v>
      </c>
      <c r="B966" s="1" t="s">
        <v>748</v>
      </c>
      <c r="C966" s="1" t="s">
        <v>76</v>
      </c>
      <c r="D966" s="1" t="s">
        <v>26</v>
      </c>
      <c r="E966" s="1" t="s">
        <v>113</v>
      </c>
      <c r="F966">
        <v>1</v>
      </c>
      <c r="G966" s="2">
        <v>46214</v>
      </c>
      <c r="H966" s="2">
        <v>46217</v>
      </c>
      <c r="I966">
        <v>1063.32</v>
      </c>
      <c r="M966" s="1" t="s">
        <v>32</v>
      </c>
      <c r="N966" s="1" t="s">
        <v>168</v>
      </c>
      <c r="O966" s="2">
        <v>46254</v>
      </c>
      <c r="P966" s="2"/>
      <c r="Q966">
        <f>_xlfn.XLOOKUP(E966,CPT!$A$2:$A$13,CPT!$D$2:$D$13)</f>
        <v>1050</v>
      </c>
      <c r="R966" s="1">
        <f>_xlfn.XLOOKUP(C966,Contract!$A$2:$A$9,Contract!$B$2:$B$9)</f>
        <v>0.43</v>
      </c>
      <c r="S966" s="1">
        <f t="shared" si="60"/>
        <v>451.5</v>
      </c>
      <c r="T966" s="1" t="str">
        <f t="shared" si="61"/>
        <v/>
      </c>
      <c r="U966" s="1" t="str">
        <f t="shared" si="62"/>
        <v/>
      </c>
      <c r="V966" s="1" t="str">
        <f>_xlfn.XLOOKUP(C966,Payers!$A$2:$A$9,Payers!$B$2:$B$9)</f>
        <v>Summit Health Commercial</v>
      </c>
      <c r="W966" s="1" t="str">
        <f t="shared" si="63"/>
        <v>2026-07</v>
      </c>
    </row>
    <row r="967" spans="1:23">
      <c r="A967" s="1" t="s">
        <v>1863</v>
      </c>
      <c r="B967" s="1" t="s">
        <v>542</v>
      </c>
      <c r="C967" s="1" t="s">
        <v>60</v>
      </c>
      <c r="D967" s="1" t="s">
        <v>30</v>
      </c>
      <c r="E967" s="1" t="s">
        <v>91</v>
      </c>
      <c r="F967">
        <v>3</v>
      </c>
      <c r="G967" s="2">
        <v>46287</v>
      </c>
      <c r="H967" s="2">
        <v>46289</v>
      </c>
      <c r="I967">
        <v>171.3</v>
      </c>
      <c r="M967" s="1" t="s">
        <v>69</v>
      </c>
      <c r="N967" s="1" t="s">
        <v>22</v>
      </c>
      <c r="O967" s="2"/>
      <c r="P967" s="2"/>
      <c r="Q967">
        <f>_xlfn.XLOOKUP(E967,CPT!$A$2:$A$13,CPT!$D$2:$D$13)</f>
        <v>58</v>
      </c>
      <c r="R967" s="1">
        <f>_xlfn.XLOOKUP(C967,Contract!$A$2:$A$9,Contract!$B$2:$B$9)</f>
        <v>0.45</v>
      </c>
      <c r="S967" s="1">
        <f t="shared" si="60"/>
        <v>78.3</v>
      </c>
      <c r="T967" s="1" t="str">
        <f t="shared" si="61"/>
        <v/>
      </c>
      <c r="U967" s="1" t="str">
        <f t="shared" si="62"/>
        <v/>
      </c>
      <c r="V967" s="1" t="str">
        <f>_xlfn.XLOOKUP(C967,Payers!$A$2:$A$9,Payers!$B$2:$B$9)</f>
        <v>Blue Horizon Commercial</v>
      </c>
      <c r="W967" s="1" t="str">
        <f t="shared" si="63"/>
        <v>2026-09</v>
      </c>
    </row>
    <row r="968" spans="1:23">
      <c r="A968" s="1" t="s">
        <v>1864</v>
      </c>
      <c r="B968" s="1" t="s">
        <v>756</v>
      </c>
      <c r="C968" s="1" t="s">
        <v>60</v>
      </c>
      <c r="D968" s="1" t="s">
        <v>19</v>
      </c>
      <c r="E968" s="1" t="s">
        <v>20</v>
      </c>
      <c r="F968">
        <v>1</v>
      </c>
      <c r="G968" s="2">
        <v>46112</v>
      </c>
      <c r="H968" s="2">
        <v>46122</v>
      </c>
      <c r="I968">
        <v>148.91</v>
      </c>
      <c r="J968">
        <v>72.03</v>
      </c>
      <c r="K968">
        <v>72.03</v>
      </c>
      <c r="L968">
        <v>0</v>
      </c>
      <c r="M968" s="1" t="s">
        <v>21</v>
      </c>
      <c r="N968" s="1" t="s">
        <v>22</v>
      </c>
      <c r="O968" s="2">
        <v>46136</v>
      </c>
      <c r="P968" s="2">
        <v>46136</v>
      </c>
      <c r="Q968">
        <f>_xlfn.XLOOKUP(E968,CPT!$A$2:$A$13,CPT!$D$2:$D$13)</f>
        <v>145</v>
      </c>
      <c r="R968" s="1">
        <f>_xlfn.XLOOKUP(C968,Contract!$A$2:$A$9,Contract!$B$2:$B$9)</f>
        <v>0.45</v>
      </c>
      <c r="S968" s="1">
        <f t="shared" si="60"/>
        <v>65.25</v>
      </c>
      <c r="T968" s="1">
        <f t="shared" si="61"/>
        <v>-6.7800000000000011</v>
      </c>
      <c r="U968" s="1" t="str">
        <f t="shared" si="62"/>
        <v>OK</v>
      </c>
      <c r="V968" s="1" t="str">
        <f>_xlfn.XLOOKUP(C968,Payers!$A$2:$A$9,Payers!$B$2:$B$9)</f>
        <v>Blue Horizon Commercial</v>
      </c>
      <c r="W968" s="1" t="str">
        <f t="shared" si="63"/>
        <v>2026-03</v>
      </c>
    </row>
    <row r="969" spans="1:23">
      <c r="A969" s="1" t="s">
        <v>1865</v>
      </c>
      <c r="B969" s="1" t="s">
        <v>1866</v>
      </c>
      <c r="C969" s="1" t="s">
        <v>25</v>
      </c>
      <c r="D969" s="1" t="s">
        <v>26</v>
      </c>
      <c r="E969" s="1" t="s">
        <v>44</v>
      </c>
      <c r="F969">
        <v>1</v>
      </c>
      <c r="G969" s="2">
        <v>46191</v>
      </c>
      <c r="H969" s="2">
        <v>46201</v>
      </c>
      <c r="I969">
        <v>4680.13</v>
      </c>
      <c r="J969">
        <v>1616.64</v>
      </c>
      <c r="K969">
        <v>1293.31</v>
      </c>
      <c r="L969">
        <v>323.33</v>
      </c>
      <c r="M969" s="1" t="s">
        <v>21</v>
      </c>
      <c r="N969" s="1" t="s">
        <v>22</v>
      </c>
      <c r="O969" s="2">
        <v>46222</v>
      </c>
      <c r="P969" s="2">
        <v>46222</v>
      </c>
      <c r="Q969">
        <f>_xlfn.XLOOKUP(E969,CPT!$A$2:$A$13,CPT!$D$2:$D$13)</f>
        <v>4800</v>
      </c>
      <c r="R969" s="1">
        <f>_xlfn.XLOOKUP(C969,Contract!$A$2:$A$9,Contract!$B$2:$B$9)</f>
        <v>0.36</v>
      </c>
      <c r="S969" s="1">
        <f t="shared" si="60"/>
        <v>1728</v>
      </c>
      <c r="T969" s="1">
        <f t="shared" si="61"/>
        <v>111.3599999999999</v>
      </c>
      <c r="U969" s="1" t="str">
        <f t="shared" si="62"/>
        <v>Underpaid</v>
      </c>
      <c r="V969" s="1" t="str">
        <f>_xlfn.XLOOKUP(C969,Payers!$A$2:$A$9,Payers!$B$2:$B$9)</f>
        <v>Medicare Part B</v>
      </c>
      <c r="W969" s="1" t="str">
        <f t="shared" si="63"/>
        <v>2026-06</v>
      </c>
    </row>
    <row r="970" spans="1:23">
      <c r="A970" s="1" t="s">
        <v>1867</v>
      </c>
      <c r="B970" s="1" t="s">
        <v>1868</v>
      </c>
      <c r="C970" s="1" t="s">
        <v>52</v>
      </c>
      <c r="D970" s="1" t="s">
        <v>26</v>
      </c>
      <c r="E970" s="1" t="s">
        <v>57</v>
      </c>
      <c r="F970">
        <v>1</v>
      </c>
      <c r="G970" s="2">
        <v>46232</v>
      </c>
      <c r="H970" s="2">
        <v>46238</v>
      </c>
      <c r="I970">
        <v>207.22</v>
      </c>
      <c r="M970" s="1" t="s">
        <v>69</v>
      </c>
      <c r="N970" s="1" t="s">
        <v>22</v>
      </c>
      <c r="O970" s="2"/>
      <c r="P970" s="2"/>
      <c r="Q970">
        <f>_xlfn.XLOOKUP(E970,CPT!$A$2:$A$13,CPT!$D$2:$D$13)</f>
        <v>210</v>
      </c>
      <c r="R970" s="1">
        <f>_xlfn.XLOOKUP(C970,Contract!$A$2:$A$9,Contract!$B$2:$B$9)</f>
        <v>0.47</v>
      </c>
      <c r="S970" s="1">
        <f t="shared" si="60"/>
        <v>98.7</v>
      </c>
      <c r="T970" s="1" t="str">
        <f t="shared" si="61"/>
        <v/>
      </c>
      <c r="U970" s="1" t="str">
        <f t="shared" si="62"/>
        <v/>
      </c>
      <c r="V970" s="1" t="str">
        <f>_xlfn.XLOOKUP(C970,Payers!$A$2:$A$9,Payers!$B$2:$B$9)</f>
        <v>Keystone Commercial PPO</v>
      </c>
      <c r="W970" s="1" t="str">
        <f t="shared" si="63"/>
        <v>2026-07</v>
      </c>
    </row>
    <row r="971" spans="1:23">
      <c r="A971" s="1" t="s">
        <v>1869</v>
      </c>
      <c r="B971" s="1" t="s">
        <v>1870</v>
      </c>
      <c r="C971" s="1" t="s">
        <v>76</v>
      </c>
      <c r="D971" s="1" t="s">
        <v>19</v>
      </c>
      <c r="E971" s="1" t="s">
        <v>41</v>
      </c>
      <c r="F971">
        <v>1</v>
      </c>
      <c r="G971" s="2">
        <v>46127</v>
      </c>
      <c r="H971" s="2">
        <v>46128</v>
      </c>
      <c r="I971">
        <v>37.590000000000003</v>
      </c>
      <c r="J971">
        <v>17.64</v>
      </c>
      <c r="K971">
        <v>17.64</v>
      </c>
      <c r="L971">
        <v>0</v>
      </c>
      <c r="M971" s="1" t="s">
        <v>21</v>
      </c>
      <c r="N971" s="1" t="s">
        <v>22</v>
      </c>
      <c r="O971" s="2">
        <v>46163</v>
      </c>
      <c r="P971" s="2">
        <v>46163</v>
      </c>
      <c r="Q971">
        <f>_xlfn.XLOOKUP(E971,CPT!$A$2:$A$13,CPT!$D$2:$D$13)</f>
        <v>38</v>
      </c>
      <c r="R971" s="1">
        <f>_xlfn.XLOOKUP(C971,Contract!$A$2:$A$9,Contract!$B$2:$B$9)</f>
        <v>0.43</v>
      </c>
      <c r="S971" s="1">
        <f t="shared" si="60"/>
        <v>16.34</v>
      </c>
      <c r="T971" s="1">
        <f t="shared" si="61"/>
        <v>-1.3000000000000007</v>
      </c>
      <c r="U971" s="1" t="str">
        <f t="shared" si="62"/>
        <v>OK</v>
      </c>
      <c r="V971" s="1" t="str">
        <f>_xlfn.XLOOKUP(C971,Payers!$A$2:$A$9,Payers!$B$2:$B$9)</f>
        <v>Summit Health Commercial</v>
      </c>
      <c r="W971" s="1" t="str">
        <f t="shared" si="63"/>
        <v>2026-04</v>
      </c>
    </row>
    <row r="972" spans="1:23">
      <c r="A972" s="1" t="s">
        <v>1871</v>
      </c>
      <c r="B972" s="1" t="s">
        <v>1531</v>
      </c>
      <c r="C972" s="1" t="s">
        <v>60</v>
      </c>
      <c r="D972" s="1" t="s">
        <v>19</v>
      </c>
      <c r="E972" s="1" t="s">
        <v>88</v>
      </c>
      <c r="F972">
        <v>1</v>
      </c>
      <c r="G972" s="2">
        <v>46076</v>
      </c>
      <c r="H972" s="2">
        <v>46078</v>
      </c>
      <c r="I972">
        <v>254.78</v>
      </c>
      <c r="J972">
        <v>104.79</v>
      </c>
      <c r="K972">
        <v>94.31</v>
      </c>
      <c r="L972">
        <v>10.48</v>
      </c>
      <c r="M972" s="1" t="s">
        <v>21</v>
      </c>
      <c r="N972" s="1" t="s">
        <v>22</v>
      </c>
      <c r="O972" s="2">
        <v>46115</v>
      </c>
      <c r="P972" s="2">
        <v>46115</v>
      </c>
      <c r="Q972">
        <f>_xlfn.XLOOKUP(E972,CPT!$A$2:$A$13,CPT!$D$2:$D$13)</f>
        <v>260</v>
      </c>
      <c r="R972" s="1">
        <f>_xlfn.XLOOKUP(C972,Contract!$A$2:$A$9,Contract!$B$2:$B$9)</f>
        <v>0.45</v>
      </c>
      <c r="S972" s="1">
        <f t="shared" si="60"/>
        <v>117</v>
      </c>
      <c r="T972" s="1">
        <f t="shared" si="61"/>
        <v>12.209999999999994</v>
      </c>
      <c r="U972" s="1" t="str">
        <f t="shared" si="62"/>
        <v>Underpaid</v>
      </c>
      <c r="V972" s="1" t="str">
        <f>_xlfn.XLOOKUP(C972,Payers!$A$2:$A$9,Payers!$B$2:$B$9)</f>
        <v>Blue Horizon Commercial</v>
      </c>
      <c r="W972" s="1" t="str">
        <f t="shared" si="63"/>
        <v>2026-02</v>
      </c>
    </row>
    <row r="973" spans="1:23">
      <c r="A973" s="1" t="s">
        <v>1872</v>
      </c>
      <c r="B973" s="1" t="s">
        <v>1873</v>
      </c>
      <c r="C973" s="1" t="s">
        <v>25</v>
      </c>
      <c r="D973" s="1" t="s">
        <v>37</v>
      </c>
      <c r="E973" s="1" t="s">
        <v>38</v>
      </c>
      <c r="F973">
        <v>5</v>
      </c>
      <c r="G973" s="2">
        <v>46003</v>
      </c>
      <c r="H973" s="2">
        <v>46011</v>
      </c>
      <c r="I973">
        <v>7122.48</v>
      </c>
      <c r="J973">
        <v>2187.0500000000002</v>
      </c>
      <c r="K973">
        <v>2187.0500000000002</v>
      </c>
      <c r="L973">
        <v>0</v>
      </c>
      <c r="M973" s="1" t="s">
        <v>21</v>
      </c>
      <c r="N973" s="1" t="s">
        <v>22</v>
      </c>
      <c r="O973" s="2">
        <v>46040</v>
      </c>
      <c r="P973" s="2">
        <v>46040</v>
      </c>
      <c r="Q973">
        <f>_xlfn.XLOOKUP(E973,CPT!$A$2:$A$13,CPT!$D$2:$D$13)</f>
        <v>1450</v>
      </c>
      <c r="R973" s="1">
        <f>_xlfn.XLOOKUP(C973,Contract!$A$2:$A$9,Contract!$B$2:$B$9)</f>
        <v>0.36</v>
      </c>
      <c r="S973" s="1">
        <f t="shared" si="60"/>
        <v>2610</v>
      </c>
      <c r="T973" s="1">
        <f t="shared" si="61"/>
        <v>422.94999999999982</v>
      </c>
      <c r="U973" s="1" t="str">
        <f t="shared" si="62"/>
        <v>Underpaid</v>
      </c>
      <c r="V973" s="1" t="str">
        <f>_xlfn.XLOOKUP(C973,Payers!$A$2:$A$9,Payers!$B$2:$B$9)</f>
        <v>Medicare Part B</v>
      </c>
      <c r="W973" s="1" t="str">
        <f t="shared" si="63"/>
        <v>2025-12</v>
      </c>
    </row>
    <row r="974" spans="1:23">
      <c r="A974" s="1" t="s">
        <v>1874</v>
      </c>
      <c r="B974" s="1" t="s">
        <v>1402</v>
      </c>
      <c r="C974" s="1" t="s">
        <v>60</v>
      </c>
      <c r="D974" s="1" t="s">
        <v>19</v>
      </c>
      <c r="E974" s="1" t="s">
        <v>57</v>
      </c>
      <c r="F974">
        <v>1</v>
      </c>
      <c r="G974" s="2">
        <v>45944</v>
      </c>
      <c r="H974" s="2">
        <v>45946</v>
      </c>
      <c r="I974">
        <v>208.36</v>
      </c>
      <c r="J974">
        <v>91.62</v>
      </c>
      <c r="K974">
        <v>73.3</v>
      </c>
      <c r="L974">
        <v>18.32</v>
      </c>
      <c r="M974" s="1" t="s">
        <v>21</v>
      </c>
      <c r="N974" s="1" t="s">
        <v>22</v>
      </c>
      <c r="O974" s="2">
        <v>45969</v>
      </c>
      <c r="P974" s="2">
        <v>45969</v>
      </c>
      <c r="Q974">
        <f>_xlfn.XLOOKUP(E974,CPT!$A$2:$A$13,CPT!$D$2:$D$13)</f>
        <v>210</v>
      </c>
      <c r="R974" s="1">
        <f>_xlfn.XLOOKUP(C974,Contract!$A$2:$A$9,Contract!$B$2:$B$9)</f>
        <v>0.45</v>
      </c>
      <c r="S974" s="1">
        <f t="shared" si="60"/>
        <v>94.5</v>
      </c>
      <c r="T974" s="1">
        <f t="shared" si="61"/>
        <v>2.8799999999999955</v>
      </c>
      <c r="U974" s="1" t="str">
        <f t="shared" si="62"/>
        <v>OK</v>
      </c>
      <c r="V974" s="1" t="str">
        <f>_xlfn.XLOOKUP(C974,Payers!$A$2:$A$9,Payers!$B$2:$B$9)</f>
        <v>Blue Horizon Commercial</v>
      </c>
      <c r="W974" s="1" t="str">
        <f t="shared" si="63"/>
        <v>2025-10</v>
      </c>
    </row>
    <row r="975" spans="1:23">
      <c r="A975" s="1" t="s">
        <v>1875</v>
      </c>
      <c r="B975" s="1" t="s">
        <v>1876</v>
      </c>
      <c r="C975" s="1" t="s">
        <v>18</v>
      </c>
      <c r="D975" s="1" t="s">
        <v>30</v>
      </c>
      <c r="E975" s="1" t="s">
        <v>20</v>
      </c>
      <c r="F975">
        <v>1</v>
      </c>
      <c r="G975" s="2">
        <v>45992</v>
      </c>
      <c r="H975" s="2">
        <v>45995</v>
      </c>
      <c r="I975">
        <v>144.52000000000001</v>
      </c>
      <c r="J975">
        <v>63.76</v>
      </c>
      <c r="K975">
        <v>63.76</v>
      </c>
      <c r="L975">
        <v>0</v>
      </c>
      <c r="M975" s="1" t="s">
        <v>21</v>
      </c>
      <c r="N975" s="1" t="s">
        <v>22</v>
      </c>
      <c r="O975" s="2">
        <v>46049</v>
      </c>
      <c r="P975" s="2">
        <v>46049</v>
      </c>
      <c r="Q975">
        <f>_xlfn.XLOOKUP(E975,CPT!$A$2:$A$13,CPT!$D$2:$D$13)</f>
        <v>145</v>
      </c>
      <c r="R975" s="1">
        <f>_xlfn.XLOOKUP(C975,Contract!$A$2:$A$9,Contract!$B$2:$B$9)</f>
        <v>0.38</v>
      </c>
      <c r="S975" s="1">
        <f t="shared" si="60"/>
        <v>55.1</v>
      </c>
      <c r="T975" s="1">
        <f t="shared" si="61"/>
        <v>-8.6599999999999966</v>
      </c>
      <c r="U975" s="1" t="str">
        <f t="shared" si="62"/>
        <v>OK</v>
      </c>
      <c r="V975" s="1" t="str">
        <f>_xlfn.XLOOKUP(C975,Payers!$A$2:$A$9,Payers!$B$2:$B$9)</f>
        <v>Sunshine Medicare Advantage</v>
      </c>
      <c r="W975" s="1" t="str">
        <f t="shared" si="63"/>
        <v>2025-12</v>
      </c>
    </row>
    <row r="976" spans="1:23">
      <c r="A976" s="1" t="s">
        <v>1877</v>
      </c>
      <c r="B976" s="1" t="s">
        <v>1878</v>
      </c>
      <c r="C976" s="1" t="s">
        <v>36</v>
      </c>
      <c r="D976" s="1" t="s">
        <v>30</v>
      </c>
      <c r="E976" s="1" t="s">
        <v>20</v>
      </c>
      <c r="F976">
        <v>1</v>
      </c>
      <c r="G976" s="2">
        <v>45969</v>
      </c>
      <c r="H976" s="2">
        <v>45972</v>
      </c>
      <c r="I976">
        <v>143.5</v>
      </c>
      <c r="J976">
        <v>38.9</v>
      </c>
      <c r="K976">
        <v>35.01</v>
      </c>
      <c r="L976">
        <v>3.89</v>
      </c>
      <c r="M976" s="1" t="s">
        <v>21</v>
      </c>
      <c r="N976" s="1" t="s">
        <v>22</v>
      </c>
      <c r="O976" s="2">
        <v>46015</v>
      </c>
      <c r="P976" s="2">
        <v>46015</v>
      </c>
      <c r="Q976">
        <f>_xlfn.XLOOKUP(E976,CPT!$A$2:$A$13,CPT!$D$2:$D$13)</f>
        <v>145</v>
      </c>
      <c r="R976" s="1">
        <f>_xlfn.XLOOKUP(C976,Contract!$A$2:$A$9,Contract!$B$2:$B$9)</f>
        <v>0.27</v>
      </c>
      <c r="S976" s="1">
        <f t="shared" si="60"/>
        <v>39.15</v>
      </c>
      <c r="T976" s="1">
        <f t="shared" si="61"/>
        <v>0.25</v>
      </c>
      <c r="U976" s="1" t="str">
        <f t="shared" si="62"/>
        <v>OK</v>
      </c>
      <c r="V976" s="1" t="str">
        <f>_xlfn.XLOOKUP(C976,Payers!$A$2:$A$9,Payers!$B$2:$B$9)</f>
        <v>Florida Medicaid</v>
      </c>
      <c r="W976" s="1" t="str">
        <f t="shared" si="63"/>
        <v>2025-11</v>
      </c>
    </row>
    <row r="977" spans="1:23">
      <c r="A977" s="1" t="s">
        <v>1879</v>
      </c>
      <c r="B977" s="1" t="s">
        <v>1880</v>
      </c>
      <c r="C977" s="1" t="s">
        <v>60</v>
      </c>
      <c r="D977" s="1" t="s">
        <v>19</v>
      </c>
      <c r="E977" s="1" t="s">
        <v>88</v>
      </c>
      <c r="F977">
        <v>1</v>
      </c>
      <c r="G977" s="2">
        <v>46216</v>
      </c>
      <c r="H977" s="2">
        <v>46225</v>
      </c>
      <c r="I977">
        <v>262.51</v>
      </c>
      <c r="M977" s="1" t="s">
        <v>32</v>
      </c>
      <c r="N977" s="1" t="s">
        <v>98</v>
      </c>
      <c r="O977" s="2">
        <v>46240</v>
      </c>
      <c r="P977" s="2"/>
      <c r="Q977">
        <f>_xlfn.XLOOKUP(E977,CPT!$A$2:$A$13,CPT!$D$2:$D$13)</f>
        <v>260</v>
      </c>
      <c r="R977" s="1">
        <f>_xlfn.XLOOKUP(C977,Contract!$A$2:$A$9,Contract!$B$2:$B$9)</f>
        <v>0.45</v>
      </c>
      <c r="S977" s="1">
        <f t="shared" si="60"/>
        <v>117</v>
      </c>
      <c r="T977" s="1" t="str">
        <f t="shared" si="61"/>
        <v/>
      </c>
      <c r="U977" s="1" t="str">
        <f t="shared" si="62"/>
        <v/>
      </c>
      <c r="V977" s="1" t="str">
        <f>_xlfn.XLOOKUP(C977,Payers!$A$2:$A$9,Payers!$B$2:$B$9)</f>
        <v>Blue Horizon Commercial</v>
      </c>
      <c r="W977" s="1" t="str">
        <f t="shared" si="63"/>
        <v>2026-07</v>
      </c>
    </row>
    <row r="978" spans="1:23">
      <c r="A978" s="1" t="s">
        <v>1881</v>
      </c>
      <c r="B978" s="1" t="s">
        <v>1882</v>
      </c>
      <c r="C978" s="1" t="s">
        <v>18</v>
      </c>
      <c r="D978" s="1" t="s">
        <v>30</v>
      </c>
      <c r="E978" s="1" t="s">
        <v>31</v>
      </c>
      <c r="F978">
        <v>2</v>
      </c>
      <c r="G978" s="2">
        <v>46066</v>
      </c>
      <c r="H978" s="2">
        <v>46073</v>
      </c>
      <c r="I978">
        <v>121.41</v>
      </c>
      <c r="J978">
        <v>42.08</v>
      </c>
      <c r="K978">
        <v>42.08</v>
      </c>
      <c r="L978">
        <v>0</v>
      </c>
      <c r="M978" s="1" t="s">
        <v>21</v>
      </c>
      <c r="N978" s="1" t="s">
        <v>22</v>
      </c>
      <c r="O978" s="2">
        <v>46152</v>
      </c>
      <c r="P978" s="2">
        <v>46152</v>
      </c>
      <c r="Q978">
        <f>_xlfn.XLOOKUP(E978,CPT!$A$2:$A$13,CPT!$D$2:$D$13)</f>
        <v>62</v>
      </c>
      <c r="R978" s="1">
        <f>_xlfn.XLOOKUP(C978,Contract!$A$2:$A$9,Contract!$B$2:$B$9)</f>
        <v>0.38</v>
      </c>
      <c r="S978" s="1">
        <f t="shared" si="60"/>
        <v>47.12</v>
      </c>
      <c r="T978" s="1">
        <f t="shared" si="61"/>
        <v>5.0399999999999991</v>
      </c>
      <c r="U978" s="1" t="str">
        <f t="shared" si="62"/>
        <v>Underpaid</v>
      </c>
      <c r="V978" s="1" t="str">
        <f>_xlfn.XLOOKUP(C978,Payers!$A$2:$A$9,Payers!$B$2:$B$9)</f>
        <v>Sunshine Medicare Advantage</v>
      </c>
      <c r="W978" s="1" t="str">
        <f t="shared" si="63"/>
        <v>2026-02</v>
      </c>
    </row>
    <row r="979" spans="1:23">
      <c r="A979" s="1" t="s">
        <v>1883</v>
      </c>
      <c r="B979" s="1" t="s">
        <v>1884</v>
      </c>
      <c r="C979" s="1" t="s">
        <v>25</v>
      </c>
      <c r="D979" s="1" t="s">
        <v>19</v>
      </c>
      <c r="E979" s="1" t="s">
        <v>41</v>
      </c>
      <c r="F979">
        <v>1</v>
      </c>
      <c r="G979" s="2">
        <v>46037</v>
      </c>
      <c r="H979" s="2">
        <v>46038</v>
      </c>
      <c r="I979">
        <v>38.479999999999997</v>
      </c>
      <c r="J979">
        <v>14.34</v>
      </c>
      <c r="K979">
        <v>14.34</v>
      </c>
      <c r="L979">
        <v>0</v>
      </c>
      <c r="M979" s="1" t="s">
        <v>21</v>
      </c>
      <c r="N979" s="1" t="s">
        <v>22</v>
      </c>
      <c r="O979" s="2">
        <v>46046</v>
      </c>
      <c r="P979" s="2">
        <v>46046</v>
      </c>
      <c r="Q979">
        <f>_xlfn.XLOOKUP(E979,CPT!$A$2:$A$13,CPT!$D$2:$D$13)</f>
        <v>38</v>
      </c>
      <c r="R979" s="1">
        <f>_xlfn.XLOOKUP(C979,Contract!$A$2:$A$9,Contract!$B$2:$B$9)</f>
        <v>0.36</v>
      </c>
      <c r="S979" s="1">
        <f t="shared" si="60"/>
        <v>13.68</v>
      </c>
      <c r="T979" s="1">
        <f t="shared" si="61"/>
        <v>-0.66000000000000014</v>
      </c>
      <c r="U979" s="1" t="str">
        <f t="shared" si="62"/>
        <v>OK</v>
      </c>
      <c r="V979" s="1" t="str">
        <f>_xlfn.XLOOKUP(C979,Payers!$A$2:$A$9,Payers!$B$2:$B$9)</f>
        <v>Medicare Part B</v>
      </c>
      <c r="W979" s="1" t="str">
        <f t="shared" si="63"/>
        <v>2026-01</v>
      </c>
    </row>
    <row r="980" spans="1:23">
      <c r="A980" s="1" t="s">
        <v>1885</v>
      </c>
      <c r="B980" s="1" t="s">
        <v>1886</v>
      </c>
      <c r="C980" s="1" t="s">
        <v>47</v>
      </c>
      <c r="D980" s="1" t="s">
        <v>19</v>
      </c>
      <c r="E980" s="1" t="s">
        <v>57</v>
      </c>
      <c r="F980">
        <v>1</v>
      </c>
      <c r="G980" s="2">
        <v>46049</v>
      </c>
      <c r="H980" s="2">
        <v>46054</v>
      </c>
      <c r="I980">
        <v>214.73</v>
      </c>
      <c r="J980">
        <v>62.33</v>
      </c>
      <c r="K980">
        <v>56.1</v>
      </c>
      <c r="L980">
        <v>6.23</v>
      </c>
      <c r="M980" s="1" t="s">
        <v>21</v>
      </c>
      <c r="N980" s="1" t="s">
        <v>22</v>
      </c>
      <c r="O980" s="2">
        <v>46096</v>
      </c>
      <c r="P980" s="2">
        <v>46096</v>
      </c>
      <c r="Q980">
        <f>_xlfn.XLOOKUP(E980,CPT!$A$2:$A$13,CPT!$D$2:$D$13)</f>
        <v>210</v>
      </c>
      <c r="R980" s="1">
        <f>_xlfn.XLOOKUP(C980,Contract!$A$2:$A$9,Contract!$B$2:$B$9)</f>
        <v>0.28000000000000003</v>
      </c>
      <c r="S980" s="1">
        <f t="shared" si="60"/>
        <v>58.8</v>
      </c>
      <c r="T980" s="1">
        <f t="shared" si="61"/>
        <v>-3.5300000000000011</v>
      </c>
      <c r="U980" s="1" t="str">
        <f t="shared" si="62"/>
        <v>OK</v>
      </c>
      <c r="V980" s="1" t="str">
        <f>_xlfn.XLOOKUP(C980,Payers!$A$2:$A$9,Payers!$B$2:$B$9)</f>
        <v>Coastal Medicaid MCO</v>
      </c>
      <c r="W980" s="1" t="str">
        <f t="shared" si="63"/>
        <v>2026-01</v>
      </c>
    </row>
    <row r="981" spans="1:23">
      <c r="A981" s="1" t="s">
        <v>1887</v>
      </c>
      <c r="B981" s="1" t="s">
        <v>422</v>
      </c>
      <c r="C981" s="1" t="s">
        <v>18</v>
      </c>
      <c r="D981" s="1" t="s">
        <v>26</v>
      </c>
      <c r="E981" s="1" t="s">
        <v>44</v>
      </c>
      <c r="F981">
        <v>1</v>
      </c>
      <c r="G981" s="2">
        <v>46145</v>
      </c>
      <c r="H981" s="2">
        <v>46147</v>
      </c>
      <c r="I981">
        <v>4935.18</v>
      </c>
      <c r="J981">
        <v>1662.08</v>
      </c>
      <c r="K981">
        <v>1329.66</v>
      </c>
      <c r="L981">
        <v>332.42</v>
      </c>
      <c r="M981" s="1" t="s">
        <v>21</v>
      </c>
      <c r="N981" s="1" t="s">
        <v>22</v>
      </c>
      <c r="O981" s="2">
        <v>46187</v>
      </c>
      <c r="P981" s="2">
        <v>46187</v>
      </c>
      <c r="Q981">
        <f>_xlfn.XLOOKUP(E981,CPT!$A$2:$A$13,CPT!$D$2:$D$13)</f>
        <v>4800</v>
      </c>
      <c r="R981" s="1">
        <f>_xlfn.XLOOKUP(C981,Contract!$A$2:$A$9,Contract!$B$2:$B$9)</f>
        <v>0.38</v>
      </c>
      <c r="S981" s="1">
        <f t="shared" si="60"/>
        <v>1824</v>
      </c>
      <c r="T981" s="1">
        <f t="shared" si="61"/>
        <v>161.92000000000007</v>
      </c>
      <c r="U981" s="1" t="str">
        <f t="shared" si="62"/>
        <v>Underpaid</v>
      </c>
      <c r="V981" s="1" t="str">
        <f>_xlfn.XLOOKUP(C981,Payers!$A$2:$A$9,Payers!$B$2:$B$9)</f>
        <v>Sunshine Medicare Advantage</v>
      </c>
      <c r="W981" s="1" t="str">
        <f t="shared" si="63"/>
        <v>2026-05</v>
      </c>
    </row>
    <row r="982" spans="1:23">
      <c r="A982" s="1" t="s">
        <v>1888</v>
      </c>
      <c r="B982" s="1" t="s">
        <v>1889</v>
      </c>
      <c r="C982" s="1" t="s">
        <v>25</v>
      </c>
      <c r="D982" s="1" t="s">
        <v>30</v>
      </c>
      <c r="E982" s="1" t="s">
        <v>91</v>
      </c>
      <c r="F982">
        <v>1</v>
      </c>
      <c r="G982" s="2">
        <v>46282</v>
      </c>
      <c r="H982" s="2">
        <v>46284</v>
      </c>
      <c r="I982">
        <v>56.36</v>
      </c>
      <c r="M982" s="1" t="s">
        <v>69</v>
      </c>
      <c r="N982" s="1" t="s">
        <v>22</v>
      </c>
      <c r="O982" s="2"/>
      <c r="P982" s="2"/>
      <c r="Q982">
        <f>_xlfn.XLOOKUP(E982,CPT!$A$2:$A$13,CPT!$D$2:$D$13)</f>
        <v>58</v>
      </c>
      <c r="R982" s="1">
        <f>_xlfn.XLOOKUP(C982,Contract!$A$2:$A$9,Contract!$B$2:$B$9)</f>
        <v>0.36</v>
      </c>
      <c r="S982" s="1">
        <f t="shared" si="60"/>
        <v>20.88</v>
      </c>
      <c r="T982" s="1" t="str">
        <f t="shared" si="61"/>
        <v/>
      </c>
      <c r="U982" s="1" t="str">
        <f t="shared" si="62"/>
        <v/>
      </c>
      <c r="V982" s="1" t="str">
        <f>_xlfn.XLOOKUP(C982,Payers!$A$2:$A$9,Payers!$B$2:$B$9)</f>
        <v>Medicare Part B</v>
      </c>
      <c r="W982" s="1" t="str">
        <f t="shared" si="63"/>
        <v>2026-09</v>
      </c>
    </row>
    <row r="983" spans="1:23">
      <c r="A983" s="1" t="s">
        <v>1890</v>
      </c>
      <c r="B983" s="1" t="s">
        <v>1891</v>
      </c>
      <c r="C983" s="1" t="s">
        <v>36</v>
      </c>
      <c r="D983" s="1" t="s">
        <v>26</v>
      </c>
      <c r="E983" s="1" t="s">
        <v>113</v>
      </c>
      <c r="F983">
        <v>1</v>
      </c>
      <c r="G983" s="2">
        <v>46148</v>
      </c>
      <c r="H983" s="2">
        <v>46158</v>
      </c>
      <c r="I983">
        <v>1043.6199999999999</v>
      </c>
      <c r="J983">
        <v>301.77999999999997</v>
      </c>
      <c r="K983">
        <v>271.60000000000002</v>
      </c>
      <c r="L983">
        <v>30.18</v>
      </c>
      <c r="M983" s="1" t="s">
        <v>21</v>
      </c>
      <c r="N983" s="1" t="s">
        <v>22</v>
      </c>
      <c r="O983" s="2">
        <v>46193</v>
      </c>
      <c r="P983" s="2">
        <v>46193</v>
      </c>
      <c r="Q983">
        <f>_xlfn.XLOOKUP(E983,CPT!$A$2:$A$13,CPT!$D$2:$D$13)</f>
        <v>1050</v>
      </c>
      <c r="R983" s="1">
        <f>_xlfn.XLOOKUP(C983,Contract!$A$2:$A$9,Contract!$B$2:$B$9)</f>
        <v>0.27</v>
      </c>
      <c r="S983" s="1">
        <f t="shared" si="60"/>
        <v>283.5</v>
      </c>
      <c r="T983" s="1">
        <f t="shared" si="61"/>
        <v>-18.279999999999973</v>
      </c>
      <c r="U983" s="1" t="str">
        <f t="shared" si="62"/>
        <v>OK</v>
      </c>
      <c r="V983" s="1" t="str">
        <f>_xlfn.XLOOKUP(C983,Payers!$A$2:$A$9,Payers!$B$2:$B$9)</f>
        <v>Florida Medicaid</v>
      </c>
      <c r="W983" s="1" t="str">
        <f t="shared" si="63"/>
        <v>2026-05</v>
      </c>
    </row>
    <row r="984" spans="1:23">
      <c r="A984" s="1" t="s">
        <v>1892</v>
      </c>
      <c r="B984" s="1" t="s">
        <v>1893</v>
      </c>
      <c r="C984" s="1" t="s">
        <v>52</v>
      </c>
      <c r="D984" s="1" t="s">
        <v>30</v>
      </c>
      <c r="E984" s="1" t="s">
        <v>91</v>
      </c>
      <c r="F984">
        <v>3</v>
      </c>
      <c r="G984" s="2">
        <v>46044</v>
      </c>
      <c r="H984" s="2">
        <v>46048</v>
      </c>
      <c r="I984">
        <v>177.92</v>
      </c>
      <c r="M984" s="1" t="s">
        <v>32</v>
      </c>
      <c r="N984" s="1" t="s">
        <v>49</v>
      </c>
      <c r="O984" s="2">
        <v>46104</v>
      </c>
      <c r="P984" s="2"/>
      <c r="Q984">
        <f>_xlfn.XLOOKUP(E984,CPT!$A$2:$A$13,CPT!$D$2:$D$13)</f>
        <v>58</v>
      </c>
      <c r="R984" s="1">
        <f>_xlfn.XLOOKUP(C984,Contract!$A$2:$A$9,Contract!$B$2:$B$9)</f>
        <v>0.47</v>
      </c>
      <c r="S984" s="1">
        <f t="shared" si="60"/>
        <v>81.78</v>
      </c>
      <c r="T984" s="1" t="str">
        <f t="shared" si="61"/>
        <v/>
      </c>
      <c r="U984" s="1" t="str">
        <f t="shared" si="62"/>
        <v/>
      </c>
      <c r="V984" s="1" t="str">
        <f>_xlfn.XLOOKUP(C984,Payers!$A$2:$A$9,Payers!$B$2:$B$9)</f>
        <v>Keystone Commercial PPO</v>
      </c>
      <c r="W984" s="1" t="str">
        <f t="shared" si="63"/>
        <v>2026-01</v>
      </c>
    </row>
    <row r="985" spans="1:23">
      <c r="A985" s="1" t="s">
        <v>1894</v>
      </c>
      <c r="B985" s="1" t="s">
        <v>1895</v>
      </c>
      <c r="C985" s="1" t="s">
        <v>18</v>
      </c>
      <c r="D985" s="1" t="s">
        <v>26</v>
      </c>
      <c r="E985" s="1" t="s">
        <v>185</v>
      </c>
      <c r="F985">
        <v>1</v>
      </c>
      <c r="G985" s="2">
        <v>46214</v>
      </c>
      <c r="H985" s="2">
        <v>46215</v>
      </c>
      <c r="I985">
        <v>1119.8800000000001</v>
      </c>
      <c r="M985" s="1" t="s">
        <v>32</v>
      </c>
      <c r="N985" s="1" t="s">
        <v>49</v>
      </c>
      <c r="O985" s="2">
        <v>46281</v>
      </c>
      <c r="P985" s="2"/>
      <c r="Q985">
        <f>_xlfn.XLOOKUP(E985,CPT!$A$2:$A$13,CPT!$D$2:$D$13)</f>
        <v>1150</v>
      </c>
      <c r="R985" s="1">
        <f>_xlfn.XLOOKUP(C985,Contract!$A$2:$A$9,Contract!$B$2:$B$9)</f>
        <v>0.38</v>
      </c>
      <c r="S985" s="1">
        <f t="shared" si="60"/>
        <v>437</v>
      </c>
      <c r="T985" s="1" t="str">
        <f t="shared" si="61"/>
        <v/>
      </c>
      <c r="U985" s="1" t="str">
        <f t="shared" si="62"/>
        <v/>
      </c>
      <c r="V985" s="1" t="str">
        <f>_xlfn.XLOOKUP(C985,Payers!$A$2:$A$9,Payers!$B$2:$B$9)</f>
        <v>Sunshine Medicare Advantage</v>
      </c>
      <c r="W985" s="1" t="str">
        <f t="shared" si="63"/>
        <v>2026-07</v>
      </c>
    </row>
    <row r="986" spans="1:23">
      <c r="A986" s="1" t="s">
        <v>1896</v>
      </c>
      <c r="B986" s="1" t="s">
        <v>1897</v>
      </c>
      <c r="C986" s="1" t="s">
        <v>47</v>
      </c>
      <c r="D986" s="1" t="s">
        <v>26</v>
      </c>
      <c r="E986" s="1" t="s">
        <v>57</v>
      </c>
      <c r="F986">
        <v>1</v>
      </c>
      <c r="G986" s="2">
        <v>46100</v>
      </c>
      <c r="H986" s="2">
        <v>46104</v>
      </c>
      <c r="I986">
        <v>208.91</v>
      </c>
      <c r="M986" s="1" t="s">
        <v>32</v>
      </c>
      <c r="N986" s="1" t="s">
        <v>33</v>
      </c>
      <c r="O986" s="2">
        <v>46165</v>
      </c>
      <c r="P986" s="2"/>
      <c r="Q986">
        <f>_xlfn.XLOOKUP(E986,CPT!$A$2:$A$13,CPT!$D$2:$D$13)</f>
        <v>210</v>
      </c>
      <c r="R986" s="1">
        <f>_xlfn.XLOOKUP(C986,Contract!$A$2:$A$9,Contract!$B$2:$B$9)</f>
        <v>0.28000000000000003</v>
      </c>
      <c r="S986" s="1">
        <f t="shared" si="60"/>
        <v>58.8</v>
      </c>
      <c r="T986" s="1" t="str">
        <f t="shared" si="61"/>
        <v/>
      </c>
      <c r="U986" s="1" t="str">
        <f t="shared" si="62"/>
        <v/>
      </c>
      <c r="V986" s="1" t="str">
        <f>_xlfn.XLOOKUP(C986,Payers!$A$2:$A$9,Payers!$B$2:$B$9)</f>
        <v>Coastal Medicaid MCO</v>
      </c>
      <c r="W986" s="1" t="str">
        <f t="shared" si="63"/>
        <v>2026-03</v>
      </c>
    </row>
    <row r="987" spans="1:23">
      <c r="A987" s="1" t="s">
        <v>1898</v>
      </c>
      <c r="B987" s="1" t="s">
        <v>906</v>
      </c>
      <c r="C987" s="1" t="s">
        <v>18</v>
      </c>
      <c r="D987" s="1" t="s">
        <v>26</v>
      </c>
      <c r="E987" s="1" t="s">
        <v>44</v>
      </c>
      <c r="F987">
        <v>1</v>
      </c>
      <c r="G987" s="2">
        <v>45948</v>
      </c>
      <c r="H987" s="2">
        <v>45949</v>
      </c>
      <c r="I987">
        <v>4734.47</v>
      </c>
      <c r="J987">
        <v>1898.42</v>
      </c>
      <c r="K987">
        <v>1898.42</v>
      </c>
      <c r="L987">
        <v>0</v>
      </c>
      <c r="M987" s="1" t="s">
        <v>21</v>
      </c>
      <c r="N987" s="1" t="s">
        <v>22</v>
      </c>
      <c r="O987" s="2">
        <v>45981</v>
      </c>
      <c r="P987" s="2">
        <v>45981</v>
      </c>
      <c r="Q987">
        <f>_xlfn.XLOOKUP(E987,CPT!$A$2:$A$13,CPT!$D$2:$D$13)</f>
        <v>4800</v>
      </c>
      <c r="R987" s="1">
        <f>_xlfn.XLOOKUP(C987,Contract!$A$2:$A$9,Contract!$B$2:$B$9)</f>
        <v>0.38</v>
      </c>
      <c r="S987" s="1">
        <f t="shared" si="60"/>
        <v>1824</v>
      </c>
      <c r="T987" s="1">
        <f t="shared" si="61"/>
        <v>-74.420000000000073</v>
      </c>
      <c r="U987" s="1" t="str">
        <f t="shared" si="62"/>
        <v>OK</v>
      </c>
      <c r="V987" s="1" t="str">
        <f>_xlfn.XLOOKUP(C987,Payers!$A$2:$A$9,Payers!$B$2:$B$9)</f>
        <v>Sunshine Medicare Advantage</v>
      </c>
      <c r="W987" s="1" t="str">
        <f t="shared" si="63"/>
        <v>2025-10</v>
      </c>
    </row>
    <row r="988" spans="1:23">
      <c r="A988" s="1" t="s">
        <v>1899</v>
      </c>
      <c r="B988" s="1" t="s">
        <v>1900</v>
      </c>
      <c r="C988" s="1" t="s">
        <v>47</v>
      </c>
      <c r="D988" s="1" t="s">
        <v>37</v>
      </c>
      <c r="E988" s="1" t="s">
        <v>48</v>
      </c>
      <c r="F988">
        <v>1</v>
      </c>
      <c r="G988" s="2">
        <v>45970</v>
      </c>
      <c r="H988" s="2">
        <v>45976</v>
      </c>
      <c r="I988">
        <v>409.26</v>
      </c>
      <c r="J988">
        <v>111.18</v>
      </c>
      <c r="K988">
        <v>111.18</v>
      </c>
      <c r="L988">
        <v>0</v>
      </c>
      <c r="M988" s="1" t="s">
        <v>21</v>
      </c>
      <c r="N988" s="1" t="s">
        <v>22</v>
      </c>
      <c r="O988" s="2">
        <v>46071</v>
      </c>
      <c r="P988" s="2">
        <v>46071</v>
      </c>
      <c r="Q988">
        <f>_xlfn.XLOOKUP(E988,CPT!$A$2:$A$13,CPT!$D$2:$D$13)</f>
        <v>420</v>
      </c>
      <c r="R988" s="1">
        <f>_xlfn.XLOOKUP(C988,Contract!$A$2:$A$9,Contract!$B$2:$B$9)</f>
        <v>0.28000000000000003</v>
      </c>
      <c r="S988" s="1">
        <f t="shared" si="60"/>
        <v>117.6</v>
      </c>
      <c r="T988" s="1">
        <f t="shared" si="61"/>
        <v>6.4199999999999875</v>
      </c>
      <c r="U988" s="1" t="str">
        <f t="shared" si="62"/>
        <v>Underpaid</v>
      </c>
      <c r="V988" s="1" t="str">
        <f>_xlfn.XLOOKUP(C988,Payers!$A$2:$A$9,Payers!$B$2:$B$9)</f>
        <v>Coastal Medicaid MCO</v>
      </c>
      <c r="W988" s="1" t="str">
        <f t="shared" si="63"/>
        <v>2025-11</v>
      </c>
    </row>
    <row r="989" spans="1:23">
      <c r="A989" s="1" t="s">
        <v>1901</v>
      </c>
      <c r="B989" s="1" t="s">
        <v>521</v>
      </c>
      <c r="C989" s="1" t="s">
        <v>60</v>
      </c>
      <c r="D989" s="1" t="s">
        <v>37</v>
      </c>
      <c r="E989" s="1" t="s">
        <v>48</v>
      </c>
      <c r="F989">
        <v>1</v>
      </c>
      <c r="G989" s="2">
        <v>46241</v>
      </c>
      <c r="H989" s="2">
        <v>46248</v>
      </c>
      <c r="I989">
        <v>429.05</v>
      </c>
      <c r="J989">
        <v>207.7</v>
      </c>
      <c r="K989">
        <v>186.93</v>
      </c>
      <c r="L989">
        <v>20.77</v>
      </c>
      <c r="M989" s="1" t="s">
        <v>21</v>
      </c>
      <c r="N989" s="1" t="s">
        <v>22</v>
      </c>
      <c r="O989" s="2">
        <v>46277</v>
      </c>
      <c r="P989" s="2">
        <v>46277</v>
      </c>
      <c r="Q989">
        <f>_xlfn.XLOOKUP(E989,CPT!$A$2:$A$13,CPT!$D$2:$D$13)</f>
        <v>420</v>
      </c>
      <c r="R989" s="1">
        <f>_xlfn.XLOOKUP(C989,Contract!$A$2:$A$9,Contract!$B$2:$B$9)</f>
        <v>0.45</v>
      </c>
      <c r="S989" s="1">
        <f t="shared" si="60"/>
        <v>189</v>
      </c>
      <c r="T989" s="1">
        <f t="shared" si="61"/>
        <v>-18.699999999999989</v>
      </c>
      <c r="U989" s="1" t="str">
        <f t="shared" si="62"/>
        <v>OK</v>
      </c>
      <c r="V989" s="1" t="str">
        <f>_xlfn.XLOOKUP(C989,Payers!$A$2:$A$9,Payers!$B$2:$B$9)</f>
        <v>Blue Horizon Commercial</v>
      </c>
      <c r="W989" s="1" t="str">
        <f t="shared" si="63"/>
        <v>2026-08</v>
      </c>
    </row>
    <row r="990" spans="1:23">
      <c r="A990" s="1" t="s">
        <v>1902</v>
      </c>
      <c r="B990" s="1" t="s">
        <v>1644</v>
      </c>
      <c r="C990" s="1" t="s">
        <v>76</v>
      </c>
      <c r="D990" s="1" t="s">
        <v>19</v>
      </c>
      <c r="E990" s="1" t="s">
        <v>20</v>
      </c>
      <c r="F990">
        <v>1</v>
      </c>
      <c r="G990" s="2">
        <v>46266</v>
      </c>
      <c r="H990" s="2">
        <v>46268</v>
      </c>
      <c r="I990">
        <v>145.66</v>
      </c>
      <c r="J990">
        <v>56.89</v>
      </c>
      <c r="K990">
        <v>51.2</v>
      </c>
      <c r="L990">
        <v>5.69</v>
      </c>
      <c r="M990" s="1" t="s">
        <v>21</v>
      </c>
      <c r="N990" s="1" t="s">
        <v>22</v>
      </c>
      <c r="O990" s="2">
        <v>46293</v>
      </c>
      <c r="P990" s="2">
        <v>46293</v>
      </c>
      <c r="Q990">
        <f>_xlfn.XLOOKUP(E990,CPT!$A$2:$A$13,CPT!$D$2:$D$13)</f>
        <v>145</v>
      </c>
      <c r="R990" s="1">
        <f>_xlfn.XLOOKUP(C990,Contract!$A$2:$A$9,Contract!$B$2:$B$9)</f>
        <v>0.43</v>
      </c>
      <c r="S990" s="1">
        <f t="shared" si="60"/>
        <v>62.35</v>
      </c>
      <c r="T990" s="1">
        <f t="shared" si="61"/>
        <v>5.4600000000000009</v>
      </c>
      <c r="U990" s="1" t="str">
        <f t="shared" si="62"/>
        <v>Underpaid</v>
      </c>
      <c r="V990" s="1" t="str">
        <f>_xlfn.XLOOKUP(C990,Payers!$A$2:$A$9,Payers!$B$2:$B$9)</f>
        <v>Summit Health Commercial</v>
      </c>
      <c r="W990" s="1" t="str">
        <f t="shared" si="63"/>
        <v>2026-09</v>
      </c>
    </row>
    <row r="991" spans="1:23">
      <c r="A991" s="1" t="s">
        <v>1903</v>
      </c>
      <c r="B991" s="1" t="s">
        <v>1904</v>
      </c>
      <c r="C991" s="1" t="s">
        <v>76</v>
      </c>
      <c r="D991" s="1" t="s">
        <v>19</v>
      </c>
      <c r="E991" s="1" t="s">
        <v>57</v>
      </c>
      <c r="F991">
        <v>1</v>
      </c>
      <c r="G991" s="2">
        <v>46185</v>
      </c>
      <c r="H991" s="2">
        <v>46198</v>
      </c>
      <c r="I991">
        <v>212.87</v>
      </c>
      <c r="J991">
        <v>97.08</v>
      </c>
      <c r="K991">
        <v>77.66</v>
      </c>
      <c r="L991">
        <v>19.420000000000002</v>
      </c>
      <c r="M991" s="1" t="s">
        <v>21</v>
      </c>
      <c r="N991" s="1" t="s">
        <v>22</v>
      </c>
      <c r="O991" s="2">
        <v>46234</v>
      </c>
      <c r="P991" s="2">
        <v>46234</v>
      </c>
      <c r="Q991">
        <f>_xlfn.XLOOKUP(E991,CPT!$A$2:$A$13,CPT!$D$2:$D$13)</f>
        <v>210</v>
      </c>
      <c r="R991" s="1">
        <f>_xlfn.XLOOKUP(C991,Contract!$A$2:$A$9,Contract!$B$2:$B$9)</f>
        <v>0.43</v>
      </c>
      <c r="S991" s="1">
        <f t="shared" si="60"/>
        <v>90.3</v>
      </c>
      <c r="T991" s="1">
        <f t="shared" si="61"/>
        <v>-6.7800000000000011</v>
      </c>
      <c r="U991" s="1" t="str">
        <f t="shared" si="62"/>
        <v>OK</v>
      </c>
      <c r="V991" s="1" t="str">
        <f>_xlfn.XLOOKUP(C991,Payers!$A$2:$A$9,Payers!$B$2:$B$9)</f>
        <v>Summit Health Commercial</v>
      </c>
      <c r="W991" s="1" t="str">
        <f t="shared" si="63"/>
        <v>2026-06</v>
      </c>
    </row>
    <row r="992" spans="1:23">
      <c r="A992" s="1" t="s">
        <v>1905</v>
      </c>
      <c r="B992" s="1" t="s">
        <v>1240</v>
      </c>
      <c r="C992" s="1" t="s">
        <v>76</v>
      </c>
      <c r="D992" s="1" t="s">
        <v>19</v>
      </c>
      <c r="E992" s="1" t="s">
        <v>20</v>
      </c>
      <c r="F992">
        <v>1</v>
      </c>
      <c r="G992" s="2">
        <v>46049</v>
      </c>
      <c r="H992" s="2">
        <v>46052</v>
      </c>
      <c r="I992">
        <v>144.54</v>
      </c>
      <c r="M992" s="1" t="s">
        <v>32</v>
      </c>
      <c r="N992" s="1" t="s">
        <v>33</v>
      </c>
      <c r="O992" s="2">
        <v>46081</v>
      </c>
      <c r="P992" s="2"/>
      <c r="Q992">
        <f>_xlfn.XLOOKUP(E992,CPT!$A$2:$A$13,CPT!$D$2:$D$13)</f>
        <v>145</v>
      </c>
      <c r="R992" s="1">
        <f>_xlfn.XLOOKUP(C992,Contract!$A$2:$A$9,Contract!$B$2:$B$9)</f>
        <v>0.43</v>
      </c>
      <c r="S992" s="1">
        <f t="shared" si="60"/>
        <v>62.35</v>
      </c>
      <c r="T992" s="1" t="str">
        <f t="shared" si="61"/>
        <v/>
      </c>
      <c r="U992" s="1" t="str">
        <f t="shared" si="62"/>
        <v/>
      </c>
      <c r="V992" s="1" t="str">
        <f>_xlfn.XLOOKUP(C992,Payers!$A$2:$A$9,Payers!$B$2:$B$9)</f>
        <v>Summit Health Commercial</v>
      </c>
      <c r="W992" s="1" t="str">
        <f t="shared" si="63"/>
        <v>2026-01</v>
      </c>
    </row>
    <row r="993" spans="1:23">
      <c r="A993" s="1" t="s">
        <v>1906</v>
      </c>
      <c r="B993" s="1" t="s">
        <v>1907</v>
      </c>
      <c r="C993" s="1" t="s">
        <v>52</v>
      </c>
      <c r="D993" s="1" t="s">
        <v>19</v>
      </c>
      <c r="E993" s="1" t="s">
        <v>41</v>
      </c>
      <c r="F993">
        <v>1</v>
      </c>
      <c r="G993" s="2">
        <v>46221</v>
      </c>
      <c r="H993" s="2">
        <v>46222</v>
      </c>
      <c r="I993">
        <v>38.590000000000003</v>
      </c>
      <c r="J993">
        <v>17.73</v>
      </c>
      <c r="K993">
        <v>15.96</v>
      </c>
      <c r="L993">
        <v>1.77</v>
      </c>
      <c r="M993" s="1" t="s">
        <v>21</v>
      </c>
      <c r="N993" s="1" t="s">
        <v>22</v>
      </c>
      <c r="O993" s="2">
        <v>46262</v>
      </c>
      <c r="P993" s="2">
        <v>46262</v>
      </c>
      <c r="Q993">
        <f>_xlfn.XLOOKUP(E993,CPT!$A$2:$A$13,CPT!$D$2:$D$13)</f>
        <v>38</v>
      </c>
      <c r="R993" s="1">
        <f>_xlfn.XLOOKUP(C993,Contract!$A$2:$A$9,Contract!$B$2:$B$9)</f>
        <v>0.47</v>
      </c>
      <c r="S993" s="1">
        <f t="shared" si="60"/>
        <v>17.86</v>
      </c>
      <c r="T993" s="1">
        <f t="shared" si="61"/>
        <v>0.12999999999999901</v>
      </c>
      <c r="U993" s="1" t="str">
        <f t="shared" si="62"/>
        <v>OK</v>
      </c>
      <c r="V993" s="1" t="str">
        <f>_xlfn.XLOOKUP(C993,Payers!$A$2:$A$9,Payers!$B$2:$B$9)</f>
        <v>Keystone Commercial PPO</v>
      </c>
      <c r="W993" s="1" t="str">
        <f t="shared" si="63"/>
        <v>2026-07</v>
      </c>
    </row>
    <row r="994" spans="1:23">
      <c r="A994" s="1" t="s">
        <v>1908</v>
      </c>
      <c r="B994" s="1" t="s">
        <v>1909</v>
      </c>
      <c r="C994" s="1" t="s">
        <v>18</v>
      </c>
      <c r="D994" s="1" t="s">
        <v>26</v>
      </c>
      <c r="E994" s="1" t="s">
        <v>185</v>
      </c>
      <c r="F994">
        <v>1</v>
      </c>
      <c r="G994" s="2">
        <v>46237</v>
      </c>
      <c r="H994" s="2">
        <v>46238</v>
      </c>
      <c r="I994">
        <v>1143.55</v>
      </c>
      <c r="J994">
        <v>472.11</v>
      </c>
      <c r="K994">
        <v>424.9</v>
      </c>
      <c r="L994">
        <v>47.21</v>
      </c>
      <c r="M994" s="1" t="s">
        <v>21</v>
      </c>
      <c r="N994" s="1" t="s">
        <v>22</v>
      </c>
      <c r="O994" s="2">
        <v>46295</v>
      </c>
      <c r="P994" s="2">
        <v>46295</v>
      </c>
      <c r="Q994">
        <f>_xlfn.XLOOKUP(E994,CPT!$A$2:$A$13,CPT!$D$2:$D$13)</f>
        <v>1150</v>
      </c>
      <c r="R994" s="1">
        <f>_xlfn.XLOOKUP(C994,Contract!$A$2:$A$9,Contract!$B$2:$B$9)</f>
        <v>0.38</v>
      </c>
      <c r="S994" s="1">
        <f t="shared" si="60"/>
        <v>437</v>
      </c>
      <c r="T994" s="1">
        <f t="shared" si="61"/>
        <v>-35.110000000000014</v>
      </c>
      <c r="U994" s="1" t="str">
        <f t="shared" si="62"/>
        <v>OK</v>
      </c>
      <c r="V994" s="1" t="str">
        <f>_xlfn.XLOOKUP(C994,Payers!$A$2:$A$9,Payers!$B$2:$B$9)</f>
        <v>Sunshine Medicare Advantage</v>
      </c>
      <c r="W994" s="1" t="str">
        <f t="shared" si="63"/>
        <v>2026-08</v>
      </c>
    </row>
    <row r="995" spans="1:23">
      <c r="A995" s="1" t="s">
        <v>1910</v>
      </c>
      <c r="B995" s="1" t="s">
        <v>1676</v>
      </c>
      <c r="C995" s="1" t="s">
        <v>18</v>
      </c>
      <c r="D995" s="1" t="s">
        <v>26</v>
      </c>
      <c r="E995" s="1" t="s">
        <v>113</v>
      </c>
      <c r="F995">
        <v>1</v>
      </c>
      <c r="G995" s="2">
        <v>46194</v>
      </c>
      <c r="H995" s="2">
        <v>46200</v>
      </c>
      <c r="I995">
        <v>1053.45</v>
      </c>
      <c r="J995">
        <v>455.75</v>
      </c>
      <c r="K995">
        <v>364.6</v>
      </c>
      <c r="L995">
        <v>91.15</v>
      </c>
      <c r="M995" s="1" t="s">
        <v>21</v>
      </c>
      <c r="N995" s="1" t="s">
        <v>22</v>
      </c>
      <c r="O995" s="2">
        <v>46233</v>
      </c>
      <c r="P995" s="2">
        <v>46233</v>
      </c>
      <c r="Q995">
        <f>_xlfn.XLOOKUP(E995,CPT!$A$2:$A$13,CPT!$D$2:$D$13)</f>
        <v>1050</v>
      </c>
      <c r="R995" s="1">
        <f>_xlfn.XLOOKUP(C995,Contract!$A$2:$A$9,Contract!$B$2:$B$9)</f>
        <v>0.38</v>
      </c>
      <c r="S995" s="1">
        <f t="shared" si="60"/>
        <v>399</v>
      </c>
      <c r="T995" s="1">
        <f t="shared" si="61"/>
        <v>-56.75</v>
      </c>
      <c r="U995" s="1" t="str">
        <f t="shared" si="62"/>
        <v>OK</v>
      </c>
      <c r="V995" s="1" t="str">
        <f>_xlfn.XLOOKUP(C995,Payers!$A$2:$A$9,Payers!$B$2:$B$9)</f>
        <v>Sunshine Medicare Advantage</v>
      </c>
      <c r="W995" s="1" t="str">
        <f t="shared" si="63"/>
        <v>2026-06</v>
      </c>
    </row>
    <row r="996" spans="1:23">
      <c r="A996" s="1" t="s">
        <v>1911</v>
      </c>
      <c r="B996" s="1" t="s">
        <v>424</v>
      </c>
      <c r="C996" s="1" t="s">
        <v>18</v>
      </c>
      <c r="D996" s="1" t="s">
        <v>26</v>
      </c>
      <c r="E996" s="1" t="s">
        <v>57</v>
      </c>
      <c r="F996">
        <v>1</v>
      </c>
      <c r="G996" s="2">
        <v>46013</v>
      </c>
      <c r="H996" s="2">
        <v>46014</v>
      </c>
      <c r="I996">
        <v>210.25</v>
      </c>
      <c r="M996" s="1" t="s">
        <v>32</v>
      </c>
      <c r="N996" s="1" t="s">
        <v>281</v>
      </c>
      <c r="O996" s="2">
        <v>46079</v>
      </c>
      <c r="P996" s="2"/>
      <c r="Q996">
        <f>_xlfn.XLOOKUP(E996,CPT!$A$2:$A$13,CPT!$D$2:$D$13)</f>
        <v>210</v>
      </c>
      <c r="R996" s="1">
        <f>_xlfn.XLOOKUP(C996,Contract!$A$2:$A$9,Contract!$B$2:$B$9)</f>
        <v>0.38</v>
      </c>
      <c r="S996" s="1">
        <f t="shared" si="60"/>
        <v>79.8</v>
      </c>
      <c r="T996" s="1" t="str">
        <f t="shared" si="61"/>
        <v/>
      </c>
      <c r="U996" s="1" t="str">
        <f t="shared" si="62"/>
        <v/>
      </c>
      <c r="V996" s="1" t="str">
        <f>_xlfn.XLOOKUP(C996,Payers!$A$2:$A$9,Payers!$B$2:$B$9)</f>
        <v>Sunshine Medicare Advantage</v>
      </c>
      <c r="W996" s="1" t="str">
        <f t="shared" si="63"/>
        <v>2025-12</v>
      </c>
    </row>
    <row r="997" spans="1:23">
      <c r="A997" s="1" t="s">
        <v>1912</v>
      </c>
      <c r="B997" s="1" t="s">
        <v>1913</v>
      </c>
      <c r="C997" s="1" t="s">
        <v>76</v>
      </c>
      <c r="D997" s="1" t="s">
        <v>19</v>
      </c>
      <c r="E997" s="1" t="s">
        <v>41</v>
      </c>
      <c r="F997">
        <v>1</v>
      </c>
      <c r="G997" s="2">
        <v>46082</v>
      </c>
      <c r="H997" s="2">
        <v>46104</v>
      </c>
      <c r="I997">
        <v>37.130000000000003</v>
      </c>
      <c r="J997">
        <v>17.75</v>
      </c>
      <c r="K997">
        <v>15.97</v>
      </c>
      <c r="L997">
        <v>1.78</v>
      </c>
      <c r="M997" s="1" t="s">
        <v>21</v>
      </c>
      <c r="N997" s="1" t="s">
        <v>22</v>
      </c>
      <c r="O997" s="2">
        <v>46128</v>
      </c>
      <c r="P997" s="2">
        <v>46128</v>
      </c>
      <c r="Q997">
        <f>_xlfn.XLOOKUP(E997,CPT!$A$2:$A$13,CPT!$D$2:$D$13)</f>
        <v>38</v>
      </c>
      <c r="R997" s="1">
        <f>_xlfn.XLOOKUP(C997,Contract!$A$2:$A$9,Contract!$B$2:$B$9)</f>
        <v>0.43</v>
      </c>
      <c r="S997" s="1">
        <f t="shared" si="60"/>
        <v>16.34</v>
      </c>
      <c r="T997" s="1">
        <f t="shared" si="61"/>
        <v>-1.4100000000000001</v>
      </c>
      <c r="U997" s="1" t="str">
        <f t="shared" si="62"/>
        <v>OK</v>
      </c>
      <c r="V997" s="1" t="str">
        <f>_xlfn.XLOOKUP(C997,Payers!$A$2:$A$9,Payers!$B$2:$B$9)</f>
        <v>Summit Health Commercial</v>
      </c>
      <c r="W997" s="1" t="str">
        <f t="shared" si="63"/>
        <v>2026-03</v>
      </c>
    </row>
    <row r="998" spans="1:23">
      <c r="A998" s="1" t="s">
        <v>1914</v>
      </c>
      <c r="B998" s="1" t="s">
        <v>412</v>
      </c>
      <c r="C998" s="1" t="s">
        <v>25</v>
      </c>
      <c r="D998" s="1" t="s">
        <v>26</v>
      </c>
      <c r="E998" s="1" t="s">
        <v>185</v>
      </c>
      <c r="F998">
        <v>1</v>
      </c>
      <c r="G998" s="2">
        <v>46015</v>
      </c>
      <c r="H998" s="2">
        <v>46018</v>
      </c>
      <c r="I998">
        <v>1125.26</v>
      </c>
      <c r="J998">
        <v>419.46</v>
      </c>
      <c r="K998">
        <v>377.51</v>
      </c>
      <c r="L998">
        <v>41.95</v>
      </c>
      <c r="M998" s="1" t="s">
        <v>21</v>
      </c>
      <c r="N998" s="1" t="s">
        <v>22</v>
      </c>
      <c r="O998" s="2">
        <v>46034</v>
      </c>
      <c r="P998" s="2">
        <v>46034</v>
      </c>
      <c r="Q998">
        <f>_xlfn.XLOOKUP(E998,CPT!$A$2:$A$13,CPT!$D$2:$D$13)</f>
        <v>1150</v>
      </c>
      <c r="R998" s="1">
        <f>_xlfn.XLOOKUP(C998,Contract!$A$2:$A$9,Contract!$B$2:$B$9)</f>
        <v>0.36</v>
      </c>
      <c r="S998" s="1">
        <f t="shared" si="60"/>
        <v>414</v>
      </c>
      <c r="T998" s="1">
        <f t="shared" si="61"/>
        <v>-5.4599999999999795</v>
      </c>
      <c r="U998" s="1" t="str">
        <f t="shared" si="62"/>
        <v>OK</v>
      </c>
      <c r="V998" s="1" t="str">
        <f>_xlfn.XLOOKUP(C998,Payers!$A$2:$A$9,Payers!$B$2:$B$9)</f>
        <v>Medicare Part B</v>
      </c>
      <c r="W998" s="1" t="str">
        <f t="shared" si="63"/>
        <v>2025-12</v>
      </c>
    </row>
    <row r="999" spans="1:23">
      <c r="A999" s="1" t="s">
        <v>1915</v>
      </c>
      <c r="B999" s="1" t="s">
        <v>1916</v>
      </c>
      <c r="C999" s="1" t="s">
        <v>47</v>
      </c>
      <c r="D999" s="1" t="s">
        <v>19</v>
      </c>
      <c r="E999" s="1" t="s">
        <v>88</v>
      </c>
      <c r="F999">
        <v>1</v>
      </c>
      <c r="G999" s="2">
        <v>46000</v>
      </c>
      <c r="H999" s="2">
        <v>46006</v>
      </c>
      <c r="I999">
        <v>254.76</v>
      </c>
      <c r="J999">
        <v>67.05</v>
      </c>
      <c r="K999">
        <v>67.05</v>
      </c>
      <c r="L999">
        <v>0</v>
      </c>
      <c r="M999" s="1" t="s">
        <v>21</v>
      </c>
      <c r="N999" s="1" t="s">
        <v>22</v>
      </c>
      <c r="O999" s="2">
        <v>46045</v>
      </c>
      <c r="P999" s="2">
        <v>46045</v>
      </c>
      <c r="Q999">
        <f>_xlfn.XLOOKUP(E999,CPT!$A$2:$A$13,CPT!$D$2:$D$13)</f>
        <v>260</v>
      </c>
      <c r="R999" s="1">
        <f>_xlfn.XLOOKUP(C999,Contract!$A$2:$A$9,Contract!$B$2:$B$9)</f>
        <v>0.28000000000000003</v>
      </c>
      <c r="S999" s="1">
        <f t="shared" si="60"/>
        <v>72.8</v>
      </c>
      <c r="T999" s="1">
        <f t="shared" si="61"/>
        <v>5.75</v>
      </c>
      <c r="U999" s="1" t="str">
        <f t="shared" si="62"/>
        <v>Underpaid</v>
      </c>
      <c r="V999" s="1" t="str">
        <f>_xlfn.XLOOKUP(C999,Payers!$A$2:$A$9,Payers!$B$2:$B$9)</f>
        <v>Coastal Medicaid MCO</v>
      </c>
      <c r="W999" s="1" t="str">
        <f t="shared" si="63"/>
        <v>2025-12</v>
      </c>
    </row>
    <row r="1000" spans="1:23">
      <c r="A1000" s="1" t="s">
        <v>1917</v>
      </c>
      <c r="B1000" s="1" t="s">
        <v>1918</v>
      </c>
      <c r="C1000" s="1" t="s">
        <v>76</v>
      </c>
      <c r="D1000" s="1" t="s">
        <v>19</v>
      </c>
      <c r="E1000" s="1" t="s">
        <v>20</v>
      </c>
      <c r="F1000">
        <v>1</v>
      </c>
      <c r="G1000" s="2">
        <v>46027</v>
      </c>
      <c r="H1000" s="2">
        <v>46028</v>
      </c>
      <c r="I1000">
        <v>142.38</v>
      </c>
      <c r="J1000">
        <v>53.19</v>
      </c>
      <c r="K1000">
        <v>53.19</v>
      </c>
      <c r="L1000">
        <v>0</v>
      </c>
      <c r="M1000" s="1" t="s">
        <v>21</v>
      </c>
      <c r="N1000" s="1" t="s">
        <v>22</v>
      </c>
      <c r="O1000" s="2">
        <v>46050</v>
      </c>
      <c r="P1000" s="2">
        <v>46050</v>
      </c>
      <c r="Q1000">
        <f>_xlfn.XLOOKUP(E1000,CPT!$A$2:$A$13,CPT!$D$2:$D$13)</f>
        <v>145</v>
      </c>
      <c r="R1000" s="1">
        <f>_xlfn.XLOOKUP(C1000,Contract!$A$2:$A$9,Contract!$B$2:$B$9)</f>
        <v>0.43</v>
      </c>
      <c r="S1000" s="1">
        <f t="shared" si="60"/>
        <v>62.35</v>
      </c>
      <c r="T1000" s="1">
        <f t="shared" si="61"/>
        <v>9.1600000000000037</v>
      </c>
      <c r="U1000" s="1" t="str">
        <f t="shared" si="62"/>
        <v>Underpaid</v>
      </c>
      <c r="V1000" s="1" t="str">
        <f>_xlfn.XLOOKUP(C1000,Payers!$A$2:$A$9,Payers!$B$2:$B$9)</f>
        <v>Summit Health Commercial</v>
      </c>
      <c r="W1000" s="1" t="str">
        <f t="shared" si="63"/>
        <v>2026-01</v>
      </c>
    </row>
    <row r="1001" spans="1:23">
      <c r="A1001" s="1" t="s">
        <v>1919</v>
      </c>
      <c r="B1001" s="1" t="s">
        <v>1920</v>
      </c>
      <c r="C1001" s="1" t="s">
        <v>76</v>
      </c>
      <c r="D1001" s="1" t="s">
        <v>19</v>
      </c>
      <c r="E1001" s="1" t="s">
        <v>57</v>
      </c>
      <c r="F1001">
        <v>1</v>
      </c>
      <c r="G1001" s="2">
        <v>45938</v>
      </c>
      <c r="H1001" s="2">
        <v>45940</v>
      </c>
      <c r="I1001">
        <v>215.39</v>
      </c>
      <c r="J1001">
        <v>102.62</v>
      </c>
      <c r="K1001">
        <v>92.36</v>
      </c>
      <c r="L1001">
        <v>10.26</v>
      </c>
      <c r="M1001" s="1" t="s">
        <v>21</v>
      </c>
      <c r="N1001" s="1" t="s">
        <v>22</v>
      </c>
      <c r="O1001" s="2">
        <v>45962</v>
      </c>
      <c r="P1001" s="2">
        <v>45962</v>
      </c>
      <c r="Q1001">
        <f>_xlfn.XLOOKUP(E1001,CPT!$A$2:$A$13,CPT!$D$2:$D$13)</f>
        <v>210</v>
      </c>
      <c r="R1001" s="1">
        <f>_xlfn.XLOOKUP(C1001,Contract!$A$2:$A$9,Contract!$B$2:$B$9)</f>
        <v>0.43</v>
      </c>
      <c r="S1001" s="1">
        <f t="shared" si="60"/>
        <v>90.3</v>
      </c>
      <c r="T1001" s="1">
        <f t="shared" si="61"/>
        <v>-12.320000000000007</v>
      </c>
      <c r="U1001" s="1" t="str">
        <f t="shared" si="62"/>
        <v>OK</v>
      </c>
      <c r="V1001" s="1" t="str">
        <f>_xlfn.XLOOKUP(C1001,Payers!$A$2:$A$9,Payers!$B$2:$B$9)</f>
        <v>Summit Health Commercial</v>
      </c>
      <c r="W1001" s="1" t="str">
        <f t="shared" si="63"/>
        <v>2025-10</v>
      </c>
    </row>
    <row r="1002" spans="1:23">
      <c r="A1002" s="1" t="s">
        <v>1921</v>
      </c>
      <c r="B1002" s="1" t="s">
        <v>1922</v>
      </c>
      <c r="C1002" s="1" t="s">
        <v>47</v>
      </c>
      <c r="D1002" s="1" t="s">
        <v>19</v>
      </c>
      <c r="E1002" s="1" t="s">
        <v>41</v>
      </c>
      <c r="F1002">
        <v>1</v>
      </c>
      <c r="G1002" s="2">
        <v>46218</v>
      </c>
      <c r="H1002" s="2">
        <v>46223</v>
      </c>
      <c r="I1002">
        <v>38.090000000000003</v>
      </c>
      <c r="M1002" s="1" t="s">
        <v>32</v>
      </c>
      <c r="N1002" s="1" t="s">
        <v>33</v>
      </c>
      <c r="O1002" s="2">
        <v>46281</v>
      </c>
      <c r="P1002" s="2"/>
      <c r="Q1002">
        <f>_xlfn.XLOOKUP(E1002,CPT!$A$2:$A$13,CPT!$D$2:$D$13)</f>
        <v>38</v>
      </c>
      <c r="R1002" s="1">
        <f>_xlfn.XLOOKUP(C1002,Contract!$A$2:$A$9,Contract!$B$2:$B$9)</f>
        <v>0.28000000000000003</v>
      </c>
      <c r="S1002" s="1">
        <f t="shared" si="60"/>
        <v>10.64</v>
      </c>
      <c r="T1002" s="1" t="str">
        <f t="shared" si="61"/>
        <v/>
      </c>
      <c r="U1002" s="1" t="str">
        <f t="shared" si="62"/>
        <v/>
      </c>
      <c r="V1002" s="1" t="str">
        <f>_xlfn.XLOOKUP(C1002,Payers!$A$2:$A$9,Payers!$B$2:$B$9)</f>
        <v>Coastal Medicaid MCO</v>
      </c>
      <c r="W1002" s="1" t="str">
        <f t="shared" si="63"/>
        <v>2026-07</v>
      </c>
    </row>
    <row r="1003" spans="1:23">
      <c r="A1003" s="1" t="s">
        <v>1923</v>
      </c>
      <c r="B1003" s="1" t="s">
        <v>1924</v>
      </c>
      <c r="C1003" s="1" t="s">
        <v>76</v>
      </c>
      <c r="D1003" s="1" t="s">
        <v>19</v>
      </c>
      <c r="E1003" s="1" t="s">
        <v>41</v>
      </c>
      <c r="F1003">
        <v>1</v>
      </c>
      <c r="G1003" s="2">
        <v>46234</v>
      </c>
      <c r="H1003" s="2">
        <v>46248</v>
      </c>
      <c r="I1003">
        <v>38.24</v>
      </c>
      <c r="J1003">
        <v>16.940000000000001</v>
      </c>
      <c r="K1003">
        <v>13.55</v>
      </c>
      <c r="L1003">
        <v>3.39</v>
      </c>
      <c r="M1003" s="1" t="s">
        <v>21</v>
      </c>
      <c r="N1003" s="1" t="s">
        <v>22</v>
      </c>
      <c r="O1003" s="2">
        <v>46287</v>
      </c>
      <c r="P1003" s="2">
        <v>46287</v>
      </c>
      <c r="Q1003">
        <f>_xlfn.XLOOKUP(E1003,CPT!$A$2:$A$13,CPT!$D$2:$D$13)</f>
        <v>38</v>
      </c>
      <c r="R1003" s="1">
        <f>_xlfn.XLOOKUP(C1003,Contract!$A$2:$A$9,Contract!$B$2:$B$9)</f>
        <v>0.43</v>
      </c>
      <c r="S1003" s="1">
        <f t="shared" si="60"/>
        <v>16.34</v>
      </c>
      <c r="T1003" s="1">
        <f t="shared" si="61"/>
        <v>-0.60000000000000142</v>
      </c>
      <c r="U1003" s="1" t="str">
        <f t="shared" si="62"/>
        <v>OK</v>
      </c>
      <c r="V1003" s="1" t="str">
        <f>_xlfn.XLOOKUP(C1003,Payers!$A$2:$A$9,Payers!$B$2:$B$9)</f>
        <v>Summit Health Commercial</v>
      </c>
      <c r="W1003" s="1" t="str">
        <f t="shared" si="63"/>
        <v>2026-07</v>
      </c>
    </row>
    <row r="1004" spans="1:23">
      <c r="A1004" s="1" t="s">
        <v>1925</v>
      </c>
      <c r="B1004" s="1" t="s">
        <v>1926</v>
      </c>
      <c r="C1004" s="1" t="s">
        <v>60</v>
      </c>
      <c r="D1004" s="1" t="s">
        <v>26</v>
      </c>
      <c r="E1004" s="1" t="s">
        <v>44</v>
      </c>
      <c r="F1004">
        <v>1</v>
      </c>
      <c r="G1004" s="2">
        <v>46041</v>
      </c>
      <c r="H1004" s="2">
        <v>46048</v>
      </c>
      <c r="I1004">
        <v>4682.3100000000004</v>
      </c>
      <c r="M1004" s="1" t="s">
        <v>32</v>
      </c>
      <c r="N1004" s="1" t="s">
        <v>315</v>
      </c>
      <c r="O1004" s="2">
        <v>46068</v>
      </c>
      <c r="P1004" s="2"/>
      <c r="Q1004">
        <f>_xlfn.XLOOKUP(E1004,CPT!$A$2:$A$13,CPT!$D$2:$D$13)</f>
        <v>4800</v>
      </c>
      <c r="R1004" s="1">
        <f>_xlfn.XLOOKUP(C1004,Contract!$A$2:$A$9,Contract!$B$2:$B$9)</f>
        <v>0.45</v>
      </c>
      <c r="S1004" s="1">
        <f t="shared" si="60"/>
        <v>2160</v>
      </c>
      <c r="T1004" s="1" t="str">
        <f t="shared" si="61"/>
        <v/>
      </c>
      <c r="U1004" s="1" t="str">
        <f t="shared" si="62"/>
        <v/>
      </c>
      <c r="V1004" s="1" t="str">
        <f>_xlfn.XLOOKUP(C1004,Payers!$A$2:$A$9,Payers!$B$2:$B$9)</f>
        <v>Blue Horizon Commercial</v>
      </c>
      <c r="W1004" s="1" t="str">
        <f t="shared" si="63"/>
        <v>2026-01</v>
      </c>
    </row>
    <row r="1005" spans="1:23">
      <c r="A1005" s="1" t="s">
        <v>1927</v>
      </c>
      <c r="B1005" s="1" t="s">
        <v>1928</v>
      </c>
      <c r="C1005" s="1" t="s">
        <v>18</v>
      </c>
      <c r="D1005" s="1" t="s">
        <v>26</v>
      </c>
      <c r="E1005" s="1" t="s">
        <v>27</v>
      </c>
      <c r="F1005">
        <v>1</v>
      </c>
      <c r="G1005" s="2">
        <v>46054</v>
      </c>
      <c r="H1005" s="2">
        <v>46056</v>
      </c>
      <c r="I1005">
        <v>240.87</v>
      </c>
      <c r="J1005">
        <v>91.4</v>
      </c>
      <c r="K1005">
        <v>82.26</v>
      </c>
      <c r="L1005">
        <v>9.14</v>
      </c>
      <c r="M1005" s="1" t="s">
        <v>21</v>
      </c>
      <c r="N1005" s="1" t="s">
        <v>22</v>
      </c>
      <c r="O1005" s="2">
        <v>46137</v>
      </c>
      <c r="P1005" s="2">
        <v>46137</v>
      </c>
      <c r="Q1005">
        <f>_xlfn.XLOOKUP(E1005,CPT!$A$2:$A$13,CPT!$D$2:$D$13)</f>
        <v>240</v>
      </c>
      <c r="R1005" s="1">
        <f>_xlfn.XLOOKUP(C1005,Contract!$A$2:$A$9,Contract!$B$2:$B$9)</f>
        <v>0.38</v>
      </c>
      <c r="S1005" s="1">
        <f t="shared" si="60"/>
        <v>91.2</v>
      </c>
      <c r="T1005" s="1">
        <f t="shared" si="61"/>
        <v>-0.20000000000000284</v>
      </c>
      <c r="U1005" s="1" t="str">
        <f t="shared" si="62"/>
        <v>OK</v>
      </c>
      <c r="V1005" s="1" t="str">
        <f>_xlfn.XLOOKUP(C1005,Payers!$A$2:$A$9,Payers!$B$2:$B$9)</f>
        <v>Sunshine Medicare Advantage</v>
      </c>
      <c r="W1005" s="1" t="str">
        <f t="shared" si="63"/>
        <v>2026-02</v>
      </c>
    </row>
    <row r="1006" spans="1:23">
      <c r="A1006" s="1" t="s">
        <v>1929</v>
      </c>
      <c r="B1006" s="1" t="s">
        <v>1930</v>
      </c>
      <c r="C1006" s="1" t="s">
        <v>47</v>
      </c>
      <c r="D1006" s="1" t="s">
        <v>19</v>
      </c>
      <c r="E1006" s="1" t="s">
        <v>20</v>
      </c>
      <c r="F1006">
        <v>1</v>
      </c>
      <c r="G1006" s="2">
        <v>46040</v>
      </c>
      <c r="H1006" s="2">
        <v>46052</v>
      </c>
      <c r="I1006">
        <v>148.96</v>
      </c>
      <c r="J1006">
        <v>44.29</v>
      </c>
      <c r="K1006">
        <v>35.43</v>
      </c>
      <c r="L1006">
        <v>8.86</v>
      </c>
      <c r="M1006" s="1" t="s">
        <v>21</v>
      </c>
      <c r="N1006" s="1" t="s">
        <v>22</v>
      </c>
      <c r="O1006" s="2">
        <v>46125</v>
      </c>
      <c r="P1006" s="2">
        <v>46125</v>
      </c>
      <c r="Q1006">
        <f>_xlfn.XLOOKUP(E1006,CPT!$A$2:$A$13,CPT!$D$2:$D$13)</f>
        <v>145</v>
      </c>
      <c r="R1006" s="1">
        <f>_xlfn.XLOOKUP(C1006,Contract!$A$2:$A$9,Contract!$B$2:$B$9)</f>
        <v>0.28000000000000003</v>
      </c>
      <c r="S1006" s="1">
        <f t="shared" si="60"/>
        <v>40.6</v>
      </c>
      <c r="T1006" s="1">
        <f t="shared" si="61"/>
        <v>-3.6899999999999977</v>
      </c>
      <c r="U1006" s="1" t="str">
        <f t="shared" si="62"/>
        <v>OK</v>
      </c>
      <c r="V1006" s="1" t="str">
        <f>_xlfn.XLOOKUP(C1006,Payers!$A$2:$A$9,Payers!$B$2:$B$9)</f>
        <v>Coastal Medicaid MCO</v>
      </c>
      <c r="W1006" s="1" t="str">
        <f t="shared" si="63"/>
        <v>2026-01</v>
      </c>
    </row>
    <row r="1007" spans="1:23">
      <c r="A1007" s="1" t="s">
        <v>1931</v>
      </c>
      <c r="B1007" s="1" t="s">
        <v>1932</v>
      </c>
      <c r="C1007" s="1" t="s">
        <v>60</v>
      </c>
      <c r="D1007" s="1" t="s">
        <v>37</v>
      </c>
      <c r="E1007" s="1" t="s">
        <v>57</v>
      </c>
      <c r="F1007">
        <v>1</v>
      </c>
      <c r="G1007" s="2">
        <v>46153</v>
      </c>
      <c r="H1007" s="2">
        <v>46154</v>
      </c>
      <c r="I1007">
        <v>211.92</v>
      </c>
      <c r="J1007">
        <v>105.91</v>
      </c>
      <c r="K1007">
        <v>95.32</v>
      </c>
      <c r="L1007">
        <v>10.59</v>
      </c>
      <c r="M1007" s="1" t="s">
        <v>21</v>
      </c>
      <c r="N1007" s="1" t="s">
        <v>22</v>
      </c>
      <c r="O1007" s="2">
        <v>46172</v>
      </c>
      <c r="P1007" s="2">
        <v>46172</v>
      </c>
      <c r="Q1007">
        <f>_xlfn.XLOOKUP(E1007,CPT!$A$2:$A$13,CPT!$D$2:$D$13)</f>
        <v>210</v>
      </c>
      <c r="R1007" s="1">
        <f>_xlfn.XLOOKUP(C1007,Contract!$A$2:$A$9,Contract!$B$2:$B$9)</f>
        <v>0.45</v>
      </c>
      <c r="S1007" s="1">
        <f t="shared" si="60"/>
        <v>94.5</v>
      </c>
      <c r="T1007" s="1">
        <f t="shared" si="61"/>
        <v>-11.409999999999997</v>
      </c>
      <c r="U1007" s="1" t="str">
        <f t="shared" si="62"/>
        <v>OK</v>
      </c>
      <c r="V1007" s="1" t="str">
        <f>_xlfn.XLOOKUP(C1007,Payers!$A$2:$A$9,Payers!$B$2:$B$9)</f>
        <v>Blue Horizon Commercial</v>
      </c>
      <c r="W1007" s="1" t="str">
        <f t="shared" si="63"/>
        <v>2026-05</v>
      </c>
    </row>
    <row r="1008" spans="1:23">
      <c r="A1008" s="1" t="s">
        <v>1933</v>
      </c>
      <c r="B1008" s="1" t="s">
        <v>1934</v>
      </c>
      <c r="C1008" s="1" t="s">
        <v>76</v>
      </c>
      <c r="D1008" s="1" t="s">
        <v>19</v>
      </c>
      <c r="E1008" s="1" t="s">
        <v>57</v>
      </c>
      <c r="F1008">
        <v>1</v>
      </c>
      <c r="G1008" s="2">
        <v>46022</v>
      </c>
      <c r="H1008" s="2">
        <v>46044</v>
      </c>
      <c r="I1008">
        <v>215.46</v>
      </c>
      <c r="J1008">
        <v>88.13</v>
      </c>
      <c r="K1008">
        <v>79.319999999999993</v>
      </c>
      <c r="L1008">
        <v>8.81</v>
      </c>
      <c r="M1008" s="1" t="s">
        <v>21</v>
      </c>
      <c r="N1008" s="1" t="s">
        <v>22</v>
      </c>
      <c r="O1008" s="2">
        <v>46080</v>
      </c>
      <c r="P1008" s="2">
        <v>46080</v>
      </c>
      <c r="Q1008">
        <f>_xlfn.XLOOKUP(E1008,CPT!$A$2:$A$13,CPT!$D$2:$D$13)</f>
        <v>210</v>
      </c>
      <c r="R1008" s="1">
        <f>_xlfn.XLOOKUP(C1008,Contract!$A$2:$A$9,Contract!$B$2:$B$9)</f>
        <v>0.43</v>
      </c>
      <c r="S1008" s="1">
        <f t="shared" si="60"/>
        <v>90.3</v>
      </c>
      <c r="T1008" s="1">
        <f t="shared" si="61"/>
        <v>2.1700000000000017</v>
      </c>
      <c r="U1008" s="1" t="str">
        <f t="shared" si="62"/>
        <v>OK</v>
      </c>
      <c r="V1008" s="1" t="str">
        <f>_xlfn.XLOOKUP(C1008,Payers!$A$2:$A$9,Payers!$B$2:$B$9)</f>
        <v>Summit Health Commercial</v>
      </c>
      <c r="W1008" s="1" t="str">
        <f t="shared" si="63"/>
        <v>2025-12</v>
      </c>
    </row>
    <row r="1009" spans="1:23">
      <c r="A1009" s="1" t="s">
        <v>1935</v>
      </c>
      <c r="B1009" s="1" t="s">
        <v>1936</v>
      </c>
      <c r="C1009" s="1" t="s">
        <v>52</v>
      </c>
      <c r="D1009" s="1" t="s">
        <v>30</v>
      </c>
      <c r="E1009" s="1" t="s">
        <v>91</v>
      </c>
      <c r="F1009">
        <v>3</v>
      </c>
      <c r="G1009" s="2">
        <v>45937</v>
      </c>
      <c r="H1009" s="2">
        <v>45942</v>
      </c>
      <c r="I1009">
        <v>171.63</v>
      </c>
      <c r="J1009">
        <v>93.6</v>
      </c>
      <c r="K1009">
        <v>84.24</v>
      </c>
      <c r="L1009">
        <v>9.36</v>
      </c>
      <c r="M1009" s="1" t="s">
        <v>21</v>
      </c>
      <c r="N1009" s="1" t="s">
        <v>22</v>
      </c>
      <c r="O1009" s="2">
        <v>46003</v>
      </c>
      <c r="P1009" s="2">
        <v>46003</v>
      </c>
      <c r="Q1009">
        <f>_xlfn.XLOOKUP(E1009,CPT!$A$2:$A$13,CPT!$D$2:$D$13)</f>
        <v>58</v>
      </c>
      <c r="R1009" s="1">
        <f>_xlfn.XLOOKUP(C1009,Contract!$A$2:$A$9,Contract!$B$2:$B$9)</f>
        <v>0.47</v>
      </c>
      <c r="S1009" s="1">
        <f t="shared" si="60"/>
        <v>81.78</v>
      </c>
      <c r="T1009" s="1">
        <f t="shared" si="61"/>
        <v>-11.819999999999993</v>
      </c>
      <c r="U1009" s="1" t="str">
        <f t="shared" si="62"/>
        <v>OK</v>
      </c>
      <c r="V1009" s="1" t="str">
        <f>_xlfn.XLOOKUP(C1009,Payers!$A$2:$A$9,Payers!$B$2:$B$9)</f>
        <v>Keystone Commercial PPO</v>
      </c>
      <c r="W1009" s="1" t="str">
        <f t="shared" si="63"/>
        <v>2025-10</v>
      </c>
    </row>
    <row r="1010" spans="1:23">
      <c r="A1010" s="1" t="s">
        <v>1937</v>
      </c>
      <c r="B1010" s="1" t="s">
        <v>1938</v>
      </c>
      <c r="C1010" s="1" t="s">
        <v>47</v>
      </c>
      <c r="D1010" s="1" t="s">
        <v>19</v>
      </c>
      <c r="E1010" s="1" t="s">
        <v>20</v>
      </c>
      <c r="F1010">
        <v>1</v>
      </c>
      <c r="G1010" s="2">
        <v>46172</v>
      </c>
      <c r="H1010" s="2">
        <v>46177</v>
      </c>
      <c r="I1010">
        <v>149.33000000000001</v>
      </c>
      <c r="J1010">
        <v>41.32</v>
      </c>
      <c r="K1010">
        <v>41.32</v>
      </c>
      <c r="L1010">
        <v>0</v>
      </c>
      <c r="M1010" s="1" t="s">
        <v>21</v>
      </c>
      <c r="N1010" s="1" t="s">
        <v>22</v>
      </c>
      <c r="O1010" s="2">
        <v>46259</v>
      </c>
      <c r="P1010" s="2">
        <v>46259</v>
      </c>
      <c r="Q1010">
        <f>_xlfn.XLOOKUP(E1010,CPT!$A$2:$A$13,CPT!$D$2:$D$13)</f>
        <v>145</v>
      </c>
      <c r="R1010" s="1">
        <f>_xlfn.XLOOKUP(C1010,Contract!$A$2:$A$9,Contract!$B$2:$B$9)</f>
        <v>0.28000000000000003</v>
      </c>
      <c r="S1010" s="1">
        <f t="shared" si="60"/>
        <v>40.6</v>
      </c>
      <c r="T1010" s="1">
        <f t="shared" si="61"/>
        <v>-0.71999999999999886</v>
      </c>
      <c r="U1010" s="1" t="str">
        <f t="shared" si="62"/>
        <v>OK</v>
      </c>
      <c r="V1010" s="1" t="str">
        <f>_xlfn.XLOOKUP(C1010,Payers!$A$2:$A$9,Payers!$B$2:$B$9)</f>
        <v>Coastal Medicaid MCO</v>
      </c>
      <c r="W1010" s="1" t="str">
        <f t="shared" si="63"/>
        <v>2026-05</v>
      </c>
    </row>
    <row r="1011" spans="1:23">
      <c r="A1011" s="1" t="s">
        <v>1939</v>
      </c>
      <c r="B1011" s="1" t="s">
        <v>1940</v>
      </c>
      <c r="C1011" s="1" t="s">
        <v>18</v>
      </c>
      <c r="D1011" s="1" t="s">
        <v>19</v>
      </c>
      <c r="E1011" s="1" t="s">
        <v>57</v>
      </c>
      <c r="F1011">
        <v>1</v>
      </c>
      <c r="G1011" s="2">
        <v>46021</v>
      </c>
      <c r="H1011" s="2">
        <v>46022</v>
      </c>
      <c r="I1011">
        <v>214.67</v>
      </c>
      <c r="J1011">
        <v>90.95</v>
      </c>
      <c r="K1011">
        <v>90.95</v>
      </c>
      <c r="L1011">
        <v>0</v>
      </c>
      <c r="M1011" s="1" t="s">
        <v>21</v>
      </c>
      <c r="N1011" s="1" t="s">
        <v>22</v>
      </c>
      <c r="O1011" s="2">
        <v>46055</v>
      </c>
      <c r="P1011" s="2">
        <v>46055</v>
      </c>
      <c r="Q1011">
        <f>_xlfn.XLOOKUP(E1011,CPT!$A$2:$A$13,CPT!$D$2:$D$13)</f>
        <v>210</v>
      </c>
      <c r="R1011" s="1">
        <f>_xlfn.XLOOKUP(C1011,Contract!$A$2:$A$9,Contract!$B$2:$B$9)</f>
        <v>0.38</v>
      </c>
      <c r="S1011" s="1">
        <f t="shared" si="60"/>
        <v>79.8</v>
      </c>
      <c r="T1011" s="1">
        <f t="shared" si="61"/>
        <v>-11.150000000000006</v>
      </c>
      <c r="U1011" s="1" t="str">
        <f t="shared" si="62"/>
        <v>OK</v>
      </c>
      <c r="V1011" s="1" t="str">
        <f>_xlfn.XLOOKUP(C1011,Payers!$A$2:$A$9,Payers!$B$2:$B$9)</f>
        <v>Sunshine Medicare Advantage</v>
      </c>
      <c r="W1011" s="1" t="str">
        <f t="shared" si="63"/>
        <v>2025-12</v>
      </c>
    </row>
    <row r="1012" spans="1:23">
      <c r="A1012" s="1" t="s">
        <v>1941</v>
      </c>
      <c r="B1012" s="1" t="s">
        <v>1942</v>
      </c>
      <c r="C1012" s="1" t="s">
        <v>76</v>
      </c>
      <c r="D1012" s="1" t="s">
        <v>19</v>
      </c>
      <c r="E1012" s="1" t="s">
        <v>20</v>
      </c>
      <c r="F1012">
        <v>1</v>
      </c>
      <c r="G1012" s="2">
        <v>46209</v>
      </c>
      <c r="H1012" s="2">
        <v>46217</v>
      </c>
      <c r="I1012">
        <v>143.06</v>
      </c>
      <c r="J1012">
        <v>65.680000000000007</v>
      </c>
      <c r="K1012">
        <v>59.11</v>
      </c>
      <c r="L1012">
        <v>6.57</v>
      </c>
      <c r="M1012" s="1" t="s">
        <v>21</v>
      </c>
      <c r="N1012" s="1" t="s">
        <v>22</v>
      </c>
      <c r="O1012" s="2">
        <v>46241</v>
      </c>
      <c r="P1012" s="2">
        <v>46241</v>
      </c>
      <c r="Q1012">
        <f>_xlfn.XLOOKUP(E1012,CPT!$A$2:$A$13,CPT!$D$2:$D$13)</f>
        <v>145</v>
      </c>
      <c r="R1012" s="1">
        <f>_xlfn.XLOOKUP(C1012,Contract!$A$2:$A$9,Contract!$B$2:$B$9)</f>
        <v>0.43</v>
      </c>
      <c r="S1012" s="1">
        <f t="shared" si="60"/>
        <v>62.35</v>
      </c>
      <c r="T1012" s="1">
        <f t="shared" si="61"/>
        <v>-3.3300000000000054</v>
      </c>
      <c r="U1012" s="1" t="str">
        <f t="shared" si="62"/>
        <v>OK</v>
      </c>
      <c r="V1012" s="1" t="str">
        <f>_xlfn.XLOOKUP(C1012,Payers!$A$2:$A$9,Payers!$B$2:$B$9)</f>
        <v>Summit Health Commercial</v>
      </c>
      <c r="W1012" s="1" t="str">
        <f t="shared" si="63"/>
        <v>2026-07</v>
      </c>
    </row>
    <row r="1013" spans="1:23">
      <c r="A1013" s="1" t="s">
        <v>1943</v>
      </c>
      <c r="B1013" s="1" t="s">
        <v>1944</v>
      </c>
      <c r="C1013" s="1" t="s">
        <v>18</v>
      </c>
      <c r="D1013" s="1" t="s">
        <v>26</v>
      </c>
      <c r="E1013" s="1" t="s">
        <v>27</v>
      </c>
      <c r="F1013">
        <v>1</v>
      </c>
      <c r="G1013" s="2">
        <v>46118</v>
      </c>
      <c r="H1013" s="2">
        <v>46130</v>
      </c>
      <c r="I1013">
        <v>240.24</v>
      </c>
      <c r="J1013">
        <v>101.55</v>
      </c>
      <c r="K1013">
        <v>101.55</v>
      </c>
      <c r="L1013">
        <v>0</v>
      </c>
      <c r="M1013" s="1" t="s">
        <v>21</v>
      </c>
      <c r="N1013" s="1" t="s">
        <v>22</v>
      </c>
      <c r="O1013" s="2">
        <v>46202</v>
      </c>
      <c r="P1013" s="2">
        <v>46202</v>
      </c>
      <c r="Q1013">
        <f>_xlfn.XLOOKUP(E1013,CPT!$A$2:$A$13,CPT!$D$2:$D$13)</f>
        <v>240</v>
      </c>
      <c r="R1013" s="1">
        <f>_xlfn.XLOOKUP(C1013,Contract!$A$2:$A$9,Contract!$B$2:$B$9)</f>
        <v>0.38</v>
      </c>
      <c r="S1013" s="1">
        <f t="shared" si="60"/>
        <v>91.2</v>
      </c>
      <c r="T1013" s="1">
        <f t="shared" si="61"/>
        <v>-10.349999999999994</v>
      </c>
      <c r="U1013" s="1" t="str">
        <f t="shared" si="62"/>
        <v>OK</v>
      </c>
      <c r="V1013" s="1" t="str">
        <f>_xlfn.XLOOKUP(C1013,Payers!$A$2:$A$9,Payers!$B$2:$B$9)</f>
        <v>Sunshine Medicare Advantage</v>
      </c>
      <c r="W1013" s="1" t="str">
        <f t="shared" si="63"/>
        <v>2026-04</v>
      </c>
    </row>
    <row r="1014" spans="1:23">
      <c r="A1014" s="1" t="s">
        <v>1945</v>
      </c>
      <c r="B1014" s="1" t="s">
        <v>639</v>
      </c>
      <c r="C1014" s="1" t="s">
        <v>52</v>
      </c>
      <c r="D1014" s="1" t="s">
        <v>26</v>
      </c>
      <c r="E1014" s="1" t="s">
        <v>44</v>
      </c>
      <c r="F1014">
        <v>1</v>
      </c>
      <c r="G1014" s="2">
        <v>46067</v>
      </c>
      <c r="H1014" s="2">
        <v>46070</v>
      </c>
      <c r="I1014">
        <v>4680.18</v>
      </c>
      <c r="M1014" s="1" t="s">
        <v>32</v>
      </c>
      <c r="N1014" s="1" t="s">
        <v>315</v>
      </c>
      <c r="O1014" s="2">
        <v>46125</v>
      </c>
      <c r="P1014" s="2"/>
      <c r="Q1014">
        <f>_xlfn.XLOOKUP(E1014,CPT!$A$2:$A$13,CPT!$D$2:$D$13)</f>
        <v>4800</v>
      </c>
      <c r="R1014" s="1">
        <f>_xlfn.XLOOKUP(C1014,Contract!$A$2:$A$9,Contract!$B$2:$B$9)</f>
        <v>0.47</v>
      </c>
      <c r="S1014" s="1">
        <f t="shared" si="60"/>
        <v>2256</v>
      </c>
      <c r="T1014" s="1" t="str">
        <f t="shared" si="61"/>
        <v/>
      </c>
      <c r="U1014" s="1" t="str">
        <f t="shared" si="62"/>
        <v/>
      </c>
      <c r="V1014" s="1" t="str">
        <f>_xlfn.XLOOKUP(C1014,Payers!$A$2:$A$9,Payers!$B$2:$B$9)</f>
        <v>Keystone Commercial PPO</v>
      </c>
      <c r="W1014" s="1" t="str">
        <f t="shared" si="63"/>
        <v>2026-02</v>
      </c>
    </row>
    <row r="1015" spans="1:23">
      <c r="A1015" s="1" t="s">
        <v>1946</v>
      </c>
      <c r="B1015" s="1" t="s">
        <v>1947</v>
      </c>
      <c r="C1015" s="1" t="s">
        <v>76</v>
      </c>
      <c r="D1015" s="1" t="s">
        <v>26</v>
      </c>
      <c r="E1015" s="1" t="s">
        <v>27</v>
      </c>
      <c r="F1015">
        <v>1</v>
      </c>
      <c r="G1015" s="2">
        <v>46105</v>
      </c>
      <c r="H1015" s="2">
        <v>46113</v>
      </c>
      <c r="I1015">
        <v>239.51</v>
      </c>
      <c r="M1015" s="1" t="s">
        <v>32</v>
      </c>
      <c r="N1015" s="1" t="s">
        <v>49</v>
      </c>
      <c r="O1015" s="2">
        <v>46159</v>
      </c>
      <c r="P1015" s="2"/>
      <c r="Q1015">
        <f>_xlfn.XLOOKUP(E1015,CPT!$A$2:$A$13,CPT!$D$2:$D$13)</f>
        <v>240</v>
      </c>
      <c r="R1015" s="1">
        <f>_xlfn.XLOOKUP(C1015,Contract!$A$2:$A$9,Contract!$B$2:$B$9)</f>
        <v>0.43</v>
      </c>
      <c r="S1015" s="1">
        <f t="shared" si="60"/>
        <v>103.2</v>
      </c>
      <c r="T1015" s="1" t="str">
        <f t="shared" si="61"/>
        <v/>
      </c>
      <c r="U1015" s="1" t="str">
        <f t="shared" si="62"/>
        <v/>
      </c>
      <c r="V1015" s="1" t="str">
        <f>_xlfn.XLOOKUP(C1015,Payers!$A$2:$A$9,Payers!$B$2:$B$9)</f>
        <v>Summit Health Commercial</v>
      </c>
      <c r="W1015" s="1" t="str">
        <f t="shared" si="63"/>
        <v>2026-03</v>
      </c>
    </row>
    <row r="1016" spans="1:23">
      <c r="A1016" s="1" t="s">
        <v>1948</v>
      </c>
      <c r="B1016" s="1" t="s">
        <v>1949</v>
      </c>
      <c r="C1016" s="1" t="s">
        <v>36</v>
      </c>
      <c r="D1016" s="1" t="s">
        <v>26</v>
      </c>
      <c r="E1016" s="1" t="s">
        <v>57</v>
      </c>
      <c r="F1016">
        <v>1</v>
      </c>
      <c r="G1016" s="2">
        <v>46042</v>
      </c>
      <c r="H1016" s="2">
        <v>46045</v>
      </c>
      <c r="I1016">
        <v>211.74</v>
      </c>
      <c r="J1016">
        <v>65.05</v>
      </c>
      <c r="K1016">
        <v>65.05</v>
      </c>
      <c r="L1016">
        <v>0</v>
      </c>
      <c r="M1016" s="1" t="s">
        <v>21</v>
      </c>
      <c r="N1016" s="1" t="s">
        <v>22</v>
      </c>
      <c r="O1016" s="2">
        <v>46078</v>
      </c>
      <c r="P1016" s="2">
        <v>46078</v>
      </c>
      <c r="Q1016">
        <f>_xlfn.XLOOKUP(E1016,CPT!$A$2:$A$13,CPT!$D$2:$D$13)</f>
        <v>210</v>
      </c>
      <c r="R1016" s="1">
        <f>_xlfn.XLOOKUP(C1016,Contract!$A$2:$A$9,Contract!$B$2:$B$9)</f>
        <v>0.27</v>
      </c>
      <c r="S1016" s="1">
        <f t="shared" si="60"/>
        <v>56.7</v>
      </c>
      <c r="T1016" s="1">
        <f t="shared" si="61"/>
        <v>-8.3499999999999943</v>
      </c>
      <c r="U1016" s="1" t="str">
        <f t="shared" si="62"/>
        <v>OK</v>
      </c>
      <c r="V1016" s="1" t="str">
        <f>_xlfn.XLOOKUP(C1016,Payers!$A$2:$A$9,Payers!$B$2:$B$9)</f>
        <v>Florida Medicaid</v>
      </c>
      <c r="W1016" s="1" t="str">
        <f t="shared" si="63"/>
        <v>2026-01</v>
      </c>
    </row>
    <row r="1017" spans="1:23">
      <c r="A1017" s="1" t="s">
        <v>1950</v>
      </c>
      <c r="B1017" s="1" t="s">
        <v>1951</v>
      </c>
      <c r="C1017" s="1" t="s">
        <v>76</v>
      </c>
      <c r="D1017" s="1" t="s">
        <v>37</v>
      </c>
      <c r="E1017" s="1" t="s">
        <v>38</v>
      </c>
      <c r="F1017">
        <v>20</v>
      </c>
      <c r="G1017" s="2">
        <v>46125</v>
      </c>
      <c r="H1017" s="2">
        <v>46126</v>
      </c>
      <c r="I1017">
        <v>28439.73</v>
      </c>
      <c r="J1017">
        <v>11121.43</v>
      </c>
      <c r="K1017">
        <v>11121.43</v>
      </c>
      <c r="L1017">
        <v>0</v>
      </c>
      <c r="M1017" s="1" t="s">
        <v>21</v>
      </c>
      <c r="N1017" s="1" t="s">
        <v>22</v>
      </c>
      <c r="O1017" s="2">
        <v>46171</v>
      </c>
      <c r="P1017" s="2">
        <v>46171</v>
      </c>
      <c r="Q1017">
        <f>_xlfn.XLOOKUP(E1017,CPT!$A$2:$A$13,CPT!$D$2:$D$13)</f>
        <v>1450</v>
      </c>
      <c r="R1017" s="1">
        <f>_xlfn.XLOOKUP(C1017,Contract!$A$2:$A$9,Contract!$B$2:$B$9)</f>
        <v>0.43</v>
      </c>
      <c r="S1017" s="1">
        <f t="shared" si="60"/>
        <v>12470</v>
      </c>
      <c r="T1017" s="1">
        <f t="shared" si="61"/>
        <v>1348.5699999999997</v>
      </c>
      <c r="U1017" s="1" t="str">
        <f t="shared" si="62"/>
        <v>Underpaid</v>
      </c>
      <c r="V1017" s="1" t="str">
        <f>_xlfn.XLOOKUP(C1017,Payers!$A$2:$A$9,Payers!$B$2:$B$9)</f>
        <v>Summit Health Commercial</v>
      </c>
      <c r="W1017" s="1" t="str">
        <f t="shared" si="63"/>
        <v>2026-04</v>
      </c>
    </row>
    <row r="1018" spans="1:23">
      <c r="A1018" s="1" t="s">
        <v>1952</v>
      </c>
      <c r="B1018" s="1" t="s">
        <v>1953</v>
      </c>
      <c r="C1018" s="1" t="s">
        <v>79</v>
      </c>
      <c r="D1018" s="1" t="s">
        <v>30</v>
      </c>
      <c r="E1018" s="1" t="s">
        <v>31</v>
      </c>
      <c r="F1018">
        <v>4</v>
      </c>
      <c r="G1018" s="2">
        <v>46063</v>
      </c>
      <c r="H1018" s="2">
        <v>46064</v>
      </c>
      <c r="I1018">
        <v>247.1</v>
      </c>
      <c r="J1018">
        <v>247.1</v>
      </c>
      <c r="K1018">
        <v>247.1</v>
      </c>
      <c r="L1018">
        <v>0</v>
      </c>
      <c r="M1018" s="1" t="s">
        <v>21</v>
      </c>
      <c r="N1018" s="1" t="s">
        <v>22</v>
      </c>
      <c r="O1018" s="2">
        <v>46142</v>
      </c>
      <c r="P1018" s="2">
        <v>46142</v>
      </c>
      <c r="Q1018">
        <f>_xlfn.XLOOKUP(E1018,CPT!$A$2:$A$13,CPT!$D$2:$D$13)</f>
        <v>62</v>
      </c>
      <c r="R1018" s="1">
        <f>_xlfn.XLOOKUP(C1018,Contract!$A$2:$A$9,Contract!$B$2:$B$9)</f>
        <v>1</v>
      </c>
      <c r="S1018" s="1">
        <f t="shared" si="60"/>
        <v>248</v>
      </c>
      <c r="T1018" s="1">
        <f t="shared" si="61"/>
        <v>0.90000000000000568</v>
      </c>
      <c r="U1018" s="1" t="str">
        <f t="shared" si="62"/>
        <v>OK</v>
      </c>
      <c r="V1018" s="1" t="str">
        <f>_xlfn.XLOOKUP(C1018,Payers!$A$2:$A$9,Payers!$B$2:$B$9)</f>
        <v>Self-Pay</v>
      </c>
      <c r="W1018" s="1" t="str">
        <f t="shared" si="63"/>
        <v>2026-02</v>
      </c>
    </row>
    <row r="1019" spans="1:23">
      <c r="A1019" s="1" t="s">
        <v>1954</v>
      </c>
      <c r="B1019" s="1" t="s">
        <v>963</v>
      </c>
      <c r="C1019" s="1" t="s">
        <v>47</v>
      </c>
      <c r="D1019" s="1" t="s">
        <v>30</v>
      </c>
      <c r="E1019" s="1" t="s">
        <v>31</v>
      </c>
      <c r="F1019">
        <v>2</v>
      </c>
      <c r="G1019" s="2">
        <v>46230</v>
      </c>
      <c r="H1019" s="2">
        <v>46234</v>
      </c>
      <c r="I1019">
        <v>121.44</v>
      </c>
      <c r="J1019">
        <v>35.42</v>
      </c>
      <c r="K1019">
        <v>31.88</v>
      </c>
      <c r="L1019">
        <v>3.54</v>
      </c>
      <c r="M1019" s="1" t="s">
        <v>21</v>
      </c>
      <c r="N1019" s="1" t="s">
        <v>22</v>
      </c>
      <c r="O1019" s="2">
        <v>46272</v>
      </c>
      <c r="P1019" s="2">
        <v>46272</v>
      </c>
      <c r="Q1019">
        <f>_xlfn.XLOOKUP(E1019,CPT!$A$2:$A$13,CPT!$D$2:$D$13)</f>
        <v>62</v>
      </c>
      <c r="R1019" s="1">
        <f>_xlfn.XLOOKUP(C1019,Contract!$A$2:$A$9,Contract!$B$2:$B$9)</f>
        <v>0.28000000000000003</v>
      </c>
      <c r="S1019" s="1">
        <f t="shared" si="60"/>
        <v>34.72</v>
      </c>
      <c r="T1019" s="1">
        <f t="shared" si="61"/>
        <v>-0.70000000000000284</v>
      </c>
      <c r="U1019" s="1" t="str">
        <f t="shared" si="62"/>
        <v>OK</v>
      </c>
      <c r="V1019" s="1" t="str">
        <f>_xlfn.XLOOKUP(C1019,Payers!$A$2:$A$9,Payers!$B$2:$B$9)</f>
        <v>Coastal Medicaid MCO</v>
      </c>
      <c r="W1019" s="1" t="str">
        <f t="shared" si="63"/>
        <v>2026-07</v>
      </c>
    </row>
    <row r="1020" spans="1:23">
      <c r="A1020" s="1" t="s">
        <v>1955</v>
      </c>
      <c r="B1020" s="1" t="s">
        <v>805</v>
      </c>
      <c r="C1020" s="1" t="s">
        <v>60</v>
      </c>
      <c r="D1020" s="1" t="s">
        <v>19</v>
      </c>
      <c r="E1020" s="1" t="s">
        <v>88</v>
      </c>
      <c r="F1020">
        <v>1</v>
      </c>
      <c r="G1020" s="2">
        <v>46038</v>
      </c>
      <c r="H1020" s="2">
        <v>46041</v>
      </c>
      <c r="I1020">
        <v>256.23</v>
      </c>
      <c r="M1020" s="1" t="s">
        <v>32</v>
      </c>
      <c r="N1020" s="1" t="s">
        <v>33</v>
      </c>
      <c r="O1020" s="2">
        <v>46070</v>
      </c>
      <c r="P1020" s="2"/>
      <c r="Q1020">
        <f>_xlfn.XLOOKUP(E1020,CPT!$A$2:$A$13,CPT!$D$2:$D$13)</f>
        <v>260</v>
      </c>
      <c r="R1020" s="1">
        <f>_xlfn.XLOOKUP(C1020,Contract!$A$2:$A$9,Contract!$B$2:$B$9)</f>
        <v>0.45</v>
      </c>
      <c r="S1020" s="1">
        <f t="shared" si="60"/>
        <v>117</v>
      </c>
      <c r="T1020" s="1" t="str">
        <f t="shared" si="61"/>
        <v/>
      </c>
      <c r="U1020" s="1" t="str">
        <f t="shared" si="62"/>
        <v/>
      </c>
      <c r="V1020" s="1" t="str">
        <f>_xlfn.XLOOKUP(C1020,Payers!$A$2:$A$9,Payers!$B$2:$B$9)</f>
        <v>Blue Horizon Commercial</v>
      </c>
      <c r="W1020" s="1" t="str">
        <f t="shared" si="63"/>
        <v>2026-01</v>
      </c>
    </row>
    <row r="1021" spans="1:23">
      <c r="A1021" s="1" t="s">
        <v>1956</v>
      </c>
      <c r="B1021" s="1" t="s">
        <v>1957</v>
      </c>
      <c r="C1021" s="1" t="s">
        <v>25</v>
      </c>
      <c r="D1021" s="1" t="s">
        <v>26</v>
      </c>
      <c r="E1021" s="1" t="s">
        <v>88</v>
      </c>
      <c r="F1021">
        <v>1</v>
      </c>
      <c r="G1021" s="2">
        <v>45935</v>
      </c>
      <c r="H1021" s="2">
        <v>45938</v>
      </c>
      <c r="I1021">
        <v>254.68</v>
      </c>
      <c r="J1021">
        <v>103.18</v>
      </c>
      <c r="K1021">
        <v>103.18</v>
      </c>
      <c r="L1021">
        <v>0</v>
      </c>
      <c r="M1021" s="1" t="s">
        <v>21</v>
      </c>
      <c r="N1021" s="1" t="s">
        <v>22</v>
      </c>
      <c r="O1021" s="2">
        <v>45958</v>
      </c>
      <c r="P1021" s="2">
        <v>45958</v>
      </c>
      <c r="Q1021">
        <f>_xlfn.XLOOKUP(E1021,CPT!$A$2:$A$13,CPT!$D$2:$D$13)</f>
        <v>260</v>
      </c>
      <c r="R1021" s="1">
        <f>_xlfn.XLOOKUP(C1021,Contract!$A$2:$A$9,Contract!$B$2:$B$9)</f>
        <v>0.36</v>
      </c>
      <c r="S1021" s="1">
        <f t="shared" si="60"/>
        <v>93.6</v>
      </c>
      <c r="T1021" s="1">
        <f t="shared" si="61"/>
        <v>-9.5800000000000125</v>
      </c>
      <c r="U1021" s="1" t="str">
        <f t="shared" si="62"/>
        <v>OK</v>
      </c>
      <c r="V1021" s="1" t="str">
        <f>_xlfn.XLOOKUP(C1021,Payers!$A$2:$A$9,Payers!$B$2:$B$9)</f>
        <v>Medicare Part B</v>
      </c>
      <c r="W1021" s="1" t="str">
        <f t="shared" si="63"/>
        <v>2025-10</v>
      </c>
    </row>
    <row r="1022" spans="1:23">
      <c r="A1022" s="1" t="s">
        <v>1958</v>
      </c>
      <c r="B1022" s="1" t="s">
        <v>1959</v>
      </c>
      <c r="C1022" s="1" t="s">
        <v>25</v>
      </c>
      <c r="D1022" s="1" t="s">
        <v>26</v>
      </c>
      <c r="E1022" s="1" t="s">
        <v>113</v>
      </c>
      <c r="F1022">
        <v>1</v>
      </c>
      <c r="G1022" s="2">
        <v>45942</v>
      </c>
      <c r="H1022" s="2">
        <v>45946</v>
      </c>
      <c r="I1022">
        <v>1046.1600000000001</v>
      </c>
      <c r="J1022">
        <v>399.41</v>
      </c>
      <c r="K1022">
        <v>399.41</v>
      </c>
      <c r="L1022">
        <v>0</v>
      </c>
      <c r="M1022" s="1" t="s">
        <v>21</v>
      </c>
      <c r="N1022" s="1" t="s">
        <v>22</v>
      </c>
      <c r="O1022" s="2">
        <v>45963</v>
      </c>
      <c r="P1022" s="2">
        <v>45963</v>
      </c>
      <c r="Q1022">
        <f>_xlfn.XLOOKUP(E1022,CPT!$A$2:$A$13,CPT!$D$2:$D$13)</f>
        <v>1050</v>
      </c>
      <c r="R1022" s="1">
        <f>_xlfn.XLOOKUP(C1022,Contract!$A$2:$A$9,Contract!$B$2:$B$9)</f>
        <v>0.36</v>
      </c>
      <c r="S1022" s="1">
        <f t="shared" si="60"/>
        <v>378</v>
      </c>
      <c r="T1022" s="1">
        <f t="shared" si="61"/>
        <v>-21.410000000000025</v>
      </c>
      <c r="U1022" s="1" t="str">
        <f t="shared" si="62"/>
        <v>OK</v>
      </c>
      <c r="V1022" s="1" t="str">
        <f>_xlfn.XLOOKUP(C1022,Payers!$A$2:$A$9,Payers!$B$2:$B$9)</f>
        <v>Medicare Part B</v>
      </c>
      <c r="W1022" s="1" t="str">
        <f t="shared" si="63"/>
        <v>2025-10</v>
      </c>
    </row>
    <row r="1023" spans="1:23">
      <c r="A1023" s="1" t="s">
        <v>1960</v>
      </c>
      <c r="B1023" s="1" t="s">
        <v>1961</v>
      </c>
      <c r="C1023" s="1" t="s">
        <v>76</v>
      </c>
      <c r="D1023" s="1" t="s">
        <v>37</v>
      </c>
      <c r="E1023" s="1" t="s">
        <v>57</v>
      </c>
      <c r="F1023">
        <v>1</v>
      </c>
      <c r="G1023" s="2">
        <v>46278</v>
      </c>
      <c r="H1023" s="2">
        <v>46279</v>
      </c>
      <c r="I1023">
        <v>208.75</v>
      </c>
      <c r="M1023" s="1" t="s">
        <v>69</v>
      </c>
      <c r="N1023" s="1" t="s">
        <v>22</v>
      </c>
      <c r="O1023" s="2"/>
      <c r="P1023" s="2"/>
      <c r="Q1023">
        <f>_xlfn.XLOOKUP(E1023,CPT!$A$2:$A$13,CPT!$D$2:$D$13)</f>
        <v>210</v>
      </c>
      <c r="R1023" s="1">
        <f>_xlfn.XLOOKUP(C1023,Contract!$A$2:$A$9,Contract!$B$2:$B$9)</f>
        <v>0.43</v>
      </c>
      <c r="S1023" s="1">
        <f t="shared" si="60"/>
        <v>90.3</v>
      </c>
      <c r="T1023" s="1" t="str">
        <f t="shared" si="61"/>
        <v/>
      </c>
      <c r="U1023" s="1" t="str">
        <f t="shared" si="62"/>
        <v/>
      </c>
      <c r="V1023" s="1" t="str">
        <f>_xlfn.XLOOKUP(C1023,Payers!$A$2:$A$9,Payers!$B$2:$B$9)</f>
        <v>Summit Health Commercial</v>
      </c>
      <c r="W1023" s="1" t="str">
        <f t="shared" si="63"/>
        <v>2026-09</v>
      </c>
    </row>
    <row r="1024" spans="1:23">
      <c r="A1024" s="1" t="s">
        <v>1962</v>
      </c>
      <c r="B1024" s="1" t="s">
        <v>837</v>
      </c>
      <c r="C1024" s="1" t="s">
        <v>18</v>
      </c>
      <c r="D1024" s="1" t="s">
        <v>26</v>
      </c>
      <c r="E1024" s="1" t="s">
        <v>113</v>
      </c>
      <c r="F1024">
        <v>1</v>
      </c>
      <c r="G1024" s="2">
        <v>46226</v>
      </c>
      <c r="H1024" s="2">
        <v>46227</v>
      </c>
      <c r="I1024">
        <v>1043.75</v>
      </c>
      <c r="M1024" s="1" t="s">
        <v>69</v>
      </c>
      <c r="N1024" s="1" t="s">
        <v>22</v>
      </c>
      <c r="O1024" s="2"/>
      <c r="P1024" s="2"/>
      <c r="Q1024">
        <f>_xlfn.XLOOKUP(E1024,CPT!$A$2:$A$13,CPT!$D$2:$D$13)</f>
        <v>1050</v>
      </c>
      <c r="R1024" s="1">
        <f>_xlfn.XLOOKUP(C1024,Contract!$A$2:$A$9,Contract!$B$2:$B$9)</f>
        <v>0.38</v>
      </c>
      <c r="S1024" s="1">
        <f t="shared" si="60"/>
        <v>399</v>
      </c>
      <c r="T1024" s="1" t="str">
        <f t="shared" si="61"/>
        <v/>
      </c>
      <c r="U1024" s="1" t="str">
        <f t="shared" si="62"/>
        <v/>
      </c>
      <c r="V1024" s="1" t="str">
        <f>_xlfn.XLOOKUP(C1024,Payers!$A$2:$A$9,Payers!$B$2:$B$9)</f>
        <v>Sunshine Medicare Advantage</v>
      </c>
      <c r="W1024" s="1" t="str">
        <f t="shared" si="63"/>
        <v>2026-07</v>
      </c>
    </row>
    <row r="1025" spans="1:23">
      <c r="A1025" s="1" t="s">
        <v>1963</v>
      </c>
      <c r="B1025" s="1" t="s">
        <v>983</v>
      </c>
      <c r="C1025" s="1" t="s">
        <v>18</v>
      </c>
      <c r="D1025" s="1" t="s">
        <v>26</v>
      </c>
      <c r="E1025" s="1" t="s">
        <v>27</v>
      </c>
      <c r="F1025">
        <v>1</v>
      </c>
      <c r="G1025" s="2">
        <v>45997</v>
      </c>
      <c r="H1025" s="2">
        <v>46004</v>
      </c>
      <c r="I1025">
        <v>242.35</v>
      </c>
      <c r="M1025" s="1" t="s">
        <v>32</v>
      </c>
      <c r="N1025" s="1" t="s">
        <v>33</v>
      </c>
      <c r="O1025" s="2">
        <v>46029</v>
      </c>
      <c r="P1025" s="2"/>
      <c r="Q1025">
        <f>_xlfn.XLOOKUP(E1025,CPT!$A$2:$A$13,CPT!$D$2:$D$13)</f>
        <v>240</v>
      </c>
      <c r="R1025" s="1">
        <f>_xlfn.XLOOKUP(C1025,Contract!$A$2:$A$9,Contract!$B$2:$B$9)</f>
        <v>0.38</v>
      </c>
      <c r="S1025" s="1">
        <f t="shared" si="60"/>
        <v>91.2</v>
      </c>
      <c r="T1025" s="1" t="str">
        <f t="shared" si="61"/>
        <v/>
      </c>
      <c r="U1025" s="1" t="str">
        <f t="shared" si="62"/>
        <v/>
      </c>
      <c r="V1025" s="1" t="str">
        <f>_xlfn.XLOOKUP(C1025,Payers!$A$2:$A$9,Payers!$B$2:$B$9)</f>
        <v>Sunshine Medicare Advantage</v>
      </c>
      <c r="W1025" s="1" t="str">
        <f t="shared" si="63"/>
        <v>2025-12</v>
      </c>
    </row>
    <row r="1026" spans="1:23">
      <c r="A1026" s="1" t="s">
        <v>1964</v>
      </c>
      <c r="B1026" s="1" t="s">
        <v>1965</v>
      </c>
      <c r="C1026" s="1" t="s">
        <v>52</v>
      </c>
      <c r="D1026" s="1" t="s">
        <v>19</v>
      </c>
      <c r="E1026" s="1" t="s">
        <v>57</v>
      </c>
      <c r="F1026">
        <v>1</v>
      </c>
      <c r="G1026" s="2">
        <v>46268</v>
      </c>
      <c r="H1026" s="2">
        <v>46277</v>
      </c>
      <c r="I1026">
        <v>205.56</v>
      </c>
      <c r="M1026" s="1" t="s">
        <v>69</v>
      </c>
      <c r="N1026" s="1" t="s">
        <v>22</v>
      </c>
      <c r="O1026" s="2"/>
      <c r="P1026" s="2"/>
      <c r="Q1026">
        <f>_xlfn.XLOOKUP(E1026,CPT!$A$2:$A$13,CPT!$D$2:$D$13)</f>
        <v>210</v>
      </c>
      <c r="R1026" s="1">
        <f>_xlfn.XLOOKUP(C1026,Contract!$A$2:$A$9,Contract!$B$2:$B$9)</f>
        <v>0.47</v>
      </c>
      <c r="S1026" s="1">
        <f t="shared" ref="S1026:S1089" si="64">ROUND(Q1026*F1026*R1026,2)</f>
        <v>98.7</v>
      </c>
      <c r="T1026" s="1" t="str">
        <f t="shared" ref="T1026:T1089" si="65">IF(M1026="Paid",S1026-J1026,"")</f>
        <v/>
      </c>
      <c r="U1026" s="1" t="str">
        <f t="shared" ref="U1026:U1089" si="66">IF(M1026&lt;&gt;"Paid","",IF(T1026&gt;S1026*0.05,"Underpaid","OK"))</f>
        <v/>
      </c>
      <c r="V1026" s="1" t="str">
        <f>_xlfn.XLOOKUP(C1026,Payers!$A$2:$A$9,Payers!$B$2:$B$9)</f>
        <v>Keystone Commercial PPO</v>
      </c>
      <c r="W1026" s="1" t="str">
        <f t="shared" ref="W1026:W1089" si="67">TEXT(G1026,"yyyy-mm")</f>
        <v>2026-09</v>
      </c>
    </row>
    <row r="1027" spans="1:23">
      <c r="A1027" s="1" t="s">
        <v>1966</v>
      </c>
      <c r="B1027" s="1" t="s">
        <v>659</v>
      </c>
      <c r="C1027" s="1" t="s">
        <v>18</v>
      </c>
      <c r="D1027" s="1" t="s">
        <v>37</v>
      </c>
      <c r="E1027" s="1" t="s">
        <v>38</v>
      </c>
      <c r="F1027">
        <v>5</v>
      </c>
      <c r="G1027" s="2">
        <v>46122</v>
      </c>
      <c r="H1027" s="2">
        <v>46124</v>
      </c>
      <c r="I1027">
        <v>7240.14</v>
      </c>
      <c r="J1027">
        <v>2930.28</v>
      </c>
      <c r="K1027">
        <v>2930.28</v>
      </c>
      <c r="L1027">
        <v>0</v>
      </c>
      <c r="M1027" s="1" t="s">
        <v>21</v>
      </c>
      <c r="N1027" s="1" t="s">
        <v>22</v>
      </c>
      <c r="O1027" s="2">
        <v>46186</v>
      </c>
      <c r="P1027" s="2">
        <v>46186</v>
      </c>
      <c r="Q1027">
        <f>_xlfn.XLOOKUP(E1027,CPT!$A$2:$A$13,CPT!$D$2:$D$13)</f>
        <v>1450</v>
      </c>
      <c r="R1027" s="1">
        <f>_xlfn.XLOOKUP(C1027,Contract!$A$2:$A$9,Contract!$B$2:$B$9)</f>
        <v>0.38</v>
      </c>
      <c r="S1027" s="1">
        <f t="shared" si="64"/>
        <v>2755</v>
      </c>
      <c r="T1027" s="1">
        <f t="shared" si="65"/>
        <v>-175.2800000000002</v>
      </c>
      <c r="U1027" s="1" t="str">
        <f t="shared" si="66"/>
        <v>OK</v>
      </c>
      <c r="V1027" s="1" t="str">
        <f>_xlfn.XLOOKUP(C1027,Payers!$A$2:$A$9,Payers!$B$2:$B$9)</f>
        <v>Sunshine Medicare Advantage</v>
      </c>
      <c r="W1027" s="1" t="str">
        <f t="shared" si="67"/>
        <v>2026-04</v>
      </c>
    </row>
    <row r="1028" spans="1:23">
      <c r="A1028" s="1" t="s">
        <v>1967</v>
      </c>
      <c r="B1028" s="1" t="s">
        <v>492</v>
      </c>
      <c r="C1028" s="1" t="s">
        <v>18</v>
      </c>
      <c r="D1028" s="1" t="s">
        <v>37</v>
      </c>
      <c r="E1028" s="1" t="s">
        <v>48</v>
      </c>
      <c r="F1028">
        <v>1</v>
      </c>
      <c r="G1028" s="2">
        <v>45980</v>
      </c>
      <c r="H1028" s="2">
        <v>45982</v>
      </c>
      <c r="I1028">
        <v>417.17</v>
      </c>
      <c r="J1028">
        <v>154.6</v>
      </c>
      <c r="K1028">
        <v>123.68</v>
      </c>
      <c r="L1028">
        <v>30.92</v>
      </c>
      <c r="M1028" s="1" t="s">
        <v>21</v>
      </c>
      <c r="N1028" s="1" t="s">
        <v>22</v>
      </c>
      <c r="O1028" s="2">
        <v>46028</v>
      </c>
      <c r="P1028" s="2">
        <v>46028</v>
      </c>
      <c r="Q1028">
        <f>_xlfn.XLOOKUP(E1028,CPT!$A$2:$A$13,CPT!$D$2:$D$13)</f>
        <v>420</v>
      </c>
      <c r="R1028" s="1">
        <f>_xlfn.XLOOKUP(C1028,Contract!$A$2:$A$9,Contract!$B$2:$B$9)</f>
        <v>0.38</v>
      </c>
      <c r="S1028" s="1">
        <f t="shared" si="64"/>
        <v>159.6</v>
      </c>
      <c r="T1028" s="1">
        <f t="shared" si="65"/>
        <v>5</v>
      </c>
      <c r="U1028" s="1" t="str">
        <f t="shared" si="66"/>
        <v>OK</v>
      </c>
      <c r="V1028" s="1" t="str">
        <f>_xlfn.XLOOKUP(C1028,Payers!$A$2:$A$9,Payers!$B$2:$B$9)</f>
        <v>Sunshine Medicare Advantage</v>
      </c>
      <c r="W1028" s="1" t="str">
        <f t="shared" si="67"/>
        <v>2025-11</v>
      </c>
    </row>
    <row r="1029" spans="1:23">
      <c r="A1029" s="1" t="s">
        <v>1968</v>
      </c>
      <c r="B1029" s="1" t="s">
        <v>1969</v>
      </c>
      <c r="C1029" s="1" t="s">
        <v>76</v>
      </c>
      <c r="D1029" s="1" t="s">
        <v>19</v>
      </c>
      <c r="E1029" s="1" t="s">
        <v>20</v>
      </c>
      <c r="F1029">
        <v>1</v>
      </c>
      <c r="G1029" s="2">
        <v>46273</v>
      </c>
      <c r="H1029" s="2">
        <v>46277</v>
      </c>
      <c r="I1029">
        <v>147.09</v>
      </c>
      <c r="M1029" s="1" t="s">
        <v>69</v>
      </c>
      <c r="N1029" s="1" t="s">
        <v>22</v>
      </c>
      <c r="O1029" s="2"/>
      <c r="P1029" s="2"/>
      <c r="Q1029">
        <f>_xlfn.XLOOKUP(E1029,CPT!$A$2:$A$13,CPT!$D$2:$D$13)</f>
        <v>145</v>
      </c>
      <c r="R1029" s="1">
        <f>_xlfn.XLOOKUP(C1029,Contract!$A$2:$A$9,Contract!$B$2:$B$9)</f>
        <v>0.43</v>
      </c>
      <c r="S1029" s="1">
        <f t="shared" si="64"/>
        <v>62.35</v>
      </c>
      <c r="T1029" s="1" t="str">
        <f t="shared" si="65"/>
        <v/>
      </c>
      <c r="U1029" s="1" t="str">
        <f t="shared" si="66"/>
        <v/>
      </c>
      <c r="V1029" s="1" t="str">
        <f>_xlfn.XLOOKUP(C1029,Payers!$A$2:$A$9,Payers!$B$2:$B$9)</f>
        <v>Summit Health Commercial</v>
      </c>
      <c r="W1029" s="1" t="str">
        <f t="shared" si="67"/>
        <v>2026-09</v>
      </c>
    </row>
    <row r="1030" spans="1:23">
      <c r="A1030" s="1" t="s">
        <v>1970</v>
      </c>
      <c r="B1030" s="1" t="s">
        <v>1971</v>
      </c>
      <c r="C1030" s="1" t="s">
        <v>76</v>
      </c>
      <c r="D1030" s="1" t="s">
        <v>26</v>
      </c>
      <c r="E1030" s="1" t="s">
        <v>185</v>
      </c>
      <c r="F1030">
        <v>1</v>
      </c>
      <c r="G1030" s="2">
        <v>45931</v>
      </c>
      <c r="H1030" s="2">
        <v>45937</v>
      </c>
      <c r="I1030">
        <v>1157.6300000000001</v>
      </c>
      <c r="J1030">
        <v>517.29999999999995</v>
      </c>
      <c r="K1030">
        <v>517.29999999999995</v>
      </c>
      <c r="L1030">
        <v>0</v>
      </c>
      <c r="M1030" s="1" t="s">
        <v>21</v>
      </c>
      <c r="N1030" s="1" t="s">
        <v>22</v>
      </c>
      <c r="O1030" s="2">
        <v>45973</v>
      </c>
      <c r="P1030" s="2">
        <v>45973</v>
      </c>
      <c r="Q1030">
        <f>_xlfn.XLOOKUP(E1030,CPT!$A$2:$A$13,CPT!$D$2:$D$13)</f>
        <v>1150</v>
      </c>
      <c r="R1030" s="1">
        <f>_xlfn.XLOOKUP(C1030,Contract!$A$2:$A$9,Contract!$B$2:$B$9)</f>
        <v>0.43</v>
      </c>
      <c r="S1030" s="1">
        <f t="shared" si="64"/>
        <v>494.5</v>
      </c>
      <c r="T1030" s="1">
        <f t="shared" si="65"/>
        <v>-22.799999999999955</v>
      </c>
      <c r="U1030" s="1" t="str">
        <f t="shared" si="66"/>
        <v>OK</v>
      </c>
      <c r="V1030" s="1" t="str">
        <f>_xlfn.XLOOKUP(C1030,Payers!$A$2:$A$9,Payers!$B$2:$B$9)</f>
        <v>Summit Health Commercial</v>
      </c>
      <c r="W1030" s="1" t="str">
        <f t="shared" si="67"/>
        <v>2025-10</v>
      </c>
    </row>
    <row r="1031" spans="1:23">
      <c r="A1031" s="1" t="s">
        <v>1972</v>
      </c>
      <c r="B1031" s="1" t="s">
        <v>1973</v>
      </c>
      <c r="C1031" s="1" t="s">
        <v>76</v>
      </c>
      <c r="D1031" s="1" t="s">
        <v>19</v>
      </c>
      <c r="E1031" s="1" t="s">
        <v>88</v>
      </c>
      <c r="F1031">
        <v>1</v>
      </c>
      <c r="G1031" s="2">
        <v>46023</v>
      </c>
      <c r="H1031" s="2">
        <v>46025</v>
      </c>
      <c r="I1031">
        <v>258.83999999999997</v>
      </c>
      <c r="J1031">
        <v>121.71</v>
      </c>
      <c r="K1031">
        <v>121.71</v>
      </c>
      <c r="L1031">
        <v>0</v>
      </c>
      <c r="M1031" s="1" t="s">
        <v>21</v>
      </c>
      <c r="N1031" s="1" t="s">
        <v>22</v>
      </c>
      <c r="O1031" s="2">
        <v>46061</v>
      </c>
      <c r="P1031" s="2">
        <v>46061</v>
      </c>
      <c r="Q1031">
        <f>_xlfn.XLOOKUP(E1031,CPT!$A$2:$A$13,CPT!$D$2:$D$13)</f>
        <v>260</v>
      </c>
      <c r="R1031" s="1">
        <f>_xlfn.XLOOKUP(C1031,Contract!$A$2:$A$9,Contract!$B$2:$B$9)</f>
        <v>0.43</v>
      </c>
      <c r="S1031" s="1">
        <f t="shared" si="64"/>
        <v>111.8</v>
      </c>
      <c r="T1031" s="1">
        <f t="shared" si="65"/>
        <v>-9.9099999999999966</v>
      </c>
      <c r="U1031" s="1" t="str">
        <f t="shared" si="66"/>
        <v>OK</v>
      </c>
      <c r="V1031" s="1" t="str">
        <f>_xlfn.XLOOKUP(C1031,Payers!$A$2:$A$9,Payers!$B$2:$B$9)</f>
        <v>Summit Health Commercial</v>
      </c>
      <c r="W1031" s="1" t="str">
        <f t="shared" si="67"/>
        <v>2026-01</v>
      </c>
    </row>
    <row r="1032" spans="1:23">
      <c r="A1032" s="1" t="s">
        <v>1974</v>
      </c>
      <c r="B1032" s="1" t="s">
        <v>1975</v>
      </c>
      <c r="C1032" s="1" t="s">
        <v>60</v>
      </c>
      <c r="D1032" s="1" t="s">
        <v>30</v>
      </c>
      <c r="E1032" s="1" t="s">
        <v>91</v>
      </c>
      <c r="F1032">
        <v>4</v>
      </c>
      <c r="G1032" s="2">
        <v>46134</v>
      </c>
      <c r="H1032" s="2">
        <v>46135</v>
      </c>
      <c r="I1032">
        <v>232.24</v>
      </c>
      <c r="J1032">
        <v>112.07</v>
      </c>
      <c r="K1032">
        <v>112.07</v>
      </c>
      <c r="L1032">
        <v>0</v>
      </c>
      <c r="M1032" s="1" t="s">
        <v>21</v>
      </c>
      <c r="N1032" s="1" t="s">
        <v>22</v>
      </c>
      <c r="O1032" s="2">
        <v>46158</v>
      </c>
      <c r="P1032" s="2">
        <v>46158</v>
      </c>
      <c r="Q1032">
        <f>_xlfn.XLOOKUP(E1032,CPT!$A$2:$A$13,CPT!$D$2:$D$13)</f>
        <v>58</v>
      </c>
      <c r="R1032" s="1">
        <f>_xlfn.XLOOKUP(C1032,Contract!$A$2:$A$9,Contract!$B$2:$B$9)</f>
        <v>0.45</v>
      </c>
      <c r="S1032" s="1">
        <f t="shared" si="64"/>
        <v>104.4</v>
      </c>
      <c r="T1032" s="1">
        <f t="shared" si="65"/>
        <v>-7.6699999999999875</v>
      </c>
      <c r="U1032" s="1" t="str">
        <f t="shared" si="66"/>
        <v>OK</v>
      </c>
      <c r="V1032" s="1" t="str">
        <f>_xlfn.XLOOKUP(C1032,Payers!$A$2:$A$9,Payers!$B$2:$B$9)</f>
        <v>Blue Horizon Commercial</v>
      </c>
      <c r="W1032" s="1" t="str">
        <f t="shared" si="67"/>
        <v>2026-04</v>
      </c>
    </row>
    <row r="1033" spans="1:23">
      <c r="A1033" s="1" t="s">
        <v>1976</v>
      </c>
      <c r="B1033" s="1" t="s">
        <v>1977</v>
      </c>
      <c r="C1033" s="1" t="s">
        <v>52</v>
      </c>
      <c r="D1033" s="1" t="s">
        <v>26</v>
      </c>
      <c r="E1033" s="1" t="s">
        <v>27</v>
      </c>
      <c r="F1033">
        <v>1</v>
      </c>
      <c r="G1033" s="2">
        <v>46282</v>
      </c>
      <c r="H1033" s="2">
        <v>46285</v>
      </c>
      <c r="I1033">
        <v>239.35</v>
      </c>
      <c r="M1033" s="1" t="s">
        <v>69</v>
      </c>
      <c r="N1033" s="1" t="s">
        <v>22</v>
      </c>
      <c r="O1033" s="2"/>
      <c r="P1033" s="2"/>
      <c r="Q1033">
        <f>_xlfn.XLOOKUP(E1033,CPT!$A$2:$A$13,CPT!$D$2:$D$13)</f>
        <v>240</v>
      </c>
      <c r="R1033" s="1">
        <f>_xlfn.XLOOKUP(C1033,Contract!$A$2:$A$9,Contract!$B$2:$B$9)</f>
        <v>0.47</v>
      </c>
      <c r="S1033" s="1">
        <f t="shared" si="64"/>
        <v>112.8</v>
      </c>
      <c r="T1033" s="1" t="str">
        <f t="shared" si="65"/>
        <v/>
      </c>
      <c r="U1033" s="1" t="str">
        <f t="shared" si="66"/>
        <v/>
      </c>
      <c r="V1033" s="1" t="str">
        <f>_xlfn.XLOOKUP(C1033,Payers!$A$2:$A$9,Payers!$B$2:$B$9)</f>
        <v>Keystone Commercial PPO</v>
      </c>
      <c r="W1033" s="1" t="str">
        <f t="shared" si="67"/>
        <v>2026-09</v>
      </c>
    </row>
    <row r="1034" spans="1:23">
      <c r="A1034" s="1" t="s">
        <v>1978</v>
      </c>
      <c r="B1034" s="1" t="s">
        <v>1043</v>
      </c>
      <c r="C1034" s="1" t="s">
        <v>76</v>
      </c>
      <c r="D1034" s="1" t="s">
        <v>26</v>
      </c>
      <c r="E1034" s="1" t="s">
        <v>113</v>
      </c>
      <c r="F1034">
        <v>1</v>
      </c>
      <c r="G1034" s="2">
        <v>46255</v>
      </c>
      <c r="H1034" s="2">
        <v>46262</v>
      </c>
      <c r="I1034">
        <v>1025.81</v>
      </c>
      <c r="M1034" s="1" t="s">
        <v>69</v>
      </c>
      <c r="N1034" s="1" t="s">
        <v>22</v>
      </c>
      <c r="O1034" s="2"/>
      <c r="P1034" s="2"/>
      <c r="Q1034">
        <f>_xlfn.XLOOKUP(E1034,CPT!$A$2:$A$13,CPT!$D$2:$D$13)</f>
        <v>1050</v>
      </c>
      <c r="R1034" s="1">
        <f>_xlfn.XLOOKUP(C1034,Contract!$A$2:$A$9,Contract!$B$2:$B$9)</f>
        <v>0.43</v>
      </c>
      <c r="S1034" s="1">
        <f t="shared" si="64"/>
        <v>451.5</v>
      </c>
      <c r="T1034" s="1" t="str">
        <f t="shared" si="65"/>
        <v/>
      </c>
      <c r="U1034" s="1" t="str">
        <f t="shared" si="66"/>
        <v/>
      </c>
      <c r="V1034" s="1" t="str">
        <f>_xlfn.XLOOKUP(C1034,Payers!$A$2:$A$9,Payers!$B$2:$B$9)</f>
        <v>Summit Health Commercial</v>
      </c>
      <c r="W1034" s="1" t="str">
        <f t="shared" si="67"/>
        <v>2026-08</v>
      </c>
    </row>
    <row r="1035" spans="1:23">
      <c r="A1035" s="1" t="s">
        <v>1979</v>
      </c>
      <c r="B1035" s="1" t="s">
        <v>1980</v>
      </c>
      <c r="C1035" s="1" t="s">
        <v>60</v>
      </c>
      <c r="D1035" s="1" t="s">
        <v>19</v>
      </c>
      <c r="E1035" s="1" t="s">
        <v>88</v>
      </c>
      <c r="F1035">
        <v>1</v>
      </c>
      <c r="G1035" s="2">
        <v>46022</v>
      </c>
      <c r="H1035" s="2">
        <v>46026</v>
      </c>
      <c r="I1035">
        <v>267.5</v>
      </c>
      <c r="J1035">
        <v>126.92</v>
      </c>
      <c r="K1035">
        <v>126.92</v>
      </c>
      <c r="L1035">
        <v>0</v>
      </c>
      <c r="M1035" s="1" t="s">
        <v>21</v>
      </c>
      <c r="N1035" s="1" t="s">
        <v>22</v>
      </c>
      <c r="O1035" s="2">
        <v>46040</v>
      </c>
      <c r="P1035" s="2">
        <v>46040</v>
      </c>
      <c r="Q1035">
        <f>_xlfn.XLOOKUP(E1035,CPT!$A$2:$A$13,CPT!$D$2:$D$13)</f>
        <v>260</v>
      </c>
      <c r="R1035" s="1">
        <f>_xlfn.XLOOKUP(C1035,Contract!$A$2:$A$9,Contract!$B$2:$B$9)</f>
        <v>0.45</v>
      </c>
      <c r="S1035" s="1">
        <f t="shared" si="64"/>
        <v>117</v>
      </c>
      <c r="T1035" s="1">
        <f t="shared" si="65"/>
        <v>-9.9200000000000017</v>
      </c>
      <c r="U1035" s="1" t="str">
        <f t="shared" si="66"/>
        <v>OK</v>
      </c>
      <c r="V1035" s="1" t="str">
        <f>_xlfn.XLOOKUP(C1035,Payers!$A$2:$A$9,Payers!$B$2:$B$9)</f>
        <v>Blue Horizon Commercial</v>
      </c>
      <c r="W1035" s="1" t="str">
        <f t="shared" si="67"/>
        <v>2025-12</v>
      </c>
    </row>
    <row r="1036" spans="1:23">
      <c r="A1036" s="1" t="s">
        <v>1981</v>
      </c>
      <c r="B1036" s="1" t="s">
        <v>1982</v>
      </c>
      <c r="C1036" s="1" t="s">
        <v>25</v>
      </c>
      <c r="D1036" s="1" t="s">
        <v>26</v>
      </c>
      <c r="E1036" s="1" t="s">
        <v>41</v>
      </c>
      <c r="F1036">
        <v>1</v>
      </c>
      <c r="G1036" s="2">
        <v>46032</v>
      </c>
      <c r="H1036" s="2">
        <v>46036</v>
      </c>
      <c r="I1036">
        <v>38.03</v>
      </c>
      <c r="J1036">
        <v>13.41</v>
      </c>
      <c r="K1036">
        <v>10.73</v>
      </c>
      <c r="L1036">
        <v>2.68</v>
      </c>
      <c r="M1036" s="1" t="s">
        <v>21</v>
      </c>
      <c r="N1036" s="1" t="s">
        <v>22</v>
      </c>
      <c r="O1036" s="2">
        <v>46052</v>
      </c>
      <c r="P1036" s="2">
        <v>46052</v>
      </c>
      <c r="Q1036">
        <f>_xlfn.XLOOKUP(E1036,CPT!$A$2:$A$13,CPT!$D$2:$D$13)</f>
        <v>38</v>
      </c>
      <c r="R1036" s="1">
        <f>_xlfn.XLOOKUP(C1036,Contract!$A$2:$A$9,Contract!$B$2:$B$9)</f>
        <v>0.36</v>
      </c>
      <c r="S1036" s="1">
        <f t="shared" si="64"/>
        <v>13.68</v>
      </c>
      <c r="T1036" s="1">
        <f t="shared" si="65"/>
        <v>0.26999999999999957</v>
      </c>
      <c r="U1036" s="1" t="str">
        <f t="shared" si="66"/>
        <v>OK</v>
      </c>
      <c r="V1036" s="1" t="str">
        <f>_xlfn.XLOOKUP(C1036,Payers!$A$2:$A$9,Payers!$B$2:$B$9)</f>
        <v>Medicare Part B</v>
      </c>
      <c r="W1036" s="1" t="str">
        <f t="shared" si="67"/>
        <v>2026-01</v>
      </c>
    </row>
    <row r="1037" spans="1:23">
      <c r="A1037" s="1" t="s">
        <v>1983</v>
      </c>
      <c r="B1037" s="1" t="s">
        <v>1984</v>
      </c>
      <c r="C1037" s="1" t="s">
        <v>76</v>
      </c>
      <c r="D1037" s="1" t="s">
        <v>19</v>
      </c>
      <c r="E1037" s="1" t="s">
        <v>88</v>
      </c>
      <c r="F1037">
        <v>1</v>
      </c>
      <c r="G1037" s="2">
        <v>46103</v>
      </c>
      <c r="H1037" s="2">
        <v>46109</v>
      </c>
      <c r="I1037">
        <v>262.73</v>
      </c>
      <c r="M1037" s="1" t="s">
        <v>32</v>
      </c>
      <c r="N1037" s="1" t="s">
        <v>33</v>
      </c>
      <c r="O1037" s="2">
        <v>46141</v>
      </c>
      <c r="P1037" s="2"/>
      <c r="Q1037">
        <f>_xlfn.XLOOKUP(E1037,CPT!$A$2:$A$13,CPT!$D$2:$D$13)</f>
        <v>260</v>
      </c>
      <c r="R1037" s="1">
        <f>_xlfn.XLOOKUP(C1037,Contract!$A$2:$A$9,Contract!$B$2:$B$9)</f>
        <v>0.43</v>
      </c>
      <c r="S1037" s="1">
        <f t="shared" si="64"/>
        <v>111.8</v>
      </c>
      <c r="T1037" s="1" t="str">
        <f t="shared" si="65"/>
        <v/>
      </c>
      <c r="U1037" s="1" t="str">
        <f t="shared" si="66"/>
        <v/>
      </c>
      <c r="V1037" s="1" t="str">
        <f>_xlfn.XLOOKUP(C1037,Payers!$A$2:$A$9,Payers!$B$2:$B$9)</f>
        <v>Summit Health Commercial</v>
      </c>
      <c r="W1037" s="1" t="str">
        <f t="shared" si="67"/>
        <v>2026-03</v>
      </c>
    </row>
    <row r="1038" spans="1:23">
      <c r="A1038" s="1" t="s">
        <v>1985</v>
      </c>
      <c r="B1038" s="1" t="s">
        <v>1986</v>
      </c>
      <c r="C1038" s="1" t="s">
        <v>25</v>
      </c>
      <c r="D1038" s="1" t="s">
        <v>19</v>
      </c>
      <c r="E1038" s="1" t="s">
        <v>20</v>
      </c>
      <c r="F1038">
        <v>1</v>
      </c>
      <c r="G1038" s="2">
        <v>46133</v>
      </c>
      <c r="H1038" s="2">
        <v>46134</v>
      </c>
      <c r="I1038">
        <v>142.81</v>
      </c>
      <c r="J1038">
        <v>55.04</v>
      </c>
      <c r="K1038">
        <v>49.54</v>
      </c>
      <c r="L1038">
        <v>5.5</v>
      </c>
      <c r="M1038" s="1" t="s">
        <v>21</v>
      </c>
      <c r="N1038" s="1" t="s">
        <v>22</v>
      </c>
      <c r="O1038" s="2">
        <v>46148</v>
      </c>
      <c r="P1038" s="2">
        <v>46148</v>
      </c>
      <c r="Q1038">
        <f>_xlfn.XLOOKUP(E1038,CPT!$A$2:$A$13,CPT!$D$2:$D$13)</f>
        <v>145</v>
      </c>
      <c r="R1038" s="1">
        <f>_xlfn.XLOOKUP(C1038,Contract!$A$2:$A$9,Contract!$B$2:$B$9)</f>
        <v>0.36</v>
      </c>
      <c r="S1038" s="1">
        <f t="shared" si="64"/>
        <v>52.2</v>
      </c>
      <c r="T1038" s="1">
        <f t="shared" si="65"/>
        <v>-2.8399999999999963</v>
      </c>
      <c r="U1038" s="1" t="str">
        <f t="shared" si="66"/>
        <v>OK</v>
      </c>
      <c r="V1038" s="1" t="str">
        <f>_xlfn.XLOOKUP(C1038,Payers!$A$2:$A$9,Payers!$B$2:$B$9)</f>
        <v>Medicare Part B</v>
      </c>
      <c r="W1038" s="1" t="str">
        <f t="shared" si="67"/>
        <v>2026-04</v>
      </c>
    </row>
    <row r="1039" spans="1:23">
      <c r="A1039" s="1" t="s">
        <v>1987</v>
      </c>
      <c r="B1039" s="1" t="s">
        <v>1988</v>
      </c>
      <c r="C1039" s="1" t="s">
        <v>25</v>
      </c>
      <c r="D1039" s="1" t="s">
        <v>30</v>
      </c>
      <c r="E1039" s="1" t="s">
        <v>20</v>
      </c>
      <c r="F1039">
        <v>1</v>
      </c>
      <c r="G1039" s="2">
        <v>46199</v>
      </c>
      <c r="H1039" s="2">
        <v>46200</v>
      </c>
      <c r="I1039">
        <v>145.6</v>
      </c>
      <c r="M1039" s="1" t="s">
        <v>32</v>
      </c>
      <c r="N1039" s="1" t="s">
        <v>98</v>
      </c>
      <c r="O1039" s="2">
        <v>46213</v>
      </c>
      <c r="P1039" s="2"/>
      <c r="Q1039">
        <f>_xlfn.XLOOKUP(E1039,CPT!$A$2:$A$13,CPT!$D$2:$D$13)</f>
        <v>145</v>
      </c>
      <c r="R1039" s="1">
        <f>_xlfn.XLOOKUP(C1039,Contract!$A$2:$A$9,Contract!$B$2:$B$9)</f>
        <v>0.36</v>
      </c>
      <c r="S1039" s="1">
        <f t="shared" si="64"/>
        <v>52.2</v>
      </c>
      <c r="T1039" s="1" t="str">
        <f t="shared" si="65"/>
        <v/>
      </c>
      <c r="U1039" s="1" t="str">
        <f t="shared" si="66"/>
        <v/>
      </c>
      <c r="V1039" s="1" t="str">
        <f>_xlfn.XLOOKUP(C1039,Payers!$A$2:$A$9,Payers!$B$2:$B$9)</f>
        <v>Medicare Part B</v>
      </c>
      <c r="W1039" s="1" t="str">
        <f t="shared" si="67"/>
        <v>2026-06</v>
      </c>
    </row>
    <row r="1040" spans="1:23">
      <c r="A1040" s="1" t="s">
        <v>1989</v>
      </c>
      <c r="B1040" s="1" t="s">
        <v>1990</v>
      </c>
      <c r="C1040" s="1" t="s">
        <v>76</v>
      </c>
      <c r="D1040" s="1" t="s">
        <v>19</v>
      </c>
      <c r="E1040" s="1" t="s">
        <v>20</v>
      </c>
      <c r="F1040">
        <v>1</v>
      </c>
      <c r="G1040" s="2">
        <v>46257</v>
      </c>
      <c r="H1040" s="2">
        <v>46260</v>
      </c>
      <c r="I1040">
        <v>147.16999999999999</v>
      </c>
      <c r="M1040" s="1" t="s">
        <v>32</v>
      </c>
      <c r="N1040" s="1" t="s">
        <v>49</v>
      </c>
      <c r="O1040" s="2">
        <v>46280</v>
      </c>
      <c r="P1040" s="2"/>
      <c r="Q1040">
        <f>_xlfn.XLOOKUP(E1040,CPT!$A$2:$A$13,CPT!$D$2:$D$13)</f>
        <v>145</v>
      </c>
      <c r="R1040" s="1">
        <f>_xlfn.XLOOKUP(C1040,Contract!$A$2:$A$9,Contract!$B$2:$B$9)</f>
        <v>0.43</v>
      </c>
      <c r="S1040" s="1">
        <f t="shared" si="64"/>
        <v>62.35</v>
      </c>
      <c r="T1040" s="1" t="str">
        <f t="shared" si="65"/>
        <v/>
      </c>
      <c r="U1040" s="1" t="str">
        <f t="shared" si="66"/>
        <v/>
      </c>
      <c r="V1040" s="1" t="str">
        <f>_xlfn.XLOOKUP(C1040,Payers!$A$2:$A$9,Payers!$B$2:$B$9)</f>
        <v>Summit Health Commercial</v>
      </c>
      <c r="W1040" s="1" t="str">
        <f t="shared" si="67"/>
        <v>2026-08</v>
      </c>
    </row>
    <row r="1041" spans="1:23">
      <c r="A1041" s="1" t="s">
        <v>1991</v>
      </c>
      <c r="B1041" s="1" t="s">
        <v>1992</v>
      </c>
      <c r="C1041" s="1" t="s">
        <v>25</v>
      </c>
      <c r="D1041" s="1" t="s">
        <v>30</v>
      </c>
      <c r="E1041" s="1" t="s">
        <v>31</v>
      </c>
      <c r="F1041">
        <v>3</v>
      </c>
      <c r="G1041" s="2">
        <v>46086</v>
      </c>
      <c r="H1041" s="2">
        <v>46094</v>
      </c>
      <c r="I1041">
        <v>186.16</v>
      </c>
      <c r="J1041">
        <v>64.400000000000006</v>
      </c>
      <c r="K1041">
        <v>51.52</v>
      </c>
      <c r="L1041">
        <v>12.88</v>
      </c>
      <c r="M1041" s="1" t="s">
        <v>21</v>
      </c>
      <c r="N1041" s="1" t="s">
        <v>22</v>
      </c>
      <c r="O1041" s="2">
        <v>46102</v>
      </c>
      <c r="P1041" s="2">
        <v>46102</v>
      </c>
      <c r="Q1041">
        <f>_xlfn.XLOOKUP(E1041,CPT!$A$2:$A$13,CPT!$D$2:$D$13)</f>
        <v>62</v>
      </c>
      <c r="R1041" s="1">
        <f>_xlfn.XLOOKUP(C1041,Contract!$A$2:$A$9,Contract!$B$2:$B$9)</f>
        <v>0.36</v>
      </c>
      <c r="S1041" s="1">
        <f t="shared" si="64"/>
        <v>66.959999999999994</v>
      </c>
      <c r="T1041" s="1">
        <f t="shared" si="65"/>
        <v>2.5599999999999881</v>
      </c>
      <c r="U1041" s="1" t="str">
        <f t="shared" si="66"/>
        <v>OK</v>
      </c>
      <c r="V1041" s="1" t="str">
        <f>_xlfn.XLOOKUP(C1041,Payers!$A$2:$A$9,Payers!$B$2:$B$9)</f>
        <v>Medicare Part B</v>
      </c>
      <c r="W1041" s="1" t="str">
        <f t="shared" si="67"/>
        <v>2026-03</v>
      </c>
    </row>
    <row r="1042" spans="1:23">
      <c r="A1042" s="1" t="s">
        <v>1993</v>
      </c>
      <c r="B1042" s="1" t="s">
        <v>1994</v>
      </c>
      <c r="C1042" s="1" t="s">
        <v>76</v>
      </c>
      <c r="D1042" s="1" t="s">
        <v>37</v>
      </c>
      <c r="E1042" s="1" t="s">
        <v>48</v>
      </c>
      <c r="F1042">
        <v>1</v>
      </c>
      <c r="G1042" s="2">
        <v>46283</v>
      </c>
      <c r="H1042" s="2">
        <v>46285</v>
      </c>
      <c r="I1042">
        <v>427.01</v>
      </c>
      <c r="M1042" s="1" t="s">
        <v>69</v>
      </c>
      <c r="N1042" s="1" t="s">
        <v>22</v>
      </c>
      <c r="O1042" s="2"/>
      <c r="P1042" s="2"/>
      <c r="Q1042">
        <f>_xlfn.XLOOKUP(E1042,CPT!$A$2:$A$13,CPT!$D$2:$D$13)</f>
        <v>420</v>
      </c>
      <c r="R1042" s="1">
        <f>_xlfn.XLOOKUP(C1042,Contract!$A$2:$A$9,Contract!$B$2:$B$9)</f>
        <v>0.43</v>
      </c>
      <c r="S1042" s="1">
        <f t="shared" si="64"/>
        <v>180.6</v>
      </c>
      <c r="T1042" s="1" t="str">
        <f t="shared" si="65"/>
        <v/>
      </c>
      <c r="U1042" s="1" t="str">
        <f t="shared" si="66"/>
        <v/>
      </c>
      <c r="V1042" s="1" t="str">
        <f>_xlfn.XLOOKUP(C1042,Payers!$A$2:$A$9,Payers!$B$2:$B$9)</f>
        <v>Summit Health Commercial</v>
      </c>
      <c r="W1042" s="1" t="str">
        <f t="shared" si="67"/>
        <v>2026-09</v>
      </c>
    </row>
    <row r="1043" spans="1:23">
      <c r="A1043" s="1" t="s">
        <v>1995</v>
      </c>
      <c r="B1043" s="1" t="s">
        <v>610</v>
      </c>
      <c r="C1043" s="1" t="s">
        <v>60</v>
      </c>
      <c r="D1043" s="1" t="s">
        <v>26</v>
      </c>
      <c r="E1043" s="1" t="s">
        <v>57</v>
      </c>
      <c r="F1043">
        <v>1</v>
      </c>
      <c r="G1043" s="2">
        <v>46143</v>
      </c>
      <c r="H1043" s="2">
        <v>46145</v>
      </c>
      <c r="I1043">
        <v>211.98</v>
      </c>
      <c r="J1043">
        <v>104.01</v>
      </c>
      <c r="K1043">
        <v>93.61</v>
      </c>
      <c r="L1043">
        <v>10.4</v>
      </c>
      <c r="M1043" s="1" t="s">
        <v>21</v>
      </c>
      <c r="N1043" s="1" t="s">
        <v>22</v>
      </c>
      <c r="O1043" s="2">
        <v>46166</v>
      </c>
      <c r="P1043" s="2">
        <v>46166</v>
      </c>
      <c r="Q1043">
        <f>_xlfn.XLOOKUP(E1043,CPT!$A$2:$A$13,CPT!$D$2:$D$13)</f>
        <v>210</v>
      </c>
      <c r="R1043" s="1">
        <f>_xlfn.XLOOKUP(C1043,Contract!$A$2:$A$9,Contract!$B$2:$B$9)</f>
        <v>0.45</v>
      </c>
      <c r="S1043" s="1">
        <f t="shared" si="64"/>
        <v>94.5</v>
      </c>
      <c r="T1043" s="1">
        <f t="shared" si="65"/>
        <v>-9.5100000000000051</v>
      </c>
      <c r="U1043" s="1" t="str">
        <f t="shared" si="66"/>
        <v>OK</v>
      </c>
      <c r="V1043" s="1" t="str">
        <f>_xlfn.XLOOKUP(C1043,Payers!$A$2:$A$9,Payers!$B$2:$B$9)</f>
        <v>Blue Horizon Commercial</v>
      </c>
      <c r="W1043" s="1" t="str">
        <f t="shared" si="67"/>
        <v>2026-05</v>
      </c>
    </row>
    <row r="1044" spans="1:23">
      <c r="A1044" s="1" t="s">
        <v>1996</v>
      </c>
      <c r="B1044" s="1" t="s">
        <v>1997</v>
      </c>
      <c r="C1044" s="1" t="s">
        <v>18</v>
      </c>
      <c r="D1044" s="1" t="s">
        <v>26</v>
      </c>
      <c r="E1044" s="1" t="s">
        <v>88</v>
      </c>
      <c r="F1044">
        <v>1</v>
      </c>
      <c r="G1044" s="2">
        <v>46044</v>
      </c>
      <c r="H1044" s="2">
        <v>46046</v>
      </c>
      <c r="I1044">
        <v>253.19</v>
      </c>
      <c r="J1044">
        <v>106.7</v>
      </c>
      <c r="K1044">
        <v>96.03</v>
      </c>
      <c r="L1044">
        <v>10.67</v>
      </c>
      <c r="M1044" s="1" t="s">
        <v>21</v>
      </c>
      <c r="N1044" s="1" t="s">
        <v>22</v>
      </c>
      <c r="O1044" s="2">
        <v>46079</v>
      </c>
      <c r="P1044" s="2">
        <v>46079</v>
      </c>
      <c r="Q1044">
        <f>_xlfn.XLOOKUP(E1044,CPT!$A$2:$A$13,CPT!$D$2:$D$13)</f>
        <v>260</v>
      </c>
      <c r="R1044" s="1">
        <f>_xlfn.XLOOKUP(C1044,Contract!$A$2:$A$9,Contract!$B$2:$B$9)</f>
        <v>0.38</v>
      </c>
      <c r="S1044" s="1">
        <f t="shared" si="64"/>
        <v>98.8</v>
      </c>
      <c r="T1044" s="1">
        <f t="shared" si="65"/>
        <v>-7.9000000000000057</v>
      </c>
      <c r="U1044" s="1" t="str">
        <f t="shared" si="66"/>
        <v>OK</v>
      </c>
      <c r="V1044" s="1" t="str">
        <f>_xlfn.XLOOKUP(C1044,Payers!$A$2:$A$9,Payers!$B$2:$B$9)</f>
        <v>Sunshine Medicare Advantage</v>
      </c>
      <c r="W1044" s="1" t="str">
        <f t="shared" si="67"/>
        <v>2026-01</v>
      </c>
    </row>
    <row r="1045" spans="1:23">
      <c r="A1045" s="1" t="s">
        <v>1998</v>
      </c>
      <c r="B1045" s="1" t="s">
        <v>1999</v>
      </c>
      <c r="C1045" s="1" t="s">
        <v>76</v>
      </c>
      <c r="D1045" s="1" t="s">
        <v>19</v>
      </c>
      <c r="E1045" s="1" t="s">
        <v>20</v>
      </c>
      <c r="F1045">
        <v>1</v>
      </c>
      <c r="G1045" s="2">
        <v>46094</v>
      </c>
      <c r="H1045" s="2">
        <v>46097</v>
      </c>
      <c r="I1045">
        <v>143.66</v>
      </c>
      <c r="J1045">
        <v>66.05</v>
      </c>
      <c r="K1045">
        <v>66.05</v>
      </c>
      <c r="L1045">
        <v>0</v>
      </c>
      <c r="M1045" s="1" t="s">
        <v>21</v>
      </c>
      <c r="N1045" s="1" t="s">
        <v>22</v>
      </c>
      <c r="O1045" s="2">
        <v>46121</v>
      </c>
      <c r="P1045" s="2">
        <v>46121</v>
      </c>
      <c r="Q1045">
        <f>_xlfn.XLOOKUP(E1045,CPT!$A$2:$A$13,CPT!$D$2:$D$13)</f>
        <v>145</v>
      </c>
      <c r="R1045" s="1">
        <f>_xlfn.XLOOKUP(C1045,Contract!$A$2:$A$9,Contract!$B$2:$B$9)</f>
        <v>0.43</v>
      </c>
      <c r="S1045" s="1">
        <f t="shared" si="64"/>
        <v>62.35</v>
      </c>
      <c r="T1045" s="1">
        <f t="shared" si="65"/>
        <v>-3.6999999999999957</v>
      </c>
      <c r="U1045" s="1" t="str">
        <f t="shared" si="66"/>
        <v>OK</v>
      </c>
      <c r="V1045" s="1" t="str">
        <f>_xlfn.XLOOKUP(C1045,Payers!$A$2:$A$9,Payers!$B$2:$B$9)</f>
        <v>Summit Health Commercial</v>
      </c>
      <c r="W1045" s="1" t="str">
        <f t="shared" si="67"/>
        <v>2026-03</v>
      </c>
    </row>
    <row r="1046" spans="1:23">
      <c r="A1046" s="1" t="s">
        <v>2000</v>
      </c>
      <c r="B1046" s="1" t="s">
        <v>2001</v>
      </c>
      <c r="C1046" s="1" t="s">
        <v>76</v>
      </c>
      <c r="D1046" s="1" t="s">
        <v>37</v>
      </c>
      <c r="E1046" s="1" t="s">
        <v>57</v>
      </c>
      <c r="F1046">
        <v>1</v>
      </c>
      <c r="G1046" s="2">
        <v>46137</v>
      </c>
      <c r="H1046" s="2">
        <v>46145</v>
      </c>
      <c r="I1046">
        <v>204.11</v>
      </c>
      <c r="J1046">
        <v>90.82</v>
      </c>
      <c r="K1046">
        <v>90.82</v>
      </c>
      <c r="L1046">
        <v>0</v>
      </c>
      <c r="M1046" s="1" t="s">
        <v>21</v>
      </c>
      <c r="N1046" s="1" t="s">
        <v>22</v>
      </c>
      <c r="O1046" s="2">
        <v>46168</v>
      </c>
      <c r="P1046" s="2">
        <v>46168</v>
      </c>
      <c r="Q1046">
        <f>_xlfn.XLOOKUP(E1046,CPT!$A$2:$A$13,CPT!$D$2:$D$13)</f>
        <v>210</v>
      </c>
      <c r="R1046" s="1">
        <f>_xlfn.XLOOKUP(C1046,Contract!$A$2:$A$9,Contract!$B$2:$B$9)</f>
        <v>0.43</v>
      </c>
      <c r="S1046" s="1">
        <f t="shared" si="64"/>
        <v>90.3</v>
      </c>
      <c r="T1046" s="1">
        <f t="shared" si="65"/>
        <v>-0.51999999999999602</v>
      </c>
      <c r="U1046" s="1" t="str">
        <f t="shared" si="66"/>
        <v>OK</v>
      </c>
      <c r="V1046" s="1" t="str">
        <f>_xlfn.XLOOKUP(C1046,Payers!$A$2:$A$9,Payers!$B$2:$B$9)</f>
        <v>Summit Health Commercial</v>
      </c>
      <c r="W1046" s="1" t="str">
        <f t="shared" si="67"/>
        <v>2026-04</v>
      </c>
    </row>
    <row r="1047" spans="1:23">
      <c r="A1047" s="1" t="s">
        <v>2002</v>
      </c>
      <c r="B1047" s="1" t="s">
        <v>2003</v>
      </c>
      <c r="C1047" s="1" t="s">
        <v>76</v>
      </c>
      <c r="D1047" s="1" t="s">
        <v>30</v>
      </c>
      <c r="E1047" s="1" t="s">
        <v>91</v>
      </c>
      <c r="F1047">
        <v>2</v>
      </c>
      <c r="G1047" s="2">
        <v>46092</v>
      </c>
      <c r="H1047" s="2">
        <v>46093</v>
      </c>
      <c r="I1047">
        <v>117.21</v>
      </c>
      <c r="J1047">
        <v>47.79</v>
      </c>
      <c r="K1047">
        <v>38.229999999999997</v>
      </c>
      <c r="L1047">
        <v>9.56</v>
      </c>
      <c r="M1047" s="1" t="s">
        <v>21</v>
      </c>
      <c r="N1047" s="1" t="s">
        <v>22</v>
      </c>
      <c r="O1047" s="2">
        <v>46121</v>
      </c>
      <c r="P1047" s="2">
        <v>46121</v>
      </c>
      <c r="Q1047">
        <f>_xlfn.XLOOKUP(E1047,CPT!$A$2:$A$13,CPT!$D$2:$D$13)</f>
        <v>58</v>
      </c>
      <c r="R1047" s="1">
        <f>_xlfn.XLOOKUP(C1047,Contract!$A$2:$A$9,Contract!$B$2:$B$9)</f>
        <v>0.43</v>
      </c>
      <c r="S1047" s="1">
        <f t="shared" si="64"/>
        <v>49.88</v>
      </c>
      <c r="T1047" s="1">
        <f t="shared" si="65"/>
        <v>2.0900000000000034</v>
      </c>
      <c r="U1047" s="1" t="str">
        <f t="shared" si="66"/>
        <v>OK</v>
      </c>
      <c r="V1047" s="1" t="str">
        <f>_xlfn.XLOOKUP(C1047,Payers!$A$2:$A$9,Payers!$B$2:$B$9)</f>
        <v>Summit Health Commercial</v>
      </c>
      <c r="W1047" s="1" t="str">
        <f t="shared" si="67"/>
        <v>2026-03</v>
      </c>
    </row>
    <row r="1048" spans="1:23">
      <c r="A1048" s="1" t="s">
        <v>2004</v>
      </c>
      <c r="B1048" s="1" t="s">
        <v>2005</v>
      </c>
      <c r="C1048" s="1" t="s">
        <v>18</v>
      </c>
      <c r="D1048" s="1" t="s">
        <v>30</v>
      </c>
      <c r="E1048" s="1" t="s">
        <v>31</v>
      </c>
      <c r="F1048">
        <v>3</v>
      </c>
      <c r="G1048" s="2">
        <v>46076</v>
      </c>
      <c r="H1048" s="2">
        <v>46095</v>
      </c>
      <c r="I1048">
        <v>188.72</v>
      </c>
      <c r="J1048">
        <v>69.459999999999994</v>
      </c>
      <c r="K1048">
        <v>55.57</v>
      </c>
      <c r="L1048">
        <v>13.89</v>
      </c>
      <c r="M1048" s="1" t="s">
        <v>21</v>
      </c>
      <c r="N1048" s="1" t="s">
        <v>22</v>
      </c>
      <c r="O1048" s="2">
        <v>46154</v>
      </c>
      <c r="P1048" s="2">
        <v>46154</v>
      </c>
      <c r="Q1048">
        <f>_xlfn.XLOOKUP(E1048,CPT!$A$2:$A$13,CPT!$D$2:$D$13)</f>
        <v>62</v>
      </c>
      <c r="R1048" s="1">
        <f>_xlfn.XLOOKUP(C1048,Contract!$A$2:$A$9,Contract!$B$2:$B$9)</f>
        <v>0.38</v>
      </c>
      <c r="S1048" s="1">
        <f t="shared" si="64"/>
        <v>70.680000000000007</v>
      </c>
      <c r="T1048" s="1">
        <f t="shared" si="65"/>
        <v>1.2200000000000131</v>
      </c>
      <c r="U1048" s="1" t="str">
        <f t="shared" si="66"/>
        <v>OK</v>
      </c>
      <c r="V1048" s="1" t="str">
        <f>_xlfn.XLOOKUP(C1048,Payers!$A$2:$A$9,Payers!$B$2:$B$9)</f>
        <v>Sunshine Medicare Advantage</v>
      </c>
      <c r="W1048" s="1" t="str">
        <f t="shared" si="67"/>
        <v>2026-02</v>
      </c>
    </row>
    <row r="1049" spans="1:23">
      <c r="A1049" s="1" t="s">
        <v>2006</v>
      </c>
      <c r="B1049" s="1" t="s">
        <v>157</v>
      </c>
      <c r="C1049" s="1" t="s">
        <v>25</v>
      </c>
      <c r="D1049" s="1" t="s">
        <v>26</v>
      </c>
      <c r="E1049" s="1" t="s">
        <v>88</v>
      </c>
      <c r="F1049">
        <v>1</v>
      </c>
      <c r="G1049" s="2">
        <v>46022</v>
      </c>
      <c r="H1049" s="2">
        <v>46028</v>
      </c>
      <c r="I1049">
        <v>265.69</v>
      </c>
      <c r="J1049">
        <v>109.9</v>
      </c>
      <c r="K1049">
        <v>87.92</v>
      </c>
      <c r="L1049">
        <v>21.98</v>
      </c>
      <c r="M1049" s="1" t="s">
        <v>21</v>
      </c>
      <c r="N1049" s="1" t="s">
        <v>22</v>
      </c>
      <c r="O1049" s="2">
        <v>46045</v>
      </c>
      <c r="P1049" s="2">
        <v>46045</v>
      </c>
      <c r="Q1049">
        <f>_xlfn.XLOOKUP(E1049,CPT!$A$2:$A$13,CPT!$D$2:$D$13)</f>
        <v>260</v>
      </c>
      <c r="R1049" s="1">
        <f>_xlfn.XLOOKUP(C1049,Contract!$A$2:$A$9,Contract!$B$2:$B$9)</f>
        <v>0.36</v>
      </c>
      <c r="S1049" s="1">
        <f t="shared" si="64"/>
        <v>93.6</v>
      </c>
      <c r="T1049" s="1">
        <f t="shared" si="65"/>
        <v>-16.300000000000011</v>
      </c>
      <c r="U1049" s="1" t="str">
        <f t="shared" si="66"/>
        <v>OK</v>
      </c>
      <c r="V1049" s="1" t="str">
        <f>_xlfn.XLOOKUP(C1049,Payers!$A$2:$A$9,Payers!$B$2:$B$9)</f>
        <v>Medicare Part B</v>
      </c>
      <c r="W1049" s="1" t="str">
        <f t="shared" si="67"/>
        <v>2025-12</v>
      </c>
    </row>
    <row r="1050" spans="1:23">
      <c r="A1050" s="1" t="s">
        <v>2007</v>
      </c>
      <c r="B1050" s="1" t="s">
        <v>2008</v>
      </c>
      <c r="C1050" s="1" t="s">
        <v>47</v>
      </c>
      <c r="D1050" s="1" t="s">
        <v>37</v>
      </c>
      <c r="E1050" s="1" t="s">
        <v>48</v>
      </c>
      <c r="F1050">
        <v>1</v>
      </c>
      <c r="G1050" s="2">
        <v>46073</v>
      </c>
      <c r="H1050" s="2">
        <v>46075</v>
      </c>
      <c r="I1050">
        <v>415.45</v>
      </c>
      <c r="M1050" s="1" t="s">
        <v>32</v>
      </c>
      <c r="N1050" s="1" t="s">
        <v>168</v>
      </c>
      <c r="O1050" s="2">
        <v>46137</v>
      </c>
      <c r="P1050" s="2"/>
      <c r="Q1050">
        <f>_xlfn.XLOOKUP(E1050,CPT!$A$2:$A$13,CPT!$D$2:$D$13)</f>
        <v>420</v>
      </c>
      <c r="R1050" s="1">
        <f>_xlfn.XLOOKUP(C1050,Contract!$A$2:$A$9,Contract!$B$2:$B$9)</f>
        <v>0.28000000000000003</v>
      </c>
      <c r="S1050" s="1">
        <f t="shared" si="64"/>
        <v>117.6</v>
      </c>
      <c r="T1050" s="1" t="str">
        <f t="shared" si="65"/>
        <v/>
      </c>
      <c r="U1050" s="1" t="str">
        <f t="shared" si="66"/>
        <v/>
      </c>
      <c r="V1050" s="1" t="str">
        <f>_xlfn.XLOOKUP(C1050,Payers!$A$2:$A$9,Payers!$B$2:$B$9)</f>
        <v>Coastal Medicaid MCO</v>
      </c>
      <c r="W1050" s="1" t="str">
        <f t="shared" si="67"/>
        <v>2026-02</v>
      </c>
    </row>
    <row r="1051" spans="1:23">
      <c r="A1051" s="1" t="s">
        <v>2009</v>
      </c>
      <c r="B1051" s="1" t="s">
        <v>2010</v>
      </c>
      <c r="C1051" s="1" t="s">
        <v>60</v>
      </c>
      <c r="D1051" s="1" t="s">
        <v>30</v>
      </c>
      <c r="E1051" s="1" t="s">
        <v>91</v>
      </c>
      <c r="F1051">
        <v>2</v>
      </c>
      <c r="G1051" s="2">
        <v>46021</v>
      </c>
      <c r="H1051" s="2">
        <v>46025</v>
      </c>
      <c r="I1051">
        <v>114.53</v>
      </c>
      <c r="J1051">
        <v>46.28</v>
      </c>
      <c r="K1051">
        <v>46.28</v>
      </c>
      <c r="L1051">
        <v>0</v>
      </c>
      <c r="M1051" s="1" t="s">
        <v>21</v>
      </c>
      <c r="N1051" s="1" t="s">
        <v>22</v>
      </c>
      <c r="O1051" s="2">
        <v>46045</v>
      </c>
      <c r="P1051" s="2">
        <v>46045</v>
      </c>
      <c r="Q1051">
        <f>_xlfn.XLOOKUP(E1051,CPT!$A$2:$A$13,CPT!$D$2:$D$13)</f>
        <v>58</v>
      </c>
      <c r="R1051" s="1">
        <f>_xlfn.XLOOKUP(C1051,Contract!$A$2:$A$9,Contract!$B$2:$B$9)</f>
        <v>0.45</v>
      </c>
      <c r="S1051" s="1">
        <f t="shared" si="64"/>
        <v>52.2</v>
      </c>
      <c r="T1051" s="1">
        <f t="shared" si="65"/>
        <v>5.9200000000000017</v>
      </c>
      <c r="U1051" s="1" t="str">
        <f t="shared" si="66"/>
        <v>Underpaid</v>
      </c>
      <c r="V1051" s="1" t="str">
        <f>_xlfn.XLOOKUP(C1051,Payers!$A$2:$A$9,Payers!$B$2:$B$9)</f>
        <v>Blue Horizon Commercial</v>
      </c>
      <c r="W1051" s="1" t="str">
        <f t="shared" si="67"/>
        <v>2025-12</v>
      </c>
    </row>
    <row r="1052" spans="1:23">
      <c r="A1052" s="1" t="s">
        <v>2011</v>
      </c>
      <c r="B1052" s="1" t="s">
        <v>2012</v>
      </c>
      <c r="C1052" s="1" t="s">
        <v>79</v>
      </c>
      <c r="D1052" s="1" t="s">
        <v>19</v>
      </c>
      <c r="E1052" s="1" t="s">
        <v>41</v>
      </c>
      <c r="F1052">
        <v>1</v>
      </c>
      <c r="G1052" s="2">
        <v>46141</v>
      </c>
      <c r="H1052" s="2">
        <v>46142</v>
      </c>
      <c r="I1052">
        <v>37.29</v>
      </c>
      <c r="M1052" s="1" t="s">
        <v>69</v>
      </c>
      <c r="N1052" s="1" t="s">
        <v>22</v>
      </c>
      <c r="O1052" s="2"/>
      <c r="P1052" s="2"/>
      <c r="Q1052">
        <f>_xlfn.XLOOKUP(E1052,CPT!$A$2:$A$13,CPT!$D$2:$D$13)</f>
        <v>38</v>
      </c>
      <c r="R1052" s="1">
        <f>_xlfn.XLOOKUP(C1052,Contract!$A$2:$A$9,Contract!$B$2:$B$9)</f>
        <v>1</v>
      </c>
      <c r="S1052" s="1">
        <f t="shared" si="64"/>
        <v>38</v>
      </c>
      <c r="T1052" s="1" t="str">
        <f t="shared" si="65"/>
        <v/>
      </c>
      <c r="U1052" s="1" t="str">
        <f t="shared" si="66"/>
        <v/>
      </c>
      <c r="V1052" s="1" t="str">
        <f>_xlfn.XLOOKUP(C1052,Payers!$A$2:$A$9,Payers!$B$2:$B$9)</f>
        <v>Self-Pay</v>
      </c>
      <c r="W1052" s="1" t="str">
        <f t="shared" si="67"/>
        <v>2026-04</v>
      </c>
    </row>
    <row r="1053" spans="1:23">
      <c r="A1053" s="1" t="s">
        <v>2013</v>
      </c>
      <c r="B1053" s="1" t="s">
        <v>2014</v>
      </c>
      <c r="C1053" s="1" t="s">
        <v>76</v>
      </c>
      <c r="D1053" s="1" t="s">
        <v>37</v>
      </c>
      <c r="E1053" s="1" t="s">
        <v>38</v>
      </c>
      <c r="F1053">
        <v>10</v>
      </c>
      <c r="G1053" s="2">
        <v>46058</v>
      </c>
      <c r="H1053" s="2">
        <v>46061</v>
      </c>
      <c r="I1053">
        <v>14560.3</v>
      </c>
      <c r="M1053" s="1" t="s">
        <v>32</v>
      </c>
      <c r="N1053" s="1" t="s">
        <v>315</v>
      </c>
      <c r="O1053" s="2">
        <v>46085</v>
      </c>
      <c r="P1053" s="2"/>
      <c r="Q1053">
        <f>_xlfn.XLOOKUP(E1053,CPT!$A$2:$A$13,CPT!$D$2:$D$13)</f>
        <v>1450</v>
      </c>
      <c r="R1053" s="1">
        <f>_xlfn.XLOOKUP(C1053,Contract!$A$2:$A$9,Contract!$B$2:$B$9)</f>
        <v>0.43</v>
      </c>
      <c r="S1053" s="1">
        <f t="shared" si="64"/>
        <v>6235</v>
      </c>
      <c r="T1053" s="1" t="str">
        <f t="shared" si="65"/>
        <v/>
      </c>
      <c r="U1053" s="1" t="str">
        <f t="shared" si="66"/>
        <v/>
      </c>
      <c r="V1053" s="1" t="str">
        <f>_xlfn.XLOOKUP(C1053,Payers!$A$2:$A$9,Payers!$B$2:$B$9)</f>
        <v>Summit Health Commercial</v>
      </c>
      <c r="W1053" s="1" t="str">
        <f t="shared" si="67"/>
        <v>2026-02</v>
      </c>
    </row>
    <row r="1054" spans="1:23">
      <c r="A1054" s="1" t="s">
        <v>2015</v>
      </c>
      <c r="B1054" s="1" t="s">
        <v>2016</v>
      </c>
      <c r="C1054" s="1" t="s">
        <v>36</v>
      </c>
      <c r="D1054" s="1" t="s">
        <v>19</v>
      </c>
      <c r="E1054" s="1" t="s">
        <v>57</v>
      </c>
      <c r="F1054">
        <v>1</v>
      </c>
      <c r="G1054" s="2">
        <v>46013</v>
      </c>
      <c r="H1054" s="2">
        <v>46019</v>
      </c>
      <c r="I1054">
        <v>209.47</v>
      </c>
      <c r="J1054">
        <v>56.07</v>
      </c>
      <c r="K1054">
        <v>56.07</v>
      </c>
      <c r="L1054">
        <v>0</v>
      </c>
      <c r="M1054" s="1" t="s">
        <v>21</v>
      </c>
      <c r="N1054" s="1" t="s">
        <v>22</v>
      </c>
      <c r="O1054" s="2">
        <v>46057</v>
      </c>
      <c r="P1054" s="2">
        <v>46057</v>
      </c>
      <c r="Q1054">
        <f>_xlfn.XLOOKUP(E1054,CPT!$A$2:$A$13,CPT!$D$2:$D$13)</f>
        <v>210</v>
      </c>
      <c r="R1054" s="1">
        <f>_xlfn.XLOOKUP(C1054,Contract!$A$2:$A$9,Contract!$B$2:$B$9)</f>
        <v>0.27</v>
      </c>
      <c r="S1054" s="1">
        <f t="shared" si="64"/>
        <v>56.7</v>
      </c>
      <c r="T1054" s="1">
        <f t="shared" si="65"/>
        <v>0.63000000000000256</v>
      </c>
      <c r="U1054" s="1" t="str">
        <f t="shared" si="66"/>
        <v>OK</v>
      </c>
      <c r="V1054" s="1" t="str">
        <f>_xlfn.XLOOKUP(C1054,Payers!$A$2:$A$9,Payers!$B$2:$B$9)</f>
        <v>Florida Medicaid</v>
      </c>
      <c r="W1054" s="1" t="str">
        <f t="shared" si="67"/>
        <v>2025-12</v>
      </c>
    </row>
    <row r="1055" spans="1:23">
      <c r="A1055" s="1" t="s">
        <v>2017</v>
      </c>
      <c r="B1055" s="1" t="s">
        <v>2018</v>
      </c>
      <c r="C1055" s="1" t="s">
        <v>60</v>
      </c>
      <c r="D1055" s="1" t="s">
        <v>26</v>
      </c>
      <c r="E1055" s="1" t="s">
        <v>88</v>
      </c>
      <c r="F1055">
        <v>1</v>
      </c>
      <c r="G1055" s="2">
        <v>46167</v>
      </c>
      <c r="H1055" s="2">
        <v>46172</v>
      </c>
      <c r="I1055">
        <v>259.36</v>
      </c>
      <c r="J1055">
        <v>107.34</v>
      </c>
      <c r="K1055">
        <v>107.34</v>
      </c>
      <c r="L1055">
        <v>0</v>
      </c>
      <c r="M1055" s="1" t="s">
        <v>21</v>
      </c>
      <c r="N1055" s="1" t="s">
        <v>22</v>
      </c>
      <c r="O1055" s="2">
        <v>46194</v>
      </c>
      <c r="P1055" s="2">
        <v>46194</v>
      </c>
      <c r="Q1055">
        <f>_xlfn.XLOOKUP(E1055,CPT!$A$2:$A$13,CPT!$D$2:$D$13)</f>
        <v>260</v>
      </c>
      <c r="R1055" s="1">
        <f>_xlfn.XLOOKUP(C1055,Contract!$A$2:$A$9,Contract!$B$2:$B$9)</f>
        <v>0.45</v>
      </c>
      <c r="S1055" s="1">
        <f t="shared" si="64"/>
        <v>117</v>
      </c>
      <c r="T1055" s="1">
        <f t="shared" si="65"/>
        <v>9.6599999999999966</v>
      </c>
      <c r="U1055" s="1" t="str">
        <f t="shared" si="66"/>
        <v>Underpaid</v>
      </c>
      <c r="V1055" s="1" t="str">
        <f>_xlfn.XLOOKUP(C1055,Payers!$A$2:$A$9,Payers!$B$2:$B$9)</f>
        <v>Blue Horizon Commercial</v>
      </c>
      <c r="W1055" s="1" t="str">
        <f t="shared" si="67"/>
        <v>2026-05</v>
      </c>
    </row>
    <row r="1056" spans="1:23">
      <c r="A1056" s="1" t="s">
        <v>2019</v>
      </c>
      <c r="B1056" s="1" t="s">
        <v>786</v>
      </c>
      <c r="C1056" s="1" t="s">
        <v>36</v>
      </c>
      <c r="D1056" s="1" t="s">
        <v>19</v>
      </c>
      <c r="E1056" s="1" t="s">
        <v>20</v>
      </c>
      <c r="F1056">
        <v>1</v>
      </c>
      <c r="G1056" s="2">
        <v>46100</v>
      </c>
      <c r="H1056" s="2">
        <v>46110</v>
      </c>
      <c r="I1056">
        <v>148.24</v>
      </c>
      <c r="J1056">
        <v>42.79</v>
      </c>
      <c r="K1056">
        <v>34.229999999999997</v>
      </c>
      <c r="L1056">
        <v>8.56</v>
      </c>
      <c r="M1056" s="1" t="s">
        <v>21</v>
      </c>
      <c r="N1056" s="1" t="s">
        <v>22</v>
      </c>
      <c r="O1056" s="2">
        <v>46168</v>
      </c>
      <c r="P1056" s="2">
        <v>46168</v>
      </c>
      <c r="Q1056">
        <f>_xlfn.XLOOKUP(E1056,CPT!$A$2:$A$13,CPT!$D$2:$D$13)</f>
        <v>145</v>
      </c>
      <c r="R1056" s="1">
        <f>_xlfn.XLOOKUP(C1056,Contract!$A$2:$A$9,Contract!$B$2:$B$9)</f>
        <v>0.27</v>
      </c>
      <c r="S1056" s="1">
        <f t="shared" si="64"/>
        <v>39.15</v>
      </c>
      <c r="T1056" s="1">
        <f t="shared" si="65"/>
        <v>-3.6400000000000006</v>
      </c>
      <c r="U1056" s="1" t="str">
        <f t="shared" si="66"/>
        <v>OK</v>
      </c>
      <c r="V1056" s="1" t="str">
        <f>_xlfn.XLOOKUP(C1056,Payers!$A$2:$A$9,Payers!$B$2:$B$9)</f>
        <v>Florida Medicaid</v>
      </c>
      <c r="W1056" s="1" t="str">
        <f t="shared" si="67"/>
        <v>2026-03</v>
      </c>
    </row>
    <row r="1057" spans="1:23">
      <c r="A1057" s="1" t="s">
        <v>2020</v>
      </c>
      <c r="B1057" s="1" t="s">
        <v>2021</v>
      </c>
      <c r="C1057" s="1" t="s">
        <v>60</v>
      </c>
      <c r="D1057" s="1" t="s">
        <v>30</v>
      </c>
      <c r="E1057" s="1" t="s">
        <v>91</v>
      </c>
      <c r="F1057">
        <v>1</v>
      </c>
      <c r="G1057" s="2">
        <v>46144</v>
      </c>
      <c r="H1057" s="2">
        <v>46148</v>
      </c>
      <c r="I1057">
        <v>59.33</v>
      </c>
      <c r="J1057">
        <v>30.76</v>
      </c>
      <c r="K1057">
        <v>30.76</v>
      </c>
      <c r="L1057">
        <v>0</v>
      </c>
      <c r="M1057" s="1" t="s">
        <v>21</v>
      </c>
      <c r="N1057" s="1" t="s">
        <v>22</v>
      </c>
      <c r="O1057" s="2">
        <v>46181</v>
      </c>
      <c r="P1057" s="2">
        <v>46181</v>
      </c>
      <c r="Q1057">
        <f>_xlfn.XLOOKUP(E1057,CPT!$A$2:$A$13,CPT!$D$2:$D$13)</f>
        <v>58</v>
      </c>
      <c r="R1057" s="1">
        <f>_xlfn.XLOOKUP(C1057,Contract!$A$2:$A$9,Contract!$B$2:$B$9)</f>
        <v>0.45</v>
      </c>
      <c r="S1057" s="1">
        <f t="shared" si="64"/>
        <v>26.1</v>
      </c>
      <c r="T1057" s="1">
        <f t="shared" si="65"/>
        <v>-4.66</v>
      </c>
      <c r="U1057" s="1" t="str">
        <f t="shared" si="66"/>
        <v>OK</v>
      </c>
      <c r="V1057" s="1" t="str">
        <f>_xlfn.XLOOKUP(C1057,Payers!$A$2:$A$9,Payers!$B$2:$B$9)</f>
        <v>Blue Horizon Commercial</v>
      </c>
      <c r="W1057" s="1" t="str">
        <f t="shared" si="67"/>
        <v>2026-05</v>
      </c>
    </row>
    <row r="1058" spans="1:23">
      <c r="A1058" s="1" t="s">
        <v>2022</v>
      </c>
      <c r="B1058" s="1" t="s">
        <v>2023</v>
      </c>
      <c r="C1058" s="1" t="s">
        <v>76</v>
      </c>
      <c r="D1058" s="1" t="s">
        <v>19</v>
      </c>
      <c r="E1058" s="1" t="s">
        <v>20</v>
      </c>
      <c r="F1058">
        <v>1</v>
      </c>
      <c r="G1058" s="2">
        <v>46134</v>
      </c>
      <c r="H1058" s="2">
        <v>46140</v>
      </c>
      <c r="I1058">
        <v>147.86000000000001</v>
      </c>
      <c r="M1058" s="1" t="s">
        <v>32</v>
      </c>
      <c r="N1058" s="1" t="s">
        <v>124</v>
      </c>
      <c r="O1058" s="2">
        <v>46164</v>
      </c>
      <c r="P1058" s="2"/>
      <c r="Q1058">
        <f>_xlfn.XLOOKUP(E1058,CPT!$A$2:$A$13,CPT!$D$2:$D$13)</f>
        <v>145</v>
      </c>
      <c r="R1058" s="1">
        <f>_xlfn.XLOOKUP(C1058,Contract!$A$2:$A$9,Contract!$B$2:$B$9)</f>
        <v>0.43</v>
      </c>
      <c r="S1058" s="1">
        <f t="shared" si="64"/>
        <v>62.35</v>
      </c>
      <c r="T1058" s="1" t="str">
        <f t="shared" si="65"/>
        <v/>
      </c>
      <c r="U1058" s="1" t="str">
        <f t="shared" si="66"/>
        <v/>
      </c>
      <c r="V1058" s="1" t="str">
        <f>_xlfn.XLOOKUP(C1058,Payers!$A$2:$A$9,Payers!$B$2:$B$9)</f>
        <v>Summit Health Commercial</v>
      </c>
      <c r="W1058" s="1" t="str">
        <f t="shared" si="67"/>
        <v>2026-04</v>
      </c>
    </row>
    <row r="1059" spans="1:23">
      <c r="A1059" s="1" t="s">
        <v>2024</v>
      </c>
      <c r="B1059" s="1" t="s">
        <v>167</v>
      </c>
      <c r="C1059" s="1" t="s">
        <v>18</v>
      </c>
      <c r="D1059" s="1" t="s">
        <v>19</v>
      </c>
      <c r="E1059" s="1" t="s">
        <v>20</v>
      </c>
      <c r="F1059">
        <v>1</v>
      </c>
      <c r="G1059" s="2">
        <v>46118</v>
      </c>
      <c r="H1059" s="2">
        <v>46120</v>
      </c>
      <c r="I1059">
        <v>144.24</v>
      </c>
      <c r="J1059">
        <v>60.24</v>
      </c>
      <c r="K1059">
        <v>60.24</v>
      </c>
      <c r="L1059">
        <v>0</v>
      </c>
      <c r="M1059" s="1" t="s">
        <v>21</v>
      </c>
      <c r="N1059" s="1" t="s">
        <v>22</v>
      </c>
      <c r="O1059" s="2">
        <v>46159</v>
      </c>
      <c r="P1059" s="2">
        <v>46159</v>
      </c>
      <c r="Q1059">
        <f>_xlfn.XLOOKUP(E1059,CPT!$A$2:$A$13,CPT!$D$2:$D$13)</f>
        <v>145</v>
      </c>
      <c r="R1059" s="1">
        <f>_xlfn.XLOOKUP(C1059,Contract!$A$2:$A$9,Contract!$B$2:$B$9)</f>
        <v>0.38</v>
      </c>
      <c r="S1059" s="1">
        <f t="shared" si="64"/>
        <v>55.1</v>
      </c>
      <c r="T1059" s="1">
        <f t="shared" si="65"/>
        <v>-5.1400000000000006</v>
      </c>
      <c r="U1059" s="1" t="str">
        <f t="shared" si="66"/>
        <v>OK</v>
      </c>
      <c r="V1059" s="1" t="str">
        <f>_xlfn.XLOOKUP(C1059,Payers!$A$2:$A$9,Payers!$B$2:$B$9)</f>
        <v>Sunshine Medicare Advantage</v>
      </c>
      <c r="W1059" s="1" t="str">
        <f t="shared" si="67"/>
        <v>2026-04</v>
      </c>
    </row>
    <row r="1060" spans="1:23">
      <c r="A1060" s="1" t="s">
        <v>2025</v>
      </c>
      <c r="B1060" s="1" t="s">
        <v>1203</v>
      </c>
      <c r="C1060" s="1" t="s">
        <v>18</v>
      </c>
      <c r="D1060" s="1" t="s">
        <v>26</v>
      </c>
      <c r="E1060" s="1" t="s">
        <v>41</v>
      </c>
      <c r="F1060">
        <v>1</v>
      </c>
      <c r="G1060" s="2">
        <v>46165</v>
      </c>
      <c r="H1060" s="2">
        <v>46168</v>
      </c>
      <c r="I1060">
        <v>38.909999999999997</v>
      </c>
      <c r="J1060">
        <v>13.77</v>
      </c>
      <c r="K1060">
        <v>11.02</v>
      </c>
      <c r="L1060">
        <v>2.75</v>
      </c>
      <c r="M1060" s="1" t="s">
        <v>21</v>
      </c>
      <c r="N1060" s="1" t="s">
        <v>22</v>
      </c>
      <c r="O1060" s="2">
        <v>46215</v>
      </c>
      <c r="P1060" s="2">
        <v>46215</v>
      </c>
      <c r="Q1060">
        <f>_xlfn.XLOOKUP(E1060,CPT!$A$2:$A$13,CPT!$D$2:$D$13)</f>
        <v>38</v>
      </c>
      <c r="R1060" s="1">
        <f>_xlfn.XLOOKUP(C1060,Contract!$A$2:$A$9,Contract!$B$2:$B$9)</f>
        <v>0.38</v>
      </c>
      <c r="S1060" s="1">
        <f t="shared" si="64"/>
        <v>14.44</v>
      </c>
      <c r="T1060" s="1">
        <f t="shared" si="65"/>
        <v>0.66999999999999993</v>
      </c>
      <c r="U1060" s="1" t="str">
        <f t="shared" si="66"/>
        <v>OK</v>
      </c>
      <c r="V1060" s="1" t="str">
        <f>_xlfn.XLOOKUP(C1060,Payers!$A$2:$A$9,Payers!$B$2:$B$9)</f>
        <v>Sunshine Medicare Advantage</v>
      </c>
      <c r="W1060" s="1" t="str">
        <f t="shared" si="67"/>
        <v>2026-05</v>
      </c>
    </row>
    <row r="1061" spans="1:23">
      <c r="A1061" s="1" t="s">
        <v>2026</v>
      </c>
      <c r="B1061" s="1" t="s">
        <v>2027</v>
      </c>
      <c r="C1061" s="1" t="s">
        <v>25</v>
      </c>
      <c r="D1061" s="1" t="s">
        <v>26</v>
      </c>
      <c r="E1061" s="1" t="s">
        <v>185</v>
      </c>
      <c r="F1061">
        <v>1</v>
      </c>
      <c r="G1061" s="2">
        <v>46002</v>
      </c>
      <c r="H1061" s="2">
        <v>46004</v>
      </c>
      <c r="I1061">
        <v>1125.71</v>
      </c>
      <c r="J1061">
        <v>388.97</v>
      </c>
      <c r="K1061">
        <v>350.07</v>
      </c>
      <c r="L1061">
        <v>38.9</v>
      </c>
      <c r="M1061" s="1" t="s">
        <v>21</v>
      </c>
      <c r="N1061" s="1" t="s">
        <v>22</v>
      </c>
      <c r="O1061" s="2">
        <v>46027</v>
      </c>
      <c r="P1061" s="2">
        <v>46027</v>
      </c>
      <c r="Q1061">
        <f>_xlfn.XLOOKUP(E1061,CPT!$A$2:$A$13,CPT!$D$2:$D$13)</f>
        <v>1150</v>
      </c>
      <c r="R1061" s="1">
        <f>_xlfn.XLOOKUP(C1061,Contract!$A$2:$A$9,Contract!$B$2:$B$9)</f>
        <v>0.36</v>
      </c>
      <c r="S1061" s="1">
        <f t="shared" si="64"/>
        <v>414</v>
      </c>
      <c r="T1061" s="1">
        <f t="shared" si="65"/>
        <v>25.029999999999973</v>
      </c>
      <c r="U1061" s="1" t="str">
        <f t="shared" si="66"/>
        <v>Underpaid</v>
      </c>
      <c r="V1061" s="1" t="str">
        <f>_xlfn.XLOOKUP(C1061,Payers!$A$2:$A$9,Payers!$B$2:$B$9)</f>
        <v>Medicare Part B</v>
      </c>
      <c r="W1061" s="1" t="str">
        <f t="shared" si="67"/>
        <v>2025-12</v>
      </c>
    </row>
    <row r="1062" spans="1:23">
      <c r="A1062" s="1" t="s">
        <v>2028</v>
      </c>
      <c r="B1062" s="1" t="s">
        <v>2029</v>
      </c>
      <c r="C1062" s="1" t="s">
        <v>60</v>
      </c>
      <c r="D1062" s="1" t="s">
        <v>26</v>
      </c>
      <c r="E1062" s="1" t="s">
        <v>41</v>
      </c>
      <c r="F1062">
        <v>1</v>
      </c>
      <c r="G1062" s="2">
        <v>46255</v>
      </c>
      <c r="H1062" s="2">
        <v>46260</v>
      </c>
      <c r="I1062">
        <v>37.549999999999997</v>
      </c>
      <c r="J1062">
        <v>15.08</v>
      </c>
      <c r="K1062">
        <v>13.57</v>
      </c>
      <c r="L1062">
        <v>1.51</v>
      </c>
      <c r="M1062" s="1" t="s">
        <v>21</v>
      </c>
      <c r="N1062" s="1" t="s">
        <v>22</v>
      </c>
      <c r="O1062" s="2">
        <v>46289</v>
      </c>
      <c r="P1062" s="2">
        <v>46289</v>
      </c>
      <c r="Q1062">
        <f>_xlfn.XLOOKUP(E1062,CPT!$A$2:$A$13,CPT!$D$2:$D$13)</f>
        <v>38</v>
      </c>
      <c r="R1062" s="1">
        <f>_xlfn.XLOOKUP(C1062,Contract!$A$2:$A$9,Contract!$B$2:$B$9)</f>
        <v>0.45</v>
      </c>
      <c r="S1062" s="1">
        <f t="shared" si="64"/>
        <v>17.100000000000001</v>
      </c>
      <c r="T1062" s="1">
        <f t="shared" si="65"/>
        <v>2.0200000000000014</v>
      </c>
      <c r="U1062" s="1" t="str">
        <f t="shared" si="66"/>
        <v>Underpaid</v>
      </c>
      <c r="V1062" s="1" t="str">
        <f>_xlfn.XLOOKUP(C1062,Payers!$A$2:$A$9,Payers!$B$2:$B$9)</f>
        <v>Blue Horizon Commercial</v>
      </c>
      <c r="W1062" s="1" t="str">
        <f t="shared" si="67"/>
        <v>2026-08</v>
      </c>
    </row>
    <row r="1063" spans="1:23">
      <c r="A1063" s="1" t="s">
        <v>2030</v>
      </c>
      <c r="B1063" s="1" t="s">
        <v>2031</v>
      </c>
      <c r="C1063" s="1" t="s">
        <v>60</v>
      </c>
      <c r="D1063" s="1" t="s">
        <v>26</v>
      </c>
      <c r="E1063" s="1" t="s">
        <v>57</v>
      </c>
      <c r="F1063">
        <v>1</v>
      </c>
      <c r="G1063" s="2">
        <v>46039</v>
      </c>
      <c r="H1063" s="2">
        <v>46040</v>
      </c>
      <c r="I1063">
        <v>211.05</v>
      </c>
      <c r="M1063" s="1" t="s">
        <v>32</v>
      </c>
      <c r="N1063" s="1" t="s">
        <v>124</v>
      </c>
      <c r="O1063" s="2">
        <v>46063</v>
      </c>
      <c r="P1063" s="2"/>
      <c r="Q1063">
        <f>_xlfn.XLOOKUP(E1063,CPT!$A$2:$A$13,CPT!$D$2:$D$13)</f>
        <v>210</v>
      </c>
      <c r="R1063" s="1">
        <f>_xlfn.XLOOKUP(C1063,Contract!$A$2:$A$9,Contract!$B$2:$B$9)</f>
        <v>0.45</v>
      </c>
      <c r="S1063" s="1">
        <f t="shared" si="64"/>
        <v>94.5</v>
      </c>
      <c r="T1063" s="1" t="str">
        <f t="shared" si="65"/>
        <v/>
      </c>
      <c r="U1063" s="1" t="str">
        <f t="shared" si="66"/>
        <v/>
      </c>
      <c r="V1063" s="1" t="str">
        <f>_xlfn.XLOOKUP(C1063,Payers!$A$2:$A$9,Payers!$B$2:$B$9)</f>
        <v>Blue Horizon Commercial</v>
      </c>
      <c r="W1063" s="1" t="str">
        <f t="shared" si="67"/>
        <v>2026-01</v>
      </c>
    </row>
    <row r="1064" spans="1:23">
      <c r="A1064" s="1" t="s">
        <v>2032</v>
      </c>
      <c r="B1064" s="1" t="s">
        <v>2033</v>
      </c>
      <c r="C1064" s="1" t="s">
        <v>52</v>
      </c>
      <c r="D1064" s="1" t="s">
        <v>19</v>
      </c>
      <c r="E1064" s="1" t="s">
        <v>88</v>
      </c>
      <c r="F1064">
        <v>1</v>
      </c>
      <c r="G1064" s="2">
        <v>46124</v>
      </c>
      <c r="H1064" s="2">
        <v>46127</v>
      </c>
      <c r="I1064">
        <v>265.7</v>
      </c>
      <c r="M1064" s="1" t="s">
        <v>32</v>
      </c>
      <c r="N1064" s="1" t="s">
        <v>98</v>
      </c>
      <c r="O1064" s="2">
        <v>46173</v>
      </c>
      <c r="P1064" s="2"/>
      <c r="Q1064">
        <f>_xlfn.XLOOKUP(E1064,CPT!$A$2:$A$13,CPT!$D$2:$D$13)</f>
        <v>260</v>
      </c>
      <c r="R1064" s="1">
        <f>_xlfn.XLOOKUP(C1064,Contract!$A$2:$A$9,Contract!$B$2:$B$9)</f>
        <v>0.47</v>
      </c>
      <c r="S1064" s="1">
        <f t="shared" si="64"/>
        <v>122.2</v>
      </c>
      <c r="T1064" s="1" t="str">
        <f t="shared" si="65"/>
        <v/>
      </c>
      <c r="U1064" s="1" t="str">
        <f t="shared" si="66"/>
        <v/>
      </c>
      <c r="V1064" s="1" t="str">
        <f>_xlfn.XLOOKUP(C1064,Payers!$A$2:$A$9,Payers!$B$2:$B$9)</f>
        <v>Keystone Commercial PPO</v>
      </c>
      <c r="W1064" s="1" t="str">
        <f t="shared" si="67"/>
        <v>2026-04</v>
      </c>
    </row>
    <row r="1065" spans="1:23">
      <c r="A1065" s="1" t="s">
        <v>2034</v>
      </c>
      <c r="B1065" s="1" t="s">
        <v>2035</v>
      </c>
      <c r="C1065" s="1" t="s">
        <v>25</v>
      </c>
      <c r="D1065" s="1" t="s">
        <v>37</v>
      </c>
      <c r="E1065" s="1" t="s">
        <v>38</v>
      </c>
      <c r="F1065">
        <v>30</v>
      </c>
      <c r="G1065" s="2">
        <v>46113</v>
      </c>
      <c r="H1065" s="2">
        <v>46123</v>
      </c>
      <c r="I1065">
        <v>43393.83</v>
      </c>
      <c r="J1065">
        <v>17274.099999999999</v>
      </c>
      <c r="K1065">
        <v>17274.099999999999</v>
      </c>
      <c r="L1065">
        <v>0</v>
      </c>
      <c r="M1065" s="1" t="s">
        <v>21</v>
      </c>
      <c r="N1065" s="1" t="s">
        <v>22</v>
      </c>
      <c r="O1065" s="2">
        <v>46140</v>
      </c>
      <c r="P1065" s="2">
        <v>46140</v>
      </c>
      <c r="Q1065">
        <f>_xlfn.XLOOKUP(E1065,CPT!$A$2:$A$13,CPT!$D$2:$D$13)</f>
        <v>1450</v>
      </c>
      <c r="R1065" s="1">
        <f>_xlfn.XLOOKUP(C1065,Contract!$A$2:$A$9,Contract!$B$2:$B$9)</f>
        <v>0.36</v>
      </c>
      <c r="S1065" s="1">
        <f t="shared" si="64"/>
        <v>15660</v>
      </c>
      <c r="T1065" s="1">
        <f t="shared" si="65"/>
        <v>-1614.0999999999985</v>
      </c>
      <c r="U1065" s="1" t="str">
        <f t="shared" si="66"/>
        <v>OK</v>
      </c>
      <c r="V1065" s="1" t="str">
        <f>_xlfn.XLOOKUP(C1065,Payers!$A$2:$A$9,Payers!$B$2:$B$9)</f>
        <v>Medicare Part B</v>
      </c>
      <c r="W1065" s="1" t="str">
        <f t="shared" si="67"/>
        <v>2026-04</v>
      </c>
    </row>
    <row r="1066" spans="1:23">
      <c r="A1066" s="1" t="s">
        <v>2036</v>
      </c>
      <c r="B1066" s="1" t="s">
        <v>2037</v>
      </c>
      <c r="C1066" s="1" t="s">
        <v>60</v>
      </c>
      <c r="D1066" s="1" t="s">
        <v>26</v>
      </c>
      <c r="E1066" s="1" t="s">
        <v>41</v>
      </c>
      <c r="F1066">
        <v>1</v>
      </c>
      <c r="G1066" s="2">
        <v>46251</v>
      </c>
      <c r="H1066" s="2">
        <v>46253</v>
      </c>
      <c r="I1066">
        <v>37.090000000000003</v>
      </c>
      <c r="M1066" s="1" t="s">
        <v>32</v>
      </c>
      <c r="N1066" s="1" t="s">
        <v>98</v>
      </c>
      <c r="O1066" s="2">
        <v>46280</v>
      </c>
      <c r="P1066" s="2"/>
      <c r="Q1066">
        <f>_xlfn.XLOOKUP(E1066,CPT!$A$2:$A$13,CPT!$D$2:$D$13)</f>
        <v>38</v>
      </c>
      <c r="R1066" s="1">
        <f>_xlfn.XLOOKUP(C1066,Contract!$A$2:$A$9,Contract!$B$2:$B$9)</f>
        <v>0.45</v>
      </c>
      <c r="S1066" s="1">
        <f t="shared" si="64"/>
        <v>17.100000000000001</v>
      </c>
      <c r="T1066" s="1" t="str">
        <f t="shared" si="65"/>
        <v/>
      </c>
      <c r="U1066" s="1" t="str">
        <f t="shared" si="66"/>
        <v/>
      </c>
      <c r="V1066" s="1" t="str">
        <f>_xlfn.XLOOKUP(C1066,Payers!$A$2:$A$9,Payers!$B$2:$B$9)</f>
        <v>Blue Horizon Commercial</v>
      </c>
      <c r="W1066" s="1" t="str">
        <f t="shared" si="67"/>
        <v>2026-08</v>
      </c>
    </row>
    <row r="1067" spans="1:23">
      <c r="A1067" s="1" t="s">
        <v>2038</v>
      </c>
      <c r="B1067" s="1" t="s">
        <v>178</v>
      </c>
      <c r="C1067" s="1" t="s">
        <v>36</v>
      </c>
      <c r="D1067" s="1" t="s">
        <v>26</v>
      </c>
      <c r="E1067" s="1" t="s">
        <v>185</v>
      </c>
      <c r="F1067">
        <v>1</v>
      </c>
      <c r="G1067" s="2">
        <v>46024</v>
      </c>
      <c r="H1067" s="2">
        <v>46029</v>
      </c>
      <c r="I1067">
        <v>1163.0899999999999</v>
      </c>
      <c r="M1067" s="1" t="s">
        <v>32</v>
      </c>
      <c r="N1067" s="1" t="s">
        <v>33</v>
      </c>
      <c r="O1067" s="2">
        <v>46044</v>
      </c>
      <c r="P1067" s="2"/>
      <c r="Q1067">
        <f>_xlfn.XLOOKUP(E1067,CPT!$A$2:$A$13,CPT!$D$2:$D$13)</f>
        <v>1150</v>
      </c>
      <c r="R1067" s="1">
        <f>_xlfn.XLOOKUP(C1067,Contract!$A$2:$A$9,Contract!$B$2:$B$9)</f>
        <v>0.27</v>
      </c>
      <c r="S1067" s="1">
        <f t="shared" si="64"/>
        <v>310.5</v>
      </c>
      <c r="T1067" s="1" t="str">
        <f t="shared" si="65"/>
        <v/>
      </c>
      <c r="U1067" s="1" t="str">
        <f t="shared" si="66"/>
        <v/>
      </c>
      <c r="V1067" s="1" t="str">
        <f>_xlfn.XLOOKUP(C1067,Payers!$A$2:$A$9,Payers!$B$2:$B$9)</f>
        <v>Florida Medicaid</v>
      </c>
      <c r="W1067" s="1" t="str">
        <f t="shared" si="67"/>
        <v>2026-01</v>
      </c>
    </row>
    <row r="1068" spans="1:23">
      <c r="A1068" s="1" t="s">
        <v>2039</v>
      </c>
      <c r="B1068" s="1" t="s">
        <v>2040</v>
      </c>
      <c r="C1068" s="1" t="s">
        <v>60</v>
      </c>
      <c r="D1068" s="1" t="s">
        <v>26</v>
      </c>
      <c r="E1068" s="1" t="s">
        <v>185</v>
      </c>
      <c r="F1068">
        <v>1</v>
      </c>
      <c r="G1068" s="2">
        <v>46028</v>
      </c>
      <c r="H1068" s="2">
        <v>46038</v>
      </c>
      <c r="I1068">
        <v>1166.0999999999999</v>
      </c>
      <c r="J1068">
        <v>464.76</v>
      </c>
      <c r="K1068">
        <v>464.76</v>
      </c>
      <c r="L1068">
        <v>0</v>
      </c>
      <c r="M1068" s="1" t="s">
        <v>21</v>
      </c>
      <c r="N1068" s="1" t="s">
        <v>22</v>
      </c>
      <c r="O1068" s="2">
        <v>46064</v>
      </c>
      <c r="P1068" s="2">
        <v>46064</v>
      </c>
      <c r="Q1068">
        <f>_xlfn.XLOOKUP(E1068,CPT!$A$2:$A$13,CPT!$D$2:$D$13)</f>
        <v>1150</v>
      </c>
      <c r="R1068" s="1">
        <f>_xlfn.XLOOKUP(C1068,Contract!$A$2:$A$9,Contract!$B$2:$B$9)</f>
        <v>0.45</v>
      </c>
      <c r="S1068" s="1">
        <f t="shared" si="64"/>
        <v>517.5</v>
      </c>
      <c r="T1068" s="1">
        <f t="shared" si="65"/>
        <v>52.740000000000009</v>
      </c>
      <c r="U1068" s="1" t="str">
        <f t="shared" si="66"/>
        <v>Underpaid</v>
      </c>
      <c r="V1068" s="1" t="str">
        <f>_xlfn.XLOOKUP(C1068,Payers!$A$2:$A$9,Payers!$B$2:$B$9)</f>
        <v>Blue Horizon Commercial</v>
      </c>
      <c r="W1068" s="1" t="str">
        <f t="shared" si="67"/>
        <v>2026-01</v>
      </c>
    </row>
    <row r="1069" spans="1:23">
      <c r="A1069" s="1" t="s">
        <v>2041</v>
      </c>
      <c r="B1069" s="1" t="s">
        <v>2042</v>
      </c>
      <c r="C1069" s="1" t="s">
        <v>52</v>
      </c>
      <c r="D1069" s="1" t="s">
        <v>37</v>
      </c>
      <c r="E1069" s="1" t="s">
        <v>48</v>
      </c>
      <c r="F1069">
        <v>1</v>
      </c>
      <c r="G1069" s="2">
        <v>46205</v>
      </c>
      <c r="H1069" s="2">
        <v>46206</v>
      </c>
      <c r="I1069">
        <v>429.62</v>
      </c>
      <c r="J1069">
        <v>176.03</v>
      </c>
      <c r="K1069">
        <v>140.82</v>
      </c>
      <c r="L1069">
        <v>35.21</v>
      </c>
      <c r="M1069" s="1" t="s">
        <v>21</v>
      </c>
      <c r="N1069" s="1" t="s">
        <v>22</v>
      </c>
      <c r="O1069" s="2">
        <v>46259</v>
      </c>
      <c r="P1069" s="2">
        <v>46259</v>
      </c>
      <c r="Q1069">
        <f>_xlfn.XLOOKUP(E1069,CPT!$A$2:$A$13,CPT!$D$2:$D$13)</f>
        <v>420</v>
      </c>
      <c r="R1069" s="1">
        <f>_xlfn.XLOOKUP(C1069,Contract!$A$2:$A$9,Contract!$B$2:$B$9)</f>
        <v>0.47</v>
      </c>
      <c r="S1069" s="1">
        <f t="shared" si="64"/>
        <v>197.4</v>
      </c>
      <c r="T1069" s="1">
        <f t="shared" si="65"/>
        <v>21.370000000000005</v>
      </c>
      <c r="U1069" s="1" t="str">
        <f t="shared" si="66"/>
        <v>Underpaid</v>
      </c>
      <c r="V1069" s="1" t="str">
        <f>_xlfn.XLOOKUP(C1069,Payers!$A$2:$A$9,Payers!$B$2:$B$9)</f>
        <v>Keystone Commercial PPO</v>
      </c>
      <c r="W1069" s="1" t="str">
        <f t="shared" si="67"/>
        <v>2026-07</v>
      </c>
    </row>
    <row r="1070" spans="1:23">
      <c r="A1070" s="1" t="s">
        <v>2043</v>
      </c>
      <c r="B1070" s="1" t="s">
        <v>2044</v>
      </c>
      <c r="C1070" s="1" t="s">
        <v>60</v>
      </c>
      <c r="D1070" s="1" t="s">
        <v>19</v>
      </c>
      <c r="E1070" s="1" t="s">
        <v>41</v>
      </c>
      <c r="F1070">
        <v>1</v>
      </c>
      <c r="G1070" s="2">
        <v>46208</v>
      </c>
      <c r="H1070" s="2">
        <v>46212</v>
      </c>
      <c r="I1070">
        <v>38.200000000000003</v>
      </c>
      <c r="J1070">
        <v>14.57</v>
      </c>
      <c r="K1070">
        <v>11.66</v>
      </c>
      <c r="L1070">
        <v>2.91</v>
      </c>
      <c r="M1070" s="1" t="s">
        <v>21</v>
      </c>
      <c r="N1070" s="1" t="s">
        <v>22</v>
      </c>
      <c r="O1070" s="2">
        <v>46223</v>
      </c>
      <c r="P1070" s="2">
        <v>46223</v>
      </c>
      <c r="Q1070">
        <f>_xlfn.XLOOKUP(E1070,CPT!$A$2:$A$13,CPT!$D$2:$D$13)</f>
        <v>38</v>
      </c>
      <c r="R1070" s="1">
        <f>_xlfn.XLOOKUP(C1070,Contract!$A$2:$A$9,Contract!$B$2:$B$9)</f>
        <v>0.45</v>
      </c>
      <c r="S1070" s="1">
        <f t="shared" si="64"/>
        <v>17.100000000000001</v>
      </c>
      <c r="T1070" s="1">
        <f t="shared" si="65"/>
        <v>2.5300000000000011</v>
      </c>
      <c r="U1070" s="1" t="str">
        <f t="shared" si="66"/>
        <v>Underpaid</v>
      </c>
      <c r="V1070" s="1" t="str">
        <f>_xlfn.XLOOKUP(C1070,Payers!$A$2:$A$9,Payers!$B$2:$B$9)</f>
        <v>Blue Horizon Commercial</v>
      </c>
      <c r="W1070" s="1" t="str">
        <f t="shared" si="67"/>
        <v>2026-07</v>
      </c>
    </row>
    <row r="1071" spans="1:23">
      <c r="A1071" s="1" t="s">
        <v>2045</v>
      </c>
      <c r="B1071" s="1" t="s">
        <v>2046</v>
      </c>
      <c r="C1071" s="1" t="s">
        <v>36</v>
      </c>
      <c r="D1071" s="1" t="s">
        <v>37</v>
      </c>
      <c r="E1071" s="1" t="s">
        <v>57</v>
      </c>
      <c r="F1071">
        <v>1</v>
      </c>
      <c r="G1071" s="2">
        <v>46245</v>
      </c>
      <c r="H1071" s="2">
        <v>46265</v>
      </c>
      <c r="I1071">
        <v>213.22</v>
      </c>
      <c r="M1071" s="1" t="s">
        <v>69</v>
      </c>
      <c r="N1071" s="1" t="s">
        <v>22</v>
      </c>
      <c r="O1071" s="2"/>
      <c r="P1071" s="2"/>
      <c r="Q1071">
        <f>_xlfn.XLOOKUP(E1071,CPT!$A$2:$A$13,CPT!$D$2:$D$13)</f>
        <v>210</v>
      </c>
      <c r="R1071" s="1">
        <f>_xlfn.XLOOKUP(C1071,Contract!$A$2:$A$9,Contract!$B$2:$B$9)</f>
        <v>0.27</v>
      </c>
      <c r="S1071" s="1">
        <f t="shared" si="64"/>
        <v>56.7</v>
      </c>
      <c r="T1071" s="1" t="str">
        <f t="shared" si="65"/>
        <v/>
      </c>
      <c r="U1071" s="1" t="str">
        <f t="shared" si="66"/>
        <v/>
      </c>
      <c r="V1071" s="1" t="str">
        <f>_xlfn.XLOOKUP(C1071,Payers!$A$2:$A$9,Payers!$B$2:$B$9)</f>
        <v>Florida Medicaid</v>
      </c>
      <c r="W1071" s="1" t="str">
        <f t="shared" si="67"/>
        <v>2026-08</v>
      </c>
    </row>
    <row r="1072" spans="1:23">
      <c r="A1072" s="1" t="s">
        <v>2047</v>
      </c>
      <c r="B1072" s="1" t="s">
        <v>918</v>
      </c>
      <c r="C1072" s="1" t="s">
        <v>76</v>
      </c>
      <c r="D1072" s="1" t="s">
        <v>19</v>
      </c>
      <c r="E1072" s="1" t="s">
        <v>57</v>
      </c>
      <c r="F1072">
        <v>1</v>
      </c>
      <c r="G1072" s="2">
        <v>46178</v>
      </c>
      <c r="H1072" s="2">
        <v>46191</v>
      </c>
      <c r="I1072">
        <v>210.18</v>
      </c>
      <c r="J1072">
        <v>100.12</v>
      </c>
      <c r="K1072">
        <v>90.11</v>
      </c>
      <c r="L1072">
        <v>10.01</v>
      </c>
      <c r="M1072" s="1" t="s">
        <v>21</v>
      </c>
      <c r="N1072" s="1" t="s">
        <v>22</v>
      </c>
      <c r="O1072" s="2">
        <v>46223</v>
      </c>
      <c r="P1072" s="2">
        <v>46223</v>
      </c>
      <c r="Q1072">
        <f>_xlfn.XLOOKUP(E1072,CPT!$A$2:$A$13,CPT!$D$2:$D$13)</f>
        <v>210</v>
      </c>
      <c r="R1072" s="1">
        <f>_xlfn.XLOOKUP(C1072,Contract!$A$2:$A$9,Contract!$B$2:$B$9)</f>
        <v>0.43</v>
      </c>
      <c r="S1072" s="1">
        <f t="shared" si="64"/>
        <v>90.3</v>
      </c>
      <c r="T1072" s="1">
        <f t="shared" si="65"/>
        <v>-9.8200000000000074</v>
      </c>
      <c r="U1072" s="1" t="str">
        <f t="shared" si="66"/>
        <v>OK</v>
      </c>
      <c r="V1072" s="1" t="str">
        <f>_xlfn.XLOOKUP(C1072,Payers!$A$2:$A$9,Payers!$B$2:$B$9)</f>
        <v>Summit Health Commercial</v>
      </c>
      <c r="W1072" s="1" t="str">
        <f t="shared" si="67"/>
        <v>2026-06</v>
      </c>
    </row>
    <row r="1073" spans="1:23">
      <c r="A1073" s="1" t="s">
        <v>2048</v>
      </c>
      <c r="B1073" s="1" t="s">
        <v>2049</v>
      </c>
      <c r="C1073" s="1" t="s">
        <v>52</v>
      </c>
      <c r="D1073" s="1" t="s">
        <v>19</v>
      </c>
      <c r="E1073" s="1" t="s">
        <v>57</v>
      </c>
      <c r="F1073">
        <v>1</v>
      </c>
      <c r="G1073" s="2">
        <v>46094</v>
      </c>
      <c r="H1073" s="2">
        <v>46097</v>
      </c>
      <c r="I1073">
        <v>214.96</v>
      </c>
      <c r="J1073">
        <v>91.42</v>
      </c>
      <c r="K1073">
        <v>73.14</v>
      </c>
      <c r="L1073">
        <v>18.28</v>
      </c>
      <c r="M1073" s="1" t="s">
        <v>21</v>
      </c>
      <c r="N1073" s="1" t="s">
        <v>22</v>
      </c>
      <c r="O1073" s="2">
        <v>46152</v>
      </c>
      <c r="P1073" s="2">
        <v>46152</v>
      </c>
      <c r="Q1073">
        <f>_xlfn.XLOOKUP(E1073,CPT!$A$2:$A$13,CPT!$D$2:$D$13)</f>
        <v>210</v>
      </c>
      <c r="R1073" s="1">
        <f>_xlfn.XLOOKUP(C1073,Contract!$A$2:$A$9,Contract!$B$2:$B$9)</f>
        <v>0.47</v>
      </c>
      <c r="S1073" s="1">
        <f t="shared" si="64"/>
        <v>98.7</v>
      </c>
      <c r="T1073" s="1">
        <f t="shared" si="65"/>
        <v>7.2800000000000011</v>
      </c>
      <c r="U1073" s="1" t="str">
        <f t="shared" si="66"/>
        <v>Underpaid</v>
      </c>
      <c r="V1073" s="1" t="str">
        <f>_xlfn.XLOOKUP(C1073,Payers!$A$2:$A$9,Payers!$B$2:$B$9)</f>
        <v>Keystone Commercial PPO</v>
      </c>
      <c r="W1073" s="1" t="str">
        <f t="shared" si="67"/>
        <v>2026-03</v>
      </c>
    </row>
    <row r="1074" spans="1:23">
      <c r="A1074" s="1" t="s">
        <v>2050</v>
      </c>
      <c r="B1074" s="1" t="s">
        <v>2051</v>
      </c>
      <c r="C1074" s="1" t="s">
        <v>52</v>
      </c>
      <c r="D1074" s="1" t="s">
        <v>26</v>
      </c>
      <c r="E1074" s="1" t="s">
        <v>44</v>
      </c>
      <c r="F1074">
        <v>1</v>
      </c>
      <c r="G1074" s="2">
        <v>46257</v>
      </c>
      <c r="H1074" s="2">
        <v>46264</v>
      </c>
      <c r="I1074">
        <v>4853.84</v>
      </c>
      <c r="M1074" s="1" t="s">
        <v>69</v>
      </c>
      <c r="N1074" s="1" t="s">
        <v>22</v>
      </c>
      <c r="O1074" s="2"/>
      <c r="P1074" s="2"/>
      <c r="Q1074">
        <f>_xlfn.XLOOKUP(E1074,CPT!$A$2:$A$13,CPT!$D$2:$D$13)</f>
        <v>4800</v>
      </c>
      <c r="R1074" s="1">
        <f>_xlfn.XLOOKUP(C1074,Contract!$A$2:$A$9,Contract!$B$2:$B$9)</f>
        <v>0.47</v>
      </c>
      <c r="S1074" s="1">
        <f t="shared" si="64"/>
        <v>2256</v>
      </c>
      <c r="T1074" s="1" t="str">
        <f t="shared" si="65"/>
        <v/>
      </c>
      <c r="U1074" s="1" t="str">
        <f t="shared" si="66"/>
        <v/>
      </c>
      <c r="V1074" s="1" t="str">
        <f>_xlfn.XLOOKUP(C1074,Payers!$A$2:$A$9,Payers!$B$2:$B$9)</f>
        <v>Keystone Commercial PPO</v>
      </c>
      <c r="W1074" s="1" t="str">
        <f t="shared" si="67"/>
        <v>2026-08</v>
      </c>
    </row>
    <row r="1075" spans="1:23">
      <c r="A1075" s="1" t="s">
        <v>2052</v>
      </c>
      <c r="B1075" s="1" t="s">
        <v>2053</v>
      </c>
      <c r="C1075" s="1" t="s">
        <v>18</v>
      </c>
      <c r="D1075" s="1" t="s">
        <v>19</v>
      </c>
      <c r="E1075" s="1" t="s">
        <v>20</v>
      </c>
      <c r="F1075">
        <v>1</v>
      </c>
      <c r="G1075" s="2">
        <v>46243</v>
      </c>
      <c r="H1075" s="2">
        <v>46248</v>
      </c>
      <c r="I1075">
        <v>142.47999999999999</v>
      </c>
      <c r="M1075" s="1" t="s">
        <v>69</v>
      </c>
      <c r="N1075" s="1" t="s">
        <v>22</v>
      </c>
      <c r="O1075" s="2"/>
      <c r="P1075" s="2"/>
      <c r="Q1075">
        <f>_xlfn.XLOOKUP(E1075,CPT!$A$2:$A$13,CPT!$D$2:$D$13)</f>
        <v>145</v>
      </c>
      <c r="R1075" s="1">
        <f>_xlfn.XLOOKUP(C1075,Contract!$A$2:$A$9,Contract!$B$2:$B$9)</f>
        <v>0.38</v>
      </c>
      <c r="S1075" s="1">
        <f t="shared" si="64"/>
        <v>55.1</v>
      </c>
      <c r="T1075" s="1" t="str">
        <f t="shared" si="65"/>
        <v/>
      </c>
      <c r="U1075" s="1" t="str">
        <f t="shared" si="66"/>
        <v/>
      </c>
      <c r="V1075" s="1" t="str">
        <f>_xlfn.XLOOKUP(C1075,Payers!$A$2:$A$9,Payers!$B$2:$B$9)</f>
        <v>Sunshine Medicare Advantage</v>
      </c>
      <c r="W1075" s="1" t="str">
        <f t="shared" si="67"/>
        <v>2026-08</v>
      </c>
    </row>
    <row r="1076" spans="1:23">
      <c r="A1076" s="1" t="s">
        <v>2054</v>
      </c>
      <c r="B1076" s="1" t="s">
        <v>412</v>
      </c>
      <c r="C1076" s="1" t="s">
        <v>25</v>
      </c>
      <c r="D1076" s="1" t="s">
        <v>37</v>
      </c>
      <c r="E1076" s="1" t="s">
        <v>38</v>
      </c>
      <c r="F1076">
        <v>20</v>
      </c>
      <c r="G1076" s="2">
        <v>46011</v>
      </c>
      <c r="H1076" s="2">
        <v>46027</v>
      </c>
      <c r="I1076">
        <v>29794.67</v>
      </c>
      <c r="J1076">
        <v>11689.64</v>
      </c>
      <c r="K1076">
        <v>10520.68</v>
      </c>
      <c r="L1076">
        <v>1168.96</v>
      </c>
      <c r="M1076" s="1" t="s">
        <v>21</v>
      </c>
      <c r="N1076" s="1" t="s">
        <v>22</v>
      </c>
      <c r="O1076" s="2">
        <v>46045</v>
      </c>
      <c r="P1076" s="2">
        <v>46045</v>
      </c>
      <c r="Q1076">
        <f>_xlfn.XLOOKUP(E1076,CPT!$A$2:$A$13,CPT!$D$2:$D$13)</f>
        <v>1450</v>
      </c>
      <c r="R1076" s="1">
        <f>_xlfn.XLOOKUP(C1076,Contract!$A$2:$A$9,Contract!$B$2:$B$9)</f>
        <v>0.36</v>
      </c>
      <c r="S1076" s="1">
        <f t="shared" si="64"/>
        <v>10440</v>
      </c>
      <c r="T1076" s="1">
        <f t="shared" si="65"/>
        <v>-1249.6399999999994</v>
      </c>
      <c r="U1076" s="1" t="str">
        <f t="shared" si="66"/>
        <v>OK</v>
      </c>
      <c r="V1076" s="1" t="str">
        <f>_xlfn.XLOOKUP(C1076,Payers!$A$2:$A$9,Payers!$B$2:$B$9)</f>
        <v>Medicare Part B</v>
      </c>
      <c r="W1076" s="1" t="str">
        <f t="shared" si="67"/>
        <v>2025-12</v>
      </c>
    </row>
    <row r="1077" spans="1:23">
      <c r="A1077" s="1" t="s">
        <v>2055</v>
      </c>
      <c r="B1077" s="1" t="s">
        <v>2056</v>
      </c>
      <c r="C1077" s="1" t="s">
        <v>76</v>
      </c>
      <c r="D1077" s="1" t="s">
        <v>30</v>
      </c>
      <c r="E1077" s="1" t="s">
        <v>91</v>
      </c>
      <c r="F1077">
        <v>1</v>
      </c>
      <c r="G1077" s="2">
        <v>46087</v>
      </c>
      <c r="H1077" s="2">
        <v>46095</v>
      </c>
      <c r="I1077">
        <v>58.79</v>
      </c>
      <c r="J1077">
        <v>25.63</v>
      </c>
      <c r="K1077">
        <v>20.5</v>
      </c>
      <c r="L1077">
        <v>5.13</v>
      </c>
      <c r="M1077" s="1" t="s">
        <v>21</v>
      </c>
      <c r="N1077" s="1" t="s">
        <v>22</v>
      </c>
      <c r="O1077" s="2">
        <v>46119</v>
      </c>
      <c r="P1077" s="2">
        <v>46119</v>
      </c>
      <c r="Q1077">
        <f>_xlfn.XLOOKUP(E1077,CPT!$A$2:$A$13,CPT!$D$2:$D$13)</f>
        <v>58</v>
      </c>
      <c r="R1077" s="1">
        <f>_xlfn.XLOOKUP(C1077,Contract!$A$2:$A$9,Contract!$B$2:$B$9)</f>
        <v>0.43</v>
      </c>
      <c r="S1077" s="1">
        <f t="shared" si="64"/>
        <v>24.94</v>
      </c>
      <c r="T1077" s="1">
        <f t="shared" si="65"/>
        <v>-0.68999999999999773</v>
      </c>
      <c r="U1077" s="1" t="str">
        <f t="shared" si="66"/>
        <v>OK</v>
      </c>
      <c r="V1077" s="1" t="str">
        <f>_xlfn.XLOOKUP(C1077,Payers!$A$2:$A$9,Payers!$B$2:$B$9)</f>
        <v>Summit Health Commercial</v>
      </c>
      <c r="W1077" s="1" t="str">
        <f t="shared" si="67"/>
        <v>2026-03</v>
      </c>
    </row>
    <row r="1078" spans="1:23">
      <c r="A1078" s="1" t="s">
        <v>2057</v>
      </c>
      <c r="B1078" s="1" t="s">
        <v>2058</v>
      </c>
      <c r="C1078" s="1" t="s">
        <v>60</v>
      </c>
      <c r="D1078" s="1" t="s">
        <v>37</v>
      </c>
      <c r="E1078" s="1" t="s">
        <v>48</v>
      </c>
      <c r="F1078">
        <v>1</v>
      </c>
      <c r="G1078" s="2">
        <v>46140</v>
      </c>
      <c r="H1078" s="2">
        <v>46147</v>
      </c>
      <c r="I1078">
        <v>416.31</v>
      </c>
      <c r="J1078">
        <v>202.9</v>
      </c>
      <c r="K1078">
        <v>202.9</v>
      </c>
      <c r="L1078">
        <v>0</v>
      </c>
      <c r="M1078" s="1" t="s">
        <v>21</v>
      </c>
      <c r="N1078" s="1" t="s">
        <v>22</v>
      </c>
      <c r="O1078" s="2">
        <v>46188</v>
      </c>
      <c r="P1078" s="2">
        <v>46188</v>
      </c>
      <c r="Q1078">
        <f>_xlfn.XLOOKUP(E1078,CPT!$A$2:$A$13,CPT!$D$2:$D$13)</f>
        <v>420</v>
      </c>
      <c r="R1078" s="1">
        <f>_xlfn.XLOOKUP(C1078,Contract!$A$2:$A$9,Contract!$B$2:$B$9)</f>
        <v>0.45</v>
      </c>
      <c r="S1078" s="1">
        <f t="shared" si="64"/>
        <v>189</v>
      </c>
      <c r="T1078" s="1">
        <f t="shared" si="65"/>
        <v>-13.900000000000006</v>
      </c>
      <c r="U1078" s="1" t="str">
        <f t="shared" si="66"/>
        <v>OK</v>
      </c>
      <c r="V1078" s="1" t="str">
        <f>_xlfn.XLOOKUP(C1078,Payers!$A$2:$A$9,Payers!$B$2:$B$9)</f>
        <v>Blue Horizon Commercial</v>
      </c>
      <c r="W1078" s="1" t="str">
        <f t="shared" si="67"/>
        <v>2026-04</v>
      </c>
    </row>
    <row r="1079" spans="1:23">
      <c r="A1079" s="1" t="s">
        <v>2059</v>
      </c>
      <c r="B1079" s="1" t="s">
        <v>2060</v>
      </c>
      <c r="C1079" s="1" t="s">
        <v>36</v>
      </c>
      <c r="D1079" s="1" t="s">
        <v>37</v>
      </c>
      <c r="E1079" s="1" t="s">
        <v>48</v>
      </c>
      <c r="F1079">
        <v>1</v>
      </c>
      <c r="G1079" s="2">
        <v>45943</v>
      </c>
      <c r="H1079" s="2">
        <v>45950</v>
      </c>
      <c r="I1079">
        <v>415.51</v>
      </c>
      <c r="J1079">
        <v>114.28</v>
      </c>
      <c r="K1079">
        <v>114.28</v>
      </c>
      <c r="L1079">
        <v>0</v>
      </c>
      <c r="M1079" s="1" t="s">
        <v>21</v>
      </c>
      <c r="N1079" s="1" t="s">
        <v>22</v>
      </c>
      <c r="O1079" s="2">
        <v>45992</v>
      </c>
      <c r="P1079" s="2">
        <v>45992</v>
      </c>
      <c r="Q1079">
        <f>_xlfn.XLOOKUP(E1079,CPT!$A$2:$A$13,CPT!$D$2:$D$13)</f>
        <v>420</v>
      </c>
      <c r="R1079" s="1">
        <f>_xlfn.XLOOKUP(C1079,Contract!$A$2:$A$9,Contract!$B$2:$B$9)</f>
        <v>0.27</v>
      </c>
      <c r="S1079" s="1">
        <f t="shared" si="64"/>
        <v>113.4</v>
      </c>
      <c r="T1079" s="1">
        <f t="shared" si="65"/>
        <v>-0.87999999999999545</v>
      </c>
      <c r="U1079" s="1" t="str">
        <f t="shared" si="66"/>
        <v>OK</v>
      </c>
      <c r="V1079" s="1" t="str">
        <f>_xlfn.XLOOKUP(C1079,Payers!$A$2:$A$9,Payers!$B$2:$B$9)</f>
        <v>Florida Medicaid</v>
      </c>
      <c r="W1079" s="1" t="str">
        <f t="shared" si="67"/>
        <v>2025-10</v>
      </c>
    </row>
    <row r="1080" spans="1:23">
      <c r="A1080" s="1" t="s">
        <v>2061</v>
      </c>
      <c r="B1080" s="1" t="s">
        <v>2062</v>
      </c>
      <c r="C1080" s="1" t="s">
        <v>52</v>
      </c>
      <c r="D1080" s="1" t="s">
        <v>26</v>
      </c>
      <c r="E1080" s="1" t="s">
        <v>27</v>
      </c>
      <c r="F1080">
        <v>1</v>
      </c>
      <c r="G1080" s="2">
        <v>46071</v>
      </c>
      <c r="H1080" s="2">
        <v>46073</v>
      </c>
      <c r="I1080">
        <v>234.34</v>
      </c>
      <c r="J1080">
        <v>110.03</v>
      </c>
      <c r="K1080">
        <v>110.03</v>
      </c>
      <c r="L1080">
        <v>0</v>
      </c>
      <c r="M1080" s="1" t="s">
        <v>21</v>
      </c>
      <c r="N1080" s="1" t="s">
        <v>22</v>
      </c>
      <c r="O1080" s="2">
        <v>46115</v>
      </c>
      <c r="P1080" s="2">
        <v>46115</v>
      </c>
      <c r="Q1080">
        <f>_xlfn.XLOOKUP(E1080,CPT!$A$2:$A$13,CPT!$D$2:$D$13)</f>
        <v>240</v>
      </c>
      <c r="R1080" s="1">
        <f>_xlfn.XLOOKUP(C1080,Contract!$A$2:$A$9,Contract!$B$2:$B$9)</f>
        <v>0.47</v>
      </c>
      <c r="S1080" s="1">
        <f t="shared" si="64"/>
        <v>112.8</v>
      </c>
      <c r="T1080" s="1">
        <f t="shared" si="65"/>
        <v>2.769999999999996</v>
      </c>
      <c r="U1080" s="1" t="str">
        <f t="shared" si="66"/>
        <v>OK</v>
      </c>
      <c r="V1080" s="1" t="str">
        <f>_xlfn.XLOOKUP(C1080,Payers!$A$2:$A$9,Payers!$B$2:$B$9)</f>
        <v>Keystone Commercial PPO</v>
      </c>
      <c r="W1080" s="1" t="str">
        <f t="shared" si="67"/>
        <v>2026-02</v>
      </c>
    </row>
    <row r="1081" spans="1:23">
      <c r="A1081" s="1" t="s">
        <v>2063</v>
      </c>
      <c r="B1081" s="1" t="s">
        <v>671</v>
      </c>
      <c r="C1081" s="1" t="s">
        <v>79</v>
      </c>
      <c r="D1081" s="1" t="s">
        <v>37</v>
      </c>
      <c r="E1081" s="1" t="s">
        <v>57</v>
      </c>
      <c r="F1081">
        <v>1</v>
      </c>
      <c r="G1081" s="2">
        <v>46292</v>
      </c>
      <c r="H1081" s="2">
        <v>46294</v>
      </c>
      <c r="I1081">
        <v>209.84</v>
      </c>
      <c r="M1081" s="1" t="s">
        <v>69</v>
      </c>
      <c r="N1081" s="1" t="s">
        <v>22</v>
      </c>
      <c r="O1081" s="2"/>
      <c r="P1081" s="2"/>
      <c r="Q1081">
        <f>_xlfn.XLOOKUP(E1081,CPT!$A$2:$A$13,CPT!$D$2:$D$13)</f>
        <v>210</v>
      </c>
      <c r="R1081" s="1">
        <f>_xlfn.XLOOKUP(C1081,Contract!$A$2:$A$9,Contract!$B$2:$B$9)</f>
        <v>1</v>
      </c>
      <c r="S1081" s="1">
        <f t="shared" si="64"/>
        <v>210</v>
      </c>
      <c r="T1081" s="1" t="str">
        <f t="shared" si="65"/>
        <v/>
      </c>
      <c r="U1081" s="1" t="str">
        <f t="shared" si="66"/>
        <v/>
      </c>
      <c r="V1081" s="1" t="str">
        <f>_xlfn.XLOOKUP(C1081,Payers!$A$2:$A$9,Payers!$B$2:$B$9)</f>
        <v>Self-Pay</v>
      </c>
      <c r="W1081" s="1" t="str">
        <f t="shared" si="67"/>
        <v>2026-09</v>
      </c>
    </row>
    <row r="1082" spans="1:23">
      <c r="A1082" s="1" t="s">
        <v>2064</v>
      </c>
      <c r="B1082" s="1" t="s">
        <v>2065</v>
      </c>
      <c r="C1082" s="1" t="s">
        <v>25</v>
      </c>
      <c r="D1082" s="1" t="s">
        <v>26</v>
      </c>
      <c r="E1082" s="1" t="s">
        <v>88</v>
      </c>
      <c r="F1082">
        <v>1</v>
      </c>
      <c r="G1082" s="2">
        <v>46072</v>
      </c>
      <c r="H1082" s="2">
        <v>46075</v>
      </c>
      <c r="I1082">
        <v>260.58999999999997</v>
      </c>
      <c r="J1082">
        <v>92.99</v>
      </c>
      <c r="K1082">
        <v>74.39</v>
      </c>
      <c r="L1082">
        <v>18.600000000000001</v>
      </c>
      <c r="M1082" s="1" t="s">
        <v>21</v>
      </c>
      <c r="N1082" s="1" t="s">
        <v>22</v>
      </c>
      <c r="O1082" s="2">
        <v>46094</v>
      </c>
      <c r="P1082" s="2">
        <v>46094</v>
      </c>
      <c r="Q1082">
        <f>_xlfn.XLOOKUP(E1082,CPT!$A$2:$A$13,CPT!$D$2:$D$13)</f>
        <v>260</v>
      </c>
      <c r="R1082" s="1">
        <f>_xlfn.XLOOKUP(C1082,Contract!$A$2:$A$9,Contract!$B$2:$B$9)</f>
        <v>0.36</v>
      </c>
      <c r="S1082" s="1">
        <f t="shared" si="64"/>
        <v>93.6</v>
      </c>
      <c r="T1082" s="1">
        <f t="shared" si="65"/>
        <v>0.60999999999999943</v>
      </c>
      <c r="U1082" s="1" t="str">
        <f t="shared" si="66"/>
        <v>OK</v>
      </c>
      <c r="V1082" s="1" t="str">
        <f>_xlfn.XLOOKUP(C1082,Payers!$A$2:$A$9,Payers!$B$2:$B$9)</f>
        <v>Medicare Part B</v>
      </c>
      <c r="W1082" s="1" t="str">
        <f t="shared" si="67"/>
        <v>2026-02</v>
      </c>
    </row>
    <row r="1083" spans="1:23">
      <c r="A1083" s="1" t="s">
        <v>2066</v>
      </c>
      <c r="B1083" s="1" t="s">
        <v>2067</v>
      </c>
      <c r="C1083" s="1" t="s">
        <v>25</v>
      </c>
      <c r="D1083" s="1" t="s">
        <v>26</v>
      </c>
      <c r="E1083" s="1" t="s">
        <v>57</v>
      </c>
      <c r="F1083">
        <v>1</v>
      </c>
      <c r="G1083" s="2">
        <v>46224</v>
      </c>
      <c r="H1083" s="2">
        <v>46225</v>
      </c>
      <c r="I1083">
        <v>206.22</v>
      </c>
      <c r="J1083">
        <v>75.92</v>
      </c>
      <c r="K1083">
        <v>68.33</v>
      </c>
      <c r="L1083">
        <v>7.59</v>
      </c>
      <c r="M1083" s="1" t="s">
        <v>21</v>
      </c>
      <c r="N1083" s="1" t="s">
        <v>22</v>
      </c>
      <c r="O1083" s="2">
        <v>46241</v>
      </c>
      <c r="P1083" s="2">
        <v>46241</v>
      </c>
      <c r="Q1083">
        <f>_xlfn.XLOOKUP(E1083,CPT!$A$2:$A$13,CPT!$D$2:$D$13)</f>
        <v>210</v>
      </c>
      <c r="R1083" s="1">
        <f>_xlfn.XLOOKUP(C1083,Contract!$A$2:$A$9,Contract!$B$2:$B$9)</f>
        <v>0.36</v>
      </c>
      <c r="S1083" s="1">
        <f t="shared" si="64"/>
        <v>75.599999999999994</v>
      </c>
      <c r="T1083" s="1">
        <f t="shared" si="65"/>
        <v>-0.32000000000000739</v>
      </c>
      <c r="U1083" s="1" t="str">
        <f t="shared" si="66"/>
        <v>OK</v>
      </c>
      <c r="V1083" s="1" t="str">
        <f>_xlfn.XLOOKUP(C1083,Payers!$A$2:$A$9,Payers!$B$2:$B$9)</f>
        <v>Medicare Part B</v>
      </c>
      <c r="W1083" s="1" t="str">
        <f t="shared" si="67"/>
        <v>2026-07</v>
      </c>
    </row>
    <row r="1084" spans="1:23">
      <c r="A1084" s="1" t="s">
        <v>2068</v>
      </c>
      <c r="B1084" s="1" t="s">
        <v>1073</v>
      </c>
      <c r="C1084" s="1" t="s">
        <v>18</v>
      </c>
      <c r="D1084" s="1" t="s">
        <v>19</v>
      </c>
      <c r="E1084" s="1" t="s">
        <v>88</v>
      </c>
      <c r="F1084">
        <v>1</v>
      </c>
      <c r="G1084" s="2">
        <v>46002</v>
      </c>
      <c r="H1084" s="2">
        <v>46003</v>
      </c>
      <c r="I1084">
        <v>264.24</v>
      </c>
      <c r="J1084">
        <v>107.72</v>
      </c>
      <c r="K1084">
        <v>86.18</v>
      </c>
      <c r="L1084">
        <v>21.54</v>
      </c>
      <c r="M1084" s="1" t="s">
        <v>21</v>
      </c>
      <c r="N1084" s="1" t="s">
        <v>22</v>
      </c>
      <c r="O1084" s="2">
        <v>46043</v>
      </c>
      <c r="P1084" s="2">
        <v>46043</v>
      </c>
      <c r="Q1084">
        <f>_xlfn.XLOOKUP(E1084,CPT!$A$2:$A$13,CPT!$D$2:$D$13)</f>
        <v>260</v>
      </c>
      <c r="R1084" s="1">
        <f>_xlfn.XLOOKUP(C1084,Contract!$A$2:$A$9,Contract!$B$2:$B$9)</f>
        <v>0.38</v>
      </c>
      <c r="S1084" s="1">
        <f t="shared" si="64"/>
        <v>98.8</v>
      </c>
      <c r="T1084" s="1">
        <f t="shared" si="65"/>
        <v>-8.9200000000000017</v>
      </c>
      <c r="U1084" s="1" t="str">
        <f t="shared" si="66"/>
        <v>OK</v>
      </c>
      <c r="V1084" s="1" t="str">
        <f>_xlfn.XLOOKUP(C1084,Payers!$A$2:$A$9,Payers!$B$2:$B$9)</f>
        <v>Sunshine Medicare Advantage</v>
      </c>
      <c r="W1084" s="1" t="str">
        <f t="shared" si="67"/>
        <v>2025-12</v>
      </c>
    </row>
    <row r="1085" spans="1:23">
      <c r="A1085" s="1" t="s">
        <v>2069</v>
      </c>
      <c r="B1085" s="1" t="s">
        <v>2070</v>
      </c>
      <c r="C1085" s="1" t="s">
        <v>76</v>
      </c>
      <c r="D1085" s="1" t="s">
        <v>30</v>
      </c>
      <c r="E1085" s="1" t="s">
        <v>31</v>
      </c>
      <c r="F1085">
        <v>2</v>
      </c>
      <c r="G1085" s="2">
        <v>46047</v>
      </c>
      <c r="H1085" s="2">
        <v>46048</v>
      </c>
      <c r="I1085">
        <v>122.97</v>
      </c>
      <c r="J1085">
        <v>54.26</v>
      </c>
      <c r="K1085">
        <v>54.26</v>
      </c>
      <c r="L1085">
        <v>0</v>
      </c>
      <c r="M1085" s="1" t="s">
        <v>21</v>
      </c>
      <c r="N1085" s="1" t="s">
        <v>22</v>
      </c>
      <c r="O1085" s="2">
        <v>46097</v>
      </c>
      <c r="P1085" s="2">
        <v>46097</v>
      </c>
      <c r="Q1085">
        <f>_xlfn.XLOOKUP(E1085,CPT!$A$2:$A$13,CPT!$D$2:$D$13)</f>
        <v>62</v>
      </c>
      <c r="R1085" s="1">
        <f>_xlfn.XLOOKUP(C1085,Contract!$A$2:$A$9,Contract!$B$2:$B$9)</f>
        <v>0.43</v>
      </c>
      <c r="S1085" s="1">
        <f t="shared" si="64"/>
        <v>53.32</v>
      </c>
      <c r="T1085" s="1">
        <f t="shared" si="65"/>
        <v>-0.93999999999999773</v>
      </c>
      <c r="U1085" s="1" t="str">
        <f t="shared" si="66"/>
        <v>OK</v>
      </c>
      <c r="V1085" s="1" t="str">
        <f>_xlfn.XLOOKUP(C1085,Payers!$A$2:$A$9,Payers!$B$2:$B$9)</f>
        <v>Summit Health Commercial</v>
      </c>
      <c r="W1085" s="1" t="str">
        <f t="shared" si="67"/>
        <v>2026-01</v>
      </c>
    </row>
    <row r="1086" spans="1:23">
      <c r="A1086" s="1" t="s">
        <v>2071</v>
      </c>
      <c r="B1086" s="1" t="s">
        <v>1689</v>
      </c>
      <c r="C1086" s="1" t="s">
        <v>52</v>
      </c>
      <c r="D1086" s="1" t="s">
        <v>26</v>
      </c>
      <c r="E1086" s="1" t="s">
        <v>113</v>
      </c>
      <c r="F1086">
        <v>1</v>
      </c>
      <c r="G1086" s="2">
        <v>46180</v>
      </c>
      <c r="H1086" s="2">
        <v>46188</v>
      </c>
      <c r="I1086">
        <v>1068.78</v>
      </c>
      <c r="M1086" s="1" t="s">
        <v>32</v>
      </c>
      <c r="N1086" s="1" t="s">
        <v>124</v>
      </c>
      <c r="O1086" s="2">
        <v>46193</v>
      </c>
      <c r="P1086" s="2"/>
      <c r="Q1086">
        <f>_xlfn.XLOOKUP(E1086,CPT!$A$2:$A$13,CPT!$D$2:$D$13)</f>
        <v>1050</v>
      </c>
      <c r="R1086" s="1">
        <f>_xlfn.XLOOKUP(C1086,Contract!$A$2:$A$9,Contract!$B$2:$B$9)</f>
        <v>0.47</v>
      </c>
      <c r="S1086" s="1">
        <f t="shared" si="64"/>
        <v>493.5</v>
      </c>
      <c r="T1086" s="1" t="str">
        <f t="shared" si="65"/>
        <v/>
      </c>
      <c r="U1086" s="1" t="str">
        <f t="shared" si="66"/>
        <v/>
      </c>
      <c r="V1086" s="1" t="str">
        <f>_xlfn.XLOOKUP(C1086,Payers!$A$2:$A$9,Payers!$B$2:$B$9)</f>
        <v>Keystone Commercial PPO</v>
      </c>
      <c r="W1086" s="1" t="str">
        <f t="shared" si="67"/>
        <v>2026-06</v>
      </c>
    </row>
    <row r="1087" spans="1:23">
      <c r="A1087" s="1" t="s">
        <v>2072</v>
      </c>
      <c r="B1087" s="1" t="s">
        <v>623</v>
      </c>
      <c r="C1087" s="1" t="s">
        <v>52</v>
      </c>
      <c r="D1087" s="1" t="s">
        <v>26</v>
      </c>
      <c r="E1087" s="1" t="s">
        <v>27</v>
      </c>
      <c r="F1087">
        <v>1</v>
      </c>
      <c r="G1087" s="2">
        <v>46225</v>
      </c>
      <c r="H1087" s="2">
        <v>46226</v>
      </c>
      <c r="I1087">
        <v>237.61</v>
      </c>
      <c r="M1087" s="1" t="s">
        <v>32</v>
      </c>
      <c r="N1087" s="1" t="s">
        <v>33</v>
      </c>
      <c r="O1087" s="2">
        <v>46253</v>
      </c>
      <c r="P1087" s="2"/>
      <c r="Q1087">
        <f>_xlfn.XLOOKUP(E1087,CPT!$A$2:$A$13,CPT!$D$2:$D$13)</f>
        <v>240</v>
      </c>
      <c r="R1087" s="1">
        <f>_xlfn.XLOOKUP(C1087,Contract!$A$2:$A$9,Contract!$B$2:$B$9)</f>
        <v>0.47</v>
      </c>
      <c r="S1087" s="1">
        <f t="shared" si="64"/>
        <v>112.8</v>
      </c>
      <c r="T1087" s="1" t="str">
        <f t="shared" si="65"/>
        <v/>
      </c>
      <c r="U1087" s="1" t="str">
        <f t="shared" si="66"/>
        <v/>
      </c>
      <c r="V1087" s="1" t="str">
        <f>_xlfn.XLOOKUP(C1087,Payers!$A$2:$A$9,Payers!$B$2:$B$9)</f>
        <v>Keystone Commercial PPO</v>
      </c>
      <c r="W1087" s="1" t="str">
        <f t="shared" si="67"/>
        <v>2026-07</v>
      </c>
    </row>
    <row r="1088" spans="1:23">
      <c r="A1088" s="1" t="s">
        <v>2073</v>
      </c>
      <c r="B1088" s="1" t="s">
        <v>2074</v>
      </c>
      <c r="C1088" s="1" t="s">
        <v>25</v>
      </c>
      <c r="D1088" s="1" t="s">
        <v>19</v>
      </c>
      <c r="E1088" s="1" t="s">
        <v>41</v>
      </c>
      <c r="F1088">
        <v>1</v>
      </c>
      <c r="G1088" s="2">
        <v>46028</v>
      </c>
      <c r="H1088" s="2">
        <v>46034</v>
      </c>
      <c r="I1088">
        <v>38.57</v>
      </c>
      <c r="J1088">
        <v>12.92</v>
      </c>
      <c r="K1088">
        <v>12.92</v>
      </c>
      <c r="L1088">
        <v>0</v>
      </c>
      <c r="M1088" s="1" t="s">
        <v>21</v>
      </c>
      <c r="N1088" s="1" t="s">
        <v>22</v>
      </c>
      <c r="O1088" s="2">
        <v>46041</v>
      </c>
      <c r="P1088" s="2">
        <v>46041</v>
      </c>
      <c r="Q1088">
        <f>_xlfn.XLOOKUP(E1088,CPT!$A$2:$A$13,CPT!$D$2:$D$13)</f>
        <v>38</v>
      </c>
      <c r="R1088" s="1">
        <f>_xlfn.XLOOKUP(C1088,Contract!$A$2:$A$9,Contract!$B$2:$B$9)</f>
        <v>0.36</v>
      </c>
      <c r="S1088" s="1">
        <f t="shared" si="64"/>
        <v>13.68</v>
      </c>
      <c r="T1088" s="1">
        <f t="shared" si="65"/>
        <v>0.75999999999999979</v>
      </c>
      <c r="U1088" s="1" t="str">
        <f t="shared" si="66"/>
        <v>Underpaid</v>
      </c>
      <c r="V1088" s="1" t="str">
        <f>_xlfn.XLOOKUP(C1088,Payers!$A$2:$A$9,Payers!$B$2:$B$9)</f>
        <v>Medicare Part B</v>
      </c>
      <c r="W1088" s="1" t="str">
        <f t="shared" si="67"/>
        <v>2026-01</v>
      </c>
    </row>
    <row r="1089" spans="1:23">
      <c r="A1089" s="1" t="s">
        <v>2075</v>
      </c>
      <c r="B1089" s="1" t="s">
        <v>2076</v>
      </c>
      <c r="C1089" s="1" t="s">
        <v>25</v>
      </c>
      <c r="D1089" s="1" t="s">
        <v>26</v>
      </c>
      <c r="E1089" s="1" t="s">
        <v>57</v>
      </c>
      <c r="F1089">
        <v>1</v>
      </c>
      <c r="G1089" s="2">
        <v>46104</v>
      </c>
      <c r="H1089" s="2">
        <v>46111</v>
      </c>
      <c r="I1089">
        <v>209.42</v>
      </c>
      <c r="J1089">
        <v>85.91</v>
      </c>
      <c r="K1089">
        <v>85.91</v>
      </c>
      <c r="L1089">
        <v>0</v>
      </c>
      <c r="M1089" s="1" t="s">
        <v>21</v>
      </c>
      <c r="N1089" s="1" t="s">
        <v>22</v>
      </c>
      <c r="O1089" s="2">
        <v>46132</v>
      </c>
      <c r="P1089" s="2">
        <v>46132</v>
      </c>
      <c r="Q1089">
        <f>_xlfn.XLOOKUP(E1089,CPT!$A$2:$A$13,CPT!$D$2:$D$13)</f>
        <v>210</v>
      </c>
      <c r="R1089" s="1">
        <f>_xlfn.XLOOKUP(C1089,Contract!$A$2:$A$9,Contract!$B$2:$B$9)</f>
        <v>0.36</v>
      </c>
      <c r="S1089" s="1">
        <f t="shared" si="64"/>
        <v>75.599999999999994</v>
      </c>
      <c r="T1089" s="1">
        <f t="shared" si="65"/>
        <v>-10.310000000000002</v>
      </c>
      <c r="U1089" s="1" t="str">
        <f t="shared" si="66"/>
        <v>OK</v>
      </c>
      <c r="V1089" s="1" t="str">
        <f>_xlfn.XLOOKUP(C1089,Payers!$A$2:$A$9,Payers!$B$2:$B$9)</f>
        <v>Medicare Part B</v>
      </c>
      <c r="W1089" s="1" t="str">
        <f t="shared" si="67"/>
        <v>2026-03</v>
      </c>
    </row>
    <row r="1090" spans="1:23">
      <c r="A1090" s="1" t="s">
        <v>2077</v>
      </c>
      <c r="B1090" s="1" t="s">
        <v>1999</v>
      </c>
      <c r="C1090" s="1" t="s">
        <v>25</v>
      </c>
      <c r="D1090" s="1" t="s">
        <v>19</v>
      </c>
      <c r="E1090" s="1" t="s">
        <v>20</v>
      </c>
      <c r="F1090">
        <v>1</v>
      </c>
      <c r="G1090" s="2">
        <v>46130</v>
      </c>
      <c r="H1090" s="2">
        <v>46132</v>
      </c>
      <c r="I1090">
        <v>140.81</v>
      </c>
      <c r="J1090">
        <v>46.89</v>
      </c>
      <c r="K1090">
        <v>42.2</v>
      </c>
      <c r="L1090">
        <v>4.6900000000000004</v>
      </c>
      <c r="M1090" s="1" t="s">
        <v>21</v>
      </c>
      <c r="N1090" s="1" t="s">
        <v>22</v>
      </c>
      <c r="O1090" s="2">
        <v>46151</v>
      </c>
      <c r="P1090" s="2">
        <v>46151</v>
      </c>
      <c r="Q1090">
        <f>_xlfn.XLOOKUP(E1090,CPT!$A$2:$A$13,CPT!$D$2:$D$13)</f>
        <v>145</v>
      </c>
      <c r="R1090" s="1">
        <f>_xlfn.XLOOKUP(C1090,Contract!$A$2:$A$9,Contract!$B$2:$B$9)</f>
        <v>0.36</v>
      </c>
      <c r="S1090" s="1">
        <f t="shared" ref="S1090:S1153" si="68">ROUND(Q1090*F1090*R1090,2)</f>
        <v>52.2</v>
      </c>
      <c r="T1090" s="1">
        <f t="shared" ref="T1090:T1153" si="69">IF(M1090="Paid",S1090-J1090,"")</f>
        <v>5.3100000000000023</v>
      </c>
      <c r="U1090" s="1" t="str">
        <f t="shared" ref="U1090:U1153" si="70">IF(M1090&lt;&gt;"Paid","",IF(T1090&gt;S1090*0.05,"Underpaid","OK"))</f>
        <v>Underpaid</v>
      </c>
      <c r="V1090" s="1" t="str">
        <f>_xlfn.XLOOKUP(C1090,Payers!$A$2:$A$9,Payers!$B$2:$B$9)</f>
        <v>Medicare Part B</v>
      </c>
      <c r="W1090" s="1" t="str">
        <f t="shared" ref="W1090:W1153" si="71">TEXT(G1090,"yyyy-mm")</f>
        <v>2026-04</v>
      </c>
    </row>
    <row r="1091" spans="1:23">
      <c r="A1091" s="1" t="s">
        <v>2078</v>
      </c>
      <c r="B1091" s="1" t="s">
        <v>2079</v>
      </c>
      <c r="C1091" s="1" t="s">
        <v>18</v>
      </c>
      <c r="D1091" s="1" t="s">
        <v>19</v>
      </c>
      <c r="E1091" s="1" t="s">
        <v>57</v>
      </c>
      <c r="F1091">
        <v>1</v>
      </c>
      <c r="G1091" s="2">
        <v>46225</v>
      </c>
      <c r="H1091" s="2">
        <v>46234</v>
      </c>
      <c r="I1091">
        <v>215.36</v>
      </c>
      <c r="M1091" s="1" t="s">
        <v>69</v>
      </c>
      <c r="N1091" s="1" t="s">
        <v>22</v>
      </c>
      <c r="O1091" s="2"/>
      <c r="P1091" s="2"/>
      <c r="Q1091">
        <f>_xlfn.XLOOKUP(E1091,CPT!$A$2:$A$13,CPT!$D$2:$D$13)</f>
        <v>210</v>
      </c>
      <c r="R1091" s="1">
        <f>_xlfn.XLOOKUP(C1091,Contract!$A$2:$A$9,Contract!$B$2:$B$9)</f>
        <v>0.38</v>
      </c>
      <c r="S1091" s="1">
        <f t="shared" si="68"/>
        <v>79.8</v>
      </c>
      <c r="T1091" s="1" t="str">
        <f t="shared" si="69"/>
        <v/>
      </c>
      <c r="U1091" s="1" t="str">
        <f t="shared" si="70"/>
        <v/>
      </c>
      <c r="V1091" s="1" t="str">
        <f>_xlfn.XLOOKUP(C1091,Payers!$A$2:$A$9,Payers!$B$2:$B$9)</f>
        <v>Sunshine Medicare Advantage</v>
      </c>
      <c r="W1091" s="1" t="str">
        <f t="shared" si="71"/>
        <v>2026-07</v>
      </c>
    </row>
    <row r="1092" spans="1:23">
      <c r="A1092" s="1" t="s">
        <v>2080</v>
      </c>
      <c r="B1092" s="1" t="s">
        <v>2081</v>
      </c>
      <c r="C1092" s="1" t="s">
        <v>76</v>
      </c>
      <c r="D1092" s="1" t="s">
        <v>37</v>
      </c>
      <c r="E1092" s="1" t="s">
        <v>38</v>
      </c>
      <c r="F1092">
        <v>5</v>
      </c>
      <c r="G1092" s="2">
        <v>45982</v>
      </c>
      <c r="H1092" s="2">
        <v>45994</v>
      </c>
      <c r="I1092">
        <v>7264.54</v>
      </c>
      <c r="M1092" s="1" t="s">
        <v>32</v>
      </c>
      <c r="N1092" s="1" t="s">
        <v>315</v>
      </c>
      <c r="O1092" s="2">
        <v>46043</v>
      </c>
      <c r="P1092" s="2"/>
      <c r="Q1092">
        <f>_xlfn.XLOOKUP(E1092,CPT!$A$2:$A$13,CPT!$D$2:$D$13)</f>
        <v>1450</v>
      </c>
      <c r="R1092" s="1">
        <f>_xlfn.XLOOKUP(C1092,Contract!$A$2:$A$9,Contract!$B$2:$B$9)</f>
        <v>0.43</v>
      </c>
      <c r="S1092" s="1">
        <f t="shared" si="68"/>
        <v>3117.5</v>
      </c>
      <c r="T1092" s="1" t="str">
        <f t="shared" si="69"/>
        <v/>
      </c>
      <c r="U1092" s="1" t="str">
        <f t="shared" si="70"/>
        <v/>
      </c>
      <c r="V1092" s="1" t="str">
        <f>_xlfn.XLOOKUP(C1092,Payers!$A$2:$A$9,Payers!$B$2:$B$9)</f>
        <v>Summit Health Commercial</v>
      </c>
      <c r="W1092" s="1" t="str">
        <f t="shared" si="71"/>
        <v>2025-11</v>
      </c>
    </row>
    <row r="1093" spans="1:23">
      <c r="A1093" s="1" t="s">
        <v>2082</v>
      </c>
      <c r="B1093" s="1" t="s">
        <v>2083</v>
      </c>
      <c r="C1093" s="1" t="s">
        <v>52</v>
      </c>
      <c r="D1093" s="1" t="s">
        <v>26</v>
      </c>
      <c r="E1093" s="1" t="s">
        <v>57</v>
      </c>
      <c r="F1093">
        <v>1</v>
      </c>
      <c r="G1093" s="2">
        <v>46069</v>
      </c>
      <c r="H1093" s="2">
        <v>46080</v>
      </c>
      <c r="I1093">
        <v>206.64</v>
      </c>
      <c r="J1093">
        <v>83.28</v>
      </c>
      <c r="K1093">
        <v>66.62</v>
      </c>
      <c r="L1093">
        <v>16.66</v>
      </c>
      <c r="M1093" s="1" t="s">
        <v>21</v>
      </c>
      <c r="N1093" s="1" t="s">
        <v>22</v>
      </c>
      <c r="O1093" s="2">
        <v>46136</v>
      </c>
      <c r="P1093" s="2">
        <v>46136</v>
      </c>
      <c r="Q1093">
        <f>_xlfn.XLOOKUP(E1093,CPT!$A$2:$A$13,CPT!$D$2:$D$13)</f>
        <v>210</v>
      </c>
      <c r="R1093" s="1">
        <f>_xlfn.XLOOKUP(C1093,Contract!$A$2:$A$9,Contract!$B$2:$B$9)</f>
        <v>0.47</v>
      </c>
      <c r="S1093" s="1">
        <f t="shared" si="68"/>
        <v>98.7</v>
      </c>
      <c r="T1093" s="1">
        <f t="shared" si="69"/>
        <v>15.420000000000002</v>
      </c>
      <c r="U1093" s="1" t="str">
        <f t="shared" si="70"/>
        <v>Underpaid</v>
      </c>
      <c r="V1093" s="1" t="str">
        <f>_xlfn.XLOOKUP(C1093,Payers!$A$2:$A$9,Payers!$B$2:$B$9)</f>
        <v>Keystone Commercial PPO</v>
      </c>
      <c r="W1093" s="1" t="str">
        <f t="shared" si="71"/>
        <v>2026-02</v>
      </c>
    </row>
    <row r="1094" spans="1:23">
      <c r="A1094" s="1" t="s">
        <v>2084</v>
      </c>
      <c r="B1094" s="1" t="s">
        <v>1131</v>
      </c>
      <c r="C1094" s="1" t="s">
        <v>60</v>
      </c>
      <c r="D1094" s="1" t="s">
        <v>30</v>
      </c>
      <c r="E1094" s="1" t="s">
        <v>91</v>
      </c>
      <c r="F1094">
        <v>2</v>
      </c>
      <c r="G1094" s="2">
        <v>46037</v>
      </c>
      <c r="H1094" s="2">
        <v>46040</v>
      </c>
      <c r="I1094">
        <v>112.86</v>
      </c>
      <c r="J1094">
        <v>52.21</v>
      </c>
      <c r="K1094">
        <v>52.21</v>
      </c>
      <c r="L1094">
        <v>0</v>
      </c>
      <c r="M1094" s="1" t="s">
        <v>21</v>
      </c>
      <c r="N1094" s="1" t="s">
        <v>22</v>
      </c>
      <c r="O1094" s="2">
        <v>46083</v>
      </c>
      <c r="P1094" s="2">
        <v>46083</v>
      </c>
      <c r="Q1094">
        <f>_xlfn.XLOOKUP(E1094,CPT!$A$2:$A$13,CPT!$D$2:$D$13)</f>
        <v>58</v>
      </c>
      <c r="R1094" s="1">
        <f>_xlfn.XLOOKUP(C1094,Contract!$A$2:$A$9,Contract!$B$2:$B$9)</f>
        <v>0.45</v>
      </c>
      <c r="S1094" s="1">
        <f t="shared" si="68"/>
        <v>52.2</v>
      </c>
      <c r="T1094" s="1">
        <f t="shared" si="69"/>
        <v>-9.9999999999980105E-3</v>
      </c>
      <c r="U1094" s="1" t="str">
        <f t="shared" si="70"/>
        <v>OK</v>
      </c>
      <c r="V1094" s="1" t="str">
        <f>_xlfn.XLOOKUP(C1094,Payers!$A$2:$A$9,Payers!$B$2:$B$9)</f>
        <v>Blue Horizon Commercial</v>
      </c>
      <c r="W1094" s="1" t="str">
        <f t="shared" si="71"/>
        <v>2026-01</v>
      </c>
    </row>
    <row r="1095" spans="1:23">
      <c r="A1095" s="1" t="s">
        <v>2085</v>
      </c>
      <c r="B1095" s="1" t="s">
        <v>2086</v>
      </c>
      <c r="C1095" s="1" t="s">
        <v>47</v>
      </c>
      <c r="D1095" s="1" t="s">
        <v>37</v>
      </c>
      <c r="E1095" s="1" t="s">
        <v>38</v>
      </c>
      <c r="F1095">
        <v>20</v>
      </c>
      <c r="G1095" s="2">
        <v>46240</v>
      </c>
      <c r="H1095" s="2">
        <v>46242</v>
      </c>
      <c r="I1095">
        <v>29434.45</v>
      </c>
      <c r="M1095" s="1" t="s">
        <v>69</v>
      </c>
      <c r="N1095" s="1" t="s">
        <v>22</v>
      </c>
      <c r="O1095" s="2"/>
      <c r="P1095" s="2"/>
      <c r="Q1095">
        <f>_xlfn.XLOOKUP(E1095,CPT!$A$2:$A$13,CPT!$D$2:$D$13)</f>
        <v>1450</v>
      </c>
      <c r="R1095" s="1">
        <f>_xlfn.XLOOKUP(C1095,Contract!$A$2:$A$9,Contract!$B$2:$B$9)</f>
        <v>0.28000000000000003</v>
      </c>
      <c r="S1095" s="1">
        <f t="shared" si="68"/>
        <v>8120</v>
      </c>
      <c r="T1095" s="1" t="str">
        <f t="shared" si="69"/>
        <v/>
      </c>
      <c r="U1095" s="1" t="str">
        <f t="shared" si="70"/>
        <v/>
      </c>
      <c r="V1095" s="1" t="str">
        <f>_xlfn.XLOOKUP(C1095,Payers!$A$2:$A$9,Payers!$B$2:$B$9)</f>
        <v>Coastal Medicaid MCO</v>
      </c>
      <c r="W1095" s="1" t="str">
        <f t="shared" si="71"/>
        <v>2026-08</v>
      </c>
    </row>
    <row r="1096" spans="1:23">
      <c r="A1096" s="1" t="s">
        <v>2087</v>
      </c>
      <c r="B1096" s="1" t="s">
        <v>2088</v>
      </c>
      <c r="C1096" s="1" t="s">
        <v>47</v>
      </c>
      <c r="D1096" s="1" t="s">
        <v>19</v>
      </c>
      <c r="E1096" s="1" t="s">
        <v>20</v>
      </c>
      <c r="F1096">
        <v>1</v>
      </c>
      <c r="G1096" s="2">
        <v>45939</v>
      </c>
      <c r="H1096" s="2">
        <v>45946</v>
      </c>
      <c r="I1096">
        <v>140.71</v>
      </c>
      <c r="J1096">
        <v>43.62</v>
      </c>
      <c r="K1096">
        <v>43.62</v>
      </c>
      <c r="L1096">
        <v>0</v>
      </c>
      <c r="M1096" s="1" t="s">
        <v>21</v>
      </c>
      <c r="N1096" s="1" t="s">
        <v>22</v>
      </c>
      <c r="O1096" s="2">
        <v>45979</v>
      </c>
      <c r="P1096" s="2">
        <v>45979</v>
      </c>
      <c r="Q1096">
        <f>_xlfn.XLOOKUP(E1096,CPT!$A$2:$A$13,CPT!$D$2:$D$13)</f>
        <v>145</v>
      </c>
      <c r="R1096" s="1">
        <f>_xlfn.XLOOKUP(C1096,Contract!$A$2:$A$9,Contract!$B$2:$B$9)</f>
        <v>0.28000000000000003</v>
      </c>
      <c r="S1096" s="1">
        <f t="shared" si="68"/>
        <v>40.6</v>
      </c>
      <c r="T1096" s="1">
        <f t="shared" si="69"/>
        <v>-3.019999999999996</v>
      </c>
      <c r="U1096" s="1" t="str">
        <f t="shared" si="70"/>
        <v>OK</v>
      </c>
      <c r="V1096" s="1" t="str">
        <f>_xlfn.XLOOKUP(C1096,Payers!$A$2:$A$9,Payers!$B$2:$B$9)</f>
        <v>Coastal Medicaid MCO</v>
      </c>
      <c r="W1096" s="1" t="str">
        <f t="shared" si="71"/>
        <v>2025-10</v>
      </c>
    </row>
    <row r="1097" spans="1:23">
      <c r="A1097" s="1" t="s">
        <v>2089</v>
      </c>
      <c r="B1097" s="1" t="s">
        <v>2090</v>
      </c>
      <c r="C1097" s="1" t="s">
        <v>76</v>
      </c>
      <c r="D1097" s="1" t="s">
        <v>30</v>
      </c>
      <c r="E1097" s="1" t="s">
        <v>20</v>
      </c>
      <c r="F1097">
        <v>1</v>
      </c>
      <c r="G1097" s="2">
        <v>46290</v>
      </c>
      <c r="H1097" s="2">
        <v>46295</v>
      </c>
      <c r="I1097">
        <v>141.38</v>
      </c>
      <c r="M1097" s="1" t="s">
        <v>69</v>
      </c>
      <c r="N1097" s="1" t="s">
        <v>22</v>
      </c>
      <c r="O1097" s="2"/>
      <c r="P1097" s="2"/>
      <c r="Q1097">
        <f>_xlfn.XLOOKUP(E1097,CPT!$A$2:$A$13,CPT!$D$2:$D$13)</f>
        <v>145</v>
      </c>
      <c r="R1097" s="1">
        <f>_xlfn.XLOOKUP(C1097,Contract!$A$2:$A$9,Contract!$B$2:$B$9)</f>
        <v>0.43</v>
      </c>
      <c r="S1097" s="1">
        <f t="shared" si="68"/>
        <v>62.35</v>
      </c>
      <c r="T1097" s="1" t="str">
        <f t="shared" si="69"/>
        <v/>
      </c>
      <c r="U1097" s="1" t="str">
        <f t="shared" si="70"/>
        <v/>
      </c>
      <c r="V1097" s="1" t="str">
        <f>_xlfn.XLOOKUP(C1097,Payers!$A$2:$A$9,Payers!$B$2:$B$9)</f>
        <v>Summit Health Commercial</v>
      </c>
      <c r="W1097" s="1" t="str">
        <f t="shared" si="71"/>
        <v>2026-09</v>
      </c>
    </row>
    <row r="1098" spans="1:23">
      <c r="A1098" s="1" t="s">
        <v>2091</v>
      </c>
      <c r="B1098" s="1" t="s">
        <v>2092</v>
      </c>
      <c r="C1098" s="1" t="s">
        <v>60</v>
      </c>
      <c r="D1098" s="1" t="s">
        <v>37</v>
      </c>
      <c r="E1098" s="1" t="s">
        <v>48</v>
      </c>
      <c r="F1098">
        <v>1</v>
      </c>
      <c r="G1098" s="2">
        <v>46058</v>
      </c>
      <c r="H1098" s="2">
        <v>46059</v>
      </c>
      <c r="I1098">
        <v>411.87</v>
      </c>
      <c r="J1098">
        <v>164.6</v>
      </c>
      <c r="K1098">
        <v>164.6</v>
      </c>
      <c r="L1098">
        <v>0</v>
      </c>
      <c r="M1098" s="1" t="s">
        <v>21</v>
      </c>
      <c r="N1098" s="1" t="s">
        <v>22</v>
      </c>
      <c r="O1098" s="2">
        <v>46084</v>
      </c>
      <c r="P1098" s="2">
        <v>46084</v>
      </c>
      <c r="Q1098">
        <f>_xlfn.XLOOKUP(E1098,CPT!$A$2:$A$13,CPT!$D$2:$D$13)</f>
        <v>420</v>
      </c>
      <c r="R1098" s="1">
        <f>_xlfn.XLOOKUP(C1098,Contract!$A$2:$A$9,Contract!$B$2:$B$9)</f>
        <v>0.45</v>
      </c>
      <c r="S1098" s="1">
        <f t="shared" si="68"/>
        <v>189</v>
      </c>
      <c r="T1098" s="1">
        <f t="shared" si="69"/>
        <v>24.400000000000006</v>
      </c>
      <c r="U1098" s="1" t="str">
        <f t="shared" si="70"/>
        <v>Underpaid</v>
      </c>
      <c r="V1098" s="1" t="str">
        <f>_xlfn.XLOOKUP(C1098,Payers!$A$2:$A$9,Payers!$B$2:$B$9)</f>
        <v>Blue Horizon Commercial</v>
      </c>
      <c r="W1098" s="1" t="str">
        <f t="shared" si="71"/>
        <v>2026-02</v>
      </c>
    </row>
    <row r="1099" spans="1:23">
      <c r="A1099" s="1" t="s">
        <v>2093</v>
      </c>
      <c r="B1099" s="1" t="s">
        <v>472</v>
      </c>
      <c r="C1099" s="1" t="s">
        <v>25</v>
      </c>
      <c r="D1099" s="1" t="s">
        <v>37</v>
      </c>
      <c r="E1099" s="1" t="s">
        <v>48</v>
      </c>
      <c r="F1099">
        <v>1</v>
      </c>
      <c r="G1099" s="2">
        <v>46011</v>
      </c>
      <c r="H1099" s="2">
        <v>46012</v>
      </c>
      <c r="I1099">
        <v>417.96</v>
      </c>
      <c r="J1099">
        <v>134.15</v>
      </c>
      <c r="K1099">
        <v>134.15</v>
      </c>
      <c r="L1099">
        <v>0</v>
      </c>
      <c r="M1099" s="1" t="s">
        <v>21</v>
      </c>
      <c r="N1099" s="1" t="s">
        <v>22</v>
      </c>
      <c r="O1099" s="2">
        <v>46030</v>
      </c>
      <c r="P1099" s="2">
        <v>46030</v>
      </c>
      <c r="Q1099">
        <f>_xlfn.XLOOKUP(E1099,CPT!$A$2:$A$13,CPT!$D$2:$D$13)</f>
        <v>420</v>
      </c>
      <c r="R1099" s="1">
        <f>_xlfn.XLOOKUP(C1099,Contract!$A$2:$A$9,Contract!$B$2:$B$9)</f>
        <v>0.36</v>
      </c>
      <c r="S1099" s="1">
        <f t="shared" si="68"/>
        <v>151.19999999999999</v>
      </c>
      <c r="T1099" s="1">
        <f t="shared" si="69"/>
        <v>17.049999999999983</v>
      </c>
      <c r="U1099" s="1" t="str">
        <f t="shared" si="70"/>
        <v>Underpaid</v>
      </c>
      <c r="V1099" s="1" t="str">
        <f>_xlfn.XLOOKUP(C1099,Payers!$A$2:$A$9,Payers!$B$2:$B$9)</f>
        <v>Medicare Part B</v>
      </c>
      <c r="W1099" s="1" t="str">
        <f t="shared" si="71"/>
        <v>2025-12</v>
      </c>
    </row>
    <row r="1100" spans="1:23">
      <c r="A1100" s="1" t="s">
        <v>2094</v>
      </c>
      <c r="B1100" s="1" t="s">
        <v>2095</v>
      </c>
      <c r="C1100" s="1" t="s">
        <v>36</v>
      </c>
      <c r="D1100" s="1" t="s">
        <v>30</v>
      </c>
      <c r="E1100" s="1" t="s">
        <v>31</v>
      </c>
      <c r="F1100">
        <v>2</v>
      </c>
      <c r="G1100" s="2">
        <v>45946</v>
      </c>
      <c r="H1100" s="2">
        <v>45949</v>
      </c>
      <c r="I1100">
        <v>121.8</v>
      </c>
      <c r="J1100">
        <v>34.130000000000003</v>
      </c>
      <c r="K1100">
        <v>34.130000000000003</v>
      </c>
      <c r="L1100">
        <v>0</v>
      </c>
      <c r="M1100" s="1" t="s">
        <v>21</v>
      </c>
      <c r="N1100" s="1" t="s">
        <v>22</v>
      </c>
      <c r="O1100" s="2">
        <v>45991</v>
      </c>
      <c r="P1100" s="2">
        <v>45991</v>
      </c>
      <c r="Q1100">
        <f>_xlfn.XLOOKUP(E1100,CPT!$A$2:$A$13,CPT!$D$2:$D$13)</f>
        <v>62</v>
      </c>
      <c r="R1100" s="1">
        <f>_xlfn.XLOOKUP(C1100,Contract!$A$2:$A$9,Contract!$B$2:$B$9)</f>
        <v>0.27</v>
      </c>
      <c r="S1100" s="1">
        <f t="shared" si="68"/>
        <v>33.479999999999997</v>
      </c>
      <c r="T1100" s="1">
        <f t="shared" si="69"/>
        <v>-0.65000000000000568</v>
      </c>
      <c r="U1100" s="1" t="str">
        <f t="shared" si="70"/>
        <v>OK</v>
      </c>
      <c r="V1100" s="1" t="str">
        <f>_xlfn.XLOOKUP(C1100,Payers!$A$2:$A$9,Payers!$B$2:$B$9)</f>
        <v>Florida Medicaid</v>
      </c>
      <c r="W1100" s="1" t="str">
        <f t="shared" si="71"/>
        <v>2025-10</v>
      </c>
    </row>
    <row r="1101" spans="1:23">
      <c r="A1101" s="1" t="s">
        <v>2096</v>
      </c>
      <c r="B1101" s="1" t="s">
        <v>2097</v>
      </c>
      <c r="C1101" s="1" t="s">
        <v>60</v>
      </c>
      <c r="D1101" s="1" t="s">
        <v>26</v>
      </c>
      <c r="E1101" s="1" t="s">
        <v>44</v>
      </c>
      <c r="F1101">
        <v>1</v>
      </c>
      <c r="G1101" s="2">
        <v>46139</v>
      </c>
      <c r="H1101" s="2">
        <v>46141</v>
      </c>
      <c r="I1101">
        <v>4669.3900000000003</v>
      </c>
      <c r="J1101">
        <v>2117.6999999999998</v>
      </c>
      <c r="K1101">
        <v>2117.6999999999998</v>
      </c>
      <c r="L1101">
        <v>0</v>
      </c>
      <c r="M1101" s="1" t="s">
        <v>21</v>
      </c>
      <c r="N1101" s="1" t="s">
        <v>22</v>
      </c>
      <c r="O1101" s="2">
        <v>46169</v>
      </c>
      <c r="P1101" s="2">
        <v>46169</v>
      </c>
      <c r="Q1101">
        <f>_xlfn.XLOOKUP(E1101,CPT!$A$2:$A$13,CPT!$D$2:$D$13)</f>
        <v>4800</v>
      </c>
      <c r="R1101" s="1">
        <f>_xlfn.XLOOKUP(C1101,Contract!$A$2:$A$9,Contract!$B$2:$B$9)</f>
        <v>0.45</v>
      </c>
      <c r="S1101" s="1">
        <f t="shared" si="68"/>
        <v>2160</v>
      </c>
      <c r="T1101" s="1">
        <f t="shared" si="69"/>
        <v>42.300000000000182</v>
      </c>
      <c r="U1101" s="1" t="str">
        <f t="shared" si="70"/>
        <v>OK</v>
      </c>
      <c r="V1101" s="1" t="str">
        <f>_xlfn.XLOOKUP(C1101,Payers!$A$2:$A$9,Payers!$B$2:$B$9)</f>
        <v>Blue Horizon Commercial</v>
      </c>
      <c r="W1101" s="1" t="str">
        <f t="shared" si="71"/>
        <v>2026-04</v>
      </c>
    </row>
    <row r="1102" spans="1:23">
      <c r="A1102" s="1" t="s">
        <v>2098</v>
      </c>
      <c r="B1102" s="1" t="s">
        <v>2099</v>
      </c>
      <c r="C1102" s="1" t="s">
        <v>60</v>
      </c>
      <c r="D1102" s="1" t="s">
        <v>26</v>
      </c>
      <c r="E1102" s="1" t="s">
        <v>57</v>
      </c>
      <c r="F1102">
        <v>1</v>
      </c>
      <c r="G1102" s="2">
        <v>45964</v>
      </c>
      <c r="H1102" s="2">
        <v>45967</v>
      </c>
      <c r="I1102">
        <v>205.12</v>
      </c>
      <c r="J1102">
        <v>102.53</v>
      </c>
      <c r="K1102">
        <v>102.53</v>
      </c>
      <c r="L1102">
        <v>0</v>
      </c>
      <c r="M1102" s="1" t="s">
        <v>21</v>
      </c>
      <c r="N1102" s="1" t="s">
        <v>22</v>
      </c>
      <c r="O1102" s="2">
        <v>45990</v>
      </c>
      <c r="P1102" s="2">
        <v>45990</v>
      </c>
      <c r="Q1102">
        <f>_xlfn.XLOOKUP(E1102,CPT!$A$2:$A$13,CPT!$D$2:$D$13)</f>
        <v>210</v>
      </c>
      <c r="R1102" s="1">
        <f>_xlfn.XLOOKUP(C1102,Contract!$A$2:$A$9,Contract!$B$2:$B$9)</f>
        <v>0.45</v>
      </c>
      <c r="S1102" s="1">
        <f t="shared" si="68"/>
        <v>94.5</v>
      </c>
      <c r="T1102" s="1">
        <f t="shared" si="69"/>
        <v>-8.0300000000000011</v>
      </c>
      <c r="U1102" s="1" t="str">
        <f t="shared" si="70"/>
        <v>OK</v>
      </c>
      <c r="V1102" s="1" t="str">
        <f>_xlfn.XLOOKUP(C1102,Payers!$A$2:$A$9,Payers!$B$2:$B$9)</f>
        <v>Blue Horizon Commercial</v>
      </c>
      <c r="W1102" s="1" t="str">
        <f t="shared" si="71"/>
        <v>2025-11</v>
      </c>
    </row>
    <row r="1103" spans="1:23">
      <c r="A1103" s="1" t="s">
        <v>2100</v>
      </c>
      <c r="B1103" s="1" t="s">
        <v>2101</v>
      </c>
      <c r="C1103" s="1" t="s">
        <v>60</v>
      </c>
      <c r="D1103" s="1" t="s">
        <v>19</v>
      </c>
      <c r="E1103" s="1" t="s">
        <v>88</v>
      </c>
      <c r="F1103">
        <v>1</v>
      </c>
      <c r="G1103" s="2">
        <v>46267</v>
      </c>
      <c r="H1103" s="2">
        <v>46280</v>
      </c>
      <c r="I1103">
        <v>260.62</v>
      </c>
      <c r="M1103" s="1" t="s">
        <v>69</v>
      </c>
      <c r="N1103" s="1" t="s">
        <v>22</v>
      </c>
      <c r="O1103" s="2"/>
      <c r="P1103" s="2"/>
      <c r="Q1103">
        <f>_xlfn.XLOOKUP(E1103,CPT!$A$2:$A$13,CPT!$D$2:$D$13)</f>
        <v>260</v>
      </c>
      <c r="R1103" s="1">
        <f>_xlfn.XLOOKUP(C1103,Contract!$A$2:$A$9,Contract!$B$2:$B$9)</f>
        <v>0.45</v>
      </c>
      <c r="S1103" s="1">
        <f t="shared" si="68"/>
        <v>117</v>
      </c>
      <c r="T1103" s="1" t="str">
        <f t="shared" si="69"/>
        <v/>
      </c>
      <c r="U1103" s="1" t="str">
        <f t="shared" si="70"/>
        <v/>
      </c>
      <c r="V1103" s="1" t="str">
        <f>_xlfn.XLOOKUP(C1103,Payers!$A$2:$A$9,Payers!$B$2:$B$9)</f>
        <v>Blue Horizon Commercial</v>
      </c>
      <c r="W1103" s="1" t="str">
        <f t="shared" si="71"/>
        <v>2026-09</v>
      </c>
    </row>
    <row r="1104" spans="1:23">
      <c r="A1104" s="1" t="s">
        <v>2102</v>
      </c>
      <c r="B1104" s="1" t="s">
        <v>280</v>
      </c>
      <c r="C1104" s="1" t="s">
        <v>60</v>
      </c>
      <c r="D1104" s="1" t="s">
        <v>37</v>
      </c>
      <c r="E1104" s="1" t="s">
        <v>57</v>
      </c>
      <c r="F1104">
        <v>1</v>
      </c>
      <c r="G1104" s="2">
        <v>46043</v>
      </c>
      <c r="H1104" s="2">
        <v>46050</v>
      </c>
      <c r="I1104">
        <v>210.19</v>
      </c>
      <c r="J1104">
        <v>99.27</v>
      </c>
      <c r="K1104">
        <v>89.34</v>
      </c>
      <c r="L1104">
        <v>9.93</v>
      </c>
      <c r="M1104" s="1" t="s">
        <v>21</v>
      </c>
      <c r="N1104" s="1" t="s">
        <v>22</v>
      </c>
      <c r="O1104" s="2">
        <v>46077</v>
      </c>
      <c r="P1104" s="2">
        <v>46077</v>
      </c>
      <c r="Q1104">
        <f>_xlfn.XLOOKUP(E1104,CPT!$A$2:$A$13,CPT!$D$2:$D$13)</f>
        <v>210</v>
      </c>
      <c r="R1104" s="1">
        <f>_xlfn.XLOOKUP(C1104,Contract!$A$2:$A$9,Contract!$B$2:$B$9)</f>
        <v>0.45</v>
      </c>
      <c r="S1104" s="1">
        <f t="shared" si="68"/>
        <v>94.5</v>
      </c>
      <c r="T1104" s="1">
        <f t="shared" si="69"/>
        <v>-4.769999999999996</v>
      </c>
      <c r="U1104" s="1" t="str">
        <f t="shared" si="70"/>
        <v>OK</v>
      </c>
      <c r="V1104" s="1" t="str">
        <f>_xlfn.XLOOKUP(C1104,Payers!$A$2:$A$9,Payers!$B$2:$B$9)</f>
        <v>Blue Horizon Commercial</v>
      </c>
      <c r="W1104" s="1" t="str">
        <f t="shared" si="71"/>
        <v>2026-01</v>
      </c>
    </row>
    <row r="1105" spans="1:23">
      <c r="A1105" s="1" t="s">
        <v>2103</v>
      </c>
      <c r="B1105" s="1" t="s">
        <v>504</v>
      </c>
      <c r="C1105" s="1" t="s">
        <v>76</v>
      </c>
      <c r="D1105" s="1" t="s">
        <v>26</v>
      </c>
      <c r="E1105" s="1" t="s">
        <v>57</v>
      </c>
      <c r="F1105">
        <v>1</v>
      </c>
      <c r="G1105" s="2">
        <v>46268</v>
      </c>
      <c r="H1105" s="2">
        <v>46273</v>
      </c>
      <c r="I1105">
        <v>207.49</v>
      </c>
      <c r="J1105">
        <v>91.21</v>
      </c>
      <c r="K1105">
        <v>82.09</v>
      </c>
      <c r="L1105">
        <v>9.1199999999999992</v>
      </c>
      <c r="M1105" s="1" t="s">
        <v>21</v>
      </c>
      <c r="N1105" s="1" t="s">
        <v>22</v>
      </c>
      <c r="O1105" s="2">
        <v>46289</v>
      </c>
      <c r="P1105" s="2">
        <v>46289</v>
      </c>
      <c r="Q1105">
        <f>_xlfn.XLOOKUP(E1105,CPT!$A$2:$A$13,CPT!$D$2:$D$13)</f>
        <v>210</v>
      </c>
      <c r="R1105" s="1">
        <f>_xlfn.XLOOKUP(C1105,Contract!$A$2:$A$9,Contract!$B$2:$B$9)</f>
        <v>0.43</v>
      </c>
      <c r="S1105" s="1">
        <f t="shared" si="68"/>
        <v>90.3</v>
      </c>
      <c r="T1105" s="1">
        <f t="shared" si="69"/>
        <v>-0.90999999999999659</v>
      </c>
      <c r="U1105" s="1" t="str">
        <f t="shared" si="70"/>
        <v>OK</v>
      </c>
      <c r="V1105" s="1" t="str">
        <f>_xlfn.XLOOKUP(C1105,Payers!$A$2:$A$9,Payers!$B$2:$B$9)</f>
        <v>Summit Health Commercial</v>
      </c>
      <c r="W1105" s="1" t="str">
        <f t="shared" si="71"/>
        <v>2026-09</v>
      </c>
    </row>
    <row r="1106" spans="1:23">
      <c r="A1106" s="1" t="s">
        <v>2104</v>
      </c>
      <c r="B1106" s="1" t="s">
        <v>790</v>
      </c>
      <c r="C1106" s="1" t="s">
        <v>79</v>
      </c>
      <c r="D1106" s="1" t="s">
        <v>19</v>
      </c>
      <c r="E1106" s="1" t="s">
        <v>57</v>
      </c>
      <c r="F1106">
        <v>1</v>
      </c>
      <c r="G1106" s="2">
        <v>45938</v>
      </c>
      <c r="H1106" s="2">
        <v>45939</v>
      </c>
      <c r="I1106">
        <v>205.5</v>
      </c>
      <c r="J1106">
        <v>205.5</v>
      </c>
      <c r="K1106">
        <v>205.5</v>
      </c>
      <c r="L1106">
        <v>0</v>
      </c>
      <c r="M1106" s="1" t="s">
        <v>21</v>
      </c>
      <c r="N1106" s="1" t="s">
        <v>22</v>
      </c>
      <c r="O1106" s="2">
        <v>46024</v>
      </c>
      <c r="P1106" s="2">
        <v>46024</v>
      </c>
      <c r="Q1106">
        <f>_xlfn.XLOOKUP(E1106,CPT!$A$2:$A$13,CPT!$D$2:$D$13)</f>
        <v>210</v>
      </c>
      <c r="R1106" s="1">
        <f>_xlfn.XLOOKUP(C1106,Contract!$A$2:$A$9,Contract!$B$2:$B$9)</f>
        <v>1</v>
      </c>
      <c r="S1106" s="1">
        <f t="shared" si="68"/>
        <v>210</v>
      </c>
      <c r="T1106" s="1">
        <f t="shared" si="69"/>
        <v>4.5</v>
      </c>
      <c r="U1106" s="1" t="str">
        <f t="shared" si="70"/>
        <v>OK</v>
      </c>
      <c r="V1106" s="1" t="str">
        <f>_xlfn.XLOOKUP(C1106,Payers!$A$2:$A$9,Payers!$B$2:$B$9)</f>
        <v>Self-Pay</v>
      </c>
      <c r="W1106" s="1" t="str">
        <f t="shared" si="71"/>
        <v>2025-10</v>
      </c>
    </row>
    <row r="1107" spans="1:23">
      <c r="A1107" s="1" t="s">
        <v>2105</v>
      </c>
      <c r="B1107" s="1" t="s">
        <v>2106</v>
      </c>
      <c r="C1107" s="1" t="s">
        <v>25</v>
      </c>
      <c r="D1107" s="1" t="s">
        <v>30</v>
      </c>
      <c r="E1107" s="1" t="s">
        <v>31</v>
      </c>
      <c r="F1107">
        <v>2</v>
      </c>
      <c r="G1107" s="2">
        <v>46226</v>
      </c>
      <c r="H1107" s="2">
        <v>46227</v>
      </c>
      <c r="I1107">
        <v>123.64</v>
      </c>
      <c r="J1107">
        <v>39.22</v>
      </c>
      <c r="K1107">
        <v>35.299999999999997</v>
      </c>
      <c r="L1107">
        <v>3.92</v>
      </c>
      <c r="M1107" s="1" t="s">
        <v>21</v>
      </c>
      <c r="N1107" s="1" t="s">
        <v>22</v>
      </c>
      <c r="O1107" s="2">
        <v>46249</v>
      </c>
      <c r="P1107" s="2">
        <v>46249</v>
      </c>
      <c r="Q1107">
        <f>_xlfn.XLOOKUP(E1107,CPT!$A$2:$A$13,CPT!$D$2:$D$13)</f>
        <v>62</v>
      </c>
      <c r="R1107" s="1">
        <f>_xlfn.XLOOKUP(C1107,Contract!$A$2:$A$9,Contract!$B$2:$B$9)</f>
        <v>0.36</v>
      </c>
      <c r="S1107" s="1">
        <f t="shared" si="68"/>
        <v>44.64</v>
      </c>
      <c r="T1107" s="1">
        <f t="shared" si="69"/>
        <v>5.4200000000000017</v>
      </c>
      <c r="U1107" s="1" t="str">
        <f t="shared" si="70"/>
        <v>Underpaid</v>
      </c>
      <c r="V1107" s="1" t="str">
        <f>_xlfn.XLOOKUP(C1107,Payers!$A$2:$A$9,Payers!$B$2:$B$9)</f>
        <v>Medicare Part B</v>
      </c>
      <c r="W1107" s="1" t="str">
        <f t="shared" si="71"/>
        <v>2026-07</v>
      </c>
    </row>
    <row r="1108" spans="1:23">
      <c r="A1108" s="1" t="s">
        <v>2107</v>
      </c>
      <c r="B1108" s="1" t="s">
        <v>2108</v>
      </c>
      <c r="C1108" s="1" t="s">
        <v>76</v>
      </c>
      <c r="D1108" s="1" t="s">
        <v>37</v>
      </c>
      <c r="E1108" s="1" t="s">
        <v>48</v>
      </c>
      <c r="F1108">
        <v>1</v>
      </c>
      <c r="G1108" s="2">
        <v>46026</v>
      </c>
      <c r="H1108" s="2">
        <v>46033</v>
      </c>
      <c r="I1108">
        <v>413.83</v>
      </c>
      <c r="J1108">
        <v>179.6</v>
      </c>
      <c r="K1108">
        <v>161.63999999999999</v>
      </c>
      <c r="L1108">
        <v>17.96</v>
      </c>
      <c r="M1108" s="1" t="s">
        <v>21</v>
      </c>
      <c r="N1108" s="1" t="s">
        <v>22</v>
      </c>
      <c r="O1108" s="2">
        <v>46057</v>
      </c>
      <c r="P1108" s="2">
        <v>46057</v>
      </c>
      <c r="Q1108">
        <f>_xlfn.XLOOKUP(E1108,CPT!$A$2:$A$13,CPT!$D$2:$D$13)</f>
        <v>420</v>
      </c>
      <c r="R1108" s="1">
        <f>_xlfn.XLOOKUP(C1108,Contract!$A$2:$A$9,Contract!$B$2:$B$9)</f>
        <v>0.43</v>
      </c>
      <c r="S1108" s="1">
        <f t="shared" si="68"/>
        <v>180.6</v>
      </c>
      <c r="T1108" s="1">
        <f t="shared" si="69"/>
        <v>1</v>
      </c>
      <c r="U1108" s="1" t="str">
        <f t="shared" si="70"/>
        <v>OK</v>
      </c>
      <c r="V1108" s="1" t="str">
        <f>_xlfn.XLOOKUP(C1108,Payers!$A$2:$A$9,Payers!$B$2:$B$9)</f>
        <v>Summit Health Commercial</v>
      </c>
      <c r="W1108" s="1" t="str">
        <f t="shared" si="71"/>
        <v>2026-01</v>
      </c>
    </row>
    <row r="1109" spans="1:23">
      <c r="A1109" s="1" t="s">
        <v>2109</v>
      </c>
      <c r="B1109" s="1" t="s">
        <v>308</v>
      </c>
      <c r="C1109" s="1" t="s">
        <v>36</v>
      </c>
      <c r="D1109" s="1" t="s">
        <v>19</v>
      </c>
      <c r="E1109" s="1" t="s">
        <v>20</v>
      </c>
      <c r="F1109">
        <v>1</v>
      </c>
      <c r="G1109" s="2">
        <v>46149</v>
      </c>
      <c r="H1109" s="2">
        <v>46163</v>
      </c>
      <c r="I1109">
        <v>146.24</v>
      </c>
      <c r="M1109" s="1" t="s">
        <v>32</v>
      </c>
      <c r="N1109" s="1" t="s">
        <v>33</v>
      </c>
      <c r="O1109" s="2">
        <v>46187</v>
      </c>
      <c r="P1109" s="2"/>
      <c r="Q1109">
        <f>_xlfn.XLOOKUP(E1109,CPT!$A$2:$A$13,CPT!$D$2:$D$13)</f>
        <v>145</v>
      </c>
      <c r="R1109" s="1">
        <f>_xlfn.XLOOKUP(C1109,Contract!$A$2:$A$9,Contract!$B$2:$B$9)</f>
        <v>0.27</v>
      </c>
      <c r="S1109" s="1">
        <f t="shared" si="68"/>
        <v>39.15</v>
      </c>
      <c r="T1109" s="1" t="str">
        <f t="shared" si="69"/>
        <v/>
      </c>
      <c r="U1109" s="1" t="str">
        <f t="shared" si="70"/>
        <v/>
      </c>
      <c r="V1109" s="1" t="str">
        <f>_xlfn.XLOOKUP(C1109,Payers!$A$2:$A$9,Payers!$B$2:$B$9)</f>
        <v>Florida Medicaid</v>
      </c>
      <c r="W1109" s="1" t="str">
        <f t="shared" si="71"/>
        <v>2026-05</v>
      </c>
    </row>
    <row r="1110" spans="1:23">
      <c r="A1110" s="1" t="s">
        <v>2110</v>
      </c>
      <c r="B1110" s="1" t="s">
        <v>126</v>
      </c>
      <c r="C1110" s="1" t="s">
        <v>25</v>
      </c>
      <c r="D1110" s="1" t="s">
        <v>26</v>
      </c>
      <c r="E1110" s="1" t="s">
        <v>113</v>
      </c>
      <c r="F1110">
        <v>1</v>
      </c>
      <c r="G1110" s="2">
        <v>45973</v>
      </c>
      <c r="H1110" s="2">
        <v>45988</v>
      </c>
      <c r="I1110">
        <v>1079.3800000000001</v>
      </c>
      <c r="J1110">
        <v>427.26</v>
      </c>
      <c r="K1110">
        <v>427.26</v>
      </c>
      <c r="L1110">
        <v>0</v>
      </c>
      <c r="M1110" s="1" t="s">
        <v>21</v>
      </c>
      <c r="N1110" s="1" t="s">
        <v>22</v>
      </c>
      <c r="O1110" s="2">
        <v>46010</v>
      </c>
      <c r="P1110" s="2">
        <v>46010</v>
      </c>
      <c r="Q1110">
        <f>_xlfn.XLOOKUP(E1110,CPT!$A$2:$A$13,CPT!$D$2:$D$13)</f>
        <v>1050</v>
      </c>
      <c r="R1110" s="1">
        <f>_xlfn.XLOOKUP(C1110,Contract!$A$2:$A$9,Contract!$B$2:$B$9)</f>
        <v>0.36</v>
      </c>
      <c r="S1110" s="1">
        <f t="shared" si="68"/>
        <v>378</v>
      </c>
      <c r="T1110" s="1">
        <f t="shared" si="69"/>
        <v>-49.259999999999991</v>
      </c>
      <c r="U1110" s="1" t="str">
        <f t="shared" si="70"/>
        <v>OK</v>
      </c>
      <c r="V1110" s="1" t="str">
        <f>_xlfn.XLOOKUP(C1110,Payers!$A$2:$A$9,Payers!$B$2:$B$9)</f>
        <v>Medicare Part B</v>
      </c>
      <c r="W1110" s="1" t="str">
        <f t="shared" si="71"/>
        <v>2025-11</v>
      </c>
    </row>
    <row r="1111" spans="1:23">
      <c r="A1111" s="1" t="s">
        <v>2111</v>
      </c>
      <c r="B1111" s="1" t="s">
        <v>2112</v>
      </c>
      <c r="C1111" s="1" t="s">
        <v>60</v>
      </c>
      <c r="D1111" s="1" t="s">
        <v>37</v>
      </c>
      <c r="E1111" s="1" t="s">
        <v>38</v>
      </c>
      <c r="F1111">
        <v>10</v>
      </c>
      <c r="G1111" s="2">
        <v>46112</v>
      </c>
      <c r="H1111" s="2">
        <v>46116</v>
      </c>
      <c r="I1111">
        <v>14554.71</v>
      </c>
      <c r="M1111" s="1" t="s">
        <v>32</v>
      </c>
      <c r="N1111" s="1" t="s">
        <v>49</v>
      </c>
      <c r="O1111" s="2">
        <v>46137</v>
      </c>
      <c r="P1111" s="2"/>
      <c r="Q1111">
        <f>_xlfn.XLOOKUP(E1111,CPT!$A$2:$A$13,CPT!$D$2:$D$13)</f>
        <v>1450</v>
      </c>
      <c r="R1111" s="1">
        <f>_xlfn.XLOOKUP(C1111,Contract!$A$2:$A$9,Contract!$B$2:$B$9)</f>
        <v>0.45</v>
      </c>
      <c r="S1111" s="1">
        <f t="shared" si="68"/>
        <v>6525</v>
      </c>
      <c r="T1111" s="1" t="str">
        <f t="shared" si="69"/>
        <v/>
      </c>
      <c r="U1111" s="1" t="str">
        <f t="shared" si="70"/>
        <v/>
      </c>
      <c r="V1111" s="1" t="str">
        <f>_xlfn.XLOOKUP(C1111,Payers!$A$2:$A$9,Payers!$B$2:$B$9)</f>
        <v>Blue Horizon Commercial</v>
      </c>
      <c r="W1111" s="1" t="str">
        <f t="shared" si="71"/>
        <v>2026-03</v>
      </c>
    </row>
    <row r="1112" spans="1:23">
      <c r="A1112" s="1" t="s">
        <v>2113</v>
      </c>
      <c r="B1112" s="1" t="s">
        <v>2114</v>
      </c>
      <c r="C1112" s="1" t="s">
        <v>60</v>
      </c>
      <c r="D1112" s="1" t="s">
        <v>19</v>
      </c>
      <c r="E1112" s="1" t="s">
        <v>88</v>
      </c>
      <c r="F1112">
        <v>1</v>
      </c>
      <c r="G1112" s="2">
        <v>46279</v>
      </c>
      <c r="H1112" s="2">
        <v>46284</v>
      </c>
      <c r="I1112">
        <v>254.78</v>
      </c>
      <c r="M1112" s="1" t="s">
        <v>69</v>
      </c>
      <c r="N1112" s="1" t="s">
        <v>22</v>
      </c>
      <c r="O1112" s="2"/>
      <c r="P1112" s="2"/>
      <c r="Q1112">
        <f>_xlfn.XLOOKUP(E1112,CPT!$A$2:$A$13,CPT!$D$2:$D$13)</f>
        <v>260</v>
      </c>
      <c r="R1112" s="1">
        <f>_xlfn.XLOOKUP(C1112,Contract!$A$2:$A$9,Contract!$B$2:$B$9)</f>
        <v>0.45</v>
      </c>
      <c r="S1112" s="1">
        <f t="shared" si="68"/>
        <v>117</v>
      </c>
      <c r="T1112" s="1" t="str">
        <f t="shared" si="69"/>
        <v/>
      </c>
      <c r="U1112" s="1" t="str">
        <f t="shared" si="70"/>
        <v/>
      </c>
      <c r="V1112" s="1" t="str">
        <f>_xlfn.XLOOKUP(C1112,Payers!$A$2:$A$9,Payers!$B$2:$B$9)</f>
        <v>Blue Horizon Commercial</v>
      </c>
      <c r="W1112" s="1" t="str">
        <f t="shared" si="71"/>
        <v>2026-09</v>
      </c>
    </row>
    <row r="1113" spans="1:23">
      <c r="A1113" s="1" t="s">
        <v>2115</v>
      </c>
      <c r="B1113" s="1" t="s">
        <v>707</v>
      </c>
      <c r="C1113" s="1" t="s">
        <v>76</v>
      </c>
      <c r="D1113" s="1" t="s">
        <v>19</v>
      </c>
      <c r="E1113" s="1" t="s">
        <v>57</v>
      </c>
      <c r="F1113">
        <v>1</v>
      </c>
      <c r="G1113" s="2">
        <v>46136</v>
      </c>
      <c r="H1113" s="2">
        <v>46146</v>
      </c>
      <c r="I1113">
        <v>207.44</v>
      </c>
      <c r="J1113">
        <v>99.54</v>
      </c>
      <c r="K1113">
        <v>79.63</v>
      </c>
      <c r="L1113">
        <v>19.91</v>
      </c>
      <c r="M1113" s="1" t="s">
        <v>21</v>
      </c>
      <c r="N1113" s="1" t="s">
        <v>22</v>
      </c>
      <c r="O1113" s="2">
        <v>46172</v>
      </c>
      <c r="P1113" s="2">
        <v>46172</v>
      </c>
      <c r="Q1113">
        <f>_xlfn.XLOOKUP(E1113,CPT!$A$2:$A$13,CPT!$D$2:$D$13)</f>
        <v>210</v>
      </c>
      <c r="R1113" s="1">
        <f>_xlfn.XLOOKUP(C1113,Contract!$A$2:$A$9,Contract!$B$2:$B$9)</f>
        <v>0.43</v>
      </c>
      <c r="S1113" s="1">
        <f t="shared" si="68"/>
        <v>90.3</v>
      </c>
      <c r="T1113" s="1">
        <f t="shared" si="69"/>
        <v>-9.2400000000000091</v>
      </c>
      <c r="U1113" s="1" t="str">
        <f t="shared" si="70"/>
        <v>OK</v>
      </c>
      <c r="V1113" s="1" t="str">
        <f>_xlfn.XLOOKUP(C1113,Payers!$A$2:$A$9,Payers!$B$2:$B$9)</f>
        <v>Summit Health Commercial</v>
      </c>
      <c r="W1113" s="1" t="str">
        <f t="shared" si="71"/>
        <v>2026-04</v>
      </c>
    </row>
    <row r="1114" spans="1:23">
      <c r="A1114" s="1" t="s">
        <v>2116</v>
      </c>
      <c r="B1114" s="1" t="s">
        <v>2070</v>
      </c>
      <c r="C1114" s="1" t="s">
        <v>60</v>
      </c>
      <c r="D1114" s="1" t="s">
        <v>26</v>
      </c>
      <c r="E1114" s="1" t="s">
        <v>185</v>
      </c>
      <c r="F1114">
        <v>1</v>
      </c>
      <c r="G1114" s="2">
        <v>46059</v>
      </c>
      <c r="H1114" s="2">
        <v>46064</v>
      </c>
      <c r="I1114">
        <v>1164.3800000000001</v>
      </c>
      <c r="M1114" s="1" t="s">
        <v>32</v>
      </c>
      <c r="N1114" s="1" t="s">
        <v>33</v>
      </c>
      <c r="O1114" s="2">
        <v>46104</v>
      </c>
      <c r="P1114" s="2"/>
      <c r="Q1114">
        <f>_xlfn.XLOOKUP(E1114,CPT!$A$2:$A$13,CPT!$D$2:$D$13)</f>
        <v>1150</v>
      </c>
      <c r="R1114" s="1">
        <f>_xlfn.XLOOKUP(C1114,Contract!$A$2:$A$9,Contract!$B$2:$B$9)</f>
        <v>0.45</v>
      </c>
      <c r="S1114" s="1">
        <f t="shared" si="68"/>
        <v>517.5</v>
      </c>
      <c r="T1114" s="1" t="str">
        <f t="shared" si="69"/>
        <v/>
      </c>
      <c r="U1114" s="1" t="str">
        <f t="shared" si="70"/>
        <v/>
      </c>
      <c r="V1114" s="1" t="str">
        <f>_xlfn.XLOOKUP(C1114,Payers!$A$2:$A$9,Payers!$B$2:$B$9)</f>
        <v>Blue Horizon Commercial</v>
      </c>
      <c r="W1114" s="1" t="str">
        <f t="shared" si="71"/>
        <v>2026-02</v>
      </c>
    </row>
    <row r="1115" spans="1:23">
      <c r="A1115" s="1" t="s">
        <v>2117</v>
      </c>
      <c r="B1115" s="1" t="s">
        <v>2118</v>
      </c>
      <c r="C1115" s="1" t="s">
        <v>76</v>
      </c>
      <c r="D1115" s="1" t="s">
        <v>19</v>
      </c>
      <c r="E1115" s="1" t="s">
        <v>57</v>
      </c>
      <c r="F1115">
        <v>1</v>
      </c>
      <c r="G1115" s="2">
        <v>46110</v>
      </c>
      <c r="H1115" s="2">
        <v>46124</v>
      </c>
      <c r="I1115">
        <v>204.59</v>
      </c>
      <c r="J1115">
        <v>98.15</v>
      </c>
      <c r="K1115">
        <v>98.15</v>
      </c>
      <c r="L1115">
        <v>0</v>
      </c>
      <c r="M1115" s="1" t="s">
        <v>21</v>
      </c>
      <c r="N1115" s="1" t="s">
        <v>22</v>
      </c>
      <c r="O1115" s="2">
        <v>46162</v>
      </c>
      <c r="P1115" s="2">
        <v>46162</v>
      </c>
      <c r="Q1115">
        <f>_xlfn.XLOOKUP(E1115,CPT!$A$2:$A$13,CPT!$D$2:$D$13)</f>
        <v>210</v>
      </c>
      <c r="R1115" s="1">
        <f>_xlfn.XLOOKUP(C1115,Contract!$A$2:$A$9,Contract!$B$2:$B$9)</f>
        <v>0.43</v>
      </c>
      <c r="S1115" s="1">
        <f t="shared" si="68"/>
        <v>90.3</v>
      </c>
      <c r="T1115" s="1">
        <f t="shared" si="69"/>
        <v>-7.8500000000000085</v>
      </c>
      <c r="U1115" s="1" t="str">
        <f t="shared" si="70"/>
        <v>OK</v>
      </c>
      <c r="V1115" s="1" t="str">
        <f>_xlfn.XLOOKUP(C1115,Payers!$A$2:$A$9,Payers!$B$2:$B$9)</f>
        <v>Summit Health Commercial</v>
      </c>
      <c r="W1115" s="1" t="str">
        <f t="shared" si="71"/>
        <v>2026-03</v>
      </c>
    </row>
    <row r="1116" spans="1:23">
      <c r="A1116" s="1" t="s">
        <v>2119</v>
      </c>
      <c r="B1116" s="1" t="s">
        <v>2120</v>
      </c>
      <c r="C1116" s="1" t="s">
        <v>60</v>
      </c>
      <c r="D1116" s="1" t="s">
        <v>37</v>
      </c>
      <c r="E1116" s="1" t="s">
        <v>57</v>
      </c>
      <c r="F1116">
        <v>1</v>
      </c>
      <c r="G1116" s="2">
        <v>46158</v>
      </c>
      <c r="H1116" s="2">
        <v>46160</v>
      </c>
      <c r="I1116">
        <v>205.49</v>
      </c>
      <c r="J1116">
        <v>96.4</v>
      </c>
      <c r="K1116">
        <v>77.12</v>
      </c>
      <c r="L1116">
        <v>19.28</v>
      </c>
      <c r="M1116" s="1" t="s">
        <v>21</v>
      </c>
      <c r="N1116" s="1" t="s">
        <v>22</v>
      </c>
      <c r="O1116" s="2">
        <v>46177</v>
      </c>
      <c r="P1116" s="2">
        <v>46177</v>
      </c>
      <c r="Q1116">
        <f>_xlfn.XLOOKUP(E1116,CPT!$A$2:$A$13,CPT!$D$2:$D$13)</f>
        <v>210</v>
      </c>
      <c r="R1116" s="1">
        <f>_xlfn.XLOOKUP(C1116,Contract!$A$2:$A$9,Contract!$B$2:$B$9)</f>
        <v>0.45</v>
      </c>
      <c r="S1116" s="1">
        <f t="shared" si="68"/>
        <v>94.5</v>
      </c>
      <c r="T1116" s="1">
        <f t="shared" si="69"/>
        <v>-1.9000000000000057</v>
      </c>
      <c r="U1116" s="1" t="str">
        <f t="shared" si="70"/>
        <v>OK</v>
      </c>
      <c r="V1116" s="1" t="str">
        <f>_xlfn.XLOOKUP(C1116,Payers!$A$2:$A$9,Payers!$B$2:$B$9)</f>
        <v>Blue Horizon Commercial</v>
      </c>
      <c r="W1116" s="1" t="str">
        <f t="shared" si="71"/>
        <v>2026-05</v>
      </c>
    </row>
    <row r="1117" spans="1:23">
      <c r="A1117" s="1" t="s">
        <v>2121</v>
      </c>
      <c r="B1117" s="1" t="s">
        <v>2122</v>
      </c>
      <c r="C1117" s="1" t="s">
        <v>36</v>
      </c>
      <c r="D1117" s="1" t="s">
        <v>37</v>
      </c>
      <c r="E1117" s="1" t="s">
        <v>48</v>
      </c>
      <c r="F1117">
        <v>1</v>
      </c>
      <c r="G1117" s="2">
        <v>46208</v>
      </c>
      <c r="H1117" s="2">
        <v>46211</v>
      </c>
      <c r="I1117">
        <v>426.12</v>
      </c>
      <c r="M1117" s="1" t="s">
        <v>32</v>
      </c>
      <c r="N1117" s="1" t="s">
        <v>124</v>
      </c>
      <c r="O1117" s="2">
        <v>46249</v>
      </c>
      <c r="P1117" s="2"/>
      <c r="Q1117">
        <f>_xlfn.XLOOKUP(E1117,CPT!$A$2:$A$13,CPT!$D$2:$D$13)</f>
        <v>420</v>
      </c>
      <c r="R1117" s="1">
        <f>_xlfn.XLOOKUP(C1117,Contract!$A$2:$A$9,Contract!$B$2:$B$9)</f>
        <v>0.27</v>
      </c>
      <c r="S1117" s="1">
        <f t="shared" si="68"/>
        <v>113.4</v>
      </c>
      <c r="T1117" s="1" t="str">
        <f t="shared" si="69"/>
        <v/>
      </c>
      <c r="U1117" s="1" t="str">
        <f t="shared" si="70"/>
        <v/>
      </c>
      <c r="V1117" s="1" t="str">
        <f>_xlfn.XLOOKUP(C1117,Payers!$A$2:$A$9,Payers!$B$2:$B$9)</f>
        <v>Florida Medicaid</v>
      </c>
      <c r="W1117" s="1" t="str">
        <f t="shared" si="71"/>
        <v>2026-07</v>
      </c>
    </row>
    <row r="1118" spans="1:23">
      <c r="A1118" s="1" t="s">
        <v>2123</v>
      </c>
      <c r="B1118" s="1" t="s">
        <v>1123</v>
      </c>
      <c r="C1118" s="1" t="s">
        <v>76</v>
      </c>
      <c r="D1118" s="1" t="s">
        <v>30</v>
      </c>
      <c r="E1118" s="1" t="s">
        <v>31</v>
      </c>
      <c r="F1118">
        <v>1</v>
      </c>
      <c r="G1118" s="2">
        <v>46061</v>
      </c>
      <c r="H1118" s="2">
        <v>46064</v>
      </c>
      <c r="I1118">
        <v>62.47</v>
      </c>
      <c r="J1118">
        <v>29.74</v>
      </c>
      <c r="K1118">
        <v>29.74</v>
      </c>
      <c r="L1118">
        <v>0</v>
      </c>
      <c r="M1118" s="1" t="s">
        <v>21</v>
      </c>
      <c r="N1118" s="1" t="s">
        <v>22</v>
      </c>
      <c r="O1118" s="2">
        <v>46088</v>
      </c>
      <c r="P1118" s="2">
        <v>46088</v>
      </c>
      <c r="Q1118">
        <f>_xlfn.XLOOKUP(E1118,CPT!$A$2:$A$13,CPT!$D$2:$D$13)</f>
        <v>62</v>
      </c>
      <c r="R1118" s="1">
        <f>_xlfn.XLOOKUP(C1118,Contract!$A$2:$A$9,Contract!$B$2:$B$9)</f>
        <v>0.43</v>
      </c>
      <c r="S1118" s="1">
        <f t="shared" si="68"/>
        <v>26.66</v>
      </c>
      <c r="T1118" s="1">
        <f t="shared" si="69"/>
        <v>-3.0799999999999983</v>
      </c>
      <c r="U1118" s="1" t="str">
        <f t="shared" si="70"/>
        <v>OK</v>
      </c>
      <c r="V1118" s="1" t="str">
        <f>_xlfn.XLOOKUP(C1118,Payers!$A$2:$A$9,Payers!$B$2:$B$9)</f>
        <v>Summit Health Commercial</v>
      </c>
      <c r="W1118" s="1" t="str">
        <f t="shared" si="71"/>
        <v>2026-02</v>
      </c>
    </row>
    <row r="1119" spans="1:23">
      <c r="A1119" s="1" t="s">
        <v>2124</v>
      </c>
      <c r="B1119" s="1" t="s">
        <v>2125</v>
      </c>
      <c r="C1119" s="1" t="s">
        <v>79</v>
      </c>
      <c r="D1119" s="1" t="s">
        <v>30</v>
      </c>
      <c r="E1119" s="1" t="s">
        <v>20</v>
      </c>
      <c r="F1119">
        <v>1</v>
      </c>
      <c r="G1119" s="2">
        <v>46116</v>
      </c>
      <c r="H1119" s="2">
        <v>46124</v>
      </c>
      <c r="I1119">
        <v>142.75</v>
      </c>
      <c r="M1119" s="1" t="s">
        <v>69</v>
      </c>
      <c r="N1119" s="1" t="s">
        <v>22</v>
      </c>
      <c r="O1119" s="2"/>
      <c r="P1119" s="2"/>
      <c r="Q1119">
        <f>_xlfn.XLOOKUP(E1119,CPT!$A$2:$A$13,CPT!$D$2:$D$13)</f>
        <v>145</v>
      </c>
      <c r="R1119" s="1">
        <f>_xlfn.XLOOKUP(C1119,Contract!$A$2:$A$9,Contract!$B$2:$B$9)</f>
        <v>1</v>
      </c>
      <c r="S1119" s="1">
        <f t="shared" si="68"/>
        <v>145</v>
      </c>
      <c r="T1119" s="1" t="str">
        <f t="shared" si="69"/>
        <v/>
      </c>
      <c r="U1119" s="1" t="str">
        <f t="shared" si="70"/>
        <v/>
      </c>
      <c r="V1119" s="1" t="str">
        <f>_xlfn.XLOOKUP(C1119,Payers!$A$2:$A$9,Payers!$B$2:$B$9)</f>
        <v>Self-Pay</v>
      </c>
      <c r="W1119" s="1" t="str">
        <f t="shared" si="71"/>
        <v>2026-04</v>
      </c>
    </row>
    <row r="1120" spans="1:23">
      <c r="A1120" s="1" t="s">
        <v>2126</v>
      </c>
      <c r="B1120" s="1" t="s">
        <v>606</v>
      </c>
      <c r="C1120" s="1" t="s">
        <v>36</v>
      </c>
      <c r="D1120" s="1" t="s">
        <v>19</v>
      </c>
      <c r="E1120" s="1" t="s">
        <v>88</v>
      </c>
      <c r="F1120">
        <v>1</v>
      </c>
      <c r="G1120" s="2">
        <v>46072</v>
      </c>
      <c r="H1120" s="2">
        <v>46077</v>
      </c>
      <c r="I1120">
        <v>266.31</v>
      </c>
      <c r="J1120">
        <v>75.64</v>
      </c>
      <c r="K1120">
        <v>75.64</v>
      </c>
      <c r="L1120">
        <v>0</v>
      </c>
      <c r="M1120" s="1" t="s">
        <v>21</v>
      </c>
      <c r="N1120" s="1" t="s">
        <v>22</v>
      </c>
      <c r="O1120" s="2">
        <v>46116</v>
      </c>
      <c r="P1120" s="2">
        <v>46116</v>
      </c>
      <c r="Q1120">
        <f>_xlfn.XLOOKUP(E1120,CPT!$A$2:$A$13,CPT!$D$2:$D$13)</f>
        <v>260</v>
      </c>
      <c r="R1120" s="1">
        <f>_xlfn.XLOOKUP(C1120,Contract!$A$2:$A$9,Contract!$B$2:$B$9)</f>
        <v>0.27</v>
      </c>
      <c r="S1120" s="1">
        <f t="shared" si="68"/>
        <v>70.2</v>
      </c>
      <c r="T1120" s="1">
        <f t="shared" si="69"/>
        <v>-5.4399999999999977</v>
      </c>
      <c r="U1120" s="1" t="str">
        <f t="shared" si="70"/>
        <v>OK</v>
      </c>
      <c r="V1120" s="1" t="str">
        <f>_xlfn.XLOOKUP(C1120,Payers!$A$2:$A$9,Payers!$B$2:$B$9)</f>
        <v>Florida Medicaid</v>
      </c>
      <c r="W1120" s="1" t="str">
        <f t="shared" si="71"/>
        <v>2026-02</v>
      </c>
    </row>
    <row r="1121" spans="1:23">
      <c r="A1121" s="1" t="s">
        <v>2127</v>
      </c>
      <c r="B1121" s="1" t="s">
        <v>2128</v>
      </c>
      <c r="C1121" s="1" t="s">
        <v>76</v>
      </c>
      <c r="D1121" s="1" t="s">
        <v>37</v>
      </c>
      <c r="E1121" s="1" t="s">
        <v>48</v>
      </c>
      <c r="F1121">
        <v>1</v>
      </c>
      <c r="G1121" s="2">
        <v>46184</v>
      </c>
      <c r="H1121" s="2">
        <v>46187</v>
      </c>
      <c r="I1121">
        <v>412.98</v>
      </c>
      <c r="J1121">
        <v>203.86</v>
      </c>
      <c r="K1121">
        <v>163.09</v>
      </c>
      <c r="L1121">
        <v>40.770000000000003</v>
      </c>
      <c r="M1121" s="1" t="s">
        <v>21</v>
      </c>
      <c r="N1121" s="1" t="s">
        <v>22</v>
      </c>
      <c r="O1121" s="2">
        <v>46228</v>
      </c>
      <c r="P1121" s="2">
        <v>46228</v>
      </c>
      <c r="Q1121">
        <f>_xlfn.XLOOKUP(E1121,CPT!$A$2:$A$13,CPT!$D$2:$D$13)</f>
        <v>420</v>
      </c>
      <c r="R1121" s="1">
        <f>_xlfn.XLOOKUP(C1121,Contract!$A$2:$A$9,Contract!$B$2:$B$9)</f>
        <v>0.43</v>
      </c>
      <c r="S1121" s="1">
        <f t="shared" si="68"/>
        <v>180.6</v>
      </c>
      <c r="T1121" s="1">
        <f t="shared" si="69"/>
        <v>-23.260000000000019</v>
      </c>
      <c r="U1121" s="1" t="str">
        <f t="shared" si="70"/>
        <v>OK</v>
      </c>
      <c r="V1121" s="1" t="str">
        <f>_xlfn.XLOOKUP(C1121,Payers!$A$2:$A$9,Payers!$B$2:$B$9)</f>
        <v>Summit Health Commercial</v>
      </c>
      <c r="W1121" s="1" t="str">
        <f t="shared" si="71"/>
        <v>2026-06</v>
      </c>
    </row>
    <row r="1122" spans="1:23">
      <c r="A1122" s="1" t="s">
        <v>2129</v>
      </c>
      <c r="B1122" s="1" t="s">
        <v>2130</v>
      </c>
      <c r="C1122" s="1" t="s">
        <v>25</v>
      </c>
      <c r="D1122" s="1" t="s">
        <v>19</v>
      </c>
      <c r="E1122" s="1" t="s">
        <v>41</v>
      </c>
      <c r="F1122">
        <v>1</v>
      </c>
      <c r="G1122" s="2">
        <v>46272</v>
      </c>
      <c r="H1122" s="2">
        <v>46276</v>
      </c>
      <c r="I1122">
        <v>37.729999999999997</v>
      </c>
      <c r="M1122" s="1" t="s">
        <v>69</v>
      </c>
      <c r="N1122" s="1" t="s">
        <v>22</v>
      </c>
      <c r="O1122" s="2"/>
      <c r="P1122" s="2"/>
      <c r="Q1122">
        <f>_xlfn.XLOOKUP(E1122,CPT!$A$2:$A$13,CPT!$D$2:$D$13)</f>
        <v>38</v>
      </c>
      <c r="R1122" s="1">
        <f>_xlfn.XLOOKUP(C1122,Contract!$A$2:$A$9,Contract!$B$2:$B$9)</f>
        <v>0.36</v>
      </c>
      <c r="S1122" s="1">
        <f t="shared" si="68"/>
        <v>13.68</v>
      </c>
      <c r="T1122" s="1" t="str">
        <f t="shared" si="69"/>
        <v/>
      </c>
      <c r="U1122" s="1" t="str">
        <f t="shared" si="70"/>
        <v/>
      </c>
      <c r="V1122" s="1" t="str">
        <f>_xlfn.XLOOKUP(C1122,Payers!$A$2:$A$9,Payers!$B$2:$B$9)</f>
        <v>Medicare Part B</v>
      </c>
      <c r="W1122" s="1" t="str">
        <f t="shared" si="71"/>
        <v>2026-09</v>
      </c>
    </row>
    <row r="1123" spans="1:23">
      <c r="A1123" s="1" t="s">
        <v>2131</v>
      </c>
      <c r="B1123" s="1" t="s">
        <v>2132</v>
      </c>
      <c r="C1123" s="1" t="s">
        <v>76</v>
      </c>
      <c r="D1123" s="1" t="s">
        <v>30</v>
      </c>
      <c r="E1123" s="1" t="s">
        <v>31</v>
      </c>
      <c r="F1123">
        <v>4</v>
      </c>
      <c r="G1123" s="2">
        <v>46275</v>
      </c>
      <c r="H1123" s="2">
        <v>46278</v>
      </c>
      <c r="I1123">
        <v>254.01</v>
      </c>
      <c r="M1123" s="1" t="s">
        <v>69</v>
      </c>
      <c r="N1123" s="1" t="s">
        <v>22</v>
      </c>
      <c r="O1123" s="2"/>
      <c r="P1123" s="2"/>
      <c r="Q1123">
        <f>_xlfn.XLOOKUP(E1123,CPT!$A$2:$A$13,CPT!$D$2:$D$13)</f>
        <v>62</v>
      </c>
      <c r="R1123" s="1">
        <f>_xlfn.XLOOKUP(C1123,Contract!$A$2:$A$9,Contract!$B$2:$B$9)</f>
        <v>0.43</v>
      </c>
      <c r="S1123" s="1">
        <f t="shared" si="68"/>
        <v>106.64</v>
      </c>
      <c r="T1123" s="1" t="str">
        <f t="shared" si="69"/>
        <v/>
      </c>
      <c r="U1123" s="1" t="str">
        <f t="shared" si="70"/>
        <v/>
      </c>
      <c r="V1123" s="1" t="str">
        <f>_xlfn.XLOOKUP(C1123,Payers!$A$2:$A$9,Payers!$B$2:$B$9)</f>
        <v>Summit Health Commercial</v>
      </c>
      <c r="W1123" s="1" t="str">
        <f t="shared" si="71"/>
        <v>2026-09</v>
      </c>
    </row>
    <row r="1124" spans="1:23">
      <c r="A1124" s="1" t="s">
        <v>2133</v>
      </c>
      <c r="B1124" s="1" t="s">
        <v>1652</v>
      </c>
      <c r="C1124" s="1" t="s">
        <v>25</v>
      </c>
      <c r="D1124" s="1" t="s">
        <v>19</v>
      </c>
      <c r="E1124" s="1" t="s">
        <v>41</v>
      </c>
      <c r="F1124">
        <v>1</v>
      </c>
      <c r="G1124" s="2">
        <v>46198</v>
      </c>
      <c r="H1124" s="2">
        <v>46201</v>
      </c>
      <c r="I1124">
        <v>36.94</v>
      </c>
      <c r="J1124">
        <v>14.31</v>
      </c>
      <c r="K1124">
        <v>14.31</v>
      </c>
      <c r="L1124">
        <v>0</v>
      </c>
      <c r="M1124" s="1" t="s">
        <v>21</v>
      </c>
      <c r="N1124" s="1" t="s">
        <v>22</v>
      </c>
      <c r="O1124" s="2">
        <v>46208</v>
      </c>
      <c r="P1124" s="2">
        <v>46208</v>
      </c>
      <c r="Q1124">
        <f>_xlfn.XLOOKUP(E1124,CPT!$A$2:$A$13,CPT!$D$2:$D$13)</f>
        <v>38</v>
      </c>
      <c r="R1124" s="1">
        <f>_xlfn.XLOOKUP(C1124,Contract!$A$2:$A$9,Contract!$B$2:$B$9)</f>
        <v>0.36</v>
      </c>
      <c r="S1124" s="1">
        <f t="shared" si="68"/>
        <v>13.68</v>
      </c>
      <c r="T1124" s="1">
        <f t="shared" si="69"/>
        <v>-0.63000000000000078</v>
      </c>
      <c r="U1124" s="1" t="str">
        <f t="shared" si="70"/>
        <v>OK</v>
      </c>
      <c r="V1124" s="1" t="str">
        <f>_xlfn.XLOOKUP(C1124,Payers!$A$2:$A$9,Payers!$B$2:$B$9)</f>
        <v>Medicare Part B</v>
      </c>
      <c r="W1124" s="1" t="str">
        <f t="shared" si="71"/>
        <v>2026-06</v>
      </c>
    </row>
    <row r="1125" spans="1:23">
      <c r="A1125" s="1" t="s">
        <v>2134</v>
      </c>
      <c r="B1125" s="1" t="s">
        <v>2135</v>
      </c>
      <c r="C1125" s="1" t="s">
        <v>47</v>
      </c>
      <c r="D1125" s="1" t="s">
        <v>26</v>
      </c>
      <c r="E1125" s="1" t="s">
        <v>41</v>
      </c>
      <c r="F1125">
        <v>1</v>
      </c>
      <c r="G1125" s="2">
        <v>45981</v>
      </c>
      <c r="H1125" s="2">
        <v>45984</v>
      </c>
      <c r="I1125">
        <v>37.53</v>
      </c>
      <c r="M1125" s="1" t="s">
        <v>32</v>
      </c>
      <c r="N1125" s="1" t="s">
        <v>124</v>
      </c>
      <c r="O1125" s="2">
        <v>46061</v>
      </c>
      <c r="P1125" s="2"/>
      <c r="Q1125">
        <f>_xlfn.XLOOKUP(E1125,CPT!$A$2:$A$13,CPT!$D$2:$D$13)</f>
        <v>38</v>
      </c>
      <c r="R1125" s="1">
        <f>_xlfn.XLOOKUP(C1125,Contract!$A$2:$A$9,Contract!$B$2:$B$9)</f>
        <v>0.28000000000000003</v>
      </c>
      <c r="S1125" s="1">
        <f t="shared" si="68"/>
        <v>10.64</v>
      </c>
      <c r="T1125" s="1" t="str">
        <f t="shared" si="69"/>
        <v/>
      </c>
      <c r="U1125" s="1" t="str">
        <f t="shared" si="70"/>
        <v/>
      </c>
      <c r="V1125" s="1" t="str">
        <f>_xlfn.XLOOKUP(C1125,Payers!$A$2:$A$9,Payers!$B$2:$B$9)</f>
        <v>Coastal Medicaid MCO</v>
      </c>
      <c r="W1125" s="1" t="str">
        <f t="shared" si="71"/>
        <v>2025-11</v>
      </c>
    </row>
    <row r="1126" spans="1:23">
      <c r="A1126" s="1" t="s">
        <v>2136</v>
      </c>
      <c r="B1126" s="1" t="s">
        <v>1499</v>
      </c>
      <c r="C1126" s="1" t="s">
        <v>76</v>
      </c>
      <c r="D1126" s="1" t="s">
        <v>19</v>
      </c>
      <c r="E1126" s="1" t="s">
        <v>57</v>
      </c>
      <c r="F1126">
        <v>1</v>
      </c>
      <c r="G1126" s="2">
        <v>45955</v>
      </c>
      <c r="H1126" s="2">
        <v>45960</v>
      </c>
      <c r="I1126">
        <v>207.79</v>
      </c>
      <c r="J1126">
        <v>96.25</v>
      </c>
      <c r="K1126">
        <v>86.63</v>
      </c>
      <c r="L1126">
        <v>9.6199999999999992</v>
      </c>
      <c r="M1126" s="1" t="s">
        <v>21</v>
      </c>
      <c r="N1126" s="1" t="s">
        <v>22</v>
      </c>
      <c r="O1126" s="2">
        <v>45998</v>
      </c>
      <c r="P1126" s="2">
        <v>45998</v>
      </c>
      <c r="Q1126">
        <f>_xlfn.XLOOKUP(E1126,CPT!$A$2:$A$13,CPT!$D$2:$D$13)</f>
        <v>210</v>
      </c>
      <c r="R1126" s="1">
        <f>_xlfn.XLOOKUP(C1126,Contract!$A$2:$A$9,Contract!$B$2:$B$9)</f>
        <v>0.43</v>
      </c>
      <c r="S1126" s="1">
        <f t="shared" si="68"/>
        <v>90.3</v>
      </c>
      <c r="T1126" s="1">
        <f t="shared" si="69"/>
        <v>-5.9500000000000028</v>
      </c>
      <c r="U1126" s="1" t="str">
        <f t="shared" si="70"/>
        <v>OK</v>
      </c>
      <c r="V1126" s="1" t="str">
        <f>_xlfn.XLOOKUP(C1126,Payers!$A$2:$A$9,Payers!$B$2:$B$9)</f>
        <v>Summit Health Commercial</v>
      </c>
      <c r="W1126" s="1" t="str">
        <f t="shared" si="71"/>
        <v>2025-10</v>
      </c>
    </row>
    <row r="1127" spans="1:23">
      <c r="A1127" s="1" t="s">
        <v>2137</v>
      </c>
      <c r="B1127" s="1" t="s">
        <v>2138</v>
      </c>
      <c r="C1127" s="1" t="s">
        <v>36</v>
      </c>
      <c r="D1127" s="1" t="s">
        <v>19</v>
      </c>
      <c r="E1127" s="1" t="s">
        <v>88</v>
      </c>
      <c r="F1127">
        <v>1</v>
      </c>
      <c r="G1127" s="2">
        <v>46019</v>
      </c>
      <c r="H1127" s="2">
        <v>46027</v>
      </c>
      <c r="I1127">
        <v>265.38</v>
      </c>
      <c r="J1127">
        <v>74.25</v>
      </c>
      <c r="K1127">
        <v>74.25</v>
      </c>
      <c r="L1127">
        <v>0</v>
      </c>
      <c r="M1127" s="1" t="s">
        <v>21</v>
      </c>
      <c r="N1127" s="1" t="s">
        <v>22</v>
      </c>
      <c r="O1127" s="2">
        <v>46079</v>
      </c>
      <c r="P1127" s="2">
        <v>46079</v>
      </c>
      <c r="Q1127">
        <f>_xlfn.XLOOKUP(E1127,CPT!$A$2:$A$13,CPT!$D$2:$D$13)</f>
        <v>260</v>
      </c>
      <c r="R1127" s="1">
        <f>_xlfn.XLOOKUP(C1127,Contract!$A$2:$A$9,Contract!$B$2:$B$9)</f>
        <v>0.27</v>
      </c>
      <c r="S1127" s="1">
        <f t="shared" si="68"/>
        <v>70.2</v>
      </c>
      <c r="T1127" s="1">
        <f t="shared" si="69"/>
        <v>-4.0499999999999972</v>
      </c>
      <c r="U1127" s="1" t="str">
        <f t="shared" si="70"/>
        <v>OK</v>
      </c>
      <c r="V1127" s="1" t="str">
        <f>_xlfn.XLOOKUP(C1127,Payers!$A$2:$A$9,Payers!$B$2:$B$9)</f>
        <v>Florida Medicaid</v>
      </c>
      <c r="W1127" s="1" t="str">
        <f t="shared" si="71"/>
        <v>2025-12</v>
      </c>
    </row>
    <row r="1128" spans="1:23">
      <c r="A1128" s="1" t="s">
        <v>2139</v>
      </c>
      <c r="B1128" s="1" t="s">
        <v>1201</v>
      </c>
      <c r="C1128" s="1" t="s">
        <v>47</v>
      </c>
      <c r="D1128" s="1" t="s">
        <v>30</v>
      </c>
      <c r="E1128" s="1" t="s">
        <v>31</v>
      </c>
      <c r="F1128">
        <v>4</v>
      </c>
      <c r="G1128" s="2">
        <v>45977</v>
      </c>
      <c r="H1128" s="2">
        <v>45981</v>
      </c>
      <c r="I1128">
        <v>246.6</v>
      </c>
      <c r="J1128">
        <v>62.43</v>
      </c>
      <c r="K1128">
        <v>56.19</v>
      </c>
      <c r="L1128">
        <v>6.24</v>
      </c>
      <c r="M1128" s="1" t="s">
        <v>21</v>
      </c>
      <c r="N1128" s="1" t="s">
        <v>22</v>
      </c>
      <c r="O1128" s="2">
        <v>46055</v>
      </c>
      <c r="P1128" s="2">
        <v>46055</v>
      </c>
      <c r="Q1128">
        <f>_xlfn.XLOOKUP(E1128,CPT!$A$2:$A$13,CPT!$D$2:$D$13)</f>
        <v>62</v>
      </c>
      <c r="R1128" s="1">
        <f>_xlfn.XLOOKUP(C1128,Contract!$A$2:$A$9,Contract!$B$2:$B$9)</f>
        <v>0.28000000000000003</v>
      </c>
      <c r="S1128" s="1">
        <f t="shared" si="68"/>
        <v>69.44</v>
      </c>
      <c r="T1128" s="1">
        <f t="shared" si="69"/>
        <v>7.009999999999998</v>
      </c>
      <c r="U1128" s="1" t="str">
        <f t="shared" si="70"/>
        <v>Underpaid</v>
      </c>
      <c r="V1128" s="1" t="str">
        <f>_xlfn.XLOOKUP(C1128,Payers!$A$2:$A$9,Payers!$B$2:$B$9)</f>
        <v>Coastal Medicaid MCO</v>
      </c>
      <c r="W1128" s="1" t="str">
        <f t="shared" si="71"/>
        <v>2025-11</v>
      </c>
    </row>
    <row r="1129" spans="1:23">
      <c r="A1129" s="1" t="s">
        <v>2140</v>
      </c>
      <c r="B1129" s="1" t="s">
        <v>2141</v>
      </c>
      <c r="C1129" s="1" t="s">
        <v>18</v>
      </c>
      <c r="D1129" s="1" t="s">
        <v>19</v>
      </c>
      <c r="E1129" s="1" t="s">
        <v>88</v>
      </c>
      <c r="F1129">
        <v>1</v>
      </c>
      <c r="G1129" s="2">
        <v>46017</v>
      </c>
      <c r="H1129" s="2">
        <v>46018</v>
      </c>
      <c r="I1129">
        <v>257.24</v>
      </c>
      <c r="J1129">
        <v>110.91</v>
      </c>
      <c r="K1129">
        <v>99.82</v>
      </c>
      <c r="L1129">
        <v>11.09</v>
      </c>
      <c r="M1129" s="1" t="s">
        <v>21</v>
      </c>
      <c r="N1129" s="1" t="s">
        <v>22</v>
      </c>
      <c r="O1129" s="2">
        <v>46055</v>
      </c>
      <c r="P1129" s="2">
        <v>46055</v>
      </c>
      <c r="Q1129">
        <f>_xlfn.XLOOKUP(E1129,CPT!$A$2:$A$13,CPT!$D$2:$D$13)</f>
        <v>260</v>
      </c>
      <c r="R1129" s="1">
        <f>_xlfn.XLOOKUP(C1129,Contract!$A$2:$A$9,Contract!$B$2:$B$9)</f>
        <v>0.38</v>
      </c>
      <c r="S1129" s="1">
        <f t="shared" si="68"/>
        <v>98.8</v>
      </c>
      <c r="T1129" s="1">
        <f t="shared" si="69"/>
        <v>-12.11</v>
      </c>
      <c r="U1129" s="1" t="str">
        <f t="shared" si="70"/>
        <v>OK</v>
      </c>
      <c r="V1129" s="1" t="str">
        <f>_xlfn.XLOOKUP(C1129,Payers!$A$2:$A$9,Payers!$B$2:$B$9)</f>
        <v>Sunshine Medicare Advantage</v>
      </c>
      <c r="W1129" s="1" t="str">
        <f t="shared" si="71"/>
        <v>2025-12</v>
      </c>
    </row>
    <row r="1130" spans="1:23">
      <c r="A1130" s="1" t="s">
        <v>2142</v>
      </c>
      <c r="B1130" s="1" t="s">
        <v>2143</v>
      </c>
      <c r="C1130" s="1" t="s">
        <v>76</v>
      </c>
      <c r="D1130" s="1" t="s">
        <v>19</v>
      </c>
      <c r="E1130" s="1" t="s">
        <v>57</v>
      </c>
      <c r="F1130">
        <v>1</v>
      </c>
      <c r="G1130" s="2">
        <v>46287</v>
      </c>
      <c r="H1130" s="2">
        <v>46288</v>
      </c>
      <c r="I1130">
        <v>204.66</v>
      </c>
      <c r="M1130" s="1" t="s">
        <v>69</v>
      </c>
      <c r="N1130" s="1" t="s">
        <v>22</v>
      </c>
      <c r="O1130" s="2"/>
      <c r="P1130" s="2"/>
      <c r="Q1130">
        <f>_xlfn.XLOOKUP(E1130,CPT!$A$2:$A$13,CPT!$D$2:$D$13)</f>
        <v>210</v>
      </c>
      <c r="R1130" s="1">
        <f>_xlfn.XLOOKUP(C1130,Contract!$A$2:$A$9,Contract!$B$2:$B$9)</f>
        <v>0.43</v>
      </c>
      <c r="S1130" s="1">
        <f t="shared" si="68"/>
        <v>90.3</v>
      </c>
      <c r="T1130" s="1" t="str">
        <f t="shared" si="69"/>
        <v/>
      </c>
      <c r="U1130" s="1" t="str">
        <f t="shared" si="70"/>
        <v/>
      </c>
      <c r="V1130" s="1" t="str">
        <f>_xlfn.XLOOKUP(C1130,Payers!$A$2:$A$9,Payers!$B$2:$B$9)</f>
        <v>Summit Health Commercial</v>
      </c>
      <c r="W1130" s="1" t="str">
        <f t="shared" si="71"/>
        <v>2026-09</v>
      </c>
    </row>
    <row r="1131" spans="1:23">
      <c r="A1131" s="1" t="s">
        <v>2144</v>
      </c>
      <c r="B1131" s="1" t="s">
        <v>2145</v>
      </c>
      <c r="C1131" s="1" t="s">
        <v>76</v>
      </c>
      <c r="D1131" s="1" t="s">
        <v>37</v>
      </c>
      <c r="E1131" s="1" t="s">
        <v>57</v>
      </c>
      <c r="F1131">
        <v>1</v>
      </c>
      <c r="G1131" s="2">
        <v>45999</v>
      </c>
      <c r="H1131" s="2">
        <v>46000</v>
      </c>
      <c r="I1131">
        <v>215.31</v>
      </c>
      <c r="J1131">
        <v>101.05</v>
      </c>
      <c r="K1131">
        <v>90.94</v>
      </c>
      <c r="L1131">
        <v>10.11</v>
      </c>
      <c r="M1131" s="1" t="s">
        <v>21</v>
      </c>
      <c r="N1131" s="1" t="s">
        <v>22</v>
      </c>
      <c r="O1131" s="2">
        <v>46015</v>
      </c>
      <c r="P1131" s="2">
        <v>46015</v>
      </c>
      <c r="Q1131">
        <f>_xlfn.XLOOKUP(E1131,CPT!$A$2:$A$13,CPT!$D$2:$D$13)</f>
        <v>210</v>
      </c>
      <c r="R1131" s="1">
        <f>_xlfn.XLOOKUP(C1131,Contract!$A$2:$A$9,Contract!$B$2:$B$9)</f>
        <v>0.43</v>
      </c>
      <c r="S1131" s="1">
        <f t="shared" si="68"/>
        <v>90.3</v>
      </c>
      <c r="T1131" s="1">
        <f t="shared" si="69"/>
        <v>-10.75</v>
      </c>
      <c r="U1131" s="1" t="str">
        <f t="shared" si="70"/>
        <v>OK</v>
      </c>
      <c r="V1131" s="1" t="str">
        <f>_xlfn.XLOOKUP(C1131,Payers!$A$2:$A$9,Payers!$B$2:$B$9)</f>
        <v>Summit Health Commercial</v>
      </c>
      <c r="W1131" s="1" t="str">
        <f t="shared" si="71"/>
        <v>2025-12</v>
      </c>
    </row>
    <row r="1132" spans="1:23">
      <c r="A1132" s="1" t="s">
        <v>2146</v>
      </c>
      <c r="B1132" s="1" t="s">
        <v>1287</v>
      </c>
      <c r="C1132" s="1" t="s">
        <v>76</v>
      </c>
      <c r="D1132" s="1" t="s">
        <v>19</v>
      </c>
      <c r="E1132" s="1" t="s">
        <v>20</v>
      </c>
      <c r="F1132">
        <v>1</v>
      </c>
      <c r="G1132" s="2">
        <v>46046</v>
      </c>
      <c r="H1132" s="2">
        <v>46047</v>
      </c>
      <c r="I1132">
        <v>144.5</v>
      </c>
      <c r="J1132">
        <v>64.989999999999995</v>
      </c>
      <c r="K1132">
        <v>64.989999999999995</v>
      </c>
      <c r="L1132">
        <v>0</v>
      </c>
      <c r="M1132" s="1" t="s">
        <v>21</v>
      </c>
      <c r="N1132" s="1" t="s">
        <v>22</v>
      </c>
      <c r="O1132" s="2">
        <v>46077</v>
      </c>
      <c r="P1132" s="2">
        <v>46077</v>
      </c>
      <c r="Q1132">
        <f>_xlfn.XLOOKUP(E1132,CPT!$A$2:$A$13,CPT!$D$2:$D$13)</f>
        <v>145</v>
      </c>
      <c r="R1132" s="1">
        <f>_xlfn.XLOOKUP(C1132,Contract!$A$2:$A$9,Contract!$B$2:$B$9)</f>
        <v>0.43</v>
      </c>
      <c r="S1132" s="1">
        <f t="shared" si="68"/>
        <v>62.35</v>
      </c>
      <c r="T1132" s="1">
        <f t="shared" si="69"/>
        <v>-2.6399999999999935</v>
      </c>
      <c r="U1132" s="1" t="str">
        <f t="shared" si="70"/>
        <v>OK</v>
      </c>
      <c r="V1132" s="1" t="str">
        <f>_xlfn.XLOOKUP(C1132,Payers!$A$2:$A$9,Payers!$B$2:$B$9)</f>
        <v>Summit Health Commercial</v>
      </c>
      <c r="W1132" s="1" t="str">
        <f t="shared" si="71"/>
        <v>2026-01</v>
      </c>
    </row>
    <row r="1133" spans="1:23">
      <c r="A1133" s="1" t="s">
        <v>2147</v>
      </c>
      <c r="B1133" s="1" t="s">
        <v>2148</v>
      </c>
      <c r="C1133" s="1" t="s">
        <v>25</v>
      </c>
      <c r="D1133" s="1" t="s">
        <v>30</v>
      </c>
      <c r="E1133" s="1" t="s">
        <v>91</v>
      </c>
      <c r="F1133">
        <v>1</v>
      </c>
      <c r="G1133" s="2">
        <v>46041</v>
      </c>
      <c r="H1133" s="2">
        <v>46175</v>
      </c>
      <c r="I1133">
        <v>56.3</v>
      </c>
      <c r="M1133" s="1" t="s">
        <v>32</v>
      </c>
      <c r="N1133" s="1" t="s">
        <v>137</v>
      </c>
      <c r="O1133" s="2">
        <v>46199</v>
      </c>
      <c r="P1133" s="2"/>
      <c r="Q1133">
        <f>_xlfn.XLOOKUP(E1133,CPT!$A$2:$A$13,CPT!$D$2:$D$13)</f>
        <v>58</v>
      </c>
      <c r="R1133" s="1">
        <f>_xlfn.XLOOKUP(C1133,Contract!$A$2:$A$9,Contract!$B$2:$B$9)</f>
        <v>0.36</v>
      </c>
      <c r="S1133" s="1">
        <f t="shared" si="68"/>
        <v>20.88</v>
      </c>
      <c r="T1133" s="1" t="str">
        <f t="shared" si="69"/>
        <v/>
      </c>
      <c r="U1133" s="1" t="str">
        <f t="shared" si="70"/>
        <v/>
      </c>
      <c r="V1133" s="1" t="str">
        <f>_xlfn.XLOOKUP(C1133,Payers!$A$2:$A$9,Payers!$B$2:$B$9)</f>
        <v>Medicare Part B</v>
      </c>
      <c r="W1133" s="1" t="str">
        <f t="shared" si="71"/>
        <v>2026-01</v>
      </c>
    </row>
    <row r="1134" spans="1:23">
      <c r="A1134" s="1" t="s">
        <v>2149</v>
      </c>
      <c r="B1134" s="1" t="s">
        <v>2150</v>
      </c>
      <c r="C1134" s="1" t="s">
        <v>76</v>
      </c>
      <c r="D1134" s="1" t="s">
        <v>19</v>
      </c>
      <c r="E1134" s="1" t="s">
        <v>57</v>
      </c>
      <c r="F1134">
        <v>1</v>
      </c>
      <c r="G1134" s="2">
        <v>46196</v>
      </c>
      <c r="H1134" s="2">
        <v>46200</v>
      </c>
      <c r="I1134">
        <v>211.02</v>
      </c>
      <c r="J1134">
        <v>103.66</v>
      </c>
      <c r="K1134">
        <v>93.29</v>
      </c>
      <c r="L1134">
        <v>10.37</v>
      </c>
      <c r="M1134" s="1" t="s">
        <v>21</v>
      </c>
      <c r="N1134" s="1" t="s">
        <v>22</v>
      </c>
      <c r="O1134" s="2">
        <v>46231</v>
      </c>
      <c r="P1134" s="2">
        <v>46231</v>
      </c>
      <c r="Q1134">
        <f>_xlfn.XLOOKUP(E1134,CPT!$A$2:$A$13,CPT!$D$2:$D$13)</f>
        <v>210</v>
      </c>
      <c r="R1134" s="1">
        <f>_xlfn.XLOOKUP(C1134,Contract!$A$2:$A$9,Contract!$B$2:$B$9)</f>
        <v>0.43</v>
      </c>
      <c r="S1134" s="1">
        <f t="shared" si="68"/>
        <v>90.3</v>
      </c>
      <c r="T1134" s="1">
        <f t="shared" si="69"/>
        <v>-13.36</v>
      </c>
      <c r="U1134" s="1" t="str">
        <f t="shared" si="70"/>
        <v>OK</v>
      </c>
      <c r="V1134" s="1" t="str">
        <f>_xlfn.XLOOKUP(C1134,Payers!$A$2:$A$9,Payers!$B$2:$B$9)</f>
        <v>Summit Health Commercial</v>
      </c>
      <c r="W1134" s="1" t="str">
        <f t="shared" si="71"/>
        <v>2026-06</v>
      </c>
    </row>
    <row r="1135" spans="1:23">
      <c r="A1135" s="1" t="s">
        <v>2151</v>
      </c>
      <c r="B1135" s="1" t="s">
        <v>2152</v>
      </c>
      <c r="C1135" s="1" t="s">
        <v>76</v>
      </c>
      <c r="D1135" s="1" t="s">
        <v>30</v>
      </c>
      <c r="E1135" s="1" t="s">
        <v>91</v>
      </c>
      <c r="F1135">
        <v>1</v>
      </c>
      <c r="G1135" s="2">
        <v>46051</v>
      </c>
      <c r="H1135" s="2">
        <v>46052</v>
      </c>
      <c r="I1135">
        <v>58.14</v>
      </c>
      <c r="J1135">
        <v>27.39</v>
      </c>
      <c r="K1135">
        <v>27.39</v>
      </c>
      <c r="L1135">
        <v>0</v>
      </c>
      <c r="M1135" s="1" t="s">
        <v>21</v>
      </c>
      <c r="N1135" s="1" t="s">
        <v>22</v>
      </c>
      <c r="O1135" s="2">
        <v>46068</v>
      </c>
      <c r="P1135" s="2">
        <v>46068</v>
      </c>
      <c r="Q1135">
        <f>_xlfn.XLOOKUP(E1135,CPT!$A$2:$A$13,CPT!$D$2:$D$13)</f>
        <v>58</v>
      </c>
      <c r="R1135" s="1">
        <f>_xlfn.XLOOKUP(C1135,Contract!$A$2:$A$9,Contract!$B$2:$B$9)</f>
        <v>0.43</v>
      </c>
      <c r="S1135" s="1">
        <f t="shared" si="68"/>
        <v>24.94</v>
      </c>
      <c r="T1135" s="1">
        <f t="shared" si="69"/>
        <v>-2.4499999999999993</v>
      </c>
      <c r="U1135" s="1" t="str">
        <f t="shared" si="70"/>
        <v>OK</v>
      </c>
      <c r="V1135" s="1" t="str">
        <f>_xlfn.XLOOKUP(C1135,Payers!$A$2:$A$9,Payers!$B$2:$B$9)</f>
        <v>Summit Health Commercial</v>
      </c>
      <c r="W1135" s="1" t="str">
        <f t="shared" si="71"/>
        <v>2026-01</v>
      </c>
    </row>
    <row r="1136" spans="1:23">
      <c r="A1136" s="1" t="s">
        <v>2153</v>
      </c>
      <c r="B1136" s="1" t="s">
        <v>2154</v>
      </c>
      <c r="C1136" s="1" t="s">
        <v>60</v>
      </c>
      <c r="D1136" s="1" t="s">
        <v>19</v>
      </c>
      <c r="E1136" s="1" t="s">
        <v>57</v>
      </c>
      <c r="F1136">
        <v>1</v>
      </c>
      <c r="G1136" s="2">
        <v>46190</v>
      </c>
      <c r="H1136" s="2">
        <v>46194</v>
      </c>
      <c r="I1136">
        <v>212.63</v>
      </c>
      <c r="M1136" s="1" t="s">
        <v>32</v>
      </c>
      <c r="N1136" s="1" t="s">
        <v>281</v>
      </c>
      <c r="O1136" s="2">
        <v>46214</v>
      </c>
      <c r="P1136" s="2"/>
      <c r="Q1136">
        <f>_xlfn.XLOOKUP(E1136,CPT!$A$2:$A$13,CPT!$D$2:$D$13)</f>
        <v>210</v>
      </c>
      <c r="R1136" s="1">
        <f>_xlfn.XLOOKUP(C1136,Contract!$A$2:$A$9,Contract!$B$2:$B$9)</f>
        <v>0.45</v>
      </c>
      <c r="S1136" s="1">
        <f t="shared" si="68"/>
        <v>94.5</v>
      </c>
      <c r="T1136" s="1" t="str">
        <f t="shared" si="69"/>
        <v/>
      </c>
      <c r="U1136" s="1" t="str">
        <f t="shared" si="70"/>
        <v/>
      </c>
      <c r="V1136" s="1" t="str">
        <f>_xlfn.XLOOKUP(C1136,Payers!$A$2:$A$9,Payers!$B$2:$B$9)</f>
        <v>Blue Horizon Commercial</v>
      </c>
      <c r="W1136" s="1" t="str">
        <f t="shared" si="71"/>
        <v>2026-06</v>
      </c>
    </row>
    <row r="1137" spans="1:23">
      <c r="A1137" s="1" t="s">
        <v>2155</v>
      </c>
      <c r="B1137" s="1" t="s">
        <v>2156</v>
      </c>
      <c r="C1137" s="1" t="s">
        <v>25</v>
      </c>
      <c r="D1137" s="1" t="s">
        <v>26</v>
      </c>
      <c r="E1137" s="1" t="s">
        <v>185</v>
      </c>
      <c r="F1137">
        <v>1</v>
      </c>
      <c r="G1137" s="2">
        <v>45958</v>
      </c>
      <c r="H1137" s="2">
        <v>45961</v>
      </c>
      <c r="I1137">
        <v>1147.26</v>
      </c>
      <c r="J1137">
        <v>357.08</v>
      </c>
      <c r="K1137">
        <v>357.08</v>
      </c>
      <c r="L1137">
        <v>0</v>
      </c>
      <c r="M1137" s="1" t="s">
        <v>21</v>
      </c>
      <c r="N1137" s="1" t="s">
        <v>22</v>
      </c>
      <c r="O1137" s="2">
        <v>45985</v>
      </c>
      <c r="P1137" s="2">
        <v>45985</v>
      </c>
      <c r="Q1137">
        <f>_xlfn.XLOOKUP(E1137,CPT!$A$2:$A$13,CPT!$D$2:$D$13)</f>
        <v>1150</v>
      </c>
      <c r="R1137" s="1">
        <f>_xlfn.XLOOKUP(C1137,Contract!$A$2:$A$9,Contract!$B$2:$B$9)</f>
        <v>0.36</v>
      </c>
      <c r="S1137" s="1">
        <f t="shared" si="68"/>
        <v>414</v>
      </c>
      <c r="T1137" s="1">
        <f t="shared" si="69"/>
        <v>56.920000000000016</v>
      </c>
      <c r="U1137" s="1" t="str">
        <f t="shared" si="70"/>
        <v>Underpaid</v>
      </c>
      <c r="V1137" s="1" t="str">
        <f>_xlfn.XLOOKUP(C1137,Payers!$A$2:$A$9,Payers!$B$2:$B$9)</f>
        <v>Medicare Part B</v>
      </c>
      <c r="W1137" s="1" t="str">
        <f t="shared" si="71"/>
        <v>2025-10</v>
      </c>
    </row>
    <row r="1138" spans="1:23">
      <c r="A1138" s="1" t="s">
        <v>2157</v>
      </c>
      <c r="B1138" s="1" t="s">
        <v>2158</v>
      </c>
      <c r="C1138" s="1" t="s">
        <v>47</v>
      </c>
      <c r="D1138" s="1" t="s">
        <v>19</v>
      </c>
      <c r="E1138" s="1" t="s">
        <v>20</v>
      </c>
      <c r="F1138">
        <v>1</v>
      </c>
      <c r="G1138" s="2">
        <v>46175</v>
      </c>
      <c r="H1138" s="2">
        <v>46176</v>
      </c>
      <c r="I1138">
        <v>148.19999999999999</v>
      </c>
      <c r="J1138">
        <v>35.76</v>
      </c>
      <c r="K1138">
        <v>35.76</v>
      </c>
      <c r="L1138">
        <v>0</v>
      </c>
      <c r="M1138" s="1" t="s">
        <v>21</v>
      </c>
      <c r="N1138" s="1" t="s">
        <v>22</v>
      </c>
      <c r="O1138" s="2">
        <v>46232</v>
      </c>
      <c r="P1138" s="2">
        <v>46232</v>
      </c>
      <c r="Q1138">
        <f>_xlfn.XLOOKUP(E1138,CPT!$A$2:$A$13,CPT!$D$2:$D$13)</f>
        <v>145</v>
      </c>
      <c r="R1138" s="1">
        <f>_xlfn.XLOOKUP(C1138,Contract!$A$2:$A$9,Contract!$B$2:$B$9)</f>
        <v>0.28000000000000003</v>
      </c>
      <c r="S1138" s="1">
        <f t="shared" si="68"/>
        <v>40.6</v>
      </c>
      <c r="T1138" s="1">
        <f t="shared" si="69"/>
        <v>4.8400000000000034</v>
      </c>
      <c r="U1138" s="1" t="str">
        <f t="shared" si="70"/>
        <v>Underpaid</v>
      </c>
      <c r="V1138" s="1" t="str">
        <f>_xlfn.XLOOKUP(C1138,Payers!$A$2:$A$9,Payers!$B$2:$B$9)</f>
        <v>Coastal Medicaid MCO</v>
      </c>
      <c r="W1138" s="1" t="str">
        <f t="shared" si="71"/>
        <v>2026-06</v>
      </c>
    </row>
    <row r="1139" spans="1:23">
      <c r="A1139" s="1" t="s">
        <v>2159</v>
      </c>
      <c r="B1139" s="1" t="s">
        <v>2160</v>
      </c>
      <c r="C1139" s="1" t="s">
        <v>18</v>
      </c>
      <c r="D1139" s="1" t="s">
        <v>19</v>
      </c>
      <c r="E1139" s="1" t="s">
        <v>41</v>
      </c>
      <c r="F1139">
        <v>1</v>
      </c>
      <c r="G1139" s="2">
        <v>45999</v>
      </c>
      <c r="H1139" s="2">
        <v>46000</v>
      </c>
      <c r="I1139">
        <v>39.11</v>
      </c>
      <c r="J1139">
        <v>15.14</v>
      </c>
      <c r="K1139">
        <v>13.63</v>
      </c>
      <c r="L1139">
        <v>1.51</v>
      </c>
      <c r="M1139" s="1" t="s">
        <v>21</v>
      </c>
      <c r="N1139" s="1" t="s">
        <v>22</v>
      </c>
      <c r="O1139" s="2">
        <v>46032</v>
      </c>
      <c r="P1139" s="2">
        <v>46032</v>
      </c>
      <c r="Q1139">
        <f>_xlfn.XLOOKUP(E1139,CPT!$A$2:$A$13,CPT!$D$2:$D$13)</f>
        <v>38</v>
      </c>
      <c r="R1139" s="1">
        <f>_xlfn.XLOOKUP(C1139,Contract!$A$2:$A$9,Contract!$B$2:$B$9)</f>
        <v>0.38</v>
      </c>
      <c r="S1139" s="1">
        <f t="shared" si="68"/>
        <v>14.44</v>
      </c>
      <c r="T1139" s="1">
        <f t="shared" si="69"/>
        <v>-0.70000000000000107</v>
      </c>
      <c r="U1139" s="1" t="str">
        <f t="shared" si="70"/>
        <v>OK</v>
      </c>
      <c r="V1139" s="1" t="str">
        <f>_xlfn.XLOOKUP(C1139,Payers!$A$2:$A$9,Payers!$B$2:$B$9)</f>
        <v>Sunshine Medicare Advantage</v>
      </c>
      <c r="W1139" s="1" t="str">
        <f t="shared" si="71"/>
        <v>2025-12</v>
      </c>
    </row>
    <row r="1140" spans="1:23">
      <c r="A1140" s="1" t="s">
        <v>2161</v>
      </c>
      <c r="B1140" s="1" t="s">
        <v>2162</v>
      </c>
      <c r="C1140" s="1" t="s">
        <v>47</v>
      </c>
      <c r="D1140" s="1" t="s">
        <v>26</v>
      </c>
      <c r="E1140" s="1" t="s">
        <v>44</v>
      </c>
      <c r="F1140">
        <v>1</v>
      </c>
      <c r="G1140" s="2">
        <v>46139</v>
      </c>
      <c r="H1140" s="2">
        <v>46143</v>
      </c>
      <c r="I1140">
        <v>4697.54</v>
      </c>
      <c r="J1140">
        <v>1234.96</v>
      </c>
      <c r="K1140">
        <v>1111.46</v>
      </c>
      <c r="L1140">
        <v>123.5</v>
      </c>
      <c r="M1140" s="1" t="s">
        <v>21</v>
      </c>
      <c r="N1140" s="1" t="s">
        <v>22</v>
      </c>
      <c r="O1140" s="2">
        <v>46229</v>
      </c>
      <c r="P1140" s="2">
        <v>46229</v>
      </c>
      <c r="Q1140">
        <f>_xlfn.XLOOKUP(E1140,CPT!$A$2:$A$13,CPT!$D$2:$D$13)</f>
        <v>4800</v>
      </c>
      <c r="R1140" s="1">
        <f>_xlfn.XLOOKUP(C1140,Contract!$A$2:$A$9,Contract!$B$2:$B$9)</f>
        <v>0.28000000000000003</v>
      </c>
      <c r="S1140" s="1">
        <f t="shared" si="68"/>
        <v>1344</v>
      </c>
      <c r="T1140" s="1">
        <f t="shared" si="69"/>
        <v>109.03999999999996</v>
      </c>
      <c r="U1140" s="1" t="str">
        <f t="shared" si="70"/>
        <v>Underpaid</v>
      </c>
      <c r="V1140" s="1" t="str">
        <f>_xlfn.XLOOKUP(C1140,Payers!$A$2:$A$9,Payers!$B$2:$B$9)</f>
        <v>Coastal Medicaid MCO</v>
      </c>
      <c r="W1140" s="1" t="str">
        <f t="shared" si="71"/>
        <v>2026-04</v>
      </c>
    </row>
    <row r="1141" spans="1:23">
      <c r="A1141" s="1" t="s">
        <v>2163</v>
      </c>
      <c r="B1141" s="1" t="s">
        <v>2164</v>
      </c>
      <c r="C1141" s="1" t="s">
        <v>25</v>
      </c>
      <c r="D1141" s="1" t="s">
        <v>26</v>
      </c>
      <c r="E1141" s="1" t="s">
        <v>88</v>
      </c>
      <c r="F1141">
        <v>1</v>
      </c>
      <c r="G1141" s="2">
        <v>46202</v>
      </c>
      <c r="H1141" s="2">
        <v>46203</v>
      </c>
      <c r="I1141">
        <v>258.64999999999998</v>
      </c>
      <c r="J1141">
        <v>107.01</v>
      </c>
      <c r="K1141">
        <v>107.01</v>
      </c>
      <c r="L1141">
        <v>0</v>
      </c>
      <c r="M1141" s="1" t="s">
        <v>21</v>
      </c>
      <c r="N1141" s="1" t="s">
        <v>22</v>
      </c>
      <c r="O1141" s="2">
        <v>46221</v>
      </c>
      <c r="P1141" s="2">
        <v>46221</v>
      </c>
      <c r="Q1141">
        <f>_xlfn.XLOOKUP(E1141,CPT!$A$2:$A$13,CPT!$D$2:$D$13)</f>
        <v>260</v>
      </c>
      <c r="R1141" s="1">
        <f>_xlfn.XLOOKUP(C1141,Contract!$A$2:$A$9,Contract!$B$2:$B$9)</f>
        <v>0.36</v>
      </c>
      <c r="S1141" s="1">
        <f t="shared" si="68"/>
        <v>93.6</v>
      </c>
      <c r="T1141" s="1">
        <f t="shared" si="69"/>
        <v>-13.410000000000011</v>
      </c>
      <c r="U1141" s="1" t="str">
        <f t="shared" si="70"/>
        <v>OK</v>
      </c>
      <c r="V1141" s="1" t="str">
        <f>_xlfn.XLOOKUP(C1141,Payers!$A$2:$A$9,Payers!$B$2:$B$9)</f>
        <v>Medicare Part B</v>
      </c>
      <c r="W1141" s="1" t="str">
        <f t="shared" si="71"/>
        <v>2026-06</v>
      </c>
    </row>
    <row r="1142" spans="1:23">
      <c r="A1142" s="1" t="s">
        <v>2165</v>
      </c>
      <c r="B1142" s="1" t="s">
        <v>2166</v>
      </c>
      <c r="C1142" s="1" t="s">
        <v>47</v>
      </c>
      <c r="D1142" s="1" t="s">
        <v>26</v>
      </c>
      <c r="E1142" s="1" t="s">
        <v>41</v>
      </c>
      <c r="F1142">
        <v>1</v>
      </c>
      <c r="G1142" s="2">
        <v>45992</v>
      </c>
      <c r="H1142" s="2">
        <v>45993</v>
      </c>
      <c r="I1142">
        <v>37.619999999999997</v>
      </c>
      <c r="J1142">
        <v>11.15</v>
      </c>
      <c r="K1142">
        <v>8.92</v>
      </c>
      <c r="L1142">
        <v>2.23</v>
      </c>
      <c r="M1142" s="1" t="s">
        <v>21</v>
      </c>
      <c r="N1142" s="1" t="s">
        <v>22</v>
      </c>
      <c r="O1142" s="2">
        <v>46040</v>
      </c>
      <c r="P1142" s="2">
        <v>46040</v>
      </c>
      <c r="Q1142">
        <f>_xlfn.XLOOKUP(E1142,CPT!$A$2:$A$13,CPT!$D$2:$D$13)</f>
        <v>38</v>
      </c>
      <c r="R1142" s="1">
        <f>_xlfn.XLOOKUP(C1142,Contract!$A$2:$A$9,Contract!$B$2:$B$9)</f>
        <v>0.28000000000000003</v>
      </c>
      <c r="S1142" s="1">
        <f t="shared" si="68"/>
        <v>10.64</v>
      </c>
      <c r="T1142" s="1">
        <f t="shared" si="69"/>
        <v>-0.50999999999999979</v>
      </c>
      <c r="U1142" s="1" t="str">
        <f t="shared" si="70"/>
        <v>OK</v>
      </c>
      <c r="V1142" s="1" t="str">
        <f>_xlfn.XLOOKUP(C1142,Payers!$A$2:$A$9,Payers!$B$2:$B$9)</f>
        <v>Coastal Medicaid MCO</v>
      </c>
      <c r="W1142" s="1" t="str">
        <f t="shared" si="71"/>
        <v>2025-12</v>
      </c>
    </row>
    <row r="1143" spans="1:23">
      <c r="A1143" s="1" t="s">
        <v>2167</v>
      </c>
      <c r="B1143" s="1" t="s">
        <v>2168</v>
      </c>
      <c r="C1143" s="1" t="s">
        <v>60</v>
      </c>
      <c r="D1143" s="1" t="s">
        <v>19</v>
      </c>
      <c r="E1143" s="1" t="s">
        <v>88</v>
      </c>
      <c r="F1143">
        <v>1</v>
      </c>
      <c r="G1143" s="2">
        <v>46090</v>
      </c>
      <c r="H1143" s="2">
        <v>46095</v>
      </c>
      <c r="I1143">
        <v>257.74</v>
      </c>
      <c r="J1143">
        <v>115.97</v>
      </c>
      <c r="K1143">
        <v>115.97</v>
      </c>
      <c r="L1143">
        <v>0</v>
      </c>
      <c r="M1143" s="1" t="s">
        <v>21</v>
      </c>
      <c r="N1143" s="1" t="s">
        <v>22</v>
      </c>
      <c r="O1143" s="2">
        <v>46109</v>
      </c>
      <c r="P1143" s="2">
        <v>46109</v>
      </c>
      <c r="Q1143">
        <f>_xlfn.XLOOKUP(E1143,CPT!$A$2:$A$13,CPT!$D$2:$D$13)</f>
        <v>260</v>
      </c>
      <c r="R1143" s="1">
        <f>_xlfn.XLOOKUP(C1143,Contract!$A$2:$A$9,Contract!$B$2:$B$9)</f>
        <v>0.45</v>
      </c>
      <c r="S1143" s="1">
        <f t="shared" si="68"/>
        <v>117</v>
      </c>
      <c r="T1143" s="1">
        <f t="shared" si="69"/>
        <v>1.0300000000000011</v>
      </c>
      <c r="U1143" s="1" t="str">
        <f t="shared" si="70"/>
        <v>OK</v>
      </c>
      <c r="V1143" s="1" t="str">
        <f>_xlfn.XLOOKUP(C1143,Payers!$A$2:$A$9,Payers!$B$2:$B$9)</f>
        <v>Blue Horizon Commercial</v>
      </c>
      <c r="W1143" s="1" t="str">
        <f t="shared" si="71"/>
        <v>2026-03</v>
      </c>
    </row>
    <row r="1144" spans="1:23">
      <c r="A1144" s="1" t="s">
        <v>2169</v>
      </c>
      <c r="B1144" s="1" t="s">
        <v>2170</v>
      </c>
      <c r="C1144" s="1" t="s">
        <v>76</v>
      </c>
      <c r="D1144" s="1" t="s">
        <v>19</v>
      </c>
      <c r="E1144" s="1" t="s">
        <v>57</v>
      </c>
      <c r="F1144">
        <v>1</v>
      </c>
      <c r="G1144" s="2">
        <v>46262</v>
      </c>
      <c r="H1144" s="2">
        <v>46264</v>
      </c>
      <c r="I1144">
        <v>211.68</v>
      </c>
      <c r="M1144" s="1" t="s">
        <v>69</v>
      </c>
      <c r="N1144" s="1" t="s">
        <v>22</v>
      </c>
      <c r="O1144" s="2"/>
      <c r="P1144" s="2"/>
      <c r="Q1144">
        <f>_xlfn.XLOOKUP(E1144,CPT!$A$2:$A$13,CPT!$D$2:$D$13)</f>
        <v>210</v>
      </c>
      <c r="R1144" s="1">
        <f>_xlfn.XLOOKUP(C1144,Contract!$A$2:$A$9,Contract!$B$2:$B$9)</f>
        <v>0.43</v>
      </c>
      <c r="S1144" s="1">
        <f t="shared" si="68"/>
        <v>90.3</v>
      </c>
      <c r="T1144" s="1" t="str">
        <f t="shared" si="69"/>
        <v/>
      </c>
      <c r="U1144" s="1" t="str">
        <f t="shared" si="70"/>
        <v/>
      </c>
      <c r="V1144" s="1" t="str">
        <f>_xlfn.XLOOKUP(C1144,Payers!$A$2:$A$9,Payers!$B$2:$B$9)</f>
        <v>Summit Health Commercial</v>
      </c>
      <c r="W1144" s="1" t="str">
        <f t="shared" si="71"/>
        <v>2026-08</v>
      </c>
    </row>
    <row r="1145" spans="1:23">
      <c r="A1145" s="1" t="s">
        <v>2171</v>
      </c>
      <c r="B1145" s="1" t="s">
        <v>2172</v>
      </c>
      <c r="C1145" s="1" t="s">
        <v>60</v>
      </c>
      <c r="D1145" s="1" t="s">
        <v>26</v>
      </c>
      <c r="E1145" s="1" t="s">
        <v>185</v>
      </c>
      <c r="F1145">
        <v>1</v>
      </c>
      <c r="G1145" s="2">
        <v>45931</v>
      </c>
      <c r="H1145" s="2">
        <v>45935</v>
      </c>
      <c r="I1145">
        <v>1181.99</v>
      </c>
      <c r="M1145" s="1" t="s">
        <v>32</v>
      </c>
      <c r="N1145" s="1" t="s">
        <v>49</v>
      </c>
      <c r="O1145" s="2">
        <v>45964</v>
      </c>
      <c r="P1145" s="2"/>
      <c r="Q1145">
        <f>_xlfn.XLOOKUP(E1145,CPT!$A$2:$A$13,CPT!$D$2:$D$13)</f>
        <v>1150</v>
      </c>
      <c r="R1145" s="1">
        <f>_xlfn.XLOOKUP(C1145,Contract!$A$2:$A$9,Contract!$B$2:$B$9)</f>
        <v>0.45</v>
      </c>
      <c r="S1145" s="1">
        <f t="shared" si="68"/>
        <v>517.5</v>
      </c>
      <c r="T1145" s="1" t="str">
        <f t="shared" si="69"/>
        <v/>
      </c>
      <c r="U1145" s="1" t="str">
        <f t="shared" si="70"/>
        <v/>
      </c>
      <c r="V1145" s="1" t="str">
        <f>_xlfn.XLOOKUP(C1145,Payers!$A$2:$A$9,Payers!$B$2:$B$9)</f>
        <v>Blue Horizon Commercial</v>
      </c>
      <c r="W1145" s="1" t="str">
        <f t="shared" si="71"/>
        <v>2025-10</v>
      </c>
    </row>
    <row r="1146" spans="1:23">
      <c r="A1146" s="1" t="s">
        <v>2173</v>
      </c>
      <c r="B1146" s="1" t="s">
        <v>2174</v>
      </c>
      <c r="C1146" s="1" t="s">
        <v>60</v>
      </c>
      <c r="D1146" s="1" t="s">
        <v>30</v>
      </c>
      <c r="E1146" s="1" t="s">
        <v>31</v>
      </c>
      <c r="F1146">
        <v>2</v>
      </c>
      <c r="G1146" s="2">
        <v>46248</v>
      </c>
      <c r="H1146" s="2">
        <v>46249</v>
      </c>
      <c r="I1146">
        <v>121.63</v>
      </c>
      <c r="J1146">
        <v>61.76</v>
      </c>
      <c r="K1146">
        <v>49.41</v>
      </c>
      <c r="L1146">
        <v>12.35</v>
      </c>
      <c r="M1146" s="1" t="s">
        <v>21</v>
      </c>
      <c r="N1146" s="1" t="s">
        <v>22</v>
      </c>
      <c r="O1146" s="2">
        <v>46268</v>
      </c>
      <c r="P1146" s="2">
        <v>46268</v>
      </c>
      <c r="Q1146">
        <f>_xlfn.XLOOKUP(E1146,CPT!$A$2:$A$13,CPT!$D$2:$D$13)</f>
        <v>62</v>
      </c>
      <c r="R1146" s="1">
        <f>_xlfn.XLOOKUP(C1146,Contract!$A$2:$A$9,Contract!$B$2:$B$9)</f>
        <v>0.45</v>
      </c>
      <c r="S1146" s="1">
        <f t="shared" si="68"/>
        <v>55.8</v>
      </c>
      <c r="T1146" s="1">
        <f t="shared" si="69"/>
        <v>-5.9600000000000009</v>
      </c>
      <c r="U1146" s="1" t="str">
        <f t="shared" si="70"/>
        <v>OK</v>
      </c>
      <c r="V1146" s="1" t="str">
        <f>_xlfn.XLOOKUP(C1146,Payers!$A$2:$A$9,Payers!$B$2:$B$9)</f>
        <v>Blue Horizon Commercial</v>
      </c>
      <c r="W1146" s="1" t="str">
        <f t="shared" si="71"/>
        <v>2026-08</v>
      </c>
    </row>
    <row r="1147" spans="1:23">
      <c r="A1147" s="1" t="s">
        <v>2175</v>
      </c>
      <c r="B1147" s="1" t="s">
        <v>2176</v>
      </c>
      <c r="C1147" s="1" t="s">
        <v>52</v>
      </c>
      <c r="D1147" s="1" t="s">
        <v>30</v>
      </c>
      <c r="E1147" s="1" t="s">
        <v>31</v>
      </c>
      <c r="F1147">
        <v>1</v>
      </c>
      <c r="G1147" s="2">
        <v>46158</v>
      </c>
      <c r="H1147" s="2">
        <v>46169</v>
      </c>
      <c r="I1147">
        <v>62.45</v>
      </c>
      <c r="J1147">
        <v>26.02</v>
      </c>
      <c r="K1147">
        <v>23.42</v>
      </c>
      <c r="L1147">
        <v>2.6</v>
      </c>
      <c r="M1147" s="1" t="s">
        <v>21</v>
      </c>
      <c r="N1147" s="1" t="s">
        <v>22</v>
      </c>
      <c r="O1147" s="2">
        <v>46203</v>
      </c>
      <c r="P1147" s="2">
        <v>46203</v>
      </c>
      <c r="Q1147">
        <f>_xlfn.XLOOKUP(E1147,CPT!$A$2:$A$13,CPT!$D$2:$D$13)</f>
        <v>62</v>
      </c>
      <c r="R1147" s="1">
        <f>_xlfn.XLOOKUP(C1147,Contract!$A$2:$A$9,Contract!$B$2:$B$9)</f>
        <v>0.47</v>
      </c>
      <c r="S1147" s="1">
        <f t="shared" si="68"/>
        <v>29.14</v>
      </c>
      <c r="T1147" s="1">
        <f t="shared" si="69"/>
        <v>3.120000000000001</v>
      </c>
      <c r="U1147" s="1" t="str">
        <f t="shared" si="70"/>
        <v>Underpaid</v>
      </c>
      <c r="V1147" s="1" t="str">
        <f>_xlfn.XLOOKUP(C1147,Payers!$A$2:$A$9,Payers!$B$2:$B$9)</f>
        <v>Keystone Commercial PPO</v>
      </c>
      <c r="W1147" s="1" t="str">
        <f t="shared" si="71"/>
        <v>2026-05</v>
      </c>
    </row>
    <row r="1148" spans="1:23">
      <c r="A1148" s="1" t="s">
        <v>2177</v>
      </c>
      <c r="B1148" s="1" t="s">
        <v>1196</v>
      </c>
      <c r="C1148" s="1" t="s">
        <v>60</v>
      </c>
      <c r="D1148" s="1" t="s">
        <v>26</v>
      </c>
      <c r="E1148" s="1" t="s">
        <v>41</v>
      </c>
      <c r="F1148">
        <v>1</v>
      </c>
      <c r="G1148" s="2">
        <v>46196</v>
      </c>
      <c r="H1148" s="2">
        <v>46197</v>
      </c>
      <c r="I1148">
        <v>37.24</v>
      </c>
      <c r="J1148">
        <v>14.96</v>
      </c>
      <c r="K1148">
        <v>11.97</v>
      </c>
      <c r="L1148">
        <v>2.99</v>
      </c>
      <c r="M1148" s="1" t="s">
        <v>21</v>
      </c>
      <c r="N1148" s="1" t="s">
        <v>22</v>
      </c>
      <c r="O1148" s="2">
        <v>46219</v>
      </c>
      <c r="P1148" s="2">
        <v>46219</v>
      </c>
      <c r="Q1148">
        <f>_xlfn.XLOOKUP(E1148,CPT!$A$2:$A$13,CPT!$D$2:$D$13)</f>
        <v>38</v>
      </c>
      <c r="R1148" s="1">
        <f>_xlfn.XLOOKUP(C1148,Contract!$A$2:$A$9,Contract!$B$2:$B$9)</f>
        <v>0.45</v>
      </c>
      <c r="S1148" s="1">
        <f t="shared" si="68"/>
        <v>17.100000000000001</v>
      </c>
      <c r="T1148" s="1">
        <f t="shared" si="69"/>
        <v>2.1400000000000006</v>
      </c>
      <c r="U1148" s="1" t="str">
        <f t="shared" si="70"/>
        <v>Underpaid</v>
      </c>
      <c r="V1148" s="1" t="str">
        <f>_xlfn.XLOOKUP(C1148,Payers!$A$2:$A$9,Payers!$B$2:$B$9)</f>
        <v>Blue Horizon Commercial</v>
      </c>
      <c r="W1148" s="1" t="str">
        <f t="shared" si="71"/>
        <v>2026-06</v>
      </c>
    </row>
    <row r="1149" spans="1:23">
      <c r="A1149" s="1" t="s">
        <v>2178</v>
      </c>
      <c r="B1149" s="1" t="s">
        <v>2179</v>
      </c>
      <c r="C1149" s="1" t="s">
        <v>36</v>
      </c>
      <c r="D1149" s="1" t="s">
        <v>19</v>
      </c>
      <c r="E1149" s="1" t="s">
        <v>41</v>
      </c>
      <c r="F1149">
        <v>1</v>
      </c>
      <c r="G1149" s="2">
        <v>45990</v>
      </c>
      <c r="H1149" s="2">
        <v>45991</v>
      </c>
      <c r="I1149">
        <v>38.380000000000003</v>
      </c>
      <c r="J1149">
        <v>9.2100000000000009</v>
      </c>
      <c r="K1149">
        <v>7.37</v>
      </c>
      <c r="L1149">
        <v>1.84</v>
      </c>
      <c r="M1149" s="1" t="s">
        <v>21</v>
      </c>
      <c r="N1149" s="1" t="s">
        <v>22</v>
      </c>
      <c r="O1149" s="2">
        <v>46023</v>
      </c>
      <c r="P1149" s="2">
        <v>46023</v>
      </c>
      <c r="Q1149">
        <f>_xlfn.XLOOKUP(E1149,CPT!$A$2:$A$13,CPT!$D$2:$D$13)</f>
        <v>38</v>
      </c>
      <c r="R1149" s="1">
        <f>_xlfn.XLOOKUP(C1149,Contract!$A$2:$A$9,Contract!$B$2:$B$9)</f>
        <v>0.27</v>
      </c>
      <c r="S1149" s="1">
        <f t="shared" si="68"/>
        <v>10.26</v>
      </c>
      <c r="T1149" s="1">
        <f t="shared" si="69"/>
        <v>1.0499999999999989</v>
      </c>
      <c r="U1149" s="1" t="str">
        <f t="shared" si="70"/>
        <v>Underpaid</v>
      </c>
      <c r="V1149" s="1" t="str">
        <f>_xlfn.XLOOKUP(C1149,Payers!$A$2:$A$9,Payers!$B$2:$B$9)</f>
        <v>Florida Medicaid</v>
      </c>
      <c r="W1149" s="1" t="str">
        <f t="shared" si="71"/>
        <v>2025-11</v>
      </c>
    </row>
    <row r="1150" spans="1:23">
      <c r="A1150" s="1" t="s">
        <v>2180</v>
      </c>
      <c r="B1150" s="1" t="s">
        <v>2181</v>
      </c>
      <c r="C1150" s="1" t="s">
        <v>76</v>
      </c>
      <c r="D1150" s="1" t="s">
        <v>37</v>
      </c>
      <c r="E1150" s="1" t="s">
        <v>38</v>
      </c>
      <c r="F1150">
        <v>5</v>
      </c>
      <c r="G1150" s="2">
        <v>46176</v>
      </c>
      <c r="H1150" s="2">
        <v>46177</v>
      </c>
      <c r="I1150">
        <v>7401.28</v>
      </c>
      <c r="J1150">
        <v>3569.48</v>
      </c>
      <c r="K1150">
        <v>2855.58</v>
      </c>
      <c r="L1150">
        <v>713.9</v>
      </c>
      <c r="M1150" s="1" t="s">
        <v>21</v>
      </c>
      <c r="N1150" s="1" t="s">
        <v>22</v>
      </c>
      <c r="O1150" s="2">
        <v>46195</v>
      </c>
      <c r="P1150" s="2">
        <v>46195</v>
      </c>
      <c r="Q1150">
        <f>_xlfn.XLOOKUP(E1150,CPT!$A$2:$A$13,CPT!$D$2:$D$13)</f>
        <v>1450</v>
      </c>
      <c r="R1150" s="1">
        <f>_xlfn.XLOOKUP(C1150,Contract!$A$2:$A$9,Contract!$B$2:$B$9)</f>
        <v>0.43</v>
      </c>
      <c r="S1150" s="1">
        <f t="shared" si="68"/>
        <v>3117.5</v>
      </c>
      <c r="T1150" s="1">
        <f t="shared" si="69"/>
        <v>-451.98</v>
      </c>
      <c r="U1150" s="1" t="str">
        <f t="shared" si="70"/>
        <v>OK</v>
      </c>
      <c r="V1150" s="1" t="str">
        <f>_xlfn.XLOOKUP(C1150,Payers!$A$2:$A$9,Payers!$B$2:$B$9)</f>
        <v>Summit Health Commercial</v>
      </c>
      <c r="W1150" s="1" t="str">
        <f t="shared" si="71"/>
        <v>2026-06</v>
      </c>
    </row>
    <row r="1151" spans="1:23">
      <c r="A1151" s="1" t="s">
        <v>2182</v>
      </c>
      <c r="B1151" s="1" t="s">
        <v>449</v>
      </c>
      <c r="C1151" s="1" t="s">
        <v>76</v>
      </c>
      <c r="D1151" s="1" t="s">
        <v>19</v>
      </c>
      <c r="E1151" s="1" t="s">
        <v>57</v>
      </c>
      <c r="F1151">
        <v>1</v>
      </c>
      <c r="G1151" s="2">
        <v>46000</v>
      </c>
      <c r="H1151" s="2">
        <v>46001</v>
      </c>
      <c r="I1151">
        <v>209.34</v>
      </c>
      <c r="J1151">
        <v>87.44</v>
      </c>
      <c r="K1151">
        <v>69.95</v>
      </c>
      <c r="L1151">
        <v>17.489999999999998</v>
      </c>
      <c r="M1151" s="1" t="s">
        <v>21</v>
      </c>
      <c r="N1151" s="1" t="s">
        <v>22</v>
      </c>
      <c r="O1151" s="2">
        <v>46027</v>
      </c>
      <c r="P1151" s="2">
        <v>46027</v>
      </c>
      <c r="Q1151">
        <f>_xlfn.XLOOKUP(E1151,CPT!$A$2:$A$13,CPT!$D$2:$D$13)</f>
        <v>210</v>
      </c>
      <c r="R1151" s="1">
        <f>_xlfn.XLOOKUP(C1151,Contract!$A$2:$A$9,Contract!$B$2:$B$9)</f>
        <v>0.43</v>
      </c>
      <c r="S1151" s="1">
        <f t="shared" si="68"/>
        <v>90.3</v>
      </c>
      <c r="T1151" s="1">
        <f t="shared" si="69"/>
        <v>2.8599999999999994</v>
      </c>
      <c r="U1151" s="1" t="str">
        <f t="shared" si="70"/>
        <v>OK</v>
      </c>
      <c r="V1151" s="1" t="str">
        <f>_xlfn.XLOOKUP(C1151,Payers!$A$2:$A$9,Payers!$B$2:$B$9)</f>
        <v>Summit Health Commercial</v>
      </c>
      <c r="W1151" s="1" t="str">
        <f t="shared" si="71"/>
        <v>2025-12</v>
      </c>
    </row>
    <row r="1152" spans="1:23">
      <c r="A1152" s="1" t="s">
        <v>2183</v>
      </c>
      <c r="B1152" s="1" t="s">
        <v>2184</v>
      </c>
      <c r="C1152" s="1" t="s">
        <v>52</v>
      </c>
      <c r="D1152" s="1" t="s">
        <v>26</v>
      </c>
      <c r="E1152" s="1" t="s">
        <v>88</v>
      </c>
      <c r="F1152">
        <v>1</v>
      </c>
      <c r="G1152" s="2">
        <v>46095</v>
      </c>
      <c r="H1152" s="2">
        <v>46099</v>
      </c>
      <c r="I1152">
        <v>260.95999999999998</v>
      </c>
      <c r="J1152">
        <v>142.19</v>
      </c>
      <c r="K1152">
        <v>142.19</v>
      </c>
      <c r="L1152">
        <v>0</v>
      </c>
      <c r="M1152" s="1" t="s">
        <v>21</v>
      </c>
      <c r="N1152" s="1" t="s">
        <v>22</v>
      </c>
      <c r="O1152" s="2">
        <v>46147</v>
      </c>
      <c r="P1152" s="2">
        <v>46147</v>
      </c>
      <c r="Q1152">
        <f>_xlfn.XLOOKUP(E1152,CPT!$A$2:$A$13,CPT!$D$2:$D$13)</f>
        <v>260</v>
      </c>
      <c r="R1152" s="1">
        <f>_xlfn.XLOOKUP(C1152,Contract!$A$2:$A$9,Contract!$B$2:$B$9)</f>
        <v>0.47</v>
      </c>
      <c r="S1152" s="1">
        <f t="shared" si="68"/>
        <v>122.2</v>
      </c>
      <c r="T1152" s="1">
        <f t="shared" si="69"/>
        <v>-19.989999999999995</v>
      </c>
      <c r="U1152" s="1" t="str">
        <f t="shared" si="70"/>
        <v>OK</v>
      </c>
      <c r="V1152" s="1" t="str">
        <f>_xlfn.XLOOKUP(C1152,Payers!$A$2:$A$9,Payers!$B$2:$B$9)</f>
        <v>Keystone Commercial PPO</v>
      </c>
      <c r="W1152" s="1" t="str">
        <f t="shared" si="71"/>
        <v>2026-03</v>
      </c>
    </row>
    <row r="1153" spans="1:23">
      <c r="A1153" s="1" t="s">
        <v>2185</v>
      </c>
      <c r="B1153" s="1" t="s">
        <v>2186</v>
      </c>
      <c r="C1153" s="1" t="s">
        <v>47</v>
      </c>
      <c r="D1153" s="1" t="s">
        <v>30</v>
      </c>
      <c r="E1153" s="1" t="s">
        <v>31</v>
      </c>
      <c r="F1153">
        <v>3</v>
      </c>
      <c r="G1153" s="2">
        <v>46088</v>
      </c>
      <c r="H1153" s="2">
        <v>46092</v>
      </c>
      <c r="I1153">
        <v>188.77</v>
      </c>
      <c r="M1153" s="1" t="s">
        <v>32</v>
      </c>
      <c r="N1153" s="1" t="s">
        <v>33</v>
      </c>
      <c r="O1153" s="2">
        <v>46121</v>
      </c>
      <c r="P1153" s="2"/>
      <c r="Q1153">
        <f>_xlfn.XLOOKUP(E1153,CPT!$A$2:$A$13,CPT!$D$2:$D$13)</f>
        <v>62</v>
      </c>
      <c r="R1153" s="1">
        <f>_xlfn.XLOOKUP(C1153,Contract!$A$2:$A$9,Contract!$B$2:$B$9)</f>
        <v>0.28000000000000003</v>
      </c>
      <c r="S1153" s="1">
        <f t="shared" si="68"/>
        <v>52.08</v>
      </c>
      <c r="T1153" s="1" t="str">
        <f t="shared" si="69"/>
        <v/>
      </c>
      <c r="U1153" s="1" t="str">
        <f t="shared" si="70"/>
        <v/>
      </c>
      <c r="V1153" s="1" t="str">
        <f>_xlfn.XLOOKUP(C1153,Payers!$A$2:$A$9,Payers!$B$2:$B$9)</f>
        <v>Coastal Medicaid MCO</v>
      </c>
      <c r="W1153" s="1" t="str">
        <f t="shared" si="71"/>
        <v>2026-03</v>
      </c>
    </row>
    <row r="1154" spans="1:23">
      <c r="A1154" s="1" t="s">
        <v>2187</v>
      </c>
      <c r="B1154" s="1" t="s">
        <v>2188</v>
      </c>
      <c r="C1154" s="1" t="s">
        <v>52</v>
      </c>
      <c r="D1154" s="1" t="s">
        <v>30</v>
      </c>
      <c r="E1154" s="1" t="s">
        <v>20</v>
      </c>
      <c r="F1154">
        <v>1</v>
      </c>
      <c r="G1154" s="2">
        <v>46022</v>
      </c>
      <c r="H1154" s="2">
        <v>46130</v>
      </c>
      <c r="I1154">
        <v>145.08000000000001</v>
      </c>
      <c r="M1154" s="1" t="s">
        <v>32</v>
      </c>
      <c r="N1154" s="1" t="s">
        <v>137</v>
      </c>
      <c r="O1154" s="2">
        <v>46191</v>
      </c>
      <c r="P1154" s="2"/>
      <c r="Q1154">
        <f>_xlfn.XLOOKUP(E1154,CPT!$A$2:$A$13,CPT!$D$2:$D$13)</f>
        <v>145</v>
      </c>
      <c r="R1154" s="1">
        <f>_xlfn.XLOOKUP(C1154,Contract!$A$2:$A$9,Contract!$B$2:$B$9)</f>
        <v>0.47</v>
      </c>
      <c r="S1154" s="1">
        <f t="shared" ref="S1154:S1217" si="72">ROUND(Q1154*F1154*R1154,2)</f>
        <v>68.150000000000006</v>
      </c>
      <c r="T1154" s="1" t="str">
        <f t="shared" ref="T1154:T1217" si="73">IF(M1154="Paid",S1154-J1154,"")</f>
        <v/>
      </c>
      <c r="U1154" s="1" t="str">
        <f t="shared" ref="U1154:U1217" si="74">IF(M1154&lt;&gt;"Paid","",IF(T1154&gt;S1154*0.05,"Underpaid","OK"))</f>
        <v/>
      </c>
      <c r="V1154" s="1" t="str">
        <f>_xlfn.XLOOKUP(C1154,Payers!$A$2:$A$9,Payers!$B$2:$B$9)</f>
        <v>Keystone Commercial PPO</v>
      </c>
      <c r="W1154" s="1" t="str">
        <f t="shared" ref="W1154:W1217" si="75">TEXT(G1154,"yyyy-mm")</f>
        <v>2025-12</v>
      </c>
    </row>
    <row r="1155" spans="1:23">
      <c r="A1155" s="1" t="s">
        <v>2189</v>
      </c>
      <c r="B1155" s="1" t="s">
        <v>2190</v>
      </c>
      <c r="C1155" s="1" t="s">
        <v>60</v>
      </c>
      <c r="D1155" s="1" t="s">
        <v>37</v>
      </c>
      <c r="E1155" s="1" t="s">
        <v>48</v>
      </c>
      <c r="F1155">
        <v>1</v>
      </c>
      <c r="G1155" s="2">
        <v>46258</v>
      </c>
      <c r="H1155" s="2">
        <v>46259</v>
      </c>
      <c r="I1155">
        <v>422.85</v>
      </c>
      <c r="J1155">
        <v>213.98</v>
      </c>
      <c r="K1155">
        <v>213.98</v>
      </c>
      <c r="L1155">
        <v>0</v>
      </c>
      <c r="M1155" s="1" t="s">
        <v>21</v>
      </c>
      <c r="N1155" s="1" t="s">
        <v>22</v>
      </c>
      <c r="O1155" s="2">
        <v>46278</v>
      </c>
      <c r="P1155" s="2">
        <v>46278</v>
      </c>
      <c r="Q1155">
        <f>_xlfn.XLOOKUP(E1155,CPT!$A$2:$A$13,CPT!$D$2:$D$13)</f>
        <v>420</v>
      </c>
      <c r="R1155" s="1">
        <f>_xlfn.XLOOKUP(C1155,Contract!$A$2:$A$9,Contract!$B$2:$B$9)</f>
        <v>0.45</v>
      </c>
      <c r="S1155" s="1">
        <f t="shared" si="72"/>
        <v>189</v>
      </c>
      <c r="T1155" s="1">
        <f t="shared" si="73"/>
        <v>-24.97999999999999</v>
      </c>
      <c r="U1155" s="1" t="str">
        <f t="shared" si="74"/>
        <v>OK</v>
      </c>
      <c r="V1155" s="1" t="str">
        <f>_xlfn.XLOOKUP(C1155,Payers!$A$2:$A$9,Payers!$B$2:$B$9)</f>
        <v>Blue Horizon Commercial</v>
      </c>
      <c r="W1155" s="1" t="str">
        <f t="shared" si="75"/>
        <v>2026-08</v>
      </c>
    </row>
    <row r="1156" spans="1:23">
      <c r="A1156" s="1" t="s">
        <v>2191</v>
      </c>
      <c r="B1156" s="1" t="s">
        <v>2192</v>
      </c>
      <c r="C1156" s="1" t="s">
        <v>25</v>
      </c>
      <c r="D1156" s="1" t="s">
        <v>26</v>
      </c>
      <c r="E1156" s="1" t="s">
        <v>57</v>
      </c>
      <c r="F1156">
        <v>1</v>
      </c>
      <c r="G1156" s="2">
        <v>46100</v>
      </c>
      <c r="H1156" s="2">
        <v>46118</v>
      </c>
      <c r="I1156">
        <v>216.1</v>
      </c>
      <c r="J1156">
        <v>74.69</v>
      </c>
      <c r="K1156">
        <v>74.69</v>
      </c>
      <c r="L1156">
        <v>0</v>
      </c>
      <c r="M1156" s="1" t="s">
        <v>21</v>
      </c>
      <c r="N1156" s="1" t="s">
        <v>22</v>
      </c>
      <c r="O1156" s="2">
        <v>46136</v>
      </c>
      <c r="P1156" s="2">
        <v>46136</v>
      </c>
      <c r="Q1156">
        <f>_xlfn.XLOOKUP(E1156,CPT!$A$2:$A$13,CPT!$D$2:$D$13)</f>
        <v>210</v>
      </c>
      <c r="R1156" s="1">
        <f>_xlfn.XLOOKUP(C1156,Contract!$A$2:$A$9,Contract!$B$2:$B$9)</f>
        <v>0.36</v>
      </c>
      <c r="S1156" s="1">
        <f t="shared" si="72"/>
        <v>75.599999999999994</v>
      </c>
      <c r="T1156" s="1">
        <f t="shared" si="73"/>
        <v>0.90999999999999659</v>
      </c>
      <c r="U1156" s="1" t="str">
        <f t="shared" si="74"/>
        <v>OK</v>
      </c>
      <c r="V1156" s="1" t="str">
        <f>_xlfn.XLOOKUP(C1156,Payers!$A$2:$A$9,Payers!$B$2:$B$9)</f>
        <v>Medicare Part B</v>
      </c>
      <c r="W1156" s="1" t="str">
        <f t="shared" si="75"/>
        <v>2026-03</v>
      </c>
    </row>
    <row r="1157" spans="1:23">
      <c r="A1157" s="1" t="s">
        <v>2193</v>
      </c>
      <c r="B1157" s="1" t="s">
        <v>2194</v>
      </c>
      <c r="C1157" s="1" t="s">
        <v>76</v>
      </c>
      <c r="D1157" s="1" t="s">
        <v>26</v>
      </c>
      <c r="E1157" s="1" t="s">
        <v>41</v>
      </c>
      <c r="F1157">
        <v>1</v>
      </c>
      <c r="G1157" s="2">
        <v>46147</v>
      </c>
      <c r="H1157" s="2">
        <v>46152</v>
      </c>
      <c r="I1157">
        <v>38.409999999999997</v>
      </c>
      <c r="J1157">
        <v>15.45</v>
      </c>
      <c r="K1157">
        <v>13.91</v>
      </c>
      <c r="L1157">
        <v>1.54</v>
      </c>
      <c r="M1157" s="1" t="s">
        <v>21</v>
      </c>
      <c r="N1157" s="1" t="s">
        <v>22</v>
      </c>
      <c r="O1157" s="2">
        <v>46181</v>
      </c>
      <c r="P1157" s="2">
        <v>46181</v>
      </c>
      <c r="Q1157">
        <f>_xlfn.XLOOKUP(E1157,CPT!$A$2:$A$13,CPT!$D$2:$D$13)</f>
        <v>38</v>
      </c>
      <c r="R1157" s="1">
        <f>_xlfn.XLOOKUP(C1157,Contract!$A$2:$A$9,Contract!$B$2:$B$9)</f>
        <v>0.43</v>
      </c>
      <c r="S1157" s="1">
        <f t="shared" si="72"/>
        <v>16.34</v>
      </c>
      <c r="T1157" s="1">
        <f t="shared" si="73"/>
        <v>0.89000000000000057</v>
      </c>
      <c r="U1157" s="1" t="str">
        <f t="shared" si="74"/>
        <v>Underpaid</v>
      </c>
      <c r="V1157" s="1" t="str">
        <f>_xlfn.XLOOKUP(C1157,Payers!$A$2:$A$9,Payers!$B$2:$B$9)</f>
        <v>Summit Health Commercial</v>
      </c>
      <c r="W1157" s="1" t="str">
        <f t="shared" si="75"/>
        <v>2026-05</v>
      </c>
    </row>
    <row r="1158" spans="1:23">
      <c r="A1158" s="1" t="s">
        <v>2195</v>
      </c>
      <c r="B1158" s="1" t="s">
        <v>2196</v>
      </c>
      <c r="C1158" s="1" t="s">
        <v>36</v>
      </c>
      <c r="D1158" s="1" t="s">
        <v>37</v>
      </c>
      <c r="E1158" s="1" t="s">
        <v>48</v>
      </c>
      <c r="F1158">
        <v>1</v>
      </c>
      <c r="G1158" s="2">
        <v>46124</v>
      </c>
      <c r="H1158" s="2">
        <v>46134</v>
      </c>
      <c r="I1158">
        <v>414.41</v>
      </c>
      <c r="J1158">
        <v>111.48</v>
      </c>
      <c r="K1158">
        <v>89.18</v>
      </c>
      <c r="L1158">
        <v>22.3</v>
      </c>
      <c r="M1158" s="1" t="s">
        <v>21</v>
      </c>
      <c r="N1158" s="1" t="s">
        <v>22</v>
      </c>
      <c r="O1158" s="2">
        <v>46160</v>
      </c>
      <c r="P1158" s="2">
        <v>46160</v>
      </c>
      <c r="Q1158">
        <f>_xlfn.XLOOKUP(E1158,CPT!$A$2:$A$13,CPT!$D$2:$D$13)</f>
        <v>420</v>
      </c>
      <c r="R1158" s="1">
        <f>_xlfn.XLOOKUP(C1158,Contract!$A$2:$A$9,Contract!$B$2:$B$9)</f>
        <v>0.27</v>
      </c>
      <c r="S1158" s="1">
        <f t="shared" si="72"/>
        <v>113.4</v>
      </c>
      <c r="T1158" s="1">
        <f t="shared" si="73"/>
        <v>1.9200000000000017</v>
      </c>
      <c r="U1158" s="1" t="str">
        <f t="shared" si="74"/>
        <v>OK</v>
      </c>
      <c r="V1158" s="1" t="str">
        <f>_xlfn.XLOOKUP(C1158,Payers!$A$2:$A$9,Payers!$B$2:$B$9)</f>
        <v>Florida Medicaid</v>
      </c>
      <c r="W1158" s="1" t="str">
        <f t="shared" si="75"/>
        <v>2026-04</v>
      </c>
    </row>
    <row r="1159" spans="1:23">
      <c r="A1159" s="1" t="s">
        <v>2197</v>
      </c>
      <c r="B1159" s="1" t="s">
        <v>2198</v>
      </c>
      <c r="C1159" s="1" t="s">
        <v>60</v>
      </c>
      <c r="D1159" s="1" t="s">
        <v>37</v>
      </c>
      <c r="E1159" s="1" t="s">
        <v>48</v>
      </c>
      <c r="F1159">
        <v>1</v>
      </c>
      <c r="G1159" s="2">
        <v>46284</v>
      </c>
      <c r="H1159" s="2">
        <v>46289</v>
      </c>
      <c r="I1159">
        <v>413.02</v>
      </c>
      <c r="M1159" s="1" t="s">
        <v>69</v>
      </c>
      <c r="N1159" s="1" t="s">
        <v>22</v>
      </c>
      <c r="O1159" s="2"/>
      <c r="P1159" s="2"/>
      <c r="Q1159">
        <f>_xlfn.XLOOKUP(E1159,CPT!$A$2:$A$13,CPT!$D$2:$D$13)</f>
        <v>420</v>
      </c>
      <c r="R1159" s="1">
        <f>_xlfn.XLOOKUP(C1159,Contract!$A$2:$A$9,Contract!$B$2:$B$9)</f>
        <v>0.45</v>
      </c>
      <c r="S1159" s="1">
        <f t="shared" si="72"/>
        <v>189</v>
      </c>
      <c r="T1159" s="1" t="str">
        <f t="shared" si="73"/>
        <v/>
      </c>
      <c r="U1159" s="1" t="str">
        <f t="shared" si="74"/>
        <v/>
      </c>
      <c r="V1159" s="1" t="str">
        <f>_xlfn.XLOOKUP(C1159,Payers!$A$2:$A$9,Payers!$B$2:$B$9)</f>
        <v>Blue Horizon Commercial</v>
      </c>
      <c r="W1159" s="1" t="str">
        <f t="shared" si="75"/>
        <v>2026-09</v>
      </c>
    </row>
    <row r="1160" spans="1:23">
      <c r="A1160" s="1" t="s">
        <v>2199</v>
      </c>
      <c r="B1160" s="1" t="s">
        <v>2200</v>
      </c>
      <c r="C1160" s="1" t="s">
        <v>76</v>
      </c>
      <c r="D1160" s="1" t="s">
        <v>26</v>
      </c>
      <c r="E1160" s="1" t="s">
        <v>27</v>
      </c>
      <c r="F1160">
        <v>1</v>
      </c>
      <c r="G1160" s="2">
        <v>46062</v>
      </c>
      <c r="H1160" s="2">
        <v>46068</v>
      </c>
      <c r="I1160">
        <v>246.56</v>
      </c>
      <c r="J1160">
        <v>98.35</v>
      </c>
      <c r="K1160">
        <v>88.51</v>
      </c>
      <c r="L1160">
        <v>9.84</v>
      </c>
      <c r="M1160" s="1" t="s">
        <v>21</v>
      </c>
      <c r="N1160" s="1" t="s">
        <v>22</v>
      </c>
      <c r="O1160" s="2">
        <v>46095</v>
      </c>
      <c r="P1160" s="2">
        <v>46095</v>
      </c>
      <c r="Q1160">
        <f>_xlfn.XLOOKUP(E1160,CPT!$A$2:$A$13,CPT!$D$2:$D$13)</f>
        <v>240</v>
      </c>
      <c r="R1160" s="1">
        <f>_xlfn.XLOOKUP(C1160,Contract!$A$2:$A$9,Contract!$B$2:$B$9)</f>
        <v>0.43</v>
      </c>
      <c r="S1160" s="1">
        <f t="shared" si="72"/>
        <v>103.2</v>
      </c>
      <c r="T1160" s="1">
        <f t="shared" si="73"/>
        <v>4.8500000000000085</v>
      </c>
      <c r="U1160" s="1" t="str">
        <f t="shared" si="74"/>
        <v>OK</v>
      </c>
      <c r="V1160" s="1" t="str">
        <f>_xlfn.XLOOKUP(C1160,Payers!$A$2:$A$9,Payers!$B$2:$B$9)</f>
        <v>Summit Health Commercial</v>
      </c>
      <c r="W1160" s="1" t="str">
        <f t="shared" si="75"/>
        <v>2026-02</v>
      </c>
    </row>
    <row r="1161" spans="1:23">
      <c r="A1161" s="1" t="s">
        <v>2201</v>
      </c>
      <c r="B1161" s="1" t="s">
        <v>2202</v>
      </c>
      <c r="C1161" s="1" t="s">
        <v>36</v>
      </c>
      <c r="D1161" s="1" t="s">
        <v>37</v>
      </c>
      <c r="E1161" s="1" t="s">
        <v>48</v>
      </c>
      <c r="F1161">
        <v>1</v>
      </c>
      <c r="G1161" s="2">
        <v>46034</v>
      </c>
      <c r="H1161" s="2">
        <v>46038</v>
      </c>
      <c r="I1161">
        <v>431.35</v>
      </c>
      <c r="J1161">
        <v>102.95</v>
      </c>
      <c r="K1161">
        <v>102.95</v>
      </c>
      <c r="L1161">
        <v>0</v>
      </c>
      <c r="M1161" s="1" t="s">
        <v>21</v>
      </c>
      <c r="N1161" s="1" t="s">
        <v>22</v>
      </c>
      <c r="O1161" s="2">
        <v>46100</v>
      </c>
      <c r="P1161" s="2">
        <v>46100</v>
      </c>
      <c r="Q1161">
        <f>_xlfn.XLOOKUP(E1161,CPT!$A$2:$A$13,CPT!$D$2:$D$13)</f>
        <v>420</v>
      </c>
      <c r="R1161" s="1">
        <f>_xlfn.XLOOKUP(C1161,Contract!$A$2:$A$9,Contract!$B$2:$B$9)</f>
        <v>0.27</v>
      </c>
      <c r="S1161" s="1">
        <f t="shared" si="72"/>
        <v>113.4</v>
      </c>
      <c r="T1161" s="1">
        <f t="shared" si="73"/>
        <v>10.450000000000003</v>
      </c>
      <c r="U1161" s="1" t="str">
        <f t="shared" si="74"/>
        <v>Underpaid</v>
      </c>
      <c r="V1161" s="1" t="str">
        <f>_xlfn.XLOOKUP(C1161,Payers!$A$2:$A$9,Payers!$B$2:$B$9)</f>
        <v>Florida Medicaid</v>
      </c>
      <c r="W1161" s="1" t="str">
        <f t="shared" si="75"/>
        <v>2026-01</v>
      </c>
    </row>
    <row r="1162" spans="1:23">
      <c r="A1162" s="1" t="s">
        <v>2203</v>
      </c>
      <c r="B1162" s="1" t="s">
        <v>2204</v>
      </c>
      <c r="C1162" s="1" t="s">
        <v>60</v>
      </c>
      <c r="D1162" s="1" t="s">
        <v>19</v>
      </c>
      <c r="E1162" s="1" t="s">
        <v>20</v>
      </c>
      <c r="F1162">
        <v>1</v>
      </c>
      <c r="G1162" s="2">
        <v>46129</v>
      </c>
      <c r="H1162" s="2">
        <v>46135</v>
      </c>
      <c r="I1162">
        <v>142.25</v>
      </c>
      <c r="J1162">
        <v>58.87</v>
      </c>
      <c r="K1162">
        <v>58.87</v>
      </c>
      <c r="L1162">
        <v>0</v>
      </c>
      <c r="M1162" s="1" t="s">
        <v>21</v>
      </c>
      <c r="N1162" s="1" t="s">
        <v>22</v>
      </c>
      <c r="O1162" s="2">
        <v>46156</v>
      </c>
      <c r="P1162" s="2">
        <v>46156</v>
      </c>
      <c r="Q1162">
        <f>_xlfn.XLOOKUP(E1162,CPT!$A$2:$A$13,CPT!$D$2:$D$13)</f>
        <v>145</v>
      </c>
      <c r="R1162" s="1">
        <f>_xlfn.XLOOKUP(C1162,Contract!$A$2:$A$9,Contract!$B$2:$B$9)</f>
        <v>0.45</v>
      </c>
      <c r="S1162" s="1">
        <f t="shared" si="72"/>
        <v>65.25</v>
      </c>
      <c r="T1162" s="1">
        <f t="shared" si="73"/>
        <v>6.3800000000000026</v>
      </c>
      <c r="U1162" s="1" t="str">
        <f t="shared" si="74"/>
        <v>Underpaid</v>
      </c>
      <c r="V1162" s="1" t="str">
        <f>_xlfn.XLOOKUP(C1162,Payers!$A$2:$A$9,Payers!$B$2:$B$9)</f>
        <v>Blue Horizon Commercial</v>
      </c>
      <c r="W1162" s="1" t="str">
        <f t="shared" si="75"/>
        <v>2026-04</v>
      </c>
    </row>
    <row r="1163" spans="1:23">
      <c r="A1163" s="1" t="s">
        <v>2205</v>
      </c>
      <c r="B1163" s="1" t="s">
        <v>2206</v>
      </c>
      <c r="C1163" s="1" t="s">
        <v>25</v>
      </c>
      <c r="D1163" s="1" t="s">
        <v>19</v>
      </c>
      <c r="E1163" s="1" t="s">
        <v>20</v>
      </c>
      <c r="F1163">
        <v>1</v>
      </c>
      <c r="G1163" s="2">
        <v>46188</v>
      </c>
      <c r="H1163" s="2">
        <v>46189</v>
      </c>
      <c r="I1163">
        <v>147.32</v>
      </c>
      <c r="J1163">
        <v>50.03</v>
      </c>
      <c r="K1163">
        <v>50.03</v>
      </c>
      <c r="L1163">
        <v>0</v>
      </c>
      <c r="M1163" s="1" t="s">
        <v>21</v>
      </c>
      <c r="N1163" s="1" t="s">
        <v>22</v>
      </c>
      <c r="O1163" s="2">
        <v>46203</v>
      </c>
      <c r="P1163" s="2">
        <v>46203</v>
      </c>
      <c r="Q1163">
        <f>_xlfn.XLOOKUP(E1163,CPT!$A$2:$A$13,CPT!$D$2:$D$13)</f>
        <v>145</v>
      </c>
      <c r="R1163" s="1">
        <f>_xlfn.XLOOKUP(C1163,Contract!$A$2:$A$9,Contract!$B$2:$B$9)</f>
        <v>0.36</v>
      </c>
      <c r="S1163" s="1">
        <f t="shared" si="72"/>
        <v>52.2</v>
      </c>
      <c r="T1163" s="1">
        <f t="shared" si="73"/>
        <v>2.1700000000000017</v>
      </c>
      <c r="U1163" s="1" t="str">
        <f t="shared" si="74"/>
        <v>OK</v>
      </c>
      <c r="V1163" s="1" t="str">
        <f>_xlfn.XLOOKUP(C1163,Payers!$A$2:$A$9,Payers!$B$2:$B$9)</f>
        <v>Medicare Part B</v>
      </c>
      <c r="W1163" s="1" t="str">
        <f t="shared" si="75"/>
        <v>2026-06</v>
      </c>
    </row>
    <row r="1164" spans="1:23">
      <c r="A1164" s="1" t="s">
        <v>2207</v>
      </c>
      <c r="B1164" s="1" t="s">
        <v>2208</v>
      </c>
      <c r="C1164" s="1" t="s">
        <v>47</v>
      </c>
      <c r="D1164" s="1" t="s">
        <v>19</v>
      </c>
      <c r="E1164" s="1" t="s">
        <v>88</v>
      </c>
      <c r="F1164">
        <v>1</v>
      </c>
      <c r="G1164" s="2">
        <v>46110</v>
      </c>
      <c r="H1164" s="2">
        <v>46120</v>
      </c>
      <c r="I1164">
        <v>259.41000000000003</v>
      </c>
      <c r="M1164" s="1" t="s">
        <v>32</v>
      </c>
      <c r="N1164" s="1" t="s">
        <v>124</v>
      </c>
      <c r="O1164" s="2">
        <v>46167</v>
      </c>
      <c r="P1164" s="2"/>
      <c r="Q1164">
        <f>_xlfn.XLOOKUP(E1164,CPT!$A$2:$A$13,CPT!$D$2:$D$13)</f>
        <v>260</v>
      </c>
      <c r="R1164" s="1">
        <f>_xlfn.XLOOKUP(C1164,Contract!$A$2:$A$9,Contract!$B$2:$B$9)</f>
        <v>0.28000000000000003</v>
      </c>
      <c r="S1164" s="1">
        <f t="shared" si="72"/>
        <v>72.8</v>
      </c>
      <c r="T1164" s="1" t="str">
        <f t="shared" si="73"/>
        <v/>
      </c>
      <c r="U1164" s="1" t="str">
        <f t="shared" si="74"/>
        <v/>
      </c>
      <c r="V1164" s="1" t="str">
        <f>_xlfn.XLOOKUP(C1164,Payers!$A$2:$A$9,Payers!$B$2:$B$9)</f>
        <v>Coastal Medicaid MCO</v>
      </c>
      <c r="W1164" s="1" t="str">
        <f t="shared" si="75"/>
        <v>2026-03</v>
      </c>
    </row>
    <row r="1165" spans="1:23">
      <c r="A1165" s="1" t="s">
        <v>2209</v>
      </c>
      <c r="B1165" s="1" t="s">
        <v>2210</v>
      </c>
      <c r="C1165" s="1" t="s">
        <v>25</v>
      </c>
      <c r="D1165" s="1" t="s">
        <v>26</v>
      </c>
      <c r="E1165" s="1" t="s">
        <v>57</v>
      </c>
      <c r="F1165">
        <v>1</v>
      </c>
      <c r="G1165" s="2">
        <v>46078</v>
      </c>
      <c r="H1165" s="2">
        <v>46079</v>
      </c>
      <c r="I1165">
        <v>210.72</v>
      </c>
      <c r="J1165">
        <v>65.400000000000006</v>
      </c>
      <c r="K1165">
        <v>65.400000000000006</v>
      </c>
      <c r="L1165">
        <v>0</v>
      </c>
      <c r="M1165" s="1" t="s">
        <v>21</v>
      </c>
      <c r="N1165" s="1" t="s">
        <v>22</v>
      </c>
      <c r="O1165" s="2">
        <v>46096</v>
      </c>
      <c r="P1165" s="2">
        <v>46096</v>
      </c>
      <c r="Q1165">
        <f>_xlfn.XLOOKUP(E1165,CPT!$A$2:$A$13,CPT!$D$2:$D$13)</f>
        <v>210</v>
      </c>
      <c r="R1165" s="1">
        <f>_xlfn.XLOOKUP(C1165,Contract!$A$2:$A$9,Contract!$B$2:$B$9)</f>
        <v>0.36</v>
      </c>
      <c r="S1165" s="1">
        <f t="shared" si="72"/>
        <v>75.599999999999994</v>
      </c>
      <c r="T1165" s="1">
        <f t="shared" si="73"/>
        <v>10.199999999999989</v>
      </c>
      <c r="U1165" s="1" t="str">
        <f t="shared" si="74"/>
        <v>Underpaid</v>
      </c>
      <c r="V1165" s="1" t="str">
        <f>_xlfn.XLOOKUP(C1165,Payers!$A$2:$A$9,Payers!$B$2:$B$9)</f>
        <v>Medicare Part B</v>
      </c>
      <c r="W1165" s="1" t="str">
        <f t="shared" si="75"/>
        <v>2026-02</v>
      </c>
    </row>
    <row r="1166" spans="1:23">
      <c r="A1166" s="1" t="s">
        <v>2211</v>
      </c>
      <c r="B1166" s="1" t="s">
        <v>2212</v>
      </c>
      <c r="C1166" s="1" t="s">
        <v>25</v>
      </c>
      <c r="D1166" s="1" t="s">
        <v>19</v>
      </c>
      <c r="E1166" s="1" t="s">
        <v>20</v>
      </c>
      <c r="F1166">
        <v>1</v>
      </c>
      <c r="G1166" s="2">
        <v>46017</v>
      </c>
      <c r="H1166" s="2">
        <v>46019</v>
      </c>
      <c r="I1166">
        <v>146.94999999999999</v>
      </c>
      <c r="M1166" s="1" t="s">
        <v>32</v>
      </c>
      <c r="N1166" s="1" t="s">
        <v>281</v>
      </c>
      <c r="O1166" s="2">
        <v>46037</v>
      </c>
      <c r="P1166" s="2"/>
      <c r="Q1166">
        <f>_xlfn.XLOOKUP(E1166,CPT!$A$2:$A$13,CPT!$D$2:$D$13)</f>
        <v>145</v>
      </c>
      <c r="R1166" s="1">
        <f>_xlfn.XLOOKUP(C1166,Contract!$A$2:$A$9,Contract!$B$2:$B$9)</f>
        <v>0.36</v>
      </c>
      <c r="S1166" s="1">
        <f t="shared" si="72"/>
        <v>52.2</v>
      </c>
      <c r="T1166" s="1" t="str">
        <f t="shared" si="73"/>
        <v/>
      </c>
      <c r="U1166" s="1" t="str">
        <f t="shared" si="74"/>
        <v/>
      </c>
      <c r="V1166" s="1" t="str">
        <f>_xlfn.XLOOKUP(C1166,Payers!$A$2:$A$9,Payers!$B$2:$B$9)</f>
        <v>Medicare Part B</v>
      </c>
      <c r="W1166" s="1" t="str">
        <f t="shared" si="75"/>
        <v>2025-12</v>
      </c>
    </row>
    <row r="1167" spans="1:23">
      <c r="A1167" s="1" t="s">
        <v>2213</v>
      </c>
      <c r="B1167" s="1" t="s">
        <v>2214</v>
      </c>
      <c r="C1167" s="1" t="s">
        <v>36</v>
      </c>
      <c r="D1167" s="1" t="s">
        <v>37</v>
      </c>
      <c r="E1167" s="1" t="s">
        <v>38</v>
      </c>
      <c r="F1167">
        <v>5</v>
      </c>
      <c r="G1167" s="2">
        <v>46252</v>
      </c>
      <c r="H1167" s="2">
        <v>46253</v>
      </c>
      <c r="I1167">
        <v>7277.68</v>
      </c>
      <c r="J1167">
        <v>2216.11</v>
      </c>
      <c r="K1167">
        <v>1772.89</v>
      </c>
      <c r="L1167">
        <v>443.22</v>
      </c>
      <c r="M1167" s="1" t="s">
        <v>21</v>
      </c>
      <c r="N1167" s="1" t="s">
        <v>22</v>
      </c>
      <c r="O1167" s="2">
        <v>46293</v>
      </c>
      <c r="P1167" s="2">
        <v>46293</v>
      </c>
      <c r="Q1167">
        <f>_xlfn.XLOOKUP(E1167,CPT!$A$2:$A$13,CPT!$D$2:$D$13)</f>
        <v>1450</v>
      </c>
      <c r="R1167" s="1">
        <f>_xlfn.XLOOKUP(C1167,Contract!$A$2:$A$9,Contract!$B$2:$B$9)</f>
        <v>0.27</v>
      </c>
      <c r="S1167" s="1">
        <f t="shared" si="72"/>
        <v>1957.5</v>
      </c>
      <c r="T1167" s="1">
        <f t="shared" si="73"/>
        <v>-258.61000000000013</v>
      </c>
      <c r="U1167" s="1" t="str">
        <f t="shared" si="74"/>
        <v>OK</v>
      </c>
      <c r="V1167" s="1" t="str">
        <f>_xlfn.XLOOKUP(C1167,Payers!$A$2:$A$9,Payers!$B$2:$B$9)</f>
        <v>Florida Medicaid</v>
      </c>
      <c r="W1167" s="1" t="str">
        <f t="shared" si="75"/>
        <v>2026-08</v>
      </c>
    </row>
    <row r="1168" spans="1:23">
      <c r="A1168" s="1" t="s">
        <v>2215</v>
      </c>
      <c r="B1168" s="1" t="s">
        <v>2216</v>
      </c>
      <c r="C1168" s="1" t="s">
        <v>52</v>
      </c>
      <c r="D1168" s="1" t="s">
        <v>37</v>
      </c>
      <c r="E1168" s="1" t="s">
        <v>48</v>
      </c>
      <c r="F1168">
        <v>1</v>
      </c>
      <c r="G1168" s="2">
        <v>46052</v>
      </c>
      <c r="H1168" s="2">
        <v>46056</v>
      </c>
      <c r="I1168">
        <v>424.61</v>
      </c>
      <c r="J1168">
        <v>231.09</v>
      </c>
      <c r="K1168">
        <v>231.09</v>
      </c>
      <c r="L1168">
        <v>0</v>
      </c>
      <c r="M1168" s="1" t="s">
        <v>21</v>
      </c>
      <c r="N1168" s="1" t="s">
        <v>22</v>
      </c>
      <c r="O1168" s="2">
        <v>46071</v>
      </c>
      <c r="P1168" s="2">
        <v>46071</v>
      </c>
      <c r="Q1168">
        <f>_xlfn.XLOOKUP(E1168,CPT!$A$2:$A$13,CPT!$D$2:$D$13)</f>
        <v>420</v>
      </c>
      <c r="R1168" s="1">
        <f>_xlfn.XLOOKUP(C1168,Contract!$A$2:$A$9,Contract!$B$2:$B$9)</f>
        <v>0.47</v>
      </c>
      <c r="S1168" s="1">
        <f t="shared" si="72"/>
        <v>197.4</v>
      </c>
      <c r="T1168" s="1">
        <f t="shared" si="73"/>
        <v>-33.69</v>
      </c>
      <c r="U1168" s="1" t="str">
        <f t="shared" si="74"/>
        <v>OK</v>
      </c>
      <c r="V1168" s="1" t="str">
        <f>_xlfn.XLOOKUP(C1168,Payers!$A$2:$A$9,Payers!$B$2:$B$9)</f>
        <v>Keystone Commercial PPO</v>
      </c>
      <c r="W1168" s="1" t="str">
        <f t="shared" si="75"/>
        <v>2026-01</v>
      </c>
    </row>
    <row r="1169" spans="1:23">
      <c r="A1169" s="1" t="s">
        <v>2217</v>
      </c>
      <c r="B1169" s="1" t="s">
        <v>2218</v>
      </c>
      <c r="C1169" s="1" t="s">
        <v>60</v>
      </c>
      <c r="D1169" s="1" t="s">
        <v>19</v>
      </c>
      <c r="E1169" s="1" t="s">
        <v>88</v>
      </c>
      <c r="F1169">
        <v>1</v>
      </c>
      <c r="G1169" s="2">
        <v>46077</v>
      </c>
      <c r="H1169" s="2">
        <v>46078</v>
      </c>
      <c r="I1169">
        <v>262.14</v>
      </c>
      <c r="J1169">
        <v>136.28</v>
      </c>
      <c r="K1169">
        <v>136.28</v>
      </c>
      <c r="L1169">
        <v>0</v>
      </c>
      <c r="M1169" s="1" t="s">
        <v>21</v>
      </c>
      <c r="N1169" s="1" t="s">
        <v>22</v>
      </c>
      <c r="O1169" s="2">
        <v>46111</v>
      </c>
      <c r="P1169" s="2">
        <v>46111</v>
      </c>
      <c r="Q1169">
        <f>_xlfn.XLOOKUP(E1169,CPT!$A$2:$A$13,CPT!$D$2:$D$13)</f>
        <v>260</v>
      </c>
      <c r="R1169" s="1">
        <f>_xlfn.XLOOKUP(C1169,Contract!$A$2:$A$9,Contract!$B$2:$B$9)</f>
        <v>0.45</v>
      </c>
      <c r="S1169" s="1">
        <f t="shared" si="72"/>
        <v>117</v>
      </c>
      <c r="T1169" s="1">
        <f t="shared" si="73"/>
        <v>-19.28</v>
      </c>
      <c r="U1169" s="1" t="str">
        <f t="shared" si="74"/>
        <v>OK</v>
      </c>
      <c r="V1169" s="1" t="str">
        <f>_xlfn.XLOOKUP(C1169,Payers!$A$2:$A$9,Payers!$B$2:$B$9)</f>
        <v>Blue Horizon Commercial</v>
      </c>
      <c r="W1169" s="1" t="str">
        <f t="shared" si="75"/>
        <v>2026-02</v>
      </c>
    </row>
    <row r="1170" spans="1:23">
      <c r="A1170" s="1" t="s">
        <v>2219</v>
      </c>
      <c r="B1170" s="1" t="s">
        <v>2220</v>
      </c>
      <c r="C1170" s="1" t="s">
        <v>36</v>
      </c>
      <c r="D1170" s="1" t="s">
        <v>37</v>
      </c>
      <c r="E1170" s="1" t="s">
        <v>48</v>
      </c>
      <c r="F1170">
        <v>1</v>
      </c>
      <c r="G1170" s="2">
        <v>46004</v>
      </c>
      <c r="H1170" s="2">
        <v>46007</v>
      </c>
      <c r="I1170">
        <v>408.47</v>
      </c>
      <c r="J1170">
        <v>122.35</v>
      </c>
      <c r="K1170">
        <v>110.12</v>
      </c>
      <c r="L1170">
        <v>12.23</v>
      </c>
      <c r="M1170" s="1" t="s">
        <v>21</v>
      </c>
      <c r="N1170" s="1" t="s">
        <v>22</v>
      </c>
      <c r="O1170" s="2">
        <v>46053</v>
      </c>
      <c r="P1170" s="2">
        <v>46053</v>
      </c>
      <c r="Q1170">
        <f>_xlfn.XLOOKUP(E1170,CPT!$A$2:$A$13,CPT!$D$2:$D$13)</f>
        <v>420</v>
      </c>
      <c r="R1170" s="1">
        <f>_xlfn.XLOOKUP(C1170,Contract!$A$2:$A$9,Contract!$B$2:$B$9)</f>
        <v>0.27</v>
      </c>
      <c r="S1170" s="1">
        <f t="shared" si="72"/>
        <v>113.4</v>
      </c>
      <c r="T1170" s="1">
        <f t="shared" si="73"/>
        <v>-8.9499999999999886</v>
      </c>
      <c r="U1170" s="1" t="str">
        <f t="shared" si="74"/>
        <v>OK</v>
      </c>
      <c r="V1170" s="1" t="str">
        <f>_xlfn.XLOOKUP(C1170,Payers!$A$2:$A$9,Payers!$B$2:$B$9)</f>
        <v>Florida Medicaid</v>
      </c>
      <c r="W1170" s="1" t="str">
        <f t="shared" si="75"/>
        <v>2025-12</v>
      </c>
    </row>
    <row r="1171" spans="1:23">
      <c r="A1171" s="1" t="s">
        <v>2221</v>
      </c>
      <c r="B1171" s="1" t="s">
        <v>2222</v>
      </c>
      <c r="C1171" s="1" t="s">
        <v>47</v>
      </c>
      <c r="D1171" s="1" t="s">
        <v>30</v>
      </c>
      <c r="E1171" s="1" t="s">
        <v>91</v>
      </c>
      <c r="F1171">
        <v>4</v>
      </c>
      <c r="G1171" s="2">
        <v>46166</v>
      </c>
      <c r="H1171" s="2">
        <v>46179</v>
      </c>
      <c r="I1171">
        <v>231.34</v>
      </c>
      <c r="J1171">
        <v>67.86</v>
      </c>
      <c r="K1171">
        <v>67.86</v>
      </c>
      <c r="L1171">
        <v>0</v>
      </c>
      <c r="M1171" s="1" t="s">
        <v>21</v>
      </c>
      <c r="N1171" s="1" t="s">
        <v>22</v>
      </c>
      <c r="O1171" s="2">
        <v>46239</v>
      </c>
      <c r="P1171" s="2">
        <v>46239</v>
      </c>
      <c r="Q1171">
        <f>_xlfn.XLOOKUP(E1171,CPT!$A$2:$A$13,CPT!$D$2:$D$13)</f>
        <v>58</v>
      </c>
      <c r="R1171" s="1">
        <f>_xlfn.XLOOKUP(C1171,Contract!$A$2:$A$9,Contract!$B$2:$B$9)</f>
        <v>0.28000000000000003</v>
      </c>
      <c r="S1171" s="1">
        <f t="shared" si="72"/>
        <v>64.959999999999994</v>
      </c>
      <c r="T1171" s="1">
        <f t="shared" si="73"/>
        <v>-2.9000000000000057</v>
      </c>
      <c r="U1171" s="1" t="str">
        <f t="shared" si="74"/>
        <v>OK</v>
      </c>
      <c r="V1171" s="1" t="str">
        <f>_xlfn.XLOOKUP(C1171,Payers!$A$2:$A$9,Payers!$B$2:$B$9)</f>
        <v>Coastal Medicaid MCO</v>
      </c>
      <c r="W1171" s="1" t="str">
        <f t="shared" si="75"/>
        <v>2026-05</v>
      </c>
    </row>
    <row r="1172" spans="1:23">
      <c r="A1172" s="1" t="s">
        <v>2223</v>
      </c>
      <c r="B1172" s="1" t="s">
        <v>2224</v>
      </c>
      <c r="C1172" s="1" t="s">
        <v>60</v>
      </c>
      <c r="D1172" s="1" t="s">
        <v>19</v>
      </c>
      <c r="E1172" s="1" t="s">
        <v>57</v>
      </c>
      <c r="F1172">
        <v>1</v>
      </c>
      <c r="G1172" s="2">
        <v>46028</v>
      </c>
      <c r="H1172" s="2">
        <v>46040</v>
      </c>
      <c r="I1172">
        <v>210.86</v>
      </c>
      <c r="J1172">
        <v>103.27</v>
      </c>
      <c r="K1172">
        <v>82.62</v>
      </c>
      <c r="L1172">
        <v>20.65</v>
      </c>
      <c r="M1172" s="1" t="s">
        <v>21</v>
      </c>
      <c r="N1172" s="1" t="s">
        <v>22</v>
      </c>
      <c r="O1172" s="2">
        <v>46061</v>
      </c>
      <c r="P1172" s="2">
        <v>46061</v>
      </c>
      <c r="Q1172">
        <f>_xlfn.XLOOKUP(E1172,CPT!$A$2:$A$13,CPT!$D$2:$D$13)</f>
        <v>210</v>
      </c>
      <c r="R1172" s="1">
        <f>_xlfn.XLOOKUP(C1172,Contract!$A$2:$A$9,Contract!$B$2:$B$9)</f>
        <v>0.45</v>
      </c>
      <c r="S1172" s="1">
        <f t="shared" si="72"/>
        <v>94.5</v>
      </c>
      <c r="T1172" s="1">
        <f t="shared" si="73"/>
        <v>-8.769999999999996</v>
      </c>
      <c r="U1172" s="1" t="str">
        <f t="shared" si="74"/>
        <v>OK</v>
      </c>
      <c r="V1172" s="1" t="str">
        <f>_xlfn.XLOOKUP(C1172,Payers!$A$2:$A$9,Payers!$B$2:$B$9)</f>
        <v>Blue Horizon Commercial</v>
      </c>
      <c r="W1172" s="1" t="str">
        <f t="shared" si="75"/>
        <v>2026-01</v>
      </c>
    </row>
    <row r="1173" spans="1:23">
      <c r="A1173" s="1" t="s">
        <v>2225</v>
      </c>
      <c r="B1173" s="1" t="s">
        <v>2226</v>
      </c>
      <c r="C1173" s="1" t="s">
        <v>76</v>
      </c>
      <c r="D1173" s="1" t="s">
        <v>37</v>
      </c>
      <c r="E1173" s="1" t="s">
        <v>38</v>
      </c>
      <c r="F1173">
        <v>5</v>
      </c>
      <c r="G1173" s="2">
        <v>46171</v>
      </c>
      <c r="H1173" s="2">
        <v>46174</v>
      </c>
      <c r="I1173">
        <v>7268.63</v>
      </c>
      <c r="J1173">
        <v>3547.91</v>
      </c>
      <c r="K1173">
        <v>2838.33</v>
      </c>
      <c r="L1173">
        <v>709.58</v>
      </c>
      <c r="M1173" s="1" t="s">
        <v>21</v>
      </c>
      <c r="N1173" s="1" t="s">
        <v>22</v>
      </c>
      <c r="O1173" s="2">
        <v>46214</v>
      </c>
      <c r="P1173" s="2">
        <v>46214</v>
      </c>
      <c r="Q1173">
        <f>_xlfn.XLOOKUP(E1173,CPT!$A$2:$A$13,CPT!$D$2:$D$13)</f>
        <v>1450</v>
      </c>
      <c r="R1173" s="1">
        <f>_xlfn.XLOOKUP(C1173,Contract!$A$2:$A$9,Contract!$B$2:$B$9)</f>
        <v>0.43</v>
      </c>
      <c r="S1173" s="1">
        <f t="shared" si="72"/>
        <v>3117.5</v>
      </c>
      <c r="T1173" s="1">
        <f t="shared" si="73"/>
        <v>-430.40999999999985</v>
      </c>
      <c r="U1173" s="1" t="str">
        <f t="shared" si="74"/>
        <v>OK</v>
      </c>
      <c r="V1173" s="1" t="str">
        <f>_xlfn.XLOOKUP(C1173,Payers!$A$2:$A$9,Payers!$B$2:$B$9)</f>
        <v>Summit Health Commercial</v>
      </c>
      <c r="W1173" s="1" t="str">
        <f t="shared" si="75"/>
        <v>2026-05</v>
      </c>
    </row>
    <row r="1174" spans="1:23">
      <c r="A1174" s="1" t="s">
        <v>2227</v>
      </c>
      <c r="B1174" s="1" t="s">
        <v>1185</v>
      </c>
      <c r="C1174" s="1" t="s">
        <v>25</v>
      </c>
      <c r="D1174" s="1" t="s">
        <v>26</v>
      </c>
      <c r="E1174" s="1" t="s">
        <v>185</v>
      </c>
      <c r="F1174">
        <v>1</v>
      </c>
      <c r="G1174" s="2">
        <v>46011</v>
      </c>
      <c r="H1174" s="2">
        <v>46023</v>
      </c>
      <c r="I1174">
        <v>1161.02</v>
      </c>
      <c r="J1174">
        <v>475.6</v>
      </c>
      <c r="K1174">
        <v>475.6</v>
      </c>
      <c r="L1174">
        <v>0</v>
      </c>
      <c r="M1174" s="1" t="s">
        <v>21</v>
      </c>
      <c r="N1174" s="1" t="s">
        <v>22</v>
      </c>
      <c r="O1174" s="2">
        <v>46044</v>
      </c>
      <c r="P1174" s="2">
        <v>46044</v>
      </c>
      <c r="Q1174">
        <f>_xlfn.XLOOKUP(E1174,CPT!$A$2:$A$13,CPT!$D$2:$D$13)</f>
        <v>1150</v>
      </c>
      <c r="R1174" s="1">
        <f>_xlfn.XLOOKUP(C1174,Contract!$A$2:$A$9,Contract!$B$2:$B$9)</f>
        <v>0.36</v>
      </c>
      <c r="S1174" s="1">
        <f t="shared" si="72"/>
        <v>414</v>
      </c>
      <c r="T1174" s="1">
        <f t="shared" si="73"/>
        <v>-61.600000000000023</v>
      </c>
      <c r="U1174" s="1" t="str">
        <f t="shared" si="74"/>
        <v>OK</v>
      </c>
      <c r="V1174" s="1" t="str">
        <f>_xlfn.XLOOKUP(C1174,Payers!$A$2:$A$9,Payers!$B$2:$B$9)</f>
        <v>Medicare Part B</v>
      </c>
      <c r="W1174" s="1" t="str">
        <f t="shared" si="75"/>
        <v>2025-12</v>
      </c>
    </row>
    <row r="1175" spans="1:23">
      <c r="A1175" s="1" t="s">
        <v>2228</v>
      </c>
      <c r="B1175" s="1" t="s">
        <v>2229</v>
      </c>
      <c r="C1175" s="1" t="s">
        <v>25</v>
      </c>
      <c r="D1175" s="1" t="s">
        <v>30</v>
      </c>
      <c r="E1175" s="1" t="s">
        <v>20</v>
      </c>
      <c r="F1175">
        <v>1</v>
      </c>
      <c r="G1175" s="2">
        <v>46010</v>
      </c>
      <c r="H1175" s="2">
        <v>46014</v>
      </c>
      <c r="I1175">
        <v>146.22999999999999</v>
      </c>
      <c r="J1175">
        <v>49.64</v>
      </c>
      <c r="K1175">
        <v>49.64</v>
      </c>
      <c r="L1175">
        <v>0</v>
      </c>
      <c r="M1175" s="1" t="s">
        <v>21</v>
      </c>
      <c r="N1175" s="1" t="s">
        <v>22</v>
      </c>
      <c r="O1175" s="2">
        <v>46032</v>
      </c>
      <c r="P1175" s="2">
        <v>46032</v>
      </c>
      <c r="Q1175">
        <f>_xlfn.XLOOKUP(E1175,CPT!$A$2:$A$13,CPT!$D$2:$D$13)</f>
        <v>145</v>
      </c>
      <c r="R1175" s="1">
        <f>_xlfn.XLOOKUP(C1175,Contract!$A$2:$A$9,Contract!$B$2:$B$9)</f>
        <v>0.36</v>
      </c>
      <c r="S1175" s="1">
        <f t="shared" si="72"/>
        <v>52.2</v>
      </c>
      <c r="T1175" s="1">
        <f t="shared" si="73"/>
        <v>2.5600000000000023</v>
      </c>
      <c r="U1175" s="1" t="str">
        <f t="shared" si="74"/>
        <v>OK</v>
      </c>
      <c r="V1175" s="1" t="str">
        <f>_xlfn.XLOOKUP(C1175,Payers!$A$2:$A$9,Payers!$B$2:$B$9)</f>
        <v>Medicare Part B</v>
      </c>
      <c r="W1175" s="1" t="str">
        <f t="shared" si="75"/>
        <v>2025-12</v>
      </c>
    </row>
    <row r="1176" spans="1:23">
      <c r="A1176" s="1" t="s">
        <v>2230</v>
      </c>
      <c r="B1176" s="1" t="s">
        <v>2231</v>
      </c>
      <c r="C1176" s="1" t="s">
        <v>76</v>
      </c>
      <c r="D1176" s="1" t="s">
        <v>26</v>
      </c>
      <c r="E1176" s="1" t="s">
        <v>113</v>
      </c>
      <c r="F1176">
        <v>1</v>
      </c>
      <c r="G1176" s="2">
        <v>46244</v>
      </c>
      <c r="H1176" s="2">
        <v>46248</v>
      </c>
      <c r="I1176">
        <v>1051.93</v>
      </c>
      <c r="M1176" s="1" t="s">
        <v>69</v>
      </c>
      <c r="N1176" s="1" t="s">
        <v>22</v>
      </c>
      <c r="O1176" s="2"/>
      <c r="P1176" s="2"/>
      <c r="Q1176">
        <f>_xlfn.XLOOKUP(E1176,CPT!$A$2:$A$13,CPT!$D$2:$D$13)</f>
        <v>1050</v>
      </c>
      <c r="R1176" s="1">
        <f>_xlfn.XLOOKUP(C1176,Contract!$A$2:$A$9,Contract!$B$2:$B$9)</f>
        <v>0.43</v>
      </c>
      <c r="S1176" s="1">
        <f t="shared" si="72"/>
        <v>451.5</v>
      </c>
      <c r="T1176" s="1" t="str">
        <f t="shared" si="73"/>
        <v/>
      </c>
      <c r="U1176" s="1" t="str">
        <f t="shared" si="74"/>
        <v/>
      </c>
      <c r="V1176" s="1" t="str">
        <f>_xlfn.XLOOKUP(C1176,Payers!$A$2:$A$9,Payers!$B$2:$B$9)</f>
        <v>Summit Health Commercial</v>
      </c>
      <c r="W1176" s="1" t="str">
        <f t="shared" si="75"/>
        <v>2026-08</v>
      </c>
    </row>
    <row r="1177" spans="1:23">
      <c r="A1177" s="1" t="s">
        <v>2232</v>
      </c>
      <c r="B1177" s="1" t="s">
        <v>776</v>
      </c>
      <c r="C1177" s="1" t="s">
        <v>76</v>
      </c>
      <c r="D1177" s="1" t="s">
        <v>26</v>
      </c>
      <c r="E1177" s="1" t="s">
        <v>88</v>
      </c>
      <c r="F1177">
        <v>1</v>
      </c>
      <c r="G1177" s="2">
        <v>46113</v>
      </c>
      <c r="H1177" s="2">
        <v>46114</v>
      </c>
      <c r="I1177">
        <v>255.37</v>
      </c>
      <c r="J1177">
        <v>120.74</v>
      </c>
      <c r="K1177">
        <v>108.67</v>
      </c>
      <c r="L1177">
        <v>12.07</v>
      </c>
      <c r="M1177" s="1" t="s">
        <v>21</v>
      </c>
      <c r="N1177" s="1" t="s">
        <v>22</v>
      </c>
      <c r="O1177" s="2">
        <v>46148</v>
      </c>
      <c r="P1177" s="2">
        <v>46148</v>
      </c>
      <c r="Q1177">
        <f>_xlfn.XLOOKUP(E1177,CPT!$A$2:$A$13,CPT!$D$2:$D$13)</f>
        <v>260</v>
      </c>
      <c r="R1177" s="1">
        <f>_xlfn.XLOOKUP(C1177,Contract!$A$2:$A$9,Contract!$B$2:$B$9)</f>
        <v>0.43</v>
      </c>
      <c r="S1177" s="1">
        <f t="shared" si="72"/>
        <v>111.8</v>
      </c>
      <c r="T1177" s="1">
        <f t="shared" si="73"/>
        <v>-8.9399999999999977</v>
      </c>
      <c r="U1177" s="1" t="str">
        <f t="shared" si="74"/>
        <v>OK</v>
      </c>
      <c r="V1177" s="1" t="str">
        <f>_xlfn.XLOOKUP(C1177,Payers!$A$2:$A$9,Payers!$B$2:$B$9)</f>
        <v>Summit Health Commercial</v>
      </c>
      <c r="W1177" s="1" t="str">
        <f t="shared" si="75"/>
        <v>2026-04</v>
      </c>
    </row>
    <row r="1178" spans="1:23">
      <c r="A1178" s="1" t="s">
        <v>2233</v>
      </c>
      <c r="B1178" s="1" t="s">
        <v>1999</v>
      </c>
      <c r="C1178" s="1" t="s">
        <v>47</v>
      </c>
      <c r="D1178" s="1" t="s">
        <v>30</v>
      </c>
      <c r="E1178" s="1" t="s">
        <v>20</v>
      </c>
      <c r="F1178">
        <v>1</v>
      </c>
      <c r="G1178" s="2">
        <v>46159</v>
      </c>
      <c r="H1178" s="2">
        <v>46164</v>
      </c>
      <c r="I1178">
        <v>144.78</v>
      </c>
      <c r="M1178" s="1" t="s">
        <v>32</v>
      </c>
      <c r="N1178" s="1" t="s">
        <v>98</v>
      </c>
      <c r="O1178" s="2">
        <v>46235</v>
      </c>
      <c r="P1178" s="2"/>
      <c r="Q1178">
        <f>_xlfn.XLOOKUP(E1178,CPT!$A$2:$A$13,CPT!$D$2:$D$13)</f>
        <v>145</v>
      </c>
      <c r="R1178" s="1">
        <f>_xlfn.XLOOKUP(C1178,Contract!$A$2:$A$9,Contract!$B$2:$B$9)</f>
        <v>0.28000000000000003</v>
      </c>
      <c r="S1178" s="1">
        <f t="shared" si="72"/>
        <v>40.6</v>
      </c>
      <c r="T1178" s="1" t="str">
        <f t="shared" si="73"/>
        <v/>
      </c>
      <c r="U1178" s="1" t="str">
        <f t="shared" si="74"/>
        <v/>
      </c>
      <c r="V1178" s="1" t="str">
        <f>_xlfn.XLOOKUP(C1178,Payers!$A$2:$A$9,Payers!$B$2:$B$9)</f>
        <v>Coastal Medicaid MCO</v>
      </c>
      <c r="W1178" s="1" t="str">
        <f t="shared" si="75"/>
        <v>2026-05</v>
      </c>
    </row>
    <row r="1179" spans="1:23">
      <c r="A1179" s="1" t="s">
        <v>2234</v>
      </c>
      <c r="B1179" s="1" t="s">
        <v>1856</v>
      </c>
      <c r="C1179" s="1" t="s">
        <v>18</v>
      </c>
      <c r="D1179" s="1" t="s">
        <v>19</v>
      </c>
      <c r="E1179" s="1" t="s">
        <v>41</v>
      </c>
      <c r="F1179">
        <v>1</v>
      </c>
      <c r="G1179" s="2">
        <v>46074</v>
      </c>
      <c r="H1179" s="2">
        <v>46084</v>
      </c>
      <c r="I1179">
        <v>38.43</v>
      </c>
      <c r="J1179">
        <v>15.45</v>
      </c>
      <c r="K1179">
        <v>15.45</v>
      </c>
      <c r="L1179">
        <v>0</v>
      </c>
      <c r="M1179" s="1" t="s">
        <v>21</v>
      </c>
      <c r="N1179" s="1" t="s">
        <v>22</v>
      </c>
      <c r="O1179" s="2">
        <v>46149</v>
      </c>
      <c r="P1179" s="2">
        <v>46149</v>
      </c>
      <c r="Q1179">
        <f>_xlfn.XLOOKUP(E1179,CPT!$A$2:$A$13,CPT!$D$2:$D$13)</f>
        <v>38</v>
      </c>
      <c r="R1179" s="1">
        <f>_xlfn.XLOOKUP(C1179,Contract!$A$2:$A$9,Contract!$B$2:$B$9)</f>
        <v>0.38</v>
      </c>
      <c r="S1179" s="1">
        <f t="shared" si="72"/>
        <v>14.44</v>
      </c>
      <c r="T1179" s="1">
        <f t="shared" si="73"/>
        <v>-1.0099999999999998</v>
      </c>
      <c r="U1179" s="1" t="str">
        <f t="shared" si="74"/>
        <v>OK</v>
      </c>
      <c r="V1179" s="1" t="str">
        <f>_xlfn.XLOOKUP(C1179,Payers!$A$2:$A$9,Payers!$B$2:$B$9)</f>
        <v>Sunshine Medicare Advantage</v>
      </c>
      <c r="W1179" s="1" t="str">
        <f t="shared" si="75"/>
        <v>2026-02</v>
      </c>
    </row>
    <row r="1180" spans="1:23">
      <c r="A1180" s="1" t="s">
        <v>2235</v>
      </c>
      <c r="B1180" s="1" t="s">
        <v>2236</v>
      </c>
      <c r="C1180" s="1" t="s">
        <v>60</v>
      </c>
      <c r="D1180" s="1" t="s">
        <v>26</v>
      </c>
      <c r="E1180" s="1" t="s">
        <v>88</v>
      </c>
      <c r="F1180">
        <v>1</v>
      </c>
      <c r="G1180" s="2">
        <v>46126</v>
      </c>
      <c r="H1180" s="2">
        <v>46129</v>
      </c>
      <c r="I1180">
        <v>259.58</v>
      </c>
      <c r="J1180">
        <v>119.94</v>
      </c>
      <c r="K1180">
        <v>95.95</v>
      </c>
      <c r="L1180">
        <v>23.99</v>
      </c>
      <c r="M1180" s="1" t="s">
        <v>21</v>
      </c>
      <c r="N1180" s="1" t="s">
        <v>22</v>
      </c>
      <c r="O1180" s="2">
        <v>46164</v>
      </c>
      <c r="P1180" s="2">
        <v>46164</v>
      </c>
      <c r="Q1180">
        <f>_xlfn.XLOOKUP(E1180,CPT!$A$2:$A$13,CPT!$D$2:$D$13)</f>
        <v>260</v>
      </c>
      <c r="R1180" s="1">
        <f>_xlfn.XLOOKUP(C1180,Contract!$A$2:$A$9,Contract!$B$2:$B$9)</f>
        <v>0.45</v>
      </c>
      <c r="S1180" s="1">
        <f t="shared" si="72"/>
        <v>117</v>
      </c>
      <c r="T1180" s="1">
        <f t="shared" si="73"/>
        <v>-2.9399999999999977</v>
      </c>
      <c r="U1180" s="1" t="str">
        <f t="shared" si="74"/>
        <v>OK</v>
      </c>
      <c r="V1180" s="1" t="str">
        <f>_xlfn.XLOOKUP(C1180,Payers!$A$2:$A$9,Payers!$B$2:$B$9)</f>
        <v>Blue Horizon Commercial</v>
      </c>
      <c r="W1180" s="1" t="str">
        <f t="shared" si="75"/>
        <v>2026-04</v>
      </c>
    </row>
    <row r="1181" spans="1:23">
      <c r="A1181" s="1" t="s">
        <v>2237</v>
      </c>
      <c r="B1181" s="1" t="s">
        <v>2238</v>
      </c>
      <c r="C1181" s="1" t="s">
        <v>47</v>
      </c>
      <c r="D1181" s="1" t="s">
        <v>19</v>
      </c>
      <c r="E1181" s="1" t="s">
        <v>41</v>
      </c>
      <c r="F1181">
        <v>1</v>
      </c>
      <c r="G1181" s="2">
        <v>46182</v>
      </c>
      <c r="H1181" s="2">
        <v>46186</v>
      </c>
      <c r="I1181">
        <v>39.020000000000003</v>
      </c>
      <c r="J1181">
        <v>12.54</v>
      </c>
      <c r="K1181">
        <v>11.29</v>
      </c>
      <c r="L1181">
        <v>1.25</v>
      </c>
      <c r="M1181" s="1" t="s">
        <v>21</v>
      </c>
      <c r="N1181" s="1" t="s">
        <v>22</v>
      </c>
      <c r="O1181" s="2">
        <v>46245</v>
      </c>
      <c r="P1181" s="2">
        <v>46245</v>
      </c>
      <c r="Q1181">
        <f>_xlfn.XLOOKUP(E1181,CPT!$A$2:$A$13,CPT!$D$2:$D$13)</f>
        <v>38</v>
      </c>
      <c r="R1181" s="1">
        <f>_xlfn.XLOOKUP(C1181,Contract!$A$2:$A$9,Contract!$B$2:$B$9)</f>
        <v>0.28000000000000003</v>
      </c>
      <c r="S1181" s="1">
        <f t="shared" si="72"/>
        <v>10.64</v>
      </c>
      <c r="T1181" s="1">
        <f t="shared" si="73"/>
        <v>-1.8999999999999986</v>
      </c>
      <c r="U1181" s="1" t="str">
        <f t="shared" si="74"/>
        <v>OK</v>
      </c>
      <c r="V1181" s="1" t="str">
        <f>_xlfn.XLOOKUP(C1181,Payers!$A$2:$A$9,Payers!$B$2:$B$9)</f>
        <v>Coastal Medicaid MCO</v>
      </c>
      <c r="W1181" s="1" t="str">
        <f t="shared" si="75"/>
        <v>2026-06</v>
      </c>
    </row>
    <row r="1182" spans="1:23">
      <c r="A1182" s="1" t="s">
        <v>2239</v>
      </c>
      <c r="B1182" s="1" t="s">
        <v>2240</v>
      </c>
      <c r="C1182" s="1" t="s">
        <v>76</v>
      </c>
      <c r="D1182" s="1" t="s">
        <v>26</v>
      </c>
      <c r="E1182" s="1" t="s">
        <v>27</v>
      </c>
      <c r="F1182">
        <v>1</v>
      </c>
      <c r="G1182" s="2">
        <v>46132</v>
      </c>
      <c r="H1182" s="2">
        <v>46133</v>
      </c>
      <c r="I1182">
        <v>246</v>
      </c>
      <c r="J1182">
        <v>120.23</v>
      </c>
      <c r="K1182">
        <v>108.21</v>
      </c>
      <c r="L1182">
        <v>12.02</v>
      </c>
      <c r="M1182" s="1" t="s">
        <v>21</v>
      </c>
      <c r="N1182" s="1" t="s">
        <v>22</v>
      </c>
      <c r="O1182" s="2">
        <v>46169</v>
      </c>
      <c r="P1182" s="2">
        <v>46169</v>
      </c>
      <c r="Q1182">
        <f>_xlfn.XLOOKUP(E1182,CPT!$A$2:$A$13,CPT!$D$2:$D$13)</f>
        <v>240</v>
      </c>
      <c r="R1182" s="1">
        <f>_xlfn.XLOOKUP(C1182,Contract!$A$2:$A$9,Contract!$B$2:$B$9)</f>
        <v>0.43</v>
      </c>
      <c r="S1182" s="1">
        <f t="shared" si="72"/>
        <v>103.2</v>
      </c>
      <c r="T1182" s="1">
        <f t="shared" si="73"/>
        <v>-17.03</v>
      </c>
      <c r="U1182" s="1" t="str">
        <f t="shared" si="74"/>
        <v>OK</v>
      </c>
      <c r="V1182" s="1" t="str">
        <f>_xlfn.XLOOKUP(C1182,Payers!$A$2:$A$9,Payers!$B$2:$B$9)</f>
        <v>Summit Health Commercial</v>
      </c>
      <c r="W1182" s="1" t="str">
        <f t="shared" si="75"/>
        <v>2026-04</v>
      </c>
    </row>
    <row r="1183" spans="1:23">
      <c r="A1183" s="1" t="s">
        <v>2241</v>
      </c>
      <c r="B1183" s="1" t="s">
        <v>2242</v>
      </c>
      <c r="C1183" s="1" t="s">
        <v>76</v>
      </c>
      <c r="D1183" s="1" t="s">
        <v>37</v>
      </c>
      <c r="E1183" s="1" t="s">
        <v>38</v>
      </c>
      <c r="F1183">
        <v>5</v>
      </c>
      <c r="G1183" s="2">
        <v>46184</v>
      </c>
      <c r="H1183" s="2">
        <v>46188</v>
      </c>
      <c r="I1183">
        <v>7303.01</v>
      </c>
      <c r="J1183">
        <v>2991.12</v>
      </c>
      <c r="K1183">
        <v>2692.01</v>
      </c>
      <c r="L1183">
        <v>299.11</v>
      </c>
      <c r="M1183" s="1" t="s">
        <v>21</v>
      </c>
      <c r="N1183" s="1" t="s">
        <v>22</v>
      </c>
      <c r="O1183" s="2">
        <v>46232</v>
      </c>
      <c r="P1183" s="2">
        <v>46232</v>
      </c>
      <c r="Q1183">
        <f>_xlfn.XLOOKUP(E1183,CPT!$A$2:$A$13,CPT!$D$2:$D$13)</f>
        <v>1450</v>
      </c>
      <c r="R1183" s="1">
        <f>_xlfn.XLOOKUP(C1183,Contract!$A$2:$A$9,Contract!$B$2:$B$9)</f>
        <v>0.43</v>
      </c>
      <c r="S1183" s="1">
        <f t="shared" si="72"/>
        <v>3117.5</v>
      </c>
      <c r="T1183" s="1">
        <f t="shared" si="73"/>
        <v>126.38000000000011</v>
      </c>
      <c r="U1183" s="1" t="str">
        <f t="shared" si="74"/>
        <v>OK</v>
      </c>
      <c r="V1183" s="1" t="str">
        <f>_xlfn.XLOOKUP(C1183,Payers!$A$2:$A$9,Payers!$B$2:$B$9)</f>
        <v>Summit Health Commercial</v>
      </c>
      <c r="W1183" s="1" t="str">
        <f t="shared" si="75"/>
        <v>2026-06</v>
      </c>
    </row>
    <row r="1184" spans="1:23">
      <c r="A1184" s="1" t="s">
        <v>2243</v>
      </c>
      <c r="B1184" s="1" t="s">
        <v>2244</v>
      </c>
      <c r="C1184" s="1" t="s">
        <v>52</v>
      </c>
      <c r="D1184" s="1" t="s">
        <v>19</v>
      </c>
      <c r="E1184" s="1" t="s">
        <v>20</v>
      </c>
      <c r="F1184">
        <v>1</v>
      </c>
      <c r="G1184" s="2">
        <v>46016</v>
      </c>
      <c r="H1184" s="2">
        <v>46018</v>
      </c>
      <c r="I1184">
        <v>141.1</v>
      </c>
      <c r="J1184">
        <v>65.61</v>
      </c>
      <c r="K1184">
        <v>52.49</v>
      </c>
      <c r="L1184">
        <v>13.12</v>
      </c>
      <c r="M1184" s="1" t="s">
        <v>21</v>
      </c>
      <c r="N1184" s="1" t="s">
        <v>22</v>
      </c>
      <c r="O1184" s="2">
        <v>46059</v>
      </c>
      <c r="P1184" s="2">
        <v>46059</v>
      </c>
      <c r="Q1184">
        <f>_xlfn.XLOOKUP(E1184,CPT!$A$2:$A$13,CPT!$D$2:$D$13)</f>
        <v>145</v>
      </c>
      <c r="R1184" s="1">
        <f>_xlfn.XLOOKUP(C1184,Contract!$A$2:$A$9,Contract!$B$2:$B$9)</f>
        <v>0.47</v>
      </c>
      <c r="S1184" s="1">
        <f t="shared" si="72"/>
        <v>68.150000000000006</v>
      </c>
      <c r="T1184" s="1">
        <f t="shared" si="73"/>
        <v>2.5400000000000063</v>
      </c>
      <c r="U1184" s="1" t="str">
        <f t="shared" si="74"/>
        <v>OK</v>
      </c>
      <c r="V1184" s="1" t="str">
        <f>_xlfn.XLOOKUP(C1184,Payers!$A$2:$A$9,Payers!$B$2:$B$9)</f>
        <v>Keystone Commercial PPO</v>
      </c>
      <c r="W1184" s="1" t="str">
        <f t="shared" si="75"/>
        <v>2025-12</v>
      </c>
    </row>
    <row r="1185" spans="1:23">
      <c r="A1185" s="1" t="s">
        <v>2245</v>
      </c>
      <c r="B1185" s="1" t="s">
        <v>468</v>
      </c>
      <c r="C1185" s="1" t="s">
        <v>60</v>
      </c>
      <c r="D1185" s="1" t="s">
        <v>26</v>
      </c>
      <c r="E1185" s="1" t="s">
        <v>27</v>
      </c>
      <c r="F1185">
        <v>1</v>
      </c>
      <c r="G1185" s="2">
        <v>46250</v>
      </c>
      <c r="H1185" s="2">
        <v>46254</v>
      </c>
      <c r="I1185">
        <v>232.95</v>
      </c>
      <c r="J1185">
        <v>95.03</v>
      </c>
      <c r="K1185">
        <v>76.02</v>
      </c>
      <c r="L1185">
        <v>19.010000000000002</v>
      </c>
      <c r="M1185" s="1" t="s">
        <v>21</v>
      </c>
      <c r="N1185" s="1" t="s">
        <v>22</v>
      </c>
      <c r="O1185" s="2">
        <v>46282</v>
      </c>
      <c r="P1185" s="2">
        <v>46282</v>
      </c>
      <c r="Q1185">
        <f>_xlfn.XLOOKUP(E1185,CPT!$A$2:$A$13,CPT!$D$2:$D$13)</f>
        <v>240</v>
      </c>
      <c r="R1185" s="1">
        <f>_xlfn.XLOOKUP(C1185,Contract!$A$2:$A$9,Contract!$B$2:$B$9)</f>
        <v>0.45</v>
      </c>
      <c r="S1185" s="1">
        <f t="shared" si="72"/>
        <v>108</v>
      </c>
      <c r="T1185" s="1">
        <f t="shared" si="73"/>
        <v>12.969999999999999</v>
      </c>
      <c r="U1185" s="1" t="str">
        <f t="shared" si="74"/>
        <v>Underpaid</v>
      </c>
      <c r="V1185" s="1" t="str">
        <f>_xlfn.XLOOKUP(C1185,Payers!$A$2:$A$9,Payers!$B$2:$B$9)</f>
        <v>Blue Horizon Commercial</v>
      </c>
      <c r="W1185" s="1" t="str">
        <f t="shared" si="75"/>
        <v>2026-08</v>
      </c>
    </row>
    <row r="1186" spans="1:23">
      <c r="A1186" s="1" t="s">
        <v>2246</v>
      </c>
      <c r="B1186" s="1" t="s">
        <v>2247</v>
      </c>
      <c r="C1186" s="1" t="s">
        <v>18</v>
      </c>
      <c r="D1186" s="1" t="s">
        <v>19</v>
      </c>
      <c r="E1186" s="1" t="s">
        <v>88</v>
      </c>
      <c r="F1186">
        <v>1</v>
      </c>
      <c r="G1186" s="2">
        <v>46102</v>
      </c>
      <c r="H1186" s="2">
        <v>46105</v>
      </c>
      <c r="I1186">
        <v>257.92</v>
      </c>
      <c r="J1186">
        <v>96.34</v>
      </c>
      <c r="K1186">
        <v>86.71</v>
      </c>
      <c r="L1186">
        <v>9.6300000000000008</v>
      </c>
      <c r="M1186" s="1" t="s">
        <v>21</v>
      </c>
      <c r="N1186" s="1" t="s">
        <v>22</v>
      </c>
      <c r="O1186" s="2">
        <v>46154</v>
      </c>
      <c r="P1186" s="2">
        <v>46154</v>
      </c>
      <c r="Q1186">
        <f>_xlfn.XLOOKUP(E1186,CPT!$A$2:$A$13,CPT!$D$2:$D$13)</f>
        <v>260</v>
      </c>
      <c r="R1186" s="1">
        <f>_xlfn.XLOOKUP(C1186,Contract!$A$2:$A$9,Contract!$B$2:$B$9)</f>
        <v>0.38</v>
      </c>
      <c r="S1186" s="1">
        <f t="shared" si="72"/>
        <v>98.8</v>
      </c>
      <c r="T1186" s="1">
        <f t="shared" si="73"/>
        <v>2.4599999999999937</v>
      </c>
      <c r="U1186" s="1" t="str">
        <f t="shared" si="74"/>
        <v>OK</v>
      </c>
      <c r="V1186" s="1" t="str">
        <f>_xlfn.XLOOKUP(C1186,Payers!$A$2:$A$9,Payers!$B$2:$B$9)</f>
        <v>Sunshine Medicare Advantage</v>
      </c>
      <c r="W1186" s="1" t="str">
        <f t="shared" si="75"/>
        <v>2026-03</v>
      </c>
    </row>
    <row r="1187" spans="1:23">
      <c r="A1187" s="1" t="s">
        <v>2248</v>
      </c>
      <c r="B1187" s="1" t="s">
        <v>2249</v>
      </c>
      <c r="C1187" s="1" t="s">
        <v>52</v>
      </c>
      <c r="D1187" s="1" t="s">
        <v>26</v>
      </c>
      <c r="E1187" s="1" t="s">
        <v>57</v>
      </c>
      <c r="F1187">
        <v>1</v>
      </c>
      <c r="G1187" s="2">
        <v>46067</v>
      </c>
      <c r="H1187" s="2">
        <v>46070</v>
      </c>
      <c r="I1187">
        <v>204.75</v>
      </c>
      <c r="J1187">
        <v>105.94</v>
      </c>
      <c r="K1187">
        <v>95.35</v>
      </c>
      <c r="L1187">
        <v>10.59</v>
      </c>
      <c r="M1187" s="1" t="s">
        <v>21</v>
      </c>
      <c r="N1187" s="1" t="s">
        <v>22</v>
      </c>
      <c r="O1187" s="2">
        <v>46108</v>
      </c>
      <c r="P1187" s="2">
        <v>46108</v>
      </c>
      <c r="Q1187">
        <f>_xlfn.XLOOKUP(E1187,CPT!$A$2:$A$13,CPT!$D$2:$D$13)</f>
        <v>210</v>
      </c>
      <c r="R1187" s="1">
        <f>_xlfn.XLOOKUP(C1187,Contract!$A$2:$A$9,Contract!$B$2:$B$9)</f>
        <v>0.47</v>
      </c>
      <c r="S1187" s="1">
        <f t="shared" si="72"/>
        <v>98.7</v>
      </c>
      <c r="T1187" s="1">
        <f t="shared" si="73"/>
        <v>-7.2399999999999949</v>
      </c>
      <c r="U1187" s="1" t="str">
        <f t="shared" si="74"/>
        <v>OK</v>
      </c>
      <c r="V1187" s="1" t="str">
        <f>_xlfn.XLOOKUP(C1187,Payers!$A$2:$A$9,Payers!$B$2:$B$9)</f>
        <v>Keystone Commercial PPO</v>
      </c>
      <c r="W1187" s="1" t="str">
        <f t="shared" si="75"/>
        <v>2026-02</v>
      </c>
    </row>
    <row r="1188" spans="1:23">
      <c r="A1188" s="1" t="s">
        <v>2250</v>
      </c>
      <c r="B1188" s="1" t="s">
        <v>2251</v>
      </c>
      <c r="C1188" s="1" t="s">
        <v>36</v>
      </c>
      <c r="D1188" s="1" t="s">
        <v>30</v>
      </c>
      <c r="E1188" s="1" t="s">
        <v>31</v>
      </c>
      <c r="F1188">
        <v>1</v>
      </c>
      <c r="G1188" s="2">
        <v>45985</v>
      </c>
      <c r="H1188" s="2">
        <v>45987</v>
      </c>
      <c r="I1188">
        <v>60.42</v>
      </c>
      <c r="J1188">
        <v>17.73</v>
      </c>
      <c r="K1188">
        <v>17.73</v>
      </c>
      <c r="L1188">
        <v>0</v>
      </c>
      <c r="M1188" s="1" t="s">
        <v>21</v>
      </c>
      <c r="N1188" s="1" t="s">
        <v>22</v>
      </c>
      <c r="O1188" s="2">
        <v>46028</v>
      </c>
      <c r="P1188" s="2">
        <v>46028</v>
      </c>
      <c r="Q1188">
        <f>_xlfn.XLOOKUP(E1188,CPT!$A$2:$A$13,CPT!$D$2:$D$13)</f>
        <v>62</v>
      </c>
      <c r="R1188" s="1">
        <f>_xlfn.XLOOKUP(C1188,Contract!$A$2:$A$9,Contract!$B$2:$B$9)</f>
        <v>0.27</v>
      </c>
      <c r="S1188" s="1">
        <f t="shared" si="72"/>
        <v>16.739999999999998</v>
      </c>
      <c r="T1188" s="1">
        <f t="shared" si="73"/>
        <v>-0.99000000000000199</v>
      </c>
      <c r="U1188" s="1" t="str">
        <f t="shared" si="74"/>
        <v>OK</v>
      </c>
      <c r="V1188" s="1" t="str">
        <f>_xlfn.XLOOKUP(C1188,Payers!$A$2:$A$9,Payers!$B$2:$B$9)</f>
        <v>Florida Medicaid</v>
      </c>
      <c r="W1188" s="1" t="str">
        <f t="shared" si="75"/>
        <v>2025-11</v>
      </c>
    </row>
    <row r="1189" spans="1:23">
      <c r="A1189" s="1" t="s">
        <v>2252</v>
      </c>
      <c r="B1189" s="1" t="s">
        <v>2253</v>
      </c>
      <c r="C1189" s="1" t="s">
        <v>60</v>
      </c>
      <c r="D1189" s="1" t="s">
        <v>30</v>
      </c>
      <c r="E1189" s="1" t="s">
        <v>20</v>
      </c>
      <c r="F1189">
        <v>1</v>
      </c>
      <c r="G1189" s="2">
        <v>46229</v>
      </c>
      <c r="H1189" s="2">
        <v>46238</v>
      </c>
      <c r="I1189">
        <v>146.1</v>
      </c>
      <c r="J1189">
        <v>71.599999999999994</v>
      </c>
      <c r="K1189">
        <v>71.599999999999994</v>
      </c>
      <c r="L1189">
        <v>0</v>
      </c>
      <c r="M1189" s="1" t="s">
        <v>21</v>
      </c>
      <c r="N1189" s="1" t="s">
        <v>22</v>
      </c>
      <c r="O1189" s="2">
        <v>46265</v>
      </c>
      <c r="P1189" s="2">
        <v>46265</v>
      </c>
      <c r="Q1189">
        <f>_xlfn.XLOOKUP(E1189,CPT!$A$2:$A$13,CPT!$D$2:$D$13)</f>
        <v>145</v>
      </c>
      <c r="R1189" s="1">
        <f>_xlfn.XLOOKUP(C1189,Contract!$A$2:$A$9,Contract!$B$2:$B$9)</f>
        <v>0.45</v>
      </c>
      <c r="S1189" s="1">
        <f t="shared" si="72"/>
        <v>65.25</v>
      </c>
      <c r="T1189" s="1">
        <f t="shared" si="73"/>
        <v>-6.3499999999999943</v>
      </c>
      <c r="U1189" s="1" t="str">
        <f t="shared" si="74"/>
        <v>OK</v>
      </c>
      <c r="V1189" s="1" t="str">
        <f>_xlfn.XLOOKUP(C1189,Payers!$A$2:$A$9,Payers!$B$2:$B$9)</f>
        <v>Blue Horizon Commercial</v>
      </c>
      <c r="W1189" s="1" t="str">
        <f t="shared" si="75"/>
        <v>2026-07</v>
      </c>
    </row>
    <row r="1190" spans="1:23">
      <c r="A1190" s="1" t="s">
        <v>2254</v>
      </c>
      <c r="B1190" s="1" t="s">
        <v>2255</v>
      </c>
      <c r="C1190" s="1" t="s">
        <v>60</v>
      </c>
      <c r="D1190" s="1" t="s">
        <v>26</v>
      </c>
      <c r="E1190" s="1" t="s">
        <v>41</v>
      </c>
      <c r="F1190">
        <v>1</v>
      </c>
      <c r="G1190" s="2">
        <v>45972</v>
      </c>
      <c r="H1190" s="2">
        <v>45978</v>
      </c>
      <c r="I1190">
        <v>37.28</v>
      </c>
      <c r="M1190" s="1" t="s">
        <v>32</v>
      </c>
      <c r="N1190" s="1" t="s">
        <v>124</v>
      </c>
      <c r="O1190" s="2">
        <v>46009</v>
      </c>
      <c r="P1190" s="2"/>
      <c r="Q1190">
        <f>_xlfn.XLOOKUP(E1190,CPT!$A$2:$A$13,CPT!$D$2:$D$13)</f>
        <v>38</v>
      </c>
      <c r="R1190" s="1">
        <f>_xlfn.XLOOKUP(C1190,Contract!$A$2:$A$9,Contract!$B$2:$B$9)</f>
        <v>0.45</v>
      </c>
      <c r="S1190" s="1">
        <f t="shared" si="72"/>
        <v>17.100000000000001</v>
      </c>
      <c r="T1190" s="1" t="str">
        <f t="shared" si="73"/>
        <v/>
      </c>
      <c r="U1190" s="1" t="str">
        <f t="shared" si="74"/>
        <v/>
      </c>
      <c r="V1190" s="1" t="str">
        <f>_xlfn.XLOOKUP(C1190,Payers!$A$2:$A$9,Payers!$B$2:$B$9)</f>
        <v>Blue Horizon Commercial</v>
      </c>
      <c r="W1190" s="1" t="str">
        <f t="shared" si="75"/>
        <v>2025-11</v>
      </c>
    </row>
    <row r="1191" spans="1:23">
      <c r="A1191" s="1" t="s">
        <v>2256</v>
      </c>
      <c r="B1191" s="1" t="s">
        <v>2257</v>
      </c>
      <c r="C1191" s="1" t="s">
        <v>25</v>
      </c>
      <c r="D1191" s="1" t="s">
        <v>26</v>
      </c>
      <c r="E1191" s="1" t="s">
        <v>113</v>
      </c>
      <c r="F1191">
        <v>1</v>
      </c>
      <c r="G1191" s="2">
        <v>46026</v>
      </c>
      <c r="H1191" s="2">
        <v>46032</v>
      </c>
      <c r="I1191">
        <v>1048.06</v>
      </c>
      <c r="J1191">
        <v>419.66</v>
      </c>
      <c r="K1191">
        <v>335.73</v>
      </c>
      <c r="L1191">
        <v>83.93</v>
      </c>
      <c r="M1191" s="1" t="s">
        <v>21</v>
      </c>
      <c r="N1191" s="1" t="s">
        <v>22</v>
      </c>
      <c r="O1191" s="2">
        <v>46058</v>
      </c>
      <c r="P1191" s="2">
        <v>46058</v>
      </c>
      <c r="Q1191">
        <f>_xlfn.XLOOKUP(E1191,CPT!$A$2:$A$13,CPT!$D$2:$D$13)</f>
        <v>1050</v>
      </c>
      <c r="R1191" s="1">
        <f>_xlfn.XLOOKUP(C1191,Contract!$A$2:$A$9,Contract!$B$2:$B$9)</f>
        <v>0.36</v>
      </c>
      <c r="S1191" s="1">
        <f t="shared" si="72"/>
        <v>378</v>
      </c>
      <c r="T1191" s="1">
        <f t="shared" si="73"/>
        <v>-41.660000000000025</v>
      </c>
      <c r="U1191" s="1" t="str">
        <f t="shared" si="74"/>
        <v>OK</v>
      </c>
      <c r="V1191" s="1" t="str">
        <f>_xlfn.XLOOKUP(C1191,Payers!$A$2:$A$9,Payers!$B$2:$B$9)</f>
        <v>Medicare Part B</v>
      </c>
      <c r="W1191" s="1" t="str">
        <f t="shared" si="75"/>
        <v>2026-01</v>
      </c>
    </row>
    <row r="1192" spans="1:23">
      <c r="A1192" s="1" t="s">
        <v>2258</v>
      </c>
      <c r="B1192" s="1" t="s">
        <v>819</v>
      </c>
      <c r="C1192" s="1" t="s">
        <v>60</v>
      </c>
      <c r="D1192" s="1" t="s">
        <v>19</v>
      </c>
      <c r="E1192" s="1" t="s">
        <v>20</v>
      </c>
      <c r="F1192">
        <v>1</v>
      </c>
      <c r="G1192" s="2">
        <v>46032</v>
      </c>
      <c r="H1192" s="2">
        <v>46041</v>
      </c>
      <c r="I1192">
        <v>142.94</v>
      </c>
      <c r="J1192">
        <v>58.11</v>
      </c>
      <c r="K1192">
        <v>58.11</v>
      </c>
      <c r="L1192">
        <v>0</v>
      </c>
      <c r="M1192" s="1" t="s">
        <v>21</v>
      </c>
      <c r="N1192" s="1" t="s">
        <v>22</v>
      </c>
      <c r="O1192" s="2">
        <v>46079</v>
      </c>
      <c r="P1192" s="2">
        <v>46079</v>
      </c>
      <c r="Q1192">
        <f>_xlfn.XLOOKUP(E1192,CPT!$A$2:$A$13,CPT!$D$2:$D$13)</f>
        <v>145</v>
      </c>
      <c r="R1192" s="1">
        <f>_xlfn.XLOOKUP(C1192,Contract!$A$2:$A$9,Contract!$B$2:$B$9)</f>
        <v>0.45</v>
      </c>
      <c r="S1192" s="1">
        <f t="shared" si="72"/>
        <v>65.25</v>
      </c>
      <c r="T1192" s="1">
        <f t="shared" si="73"/>
        <v>7.1400000000000006</v>
      </c>
      <c r="U1192" s="1" t="str">
        <f t="shared" si="74"/>
        <v>Underpaid</v>
      </c>
      <c r="V1192" s="1" t="str">
        <f>_xlfn.XLOOKUP(C1192,Payers!$A$2:$A$9,Payers!$B$2:$B$9)</f>
        <v>Blue Horizon Commercial</v>
      </c>
      <c r="W1192" s="1" t="str">
        <f t="shared" si="75"/>
        <v>2026-01</v>
      </c>
    </row>
    <row r="1193" spans="1:23">
      <c r="A1193" s="1" t="s">
        <v>2259</v>
      </c>
      <c r="B1193" s="1" t="s">
        <v>2260</v>
      </c>
      <c r="C1193" s="1" t="s">
        <v>60</v>
      </c>
      <c r="D1193" s="1" t="s">
        <v>30</v>
      </c>
      <c r="E1193" s="1" t="s">
        <v>31</v>
      </c>
      <c r="F1193">
        <v>3</v>
      </c>
      <c r="G1193" s="2">
        <v>46256</v>
      </c>
      <c r="H1193" s="2">
        <v>46259</v>
      </c>
      <c r="I1193">
        <v>183.73</v>
      </c>
      <c r="M1193" s="1" t="s">
        <v>69</v>
      </c>
      <c r="N1193" s="1" t="s">
        <v>22</v>
      </c>
      <c r="O1193" s="2"/>
      <c r="P1193" s="2"/>
      <c r="Q1193">
        <f>_xlfn.XLOOKUP(E1193,CPT!$A$2:$A$13,CPT!$D$2:$D$13)</f>
        <v>62</v>
      </c>
      <c r="R1193" s="1">
        <f>_xlfn.XLOOKUP(C1193,Contract!$A$2:$A$9,Contract!$B$2:$B$9)</f>
        <v>0.45</v>
      </c>
      <c r="S1193" s="1">
        <f t="shared" si="72"/>
        <v>83.7</v>
      </c>
      <c r="T1193" s="1" t="str">
        <f t="shared" si="73"/>
        <v/>
      </c>
      <c r="U1193" s="1" t="str">
        <f t="shared" si="74"/>
        <v/>
      </c>
      <c r="V1193" s="1" t="str">
        <f>_xlfn.XLOOKUP(C1193,Payers!$A$2:$A$9,Payers!$B$2:$B$9)</f>
        <v>Blue Horizon Commercial</v>
      </c>
      <c r="W1193" s="1" t="str">
        <f t="shared" si="75"/>
        <v>2026-08</v>
      </c>
    </row>
    <row r="1194" spans="1:23">
      <c r="A1194" s="1" t="s">
        <v>2261</v>
      </c>
      <c r="B1194" s="1" t="s">
        <v>2262</v>
      </c>
      <c r="C1194" s="1" t="s">
        <v>60</v>
      </c>
      <c r="D1194" s="1" t="s">
        <v>37</v>
      </c>
      <c r="E1194" s="1" t="s">
        <v>57</v>
      </c>
      <c r="F1194">
        <v>1</v>
      </c>
      <c r="G1194" s="2">
        <v>46280</v>
      </c>
      <c r="H1194" s="2">
        <v>46286</v>
      </c>
      <c r="I1194">
        <v>206.87</v>
      </c>
      <c r="M1194" s="1" t="s">
        <v>69</v>
      </c>
      <c r="N1194" s="1" t="s">
        <v>22</v>
      </c>
      <c r="O1194" s="2"/>
      <c r="P1194" s="2"/>
      <c r="Q1194">
        <f>_xlfn.XLOOKUP(E1194,CPT!$A$2:$A$13,CPT!$D$2:$D$13)</f>
        <v>210</v>
      </c>
      <c r="R1194" s="1">
        <f>_xlfn.XLOOKUP(C1194,Contract!$A$2:$A$9,Contract!$B$2:$B$9)</f>
        <v>0.45</v>
      </c>
      <c r="S1194" s="1">
        <f t="shared" si="72"/>
        <v>94.5</v>
      </c>
      <c r="T1194" s="1" t="str">
        <f t="shared" si="73"/>
        <v/>
      </c>
      <c r="U1194" s="1" t="str">
        <f t="shared" si="74"/>
        <v/>
      </c>
      <c r="V1194" s="1" t="str">
        <f>_xlfn.XLOOKUP(C1194,Payers!$A$2:$A$9,Payers!$B$2:$B$9)</f>
        <v>Blue Horizon Commercial</v>
      </c>
      <c r="W1194" s="1" t="str">
        <f t="shared" si="75"/>
        <v>2026-09</v>
      </c>
    </row>
    <row r="1195" spans="1:23">
      <c r="A1195" s="1" t="s">
        <v>2263</v>
      </c>
      <c r="B1195" s="1" t="s">
        <v>277</v>
      </c>
      <c r="C1195" s="1" t="s">
        <v>60</v>
      </c>
      <c r="D1195" s="1" t="s">
        <v>19</v>
      </c>
      <c r="E1195" s="1" t="s">
        <v>41</v>
      </c>
      <c r="F1195">
        <v>1</v>
      </c>
      <c r="G1195" s="2">
        <v>46276</v>
      </c>
      <c r="H1195" s="2">
        <v>46280</v>
      </c>
      <c r="I1195">
        <v>37.06</v>
      </c>
      <c r="M1195" s="1" t="s">
        <v>69</v>
      </c>
      <c r="N1195" s="1" t="s">
        <v>22</v>
      </c>
      <c r="O1195" s="2"/>
      <c r="P1195" s="2"/>
      <c r="Q1195">
        <f>_xlfn.XLOOKUP(E1195,CPT!$A$2:$A$13,CPT!$D$2:$D$13)</f>
        <v>38</v>
      </c>
      <c r="R1195" s="1">
        <f>_xlfn.XLOOKUP(C1195,Contract!$A$2:$A$9,Contract!$B$2:$B$9)</f>
        <v>0.45</v>
      </c>
      <c r="S1195" s="1">
        <f t="shared" si="72"/>
        <v>17.100000000000001</v>
      </c>
      <c r="T1195" s="1" t="str">
        <f t="shared" si="73"/>
        <v/>
      </c>
      <c r="U1195" s="1" t="str">
        <f t="shared" si="74"/>
        <v/>
      </c>
      <c r="V1195" s="1" t="str">
        <f>_xlfn.XLOOKUP(C1195,Payers!$A$2:$A$9,Payers!$B$2:$B$9)</f>
        <v>Blue Horizon Commercial</v>
      </c>
      <c r="W1195" s="1" t="str">
        <f t="shared" si="75"/>
        <v>2026-09</v>
      </c>
    </row>
    <row r="1196" spans="1:23">
      <c r="A1196" s="1" t="s">
        <v>2264</v>
      </c>
      <c r="B1196" s="1" t="s">
        <v>2265</v>
      </c>
      <c r="C1196" s="1" t="s">
        <v>25</v>
      </c>
      <c r="D1196" s="1" t="s">
        <v>19</v>
      </c>
      <c r="E1196" s="1" t="s">
        <v>20</v>
      </c>
      <c r="F1196">
        <v>1</v>
      </c>
      <c r="G1196" s="2">
        <v>46094</v>
      </c>
      <c r="H1196" s="2">
        <v>46100</v>
      </c>
      <c r="I1196">
        <v>144.57</v>
      </c>
      <c r="J1196">
        <v>52.04</v>
      </c>
      <c r="K1196">
        <v>52.04</v>
      </c>
      <c r="L1196">
        <v>0</v>
      </c>
      <c r="M1196" s="1" t="s">
        <v>21</v>
      </c>
      <c r="N1196" s="1" t="s">
        <v>22</v>
      </c>
      <c r="O1196" s="2">
        <v>46118</v>
      </c>
      <c r="P1196" s="2">
        <v>46118</v>
      </c>
      <c r="Q1196">
        <f>_xlfn.XLOOKUP(E1196,CPT!$A$2:$A$13,CPT!$D$2:$D$13)</f>
        <v>145</v>
      </c>
      <c r="R1196" s="1">
        <f>_xlfn.XLOOKUP(C1196,Contract!$A$2:$A$9,Contract!$B$2:$B$9)</f>
        <v>0.36</v>
      </c>
      <c r="S1196" s="1">
        <f t="shared" si="72"/>
        <v>52.2</v>
      </c>
      <c r="T1196" s="1">
        <f t="shared" si="73"/>
        <v>0.16000000000000369</v>
      </c>
      <c r="U1196" s="1" t="str">
        <f t="shared" si="74"/>
        <v>OK</v>
      </c>
      <c r="V1196" s="1" t="str">
        <f>_xlfn.XLOOKUP(C1196,Payers!$A$2:$A$9,Payers!$B$2:$B$9)</f>
        <v>Medicare Part B</v>
      </c>
      <c r="W1196" s="1" t="str">
        <f t="shared" si="75"/>
        <v>2026-03</v>
      </c>
    </row>
    <row r="1197" spans="1:23">
      <c r="A1197" s="1" t="s">
        <v>2266</v>
      </c>
      <c r="B1197" s="1" t="s">
        <v>2267</v>
      </c>
      <c r="C1197" s="1" t="s">
        <v>18</v>
      </c>
      <c r="D1197" s="1" t="s">
        <v>19</v>
      </c>
      <c r="E1197" s="1" t="s">
        <v>20</v>
      </c>
      <c r="F1197">
        <v>1</v>
      </c>
      <c r="G1197" s="2">
        <v>46140</v>
      </c>
      <c r="H1197" s="2">
        <v>46143</v>
      </c>
      <c r="I1197">
        <v>144.69999999999999</v>
      </c>
      <c r="J1197">
        <v>61.31</v>
      </c>
      <c r="K1197">
        <v>49.05</v>
      </c>
      <c r="L1197">
        <v>12.26</v>
      </c>
      <c r="M1197" s="1" t="s">
        <v>21</v>
      </c>
      <c r="N1197" s="1" t="s">
        <v>22</v>
      </c>
      <c r="O1197" s="2">
        <v>46181</v>
      </c>
      <c r="P1197" s="2">
        <v>46181</v>
      </c>
      <c r="Q1197">
        <f>_xlfn.XLOOKUP(E1197,CPT!$A$2:$A$13,CPT!$D$2:$D$13)</f>
        <v>145</v>
      </c>
      <c r="R1197" s="1">
        <f>_xlfn.XLOOKUP(C1197,Contract!$A$2:$A$9,Contract!$B$2:$B$9)</f>
        <v>0.38</v>
      </c>
      <c r="S1197" s="1">
        <f t="shared" si="72"/>
        <v>55.1</v>
      </c>
      <c r="T1197" s="1">
        <f t="shared" si="73"/>
        <v>-6.2100000000000009</v>
      </c>
      <c r="U1197" s="1" t="str">
        <f t="shared" si="74"/>
        <v>OK</v>
      </c>
      <c r="V1197" s="1" t="str">
        <f>_xlfn.XLOOKUP(C1197,Payers!$A$2:$A$9,Payers!$B$2:$B$9)</f>
        <v>Sunshine Medicare Advantage</v>
      </c>
      <c r="W1197" s="1" t="str">
        <f t="shared" si="75"/>
        <v>2026-04</v>
      </c>
    </row>
    <row r="1198" spans="1:23">
      <c r="A1198" s="1" t="s">
        <v>2268</v>
      </c>
      <c r="B1198" s="1" t="s">
        <v>1091</v>
      </c>
      <c r="C1198" s="1" t="s">
        <v>52</v>
      </c>
      <c r="D1198" s="1" t="s">
        <v>30</v>
      </c>
      <c r="E1198" s="1" t="s">
        <v>91</v>
      </c>
      <c r="F1198">
        <v>4</v>
      </c>
      <c r="G1198" s="2">
        <v>46003</v>
      </c>
      <c r="H1198" s="2">
        <v>46106</v>
      </c>
      <c r="I1198">
        <v>235.49</v>
      </c>
      <c r="M1198" s="1" t="s">
        <v>32</v>
      </c>
      <c r="N1198" s="1" t="s">
        <v>137</v>
      </c>
      <c r="O1198" s="2">
        <v>46156</v>
      </c>
      <c r="P1198" s="2"/>
      <c r="Q1198">
        <f>_xlfn.XLOOKUP(E1198,CPT!$A$2:$A$13,CPT!$D$2:$D$13)</f>
        <v>58</v>
      </c>
      <c r="R1198" s="1">
        <f>_xlfn.XLOOKUP(C1198,Contract!$A$2:$A$9,Contract!$B$2:$B$9)</f>
        <v>0.47</v>
      </c>
      <c r="S1198" s="1">
        <f t="shared" si="72"/>
        <v>109.04</v>
      </c>
      <c r="T1198" s="1" t="str">
        <f t="shared" si="73"/>
        <v/>
      </c>
      <c r="U1198" s="1" t="str">
        <f t="shared" si="74"/>
        <v/>
      </c>
      <c r="V1198" s="1" t="str">
        <f>_xlfn.XLOOKUP(C1198,Payers!$A$2:$A$9,Payers!$B$2:$B$9)</f>
        <v>Keystone Commercial PPO</v>
      </c>
      <c r="W1198" s="1" t="str">
        <f t="shared" si="75"/>
        <v>2025-12</v>
      </c>
    </row>
    <row r="1199" spans="1:23">
      <c r="A1199" s="1" t="s">
        <v>2269</v>
      </c>
      <c r="B1199" s="1" t="s">
        <v>2270</v>
      </c>
      <c r="C1199" s="1" t="s">
        <v>36</v>
      </c>
      <c r="D1199" s="1" t="s">
        <v>26</v>
      </c>
      <c r="E1199" s="1" t="s">
        <v>44</v>
      </c>
      <c r="F1199">
        <v>1</v>
      </c>
      <c r="G1199" s="2">
        <v>46019</v>
      </c>
      <c r="H1199" s="2">
        <v>46031</v>
      </c>
      <c r="I1199">
        <v>4699.5</v>
      </c>
      <c r="M1199" s="1" t="s">
        <v>32</v>
      </c>
      <c r="N1199" s="1" t="s">
        <v>315</v>
      </c>
      <c r="O1199" s="2">
        <v>46066</v>
      </c>
      <c r="P1199" s="2"/>
      <c r="Q1199">
        <f>_xlfn.XLOOKUP(E1199,CPT!$A$2:$A$13,CPT!$D$2:$D$13)</f>
        <v>4800</v>
      </c>
      <c r="R1199" s="1">
        <f>_xlfn.XLOOKUP(C1199,Contract!$A$2:$A$9,Contract!$B$2:$B$9)</f>
        <v>0.27</v>
      </c>
      <c r="S1199" s="1">
        <f t="shared" si="72"/>
        <v>1296</v>
      </c>
      <c r="T1199" s="1" t="str">
        <f t="shared" si="73"/>
        <v/>
      </c>
      <c r="U1199" s="1" t="str">
        <f t="shared" si="74"/>
        <v/>
      </c>
      <c r="V1199" s="1" t="str">
        <f>_xlfn.XLOOKUP(C1199,Payers!$A$2:$A$9,Payers!$B$2:$B$9)</f>
        <v>Florida Medicaid</v>
      </c>
      <c r="W1199" s="1" t="str">
        <f t="shared" si="75"/>
        <v>2025-12</v>
      </c>
    </row>
    <row r="1200" spans="1:23">
      <c r="A1200" s="1" t="s">
        <v>2271</v>
      </c>
      <c r="B1200" s="1" t="s">
        <v>2272</v>
      </c>
      <c r="C1200" s="1" t="s">
        <v>25</v>
      </c>
      <c r="D1200" s="1" t="s">
        <v>26</v>
      </c>
      <c r="E1200" s="1" t="s">
        <v>44</v>
      </c>
      <c r="F1200">
        <v>1</v>
      </c>
      <c r="G1200" s="2">
        <v>46047</v>
      </c>
      <c r="H1200" s="2">
        <v>46051</v>
      </c>
      <c r="I1200">
        <v>4710.7</v>
      </c>
      <c r="J1200">
        <v>1661.61</v>
      </c>
      <c r="K1200">
        <v>1661.61</v>
      </c>
      <c r="L1200">
        <v>0</v>
      </c>
      <c r="M1200" s="1" t="s">
        <v>21</v>
      </c>
      <c r="N1200" s="1" t="s">
        <v>22</v>
      </c>
      <c r="O1200" s="2">
        <v>46072</v>
      </c>
      <c r="P1200" s="2">
        <v>46072</v>
      </c>
      <c r="Q1200">
        <f>_xlfn.XLOOKUP(E1200,CPT!$A$2:$A$13,CPT!$D$2:$D$13)</f>
        <v>4800</v>
      </c>
      <c r="R1200" s="1">
        <f>_xlfn.XLOOKUP(C1200,Contract!$A$2:$A$9,Contract!$B$2:$B$9)</f>
        <v>0.36</v>
      </c>
      <c r="S1200" s="1">
        <f t="shared" si="72"/>
        <v>1728</v>
      </c>
      <c r="T1200" s="1">
        <f t="shared" si="73"/>
        <v>66.3900000000001</v>
      </c>
      <c r="U1200" s="1" t="str">
        <f t="shared" si="74"/>
        <v>OK</v>
      </c>
      <c r="V1200" s="1" t="str">
        <f>_xlfn.XLOOKUP(C1200,Payers!$A$2:$A$9,Payers!$B$2:$B$9)</f>
        <v>Medicare Part B</v>
      </c>
      <c r="W1200" s="1" t="str">
        <f t="shared" si="75"/>
        <v>2026-01</v>
      </c>
    </row>
    <row r="1201" spans="1:23">
      <c r="A1201" s="1" t="s">
        <v>2273</v>
      </c>
      <c r="B1201" s="1" t="s">
        <v>2274</v>
      </c>
      <c r="C1201" s="1" t="s">
        <v>79</v>
      </c>
      <c r="D1201" s="1" t="s">
        <v>30</v>
      </c>
      <c r="E1201" s="1" t="s">
        <v>31</v>
      </c>
      <c r="F1201">
        <v>2</v>
      </c>
      <c r="G1201" s="2">
        <v>46292</v>
      </c>
      <c r="H1201" s="2">
        <v>46293</v>
      </c>
      <c r="I1201">
        <v>124.8</v>
      </c>
      <c r="M1201" s="1" t="s">
        <v>69</v>
      </c>
      <c r="N1201" s="1" t="s">
        <v>22</v>
      </c>
      <c r="O1201" s="2"/>
      <c r="P1201" s="2"/>
      <c r="Q1201">
        <f>_xlfn.XLOOKUP(E1201,CPT!$A$2:$A$13,CPT!$D$2:$D$13)</f>
        <v>62</v>
      </c>
      <c r="R1201" s="1">
        <f>_xlfn.XLOOKUP(C1201,Contract!$A$2:$A$9,Contract!$B$2:$B$9)</f>
        <v>1</v>
      </c>
      <c r="S1201" s="1">
        <f t="shared" si="72"/>
        <v>124</v>
      </c>
      <c r="T1201" s="1" t="str">
        <f t="shared" si="73"/>
        <v/>
      </c>
      <c r="U1201" s="1" t="str">
        <f t="shared" si="74"/>
        <v/>
      </c>
      <c r="V1201" s="1" t="str">
        <f>_xlfn.XLOOKUP(C1201,Payers!$A$2:$A$9,Payers!$B$2:$B$9)</f>
        <v>Self-Pay</v>
      </c>
      <c r="W1201" s="1" t="str">
        <f t="shared" si="75"/>
        <v>2026-09</v>
      </c>
    </row>
    <row r="1202" spans="1:23">
      <c r="A1202" s="1" t="s">
        <v>2275</v>
      </c>
      <c r="B1202" s="1" t="s">
        <v>663</v>
      </c>
      <c r="C1202" s="1" t="s">
        <v>79</v>
      </c>
      <c r="D1202" s="1" t="s">
        <v>19</v>
      </c>
      <c r="E1202" s="1" t="s">
        <v>20</v>
      </c>
      <c r="F1202">
        <v>1</v>
      </c>
      <c r="G1202" s="2">
        <v>46254</v>
      </c>
      <c r="H1202" s="2">
        <v>46258</v>
      </c>
      <c r="I1202">
        <v>142.03</v>
      </c>
      <c r="M1202" s="1" t="s">
        <v>69</v>
      </c>
      <c r="N1202" s="1" t="s">
        <v>22</v>
      </c>
      <c r="O1202" s="2"/>
      <c r="P1202" s="2"/>
      <c r="Q1202">
        <f>_xlfn.XLOOKUP(E1202,CPT!$A$2:$A$13,CPT!$D$2:$D$13)</f>
        <v>145</v>
      </c>
      <c r="R1202" s="1">
        <f>_xlfn.XLOOKUP(C1202,Contract!$A$2:$A$9,Contract!$B$2:$B$9)</f>
        <v>1</v>
      </c>
      <c r="S1202" s="1">
        <f t="shared" si="72"/>
        <v>145</v>
      </c>
      <c r="T1202" s="1" t="str">
        <f t="shared" si="73"/>
        <v/>
      </c>
      <c r="U1202" s="1" t="str">
        <f t="shared" si="74"/>
        <v/>
      </c>
      <c r="V1202" s="1" t="str">
        <f>_xlfn.XLOOKUP(C1202,Payers!$A$2:$A$9,Payers!$B$2:$B$9)</f>
        <v>Self-Pay</v>
      </c>
      <c r="W1202" s="1" t="str">
        <f t="shared" si="75"/>
        <v>2026-08</v>
      </c>
    </row>
    <row r="1203" spans="1:23">
      <c r="A1203" s="1" t="s">
        <v>2276</v>
      </c>
      <c r="B1203" s="1" t="s">
        <v>2277</v>
      </c>
      <c r="C1203" s="1" t="s">
        <v>18</v>
      </c>
      <c r="D1203" s="1" t="s">
        <v>19</v>
      </c>
      <c r="E1203" s="1" t="s">
        <v>88</v>
      </c>
      <c r="F1203">
        <v>1</v>
      </c>
      <c r="G1203" s="2">
        <v>46283</v>
      </c>
      <c r="H1203" s="2">
        <v>46285</v>
      </c>
      <c r="I1203">
        <v>265.68</v>
      </c>
      <c r="M1203" s="1" t="s">
        <v>69</v>
      </c>
      <c r="N1203" s="1" t="s">
        <v>22</v>
      </c>
      <c r="O1203" s="2"/>
      <c r="P1203" s="2"/>
      <c r="Q1203">
        <f>_xlfn.XLOOKUP(E1203,CPT!$A$2:$A$13,CPT!$D$2:$D$13)</f>
        <v>260</v>
      </c>
      <c r="R1203" s="1">
        <f>_xlfn.XLOOKUP(C1203,Contract!$A$2:$A$9,Contract!$B$2:$B$9)</f>
        <v>0.38</v>
      </c>
      <c r="S1203" s="1">
        <f t="shared" si="72"/>
        <v>98.8</v>
      </c>
      <c r="T1203" s="1" t="str">
        <f t="shared" si="73"/>
        <v/>
      </c>
      <c r="U1203" s="1" t="str">
        <f t="shared" si="74"/>
        <v/>
      </c>
      <c r="V1203" s="1" t="str">
        <f>_xlfn.XLOOKUP(C1203,Payers!$A$2:$A$9,Payers!$B$2:$B$9)</f>
        <v>Sunshine Medicare Advantage</v>
      </c>
      <c r="W1203" s="1" t="str">
        <f t="shared" si="75"/>
        <v>2026-09</v>
      </c>
    </row>
    <row r="1204" spans="1:23">
      <c r="A1204" s="1" t="s">
        <v>2278</v>
      </c>
      <c r="B1204" s="1" t="s">
        <v>1337</v>
      </c>
      <c r="C1204" s="1" t="s">
        <v>60</v>
      </c>
      <c r="D1204" s="1" t="s">
        <v>19</v>
      </c>
      <c r="E1204" s="1" t="s">
        <v>57</v>
      </c>
      <c r="F1204">
        <v>1</v>
      </c>
      <c r="G1204" s="2">
        <v>46098</v>
      </c>
      <c r="H1204" s="2">
        <v>46108</v>
      </c>
      <c r="I1204">
        <v>212.37</v>
      </c>
      <c r="J1204">
        <v>99.55</v>
      </c>
      <c r="K1204">
        <v>89.59</v>
      </c>
      <c r="L1204">
        <v>9.9600000000000009</v>
      </c>
      <c r="M1204" s="1" t="s">
        <v>21</v>
      </c>
      <c r="N1204" s="1" t="s">
        <v>22</v>
      </c>
      <c r="O1204" s="2">
        <v>46143</v>
      </c>
      <c r="P1204" s="2">
        <v>46143</v>
      </c>
      <c r="Q1204">
        <f>_xlfn.XLOOKUP(E1204,CPT!$A$2:$A$13,CPT!$D$2:$D$13)</f>
        <v>210</v>
      </c>
      <c r="R1204" s="1">
        <f>_xlfn.XLOOKUP(C1204,Contract!$A$2:$A$9,Contract!$B$2:$B$9)</f>
        <v>0.45</v>
      </c>
      <c r="S1204" s="1">
        <f t="shared" si="72"/>
        <v>94.5</v>
      </c>
      <c r="T1204" s="1">
        <f t="shared" si="73"/>
        <v>-5.0499999999999972</v>
      </c>
      <c r="U1204" s="1" t="str">
        <f t="shared" si="74"/>
        <v>OK</v>
      </c>
      <c r="V1204" s="1" t="str">
        <f>_xlfn.XLOOKUP(C1204,Payers!$A$2:$A$9,Payers!$B$2:$B$9)</f>
        <v>Blue Horizon Commercial</v>
      </c>
      <c r="W1204" s="1" t="str">
        <f t="shared" si="75"/>
        <v>2026-03</v>
      </c>
    </row>
    <row r="1205" spans="1:23">
      <c r="A1205" s="1" t="s">
        <v>2279</v>
      </c>
      <c r="B1205" s="1" t="s">
        <v>2280</v>
      </c>
      <c r="C1205" s="1" t="s">
        <v>18</v>
      </c>
      <c r="D1205" s="1" t="s">
        <v>19</v>
      </c>
      <c r="E1205" s="1" t="s">
        <v>88</v>
      </c>
      <c r="F1205">
        <v>1</v>
      </c>
      <c r="G1205" s="2">
        <v>45996</v>
      </c>
      <c r="H1205" s="2">
        <v>46003</v>
      </c>
      <c r="I1205">
        <v>267.26</v>
      </c>
      <c r="J1205">
        <v>115.31</v>
      </c>
      <c r="K1205">
        <v>115.31</v>
      </c>
      <c r="L1205">
        <v>0</v>
      </c>
      <c r="M1205" s="1" t="s">
        <v>21</v>
      </c>
      <c r="N1205" s="1" t="s">
        <v>22</v>
      </c>
      <c r="O1205" s="2">
        <v>46044</v>
      </c>
      <c r="P1205" s="2">
        <v>46044</v>
      </c>
      <c r="Q1205">
        <f>_xlfn.XLOOKUP(E1205,CPT!$A$2:$A$13,CPT!$D$2:$D$13)</f>
        <v>260</v>
      </c>
      <c r="R1205" s="1">
        <f>_xlfn.XLOOKUP(C1205,Contract!$A$2:$A$9,Contract!$B$2:$B$9)</f>
        <v>0.38</v>
      </c>
      <c r="S1205" s="1">
        <f t="shared" si="72"/>
        <v>98.8</v>
      </c>
      <c r="T1205" s="1">
        <f t="shared" si="73"/>
        <v>-16.510000000000005</v>
      </c>
      <c r="U1205" s="1" t="str">
        <f t="shared" si="74"/>
        <v>OK</v>
      </c>
      <c r="V1205" s="1" t="str">
        <f>_xlfn.XLOOKUP(C1205,Payers!$A$2:$A$9,Payers!$B$2:$B$9)</f>
        <v>Sunshine Medicare Advantage</v>
      </c>
      <c r="W1205" s="1" t="str">
        <f t="shared" si="75"/>
        <v>2025-12</v>
      </c>
    </row>
    <row r="1206" spans="1:23">
      <c r="A1206" s="1" t="s">
        <v>2281</v>
      </c>
      <c r="B1206" s="1" t="s">
        <v>2282</v>
      </c>
      <c r="C1206" s="1" t="s">
        <v>25</v>
      </c>
      <c r="D1206" s="1" t="s">
        <v>30</v>
      </c>
      <c r="E1206" s="1" t="s">
        <v>91</v>
      </c>
      <c r="F1206">
        <v>1</v>
      </c>
      <c r="G1206" s="2">
        <v>45940</v>
      </c>
      <c r="H1206" s="2">
        <v>45941</v>
      </c>
      <c r="I1206">
        <v>58.04</v>
      </c>
      <c r="J1206">
        <v>18.170000000000002</v>
      </c>
      <c r="K1206">
        <v>16.350000000000001</v>
      </c>
      <c r="L1206">
        <v>1.82</v>
      </c>
      <c r="M1206" s="1" t="s">
        <v>21</v>
      </c>
      <c r="N1206" s="1" t="s">
        <v>22</v>
      </c>
      <c r="O1206" s="2">
        <v>45951</v>
      </c>
      <c r="P1206" s="2">
        <v>45951</v>
      </c>
      <c r="Q1206">
        <f>_xlfn.XLOOKUP(E1206,CPT!$A$2:$A$13,CPT!$D$2:$D$13)</f>
        <v>58</v>
      </c>
      <c r="R1206" s="1">
        <f>_xlfn.XLOOKUP(C1206,Contract!$A$2:$A$9,Contract!$B$2:$B$9)</f>
        <v>0.36</v>
      </c>
      <c r="S1206" s="1">
        <f t="shared" si="72"/>
        <v>20.88</v>
      </c>
      <c r="T1206" s="1">
        <f t="shared" si="73"/>
        <v>2.7099999999999973</v>
      </c>
      <c r="U1206" s="1" t="str">
        <f t="shared" si="74"/>
        <v>Underpaid</v>
      </c>
      <c r="V1206" s="1" t="str">
        <f>_xlfn.XLOOKUP(C1206,Payers!$A$2:$A$9,Payers!$B$2:$B$9)</f>
        <v>Medicare Part B</v>
      </c>
      <c r="W1206" s="1" t="str">
        <f t="shared" si="75"/>
        <v>2025-10</v>
      </c>
    </row>
    <row r="1207" spans="1:23">
      <c r="A1207" s="1" t="s">
        <v>2283</v>
      </c>
      <c r="B1207" s="1" t="s">
        <v>2284</v>
      </c>
      <c r="C1207" s="1" t="s">
        <v>36</v>
      </c>
      <c r="D1207" s="1" t="s">
        <v>19</v>
      </c>
      <c r="E1207" s="1" t="s">
        <v>57</v>
      </c>
      <c r="F1207">
        <v>1</v>
      </c>
      <c r="G1207" s="2">
        <v>46072</v>
      </c>
      <c r="H1207" s="2">
        <v>46074</v>
      </c>
      <c r="I1207">
        <v>212.67</v>
      </c>
      <c r="J1207">
        <v>56.95</v>
      </c>
      <c r="K1207">
        <v>56.95</v>
      </c>
      <c r="L1207">
        <v>0</v>
      </c>
      <c r="M1207" s="1" t="s">
        <v>21</v>
      </c>
      <c r="N1207" s="1" t="s">
        <v>22</v>
      </c>
      <c r="O1207" s="2">
        <v>46114</v>
      </c>
      <c r="P1207" s="2">
        <v>46114</v>
      </c>
      <c r="Q1207">
        <f>_xlfn.XLOOKUP(E1207,CPT!$A$2:$A$13,CPT!$D$2:$D$13)</f>
        <v>210</v>
      </c>
      <c r="R1207" s="1">
        <f>_xlfn.XLOOKUP(C1207,Contract!$A$2:$A$9,Contract!$B$2:$B$9)</f>
        <v>0.27</v>
      </c>
      <c r="S1207" s="1">
        <f t="shared" si="72"/>
        <v>56.7</v>
      </c>
      <c r="T1207" s="1">
        <f t="shared" si="73"/>
        <v>-0.25</v>
      </c>
      <c r="U1207" s="1" t="str">
        <f t="shared" si="74"/>
        <v>OK</v>
      </c>
      <c r="V1207" s="1" t="str">
        <f>_xlfn.XLOOKUP(C1207,Payers!$A$2:$A$9,Payers!$B$2:$B$9)</f>
        <v>Florida Medicaid</v>
      </c>
      <c r="W1207" s="1" t="str">
        <f t="shared" si="75"/>
        <v>2026-02</v>
      </c>
    </row>
    <row r="1208" spans="1:23">
      <c r="A1208" s="1" t="s">
        <v>2285</v>
      </c>
      <c r="B1208" s="1" t="s">
        <v>2286</v>
      </c>
      <c r="C1208" s="1" t="s">
        <v>36</v>
      </c>
      <c r="D1208" s="1" t="s">
        <v>26</v>
      </c>
      <c r="E1208" s="1" t="s">
        <v>185</v>
      </c>
      <c r="F1208">
        <v>1</v>
      </c>
      <c r="G1208" s="2">
        <v>46178</v>
      </c>
      <c r="H1208" s="2">
        <v>46185</v>
      </c>
      <c r="I1208">
        <v>1154.27</v>
      </c>
      <c r="J1208">
        <v>310.17</v>
      </c>
      <c r="K1208">
        <v>310.17</v>
      </c>
      <c r="L1208">
        <v>0</v>
      </c>
      <c r="M1208" s="1" t="s">
        <v>21</v>
      </c>
      <c r="N1208" s="1" t="s">
        <v>22</v>
      </c>
      <c r="O1208" s="2">
        <v>46215</v>
      </c>
      <c r="P1208" s="2">
        <v>46215</v>
      </c>
      <c r="Q1208">
        <f>_xlfn.XLOOKUP(E1208,CPT!$A$2:$A$13,CPT!$D$2:$D$13)</f>
        <v>1150</v>
      </c>
      <c r="R1208" s="1">
        <f>_xlfn.XLOOKUP(C1208,Contract!$A$2:$A$9,Contract!$B$2:$B$9)</f>
        <v>0.27</v>
      </c>
      <c r="S1208" s="1">
        <f t="shared" si="72"/>
        <v>310.5</v>
      </c>
      <c r="T1208" s="1">
        <f t="shared" si="73"/>
        <v>0.32999999999998408</v>
      </c>
      <c r="U1208" s="1" t="str">
        <f t="shared" si="74"/>
        <v>OK</v>
      </c>
      <c r="V1208" s="1" t="str">
        <f>_xlfn.XLOOKUP(C1208,Payers!$A$2:$A$9,Payers!$B$2:$B$9)</f>
        <v>Florida Medicaid</v>
      </c>
      <c r="W1208" s="1" t="str">
        <f t="shared" si="75"/>
        <v>2026-06</v>
      </c>
    </row>
    <row r="1209" spans="1:23">
      <c r="A1209" s="1" t="s">
        <v>2287</v>
      </c>
      <c r="B1209" s="1" t="s">
        <v>215</v>
      </c>
      <c r="C1209" s="1" t="s">
        <v>79</v>
      </c>
      <c r="D1209" s="1" t="s">
        <v>30</v>
      </c>
      <c r="E1209" s="1" t="s">
        <v>31</v>
      </c>
      <c r="F1209">
        <v>3</v>
      </c>
      <c r="G1209" s="2">
        <v>46236</v>
      </c>
      <c r="H1209" s="2">
        <v>46242</v>
      </c>
      <c r="I1209">
        <v>181.76</v>
      </c>
      <c r="M1209" s="1" t="s">
        <v>69</v>
      </c>
      <c r="N1209" s="1" t="s">
        <v>22</v>
      </c>
      <c r="O1209" s="2"/>
      <c r="P1209" s="2"/>
      <c r="Q1209">
        <f>_xlfn.XLOOKUP(E1209,CPT!$A$2:$A$13,CPT!$D$2:$D$13)</f>
        <v>62</v>
      </c>
      <c r="R1209" s="1">
        <f>_xlfn.XLOOKUP(C1209,Contract!$A$2:$A$9,Contract!$B$2:$B$9)</f>
        <v>1</v>
      </c>
      <c r="S1209" s="1">
        <f t="shared" si="72"/>
        <v>186</v>
      </c>
      <c r="T1209" s="1" t="str">
        <f t="shared" si="73"/>
        <v/>
      </c>
      <c r="U1209" s="1" t="str">
        <f t="shared" si="74"/>
        <v/>
      </c>
      <c r="V1209" s="1" t="str">
        <f>_xlfn.XLOOKUP(C1209,Payers!$A$2:$A$9,Payers!$B$2:$B$9)</f>
        <v>Self-Pay</v>
      </c>
      <c r="W1209" s="1" t="str">
        <f t="shared" si="75"/>
        <v>2026-08</v>
      </c>
    </row>
    <row r="1210" spans="1:23">
      <c r="A1210" s="1" t="s">
        <v>2288</v>
      </c>
      <c r="B1210" s="1" t="s">
        <v>2289</v>
      </c>
      <c r="C1210" s="1" t="s">
        <v>36</v>
      </c>
      <c r="D1210" s="1" t="s">
        <v>19</v>
      </c>
      <c r="E1210" s="1" t="s">
        <v>57</v>
      </c>
      <c r="F1210">
        <v>1</v>
      </c>
      <c r="G1210" s="2">
        <v>46147</v>
      </c>
      <c r="H1210" s="2">
        <v>46155</v>
      </c>
      <c r="I1210">
        <v>212.53</v>
      </c>
      <c r="J1210">
        <v>52.1</v>
      </c>
      <c r="K1210">
        <v>41.68</v>
      </c>
      <c r="L1210">
        <v>10.42</v>
      </c>
      <c r="M1210" s="1" t="s">
        <v>21</v>
      </c>
      <c r="N1210" s="1" t="s">
        <v>22</v>
      </c>
      <c r="O1210" s="2">
        <v>46194</v>
      </c>
      <c r="P1210" s="2">
        <v>46194</v>
      </c>
      <c r="Q1210">
        <f>_xlfn.XLOOKUP(E1210,CPT!$A$2:$A$13,CPT!$D$2:$D$13)</f>
        <v>210</v>
      </c>
      <c r="R1210" s="1">
        <f>_xlfn.XLOOKUP(C1210,Contract!$A$2:$A$9,Contract!$B$2:$B$9)</f>
        <v>0.27</v>
      </c>
      <c r="S1210" s="1">
        <f t="shared" si="72"/>
        <v>56.7</v>
      </c>
      <c r="T1210" s="1">
        <f t="shared" si="73"/>
        <v>4.6000000000000014</v>
      </c>
      <c r="U1210" s="1" t="str">
        <f t="shared" si="74"/>
        <v>Underpaid</v>
      </c>
      <c r="V1210" s="1" t="str">
        <f>_xlfn.XLOOKUP(C1210,Payers!$A$2:$A$9,Payers!$B$2:$B$9)</f>
        <v>Florida Medicaid</v>
      </c>
      <c r="W1210" s="1" t="str">
        <f t="shared" si="75"/>
        <v>2026-05</v>
      </c>
    </row>
    <row r="1211" spans="1:23">
      <c r="A1211" s="1" t="s">
        <v>2290</v>
      </c>
      <c r="B1211" s="1" t="s">
        <v>2291</v>
      </c>
      <c r="C1211" s="1" t="s">
        <v>52</v>
      </c>
      <c r="D1211" s="1" t="s">
        <v>19</v>
      </c>
      <c r="E1211" s="1" t="s">
        <v>57</v>
      </c>
      <c r="F1211">
        <v>1</v>
      </c>
      <c r="G1211" s="2">
        <v>46126</v>
      </c>
      <c r="H1211" s="2">
        <v>46130</v>
      </c>
      <c r="I1211">
        <v>210.7</v>
      </c>
      <c r="J1211">
        <v>87.41</v>
      </c>
      <c r="K1211">
        <v>78.67</v>
      </c>
      <c r="L1211">
        <v>8.74</v>
      </c>
      <c r="M1211" s="1" t="s">
        <v>21</v>
      </c>
      <c r="N1211" s="1" t="s">
        <v>22</v>
      </c>
      <c r="O1211" s="2">
        <v>46178</v>
      </c>
      <c r="P1211" s="2">
        <v>46178</v>
      </c>
      <c r="Q1211">
        <f>_xlfn.XLOOKUP(E1211,CPT!$A$2:$A$13,CPT!$D$2:$D$13)</f>
        <v>210</v>
      </c>
      <c r="R1211" s="1">
        <f>_xlfn.XLOOKUP(C1211,Contract!$A$2:$A$9,Contract!$B$2:$B$9)</f>
        <v>0.47</v>
      </c>
      <c r="S1211" s="1">
        <f t="shared" si="72"/>
        <v>98.7</v>
      </c>
      <c r="T1211" s="1">
        <f t="shared" si="73"/>
        <v>11.290000000000006</v>
      </c>
      <c r="U1211" s="1" t="str">
        <f t="shared" si="74"/>
        <v>Underpaid</v>
      </c>
      <c r="V1211" s="1" t="str">
        <f>_xlfn.XLOOKUP(C1211,Payers!$A$2:$A$9,Payers!$B$2:$B$9)</f>
        <v>Keystone Commercial PPO</v>
      </c>
      <c r="W1211" s="1" t="str">
        <f t="shared" si="75"/>
        <v>2026-04</v>
      </c>
    </row>
    <row r="1212" spans="1:23">
      <c r="A1212" s="1" t="s">
        <v>2292</v>
      </c>
      <c r="B1212" s="1" t="s">
        <v>2293</v>
      </c>
      <c r="C1212" s="1" t="s">
        <v>25</v>
      </c>
      <c r="D1212" s="1" t="s">
        <v>26</v>
      </c>
      <c r="E1212" s="1" t="s">
        <v>41</v>
      </c>
      <c r="F1212">
        <v>1</v>
      </c>
      <c r="G1212" s="2">
        <v>46076</v>
      </c>
      <c r="H1212" s="2">
        <v>46077</v>
      </c>
      <c r="I1212">
        <v>37.229999999999997</v>
      </c>
      <c r="J1212">
        <v>11.83</v>
      </c>
      <c r="K1212">
        <v>10.65</v>
      </c>
      <c r="L1212">
        <v>1.18</v>
      </c>
      <c r="M1212" s="1" t="s">
        <v>21</v>
      </c>
      <c r="N1212" s="1" t="s">
        <v>22</v>
      </c>
      <c r="O1212" s="2">
        <v>46099</v>
      </c>
      <c r="P1212" s="2">
        <v>46099</v>
      </c>
      <c r="Q1212">
        <f>_xlfn.XLOOKUP(E1212,CPT!$A$2:$A$13,CPT!$D$2:$D$13)</f>
        <v>38</v>
      </c>
      <c r="R1212" s="1">
        <f>_xlfn.XLOOKUP(C1212,Contract!$A$2:$A$9,Contract!$B$2:$B$9)</f>
        <v>0.36</v>
      </c>
      <c r="S1212" s="1">
        <f t="shared" si="72"/>
        <v>13.68</v>
      </c>
      <c r="T1212" s="1">
        <f t="shared" si="73"/>
        <v>1.8499999999999996</v>
      </c>
      <c r="U1212" s="1" t="str">
        <f t="shared" si="74"/>
        <v>Underpaid</v>
      </c>
      <c r="V1212" s="1" t="str">
        <f>_xlfn.XLOOKUP(C1212,Payers!$A$2:$A$9,Payers!$B$2:$B$9)</f>
        <v>Medicare Part B</v>
      </c>
      <c r="W1212" s="1" t="str">
        <f t="shared" si="75"/>
        <v>2026-02</v>
      </c>
    </row>
    <row r="1213" spans="1:23">
      <c r="A1213" s="1" t="s">
        <v>2294</v>
      </c>
      <c r="B1213" s="1" t="s">
        <v>2295</v>
      </c>
      <c r="C1213" s="1" t="s">
        <v>76</v>
      </c>
      <c r="D1213" s="1" t="s">
        <v>26</v>
      </c>
      <c r="E1213" s="1" t="s">
        <v>41</v>
      </c>
      <c r="F1213">
        <v>1</v>
      </c>
      <c r="G1213" s="2">
        <v>45944</v>
      </c>
      <c r="H1213" s="2">
        <v>45949</v>
      </c>
      <c r="I1213">
        <v>38.29</v>
      </c>
      <c r="J1213">
        <v>15.49</v>
      </c>
      <c r="K1213">
        <v>15.49</v>
      </c>
      <c r="L1213">
        <v>0</v>
      </c>
      <c r="M1213" s="1" t="s">
        <v>21</v>
      </c>
      <c r="N1213" s="1" t="s">
        <v>22</v>
      </c>
      <c r="O1213" s="2">
        <v>45972</v>
      </c>
      <c r="P1213" s="2">
        <v>45972</v>
      </c>
      <c r="Q1213">
        <f>_xlfn.XLOOKUP(E1213,CPT!$A$2:$A$13,CPT!$D$2:$D$13)</f>
        <v>38</v>
      </c>
      <c r="R1213" s="1">
        <f>_xlfn.XLOOKUP(C1213,Contract!$A$2:$A$9,Contract!$B$2:$B$9)</f>
        <v>0.43</v>
      </c>
      <c r="S1213" s="1">
        <f t="shared" si="72"/>
        <v>16.34</v>
      </c>
      <c r="T1213" s="1">
        <f t="shared" si="73"/>
        <v>0.84999999999999964</v>
      </c>
      <c r="U1213" s="1" t="str">
        <f t="shared" si="74"/>
        <v>Underpaid</v>
      </c>
      <c r="V1213" s="1" t="str">
        <f>_xlfn.XLOOKUP(C1213,Payers!$A$2:$A$9,Payers!$B$2:$B$9)</f>
        <v>Summit Health Commercial</v>
      </c>
      <c r="W1213" s="1" t="str">
        <f t="shared" si="75"/>
        <v>2025-10</v>
      </c>
    </row>
    <row r="1214" spans="1:23">
      <c r="A1214" s="1" t="s">
        <v>2296</v>
      </c>
      <c r="B1214" s="1" t="s">
        <v>1735</v>
      </c>
      <c r="C1214" s="1" t="s">
        <v>18</v>
      </c>
      <c r="D1214" s="1" t="s">
        <v>26</v>
      </c>
      <c r="E1214" s="1" t="s">
        <v>27</v>
      </c>
      <c r="F1214">
        <v>1</v>
      </c>
      <c r="G1214" s="2">
        <v>45951</v>
      </c>
      <c r="H1214" s="2">
        <v>45952</v>
      </c>
      <c r="I1214">
        <v>245.52</v>
      </c>
      <c r="J1214">
        <v>83.16</v>
      </c>
      <c r="K1214">
        <v>83.16</v>
      </c>
      <c r="L1214">
        <v>0</v>
      </c>
      <c r="M1214" s="1" t="s">
        <v>21</v>
      </c>
      <c r="N1214" s="1" t="s">
        <v>22</v>
      </c>
      <c r="O1214" s="2">
        <v>46009</v>
      </c>
      <c r="P1214" s="2">
        <v>46009</v>
      </c>
      <c r="Q1214">
        <f>_xlfn.XLOOKUP(E1214,CPT!$A$2:$A$13,CPT!$D$2:$D$13)</f>
        <v>240</v>
      </c>
      <c r="R1214" s="1">
        <f>_xlfn.XLOOKUP(C1214,Contract!$A$2:$A$9,Contract!$B$2:$B$9)</f>
        <v>0.38</v>
      </c>
      <c r="S1214" s="1">
        <f t="shared" si="72"/>
        <v>91.2</v>
      </c>
      <c r="T1214" s="1">
        <f t="shared" si="73"/>
        <v>8.0400000000000063</v>
      </c>
      <c r="U1214" s="1" t="str">
        <f t="shared" si="74"/>
        <v>Underpaid</v>
      </c>
      <c r="V1214" s="1" t="str">
        <f>_xlfn.XLOOKUP(C1214,Payers!$A$2:$A$9,Payers!$B$2:$B$9)</f>
        <v>Sunshine Medicare Advantage</v>
      </c>
      <c r="W1214" s="1" t="str">
        <f t="shared" si="75"/>
        <v>2025-10</v>
      </c>
    </row>
    <row r="1215" spans="1:23">
      <c r="A1215" s="1" t="s">
        <v>2297</v>
      </c>
      <c r="B1215" s="1" t="s">
        <v>1045</v>
      </c>
      <c r="C1215" s="1" t="s">
        <v>60</v>
      </c>
      <c r="D1215" s="1" t="s">
        <v>19</v>
      </c>
      <c r="E1215" s="1" t="s">
        <v>57</v>
      </c>
      <c r="F1215">
        <v>1</v>
      </c>
      <c r="G1215" s="2">
        <v>46115</v>
      </c>
      <c r="H1215" s="2">
        <v>46117</v>
      </c>
      <c r="I1215">
        <v>215.95</v>
      </c>
      <c r="J1215">
        <v>104.76</v>
      </c>
      <c r="K1215">
        <v>83.81</v>
      </c>
      <c r="L1215">
        <v>20.95</v>
      </c>
      <c r="M1215" s="1" t="s">
        <v>21</v>
      </c>
      <c r="N1215" s="1" t="s">
        <v>22</v>
      </c>
      <c r="O1215" s="2">
        <v>46146</v>
      </c>
      <c r="P1215" s="2">
        <v>46146</v>
      </c>
      <c r="Q1215">
        <f>_xlfn.XLOOKUP(E1215,CPT!$A$2:$A$13,CPT!$D$2:$D$13)</f>
        <v>210</v>
      </c>
      <c r="R1215" s="1">
        <f>_xlfn.XLOOKUP(C1215,Contract!$A$2:$A$9,Contract!$B$2:$B$9)</f>
        <v>0.45</v>
      </c>
      <c r="S1215" s="1">
        <f t="shared" si="72"/>
        <v>94.5</v>
      </c>
      <c r="T1215" s="1">
        <f t="shared" si="73"/>
        <v>-10.260000000000005</v>
      </c>
      <c r="U1215" s="1" t="str">
        <f t="shared" si="74"/>
        <v>OK</v>
      </c>
      <c r="V1215" s="1" t="str">
        <f>_xlfn.XLOOKUP(C1215,Payers!$A$2:$A$9,Payers!$B$2:$B$9)</f>
        <v>Blue Horizon Commercial</v>
      </c>
      <c r="W1215" s="1" t="str">
        <f t="shared" si="75"/>
        <v>2026-04</v>
      </c>
    </row>
    <row r="1216" spans="1:23">
      <c r="A1216" s="1" t="s">
        <v>2298</v>
      </c>
      <c r="B1216" s="1" t="s">
        <v>2299</v>
      </c>
      <c r="C1216" s="1" t="s">
        <v>25</v>
      </c>
      <c r="D1216" s="1" t="s">
        <v>19</v>
      </c>
      <c r="E1216" s="1" t="s">
        <v>41</v>
      </c>
      <c r="F1216">
        <v>1</v>
      </c>
      <c r="G1216" s="2">
        <v>46133</v>
      </c>
      <c r="H1216" s="2">
        <v>46137</v>
      </c>
      <c r="I1216">
        <v>38.44</v>
      </c>
      <c r="J1216">
        <v>12.58</v>
      </c>
      <c r="K1216">
        <v>11.32</v>
      </c>
      <c r="L1216">
        <v>1.26</v>
      </c>
      <c r="M1216" s="1" t="s">
        <v>21</v>
      </c>
      <c r="N1216" s="1" t="s">
        <v>22</v>
      </c>
      <c r="O1216" s="2">
        <v>46159</v>
      </c>
      <c r="P1216" s="2">
        <v>46159</v>
      </c>
      <c r="Q1216">
        <f>_xlfn.XLOOKUP(E1216,CPT!$A$2:$A$13,CPT!$D$2:$D$13)</f>
        <v>38</v>
      </c>
      <c r="R1216" s="1">
        <f>_xlfn.XLOOKUP(C1216,Contract!$A$2:$A$9,Contract!$B$2:$B$9)</f>
        <v>0.36</v>
      </c>
      <c r="S1216" s="1">
        <f t="shared" si="72"/>
        <v>13.68</v>
      </c>
      <c r="T1216" s="1">
        <f t="shared" si="73"/>
        <v>1.0999999999999996</v>
      </c>
      <c r="U1216" s="1" t="str">
        <f t="shared" si="74"/>
        <v>Underpaid</v>
      </c>
      <c r="V1216" s="1" t="str">
        <f>_xlfn.XLOOKUP(C1216,Payers!$A$2:$A$9,Payers!$B$2:$B$9)</f>
        <v>Medicare Part B</v>
      </c>
      <c r="W1216" s="1" t="str">
        <f t="shared" si="75"/>
        <v>2026-04</v>
      </c>
    </row>
    <row r="1217" spans="1:23">
      <c r="A1217" s="1" t="s">
        <v>2300</v>
      </c>
      <c r="B1217" s="1" t="s">
        <v>1449</v>
      </c>
      <c r="C1217" s="1" t="s">
        <v>18</v>
      </c>
      <c r="D1217" s="1" t="s">
        <v>26</v>
      </c>
      <c r="E1217" s="1" t="s">
        <v>41</v>
      </c>
      <c r="F1217">
        <v>1</v>
      </c>
      <c r="G1217" s="2">
        <v>45943</v>
      </c>
      <c r="H1217" s="2">
        <v>45951</v>
      </c>
      <c r="I1217">
        <v>36.979999999999997</v>
      </c>
      <c r="M1217" s="1" t="s">
        <v>32</v>
      </c>
      <c r="N1217" s="1" t="s">
        <v>33</v>
      </c>
      <c r="O1217" s="2">
        <v>46025</v>
      </c>
      <c r="P1217" s="2"/>
      <c r="Q1217">
        <f>_xlfn.XLOOKUP(E1217,CPT!$A$2:$A$13,CPT!$D$2:$D$13)</f>
        <v>38</v>
      </c>
      <c r="R1217" s="1">
        <f>_xlfn.XLOOKUP(C1217,Contract!$A$2:$A$9,Contract!$B$2:$B$9)</f>
        <v>0.38</v>
      </c>
      <c r="S1217" s="1">
        <f t="shared" si="72"/>
        <v>14.44</v>
      </c>
      <c r="T1217" s="1" t="str">
        <f t="shared" si="73"/>
        <v/>
      </c>
      <c r="U1217" s="1" t="str">
        <f t="shared" si="74"/>
        <v/>
      </c>
      <c r="V1217" s="1" t="str">
        <f>_xlfn.XLOOKUP(C1217,Payers!$A$2:$A$9,Payers!$B$2:$B$9)</f>
        <v>Sunshine Medicare Advantage</v>
      </c>
      <c r="W1217" s="1" t="str">
        <f t="shared" si="75"/>
        <v>2025-10</v>
      </c>
    </row>
    <row r="1218" spans="1:23">
      <c r="A1218" s="1" t="s">
        <v>2301</v>
      </c>
      <c r="B1218" s="1" t="s">
        <v>178</v>
      </c>
      <c r="C1218" s="1" t="s">
        <v>52</v>
      </c>
      <c r="D1218" s="1" t="s">
        <v>30</v>
      </c>
      <c r="E1218" s="1" t="s">
        <v>31</v>
      </c>
      <c r="F1218">
        <v>2</v>
      </c>
      <c r="G1218" s="2">
        <v>46096</v>
      </c>
      <c r="H1218" s="2">
        <v>46209</v>
      </c>
      <c r="I1218">
        <v>125.9</v>
      </c>
      <c r="M1218" s="1" t="s">
        <v>32</v>
      </c>
      <c r="N1218" s="1" t="s">
        <v>137</v>
      </c>
      <c r="O1218" s="2">
        <v>46248</v>
      </c>
      <c r="P1218" s="2"/>
      <c r="Q1218">
        <f>_xlfn.XLOOKUP(E1218,CPT!$A$2:$A$13,CPT!$D$2:$D$13)</f>
        <v>62</v>
      </c>
      <c r="R1218" s="1">
        <f>_xlfn.XLOOKUP(C1218,Contract!$A$2:$A$9,Contract!$B$2:$B$9)</f>
        <v>0.47</v>
      </c>
      <c r="S1218" s="1">
        <f t="shared" ref="S1218:S1281" si="76">ROUND(Q1218*F1218*R1218,2)</f>
        <v>58.28</v>
      </c>
      <c r="T1218" s="1" t="str">
        <f t="shared" ref="T1218:T1281" si="77">IF(M1218="Paid",S1218-J1218,"")</f>
        <v/>
      </c>
      <c r="U1218" s="1" t="str">
        <f t="shared" ref="U1218:U1281" si="78">IF(M1218&lt;&gt;"Paid","",IF(T1218&gt;S1218*0.05,"Underpaid","OK"))</f>
        <v/>
      </c>
      <c r="V1218" s="1" t="str">
        <f>_xlfn.XLOOKUP(C1218,Payers!$A$2:$A$9,Payers!$B$2:$B$9)</f>
        <v>Keystone Commercial PPO</v>
      </c>
      <c r="W1218" s="1" t="str">
        <f t="shared" ref="W1218:W1281" si="79">TEXT(G1218,"yyyy-mm")</f>
        <v>2026-03</v>
      </c>
    </row>
    <row r="1219" spans="1:23">
      <c r="A1219" s="1" t="s">
        <v>2302</v>
      </c>
      <c r="B1219" s="1" t="s">
        <v>2303</v>
      </c>
      <c r="C1219" s="1" t="s">
        <v>60</v>
      </c>
      <c r="D1219" s="1" t="s">
        <v>26</v>
      </c>
      <c r="E1219" s="1" t="s">
        <v>88</v>
      </c>
      <c r="F1219">
        <v>1</v>
      </c>
      <c r="G1219" s="2">
        <v>46229</v>
      </c>
      <c r="H1219" s="2">
        <v>46231</v>
      </c>
      <c r="I1219">
        <v>259.87</v>
      </c>
      <c r="M1219" s="1" t="s">
        <v>32</v>
      </c>
      <c r="N1219" s="1" t="s">
        <v>281</v>
      </c>
      <c r="O1219" s="2">
        <v>46248</v>
      </c>
      <c r="P1219" s="2"/>
      <c r="Q1219">
        <f>_xlfn.XLOOKUP(E1219,CPT!$A$2:$A$13,CPT!$D$2:$D$13)</f>
        <v>260</v>
      </c>
      <c r="R1219" s="1">
        <f>_xlfn.XLOOKUP(C1219,Contract!$A$2:$A$9,Contract!$B$2:$B$9)</f>
        <v>0.45</v>
      </c>
      <c r="S1219" s="1">
        <f t="shared" si="76"/>
        <v>117</v>
      </c>
      <c r="T1219" s="1" t="str">
        <f t="shared" si="77"/>
        <v/>
      </c>
      <c r="U1219" s="1" t="str">
        <f t="shared" si="78"/>
        <v/>
      </c>
      <c r="V1219" s="1" t="str">
        <f>_xlfn.XLOOKUP(C1219,Payers!$A$2:$A$9,Payers!$B$2:$B$9)</f>
        <v>Blue Horizon Commercial</v>
      </c>
      <c r="W1219" s="1" t="str">
        <f t="shared" si="79"/>
        <v>2026-07</v>
      </c>
    </row>
    <row r="1220" spans="1:23">
      <c r="A1220" s="1" t="s">
        <v>2304</v>
      </c>
      <c r="B1220" s="1" t="s">
        <v>2305</v>
      </c>
      <c r="C1220" s="1" t="s">
        <v>25</v>
      </c>
      <c r="D1220" s="1" t="s">
        <v>30</v>
      </c>
      <c r="E1220" s="1" t="s">
        <v>20</v>
      </c>
      <c r="F1220">
        <v>1</v>
      </c>
      <c r="G1220" s="2">
        <v>46067</v>
      </c>
      <c r="H1220" s="2">
        <v>46070</v>
      </c>
      <c r="I1220">
        <v>145.49</v>
      </c>
      <c r="J1220">
        <v>54.13</v>
      </c>
      <c r="K1220">
        <v>48.72</v>
      </c>
      <c r="L1220">
        <v>5.41</v>
      </c>
      <c r="M1220" s="1" t="s">
        <v>21</v>
      </c>
      <c r="N1220" s="1" t="s">
        <v>22</v>
      </c>
      <c r="O1220" s="2">
        <v>46085</v>
      </c>
      <c r="P1220" s="2">
        <v>46085</v>
      </c>
      <c r="Q1220">
        <f>_xlfn.XLOOKUP(E1220,CPT!$A$2:$A$13,CPT!$D$2:$D$13)</f>
        <v>145</v>
      </c>
      <c r="R1220" s="1">
        <f>_xlfn.XLOOKUP(C1220,Contract!$A$2:$A$9,Contract!$B$2:$B$9)</f>
        <v>0.36</v>
      </c>
      <c r="S1220" s="1">
        <f t="shared" si="76"/>
        <v>52.2</v>
      </c>
      <c r="T1220" s="1">
        <f t="shared" si="77"/>
        <v>-1.9299999999999997</v>
      </c>
      <c r="U1220" s="1" t="str">
        <f t="shared" si="78"/>
        <v>OK</v>
      </c>
      <c r="V1220" s="1" t="str">
        <f>_xlfn.XLOOKUP(C1220,Payers!$A$2:$A$9,Payers!$B$2:$B$9)</f>
        <v>Medicare Part B</v>
      </c>
      <c r="W1220" s="1" t="str">
        <f t="shared" si="79"/>
        <v>2026-02</v>
      </c>
    </row>
    <row r="1221" spans="1:23">
      <c r="A1221" s="1" t="s">
        <v>2306</v>
      </c>
      <c r="B1221" s="1" t="s">
        <v>2307</v>
      </c>
      <c r="C1221" s="1" t="s">
        <v>52</v>
      </c>
      <c r="D1221" s="1" t="s">
        <v>26</v>
      </c>
      <c r="E1221" s="1" t="s">
        <v>185</v>
      </c>
      <c r="F1221">
        <v>1</v>
      </c>
      <c r="G1221" s="2">
        <v>46159</v>
      </c>
      <c r="H1221" s="2">
        <v>46164</v>
      </c>
      <c r="I1221">
        <v>1157.1300000000001</v>
      </c>
      <c r="J1221">
        <v>530.70000000000005</v>
      </c>
      <c r="K1221">
        <v>530.70000000000005</v>
      </c>
      <c r="L1221">
        <v>0</v>
      </c>
      <c r="M1221" s="1" t="s">
        <v>21</v>
      </c>
      <c r="N1221" s="1" t="s">
        <v>22</v>
      </c>
      <c r="O1221" s="2">
        <v>46219</v>
      </c>
      <c r="P1221" s="2">
        <v>46219</v>
      </c>
      <c r="Q1221">
        <f>_xlfn.XLOOKUP(E1221,CPT!$A$2:$A$13,CPT!$D$2:$D$13)</f>
        <v>1150</v>
      </c>
      <c r="R1221" s="1">
        <f>_xlfn.XLOOKUP(C1221,Contract!$A$2:$A$9,Contract!$B$2:$B$9)</f>
        <v>0.47</v>
      </c>
      <c r="S1221" s="1">
        <f t="shared" si="76"/>
        <v>540.5</v>
      </c>
      <c r="T1221" s="1">
        <f t="shared" si="77"/>
        <v>9.7999999999999545</v>
      </c>
      <c r="U1221" s="1" t="str">
        <f t="shared" si="78"/>
        <v>OK</v>
      </c>
      <c r="V1221" s="1" t="str">
        <f>_xlfn.XLOOKUP(C1221,Payers!$A$2:$A$9,Payers!$B$2:$B$9)</f>
        <v>Keystone Commercial PPO</v>
      </c>
      <c r="W1221" s="1" t="str">
        <f t="shared" si="79"/>
        <v>2026-05</v>
      </c>
    </row>
    <row r="1222" spans="1:23">
      <c r="A1222" s="1" t="s">
        <v>2308</v>
      </c>
      <c r="B1222" s="1" t="s">
        <v>2309</v>
      </c>
      <c r="C1222" s="1" t="s">
        <v>60</v>
      </c>
      <c r="D1222" s="1" t="s">
        <v>26</v>
      </c>
      <c r="E1222" s="1" t="s">
        <v>44</v>
      </c>
      <c r="F1222">
        <v>1</v>
      </c>
      <c r="G1222" s="2">
        <v>46036</v>
      </c>
      <c r="H1222" s="2">
        <v>46040</v>
      </c>
      <c r="I1222">
        <v>4713.6400000000003</v>
      </c>
      <c r="J1222">
        <v>2340.84</v>
      </c>
      <c r="K1222">
        <v>2106.7600000000002</v>
      </c>
      <c r="L1222">
        <v>234.08</v>
      </c>
      <c r="M1222" s="1" t="s">
        <v>21</v>
      </c>
      <c r="N1222" s="1" t="s">
        <v>22</v>
      </c>
      <c r="O1222" s="2">
        <v>46059</v>
      </c>
      <c r="P1222" s="2">
        <v>46059</v>
      </c>
      <c r="Q1222">
        <f>_xlfn.XLOOKUP(E1222,CPT!$A$2:$A$13,CPT!$D$2:$D$13)</f>
        <v>4800</v>
      </c>
      <c r="R1222" s="1">
        <f>_xlfn.XLOOKUP(C1222,Contract!$A$2:$A$9,Contract!$B$2:$B$9)</f>
        <v>0.45</v>
      </c>
      <c r="S1222" s="1">
        <f t="shared" si="76"/>
        <v>2160</v>
      </c>
      <c r="T1222" s="1">
        <f t="shared" si="77"/>
        <v>-180.84000000000015</v>
      </c>
      <c r="U1222" s="1" t="str">
        <f t="shared" si="78"/>
        <v>OK</v>
      </c>
      <c r="V1222" s="1" t="str">
        <f>_xlfn.XLOOKUP(C1222,Payers!$A$2:$A$9,Payers!$B$2:$B$9)</f>
        <v>Blue Horizon Commercial</v>
      </c>
      <c r="W1222" s="1" t="str">
        <f t="shared" si="79"/>
        <v>2026-01</v>
      </c>
    </row>
    <row r="1223" spans="1:23">
      <c r="A1223" s="1" t="s">
        <v>2310</v>
      </c>
      <c r="B1223" s="1" t="s">
        <v>2311</v>
      </c>
      <c r="C1223" s="1" t="s">
        <v>25</v>
      </c>
      <c r="D1223" s="1" t="s">
        <v>19</v>
      </c>
      <c r="E1223" s="1" t="s">
        <v>57</v>
      </c>
      <c r="F1223">
        <v>1</v>
      </c>
      <c r="G1223" s="2">
        <v>46060</v>
      </c>
      <c r="H1223" s="2">
        <v>46061</v>
      </c>
      <c r="I1223">
        <v>206.43</v>
      </c>
      <c r="M1223" s="1" t="s">
        <v>32</v>
      </c>
      <c r="N1223" s="1" t="s">
        <v>281</v>
      </c>
      <c r="O1223" s="2">
        <v>46068</v>
      </c>
      <c r="P1223" s="2"/>
      <c r="Q1223">
        <f>_xlfn.XLOOKUP(E1223,CPT!$A$2:$A$13,CPT!$D$2:$D$13)</f>
        <v>210</v>
      </c>
      <c r="R1223" s="1">
        <f>_xlfn.XLOOKUP(C1223,Contract!$A$2:$A$9,Contract!$B$2:$B$9)</f>
        <v>0.36</v>
      </c>
      <c r="S1223" s="1">
        <f t="shared" si="76"/>
        <v>75.599999999999994</v>
      </c>
      <c r="T1223" s="1" t="str">
        <f t="shared" si="77"/>
        <v/>
      </c>
      <c r="U1223" s="1" t="str">
        <f t="shared" si="78"/>
        <v/>
      </c>
      <c r="V1223" s="1" t="str">
        <f>_xlfn.XLOOKUP(C1223,Payers!$A$2:$A$9,Payers!$B$2:$B$9)</f>
        <v>Medicare Part B</v>
      </c>
      <c r="W1223" s="1" t="str">
        <f t="shared" si="79"/>
        <v>2026-02</v>
      </c>
    </row>
    <row r="1224" spans="1:23">
      <c r="A1224" s="1" t="s">
        <v>2312</v>
      </c>
      <c r="B1224" s="1" t="s">
        <v>78</v>
      </c>
      <c r="C1224" s="1" t="s">
        <v>47</v>
      </c>
      <c r="D1224" s="1" t="s">
        <v>19</v>
      </c>
      <c r="E1224" s="1" t="s">
        <v>57</v>
      </c>
      <c r="F1224">
        <v>1</v>
      </c>
      <c r="G1224" s="2">
        <v>46176</v>
      </c>
      <c r="H1224" s="2">
        <v>46178</v>
      </c>
      <c r="I1224">
        <v>210.77</v>
      </c>
      <c r="J1224">
        <v>65.34</v>
      </c>
      <c r="K1224">
        <v>65.34</v>
      </c>
      <c r="L1224">
        <v>0</v>
      </c>
      <c r="M1224" s="1" t="s">
        <v>21</v>
      </c>
      <c r="N1224" s="1" t="s">
        <v>22</v>
      </c>
      <c r="O1224" s="2">
        <v>46239</v>
      </c>
      <c r="P1224" s="2">
        <v>46239</v>
      </c>
      <c r="Q1224">
        <f>_xlfn.XLOOKUP(E1224,CPT!$A$2:$A$13,CPT!$D$2:$D$13)</f>
        <v>210</v>
      </c>
      <c r="R1224" s="1">
        <f>_xlfn.XLOOKUP(C1224,Contract!$A$2:$A$9,Contract!$B$2:$B$9)</f>
        <v>0.28000000000000003</v>
      </c>
      <c r="S1224" s="1">
        <f t="shared" si="76"/>
        <v>58.8</v>
      </c>
      <c r="T1224" s="1">
        <f t="shared" si="77"/>
        <v>-6.5400000000000063</v>
      </c>
      <c r="U1224" s="1" t="str">
        <f t="shared" si="78"/>
        <v>OK</v>
      </c>
      <c r="V1224" s="1" t="str">
        <f>_xlfn.XLOOKUP(C1224,Payers!$A$2:$A$9,Payers!$B$2:$B$9)</f>
        <v>Coastal Medicaid MCO</v>
      </c>
      <c r="W1224" s="1" t="str">
        <f t="shared" si="79"/>
        <v>2026-06</v>
      </c>
    </row>
    <row r="1225" spans="1:23">
      <c r="A1225" s="1" t="s">
        <v>2313</v>
      </c>
      <c r="B1225" s="1" t="s">
        <v>2314</v>
      </c>
      <c r="C1225" s="1" t="s">
        <v>47</v>
      </c>
      <c r="D1225" s="1" t="s">
        <v>26</v>
      </c>
      <c r="E1225" s="1" t="s">
        <v>88</v>
      </c>
      <c r="F1225">
        <v>1</v>
      </c>
      <c r="G1225" s="2">
        <v>46071</v>
      </c>
      <c r="H1225" s="2">
        <v>46073</v>
      </c>
      <c r="I1225">
        <v>266.70999999999998</v>
      </c>
      <c r="M1225" s="1" t="s">
        <v>32</v>
      </c>
      <c r="N1225" s="1" t="s">
        <v>98</v>
      </c>
      <c r="O1225" s="2">
        <v>46159</v>
      </c>
      <c r="P1225" s="2"/>
      <c r="Q1225">
        <f>_xlfn.XLOOKUP(E1225,CPT!$A$2:$A$13,CPT!$D$2:$D$13)</f>
        <v>260</v>
      </c>
      <c r="R1225" s="1">
        <f>_xlfn.XLOOKUP(C1225,Contract!$A$2:$A$9,Contract!$B$2:$B$9)</f>
        <v>0.28000000000000003</v>
      </c>
      <c r="S1225" s="1">
        <f t="shared" si="76"/>
        <v>72.8</v>
      </c>
      <c r="T1225" s="1" t="str">
        <f t="shared" si="77"/>
        <v/>
      </c>
      <c r="U1225" s="1" t="str">
        <f t="shared" si="78"/>
        <v/>
      </c>
      <c r="V1225" s="1" t="str">
        <f>_xlfn.XLOOKUP(C1225,Payers!$A$2:$A$9,Payers!$B$2:$B$9)</f>
        <v>Coastal Medicaid MCO</v>
      </c>
      <c r="W1225" s="1" t="str">
        <f t="shared" si="79"/>
        <v>2026-02</v>
      </c>
    </row>
    <row r="1226" spans="1:23">
      <c r="A1226" s="1" t="s">
        <v>2315</v>
      </c>
      <c r="B1226" s="1" t="s">
        <v>1326</v>
      </c>
      <c r="C1226" s="1" t="s">
        <v>60</v>
      </c>
      <c r="D1226" s="1" t="s">
        <v>26</v>
      </c>
      <c r="E1226" s="1" t="s">
        <v>41</v>
      </c>
      <c r="F1226">
        <v>1</v>
      </c>
      <c r="G1226" s="2">
        <v>45948</v>
      </c>
      <c r="H1226" s="2">
        <v>45950</v>
      </c>
      <c r="I1226">
        <v>38.909999999999997</v>
      </c>
      <c r="J1226">
        <v>19.850000000000001</v>
      </c>
      <c r="K1226">
        <v>19.850000000000001</v>
      </c>
      <c r="L1226">
        <v>0</v>
      </c>
      <c r="M1226" s="1" t="s">
        <v>21</v>
      </c>
      <c r="N1226" s="1" t="s">
        <v>22</v>
      </c>
      <c r="O1226" s="2">
        <v>45989</v>
      </c>
      <c r="P1226" s="2">
        <v>45989</v>
      </c>
      <c r="Q1226">
        <f>_xlfn.XLOOKUP(E1226,CPT!$A$2:$A$13,CPT!$D$2:$D$13)</f>
        <v>38</v>
      </c>
      <c r="R1226" s="1">
        <f>_xlfn.XLOOKUP(C1226,Contract!$A$2:$A$9,Contract!$B$2:$B$9)</f>
        <v>0.45</v>
      </c>
      <c r="S1226" s="1">
        <f t="shared" si="76"/>
        <v>17.100000000000001</v>
      </c>
      <c r="T1226" s="1">
        <f t="shared" si="77"/>
        <v>-2.75</v>
      </c>
      <c r="U1226" s="1" t="str">
        <f t="shared" si="78"/>
        <v>OK</v>
      </c>
      <c r="V1226" s="1" t="str">
        <f>_xlfn.XLOOKUP(C1226,Payers!$A$2:$A$9,Payers!$B$2:$B$9)</f>
        <v>Blue Horizon Commercial</v>
      </c>
      <c r="W1226" s="1" t="str">
        <f t="shared" si="79"/>
        <v>2025-10</v>
      </c>
    </row>
    <row r="1227" spans="1:23">
      <c r="A1227" s="1" t="s">
        <v>2316</v>
      </c>
      <c r="B1227" s="1" t="s">
        <v>2317</v>
      </c>
      <c r="C1227" s="1" t="s">
        <v>79</v>
      </c>
      <c r="D1227" s="1" t="s">
        <v>30</v>
      </c>
      <c r="E1227" s="1" t="s">
        <v>20</v>
      </c>
      <c r="F1227">
        <v>1</v>
      </c>
      <c r="G1227" s="2">
        <v>45946</v>
      </c>
      <c r="H1227" s="2">
        <v>45957</v>
      </c>
      <c r="I1227">
        <v>148.31</v>
      </c>
      <c r="J1227">
        <v>148.31</v>
      </c>
      <c r="K1227">
        <v>148.31</v>
      </c>
      <c r="L1227">
        <v>0</v>
      </c>
      <c r="M1227" s="1" t="s">
        <v>21</v>
      </c>
      <c r="N1227" s="1" t="s">
        <v>22</v>
      </c>
      <c r="O1227" s="2">
        <v>46005</v>
      </c>
      <c r="P1227" s="2">
        <v>46005</v>
      </c>
      <c r="Q1227">
        <f>_xlfn.XLOOKUP(E1227,CPT!$A$2:$A$13,CPT!$D$2:$D$13)</f>
        <v>145</v>
      </c>
      <c r="R1227" s="1">
        <f>_xlfn.XLOOKUP(C1227,Contract!$A$2:$A$9,Contract!$B$2:$B$9)</f>
        <v>1</v>
      </c>
      <c r="S1227" s="1">
        <f t="shared" si="76"/>
        <v>145</v>
      </c>
      <c r="T1227" s="1">
        <f t="shared" si="77"/>
        <v>-3.3100000000000023</v>
      </c>
      <c r="U1227" s="1" t="str">
        <f t="shared" si="78"/>
        <v>OK</v>
      </c>
      <c r="V1227" s="1" t="str">
        <f>_xlfn.XLOOKUP(C1227,Payers!$A$2:$A$9,Payers!$B$2:$B$9)</f>
        <v>Self-Pay</v>
      </c>
      <c r="W1227" s="1" t="str">
        <f t="shared" si="79"/>
        <v>2025-10</v>
      </c>
    </row>
    <row r="1228" spans="1:23">
      <c r="A1228" s="1" t="s">
        <v>2318</v>
      </c>
      <c r="B1228" s="1" t="s">
        <v>2319</v>
      </c>
      <c r="C1228" s="1" t="s">
        <v>18</v>
      </c>
      <c r="D1228" s="1" t="s">
        <v>30</v>
      </c>
      <c r="E1228" s="1" t="s">
        <v>20</v>
      </c>
      <c r="F1228">
        <v>1</v>
      </c>
      <c r="G1228" s="2">
        <v>46070</v>
      </c>
      <c r="H1228" s="2">
        <v>46075</v>
      </c>
      <c r="I1228">
        <v>143</v>
      </c>
      <c r="J1228">
        <v>48.8</v>
      </c>
      <c r="K1228">
        <v>48.8</v>
      </c>
      <c r="L1228">
        <v>0</v>
      </c>
      <c r="M1228" s="1" t="s">
        <v>21</v>
      </c>
      <c r="N1228" s="1" t="s">
        <v>22</v>
      </c>
      <c r="O1228" s="2">
        <v>46148</v>
      </c>
      <c r="P1228" s="2">
        <v>46148</v>
      </c>
      <c r="Q1228">
        <f>_xlfn.XLOOKUP(E1228,CPT!$A$2:$A$13,CPT!$D$2:$D$13)</f>
        <v>145</v>
      </c>
      <c r="R1228" s="1">
        <f>_xlfn.XLOOKUP(C1228,Contract!$A$2:$A$9,Contract!$B$2:$B$9)</f>
        <v>0.38</v>
      </c>
      <c r="S1228" s="1">
        <f t="shared" si="76"/>
        <v>55.1</v>
      </c>
      <c r="T1228" s="1">
        <f t="shared" si="77"/>
        <v>6.3000000000000043</v>
      </c>
      <c r="U1228" s="1" t="str">
        <f t="shared" si="78"/>
        <v>Underpaid</v>
      </c>
      <c r="V1228" s="1" t="str">
        <f>_xlfn.XLOOKUP(C1228,Payers!$A$2:$A$9,Payers!$B$2:$B$9)</f>
        <v>Sunshine Medicare Advantage</v>
      </c>
      <c r="W1228" s="1" t="str">
        <f t="shared" si="79"/>
        <v>2026-02</v>
      </c>
    </row>
    <row r="1229" spans="1:23">
      <c r="A1229" s="1" t="s">
        <v>2320</v>
      </c>
      <c r="B1229" s="1" t="s">
        <v>2321</v>
      </c>
      <c r="C1229" s="1" t="s">
        <v>76</v>
      </c>
      <c r="D1229" s="1" t="s">
        <v>19</v>
      </c>
      <c r="E1229" s="1" t="s">
        <v>41</v>
      </c>
      <c r="F1229">
        <v>1</v>
      </c>
      <c r="G1229" s="2">
        <v>45937</v>
      </c>
      <c r="H1229" s="2">
        <v>45938</v>
      </c>
      <c r="I1229">
        <v>38.18</v>
      </c>
      <c r="M1229" s="1" t="s">
        <v>32</v>
      </c>
      <c r="N1229" s="1" t="s">
        <v>168</v>
      </c>
      <c r="O1229" s="2">
        <v>45975</v>
      </c>
      <c r="P1229" s="2"/>
      <c r="Q1229">
        <f>_xlfn.XLOOKUP(E1229,CPT!$A$2:$A$13,CPT!$D$2:$D$13)</f>
        <v>38</v>
      </c>
      <c r="R1229" s="1">
        <f>_xlfn.XLOOKUP(C1229,Contract!$A$2:$A$9,Contract!$B$2:$B$9)</f>
        <v>0.43</v>
      </c>
      <c r="S1229" s="1">
        <f t="shared" si="76"/>
        <v>16.34</v>
      </c>
      <c r="T1229" s="1" t="str">
        <f t="shared" si="77"/>
        <v/>
      </c>
      <c r="U1229" s="1" t="str">
        <f t="shared" si="78"/>
        <v/>
      </c>
      <c r="V1229" s="1" t="str">
        <f>_xlfn.XLOOKUP(C1229,Payers!$A$2:$A$9,Payers!$B$2:$B$9)</f>
        <v>Summit Health Commercial</v>
      </c>
      <c r="W1229" s="1" t="str">
        <f t="shared" si="79"/>
        <v>2025-10</v>
      </c>
    </row>
    <row r="1230" spans="1:23">
      <c r="A1230" s="1" t="s">
        <v>2322</v>
      </c>
      <c r="B1230" s="1" t="s">
        <v>2323</v>
      </c>
      <c r="C1230" s="1" t="s">
        <v>60</v>
      </c>
      <c r="D1230" s="1" t="s">
        <v>26</v>
      </c>
      <c r="E1230" s="1" t="s">
        <v>185</v>
      </c>
      <c r="F1230">
        <v>1</v>
      </c>
      <c r="G1230" s="2">
        <v>46070</v>
      </c>
      <c r="H1230" s="2">
        <v>46071</v>
      </c>
      <c r="I1230">
        <v>1181.96</v>
      </c>
      <c r="J1230">
        <v>583.24</v>
      </c>
      <c r="K1230">
        <v>466.59</v>
      </c>
      <c r="L1230">
        <v>116.65</v>
      </c>
      <c r="M1230" s="1" t="s">
        <v>21</v>
      </c>
      <c r="N1230" s="1" t="s">
        <v>22</v>
      </c>
      <c r="O1230" s="2">
        <v>46101</v>
      </c>
      <c r="P1230" s="2">
        <v>46101</v>
      </c>
      <c r="Q1230">
        <f>_xlfn.XLOOKUP(E1230,CPT!$A$2:$A$13,CPT!$D$2:$D$13)</f>
        <v>1150</v>
      </c>
      <c r="R1230" s="1">
        <f>_xlfn.XLOOKUP(C1230,Contract!$A$2:$A$9,Contract!$B$2:$B$9)</f>
        <v>0.45</v>
      </c>
      <c r="S1230" s="1">
        <f t="shared" si="76"/>
        <v>517.5</v>
      </c>
      <c r="T1230" s="1">
        <f t="shared" si="77"/>
        <v>-65.740000000000009</v>
      </c>
      <c r="U1230" s="1" t="str">
        <f t="shared" si="78"/>
        <v>OK</v>
      </c>
      <c r="V1230" s="1" t="str">
        <f>_xlfn.XLOOKUP(C1230,Payers!$A$2:$A$9,Payers!$B$2:$B$9)</f>
        <v>Blue Horizon Commercial</v>
      </c>
      <c r="W1230" s="1" t="str">
        <f t="shared" si="79"/>
        <v>2026-02</v>
      </c>
    </row>
    <row r="1231" spans="1:23">
      <c r="A1231" s="1" t="s">
        <v>2324</v>
      </c>
      <c r="B1231" s="1" t="s">
        <v>2325</v>
      </c>
      <c r="C1231" s="1" t="s">
        <v>36</v>
      </c>
      <c r="D1231" s="1" t="s">
        <v>30</v>
      </c>
      <c r="E1231" s="1" t="s">
        <v>91</v>
      </c>
      <c r="F1231">
        <v>1</v>
      </c>
      <c r="G1231" s="2">
        <v>45955</v>
      </c>
      <c r="H1231" s="2">
        <v>45959</v>
      </c>
      <c r="I1231">
        <v>57.53</v>
      </c>
      <c r="J1231">
        <v>13.91</v>
      </c>
      <c r="K1231">
        <v>12.52</v>
      </c>
      <c r="L1231">
        <v>1.39</v>
      </c>
      <c r="M1231" s="1" t="s">
        <v>21</v>
      </c>
      <c r="N1231" s="1" t="s">
        <v>22</v>
      </c>
      <c r="O1231" s="2">
        <v>45998</v>
      </c>
      <c r="P1231" s="2">
        <v>45998</v>
      </c>
      <c r="Q1231">
        <f>_xlfn.XLOOKUP(E1231,CPT!$A$2:$A$13,CPT!$D$2:$D$13)</f>
        <v>58</v>
      </c>
      <c r="R1231" s="1">
        <f>_xlfn.XLOOKUP(C1231,Contract!$A$2:$A$9,Contract!$B$2:$B$9)</f>
        <v>0.27</v>
      </c>
      <c r="S1231" s="1">
        <f t="shared" si="76"/>
        <v>15.66</v>
      </c>
      <c r="T1231" s="1">
        <f t="shared" si="77"/>
        <v>1.75</v>
      </c>
      <c r="U1231" s="1" t="str">
        <f t="shared" si="78"/>
        <v>Underpaid</v>
      </c>
      <c r="V1231" s="1" t="str">
        <f>_xlfn.XLOOKUP(C1231,Payers!$A$2:$A$9,Payers!$B$2:$B$9)</f>
        <v>Florida Medicaid</v>
      </c>
      <c r="W1231" s="1" t="str">
        <f t="shared" si="79"/>
        <v>2025-10</v>
      </c>
    </row>
    <row r="1232" spans="1:23">
      <c r="A1232" s="1" t="s">
        <v>2326</v>
      </c>
      <c r="B1232" s="1" t="s">
        <v>2327</v>
      </c>
      <c r="C1232" s="1" t="s">
        <v>76</v>
      </c>
      <c r="D1232" s="1" t="s">
        <v>19</v>
      </c>
      <c r="E1232" s="1" t="s">
        <v>57</v>
      </c>
      <c r="F1232">
        <v>1</v>
      </c>
      <c r="G1232" s="2">
        <v>46258</v>
      </c>
      <c r="H1232" s="2">
        <v>46259</v>
      </c>
      <c r="I1232">
        <v>208.07</v>
      </c>
      <c r="J1232">
        <v>88.05</v>
      </c>
      <c r="K1232">
        <v>70.44</v>
      </c>
      <c r="L1232">
        <v>17.61</v>
      </c>
      <c r="M1232" s="1" t="s">
        <v>21</v>
      </c>
      <c r="N1232" s="1" t="s">
        <v>22</v>
      </c>
      <c r="O1232" s="2">
        <v>46286</v>
      </c>
      <c r="P1232" s="2">
        <v>46286</v>
      </c>
      <c r="Q1232">
        <f>_xlfn.XLOOKUP(E1232,CPT!$A$2:$A$13,CPT!$D$2:$D$13)</f>
        <v>210</v>
      </c>
      <c r="R1232" s="1">
        <f>_xlfn.XLOOKUP(C1232,Contract!$A$2:$A$9,Contract!$B$2:$B$9)</f>
        <v>0.43</v>
      </c>
      <c r="S1232" s="1">
        <f t="shared" si="76"/>
        <v>90.3</v>
      </c>
      <c r="T1232" s="1">
        <f t="shared" si="77"/>
        <v>2.25</v>
      </c>
      <c r="U1232" s="1" t="str">
        <f t="shared" si="78"/>
        <v>OK</v>
      </c>
      <c r="V1232" s="1" t="str">
        <f>_xlfn.XLOOKUP(C1232,Payers!$A$2:$A$9,Payers!$B$2:$B$9)</f>
        <v>Summit Health Commercial</v>
      </c>
      <c r="W1232" s="1" t="str">
        <f t="shared" si="79"/>
        <v>2026-08</v>
      </c>
    </row>
    <row r="1233" spans="1:23">
      <c r="A1233" s="1" t="s">
        <v>2328</v>
      </c>
      <c r="B1233" s="1" t="s">
        <v>645</v>
      </c>
      <c r="C1233" s="1" t="s">
        <v>79</v>
      </c>
      <c r="D1233" s="1" t="s">
        <v>19</v>
      </c>
      <c r="E1233" s="1" t="s">
        <v>88</v>
      </c>
      <c r="F1233">
        <v>1</v>
      </c>
      <c r="G1233" s="2">
        <v>45975</v>
      </c>
      <c r="H1233" s="2">
        <v>45984</v>
      </c>
      <c r="I1233">
        <v>261.58999999999997</v>
      </c>
      <c r="M1233" s="1" t="s">
        <v>69</v>
      </c>
      <c r="N1233" s="1" t="s">
        <v>22</v>
      </c>
      <c r="O1233" s="2"/>
      <c r="P1233" s="2"/>
      <c r="Q1233">
        <f>_xlfn.XLOOKUP(E1233,CPT!$A$2:$A$13,CPT!$D$2:$D$13)</f>
        <v>260</v>
      </c>
      <c r="R1233" s="1">
        <f>_xlfn.XLOOKUP(C1233,Contract!$A$2:$A$9,Contract!$B$2:$B$9)</f>
        <v>1</v>
      </c>
      <c r="S1233" s="1">
        <f t="shared" si="76"/>
        <v>260</v>
      </c>
      <c r="T1233" s="1" t="str">
        <f t="shared" si="77"/>
        <v/>
      </c>
      <c r="U1233" s="1" t="str">
        <f t="shared" si="78"/>
        <v/>
      </c>
      <c r="V1233" s="1" t="str">
        <f>_xlfn.XLOOKUP(C1233,Payers!$A$2:$A$9,Payers!$B$2:$B$9)</f>
        <v>Self-Pay</v>
      </c>
      <c r="W1233" s="1" t="str">
        <f t="shared" si="79"/>
        <v>2025-11</v>
      </c>
    </row>
    <row r="1234" spans="1:23">
      <c r="A1234" s="1" t="s">
        <v>2329</v>
      </c>
      <c r="B1234" s="1" t="s">
        <v>2330</v>
      </c>
      <c r="C1234" s="1" t="s">
        <v>47</v>
      </c>
      <c r="D1234" s="1" t="s">
        <v>19</v>
      </c>
      <c r="E1234" s="1" t="s">
        <v>57</v>
      </c>
      <c r="F1234">
        <v>1</v>
      </c>
      <c r="G1234" s="2">
        <v>46106</v>
      </c>
      <c r="H1234" s="2">
        <v>46114</v>
      </c>
      <c r="I1234">
        <v>210.08</v>
      </c>
      <c r="J1234">
        <v>60.41</v>
      </c>
      <c r="K1234">
        <v>60.41</v>
      </c>
      <c r="L1234">
        <v>0</v>
      </c>
      <c r="M1234" s="1" t="s">
        <v>21</v>
      </c>
      <c r="N1234" s="1" t="s">
        <v>22</v>
      </c>
      <c r="O1234" s="2">
        <v>46141</v>
      </c>
      <c r="P1234" s="2">
        <v>46141</v>
      </c>
      <c r="Q1234">
        <f>_xlfn.XLOOKUP(E1234,CPT!$A$2:$A$13,CPT!$D$2:$D$13)</f>
        <v>210</v>
      </c>
      <c r="R1234" s="1">
        <f>_xlfn.XLOOKUP(C1234,Contract!$A$2:$A$9,Contract!$B$2:$B$9)</f>
        <v>0.28000000000000003</v>
      </c>
      <c r="S1234" s="1">
        <f t="shared" si="76"/>
        <v>58.8</v>
      </c>
      <c r="T1234" s="1">
        <f t="shared" si="77"/>
        <v>-1.6099999999999994</v>
      </c>
      <c r="U1234" s="1" t="str">
        <f t="shared" si="78"/>
        <v>OK</v>
      </c>
      <c r="V1234" s="1" t="str">
        <f>_xlfn.XLOOKUP(C1234,Payers!$A$2:$A$9,Payers!$B$2:$B$9)</f>
        <v>Coastal Medicaid MCO</v>
      </c>
      <c r="W1234" s="1" t="str">
        <f t="shared" si="79"/>
        <v>2026-03</v>
      </c>
    </row>
    <row r="1235" spans="1:23">
      <c r="A1235" s="1" t="s">
        <v>2331</v>
      </c>
      <c r="B1235" s="1" t="s">
        <v>2332</v>
      </c>
      <c r="C1235" s="1" t="s">
        <v>60</v>
      </c>
      <c r="D1235" s="1" t="s">
        <v>37</v>
      </c>
      <c r="E1235" s="1" t="s">
        <v>38</v>
      </c>
      <c r="F1235">
        <v>30</v>
      </c>
      <c r="G1235" s="2">
        <v>46036</v>
      </c>
      <c r="H1235" s="2">
        <v>46039</v>
      </c>
      <c r="I1235">
        <v>42408.35</v>
      </c>
      <c r="M1235" s="1" t="s">
        <v>32</v>
      </c>
      <c r="N1235" s="1" t="s">
        <v>49</v>
      </c>
      <c r="O1235" s="2">
        <v>46063</v>
      </c>
      <c r="P1235" s="2"/>
      <c r="Q1235">
        <f>_xlfn.XLOOKUP(E1235,CPT!$A$2:$A$13,CPT!$D$2:$D$13)</f>
        <v>1450</v>
      </c>
      <c r="R1235" s="1">
        <f>_xlfn.XLOOKUP(C1235,Contract!$A$2:$A$9,Contract!$B$2:$B$9)</f>
        <v>0.45</v>
      </c>
      <c r="S1235" s="1">
        <f t="shared" si="76"/>
        <v>19575</v>
      </c>
      <c r="T1235" s="1" t="str">
        <f t="shared" si="77"/>
        <v/>
      </c>
      <c r="U1235" s="1" t="str">
        <f t="shared" si="78"/>
        <v/>
      </c>
      <c r="V1235" s="1" t="str">
        <f>_xlfn.XLOOKUP(C1235,Payers!$A$2:$A$9,Payers!$B$2:$B$9)</f>
        <v>Blue Horizon Commercial</v>
      </c>
      <c r="W1235" s="1" t="str">
        <f t="shared" si="79"/>
        <v>2026-01</v>
      </c>
    </row>
    <row r="1236" spans="1:23">
      <c r="A1236" s="1" t="s">
        <v>2333</v>
      </c>
      <c r="B1236" s="1" t="s">
        <v>841</v>
      </c>
      <c r="C1236" s="1" t="s">
        <v>25</v>
      </c>
      <c r="D1236" s="1" t="s">
        <v>26</v>
      </c>
      <c r="E1236" s="1" t="s">
        <v>27</v>
      </c>
      <c r="F1236">
        <v>1</v>
      </c>
      <c r="G1236" s="2">
        <v>46015</v>
      </c>
      <c r="H1236" s="2">
        <v>46020</v>
      </c>
      <c r="I1236">
        <v>243.45</v>
      </c>
      <c r="J1236">
        <v>87.35</v>
      </c>
      <c r="K1236">
        <v>78.62</v>
      </c>
      <c r="L1236">
        <v>8.73</v>
      </c>
      <c r="M1236" s="1" t="s">
        <v>21</v>
      </c>
      <c r="N1236" s="1" t="s">
        <v>22</v>
      </c>
      <c r="O1236" s="2">
        <v>46033</v>
      </c>
      <c r="P1236" s="2">
        <v>46033</v>
      </c>
      <c r="Q1236">
        <f>_xlfn.XLOOKUP(E1236,CPT!$A$2:$A$13,CPT!$D$2:$D$13)</f>
        <v>240</v>
      </c>
      <c r="R1236" s="1">
        <f>_xlfn.XLOOKUP(C1236,Contract!$A$2:$A$9,Contract!$B$2:$B$9)</f>
        <v>0.36</v>
      </c>
      <c r="S1236" s="1">
        <f t="shared" si="76"/>
        <v>86.4</v>
      </c>
      <c r="T1236" s="1">
        <f t="shared" si="77"/>
        <v>-0.94999999999998863</v>
      </c>
      <c r="U1236" s="1" t="str">
        <f t="shared" si="78"/>
        <v>OK</v>
      </c>
      <c r="V1236" s="1" t="str">
        <f>_xlfn.XLOOKUP(C1236,Payers!$A$2:$A$9,Payers!$B$2:$B$9)</f>
        <v>Medicare Part B</v>
      </c>
      <c r="W1236" s="1" t="str">
        <f t="shared" si="79"/>
        <v>2025-12</v>
      </c>
    </row>
    <row r="1237" spans="1:23">
      <c r="A1237" s="1" t="s">
        <v>2334</v>
      </c>
      <c r="B1237" s="1" t="s">
        <v>261</v>
      </c>
      <c r="C1237" s="1" t="s">
        <v>25</v>
      </c>
      <c r="D1237" s="1" t="s">
        <v>30</v>
      </c>
      <c r="E1237" s="1" t="s">
        <v>20</v>
      </c>
      <c r="F1237">
        <v>1</v>
      </c>
      <c r="G1237" s="2">
        <v>46132</v>
      </c>
      <c r="H1237" s="2">
        <v>46134</v>
      </c>
      <c r="I1237">
        <v>142.56</v>
      </c>
      <c r="J1237">
        <v>45.04</v>
      </c>
      <c r="K1237">
        <v>36.03</v>
      </c>
      <c r="L1237">
        <v>9.01</v>
      </c>
      <c r="M1237" s="1" t="s">
        <v>21</v>
      </c>
      <c r="N1237" s="1" t="s">
        <v>22</v>
      </c>
      <c r="O1237" s="2">
        <v>46161</v>
      </c>
      <c r="P1237" s="2">
        <v>46161</v>
      </c>
      <c r="Q1237">
        <f>_xlfn.XLOOKUP(E1237,CPT!$A$2:$A$13,CPT!$D$2:$D$13)</f>
        <v>145</v>
      </c>
      <c r="R1237" s="1">
        <f>_xlfn.XLOOKUP(C1237,Contract!$A$2:$A$9,Contract!$B$2:$B$9)</f>
        <v>0.36</v>
      </c>
      <c r="S1237" s="1">
        <f t="shared" si="76"/>
        <v>52.2</v>
      </c>
      <c r="T1237" s="1">
        <f t="shared" si="77"/>
        <v>7.1600000000000037</v>
      </c>
      <c r="U1237" s="1" t="str">
        <f t="shared" si="78"/>
        <v>Underpaid</v>
      </c>
      <c r="V1237" s="1" t="str">
        <f>_xlfn.XLOOKUP(C1237,Payers!$A$2:$A$9,Payers!$B$2:$B$9)</f>
        <v>Medicare Part B</v>
      </c>
      <c r="W1237" s="1" t="str">
        <f t="shared" si="79"/>
        <v>2026-04</v>
      </c>
    </row>
    <row r="1238" spans="1:23">
      <c r="A1238" s="1" t="s">
        <v>2335</v>
      </c>
      <c r="B1238" s="1" t="s">
        <v>1385</v>
      </c>
      <c r="C1238" s="1" t="s">
        <v>18</v>
      </c>
      <c r="D1238" s="1" t="s">
        <v>30</v>
      </c>
      <c r="E1238" s="1" t="s">
        <v>31</v>
      </c>
      <c r="F1238">
        <v>1</v>
      </c>
      <c r="G1238" s="2">
        <v>46189</v>
      </c>
      <c r="H1238" s="2">
        <v>46199</v>
      </c>
      <c r="I1238">
        <v>61.98</v>
      </c>
      <c r="J1238">
        <v>25.59</v>
      </c>
      <c r="K1238">
        <v>25.59</v>
      </c>
      <c r="L1238">
        <v>0</v>
      </c>
      <c r="M1238" s="1" t="s">
        <v>21</v>
      </c>
      <c r="N1238" s="1" t="s">
        <v>22</v>
      </c>
      <c r="O1238" s="2">
        <v>46247</v>
      </c>
      <c r="P1238" s="2">
        <v>46247</v>
      </c>
      <c r="Q1238">
        <f>_xlfn.XLOOKUP(E1238,CPT!$A$2:$A$13,CPT!$D$2:$D$13)</f>
        <v>62</v>
      </c>
      <c r="R1238" s="1">
        <f>_xlfn.XLOOKUP(C1238,Contract!$A$2:$A$9,Contract!$B$2:$B$9)</f>
        <v>0.38</v>
      </c>
      <c r="S1238" s="1">
        <f t="shared" si="76"/>
        <v>23.56</v>
      </c>
      <c r="T1238" s="1">
        <f t="shared" si="77"/>
        <v>-2.0300000000000011</v>
      </c>
      <c r="U1238" s="1" t="str">
        <f t="shared" si="78"/>
        <v>OK</v>
      </c>
      <c r="V1238" s="1" t="str">
        <f>_xlfn.XLOOKUP(C1238,Payers!$A$2:$A$9,Payers!$B$2:$B$9)</f>
        <v>Sunshine Medicare Advantage</v>
      </c>
      <c r="W1238" s="1" t="str">
        <f t="shared" si="79"/>
        <v>2026-06</v>
      </c>
    </row>
    <row r="1239" spans="1:23">
      <c r="A1239" s="1" t="s">
        <v>2336</v>
      </c>
      <c r="B1239" s="1" t="s">
        <v>2337</v>
      </c>
      <c r="C1239" s="1" t="s">
        <v>60</v>
      </c>
      <c r="D1239" s="1" t="s">
        <v>26</v>
      </c>
      <c r="E1239" s="1" t="s">
        <v>88</v>
      </c>
      <c r="F1239">
        <v>1</v>
      </c>
      <c r="G1239" s="2">
        <v>45992</v>
      </c>
      <c r="H1239" s="2">
        <v>46000</v>
      </c>
      <c r="I1239">
        <v>255.43</v>
      </c>
      <c r="J1239">
        <v>99.46</v>
      </c>
      <c r="K1239">
        <v>79.569999999999993</v>
      </c>
      <c r="L1239">
        <v>19.89</v>
      </c>
      <c r="M1239" s="1" t="s">
        <v>21</v>
      </c>
      <c r="N1239" s="1" t="s">
        <v>22</v>
      </c>
      <c r="O1239" s="2">
        <v>46033</v>
      </c>
      <c r="P1239" s="2">
        <v>46033</v>
      </c>
      <c r="Q1239">
        <f>_xlfn.XLOOKUP(E1239,CPT!$A$2:$A$13,CPT!$D$2:$D$13)</f>
        <v>260</v>
      </c>
      <c r="R1239" s="1">
        <f>_xlfn.XLOOKUP(C1239,Contract!$A$2:$A$9,Contract!$B$2:$B$9)</f>
        <v>0.45</v>
      </c>
      <c r="S1239" s="1">
        <f t="shared" si="76"/>
        <v>117</v>
      </c>
      <c r="T1239" s="1">
        <f t="shared" si="77"/>
        <v>17.540000000000006</v>
      </c>
      <c r="U1239" s="1" t="str">
        <f t="shared" si="78"/>
        <v>Underpaid</v>
      </c>
      <c r="V1239" s="1" t="str">
        <f>_xlfn.XLOOKUP(C1239,Payers!$A$2:$A$9,Payers!$B$2:$B$9)</f>
        <v>Blue Horizon Commercial</v>
      </c>
      <c r="W1239" s="1" t="str">
        <f t="shared" si="79"/>
        <v>2025-12</v>
      </c>
    </row>
    <row r="1240" spans="1:23">
      <c r="A1240" s="1" t="s">
        <v>2338</v>
      </c>
      <c r="B1240" s="1" t="s">
        <v>2339</v>
      </c>
      <c r="C1240" s="1" t="s">
        <v>25</v>
      </c>
      <c r="D1240" s="1" t="s">
        <v>19</v>
      </c>
      <c r="E1240" s="1" t="s">
        <v>88</v>
      </c>
      <c r="F1240">
        <v>1</v>
      </c>
      <c r="G1240" s="2">
        <v>45936</v>
      </c>
      <c r="H1240" s="2">
        <v>45938</v>
      </c>
      <c r="I1240">
        <v>263.08999999999997</v>
      </c>
      <c r="J1240">
        <v>86.12</v>
      </c>
      <c r="K1240">
        <v>68.900000000000006</v>
      </c>
      <c r="L1240">
        <v>17.22</v>
      </c>
      <c r="M1240" s="1" t="s">
        <v>21</v>
      </c>
      <c r="N1240" s="1" t="s">
        <v>22</v>
      </c>
      <c r="O1240" s="2">
        <v>45949</v>
      </c>
      <c r="P1240" s="2">
        <v>45949</v>
      </c>
      <c r="Q1240">
        <f>_xlfn.XLOOKUP(E1240,CPT!$A$2:$A$13,CPT!$D$2:$D$13)</f>
        <v>260</v>
      </c>
      <c r="R1240" s="1">
        <f>_xlfn.XLOOKUP(C1240,Contract!$A$2:$A$9,Contract!$B$2:$B$9)</f>
        <v>0.36</v>
      </c>
      <c r="S1240" s="1">
        <f t="shared" si="76"/>
        <v>93.6</v>
      </c>
      <c r="T1240" s="1">
        <f t="shared" si="77"/>
        <v>7.4799999999999898</v>
      </c>
      <c r="U1240" s="1" t="str">
        <f t="shared" si="78"/>
        <v>Underpaid</v>
      </c>
      <c r="V1240" s="1" t="str">
        <f>_xlfn.XLOOKUP(C1240,Payers!$A$2:$A$9,Payers!$B$2:$B$9)</f>
        <v>Medicare Part B</v>
      </c>
      <c r="W1240" s="1" t="str">
        <f t="shared" si="79"/>
        <v>2025-10</v>
      </c>
    </row>
    <row r="1241" spans="1:23">
      <c r="A1241" s="1" t="s">
        <v>2340</v>
      </c>
      <c r="B1241" s="1" t="s">
        <v>2341</v>
      </c>
      <c r="C1241" s="1" t="s">
        <v>18</v>
      </c>
      <c r="D1241" s="1" t="s">
        <v>19</v>
      </c>
      <c r="E1241" s="1" t="s">
        <v>20</v>
      </c>
      <c r="F1241">
        <v>1</v>
      </c>
      <c r="G1241" s="2">
        <v>45947</v>
      </c>
      <c r="H1241" s="2">
        <v>45949</v>
      </c>
      <c r="I1241">
        <v>145</v>
      </c>
      <c r="J1241">
        <v>55.01</v>
      </c>
      <c r="K1241">
        <v>44.01</v>
      </c>
      <c r="L1241">
        <v>11</v>
      </c>
      <c r="M1241" s="1" t="s">
        <v>21</v>
      </c>
      <c r="N1241" s="1" t="s">
        <v>22</v>
      </c>
      <c r="O1241" s="2">
        <v>46010</v>
      </c>
      <c r="P1241" s="2">
        <v>46010</v>
      </c>
      <c r="Q1241">
        <f>_xlfn.XLOOKUP(E1241,CPT!$A$2:$A$13,CPT!$D$2:$D$13)</f>
        <v>145</v>
      </c>
      <c r="R1241" s="1">
        <f>_xlfn.XLOOKUP(C1241,Contract!$A$2:$A$9,Contract!$B$2:$B$9)</f>
        <v>0.38</v>
      </c>
      <c r="S1241" s="1">
        <f t="shared" si="76"/>
        <v>55.1</v>
      </c>
      <c r="T1241" s="1">
        <f t="shared" si="77"/>
        <v>9.0000000000003411E-2</v>
      </c>
      <c r="U1241" s="1" t="str">
        <f t="shared" si="78"/>
        <v>OK</v>
      </c>
      <c r="V1241" s="1" t="str">
        <f>_xlfn.XLOOKUP(C1241,Payers!$A$2:$A$9,Payers!$B$2:$B$9)</f>
        <v>Sunshine Medicare Advantage</v>
      </c>
      <c r="W1241" s="1" t="str">
        <f t="shared" si="79"/>
        <v>2025-10</v>
      </c>
    </row>
    <row r="1242" spans="1:23">
      <c r="A1242" s="1" t="s">
        <v>2342</v>
      </c>
      <c r="B1242" s="1" t="s">
        <v>2343</v>
      </c>
      <c r="C1242" s="1" t="s">
        <v>52</v>
      </c>
      <c r="D1242" s="1" t="s">
        <v>19</v>
      </c>
      <c r="E1242" s="1" t="s">
        <v>20</v>
      </c>
      <c r="F1242">
        <v>1</v>
      </c>
      <c r="G1242" s="2">
        <v>46231</v>
      </c>
      <c r="H1242" s="2">
        <v>46233</v>
      </c>
      <c r="I1242">
        <v>146.05000000000001</v>
      </c>
      <c r="J1242">
        <v>68.8</v>
      </c>
      <c r="K1242">
        <v>55.04</v>
      </c>
      <c r="L1242">
        <v>13.76</v>
      </c>
      <c r="M1242" s="1" t="s">
        <v>21</v>
      </c>
      <c r="N1242" s="1" t="s">
        <v>22</v>
      </c>
      <c r="O1242" s="2">
        <v>46281</v>
      </c>
      <c r="P1242" s="2">
        <v>46281</v>
      </c>
      <c r="Q1242">
        <f>_xlfn.XLOOKUP(E1242,CPT!$A$2:$A$13,CPT!$D$2:$D$13)</f>
        <v>145</v>
      </c>
      <c r="R1242" s="1">
        <f>_xlfn.XLOOKUP(C1242,Contract!$A$2:$A$9,Contract!$B$2:$B$9)</f>
        <v>0.47</v>
      </c>
      <c r="S1242" s="1">
        <f t="shared" si="76"/>
        <v>68.150000000000006</v>
      </c>
      <c r="T1242" s="1">
        <f t="shared" si="77"/>
        <v>-0.64999999999999147</v>
      </c>
      <c r="U1242" s="1" t="str">
        <f t="shared" si="78"/>
        <v>OK</v>
      </c>
      <c r="V1242" s="1" t="str">
        <f>_xlfn.XLOOKUP(C1242,Payers!$A$2:$A$9,Payers!$B$2:$B$9)</f>
        <v>Keystone Commercial PPO</v>
      </c>
      <c r="W1242" s="1" t="str">
        <f t="shared" si="79"/>
        <v>2026-07</v>
      </c>
    </row>
    <row r="1243" spans="1:23">
      <c r="A1243" s="1" t="s">
        <v>2344</v>
      </c>
      <c r="B1243" s="1" t="s">
        <v>176</v>
      </c>
      <c r="C1243" s="1" t="s">
        <v>76</v>
      </c>
      <c r="D1243" s="1" t="s">
        <v>30</v>
      </c>
      <c r="E1243" s="1" t="s">
        <v>91</v>
      </c>
      <c r="F1243">
        <v>1</v>
      </c>
      <c r="G1243" s="2">
        <v>45978</v>
      </c>
      <c r="H1243" s="2">
        <v>45986</v>
      </c>
      <c r="I1243">
        <v>57.11</v>
      </c>
      <c r="M1243" s="1" t="s">
        <v>32</v>
      </c>
      <c r="N1243" s="1" t="s">
        <v>124</v>
      </c>
      <c r="O1243" s="2">
        <v>46018</v>
      </c>
      <c r="P1243" s="2"/>
      <c r="Q1243">
        <f>_xlfn.XLOOKUP(E1243,CPT!$A$2:$A$13,CPT!$D$2:$D$13)</f>
        <v>58</v>
      </c>
      <c r="R1243" s="1">
        <f>_xlfn.XLOOKUP(C1243,Contract!$A$2:$A$9,Contract!$B$2:$B$9)</f>
        <v>0.43</v>
      </c>
      <c r="S1243" s="1">
        <f t="shared" si="76"/>
        <v>24.94</v>
      </c>
      <c r="T1243" s="1" t="str">
        <f t="shared" si="77"/>
        <v/>
      </c>
      <c r="U1243" s="1" t="str">
        <f t="shared" si="78"/>
        <v/>
      </c>
      <c r="V1243" s="1" t="str">
        <f>_xlfn.XLOOKUP(C1243,Payers!$A$2:$A$9,Payers!$B$2:$B$9)</f>
        <v>Summit Health Commercial</v>
      </c>
      <c r="W1243" s="1" t="str">
        <f t="shared" si="79"/>
        <v>2025-11</v>
      </c>
    </row>
    <row r="1244" spans="1:23">
      <c r="A1244" s="1" t="s">
        <v>2345</v>
      </c>
      <c r="B1244" s="1" t="s">
        <v>835</v>
      </c>
      <c r="C1244" s="1" t="s">
        <v>25</v>
      </c>
      <c r="D1244" s="1" t="s">
        <v>26</v>
      </c>
      <c r="E1244" s="1" t="s">
        <v>185</v>
      </c>
      <c r="F1244">
        <v>1</v>
      </c>
      <c r="G1244" s="2">
        <v>46291</v>
      </c>
      <c r="H1244" s="2">
        <v>46292</v>
      </c>
      <c r="I1244">
        <v>1174.47</v>
      </c>
      <c r="M1244" s="1" t="s">
        <v>69</v>
      </c>
      <c r="N1244" s="1" t="s">
        <v>22</v>
      </c>
      <c r="O1244" s="2"/>
      <c r="P1244" s="2"/>
      <c r="Q1244">
        <f>_xlfn.XLOOKUP(E1244,CPT!$A$2:$A$13,CPT!$D$2:$D$13)</f>
        <v>1150</v>
      </c>
      <c r="R1244" s="1">
        <f>_xlfn.XLOOKUP(C1244,Contract!$A$2:$A$9,Contract!$B$2:$B$9)</f>
        <v>0.36</v>
      </c>
      <c r="S1244" s="1">
        <f t="shared" si="76"/>
        <v>414</v>
      </c>
      <c r="T1244" s="1" t="str">
        <f t="shared" si="77"/>
        <v/>
      </c>
      <c r="U1244" s="1" t="str">
        <f t="shared" si="78"/>
        <v/>
      </c>
      <c r="V1244" s="1" t="str">
        <f>_xlfn.XLOOKUP(C1244,Payers!$A$2:$A$9,Payers!$B$2:$B$9)</f>
        <v>Medicare Part B</v>
      </c>
      <c r="W1244" s="1" t="str">
        <f t="shared" si="79"/>
        <v>2026-09</v>
      </c>
    </row>
    <row r="1245" spans="1:23">
      <c r="A1245" s="1" t="s">
        <v>2346</v>
      </c>
      <c r="B1245" s="1" t="s">
        <v>1033</v>
      </c>
      <c r="C1245" s="1" t="s">
        <v>52</v>
      </c>
      <c r="D1245" s="1" t="s">
        <v>26</v>
      </c>
      <c r="E1245" s="1" t="s">
        <v>27</v>
      </c>
      <c r="F1245">
        <v>1</v>
      </c>
      <c r="G1245" s="2">
        <v>46188</v>
      </c>
      <c r="H1245" s="2">
        <v>46190</v>
      </c>
      <c r="I1245">
        <v>235.41</v>
      </c>
      <c r="J1245">
        <v>121.66</v>
      </c>
      <c r="K1245">
        <v>121.66</v>
      </c>
      <c r="L1245">
        <v>0</v>
      </c>
      <c r="M1245" s="1" t="s">
        <v>21</v>
      </c>
      <c r="N1245" s="1" t="s">
        <v>22</v>
      </c>
      <c r="O1245" s="2">
        <v>46254</v>
      </c>
      <c r="P1245" s="2">
        <v>46254</v>
      </c>
      <c r="Q1245">
        <f>_xlfn.XLOOKUP(E1245,CPT!$A$2:$A$13,CPT!$D$2:$D$13)</f>
        <v>240</v>
      </c>
      <c r="R1245" s="1">
        <f>_xlfn.XLOOKUP(C1245,Contract!$A$2:$A$9,Contract!$B$2:$B$9)</f>
        <v>0.47</v>
      </c>
      <c r="S1245" s="1">
        <f t="shared" si="76"/>
        <v>112.8</v>
      </c>
      <c r="T1245" s="1">
        <f t="shared" si="77"/>
        <v>-8.86</v>
      </c>
      <c r="U1245" s="1" t="str">
        <f t="shared" si="78"/>
        <v>OK</v>
      </c>
      <c r="V1245" s="1" t="str">
        <f>_xlfn.XLOOKUP(C1245,Payers!$A$2:$A$9,Payers!$B$2:$B$9)</f>
        <v>Keystone Commercial PPO</v>
      </c>
      <c r="W1245" s="1" t="str">
        <f t="shared" si="79"/>
        <v>2026-06</v>
      </c>
    </row>
    <row r="1246" spans="1:23">
      <c r="A1246" s="1" t="s">
        <v>2347</v>
      </c>
      <c r="B1246" s="1" t="s">
        <v>1159</v>
      </c>
      <c r="C1246" s="1" t="s">
        <v>60</v>
      </c>
      <c r="D1246" s="1" t="s">
        <v>19</v>
      </c>
      <c r="E1246" s="1" t="s">
        <v>41</v>
      </c>
      <c r="F1246">
        <v>1</v>
      </c>
      <c r="G1246" s="2">
        <v>46162</v>
      </c>
      <c r="H1246" s="2">
        <v>46163</v>
      </c>
      <c r="I1246">
        <v>37.53</v>
      </c>
      <c r="J1246">
        <v>16</v>
      </c>
      <c r="K1246">
        <v>16</v>
      </c>
      <c r="L1246">
        <v>0</v>
      </c>
      <c r="M1246" s="1" t="s">
        <v>21</v>
      </c>
      <c r="N1246" s="1" t="s">
        <v>22</v>
      </c>
      <c r="O1246" s="2">
        <v>46194</v>
      </c>
      <c r="P1246" s="2">
        <v>46194</v>
      </c>
      <c r="Q1246">
        <f>_xlfn.XLOOKUP(E1246,CPT!$A$2:$A$13,CPT!$D$2:$D$13)</f>
        <v>38</v>
      </c>
      <c r="R1246" s="1">
        <f>_xlfn.XLOOKUP(C1246,Contract!$A$2:$A$9,Contract!$B$2:$B$9)</f>
        <v>0.45</v>
      </c>
      <c r="S1246" s="1">
        <f t="shared" si="76"/>
        <v>17.100000000000001</v>
      </c>
      <c r="T1246" s="1">
        <f t="shared" si="77"/>
        <v>1.1000000000000014</v>
      </c>
      <c r="U1246" s="1" t="str">
        <f t="shared" si="78"/>
        <v>Underpaid</v>
      </c>
      <c r="V1246" s="1" t="str">
        <f>_xlfn.XLOOKUP(C1246,Payers!$A$2:$A$9,Payers!$B$2:$B$9)</f>
        <v>Blue Horizon Commercial</v>
      </c>
      <c r="W1246" s="1" t="str">
        <f t="shared" si="79"/>
        <v>2026-05</v>
      </c>
    </row>
    <row r="1247" spans="1:23">
      <c r="A1247" s="1" t="s">
        <v>2348</v>
      </c>
      <c r="B1247" s="1" t="s">
        <v>2349</v>
      </c>
      <c r="C1247" s="1" t="s">
        <v>60</v>
      </c>
      <c r="D1247" s="1" t="s">
        <v>19</v>
      </c>
      <c r="E1247" s="1" t="s">
        <v>57</v>
      </c>
      <c r="F1247">
        <v>1</v>
      </c>
      <c r="G1247" s="2">
        <v>46265</v>
      </c>
      <c r="H1247" s="2">
        <v>46271</v>
      </c>
      <c r="I1247">
        <v>215.11</v>
      </c>
      <c r="M1247" s="1" t="s">
        <v>69</v>
      </c>
      <c r="N1247" s="1" t="s">
        <v>22</v>
      </c>
      <c r="O1247" s="2"/>
      <c r="P1247" s="2"/>
      <c r="Q1247">
        <f>_xlfn.XLOOKUP(E1247,CPT!$A$2:$A$13,CPT!$D$2:$D$13)</f>
        <v>210</v>
      </c>
      <c r="R1247" s="1">
        <f>_xlfn.XLOOKUP(C1247,Contract!$A$2:$A$9,Contract!$B$2:$B$9)</f>
        <v>0.45</v>
      </c>
      <c r="S1247" s="1">
        <f t="shared" si="76"/>
        <v>94.5</v>
      </c>
      <c r="T1247" s="1" t="str">
        <f t="shared" si="77"/>
        <v/>
      </c>
      <c r="U1247" s="1" t="str">
        <f t="shared" si="78"/>
        <v/>
      </c>
      <c r="V1247" s="1" t="str">
        <f>_xlfn.XLOOKUP(C1247,Payers!$A$2:$A$9,Payers!$B$2:$B$9)</f>
        <v>Blue Horizon Commercial</v>
      </c>
      <c r="W1247" s="1" t="str">
        <f t="shared" si="79"/>
        <v>2026-08</v>
      </c>
    </row>
    <row r="1248" spans="1:23">
      <c r="A1248" s="1" t="s">
        <v>2350</v>
      </c>
      <c r="B1248" s="1" t="s">
        <v>2351</v>
      </c>
      <c r="C1248" s="1" t="s">
        <v>60</v>
      </c>
      <c r="D1248" s="1" t="s">
        <v>19</v>
      </c>
      <c r="E1248" s="1" t="s">
        <v>41</v>
      </c>
      <c r="F1248">
        <v>1</v>
      </c>
      <c r="G1248" s="2">
        <v>46158</v>
      </c>
      <c r="H1248" s="2">
        <v>46170</v>
      </c>
      <c r="I1248">
        <v>38.700000000000003</v>
      </c>
      <c r="J1248">
        <v>15.6</v>
      </c>
      <c r="K1248">
        <v>15.6</v>
      </c>
      <c r="L1248">
        <v>0</v>
      </c>
      <c r="M1248" s="1" t="s">
        <v>21</v>
      </c>
      <c r="N1248" s="1" t="s">
        <v>22</v>
      </c>
      <c r="O1248" s="2">
        <v>46213</v>
      </c>
      <c r="P1248" s="2">
        <v>46213</v>
      </c>
      <c r="Q1248">
        <f>_xlfn.XLOOKUP(E1248,CPT!$A$2:$A$13,CPT!$D$2:$D$13)</f>
        <v>38</v>
      </c>
      <c r="R1248" s="1">
        <f>_xlfn.XLOOKUP(C1248,Contract!$A$2:$A$9,Contract!$B$2:$B$9)</f>
        <v>0.45</v>
      </c>
      <c r="S1248" s="1">
        <f t="shared" si="76"/>
        <v>17.100000000000001</v>
      </c>
      <c r="T1248" s="1">
        <f t="shared" si="77"/>
        <v>1.5000000000000018</v>
      </c>
      <c r="U1248" s="1" t="str">
        <f t="shared" si="78"/>
        <v>Underpaid</v>
      </c>
      <c r="V1248" s="1" t="str">
        <f>_xlfn.XLOOKUP(C1248,Payers!$A$2:$A$9,Payers!$B$2:$B$9)</f>
        <v>Blue Horizon Commercial</v>
      </c>
      <c r="W1248" s="1" t="str">
        <f t="shared" si="79"/>
        <v>2026-05</v>
      </c>
    </row>
    <row r="1249" spans="1:23">
      <c r="A1249" s="1" t="s">
        <v>2352</v>
      </c>
      <c r="B1249" s="1" t="s">
        <v>2353</v>
      </c>
      <c r="C1249" s="1" t="s">
        <v>60</v>
      </c>
      <c r="D1249" s="1" t="s">
        <v>19</v>
      </c>
      <c r="E1249" s="1" t="s">
        <v>41</v>
      </c>
      <c r="F1249">
        <v>1</v>
      </c>
      <c r="G1249" s="2">
        <v>46199</v>
      </c>
      <c r="H1249" s="2">
        <v>46201</v>
      </c>
      <c r="I1249">
        <v>38.909999999999997</v>
      </c>
      <c r="J1249">
        <v>17.07</v>
      </c>
      <c r="K1249">
        <v>17.07</v>
      </c>
      <c r="L1249">
        <v>0</v>
      </c>
      <c r="M1249" s="1" t="s">
        <v>21</v>
      </c>
      <c r="N1249" s="1" t="s">
        <v>22</v>
      </c>
      <c r="O1249" s="2">
        <v>46246</v>
      </c>
      <c r="P1249" s="2">
        <v>46246</v>
      </c>
      <c r="Q1249">
        <f>_xlfn.XLOOKUP(E1249,CPT!$A$2:$A$13,CPT!$D$2:$D$13)</f>
        <v>38</v>
      </c>
      <c r="R1249" s="1">
        <f>_xlfn.XLOOKUP(C1249,Contract!$A$2:$A$9,Contract!$B$2:$B$9)</f>
        <v>0.45</v>
      </c>
      <c r="S1249" s="1">
        <f t="shared" si="76"/>
        <v>17.100000000000001</v>
      </c>
      <c r="T1249" s="1">
        <f t="shared" si="77"/>
        <v>3.0000000000001137E-2</v>
      </c>
      <c r="U1249" s="1" t="str">
        <f t="shared" si="78"/>
        <v>OK</v>
      </c>
      <c r="V1249" s="1" t="str">
        <f>_xlfn.XLOOKUP(C1249,Payers!$A$2:$A$9,Payers!$B$2:$B$9)</f>
        <v>Blue Horizon Commercial</v>
      </c>
      <c r="W1249" s="1" t="str">
        <f t="shared" si="79"/>
        <v>2026-06</v>
      </c>
    </row>
    <row r="1250" spans="1:23">
      <c r="A1250" s="1" t="s">
        <v>2354</v>
      </c>
      <c r="B1250" s="1" t="s">
        <v>2355</v>
      </c>
      <c r="C1250" s="1" t="s">
        <v>60</v>
      </c>
      <c r="D1250" s="1" t="s">
        <v>19</v>
      </c>
      <c r="E1250" s="1" t="s">
        <v>41</v>
      </c>
      <c r="F1250">
        <v>1</v>
      </c>
      <c r="G1250" s="2">
        <v>45975</v>
      </c>
      <c r="H1250" s="2">
        <v>45987</v>
      </c>
      <c r="I1250">
        <v>37.46</v>
      </c>
      <c r="J1250">
        <v>16.34</v>
      </c>
      <c r="K1250">
        <v>16.34</v>
      </c>
      <c r="L1250">
        <v>0</v>
      </c>
      <c r="M1250" s="1" t="s">
        <v>21</v>
      </c>
      <c r="N1250" s="1" t="s">
        <v>22</v>
      </c>
      <c r="O1250" s="2">
        <v>46030</v>
      </c>
      <c r="P1250" s="2">
        <v>46030</v>
      </c>
      <c r="Q1250">
        <f>_xlfn.XLOOKUP(E1250,CPT!$A$2:$A$13,CPT!$D$2:$D$13)</f>
        <v>38</v>
      </c>
      <c r="R1250" s="1">
        <f>_xlfn.XLOOKUP(C1250,Contract!$A$2:$A$9,Contract!$B$2:$B$9)</f>
        <v>0.45</v>
      </c>
      <c r="S1250" s="1">
        <f t="shared" si="76"/>
        <v>17.100000000000001</v>
      </c>
      <c r="T1250" s="1">
        <f t="shared" si="77"/>
        <v>0.76000000000000156</v>
      </c>
      <c r="U1250" s="1" t="str">
        <f t="shared" si="78"/>
        <v>OK</v>
      </c>
      <c r="V1250" s="1" t="str">
        <f>_xlfn.XLOOKUP(C1250,Payers!$A$2:$A$9,Payers!$B$2:$B$9)</f>
        <v>Blue Horizon Commercial</v>
      </c>
      <c r="W1250" s="1" t="str">
        <f t="shared" si="79"/>
        <v>2025-11</v>
      </c>
    </row>
    <row r="1251" spans="1:23">
      <c r="A1251" s="1" t="s">
        <v>2356</v>
      </c>
      <c r="B1251" s="1" t="s">
        <v>1129</v>
      </c>
      <c r="C1251" s="1" t="s">
        <v>25</v>
      </c>
      <c r="D1251" s="1" t="s">
        <v>26</v>
      </c>
      <c r="E1251" s="1" t="s">
        <v>88</v>
      </c>
      <c r="F1251">
        <v>1</v>
      </c>
      <c r="G1251" s="2">
        <v>46271</v>
      </c>
      <c r="H1251" s="2">
        <v>46276</v>
      </c>
      <c r="I1251">
        <v>255.27</v>
      </c>
      <c r="J1251">
        <v>93.54</v>
      </c>
      <c r="K1251">
        <v>74.83</v>
      </c>
      <c r="L1251">
        <v>18.71</v>
      </c>
      <c r="M1251" s="1" t="s">
        <v>21</v>
      </c>
      <c r="N1251" s="1" t="s">
        <v>22</v>
      </c>
      <c r="O1251" s="2">
        <v>46288</v>
      </c>
      <c r="P1251" s="2">
        <v>46288</v>
      </c>
      <c r="Q1251">
        <f>_xlfn.XLOOKUP(E1251,CPT!$A$2:$A$13,CPT!$D$2:$D$13)</f>
        <v>260</v>
      </c>
      <c r="R1251" s="1">
        <f>_xlfn.XLOOKUP(C1251,Contract!$A$2:$A$9,Contract!$B$2:$B$9)</f>
        <v>0.36</v>
      </c>
      <c r="S1251" s="1">
        <f t="shared" si="76"/>
        <v>93.6</v>
      </c>
      <c r="T1251" s="1">
        <f t="shared" si="77"/>
        <v>5.9999999999988063E-2</v>
      </c>
      <c r="U1251" s="1" t="str">
        <f t="shared" si="78"/>
        <v>OK</v>
      </c>
      <c r="V1251" s="1" t="str">
        <f>_xlfn.XLOOKUP(C1251,Payers!$A$2:$A$9,Payers!$B$2:$B$9)</f>
        <v>Medicare Part B</v>
      </c>
      <c r="W1251" s="1" t="str">
        <f t="shared" si="79"/>
        <v>2026-09</v>
      </c>
    </row>
    <row r="1252" spans="1:23">
      <c r="A1252" s="1" t="s">
        <v>2357</v>
      </c>
      <c r="B1252" s="1" t="s">
        <v>2307</v>
      </c>
      <c r="C1252" s="1" t="s">
        <v>60</v>
      </c>
      <c r="D1252" s="1" t="s">
        <v>30</v>
      </c>
      <c r="E1252" s="1" t="s">
        <v>20</v>
      </c>
      <c r="F1252">
        <v>1</v>
      </c>
      <c r="G1252" s="2">
        <v>46142</v>
      </c>
      <c r="H1252" s="2">
        <v>46143</v>
      </c>
      <c r="I1252">
        <v>141.66</v>
      </c>
      <c r="J1252">
        <v>68.64</v>
      </c>
      <c r="K1252">
        <v>68.64</v>
      </c>
      <c r="L1252">
        <v>0</v>
      </c>
      <c r="M1252" s="1" t="s">
        <v>21</v>
      </c>
      <c r="N1252" s="1" t="s">
        <v>22</v>
      </c>
      <c r="O1252" s="2">
        <v>46164</v>
      </c>
      <c r="P1252" s="2">
        <v>46164</v>
      </c>
      <c r="Q1252">
        <f>_xlfn.XLOOKUP(E1252,CPT!$A$2:$A$13,CPT!$D$2:$D$13)</f>
        <v>145</v>
      </c>
      <c r="R1252" s="1">
        <f>_xlfn.XLOOKUP(C1252,Contract!$A$2:$A$9,Contract!$B$2:$B$9)</f>
        <v>0.45</v>
      </c>
      <c r="S1252" s="1">
        <f t="shared" si="76"/>
        <v>65.25</v>
      </c>
      <c r="T1252" s="1">
        <f t="shared" si="77"/>
        <v>-3.3900000000000006</v>
      </c>
      <c r="U1252" s="1" t="str">
        <f t="shared" si="78"/>
        <v>OK</v>
      </c>
      <c r="V1252" s="1" t="str">
        <f>_xlfn.XLOOKUP(C1252,Payers!$A$2:$A$9,Payers!$B$2:$B$9)</f>
        <v>Blue Horizon Commercial</v>
      </c>
      <c r="W1252" s="1" t="str">
        <f t="shared" si="79"/>
        <v>2026-04</v>
      </c>
    </row>
    <row r="1253" spans="1:23">
      <c r="A1253" s="1" t="s">
        <v>2358</v>
      </c>
      <c r="B1253" s="1" t="s">
        <v>323</v>
      </c>
      <c r="C1253" s="1" t="s">
        <v>25</v>
      </c>
      <c r="D1253" s="1" t="s">
        <v>19</v>
      </c>
      <c r="E1253" s="1" t="s">
        <v>88</v>
      </c>
      <c r="F1253">
        <v>1</v>
      </c>
      <c r="G1253" s="2">
        <v>45935</v>
      </c>
      <c r="H1253" s="2">
        <v>45942</v>
      </c>
      <c r="I1253">
        <v>256.93</v>
      </c>
      <c r="J1253">
        <v>85.12</v>
      </c>
      <c r="K1253">
        <v>68.099999999999994</v>
      </c>
      <c r="L1253">
        <v>17.02</v>
      </c>
      <c r="M1253" s="1" t="s">
        <v>21</v>
      </c>
      <c r="N1253" s="1" t="s">
        <v>22</v>
      </c>
      <c r="O1253" s="2">
        <v>45963</v>
      </c>
      <c r="P1253" s="2">
        <v>45963</v>
      </c>
      <c r="Q1253">
        <f>_xlfn.XLOOKUP(E1253,CPT!$A$2:$A$13,CPT!$D$2:$D$13)</f>
        <v>260</v>
      </c>
      <c r="R1253" s="1">
        <f>_xlfn.XLOOKUP(C1253,Contract!$A$2:$A$9,Contract!$B$2:$B$9)</f>
        <v>0.36</v>
      </c>
      <c r="S1253" s="1">
        <f t="shared" si="76"/>
        <v>93.6</v>
      </c>
      <c r="T1253" s="1">
        <f t="shared" si="77"/>
        <v>8.4799999999999898</v>
      </c>
      <c r="U1253" s="1" t="str">
        <f t="shared" si="78"/>
        <v>Underpaid</v>
      </c>
      <c r="V1253" s="1" t="str">
        <f>_xlfn.XLOOKUP(C1253,Payers!$A$2:$A$9,Payers!$B$2:$B$9)</f>
        <v>Medicare Part B</v>
      </c>
      <c r="W1253" s="1" t="str">
        <f t="shared" si="79"/>
        <v>2025-10</v>
      </c>
    </row>
    <row r="1254" spans="1:23">
      <c r="A1254" s="1" t="s">
        <v>2359</v>
      </c>
      <c r="B1254" s="1" t="s">
        <v>2360</v>
      </c>
      <c r="C1254" s="1" t="s">
        <v>52</v>
      </c>
      <c r="D1254" s="1" t="s">
        <v>26</v>
      </c>
      <c r="E1254" s="1" t="s">
        <v>41</v>
      </c>
      <c r="F1254">
        <v>1</v>
      </c>
      <c r="G1254" s="2">
        <v>46176</v>
      </c>
      <c r="H1254" s="2">
        <v>46177</v>
      </c>
      <c r="I1254">
        <v>37.35</v>
      </c>
      <c r="J1254">
        <v>18.350000000000001</v>
      </c>
      <c r="K1254">
        <v>18.350000000000001</v>
      </c>
      <c r="L1254">
        <v>0</v>
      </c>
      <c r="M1254" s="1" t="s">
        <v>21</v>
      </c>
      <c r="N1254" s="1" t="s">
        <v>22</v>
      </c>
      <c r="O1254" s="2">
        <v>46225</v>
      </c>
      <c r="P1254" s="2">
        <v>46225</v>
      </c>
      <c r="Q1254">
        <f>_xlfn.XLOOKUP(E1254,CPT!$A$2:$A$13,CPT!$D$2:$D$13)</f>
        <v>38</v>
      </c>
      <c r="R1254" s="1">
        <f>_xlfn.XLOOKUP(C1254,Contract!$A$2:$A$9,Contract!$B$2:$B$9)</f>
        <v>0.47</v>
      </c>
      <c r="S1254" s="1">
        <f t="shared" si="76"/>
        <v>17.86</v>
      </c>
      <c r="T1254" s="1">
        <f t="shared" si="77"/>
        <v>-0.49000000000000199</v>
      </c>
      <c r="U1254" s="1" t="str">
        <f t="shared" si="78"/>
        <v>OK</v>
      </c>
      <c r="V1254" s="1" t="str">
        <f>_xlfn.XLOOKUP(C1254,Payers!$A$2:$A$9,Payers!$B$2:$B$9)</f>
        <v>Keystone Commercial PPO</v>
      </c>
      <c r="W1254" s="1" t="str">
        <f t="shared" si="79"/>
        <v>2026-06</v>
      </c>
    </row>
    <row r="1255" spans="1:23">
      <c r="A1255" s="1" t="s">
        <v>2361</v>
      </c>
      <c r="B1255" s="1" t="s">
        <v>2362</v>
      </c>
      <c r="C1255" s="1" t="s">
        <v>60</v>
      </c>
      <c r="D1255" s="1" t="s">
        <v>26</v>
      </c>
      <c r="E1255" s="1" t="s">
        <v>44</v>
      </c>
      <c r="F1255">
        <v>1</v>
      </c>
      <c r="G1255" s="2">
        <v>46193</v>
      </c>
      <c r="H1255" s="2">
        <v>46194</v>
      </c>
      <c r="I1255">
        <v>4941.08</v>
      </c>
      <c r="M1255" s="1" t="s">
        <v>32</v>
      </c>
      <c r="N1255" s="1" t="s">
        <v>33</v>
      </c>
      <c r="O1255" s="2">
        <v>46219</v>
      </c>
      <c r="P1255" s="2"/>
      <c r="Q1255">
        <f>_xlfn.XLOOKUP(E1255,CPT!$A$2:$A$13,CPT!$D$2:$D$13)</f>
        <v>4800</v>
      </c>
      <c r="R1255" s="1">
        <f>_xlfn.XLOOKUP(C1255,Contract!$A$2:$A$9,Contract!$B$2:$B$9)</f>
        <v>0.45</v>
      </c>
      <c r="S1255" s="1">
        <f t="shared" si="76"/>
        <v>2160</v>
      </c>
      <c r="T1255" s="1" t="str">
        <f t="shared" si="77"/>
        <v/>
      </c>
      <c r="U1255" s="1" t="str">
        <f t="shared" si="78"/>
        <v/>
      </c>
      <c r="V1255" s="1" t="str">
        <f>_xlfn.XLOOKUP(C1255,Payers!$A$2:$A$9,Payers!$B$2:$B$9)</f>
        <v>Blue Horizon Commercial</v>
      </c>
      <c r="W1255" s="1" t="str">
        <f t="shared" si="79"/>
        <v>2026-06</v>
      </c>
    </row>
    <row r="1256" spans="1:23">
      <c r="A1256" s="1" t="s">
        <v>2363</v>
      </c>
      <c r="B1256" s="1" t="s">
        <v>432</v>
      </c>
      <c r="C1256" s="1" t="s">
        <v>36</v>
      </c>
      <c r="D1256" s="1" t="s">
        <v>26</v>
      </c>
      <c r="E1256" s="1" t="s">
        <v>185</v>
      </c>
      <c r="F1256">
        <v>1</v>
      </c>
      <c r="G1256" s="2">
        <v>45945</v>
      </c>
      <c r="H1256" s="2">
        <v>45951</v>
      </c>
      <c r="I1256">
        <v>1128.79</v>
      </c>
      <c r="J1256">
        <v>300.02</v>
      </c>
      <c r="K1256">
        <v>300.02</v>
      </c>
      <c r="L1256">
        <v>0</v>
      </c>
      <c r="M1256" s="1" t="s">
        <v>21</v>
      </c>
      <c r="N1256" s="1" t="s">
        <v>22</v>
      </c>
      <c r="O1256" s="2">
        <v>45995</v>
      </c>
      <c r="P1256" s="2">
        <v>45995</v>
      </c>
      <c r="Q1256">
        <f>_xlfn.XLOOKUP(E1256,CPT!$A$2:$A$13,CPT!$D$2:$D$13)</f>
        <v>1150</v>
      </c>
      <c r="R1256" s="1">
        <f>_xlfn.XLOOKUP(C1256,Contract!$A$2:$A$9,Contract!$B$2:$B$9)</f>
        <v>0.27</v>
      </c>
      <c r="S1256" s="1">
        <f t="shared" si="76"/>
        <v>310.5</v>
      </c>
      <c r="T1256" s="1">
        <f t="shared" si="77"/>
        <v>10.480000000000018</v>
      </c>
      <c r="U1256" s="1" t="str">
        <f t="shared" si="78"/>
        <v>OK</v>
      </c>
      <c r="V1256" s="1" t="str">
        <f>_xlfn.XLOOKUP(C1256,Payers!$A$2:$A$9,Payers!$B$2:$B$9)</f>
        <v>Florida Medicaid</v>
      </c>
      <c r="W1256" s="1" t="str">
        <f t="shared" si="79"/>
        <v>2025-10</v>
      </c>
    </row>
    <row r="1257" spans="1:23">
      <c r="A1257" s="1" t="s">
        <v>2364</v>
      </c>
      <c r="B1257" s="1" t="s">
        <v>2365</v>
      </c>
      <c r="C1257" s="1" t="s">
        <v>25</v>
      </c>
      <c r="D1257" s="1" t="s">
        <v>19</v>
      </c>
      <c r="E1257" s="1" t="s">
        <v>41</v>
      </c>
      <c r="F1257">
        <v>1</v>
      </c>
      <c r="G1257" s="2">
        <v>46256</v>
      </c>
      <c r="H1257" s="2">
        <v>46260</v>
      </c>
      <c r="I1257">
        <v>37.22</v>
      </c>
      <c r="J1257">
        <v>14.54</v>
      </c>
      <c r="K1257">
        <v>11.63</v>
      </c>
      <c r="L1257">
        <v>2.91</v>
      </c>
      <c r="M1257" s="1" t="s">
        <v>21</v>
      </c>
      <c r="N1257" s="1" t="s">
        <v>22</v>
      </c>
      <c r="O1257" s="2">
        <v>46274</v>
      </c>
      <c r="P1257" s="2">
        <v>46274</v>
      </c>
      <c r="Q1257">
        <f>_xlfn.XLOOKUP(E1257,CPT!$A$2:$A$13,CPT!$D$2:$D$13)</f>
        <v>38</v>
      </c>
      <c r="R1257" s="1">
        <f>_xlfn.XLOOKUP(C1257,Contract!$A$2:$A$9,Contract!$B$2:$B$9)</f>
        <v>0.36</v>
      </c>
      <c r="S1257" s="1">
        <f t="shared" si="76"/>
        <v>13.68</v>
      </c>
      <c r="T1257" s="1">
        <f t="shared" si="77"/>
        <v>-0.85999999999999943</v>
      </c>
      <c r="U1257" s="1" t="str">
        <f t="shared" si="78"/>
        <v>OK</v>
      </c>
      <c r="V1257" s="1" t="str">
        <f>_xlfn.XLOOKUP(C1257,Payers!$A$2:$A$9,Payers!$B$2:$B$9)</f>
        <v>Medicare Part B</v>
      </c>
      <c r="W1257" s="1" t="str">
        <f t="shared" si="79"/>
        <v>2026-08</v>
      </c>
    </row>
    <row r="1258" spans="1:23">
      <c r="A1258" s="1" t="s">
        <v>2366</v>
      </c>
      <c r="B1258" s="1" t="s">
        <v>2367</v>
      </c>
      <c r="C1258" s="1" t="s">
        <v>25</v>
      </c>
      <c r="D1258" s="1" t="s">
        <v>26</v>
      </c>
      <c r="E1258" s="1" t="s">
        <v>88</v>
      </c>
      <c r="F1258">
        <v>1</v>
      </c>
      <c r="G1258" s="2">
        <v>46291</v>
      </c>
      <c r="H1258" s="2">
        <v>46292</v>
      </c>
      <c r="I1258">
        <v>266.11</v>
      </c>
      <c r="M1258" s="1" t="s">
        <v>69</v>
      </c>
      <c r="N1258" s="1" t="s">
        <v>22</v>
      </c>
      <c r="O1258" s="2"/>
      <c r="P1258" s="2"/>
      <c r="Q1258">
        <f>_xlfn.XLOOKUP(E1258,CPT!$A$2:$A$13,CPT!$D$2:$D$13)</f>
        <v>260</v>
      </c>
      <c r="R1258" s="1">
        <f>_xlfn.XLOOKUP(C1258,Contract!$A$2:$A$9,Contract!$B$2:$B$9)</f>
        <v>0.36</v>
      </c>
      <c r="S1258" s="1">
        <f t="shared" si="76"/>
        <v>93.6</v>
      </c>
      <c r="T1258" s="1" t="str">
        <f t="shared" si="77"/>
        <v/>
      </c>
      <c r="U1258" s="1" t="str">
        <f t="shared" si="78"/>
        <v/>
      </c>
      <c r="V1258" s="1" t="str">
        <f>_xlfn.XLOOKUP(C1258,Payers!$A$2:$A$9,Payers!$B$2:$B$9)</f>
        <v>Medicare Part B</v>
      </c>
      <c r="W1258" s="1" t="str">
        <f t="shared" si="79"/>
        <v>2026-09</v>
      </c>
    </row>
    <row r="1259" spans="1:23">
      <c r="A1259" s="1" t="s">
        <v>2368</v>
      </c>
      <c r="B1259" s="1" t="s">
        <v>2369</v>
      </c>
      <c r="C1259" s="1" t="s">
        <v>76</v>
      </c>
      <c r="D1259" s="1" t="s">
        <v>30</v>
      </c>
      <c r="E1259" s="1" t="s">
        <v>91</v>
      </c>
      <c r="F1259">
        <v>3</v>
      </c>
      <c r="G1259" s="2">
        <v>46205</v>
      </c>
      <c r="H1259" s="2">
        <v>46207</v>
      </c>
      <c r="I1259">
        <v>172.19</v>
      </c>
      <c r="J1259">
        <v>71</v>
      </c>
      <c r="K1259">
        <v>71</v>
      </c>
      <c r="L1259">
        <v>0</v>
      </c>
      <c r="M1259" s="1" t="s">
        <v>21</v>
      </c>
      <c r="N1259" s="1" t="s">
        <v>22</v>
      </c>
      <c r="O1259" s="2">
        <v>46245</v>
      </c>
      <c r="P1259" s="2">
        <v>46245</v>
      </c>
      <c r="Q1259">
        <f>_xlfn.XLOOKUP(E1259,CPT!$A$2:$A$13,CPT!$D$2:$D$13)</f>
        <v>58</v>
      </c>
      <c r="R1259" s="1">
        <f>_xlfn.XLOOKUP(C1259,Contract!$A$2:$A$9,Contract!$B$2:$B$9)</f>
        <v>0.43</v>
      </c>
      <c r="S1259" s="1">
        <f t="shared" si="76"/>
        <v>74.819999999999993</v>
      </c>
      <c r="T1259" s="1">
        <f t="shared" si="77"/>
        <v>3.8199999999999932</v>
      </c>
      <c r="U1259" s="1" t="str">
        <f t="shared" si="78"/>
        <v>Underpaid</v>
      </c>
      <c r="V1259" s="1" t="str">
        <f>_xlfn.XLOOKUP(C1259,Payers!$A$2:$A$9,Payers!$B$2:$B$9)</f>
        <v>Summit Health Commercial</v>
      </c>
      <c r="W1259" s="1" t="str">
        <f t="shared" si="79"/>
        <v>2026-07</v>
      </c>
    </row>
    <row r="1260" spans="1:23">
      <c r="A1260" s="1" t="s">
        <v>2370</v>
      </c>
      <c r="B1260" s="1" t="s">
        <v>2371</v>
      </c>
      <c r="C1260" s="1" t="s">
        <v>52</v>
      </c>
      <c r="D1260" s="1" t="s">
        <v>26</v>
      </c>
      <c r="E1260" s="1" t="s">
        <v>41</v>
      </c>
      <c r="F1260">
        <v>1</v>
      </c>
      <c r="G1260" s="2">
        <v>46106</v>
      </c>
      <c r="H1260" s="2">
        <v>46110</v>
      </c>
      <c r="I1260">
        <v>38.07</v>
      </c>
      <c r="M1260" s="1" t="s">
        <v>32</v>
      </c>
      <c r="N1260" s="1" t="s">
        <v>98</v>
      </c>
      <c r="O1260" s="2">
        <v>46167</v>
      </c>
      <c r="P1260" s="2"/>
      <c r="Q1260">
        <f>_xlfn.XLOOKUP(E1260,CPT!$A$2:$A$13,CPT!$D$2:$D$13)</f>
        <v>38</v>
      </c>
      <c r="R1260" s="1">
        <f>_xlfn.XLOOKUP(C1260,Contract!$A$2:$A$9,Contract!$B$2:$B$9)</f>
        <v>0.47</v>
      </c>
      <c r="S1260" s="1">
        <f t="shared" si="76"/>
        <v>17.86</v>
      </c>
      <c r="T1260" s="1" t="str">
        <f t="shared" si="77"/>
        <v/>
      </c>
      <c r="U1260" s="1" t="str">
        <f t="shared" si="78"/>
        <v/>
      </c>
      <c r="V1260" s="1" t="str">
        <f>_xlfn.XLOOKUP(C1260,Payers!$A$2:$A$9,Payers!$B$2:$B$9)</f>
        <v>Keystone Commercial PPO</v>
      </c>
      <c r="W1260" s="1" t="str">
        <f t="shared" si="79"/>
        <v>2026-03</v>
      </c>
    </row>
    <row r="1261" spans="1:23">
      <c r="A1261" s="1" t="s">
        <v>2372</v>
      </c>
      <c r="B1261" s="1" t="s">
        <v>2373</v>
      </c>
      <c r="C1261" s="1" t="s">
        <v>76</v>
      </c>
      <c r="D1261" s="1" t="s">
        <v>26</v>
      </c>
      <c r="E1261" s="1" t="s">
        <v>44</v>
      </c>
      <c r="F1261">
        <v>1</v>
      </c>
      <c r="G1261" s="2">
        <v>46277</v>
      </c>
      <c r="H1261" s="2">
        <v>46279</v>
      </c>
      <c r="I1261">
        <v>4774.5200000000004</v>
      </c>
      <c r="M1261" s="1" t="s">
        <v>69</v>
      </c>
      <c r="N1261" s="1" t="s">
        <v>22</v>
      </c>
      <c r="O1261" s="2"/>
      <c r="P1261" s="2"/>
      <c r="Q1261">
        <f>_xlfn.XLOOKUP(E1261,CPT!$A$2:$A$13,CPT!$D$2:$D$13)</f>
        <v>4800</v>
      </c>
      <c r="R1261" s="1">
        <f>_xlfn.XLOOKUP(C1261,Contract!$A$2:$A$9,Contract!$B$2:$B$9)</f>
        <v>0.43</v>
      </c>
      <c r="S1261" s="1">
        <f t="shared" si="76"/>
        <v>2064</v>
      </c>
      <c r="T1261" s="1" t="str">
        <f t="shared" si="77"/>
        <v/>
      </c>
      <c r="U1261" s="1" t="str">
        <f t="shared" si="78"/>
        <v/>
      </c>
      <c r="V1261" s="1" t="str">
        <f>_xlfn.XLOOKUP(C1261,Payers!$A$2:$A$9,Payers!$B$2:$B$9)</f>
        <v>Summit Health Commercial</v>
      </c>
      <c r="W1261" s="1" t="str">
        <f t="shared" si="79"/>
        <v>2026-09</v>
      </c>
    </row>
    <row r="1262" spans="1:23">
      <c r="A1262" s="1" t="s">
        <v>2374</v>
      </c>
      <c r="B1262" s="1" t="s">
        <v>2375</v>
      </c>
      <c r="C1262" s="1" t="s">
        <v>36</v>
      </c>
      <c r="D1262" s="1" t="s">
        <v>19</v>
      </c>
      <c r="E1262" s="1" t="s">
        <v>57</v>
      </c>
      <c r="F1262">
        <v>1</v>
      </c>
      <c r="G1262" s="2">
        <v>46283</v>
      </c>
      <c r="H1262" s="2">
        <v>46288</v>
      </c>
      <c r="I1262">
        <v>207.42</v>
      </c>
      <c r="M1262" s="1" t="s">
        <v>69</v>
      </c>
      <c r="N1262" s="1" t="s">
        <v>22</v>
      </c>
      <c r="O1262" s="2"/>
      <c r="P1262" s="2"/>
      <c r="Q1262">
        <f>_xlfn.XLOOKUP(E1262,CPT!$A$2:$A$13,CPT!$D$2:$D$13)</f>
        <v>210</v>
      </c>
      <c r="R1262" s="1">
        <f>_xlfn.XLOOKUP(C1262,Contract!$A$2:$A$9,Contract!$B$2:$B$9)</f>
        <v>0.27</v>
      </c>
      <c r="S1262" s="1">
        <f t="shared" si="76"/>
        <v>56.7</v>
      </c>
      <c r="T1262" s="1" t="str">
        <f t="shared" si="77"/>
        <v/>
      </c>
      <c r="U1262" s="1" t="str">
        <f t="shared" si="78"/>
        <v/>
      </c>
      <c r="V1262" s="1" t="str">
        <f>_xlfn.XLOOKUP(C1262,Payers!$A$2:$A$9,Payers!$B$2:$B$9)</f>
        <v>Florida Medicaid</v>
      </c>
      <c r="W1262" s="1" t="str">
        <f t="shared" si="79"/>
        <v>2026-09</v>
      </c>
    </row>
    <row r="1263" spans="1:23">
      <c r="A1263" s="1" t="s">
        <v>2376</v>
      </c>
      <c r="B1263" s="1" t="s">
        <v>1603</v>
      </c>
      <c r="C1263" s="1" t="s">
        <v>18</v>
      </c>
      <c r="D1263" s="1" t="s">
        <v>19</v>
      </c>
      <c r="E1263" s="1" t="s">
        <v>20</v>
      </c>
      <c r="F1263">
        <v>1</v>
      </c>
      <c r="G1263" s="2">
        <v>46080</v>
      </c>
      <c r="H1263" s="2">
        <v>46081</v>
      </c>
      <c r="I1263">
        <v>146.21</v>
      </c>
      <c r="J1263">
        <v>61.67</v>
      </c>
      <c r="K1263">
        <v>61.67</v>
      </c>
      <c r="L1263">
        <v>0</v>
      </c>
      <c r="M1263" s="1" t="s">
        <v>21</v>
      </c>
      <c r="N1263" s="1" t="s">
        <v>22</v>
      </c>
      <c r="O1263" s="2">
        <v>46158</v>
      </c>
      <c r="P1263" s="2">
        <v>46158</v>
      </c>
      <c r="Q1263">
        <f>_xlfn.XLOOKUP(E1263,CPT!$A$2:$A$13,CPT!$D$2:$D$13)</f>
        <v>145</v>
      </c>
      <c r="R1263" s="1">
        <f>_xlfn.XLOOKUP(C1263,Contract!$A$2:$A$9,Contract!$B$2:$B$9)</f>
        <v>0.38</v>
      </c>
      <c r="S1263" s="1">
        <f t="shared" si="76"/>
        <v>55.1</v>
      </c>
      <c r="T1263" s="1">
        <f t="shared" si="77"/>
        <v>-6.57</v>
      </c>
      <c r="U1263" s="1" t="str">
        <f t="shared" si="78"/>
        <v>OK</v>
      </c>
      <c r="V1263" s="1" t="str">
        <f>_xlfn.XLOOKUP(C1263,Payers!$A$2:$A$9,Payers!$B$2:$B$9)</f>
        <v>Sunshine Medicare Advantage</v>
      </c>
      <c r="W1263" s="1" t="str">
        <f t="shared" si="79"/>
        <v>2026-02</v>
      </c>
    </row>
    <row r="1264" spans="1:23">
      <c r="A1264" s="1" t="s">
        <v>2377</v>
      </c>
      <c r="B1264" s="1" t="s">
        <v>1882</v>
      </c>
      <c r="C1264" s="1" t="s">
        <v>76</v>
      </c>
      <c r="D1264" s="1" t="s">
        <v>30</v>
      </c>
      <c r="E1264" s="1" t="s">
        <v>91</v>
      </c>
      <c r="F1264">
        <v>4</v>
      </c>
      <c r="G1264" s="2">
        <v>46178</v>
      </c>
      <c r="H1264" s="2">
        <v>46182</v>
      </c>
      <c r="I1264">
        <v>228.81</v>
      </c>
      <c r="J1264">
        <v>101.04</v>
      </c>
      <c r="K1264">
        <v>80.83</v>
      </c>
      <c r="L1264">
        <v>20.21</v>
      </c>
      <c r="M1264" s="1" t="s">
        <v>21</v>
      </c>
      <c r="N1264" s="1" t="s">
        <v>22</v>
      </c>
      <c r="O1264" s="2">
        <v>46213</v>
      </c>
      <c r="P1264" s="2">
        <v>46213</v>
      </c>
      <c r="Q1264">
        <f>_xlfn.XLOOKUP(E1264,CPT!$A$2:$A$13,CPT!$D$2:$D$13)</f>
        <v>58</v>
      </c>
      <c r="R1264" s="1">
        <f>_xlfn.XLOOKUP(C1264,Contract!$A$2:$A$9,Contract!$B$2:$B$9)</f>
        <v>0.43</v>
      </c>
      <c r="S1264" s="1">
        <f t="shared" si="76"/>
        <v>99.76</v>
      </c>
      <c r="T1264" s="1">
        <f t="shared" si="77"/>
        <v>-1.2800000000000011</v>
      </c>
      <c r="U1264" s="1" t="str">
        <f t="shared" si="78"/>
        <v>OK</v>
      </c>
      <c r="V1264" s="1" t="str">
        <f>_xlfn.XLOOKUP(C1264,Payers!$A$2:$A$9,Payers!$B$2:$B$9)</f>
        <v>Summit Health Commercial</v>
      </c>
      <c r="W1264" s="1" t="str">
        <f t="shared" si="79"/>
        <v>2026-06</v>
      </c>
    </row>
    <row r="1265" spans="1:23">
      <c r="A1265" s="1" t="s">
        <v>2378</v>
      </c>
      <c r="B1265" s="1" t="s">
        <v>2379</v>
      </c>
      <c r="C1265" s="1" t="s">
        <v>47</v>
      </c>
      <c r="D1265" s="1" t="s">
        <v>26</v>
      </c>
      <c r="E1265" s="1" t="s">
        <v>44</v>
      </c>
      <c r="F1265">
        <v>1</v>
      </c>
      <c r="G1265" s="2">
        <v>46184</v>
      </c>
      <c r="H1265" s="2">
        <v>46203</v>
      </c>
      <c r="I1265">
        <v>4786.97</v>
      </c>
      <c r="M1265" s="1" t="s">
        <v>69</v>
      </c>
      <c r="N1265" s="1" t="s">
        <v>22</v>
      </c>
      <c r="O1265" s="2"/>
      <c r="P1265" s="2"/>
      <c r="Q1265">
        <f>_xlfn.XLOOKUP(E1265,CPT!$A$2:$A$13,CPT!$D$2:$D$13)</f>
        <v>4800</v>
      </c>
      <c r="R1265" s="1">
        <f>_xlfn.XLOOKUP(C1265,Contract!$A$2:$A$9,Contract!$B$2:$B$9)</f>
        <v>0.28000000000000003</v>
      </c>
      <c r="S1265" s="1">
        <f t="shared" si="76"/>
        <v>1344</v>
      </c>
      <c r="T1265" s="1" t="str">
        <f t="shared" si="77"/>
        <v/>
      </c>
      <c r="U1265" s="1" t="str">
        <f t="shared" si="78"/>
        <v/>
      </c>
      <c r="V1265" s="1" t="str">
        <f>_xlfn.XLOOKUP(C1265,Payers!$A$2:$A$9,Payers!$B$2:$B$9)</f>
        <v>Coastal Medicaid MCO</v>
      </c>
      <c r="W1265" s="1" t="str">
        <f t="shared" si="79"/>
        <v>2026-06</v>
      </c>
    </row>
    <row r="1266" spans="1:23">
      <c r="A1266" s="1" t="s">
        <v>2380</v>
      </c>
      <c r="B1266" s="1" t="s">
        <v>2381</v>
      </c>
      <c r="C1266" s="1" t="s">
        <v>60</v>
      </c>
      <c r="D1266" s="1" t="s">
        <v>19</v>
      </c>
      <c r="E1266" s="1" t="s">
        <v>88</v>
      </c>
      <c r="F1266">
        <v>1</v>
      </c>
      <c r="G1266" s="2">
        <v>46149</v>
      </c>
      <c r="H1266" s="2">
        <v>46152</v>
      </c>
      <c r="I1266">
        <v>262</v>
      </c>
      <c r="M1266" s="1" t="s">
        <v>32</v>
      </c>
      <c r="N1266" s="1" t="s">
        <v>124</v>
      </c>
      <c r="O1266" s="2">
        <v>46182</v>
      </c>
      <c r="P1266" s="2"/>
      <c r="Q1266">
        <f>_xlfn.XLOOKUP(E1266,CPT!$A$2:$A$13,CPT!$D$2:$D$13)</f>
        <v>260</v>
      </c>
      <c r="R1266" s="1">
        <f>_xlfn.XLOOKUP(C1266,Contract!$A$2:$A$9,Contract!$B$2:$B$9)</f>
        <v>0.45</v>
      </c>
      <c r="S1266" s="1">
        <f t="shared" si="76"/>
        <v>117</v>
      </c>
      <c r="T1266" s="1" t="str">
        <f t="shared" si="77"/>
        <v/>
      </c>
      <c r="U1266" s="1" t="str">
        <f t="shared" si="78"/>
        <v/>
      </c>
      <c r="V1266" s="1" t="str">
        <f>_xlfn.XLOOKUP(C1266,Payers!$A$2:$A$9,Payers!$B$2:$B$9)</f>
        <v>Blue Horizon Commercial</v>
      </c>
      <c r="W1266" s="1" t="str">
        <f t="shared" si="79"/>
        <v>2026-05</v>
      </c>
    </row>
    <row r="1267" spans="1:23">
      <c r="A1267" s="1" t="s">
        <v>2382</v>
      </c>
      <c r="B1267" s="1" t="s">
        <v>2383</v>
      </c>
      <c r="C1267" s="1" t="s">
        <v>60</v>
      </c>
      <c r="D1267" s="1" t="s">
        <v>26</v>
      </c>
      <c r="E1267" s="1" t="s">
        <v>44</v>
      </c>
      <c r="F1267">
        <v>1</v>
      </c>
      <c r="G1267" s="2">
        <v>45986</v>
      </c>
      <c r="H1267" s="2">
        <v>45988</v>
      </c>
      <c r="I1267">
        <v>4813.97</v>
      </c>
      <c r="J1267">
        <v>2453.2199999999998</v>
      </c>
      <c r="K1267">
        <v>1962.58</v>
      </c>
      <c r="L1267">
        <v>490.64</v>
      </c>
      <c r="M1267" s="1" t="s">
        <v>21</v>
      </c>
      <c r="N1267" s="1" t="s">
        <v>22</v>
      </c>
      <c r="O1267" s="2">
        <v>46019</v>
      </c>
      <c r="P1267" s="2">
        <v>46019</v>
      </c>
      <c r="Q1267">
        <f>_xlfn.XLOOKUP(E1267,CPT!$A$2:$A$13,CPT!$D$2:$D$13)</f>
        <v>4800</v>
      </c>
      <c r="R1267" s="1">
        <f>_xlfn.XLOOKUP(C1267,Contract!$A$2:$A$9,Contract!$B$2:$B$9)</f>
        <v>0.45</v>
      </c>
      <c r="S1267" s="1">
        <f t="shared" si="76"/>
        <v>2160</v>
      </c>
      <c r="T1267" s="1">
        <f t="shared" si="77"/>
        <v>-293.2199999999998</v>
      </c>
      <c r="U1267" s="1" t="str">
        <f t="shared" si="78"/>
        <v>OK</v>
      </c>
      <c r="V1267" s="1" t="str">
        <f>_xlfn.XLOOKUP(C1267,Payers!$A$2:$A$9,Payers!$B$2:$B$9)</f>
        <v>Blue Horizon Commercial</v>
      </c>
      <c r="W1267" s="1" t="str">
        <f t="shared" si="79"/>
        <v>2025-11</v>
      </c>
    </row>
    <row r="1268" spans="1:23">
      <c r="A1268" s="1" t="s">
        <v>2384</v>
      </c>
      <c r="B1268" s="1" t="s">
        <v>2385</v>
      </c>
      <c r="C1268" s="1" t="s">
        <v>25</v>
      </c>
      <c r="D1268" s="1" t="s">
        <v>26</v>
      </c>
      <c r="E1268" s="1" t="s">
        <v>41</v>
      </c>
      <c r="F1268">
        <v>1</v>
      </c>
      <c r="G1268" s="2">
        <v>45936</v>
      </c>
      <c r="H1268" s="2">
        <v>45952</v>
      </c>
      <c r="I1268">
        <v>37.11</v>
      </c>
      <c r="J1268">
        <v>12.46</v>
      </c>
      <c r="K1268">
        <v>11.21</v>
      </c>
      <c r="L1268">
        <v>1.25</v>
      </c>
      <c r="M1268" s="1" t="s">
        <v>21</v>
      </c>
      <c r="N1268" s="1" t="s">
        <v>22</v>
      </c>
      <c r="O1268" s="2">
        <v>45970</v>
      </c>
      <c r="P1268" s="2">
        <v>45970</v>
      </c>
      <c r="Q1268">
        <f>_xlfn.XLOOKUP(E1268,CPT!$A$2:$A$13,CPT!$D$2:$D$13)</f>
        <v>38</v>
      </c>
      <c r="R1268" s="1">
        <f>_xlfn.XLOOKUP(C1268,Contract!$A$2:$A$9,Contract!$B$2:$B$9)</f>
        <v>0.36</v>
      </c>
      <c r="S1268" s="1">
        <f t="shared" si="76"/>
        <v>13.68</v>
      </c>
      <c r="T1268" s="1">
        <f t="shared" si="77"/>
        <v>1.2199999999999989</v>
      </c>
      <c r="U1268" s="1" t="str">
        <f t="shared" si="78"/>
        <v>Underpaid</v>
      </c>
      <c r="V1268" s="1" t="str">
        <f>_xlfn.XLOOKUP(C1268,Payers!$A$2:$A$9,Payers!$B$2:$B$9)</f>
        <v>Medicare Part B</v>
      </c>
      <c r="W1268" s="1" t="str">
        <f t="shared" si="79"/>
        <v>2025-10</v>
      </c>
    </row>
    <row r="1269" spans="1:23">
      <c r="A1269" s="1" t="s">
        <v>2386</v>
      </c>
      <c r="B1269" s="1" t="s">
        <v>2387</v>
      </c>
      <c r="C1269" s="1" t="s">
        <v>60</v>
      </c>
      <c r="D1269" s="1" t="s">
        <v>19</v>
      </c>
      <c r="E1269" s="1" t="s">
        <v>57</v>
      </c>
      <c r="F1269">
        <v>1</v>
      </c>
      <c r="G1269" s="2">
        <v>46214</v>
      </c>
      <c r="H1269" s="2">
        <v>46220</v>
      </c>
      <c r="I1269">
        <v>211.06</v>
      </c>
      <c r="J1269">
        <v>108.76</v>
      </c>
      <c r="K1269">
        <v>87.01</v>
      </c>
      <c r="L1269">
        <v>21.75</v>
      </c>
      <c r="M1269" s="1" t="s">
        <v>21</v>
      </c>
      <c r="N1269" s="1" t="s">
        <v>22</v>
      </c>
      <c r="O1269" s="2">
        <v>46253</v>
      </c>
      <c r="P1269" s="2">
        <v>46253</v>
      </c>
      <c r="Q1269">
        <f>_xlfn.XLOOKUP(E1269,CPT!$A$2:$A$13,CPT!$D$2:$D$13)</f>
        <v>210</v>
      </c>
      <c r="R1269" s="1">
        <f>_xlfn.XLOOKUP(C1269,Contract!$A$2:$A$9,Contract!$B$2:$B$9)</f>
        <v>0.45</v>
      </c>
      <c r="S1269" s="1">
        <f t="shared" si="76"/>
        <v>94.5</v>
      </c>
      <c r="T1269" s="1">
        <f t="shared" si="77"/>
        <v>-14.260000000000005</v>
      </c>
      <c r="U1269" s="1" t="str">
        <f t="shared" si="78"/>
        <v>OK</v>
      </c>
      <c r="V1269" s="1" t="str">
        <f>_xlfn.XLOOKUP(C1269,Payers!$A$2:$A$9,Payers!$B$2:$B$9)</f>
        <v>Blue Horizon Commercial</v>
      </c>
      <c r="W1269" s="1" t="str">
        <f t="shared" si="79"/>
        <v>2026-07</v>
      </c>
    </row>
    <row r="1270" spans="1:23">
      <c r="A1270" s="1" t="s">
        <v>2388</v>
      </c>
      <c r="B1270" s="1" t="s">
        <v>2389</v>
      </c>
      <c r="C1270" s="1" t="s">
        <v>79</v>
      </c>
      <c r="D1270" s="1" t="s">
        <v>19</v>
      </c>
      <c r="E1270" s="1" t="s">
        <v>20</v>
      </c>
      <c r="F1270">
        <v>1</v>
      </c>
      <c r="G1270" s="2">
        <v>45977</v>
      </c>
      <c r="H1270" s="2">
        <v>45981</v>
      </c>
      <c r="I1270">
        <v>145.62</v>
      </c>
      <c r="M1270" s="1" t="s">
        <v>69</v>
      </c>
      <c r="N1270" s="1" t="s">
        <v>22</v>
      </c>
      <c r="O1270" s="2"/>
      <c r="P1270" s="2"/>
      <c r="Q1270">
        <f>_xlfn.XLOOKUP(E1270,CPT!$A$2:$A$13,CPT!$D$2:$D$13)</f>
        <v>145</v>
      </c>
      <c r="R1270" s="1">
        <f>_xlfn.XLOOKUP(C1270,Contract!$A$2:$A$9,Contract!$B$2:$B$9)</f>
        <v>1</v>
      </c>
      <c r="S1270" s="1">
        <f t="shared" si="76"/>
        <v>145</v>
      </c>
      <c r="T1270" s="1" t="str">
        <f t="shared" si="77"/>
        <v/>
      </c>
      <c r="U1270" s="1" t="str">
        <f t="shared" si="78"/>
        <v/>
      </c>
      <c r="V1270" s="1" t="str">
        <f>_xlfn.XLOOKUP(C1270,Payers!$A$2:$A$9,Payers!$B$2:$B$9)</f>
        <v>Self-Pay</v>
      </c>
      <c r="W1270" s="1" t="str">
        <f t="shared" si="79"/>
        <v>2025-11</v>
      </c>
    </row>
    <row r="1271" spans="1:23">
      <c r="A1271" s="1" t="s">
        <v>2390</v>
      </c>
      <c r="B1271" s="1" t="s">
        <v>2365</v>
      </c>
      <c r="C1271" s="1" t="s">
        <v>25</v>
      </c>
      <c r="D1271" s="1" t="s">
        <v>26</v>
      </c>
      <c r="E1271" s="1" t="s">
        <v>113</v>
      </c>
      <c r="F1271">
        <v>1</v>
      </c>
      <c r="G1271" s="2">
        <v>46019</v>
      </c>
      <c r="H1271" s="2">
        <v>46021</v>
      </c>
      <c r="I1271">
        <v>1076.31</v>
      </c>
      <c r="M1271" s="1" t="s">
        <v>32</v>
      </c>
      <c r="N1271" s="1" t="s">
        <v>33</v>
      </c>
      <c r="O1271" s="2">
        <v>46036</v>
      </c>
      <c r="P1271" s="2"/>
      <c r="Q1271">
        <f>_xlfn.XLOOKUP(E1271,CPT!$A$2:$A$13,CPT!$D$2:$D$13)</f>
        <v>1050</v>
      </c>
      <c r="R1271" s="1">
        <f>_xlfn.XLOOKUP(C1271,Contract!$A$2:$A$9,Contract!$B$2:$B$9)</f>
        <v>0.36</v>
      </c>
      <c r="S1271" s="1">
        <f t="shared" si="76"/>
        <v>378</v>
      </c>
      <c r="T1271" s="1" t="str">
        <f t="shared" si="77"/>
        <v/>
      </c>
      <c r="U1271" s="1" t="str">
        <f t="shared" si="78"/>
        <v/>
      </c>
      <c r="V1271" s="1" t="str">
        <f>_xlfn.XLOOKUP(C1271,Payers!$A$2:$A$9,Payers!$B$2:$B$9)</f>
        <v>Medicare Part B</v>
      </c>
      <c r="W1271" s="1" t="str">
        <f t="shared" si="79"/>
        <v>2025-12</v>
      </c>
    </row>
    <row r="1272" spans="1:23">
      <c r="A1272" s="1" t="s">
        <v>2391</v>
      </c>
      <c r="B1272" s="1" t="s">
        <v>1997</v>
      </c>
      <c r="C1272" s="1" t="s">
        <v>60</v>
      </c>
      <c r="D1272" s="1" t="s">
        <v>19</v>
      </c>
      <c r="E1272" s="1" t="s">
        <v>57</v>
      </c>
      <c r="F1272">
        <v>1</v>
      </c>
      <c r="G1272" s="2">
        <v>45972</v>
      </c>
      <c r="H1272" s="2">
        <v>45975</v>
      </c>
      <c r="I1272">
        <v>208.85</v>
      </c>
      <c r="J1272">
        <v>105.33</v>
      </c>
      <c r="K1272">
        <v>105.33</v>
      </c>
      <c r="L1272">
        <v>0</v>
      </c>
      <c r="M1272" s="1" t="s">
        <v>21</v>
      </c>
      <c r="N1272" s="1" t="s">
        <v>22</v>
      </c>
      <c r="O1272" s="2">
        <v>46011</v>
      </c>
      <c r="P1272" s="2">
        <v>46011</v>
      </c>
      <c r="Q1272">
        <f>_xlfn.XLOOKUP(E1272,CPT!$A$2:$A$13,CPT!$D$2:$D$13)</f>
        <v>210</v>
      </c>
      <c r="R1272" s="1">
        <f>_xlfn.XLOOKUP(C1272,Contract!$A$2:$A$9,Contract!$B$2:$B$9)</f>
        <v>0.45</v>
      </c>
      <c r="S1272" s="1">
        <f t="shared" si="76"/>
        <v>94.5</v>
      </c>
      <c r="T1272" s="1">
        <f t="shared" si="77"/>
        <v>-10.829999999999998</v>
      </c>
      <c r="U1272" s="1" t="str">
        <f t="shared" si="78"/>
        <v>OK</v>
      </c>
      <c r="V1272" s="1" t="str">
        <f>_xlfn.XLOOKUP(C1272,Payers!$A$2:$A$9,Payers!$B$2:$B$9)</f>
        <v>Blue Horizon Commercial</v>
      </c>
      <c r="W1272" s="1" t="str">
        <f t="shared" si="79"/>
        <v>2025-11</v>
      </c>
    </row>
    <row r="1273" spans="1:23">
      <c r="A1273" s="1" t="s">
        <v>2392</v>
      </c>
      <c r="B1273" s="1" t="s">
        <v>1895</v>
      </c>
      <c r="C1273" s="1" t="s">
        <v>47</v>
      </c>
      <c r="D1273" s="1" t="s">
        <v>37</v>
      </c>
      <c r="E1273" s="1" t="s">
        <v>38</v>
      </c>
      <c r="F1273">
        <v>30</v>
      </c>
      <c r="G1273" s="2">
        <v>46182</v>
      </c>
      <c r="H1273" s="2">
        <v>46185</v>
      </c>
      <c r="I1273">
        <v>44255.82</v>
      </c>
      <c r="M1273" s="1" t="s">
        <v>32</v>
      </c>
      <c r="N1273" s="1" t="s">
        <v>49</v>
      </c>
      <c r="O1273" s="2">
        <v>46221</v>
      </c>
      <c r="P1273" s="2"/>
      <c r="Q1273">
        <f>_xlfn.XLOOKUP(E1273,CPT!$A$2:$A$13,CPT!$D$2:$D$13)</f>
        <v>1450</v>
      </c>
      <c r="R1273" s="1">
        <f>_xlfn.XLOOKUP(C1273,Contract!$A$2:$A$9,Contract!$B$2:$B$9)</f>
        <v>0.28000000000000003</v>
      </c>
      <c r="S1273" s="1">
        <f t="shared" si="76"/>
        <v>12180</v>
      </c>
      <c r="T1273" s="1" t="str">
        <f t="shared" si="77"/>
        <v/>
      </c>
      <c r="U1273" s="1" t="str">
        <f t="shared" si="78"/>
        <v/>
      </c>
      <c r="V1273" s="1" t="str">
        <f>_xlfn.XLOOKUP(C1273,Payers!$A$2:$A$9,Payers!$B$2:$B$9)</f>
        <v>Coastal Medicaid MCO</v>
      </c>
      <c r="W1273" s="1" t="str">
        <f t="shared" si="79"/>
        <v>2026-06</v>
      </c>
    </row>
    <row r="1274" spans="1:23">
      <c r="A1274" s="1" t="s">
        <v>2393</v>
      </c>
      <c r="B1274" s="1" t="s">
        <v>2394</v>
      </c>
      <c r="C1274" s="1" t="s">
        <v>76</v>
      </c>
      <c r="D1274" s="1" t="s">
        <v>30</v>
      </c>
      <c r="E1274" s="1" t="s">
        <v>20</v>
      </c>
      <c r="F1274">
        <v>1</v>
      </c>
      <c r="G1274" s="2">
        <v>46137</v>
      </c>
      <c r="H1274" s="2">
        <v>46139</v>
      </c>
      <c r="I1274">
        <v>142.44999999999999</v>
      </c>
      <c r="J1274">
        <v>56.93</v>
      </c>
      <c r="K1274">
        <v>45.54</v>
      </c>
      <c r="L1274">
        <v>11.39</v>
      </c>
      <c r="M1274" s="1" t="s">
        <v>21</v>
      </c>
      <c r="N1274" s="1" t="s">
        <v>22</v>
      </c>
      <c r="O1274" s="2">
        <v>46172</v>
      </c>
      <c r="P1274" s="2">
        <v>46172</v>
      </c>
      <c r="Q1274">
        <f>_xlfn.XLOOKUP(E1274,CPT!$A$2:$A$13,CPT!$D$2:$D$13)</f>
        <v>145</v>
      </c>
      <c r="R1274" s="1">
        <f>_xlfn.XLOOKUP(C1274,Contract!$A$2:$A$9,Contract!$B$2:$B$9)</f>
        <v>0.43</v>
      </c>
      <c r="S1274" s="1">
        <f t="shared" si="76"/>
        <v>62.35</v>
      </c>
      <c r="T1274" s="1">
        <f t="shared" si="77"/>
        <v>5.4200000000000017</v>
      </c>
      <c r="U1274" s="1" t="str">
        <f t="shared" si="78"/>
        <v>Underpaid</v>
      </c>
      <c r="V1274" s="1" t="str">
        <f>_xlfn.XLOOKUP(C1274,Payers!$A$2:$A$9,Payers!$B$2:$B$9)</f>
        <v>Summit Health Commercial</v>
      </c>
      <c r="W1274" s="1" t="str">
        <f t="shared" si="79"/>
        <v>2026-04</v>
      </c>
    </row>
    <row r="1275" spans="1:23">
      <c r="A1275" s="1" t="s">
        <v>2395</v>
      </c>
      <c r="B1275" s="1" t="s">
        <v>1179</v>
      </c>
      <c r="C1275" s="1" t="s">
        <v>76</v>
      </c>
      <c r="D1275" s="1" t="s">
        <v>37</v>
      </c>
      <c r="E1275" s="1" t="s">
        <v>57</v>
      </c>
      <c r="F1275">
        <v>1</v>
      </c>
      <c r="G1275" s="2">
        <v>46288</v>
      </c>
      <c r="H1275" s="2">
        <v>46293</v>
      </c>
      <c r="I1275">
        <v>204.52</v>
      </c>
      <c r="M1275" s="1" t="s">
        <v>69</v>
      </c>
      <c r="N1275" s="1" t="s">
        <v>22</v>
      </c>
      <c r="O1275" s="2"/>
      <c r="P1275" s="2"/>
      <c r="Q1275">
        <f>_xlfn.XLOOKUP(E1275,CPT!$A$2:$A$13,CPT!$D$2:$D$13)</f>
        <v>210</v>
      </c>
      <c r="R1275" s="1">
        <f>_xlfn.XLOOKUP(C1275,Contract!$A$2:$A$9,Contract!$B$2:$B$9)</f>
        <v>0.43</v>
      </c>
      <c r="S1275" s="1">
        <f t="shared" si="76"/>
        <v>90.3</v>
      </c>
      <c r="T1275" s="1" t="str">
        <f t="shared" si="77"/>
        <v/>
      </c>
      <c r="U1275" s="1" t="str">
        <f t="shared" si="78"/>
        <v/>
      </c>
      <c r="V1275" s="1" t="str">
        <f>_xlfn.XLOOKUP(C1275,Payers!$A$2:$A$9,Payers!$B$2:$B$9)</f>
        <v>Summit Health Commercial</v>
      </c>
      <c r="W1275" s="1" t="str">
        <f t="shared" si="79"/>
        <v>2026-09</v>
      </c>
    </row>
    <row r="1276" spans="1:23">
      <c r="A1276" s="1" t="s">
        <v>2396</v>
      </c>
      <c r="B1276" s="1" t="s">
        <v>2040</v>
      </c>
      <c r="C1276" s="1" t="s">
        <v>47</v>
      </c>
      <c r="D1276" s="1" t="s">
        <v>19</v>
      </c>
      <c r="E1276" s="1" t="s">
        <v>41</v>
      </c>
      <c r="F1276">
        <v>1</v>
      </c>
      <c r="G1276" s="2">
        <v>45976</v>
      </c>
      <c r="H1276" s="2">
        <v>45978</v>
      </c>
      <c r="I1276">
        <v>37.86</v>
      </c>
      <c r="M1276" s="1" t="s">
        <v>32</v>
      </c>
      <c r="N1276" s="1" t="s">
        <v>281</v>
      </c>
      <c r="O1276" s="2">
        <v>46046</v>
      </c>
      <c r="P1276" s="2"/>
      <c r="Q1276">
        <f>_xlfn.XLOOKUP(E1276,CPT!$A$2:$A$13,CPT!$D$2:$D$13)</f>
        <v>38</v>
      </c>
      <c r="R1276" s="1">
        <f>_xlfn.XLOOKUP(C1276,Contract!$A$2:$A$9,Contract!$B$2:$B$9)</f>
        <v>0.28000000000000003</v>
      </c>
      <c r="S1276" s="1">
        <f t="shared" si="76"/>
        <v>10.64</v>
      </c>
      <c r="T1276" s="1" t="str">
        <f t="shared" si="77"/>
        <v/>
      </c>
      <c r="U1276" s="1" t="str">
        <f t="shared" si="78"/>
        <v/>
      </c>
      <c r="V1276" s="1" t="str">
        <f>_xlfn.XLOOKUP(C1276,Payers!$A$2:$A$9,Payers!$B$2:$B$9)</f>
        <v>Coastal Medicaid MCO</v>
      </c>
      <c r="W1276" s="1" t="str">
        <f t="shared" si="79"/>
        <v>2025-11</v>
      </c>
    </row>
    <row r="1277" spans="1:23">
      <c r="A1277" s="1" t="s">
        <v>2397</v>
      </c>
      <c r="B1277" s="1" t="s">
        <v>2398</v>
      </c>
      <c r="C1277" s="1" t="s">
        <v>36</v>
      </c>
      <c r="D1277" s="1" t="s">
        <v>19</v>
      </c>
      <c r="E1277" s="1" t="s">
        <v>57</v>
      </c>
      <c r="F1277">
        <v>1</v>
      </c>
      <c r="G1277" s="2">
        <v>46126</v>
      </c>
      <c r="H1277" s="2">
        <v>46132</v>
      </c>
      <c r="I1277">
        <v>208.29</v>
      </c>
      <c r="M1277" s="1" t="s">
        <v>32</v>
      </c>
      <c r="N1277" s="1" t="s">
        <v>281</v>
      </c>
      <c r="O1277" s="2">
        <v>46179</v>
      </c>
      <c r="P1277" s="2"/>
      <c r="Q1277">
        <f>_xlfn.XLOOKUP(E1277,CPT!$A$2:$A$13,CPT!$D$2:$D$13)</f>
        <v>210</v>
      </c>
      <c r="R1277" s="1">
        <f>_xlfn.XLOOKUP(C1277,Contract!$A$2:$A$9,Contract!$B$2:$B$9)</f>
        <v>0.27</v>
      </c>
      <c r="S1277" s="1">
        <f t="shared" si="76"/>
        <v>56.7</v>
      </c>
      <c r="T1277" s="1" t="str">
        <f t="shared" si="77"/>
        <v/>
      </c>
      <c r="U1277" s="1" t="str">
        <f t="shared" si="78"/>
        <v/>
      </c>
      <c r="V1277" s="1" t="str">
        <f>_xlfn.XLOOKUP(C1277,Payers!$A$2:$A$9,Payers!$B$2:$B$9)</f>
        <v>Florida Medicaid</v>
      </c>
      <c r="W1277" s="1" t="str">
        <f t="shared" si="79"/>
        <v>2026-04</v>
      </c>
    </row>
    <row r="1278" spans="1:23">
      <c r="A1278" s="1" t="s">
        <v>2399</v>
      </c>
      <c r="B1278" s="1" t="s">
        <v>920</v>
      </c>
      <c r="C1278" s="1" t="s">
        <v>47</v>
      </c>
      <c r="D1278" s="1" t="s">
        <v>26</v>
      </c>
      <c r="E1278" s="1" t="s">
        <v>27</v>
      </c>
      <c r="F1278">
        <v>1</v>
      </c>
      <c r="G1278" s="2">
        <v>46162</v>
      </c>
      <c r="H1278" s="2">
        <v>46163</v>
      </c>
      <c r="I1278">
        <v>234.95</v>
      </c>
      <c r="J1278">
        <v>73.12</v>
      </c>
      <c r="K1278">
        <v>73.12</v>
      </c>
      <c r="L1278">
        <v>0</v>
      </c>
      <c r="M1278" s="1" t="s">
        <v>21</v>
      </c>
      <c r="N1278" s="1" t="s">
        <v>22</v>
      </c>
      <c r="O1278" s="2">
        <v>46231</v>
      </c>
      <c r="P1278" s="2">
        <v>46231</v>
      </c>
      <c r="Q1278">
        <f>_xlfn.XLOOKUP(E1278,CPT!$A$2:$A$13,CPT!$D$2:$D$13)</f>
        <v>240</v>
      </c>
      <c r="R1278" s="1">
        <f>_xlfn.XLOOKUP(C1278,Contract!$A$2:$A$9,Contract!$B$2:$B$9)</f>
        <v>0.28000000000000003</v>
      </c>
      <c r="S1278" s="1">
        <f t="shared" si="76"/>
        <v>67.2</v>
      </c>
      <c r="T1278" s="1">
        <f t="shared" si="77"/>
        <v>-5.9200000000000017</v>
      </c>
      <c r="U1278" s="1" t="str">
        <f t="shared" si="78"/>
        <v>OK</v>
      </c>
      <c r="V1278" s="1" t="str">
        <f>_xlfn.XLOOKUP(C1278,Payers!$A$2:$A$9,Payers!$B$2:$B$9)</f>
        <v>Coastal Medicaid MCO</v>
      </c>
      <c r="W1278" s="1" t="str">
        <f t="shared" si="79"/>
        <v>2026-05</v>
      </c>
    </row>
    <row r="1279" spans="1:23">
      <c r="A1279" s="1" t="s">
        <v>2400</v>
      </c>
      <c r="B1279" s="1" t="s">
        <v>2401</v>
      </c>
      <c r="C1279" s="1" t="s">
        <v>60</v>
      </c>
      <c r="D1279" s="1" t="s">
        <v>26</v>
      </c>
      <c r="E1279" s="1" t="s">
        <v>44</v>
      </c>
      <c r="F1279">
        <v>1</v>
      </c>
      <c r="G1279" s="2">
        <v>45957</v>
      </c>
      <c r="H1279" s="2">
        <v>45964</v>
      </c>
      <c r="I1279">
        <v>4820.91</v>
      </c>
      <c r="J1279">
        <v>2416.98</v>
      </c>
      <c r="K1279">
        <v>2416.98</v>
      </c>
      <c r="L1279">
        <v>0</v>
      </c>
      <c r="M1279" s="1" t="s">
        <v>21</v>
      </c>
      <c r="N1279" s="1" t="s">
        <v>22</v>
      </c>
      <c r="O1279" s="2">
        <v>45999</v>
      </c>
      <c r="P1279" s="2">
        <v>45999</v>
      </c>
      <c r="Q1279">
        <f>_xlfn.XLOOKUP(E1279,CPT!$A$2:$A$13,CPT!$D$2:$D$13)</f>
        <v>4800</v>
      </c>
      <c r="R1279" s="1">
        <f>_xlfn.XLOOKUP(C1279,Contract!$A$2:$A$9,Contract!$B$2:$B$9)</f>
        <v>0.45</v>
      </c>
      <c r="S1279" s="1">
        <f t="shared" si="76"/>
        <v>2160</v>
      </c>
      <c r="T1279" s="1">
        <f t="shared" si="77"/>
        <v>-256.98</v>
      </c>
      <c r="U1279" s="1" t="str">
        <f t="shared" si="78"/>
        <v>OK</v>
      </c>
      <c r="V1279" s="1" t="str">
        <f>_xlfn.XLOOKUP(C1279,Payers!$A$2:$A$9,Payers!$B$2:$B$9)</f>
        <v>Blue Horizon Commercial</v>
      </c>
      <c r="W1279" s="1" t="str">
        <f t="shared" si="79"/>
        <v>2025-10</v>
      </c>
    </row>
    <row r="1280" spans="1:23">
      <c r="A1280" s="1" t="s">
        <v>2402</v>
      </c>
      <c r="B1280" s="1" t="s">
        <v>1050</v>
      </c>
      <c r="C1280" s="1" t="s">
        <v>47</v>
      </c>
      <c r="D1280" s="1" t="s">
        <v>19</v>
      </c>
      <c r="E1280" s="1" t="s">
        <v>41</v>
      </c>
      <c r="F1280">
        <v>1</v>
      </c>
      <c r="G1280" s="2">
        <v>46051</v>
      </c>
      <c r="H1280" s="2">
        <v>46065</v>
      </c>
      <c r="I1280">
        <v>36.9</v>
      </c>
      <c r="J1280">
        <v>8.94</v>
      </c>
      <c r="K1280">
        <v>8.94</v>
      </c>
      <c r="L1280">
        <v>0</v>
      </c>
      <c r="M1280" s="1" t="s">
        <v>21</v>
      </c>
      <c r="N1280" s="1" t="s">
        <v>22</v>
      </c>
      <c r="O1280" s="2">
        <v>46128</v>
      </c>
      <c r="P1280" s="2">
        <v>46128</v>
      </c>
      <c r="Q1280">
        <f>_xlfn.XLOOKUP(E1280,CPT!$A$2:$A$13,CPT!$D$2:$D$13)</f>
        <v>38</v>
      </c>
      <c r="R1280" s="1">
        <f>_xlfn.XLOOKUP(C1280,Contract!$A$2:$A$9,Contract!$B$2:$B$9)</f>
        <v>0.28000000000000003</v>
      </c>
      <c r="S1280" s="1">
        <f t="shared" si="76"/>
        <v>10.64</v>
      </c>
      <c r="T1280" s="1">
        <f t="shared" si="77"/>
        <v>1.7000000000000011</v>
      </c>
      <c r="U1280" s="1" t="str">
        <f t="shared" si="78"/>
        <v>Underpaid</v>
      </c>
      <c r="V1280" s="1" t="str">
        <f>_xlfn.XLOOKUP(C1280,Payers!$A$2:$A$9,Payers!$B$2:$B$9)</f>
        <v>Coastal Medicaid MCO</v>
      </c>
      <c r="W1280" s="1" t="str">
        <f t="shared" si="79"/>
        <v>2026-01</v>
      </c>
    </row>
    <row r="1281" spans="1:23">
      <c r="A1281" s="1" t="s">
        <v>2403</v>
      </c>
      <c r="B1281" s="1" t="s">
        <v>2404</v>
      </c>
      <c r="C1281" s="1" t="s">
        <v>25</v>
      </c>
      <c r="D1281" s="1" t="s">
        <v>26</v>
      </c>
      <c r="E1281" s="1" t="s">
        <v>113</v>
      </c>
      <c r="F1281">
        <v>1</v>
      </c>
      <c r="G1281" s="2">
        <v>46119</v>
      </c>
      <c r="H1281" s="2">
        <v>46120</v>
      </c>
      <c r="I1281">
        <v>1064.06</v>
      </c>
      <c r="J1281">
        <v>352.75</v>
      </c>
      <c r="K1281">
        <v>352.75</v>
      </c>
      <c r="L1281">
        <v>0</v>
      </c>
      <c r="M1281" s="1" t="s">
        <v>21</v>
      </c>
      <c r="N1281" s="1" t="s">
        <v>22</v>
      </c>
      <c r="O1281" s="2">
        <v>46133</v>
      </c>
      <c r="P1281" s="2">
        <v>46133</v>
      </c>
      <c r="Q1281">
        <f>_xlfn.XLOOKUP(E1281,CPT!$A$2:$A$13,CPT!$D$2:$D$13)</f>
        <v>1050</v>
      </c>
      <c r="R1281" s="1">
        <f>_xlfn.XLOOKUP(C1281,Contract!$A$2:$A$9,Contract!$B$2:$B$9)</f>
        <v>0.36</v>
      </c>
      <c r="S1281" s="1">
        <f t="shared" si="76"/>
        <v>378</v>
      </c>
      <c r="T1281" s="1">
        <f t="shared" si="77"/>
        <v>25.25</v>
      </c>
      <c r="U1281" s="1" t="str">
        <f t="shared" si="78"/>
        <v>Underpaid</v>
      </c>
      <c r="V1281" s="1" t="str">
        <f>_xlfn.XLOOKUP(C1281,Payers!$A$2:$A$9,Payers!$B$2:$B$9)</f>
        <v>Medicare Part B</v>
      </c>
      <c r="W1281" s="1" t="str">
        <f t="shared" si="79"/>
        <v>2026-04</v>
      </c>
    </row>
    <row r="1282" spans="1:23">
      <c r="A1282" s="1" t="s">
        <v>2405</v>
      </c>
      <c r="B1282" s="1" t="s">
        <v>548</v>
      </c>
      <c r="C1282" s="1" t="s">
        <v>52</v>
      </c>
      <c r="D1282" s="1" t="s">
        <v>30</v>
      </c>
      <c r="E1282" s="1" t="s">
        <v>91</v>
      </c>
      <c r="F1282">
        <v>3</v>
      </c>
      <c r="G1282" s="2">
        <v>45941</v>
      </c>
      <c r="H1282" s="2">
        <v>45942</v>
      </c>
      <c r="I1282">
        <v>174.05</v>
      </c>
      <c r="M1282" s="1" t="s">
        <v>32</v>
      </c>
      <c r="N1282" s="1" t="s">
        <v>33</v>
      </c>
      <c r="O1282" s="2">
        <v>46003</v>
      </c>
      <c r="P1282" s="2"/>
      <c r="Q1282">
        <f>_xlfn.XLOOKUP(E1282,CPT!$A$2:$A$13,CPT!$D$2:$D$13)</f>
        <v>58</v>
      </c>
      <c r="R1282" s="1">
        <f>_xlfn.XLOOKUP(C1282,Contract!$A$2:$A$9,Contract!$B$2:$B$9)</f>
        <v>0.47</v>
      </c>
      <c r="S1282" s="1">
        <f t="shared" ref="S1282:S1345" si="80">ROUND(Q1282*F1282*R1282,2)</f>
        <v>81.78</v>
      </c>
      <c r="T1282" s="1" t="str">
        <f t="shared" ref="T1282:T1345" si="81">IF(M1282="Paid",S1282-J1282,"")</f>
        <v/>
      </c>
      <c r="U1282" s="1" t="str">
        <f t="shared" ref="U1282:U1345" si="82">IF(M1282&lt;&gt;"Paid","",IF(T1282&gt;S1282*0.05,"Underpaid","OK"))</f>
        <v/>
      </c>
      <c r="V1282" s="1" t="str">
        <f>_xlfn.XLOOKUP(C1282,Payers!$A$2:$A$9,Payers!$B$2:$B$9)</f>
        <v>Keystone Commercial PPO</v>
      </c>
      <c r="W1282" s="1" t="str">
        <f t="shared" ref="W1282:W1345" si="83">TEXT(G1282,"yyyy-mm")</f>
        <v>2025-10</v>
      </c>
    </row>
    <row r="1283" spans="1:23">
      <c r="A1283" s="1" t="s">
        <v>2406</v>
      </c>
      <c r="B1283" s="1" t="s">
        <v>2407</v>
      </c>
      <c r="C1283" s="1" t="s">
        <v>60</v>
      </c>
      <c r="D1283" s="1" t="s">
        <v>19</v>
      </c>
      <c r="E1283" s="1" t="s">
        <v>41</v>
      </c>
      <c r="F1283">
        <v>1</v>
      </c>
      <c r="G1283" s="2">
        <v>45987</v>
      </c>
      <c r="H1283" s="2">
        <v>45988</v>
      </c>
      <c r="I1283">
        <v>38.49</v>
      </c>
      <c r="J1283">
        <v>14.85</v>
      </c>
      <c r="K1283">
        <v>11.88</v>
      </c>
      <c r="L1283">
        <v>2.97</v>
      </c>
      <c r="M1283" s="1" t="s">
        <v>21</v>
      </c>
      <c r="N1283" s="1" t="s">
        <v>22</v>
      </c>
      <c r="O1283" s="2">
        <v>46003</v>
      </c>
      <c r="P1283" s="2">
        <v>46003</v>
      </c>
      <c r="Q1283">
        <f>_xlfn.XLOOKUP(E1283,CPT!$A$2:$A$13,CPT!$D$2:$D$13)</f>
        <v>38</v>
      </c>
      <c r="R1283" s="1">
        <f>_xlfn.XLOOKUP(C1283,Contract!$A$2:$A$9,Contract!$B$2:$B$9)</f>
        <v>0.45</v>
      </c>
      <c r="S1283" s="1">
        <f t="shared" si="80"/>
        <v>17.100000000000001</v>
      </c>
      <c r="T1283" s="1">
        <f t="shared" si="81"/>
        <v>2.2500000000000018</v>
      </c>
      <c r="U1283" s="1" t="str">
        <f t="shared" si="82"/>
        <v>Underpaid</v>
      </c>
      <c r="V1283" s="1" t="str">
        <f>_xlfn.XLOOKUP(C1283,Payers!$A$2:$A$9,Payers!$B$2:$B$9)</f>
        <v>Blue Horizon Commercial</v>
      </c>
      <c r="W1283" s="1" t="str">
        <f t="shared" si="83"/>
        <v>2025-11</v>
      </c>
    </row>
    <row r="1284" spans="1:23">
      <c r="A1284" s="1" t="s">
        <v>2408</v>
      </c>
      <c r="B1284" s="1" t="s">
        <v>2409</v>
      </c>
      <c r="C1284" s="1" t="s">
        <v>25</v>
      </c>
      <c r="D1284" s="1" t="s">
        <v>26</v>
      </c>
      <c r="E1284" s="1" t="s">
        <v>113</v>
      </c>
      <c r="F1284">
        <v>1</v>
      </c>
      <c r="G1284" s="2">
        <v>46181</v>
      </c>
      <c r="H1284" s="2">
        <v>46184</v>
      </c>
      <c r="I1284">
        <v>1061.18</v>
      </c>
      <c r="J1284">
        <v>370.6</v>
      </c>
      <c r="K1284">
        <v>333.54</v>
      </c>
      <c r="L1284">
        <v>37.06</v>
      </c>
      <c r="M1284" s="1" t="s">
        <v>21</v>
      </c>
      <c r="N1284" s="1" t="s">
        <v>22</v>
      </c>
      <c r="O1284" s="2">
        <v>46189</v>
      </c>
      <c r="P1284" s="2">
        <v>46189</v>
      </c>
      <c r="Q1284">
        <f>_xlfn.XLOOKUP(E1284,CPT!$A$2:$A$13,CPT!$D$2:$D$13)</f>
        <v>1050</v>
      </c>
      <c r="R1284" s="1">
        <f>_xlfn.XLOOKUP(C1284,Contract!$A$2:$A$9,Contract!$B$2:$B$9)</f>
        <v>0.36</v>
      </c>
      <c r="S1284" s="1">
        <f t="shared" si="80"/>
        <v>378</v>
      </c>
      <c r="T1284" s="1">
        <f t="shared" si="81"/>
        <v>7.3999999999999773</v>
      </c>
      <c r="U1284" s="1" t="str">
        <f t="shared" si="82"/>
        <v>OK</v>
      </c>
      <c r="V1284" s="1" t="str">
        <f>_xlfn.XLOOKUP(C1284,Payers!$A$2:$A$9,Payers!$B$2:$B$9)</f>
        <v>Medicare Part B</v>
      </c>
      <c r="W1284" s="1" t="str">
        <f t="shared" si="83"/>
        <v>2026-06</v>
      </c>
    </row>
    <row r="1285" spans="1:23">
      <c r="A1285" s="1" t="s">
        <v>2410</v>
      </c>
      <c r="B1285" s="1" t="s">
        <v>2411</v>
      </c>
      <c r="C1285" s="1" t="s">
        <v>18</v>
      </c>
      <c r="D1285" s="1" t="s">
        <v>19</v>
      </c>
      <c r="E1285" s="1" t="s">
        <v>41</v>
      </c>
      <c r="F1285">
        <v>1</v>
      </c>
      <c r="G1285" s="2">
        <v>46199</v>
      </c>
      <c r="H1285" s="2">
        <v>46200</v>
      </c>
      <c r="I1285">
        <v>39</v>
      </c>
      <c r="J1285">
        <v>13.18</v>
      </c>
      <c r="K1285">
        <v>13.18</v>
      </c>
      <c r="L1285">
        <v>0</v>
      </c>
      <c r="M1285" s="1" t="s">
        <v>21</v>
      </c>
      <c r="N1285" s="1" t="s">
        <v>22</v>
      </c>
      <c r="O1285" s="2">
        <v>46245</v>
      </c>
      <c r="P1285" s="2">
        <v>46245</v>
      </c>
      <c r="Q1285">
        <f>_xlfn.XLOOKUP(E1285,CPT!$A$2:$A$13,CPT!$D$2:$D$13)</f>
        <v>38</v>
      </c>
      <c r="R1285" s="1">
        <f>_xlfn.XLOOKUP(C1285,Contract!$A$2:$A$9,Contract!$B$2:$B$9)</f>
        <v>0.38</v>
      </c>
      <c r="S1285" s="1">
        <f t="shared" si="80"/>
        <v>14.44</v>
      </c>
      <c r="T1285" s="1">
        <f t="shared" si="81"/>
        <v>1.2599999999999998</v>
      </c>
      <c r="U1285" s="1" t="str">
        <f t="shared" si="82"/>
        <v>Underpaid</v>
      </c>
      <c r="V1285" s="1" t="str">
        <f>_xlfn.XLOOKUP(C1285,Payers!$A$2:$A$9,Payers!$B$2:$B$9)</f>
        <v>Sunshine Medicare Advantage</v>
      </c>
      <c r="W1285" s="1" t="str">
        <f t="shared" si="83"/>
        <v>2026-06</v>
      </c>
    </row>
    <row r="1286" spans="1:23">
      <c r="A1286" s="1" t="s">
        <v>2412</v>
      </c>
      <c r="B1286" s="1" t="s">
        <v>2413</v>
      </c>
      <c r="C1286" s="1" t="s">
        <v>36</v>
      </c>
      <c r="D1286" s="1" t="s">
        <v>26</v>
      </c>
      <c r="E1286" s="1" t="s">
        <v>185</v>
      </c>
      <c r="F1286">
        <v>1</v>
      </c>
      <c r="G1286" s="2">
        <v>45990</v>
      </c>
      <c r="H1286" s="2">
        <v>45993</v>
      </c>
      <c r="I1286">
        <v>1157.2</v>
      </c>
      <c r="J1286">
        <v>300.16000000000003</v>
      </c>
      <c r="K1286">
        <v>300.16000000000003</v>
      </c>
      <c r="L1286">
        <v>0</v>
      </c>
      <c r="M1286" s="1" t="s">
        <v>21</v>
      </c>
      <c r="N1286" s="1" t="s">
        <v>22</v>
      </c>
      <c r="O1286" s="2">
        <v>46029</v>
      </c>
      <c r="P1286" s="2">
        <v>46029</v>
      </c>
      <c r="Q1286">
        <f>_xlfn.XLOOKUP(E1286,CPT!$A$2:$A$13,CPT!$D$2:$D$13)</f>
        <v>1150</v>
      </c>
      <c r="R1286" s="1">
        <f>_xlfn.XLOOKUP(C1286,Contract!$A$2:$A$9,Contract!$B$2:$B$9)</f>
        <v>0.27</v>
      </c>
      <c r="S1286" s="1">
        <f t="shared" si="80"/>
        <v>310.5</v>
      </c>
      <c r="T1286" s="1">
        <f t="shared" si="81"/>
        <v>10.339999999999975</v>
      </c>
      <c r="U1286" s="1" t="str">
        <f t="shared" si="82"/>
        <v>OK</v>
      </c>
      <c r="V1286" s="1" t="str">
        <f>_xlfn.XLOOKUP(C1286,Payers!$A$2:$A$9,Payers!$B$2:$B$9)</f>
        <v>Florida Medicaid</v>
      </c>
      <c r="W1286" s="1" t="str">
        <f t="shared" si="83"/>
        <v>2025-11</v>
      </c>
    </row>
    <row r="1287" spans="1:23">
      <c r="A1287" s="1" t="s">
        <v>2414</v>
      </c>
      <c r="B1287" s="1" t="s">
        <v>2415</v>
      </c>
      <c r="C1287" s="1" t="s">
        <v>52</v>
      </c>
      <c r="D1287" s="1" t="s">
        <v>19</v>
      </c>
      <c r="E1287" s="1" t="s">
        <v>57</v>
      </c>
      <c r="F1287">
        <v>1</v>
      </c>
      <c r="G1287" s="2">
        <v>46233</v>
      </c>
      <c r="H1287" s="2">
        <v>46239</v>
      </c>
      <c r="I1287">
        <v>213.66</v>
      </c>
      <c r="J1287">
        <v>94.73</v>
      </c>
      <c r="K1287">
        <v>94.73</v>
      </c>
      <c r="L1287">
        <v>0</v>
      </c>
      <c r="M1287" s="1" t="s">
        <v>21</v>
      </c>
      <c r="N1287" s="1" t="s">
        <v>22</v>
      </c>
      <c r="O1287" s="2">
        <v>46292</v>
      </c>
      <c r="P1287" s="2">
        <v>46292</v>
      </c>
      <c r="Q1287">
        <f>_xlfn.XLOOKUP(E1287,CPT!$A$2:$A$13,CPT!$D$2:$D$13)</f>
        <v>210</v>
      </c>
      <c r="R1287" s="1">
        <f>_xlfn.XLOOKUP(C1287,Contract!$A$2:$A$9,Contract!$B$2:$B$9)</f>
        <v>0.47</v>
      </c>
      <c r="S1287" s="1">
        <f t="shared" si="80"/>
        <v>98.7</v>
      </c>
      <c r="T1287" s="1">
        <f t="shared" si="81"/>
        <v>3.9699999999999989</v>
      </c>
      <c r="U1287" s="1" t="str">
        <f t="shared" si="82"/>
        <v>OK</v>
      </c>
      <c r="V1287" s="1" t="str">
        <f>_xlfn.XLOOKUP(C1287,Payers!$A$2:$A$9,Payers!$B$2:$B$9)</f>
        <v>Keystone Commercial PPO</v>
      </c>
      <c r="W1287" s="1" t="str">
        <f t="shared" si="83"/>
        <v>2026-07</v>
      </c>
    </row>
    <row r="1288" spans="1:23">
      <c r="A1288" s="1" t="s">
        <v>2416</v>
      </c>
      <c r="B1288" s="1" t="s">
        <v>1194</v>
      </c>
      <c r="C1288" s="1" t="s">
        <v>47</v>
      </c>
      <c r="D1288" s="1" t="s">
        <v>26</v>
      </c>
      <c r="E1288" s="1" t="s">
        <v>57</v>
      </c>
      <c r="F1288">
        <v>1</v>
      </c>
      <c r="G1288" s="2">
        <v>46060</v>
      </c>
      <c r="H1288" s="2">
        <v>46063</v>
      </c>
      <c r="I1288">
        <v>209.83</v>
      </c>
      <c r="J1288">
        <v>65.510000000000005</v>
      </c>
      <c r="K1288">
        <v>65.510000000000005</v>
      </c>
      <c r="L1288">
        <v>0</v>
      </c>
      <c r="M1288" s="1" t="s">
        <v>21</v>
      </c>
      <c r="N1288" s="1" t="s">
        <v>22</v>
      </c>
      <c r="O1288" s="2">
        <v>46105</v>
      </c>
      <c r="P1288" s="2">
        <v>46105</v>
      </c>
      <c r="Q1288">
        <f>_xlfn.XLOOKUP(E1288,CPT!$A$2:$A$13,CPT!$D$2:$D$13)</f>
        <v>210</v>
      </c>
      <c r="R1288" s="1">
        <f>_xlfn.XLOOKUP(C1288,Contract!$A$2:$A$9,Contract!$B$2:$B$9)</f>
        <v>0.28000000000000003</v>
      </c>
      <c r="S1288" s="1">
        <f t="shared" si="80"/>
        <v>58.8</v>
      </c>
      <c r="T1288" s="1">
        <f t="shared" si="81"/>
        <v>-6.710000000000008</v>
      </c>
      <c r="U1288" s="1" t="str">
        <f t="shared" si="82"/>
        <v>OK</v>
      </c>
      <c r="V1288" s="1" t="str">
        <f>_xlfn.XLOOKUP(C1288,Payers!$A$2:$A$9,Payers!$B$2:$B$9)</f>
        <v>Coastal Medicaid MCO</v>
      </c>
      <c r="W1288" s="1" t="str">
        <f t="shared" si="83"/>
        <v>2026-02</v>
      </c>
    </row>
    <row r="1289" spans="1:23">
      <c r="A1289" s="1" t="s">
        <v>2417</v>
      </c>
      <c r="B1289" s="1" t="s">
        <v>2418</v>
      </c>
      <c r="C1289" s="1" t="s">
        <v>47</v>
      </c>
      <c r="D1289" s="1" t="s">
        <v>30</v>
      </c>
      <c r="E1289" s="1" t="s">
        <v>20</v>
      </c>
      <c r="F1289">
        <v>1</v>
      </c>
      <c r="G1289" s="2">
        <v>46082</v>
      </c>
      <c r="H1289" s="2">
        <v>46084</v>
      </c>
      <c r="I1289">
        <v>143.9</v>
      </c>
      <c r="J1289">
        <v>44.8</v>
      </c>
      <c r="K1289">
        <v>44.8</v>
      </c>
      <c r="L1289">
        <v>0</v>
      </c>
      <c r="M1289" s="1" t="s">
        <v>21</v>
      </c>
      <c r="N1289" s="1" t="s">
        <v>22</v>
      </c>
      <c r="O1289" s="2">
        <v>46149</v>
      </c>
      <c r="P1289" s="2">
        <v>46149</v>
      </c>
      <c r="Q1289">
        <f>_xlfn.XLOOKUP(E1289,CPT!$A$2:$A$13,CPT!$D$2:$D$13)</f>
        <v>145</v>
      </c>
      <c r="R1289" s="1">
        <f>_xlfn.XLOOKUP(C1289,Contract!$A$2:$A$9,Contract!$B$2:$B$9)</f>
        <v>0.28000000000000003</v>
      </c>
      <c r="S1289" s="1">
        <f t="shared" si="80"/>
        <v>40.6</v>
      </c>
      <c r="T1289" s="1">
        <f t="shared" si="81"/>
        <v>-4.1999999999999957</v>
      </c>
      <c r="U1289" s="1" t="str">
        <f t="shared" si="82"/>
        <v>OK</v>
      </c>
      <c r="V1289" s="1" t="str">
        <f>_xlfn.XLOOKUP(C1289,Payers!$A$2:$A$9,Payers!$B$2:$B$9)</f>
        <v>Coastal Medicaid MCO</v>
      </c>
      <c r="W1289" s="1" t="str">
        <f t="shared" si="83"/>
        <v>2026-03</v>
      </c>
    </row>
    <row r="1290" spans="1:23">
      <c r="A1290" s="1" t="s">
        <v>2419</v>
      </c>
      <c r="B1290" s="1" t="s">
        <v>2420</v>
      </c>
      <c r="C1290" s="1" t="s">
        <v>52</v>
      </c>
      <c r="D1290" s="1" t="s">
        <v>26</v>
      </c>
      <c r="E1290" s="1" t="s">
        <v>44</v>
      </c>
      <c r="F1290">
        <v>1</v>
      </c>
      <c r="G1290" s="2">
        <v>46175</v>
      </c>
      <c r="H1290" s="2">
        <v>46191</v>
      </c>
      <c r="I1290">
        <v>4667.67</v>
      </c>
      <c r="J1290">
        <v>1908.89</v>
      </c>
      <c r="K1290">
        <v>1908.89</v>
      </c>
      <c r="L1290">
        <v>0</v>
      </c>
      <c r="M1290" s="1" t="s">
        <v>21</v>
      </c>
      <c r="N1290" s="1" t="s">
        <v>22</v>
      </c>
      <c r="O1290" s="2">
        <v>46230</v>
      </c>
      <c r="P1290" s="2">
        <v>46230</v>
      </c>
      <c r="Q1290">
        <f>_xlfn.XLOOKUP(E1290,CPT!$A$2:$A$13,CPT!$D$2:$D$13)</f>
        <v>4800</v>
      </c>
      <c r="R1290" s="1">
        <f>_xlfn.XLOOKUP(C1290,Contract!$A$2:$A$9,Contract!$B$2:$B$9)</f>
        <v>0.47</v>
      </c>
      <c r="S1290" s="1">
        <f t="shared" si="80"/>
        <v>2256</v>
      </c>
      <c r="T1290" s="1">
        <f t="shared" si="81"/>
        <v>347.1099999999999</v>
      </c>
      <c r="U1290" s="1" t="str">
        <f t="shared" si="82"/>
        <v>Underpaid</v>
      </c>
      <c r="V1290" s="1" t="str">
        <f>_xlfn.XLOOKUP(C1290,Payers!$A$2:$A$9,Payers!$B$2:$B$9)</f>
        <v>Keystone Commercial PPO</v>
      </c>
      <c r="W1290" s="1" t="str">
        <f t="shared" si="83"/>
        <v>2026-06</v>
      </c>
    </row>
    <row r="1291" spans="1:23">
      <c r="A1291" s="1" t="s">
        <v>2421</v>
      </c>
      <c r="B1291" s="1" t="s">
        <v>2422</v>
      </c>
      <c r="C1291" s="1" t="s">
        <v>18</v>
      </c>
      <c r="D1291" s="1" t="s">
        <v>30</v>
      </c>
      <c r="E1291" s="1" t="s">
        <v>31</v>
      </c>
      <c r="F1291">
        <v>1</v>
      </c>
      <c r="G1291" s="2">
        <v>46218</v>
      </c>
      <c r="H1291" s="2">
        <v>46221</v>
      </c>
      <c r="I1291">
        <v>60.36</v>
      </c>
      <c r="J1291">
        <v>22.72</v>
      </c>
      <c r="K1291">
        <v>20.45</v>
      </c>
      <c r="L1291">
        <v>2.27</v>
      </c>
      <c r="M1291" s="1" t="s">
        <v>21</v>
      </c>
      <c r="N1291" s="1" t="s">
        <v>22</v>
      </c>
      <c r="O1291" s="2">
        <v>46284</v>
      </c>
      <c r="P1291" s="2">
        <v>46284</v>
      </c>
      <c r="Q1291">
        <f>_xlfn.XLOOKUP(E1291,CPT!$A$2:$A$13,CPT!$D$2:$D$13)</f>
        <v>62</v>
      </c>
      <c r="R1291" s="1">
        <f>_xlfn.XLOOKUP(C1291,Contract!$A$2:$A$9,Contract!$B$2:$B$9)</f>
        <v>0.38</v>
      </c>
      <c r="S1291" s="1">
        <f t="shared" si="80"/>
        <v>23.56</v>
      </c>
      <c r="T1291" s="1">
        <f t="shared" si="81"/>
        <v>0.83999999999999986</v>
      </c>
      <c r="U1291" s="1" t="str">
        <f t="shared" si="82"/>
        <v>OK</v>
      </c>
      <c r="V1291" s="1" t="str">
        <f>_xlfn.XLOOKUP(C1291,Payers!$A$2:$A$9,Payers!$B$2:$B$9)</f>
        <v>Sunshine Medicare Advantage</v>
      </c>
      <c r="W1291" s="1" t="str">
        <f t="shared" si="83"/>
        <v>2026-07</v>
      </c>
    </row>
    <row r="1292" spans="1:23">
      <c r="A1292" s="1" t="s">
        <v>2423</v>
      </c>
      <c r="B1292" s="1" t="s">
        <v>2424</v>
      </c>
      <c r="C1292" s="1" t="s">
        <v>25</v>
      </c>
      <c r="D1292" s="1" t="s">
        <v>19</v>
      </c>
      <c r="E1292" s="1" t="s">
        <v>88</v>
      </c>
      <c r="F1292">
        <v>1</v>
      </c>
      <c r="G1292" s="2">
        <v>46076</v>
      </c>
      <c r="H1292" s="2">
        <v>46083</v>
      </c>
      <c r="I1292">
        <v>257.94</v>
      </c>
      <c r="J1292">
        <v>103.94</v>
      </c>
      <c r="K1292">
        <v>103.94</v>
      </c>
      <c r="L1292">
        <v>0</v>
      </c>
      <c r="M1292" s="1" t="s">
        <v>21</v>
      </c>
      <c r="N1292" s="1" t="s">
        <v>22</v>
      </c>
      <c r="O1292" s="2">
        <v>46101</v>
      </c>
      <c r="P1292" s="2">
        <v>46101</v>
      </c>
      <c r="Q1292">
        <f>_xlfn.XLOOKUP(E1292,CPT!$A$2:$A$13,CPT!$D$2:$D$13)</f>
        <v>260</v>
      </c>
      <c r="R1292" s="1">
        <f>_xlfn.XLOOKUP(C1292,Contract!$A$2:$A$9,Contract!$B$2:$B$9)</f>
        <v>0.36</v>
      </c>
      <c r="S1292" s="1">
        <f t="shared" si="80"/>
        <v>93.6</v>
      </c>
      <c r="T1292" s="1">
        <f t="shared" si="81"/>
        <v>-10.340000000000003</v>
      </c>
      <c r="U1292" s="1" t="str">
        <f t="shared" si="82"/>
        <v>OK</v>
      </c>
      <c r="V1292" s="1" t="str">
        <f>_xlfn.XLOOKUP(C1292,Payers!$A$2:$A$9,Payers!$B$2:$B$9)</f>
        <v>Medicare Part B</v>
      </c>
      <c r="W1292" s="1" t="str">
        <f t="shared" si="83"/>
        <v>2026-02</v>
      </c>
    </row>
    <row r="1293" spans="1:23">
      <c r="A1293" s="1" t="s">
        <v>2425</v>
      </c>
      <c r="B1293" s="1" t="s">
        <v>2426</v>
      </c>
      <c r="C1293" s="1" t="s">
        <v>18</v>
      </c>
      <c r="D1293" s="1" t="s">
        <v>37</v>
      </c>
      <c r="E1293" s="1" t="s">
        <v>57</v>
      </c>
      <c r="F1293">
        <v>1</v>
      </c>
      <c r="G1293" s="2">
        <v>46190</v>
      </c>
      <c r="H1293" s="2">
        <v>46204</v>
      </c>
      <c r="I1293">
        <v>204.55</v>
      </c>
      <c r="J1293">
        <v>75.27</v>
      </c>
      <c r="K1293">
        <v>60.22</v>
      </c>
      <c r="L1293">
        <v>15.05</v>
      </c>
      <c r="M1293" s="1" t="s">
        <v>21</v>
      </c>
      <c r="N1293" s="1" t="s">
        <v>22</v>
      </c>
      <c r="O1293" s="2">
        <v>46239</v>
      </c>
      <c r="P1293" s="2">
        <v>46239</v>
      </c>
      <c r="Q1293">
        <f>_xlfn.XLOOKUP(E1293,CPT!$A$2:$A$13,CPT!$D$2:$D$13)</f>
        <v>210</v>
      </c>
      <c r="R1293" s="1">
        <f>_xlfn.XLOOKUP(C1293,Contract!$A$2:$A$9,Contract!$B$2:$B$9)</f>
        <v>0.38</v>
      </c>
      <c r="S1293" s="1">
        <f t="shared" si="80"/>
        <v>79.8</v>
      </c>
      <c r="T1293" s="1">
        <f t="shared" si="81"/>
        <v>4.5300000000000011</v>
      </c>
      <c r="U1293" s="1" t="str">
        <f t="shared" si="82"/>
        <v>Underpaid</v>
      </c>
      <c r="V1293" s="1" t="str">
        <f>_xlfn.XLOOKUP(C1293,Payers!$A$2:$A$9,Payers!$B$2:$B$9)</f>
        <v>Sunshine Medicare Advantage</v>
      </c>
      <c r="W1293" s="1" t="str">
        <f t="shared" si="83"/>
        <v>2026-06</v>
      </c>
    </row>
    <row r="1294" spans="1:23">
      <c r="A1294" s="1" t="s">
        <v>2427</v>
      </c>
      <c r="B1294" s="1" t="s">
        <v>2428</v>
      </c>
      <c r="C1294" s="1" t="s">
        <v>60</v>
      </c>
      <c r="D1294" s="1" t="s">
        <v>37</v>
      </c>
      <c r="E1294" s="1" t="s">
        <v>48</v>
      </c>
      <c r="F1294">
        <v>1</v>
      </c>
      <c r="G1294" s="2">
        <v>46031</v>
      </c>
      <c r="H1294" s="2">
        <v>46033</v>
      </c>
      <c r="I1294">
        <v>409.75</v>
      </c>
      <c r="J1294">
        <v>158.11000000000001</v>
      </c>
      <c r="K1294">
        <v>158.11000000000001</v>
      </c>
      <c r="L1294">
        <v>0</v>
      </c>
      <c r="M1294" s="1" t="s">
        <v>21</v>
      </c>
      <c r="N1294" s="1" t="s">
        <v>22</v>
      </c>
      <c r="O1294" s="2">
        <v>46054</v>
      </c>
      <c r="P1294" s="2">
        <v>46054</v>
      </c>
      <c r="Q1294">
        <f>_xlfn.XLOOKUP(E1294,CPT!$A$2:$A$13,CPT!$D$2:$D$13)</f>
        <v>420</v>
      </c>
      <c r="R1294" s="1">
        <f>_xlfn.XLOOKUP(C1294,Contract!$A$2:$A$9,Contract!$B$2:$B$9)</f>
        <v>0.45</v>
      </c>
      <c r="S1294" s="1">
        <f t="shared" si="80"/>
        <v>189</v>
      </c>
      <c r="T1294" s="1">
        <f t="shared" si="81"/>
        <v>30.889999999999986</v>
      </c>
      <c r="U1294" s="1" t="str">
        <f t="shared" si="82"/>
        <v>Underpaid</v>
      </c>
      <c r="V1294" s="1" t="str">
        <f>_xlfn.XLOOKUP(C1294,Payers!$A$2:$A$9,Payers!$B$2:$B$9)</f>
        <v>Blue Horizon Commercial</v>
      </c>
      <c r="W1294" s="1" t="str">
        <f t="shared" si="83"/>
        <v>2026-01</v>
      </c>
    </row>
    <row r="1295" spans="1:23">
      <c r="A1295" s="1" t="s">
        <v>2429</v>
      </c>
      <c r="B1295" s="1" t="s">
        <v>2430</v>
      </c>
      <c r="C1295" s="1" t="s">
        <v>36</v>
      </c>
      <c r="D1295" s="1" t="s">
        <v>19</v>
      </c>
      <c r="E1295" s="1" t="s">
        <v>41</v>
      </c>
      <c r="F1295">
        <v>1</v>
      </c>
      <c r="G1295" s="2">
        <v>46008</v>
      </c>
      <c r="H1295" s="2">
        <v>46012</v>
      </c>
      <c r="I1295">
        <v>37.83</v>
      </c>
      <c r="J1295">
        <v>9.2899999999999991</v>
      </c>
      <c r="K1295">
        <v>9.2899999999999991</v>
      </c>
      <c r="L1295">
        <v>0</v>
      </c>
      <c r="M1295" s="1" t="s">
        <v>21</v>
      </c>
      <c r="N1295" s="1" t="s">
        <v>22</v>
      </c>
      <c r="O1295" s="2">
        <v>46080</v>
      </c>
      <c r="P1295" s="2">
        <v>46080</v>
      </c>
      <c r="Q1295">
        <f>_xlfn.XLOOKUP(E1295,CPT!$A$2:$A$13,CPT!$D$2:$D$13)</f>
        <v>38</v>
      </c>
      <c r="R1295" s="1">
        <f>_xlfn.XLOOKUP(C1295,Contract!$A$2:$A$9,Contract!$B$2:$B$9)</f>
        <v>0.27</v>
      </c>
      <c r="S1295" s="1">
        <f t="shared" si="80"/>
        <v>10.26</v>
      </c>
      <c r="T1295" s="1">
        <f t="shared" si="81"/>
        <v>0.97000000000000064</v>
      </c>
      <c r="U1295" s="1" t="str">
        <f t="shared" si="82"/>
        <v>Underpaid</v>
      </c>
      <c r="V1295" s="1" t="str">
        <f>_xlfn.XLOOKUP(C1295,Payers!$A$2:$A$9,Payers!$B$2:$B$9)</f>
        <v>Florida Medicaid</v>
      </c>
      <c r="W1295" s="1" t="str">
        <f t="shared" si="83"/>
        <v>2025-12</v>
      </c>
    </row>
    <row r="1296" spans="1:23">
      <c r="A1296" s="1" t="s">
        <v>2431</v>
      </c>
      <c r="B1296" s="1" t="s">
        <v>2432</v>
      </c>
      <c r="C1296" s="1" t="s">
        <v>18</v>
      </c>
      <c r="D1296" s="1" t="s">
        <v>30</v>
      </c>
      <c r="E1296" s="1" t="s">
        <v>91</v>
      </c>
      <c r="F1296">
        <v>1</v>
      </c>
      <c r="G1296" s="2">
        <v>45964</v>
      </c>
      <c r="H1296" s="2">
        <v>45980</v>
      </c>
      <c r="I1296">
        <v>57.89</v>
      </c>
      <c r="J1296">
        <v>19.25</v>
      </c>
      <c r="K1296">
        <v>17.32</v>
      </c>
      <c r="L1296">
        <v>1.93</v>
      </c>
      <c r="M1296" s="1" t="s">
        <v>21</v>
      </c>
      <c r="N1296" s="1" t="s">
        <v>22</v>
      </c>
      <c r="O1296" s="2">
        <v>45999</v>
      </c>
      <c r="P1296" s="2">
        <v>45999</v>
      </c>
      <c r="Q1296">
        <f>_xlfn.XLOOKUP(E1296,CPT!$A$2:$A$13,CPT!$D$2:$D$13)</f>
        <v>58</v>
      </c>
      <c r="R1296" s="1">
        <f>_xlfn.XLOOKUP(C1296,Contract!$A$2:$A$9,Contract!$B$2:$B$9)</f>
        <v>0.38</v>
      </c>
      <c r="S1296" s="1">
        <f t="shared" si="80"/>
        <v>22.04</v>
      </c>
      <c r="T1296" s="1">
        <f t="shared" si="81"/>
        <v>2.7899999999999991</v>
      </c>
      <c r="U1296" s="1" t="str">
        <f t="shared" si="82"/>
        <v>Underpaid</v>
      </c>
      <c r="V1296" s="1" t="str">
        <f>_xlfn.XLOOKUP(C1296,Payers!$A$2:$A$9,Payers!$B$2:$B$9)</f>
        <v>Sunshine Medicare Advantage</v>
      </c>
      <c r="W1296" s="1" t="str">
        <f t="shared" si="83"/>
        <v>2025-11</v>
      </c>
    </row>
    <row r="1297" spans="1:23">
      <c r="A1297" s="1" t="s">
        <v>2433</v>
      </c>
      <c r="B1297" s="1" t="s">
        <v>87</v>
      </c>
      <c r="C1297" s="1" t="s">
        <v>25</v>
      </c>
      <c r="D1297" s="1" t="s">
        <v>19</v>
      </c>
      <c r="E1297" s="1" t="s">
        <v>88</v>
      </c>
      <c r="F1297">
        <v>1</v>
      </c>
      <c r="G1297" s="2">
        <v>46211</v>
      </c>
      <c r="H1297" s="2">
        <v>46218</v>
      </c>
      <c r="I1297">
        <v>266.07</v>
      </c>
      <c r="J1297">
        <v>100.7</v>
      </c>
      <c r="K1297">
        <v>100.7</v>
      </c>
      <c r="L1297">
        <v>0</v>
      </c>
      <c r="M1297" s="1" t="s">
        <v>21</v>
      </c>
      <c r="N1297" s="1" t="s">
        <v>22</v>
      </c>
      <c r="O1297" s="2">
        <v>46238</v>
      </c>
      <c r="P1297" s="2">
        <v>46238</v>
      </c>
      <c r="Q1297">
        <f>_xlfn.XLOOKUP(E1297,CPT!$A$2:$A$13,CPT!$D$2:$D$13)</f>
        <v>260</v>
      </c>
      <c r="R1297" s="1">
        <f>_xlfn.XLOOKUP(C1297,Contract!$A$2:$A$9,Contract!$B$2:$B$9)</f>
        <v>0.36</v>
      </c>
      <c r="S1297" s="1">
        <f t="shared" si="80"/>
        <v>93.6</v>
      </c>
      <c r="T1297" s="1">
        <f t="shared" si="81"/>
        <v>-7.1000000000000085</v>
      </c>
      <c r="U1297" s="1" t="str">
        <f t="shared" si="82"/>
        <v>OK</v>
      </c>
      <c r="V1297" s="1" t="str">
        <f>_xlfn.XLOOKUP(C1297,Payers!$A$2:$A$9,Payers!$B$2:$B$9)</f>
        <v>Medicare Part B</v>
      </c>
      <c r="W1297" s="1" t="str">
        <f t="shared" si="83"/>
        <v>2026-07</v>
      </c>
    </row>
    <row r="1298" spans="1:23">
      <c r="A1298" s="1" t="s">
        <v>2434</v>
      </c>
      <c r="B1298" s="1" t="s">
        <v>2435</v>
      </c>
      <c r="C1298" s="1" t="s">
        <v>25</v>
      </c>
      <c r="D1298" s="1" t="s">
        <v>37</v>
      </c>
      <c r="E1298" s="1" t="s">
        <v>57</v>
      </c>
      <c r="F1298">
        <v>1</v>
      </c>
      <c r="G1298" s="2">
        <v>46280</v>
      </c>
      <c r="H1298" s="2">
        <v>46284</v>
      </c>
      <c r="I1298">
        <v>207.21</v>
      </c>
      <c r="M1298" s="1" t="s">
        <v>69</v>
      </c>
      <c r="N1298" s="1" t="s">
        <v>22</v>
      </c>
      <c r="O1298" s="2"/>
      <c r="P1298" s="2"/>
      <c r="Q1298">
        <f>_xlfn.XLOOKUP(E1298,CPT!$A$2:$A$13,CPT!$D$2:$D$13)</f>
        <v>210</v>
      </c>
      <c r="R1298" s="1">
        <f>_xlfn.XLOOKUP(C1298,Contract!$A$2:$A$9,Contract!$B$2:$B$9)</f>
        <v>0.36</v>
      </c>
      <c r="S1298" s="1">
        <f t="shared" si="80"/>
        <v>75.599999999999994</v>
      </c>
      <c r="T1298" s="1" t="str">
        <f t="shared" si="81"/>
        <v/>
      </c>
      <c r="U1298" s="1" t="str">
        <f t="shared" si="82"/>
        <v/>
      </c>
      <c r="V1298" s="1" t="str">
        <f>_xlfn.XLOOKUP(C1298,Payers!$A$2:$A$9,Payers!$B$2:$B$9)</f>
        <v>Medicare Part B</v>
      </c>
      <c r="W1298" s="1" t="str">
        <f t="shared" si="83"/>
        <v>2026-09</v>
      </c>
    </row>
    <row r="1299" spans="1:23">
      <c r="A1299" s="1" t="s">
        <v>2436</v>
      </c>
      <c r="B1299" s="1" t="s">
        <v>2437</v>
      </c>
      <c r="C1299" s="1" t="s">
        <v>52</v>
      </c>
      <c r="D1299" s="1" t="s">
        <v>30</v>
      </c>
      <c r="E1299" s="1" t="s">
        <v>91</v>
      </c>
      <c r="F1299">
        <v>1</v>
      </c>
      <c r="G1299" s="2">
        <v>46138</v>
      </c>
      <c r="H1299" s="2">
        <v>46140</v>
      </c>
      <c r="I1299">
        <v>59.57</v>
      </c>
      <c r="M1299" s="1" t="s">
        <v>32</v>
      </c>
      <c r="N1299" s="1" t="s">
        <v>33</v>
      </c>
      <c r="O1299" s="2">
        <v>46187</v>
      </c>
      <c r="P1299" s="2"/>
      <c r="Q1299">
        <f>_xlfn.XLOOKUP(E1299,CPT!$A$2:$A$13,CPT!$D$2:$D$13)</f>
        <v>58</v>
      </c>
      <c r="R1299" s="1">
        <f>_xlfn.XLOOKUP(C1299,Contract!$A$2:$A$9,Contract!$B$2:$B$9)</f>
        <v>0.47</v>
      </c>
      <c r="S1299" s="1">
        <f t="shared" si="80"/>
        <v>27.26</v>
      </c>
      <c r="T1299" s="1" t="str">
        <f t="shared" si="81"/>
        <v/>
      </c>
      <c r="U1299" s="1" t="str">
        <f t="shared" si="82"/>
        <v/>
      </c>
      <c r="V1299" s="1" t="str">
        <f>_xlfn.XLOOKUP(C1299,Payers!$A$2:$A$9,Payers!$B$2:$B$9)</f>
        <v>Keystone Commercial PPO</v>
      </c>
      <c r="W1299" s="1" t="str">
        <f t="shared" si="83"/>
        <v>2026-04</v>
      </c>
    </row>
    <row r="1300" spans="1:23">
      <c r="A1300" s="1" t="s">
        <v>2438</v>
      </c>
      <c r="B1300" s="1" t="s">
        <v>2439</v>
      </c>
      <c r="C1300" s="1" t="s">
        <v>25</v>
      </c>
      <c r="D1300" s="1" t="s">
        <v>30</v>
      </c>
      <c r="E1300" s="1" t="s">
        <v>20</v>
      </c>
      <c r="F1300">
        <v>1</v>
      </c>
      <c r="G1300" s="2">
        <v>46116</v>
      </c>
      <c r="H1300" s="2">
        <v>46119</v>
      </c>
      <c r="I1300">
        <v>144.24</v>
      </c>
      <c r="J1300">
        <v>47.77</v>
      </c>
      <c r="K1300">
        <v>47.77</v>
      </c>
      <c r="L1300">
        <v>0</v>
      </c>
      <c r="M1300" s="1" t="s">
        <v>21</v>
      </c>
      <c r="N1300" s="1" t="s">
        <v>22</v>
      </c>
      <c r="O1300" s="2">
        <v>46127</v>
      </c>
      <c r="P1300" s="2">
        <v>46127</v>
      </c>
      <c r="Q1300">
        <f>_xlfn.XLOOKUP(E1300,CPT!$A$2:$A$13,CPT!$D$2:$D$13)</f>
        <v>145</v>
      </c>
      <c r="R1300" s="1">
        <f>_xlfn.XLOOKUP(C1300,Contract!$A$2:$A$9,Contract!$B$2:$B$9)</f>
        <v>0.36</v>
      </c>
      <c r="S1300" s="1">
        <f t="shared" si="80"/>
        <v>52.2</v>
      </c>
      <c r="T1300" s="1">
        <f t="shared" si="81"/>
        <v>4.43</v>
      </c>
      <c r="U1300" s="1" t="str">
        <f t="shared" si="82"/>
        <v>Underpaid</v>
      </c>
      <c r="V1300" s="1" t="str">
        <f>_xlfn.XLOOKUP(C1300,Payers!$A$2:$A$9,Payers!$B$2:$B$9)</f>
        <v>Medicare Part B</v>
      </c>
      <c r="W1300" s="1" t="str">
        <f t="shared" si="83"/>
        <v>2026-04</v>
      </c>
    </row>
    <row r="1301" spans="1:23">
      <c r="A1301" s="1" t="s">
        <v>2440</v>
      </c>
      <c r="B1301" s="1" t="s">
        <v>823</v>
      </c>
      <c r="C1301" s="1" t="s">
        <v>52</v>
      </c>
      <c r="D1301" s="1" t="s">
        <v>26</v>
      </c>
      <c r="E1301" s="1" t="s">
        <v>88</v>
      </c>
      <c r="F1301">
        <v>1</v>
      </c>
      <c r="G1301" s="2">
        <v>46152</v>
      </c>
      <c r="H1301" s="2">
        <v>46155</v>
      </c>
      <c r="I1301">
        <v>254.6</v>
      </c>
      <c r="M1301" s="1" t="s">
        <v>32</v>
      </c>
      <c r="N1301" s="1" t="s">
        <v>49</v>
      </c>
      <c r="O1301" s="2">
        <v>46177</v>
      </c>
      <c r="P1301" s="2"/>
      <c r="Q1301">
        <f>_xlfn.XLOOKUP(E1301,CPT!$A$2:$A$13,CPT!$D$2:$D$13)</f>
        <v>260</v>
      </c>
      <c r="R1301" s="1">
        <f>_xlfn.XLOOKUP(C1301,Contract!$A$2:$A$9,Contract!$B$2:$B$9)</f>
        <v>0.47</v>
      </c>
      <c r="S1301" s="1">
        <f t="shared" si="80"/>
        <v>122.2</v>
      </c>
      <c r="T1301" s="1" t="str">
        <f t="shared" si="81"/>
        <v/>
      </c>
      <c r="U1301" s="1" t="str">
        <f t="shared" si="82"/>
        <v/>
      </c>
      <c r="V1301" s="1" t="str">
        <f>_xlfn.XLOOKUP(C1301,Payers!$A$2:$A$9,Payers!$B$2:$B$9)</f>
        <v>Keystone Commercial PPO</v>
      </c>
      <c r="W1301" s="1" t="str">
        <f t="shared" si="83"/>
        <v>2026-05</v>
      </c>
    </row>
    <row r="1302" spans="1:23">
      <c r="A1302" s="1" t="s">
        <v>2441</v>
      </c>
      <c r="B1302" s="1" t="s">
        <v>2442</v>
      </c>
      <c r="C1302" s="1" t="s">
        <v>76</v>
      </c>
      <c r="D1302" s="1" t="s">
        <v>19</v>
      </c>
      <c r="E1302" s="1" t="s">
        <v>57</v>
      </c>
      <c r="F1302">
        <v>1</v>
      </c>
      <c r="G1302" s="2">
        <v>46243</v>
      </c>
      <c r="H1302" s="2">
        <v>46245</v>
      </c>
      <c r="I1302">
        <v>213.84</v>
      </c>
      <c r="J1302">
        <v>94.07</v>
      </c>
      <c r="K1302">
        <v>94.07</v>
      </c>
      <c r="L1302">
        <v>0</v>
      </c>
      <c r="M1302" s="1" t="s">
        <v>21</v>
      </c>
      <c r="N1302" s="1" t="s">
        <v>22</v>
      </c>
      <c r="O1302" s="2">
        <v>46279</v>
      </c>
      <c r="P1302" s="2">
        <v>46279</v>
      </c>
      <c r="Q1302">
        <f>_xlfn.XLOOKUP(E1302,CPT!$A$2:$A$13,CPT!$D$2:$D$13)</f>
        <v>210</v>
      </c>
      <c r="R1302" s="1">
        <f>_xlfn.XLOOKUP(C1302,Contract!$A$2:$A$9,Contract!$B$2:$B$9)</f>
        <v>0.43</v>
      </c>
      <c r="S1302" s="1">
        <f t="shared" si="80"/>
        <v>90.3</v>
      </c>
      <c r="T1302" s="1">
        <f t="shared" si="81"/>
        <v>-3.769999999999996</v>
      </c>
      <c r="U1302" s="1" t="str">
        <f t="shared" si="82"/>
        <v>OK</v>
      </c>
      <c r="V1302" s="1" t="str">
        <f>_xlfn.XLOOKUP(C1302,Payers!$A$2:$A$9,Payers!$B$2:$B$9)</f>
        <v>Summit Health Commercial</v>
      </c>
      <c r="W1302" s="1" t="str">
        <f t="shared" si="83"/>
        <v>2026-08</v>
      </c>
    </row>
    <row r="1303" spans="1:23">
      <c r="A1303" s="1" t="s">
        <v>2443</v>
      </c>
      <c r="B1303" s="1" t="s">
        <v>2444</v>
      </c>
      <c r="C1303" s="1" t="s">
        <v>25</v>
      </c>
      <c r="D1303" s="1" t="s">
        <v>37</v>
      </c>
      <c r="E1303" s="1" t="s">
        <v>38</v>
      </c>
      <c r="F1303">
        <v>5</v>
      </c>
      <c r="G1303" s="2">
        <v>46183</v>
      </c>
      <c r="H1303" s="2">
        <v>46190</v>
      </c>
      <c r="I1303">
        <v>7438.95</v>
      </c>
      <c r="J1303">
        <v>2387.9899999999998</v>
      </c>
      <c r="K1303">
        <v>2387.9899999999998</v>
      </c>
      <c r="L1303">
        <v>0</v>
      </c>
      <c r="M1303" s="1" t="s">
        <v>21</v>
      </c>
      <c r="N1303" s="1" t="s">
        <v>22</v>
      </c>
      <c r="O1303" s="2">
        <v>46206</v>
      </c>
      <c r="P1303" s="2">
        <v>46206</v>
      </c>
      <c r="Q1303">
        <f>_xlfn.XLOOKUP(E1303,CPT!$A$2:$A$13,CPT!$D$2:$D$13)</f>
        <v>1450</v>
      </c>
      <c r="R1303" s="1">
        <f>_xlfn.XLOOKUP(C1303,Contract!$A$2:$A$9,Contract!$B$2:$B$9)</f>
        <v>0.36</v>
      </c>
      <c r="S1303" s="1">
        <f t="shared" si="80"/>
        <v>2610</v>
      </c>
      <c r="T1303" s="1">
        <f t="shared" si="81"/>
        <v>222.01000000000022</v>
      </c>
      <c r="U1303" s="1" t="str">
        <f t="shared" si="82"/>
        <v>Underpaid</v>
      </c>
      <c r="V1303" s="1" t="str">
        <f>_xlfn.XLOOKUP(C1303,Payers!$A$2:$A$9,Payers!$B$2:$B$9)</f>
        <v>Medicare Part B</v>
      </c>
      <c r="W1303" s="1" t="str">
        <f t="shared" si="83"/>
        <v>2026-06</v>
      </c>
    </row>
    <row r="1304" spans="1:23">
      <c r="A1304" s="1" t="s">
        <v>2445</v>
      </c>
      <c r="B1304" s="1" t="s">
        <v>2446</v>
      </c>
      <c r="C1304" s="1" t="s">
        <v>60</v>
      </c>
      <c r="D1304" s="1" t="s">
        <v>19</v>
      </c>
      <c r="E1304" s="1" t="s">
        <v>20</v>
      </c>
      <c r="F1304">
        <v>1</v>
      </c>
      <c r="G1304" s="2">
        <v>46118</v>
      </c>
      <c r="H1304" s="2">
        <v>46129</v>
      </c>
      <c r="I1304">
        <v>146.56</v>
      </c>
      <c r="J1304">
        <v>69.36</v>
      </c>
      <c r="K1304">
        <v>62.42</v>
      </c>
      <c r="L1304">
        <v>6.94</v>
      </c>
      <c r="M1304" s="1" t="s">
        <v>21</v>
      </c>
      <c r="N1304" s="1" t="s">
        <v>22</v>
      </c>
      <c r="O1304" s="2">
        <v>46161</v>
      </c>
      <c r="P1304" s="2">
        <v>46161</v>
      </c>
      <c r="Q1304">
        <f>_xlfn.XLOOKUP(E1304,CPT!$A$2:$A$13,CPT!$D$2:$D$13)</f>
        <v>145</v>
      </c>
      <c r="R1304" s="1">
        <f>_xlfn.XLOOKUP(C1304,Contract!$A$2:$A$9,Contract!$B$2:$B$9)</f>
        <v>0.45</v>
      </c>
      <c r="S1304" s="1">
        <f t="shared" si="80"/>
        <v>65.25</v>
      </c>
      <c r="T1304" s="1">
        <f t="shared" si="81"/>
        <v>-4.1099999999999994</v>
      </c>
      <c r="U1304" s="1" t="str">
        <f t="shared" si="82"/>
        <v>OK</v>
      </c>
      <c r="V1304" s="1" t="str">
        <f>_xlfn.XLOOKUP(C1304,Payers!$A$2:$A$9,Payers!$B$2:$B$9)</f>
        <v>Blue Horizon Commercial</v>
      </c>
      <c r="W1304" s="1" t="str">
        <f t="shared" si="83"/>
        <v>2026-04</v>
      </c>
    </row>
    <row r="1305" spans="1:23">
      <c r="A1305" s="1" t="s">
        <v>2447</v>
      </c>
      <c r="B1305" s="1" t="s">
        <v>2286</v>
      </c>
      <c r="C1305" s="1" t="s">
        <v>60</v>
      </c>
      <c r="D1305" s="1" t="s">
        <v>26</v>
      </c>
      <c r="E1305" s="1" t="s">
        <v>27</v>
      </c>
      <c r="F1305">
        <v>1</v>
      </c>
      <c r="G1305" s="2">
        <v>45951</v>
      </c>
      <c r="H1305" s="2">
        <v>45958</v>
      </c>
      <c r="I1305">
        <v>241.65</v>
      </c>
      <c r="J1305">
        <v>97.58</v>
      </c>
      <c r="K1305">
        <v>78.06</v>
      </c>
      <c r="L1305">
        <v>19.52</v>
      </c>
      <c r="M1305" s="1" t="s">
        <v>21</v>
      </c>
      <c r="N1305" s="1" t="s">
        <v>22</v>
      </c>
      <c r="O1305" s="2">
        <v>45988</v>
      </c>
      <c r="P1305" s="2">
        <v>45988</v>
      </c>
      <c r="Q1305">
        <f>_xlfn.XLOOKUP(E1305,CPT!$A$2:$A$13,CPT!$D$2:$D$13)</f>
        <v>240</v>
      </c>
      <c r="R1305" s="1">
        <f>_xlfn.XLOOKUP(C1305,Contract!$A$2:$A$9,Contract!$B$2:$B$9)</f>
        <v>0.45</v>
      </c>
      <c r="S1305" s="1">
        <f t="shared" si="80"/>
        <v>108</v>
      </c>
      <c r="T1305" s="1">
        <f t="shared" si="81"/>
        <v>10.420000000000002</v>
      </c>
      <c r="U1305" s="1" t="str">
        <f t="shared" si="82"/>
        <v>Underpaid</v>
      </c>
      <c r="V1305" s="1" t="str">
        <f>_xlfn.XLOOKUP(C1305,Payers!$A$2:$A$9,Payers!$B$2:$B$9)</f>
        <v>Blue Horizon Commercial</v>
      </c>
      <c r="W1305" s="1" t="str">
        <f t="shared" si="83"/>
        <v>2025-10</v>
      </c>
    </row>
    <row r="1306" spans="1:23">
      <c r="A1306" s="1" t="s">
        <v>2448</v>
      </c>
      <c r="B1306" s="1" t="s">
        <v>2449</v>
      </c>
      <c r="C1306" s="1" t="s">
        <v>76</v>
      </c>
      <c r="D1306" s="1" t="s">
        <v>30</v>
      </c>
      <c r="E1306" s="1" t="s">
        <v>31</v>
      </c>
      <c r="F1306">
        <v>3</v>
      </c>
      <c r="G1306" s="2">
        <v>46080</v>
      </c>
      <c r="H1306" s="2">
        <v>46081</v>
      </c>
      <c r="I1306">
        <v>189.76</v>
      </c>
      <c r="M1306" s="1" t="s">
        <v>32</v>
      </c>
      <c r="N1306" s="1" t="s">
        <v>124</v>
      </c>
      <c r="O1306" s="2">
        <v>46122</v>
      </c>
      <c r="P1306" s="2"/>
      <c r="Q1306">
        <f>_xlfn.XLOOKUP(E1306,CPT!$A$2:$A$13,CPT!$D$2:$D$13)</f>
        <v>62</v>
      </c>
      <c r="R1306" s="1">
        <f>_xlfn.XLOOKUP(C1306,Contract!$A$2:$A$9,Contract!$B$2:$B$9)</f>
        <v>0.43</v>
      </c>
      <c r="S1306" s="1">
        <f t="shared" si="80"/>
        <v>79.98</v>
      </c>
      <c r="T1306" s="1" t="str">
        <f t="shared" si="81"/>
        <v/>
      </c>
      <c r="U1306" s="1" t="str">
        <f t="shared" si="82"/>
        <v/>
      </c>
      <c r="V1306" s="1" t="str">
        <f>_xlfn.XLOOKUP(C1306,Payers!$A$2:$A$9,Payers!$B$2:$B$9)</f>
        <v>Summit Health Commercial</v>
      </c>
      <c r="W1306" s="1" t="str">
        <f t="shared" si="83"/>
        <v>2026-02</v>
      </c>
    </row>
    <row r="1307" spans="1:23">
      <c r="A1307" s="1" t="s">
        <v>2450</v>
      </c>
      <c r="B1307" s="1" t="s">
        <v>2451</v>
      </c>
      <c r="C1307" s="1" t="s">
        <v>52</v>
      </c>
      <c r="D1307" s="1" t="s">
        <v>37</v>
      </c>
      <c r="E1307" s="1" t="s">
        <v>57</v>
      </c>
      <c r="F1307">
        <v>1</v>
      </c>
      <c r="G1307" s="2">
        <v>46162</v>
      </c>
      <c r="H1307" s="2">
        <v>46165</v>
      </c>
      <c r="I1307">
        <v>208.22</v>
      </c>
      <c r="J1307">
        <v>104.68</v>
      </c>
      <c r="K1307">
        <v>83.74</v>
      </c>
      <c r="L1307">
        <v>20.94</v>
      </c>
      <c r="M1307" s="1" t="s">
        <v>21</v>
      </c>
      <c r="N1307" s="1" t="s">
        <v>22</v>
      </c>
      <c r="O1307" s="2">
        <v>46229</v>
      </c>
      <c r="P1307" s="2">
        <v>46229</v>
      </c>
      <c r="Q1307">
        <f>_xlfn.XLOOKUP(E1307,CPT!$A$2:$A$13,CPT!$D$2:$D$13)</f>
        <v>210</v>
      </c>
      <c r="R1307" s="1">
        <f>_xlfn.XLOOKUP(C1307,Contract!$A$2:$A$9,Contract!$B$2:$B$9)</f>
        <v>0.47</v>
      </c>
      <c r="S1307" s="1">
        <f t="shared" si="80"/>
        <v>98.7</v>
      </c>
      <c r="T1307" s="1">
        <f t="shared" si="81"/>
        <v>-5.980000000000004</v>
      </c>
      <c r="U1307" s="1" t="str">
        <f t="shared" si="82"/>
        <v>OK</v>
      </c>
      <c r="V1307" s="1" t="str">
        <f>_xlfn.XLOOKUP(C1307,Payers!$A$2:$A$9,Payers!$B$2:$B$9)</f>
        <v>Keystone Commercial PPO</v>
      </c>
      <c r="W1307" s="1" t="str">
        <f t="shared" si="83"/>
        <v>2026-05</v>
      </c>
    </row>
    <row r="1308" spans="1:23">
      <c r="A1308" s="1" t="s">
        <v>2452</v>
      </c>
      <c r="B1308" s="1" t="s">
        <v>1858</v>
      </c>
      <c r="C1308" s="1" t="s">
        <v>36</v>
      </c>
      <c r="D1308" s="1" t="s">
        <v>30</v>
      </c>
      <c r="E1308" s="1" t="s">
        <v>31</v>
      </c>
      <c r="F1308">
        <v>4</v>
      </c>
      <c r="G1308" s="2">
        <v>46089</v>
      </c>
      <c r="H1308" s="2">
        <v>46091</v>
      </c>
      <c r="I1308">
        <v>245.42</v>
      </c>
      <c r="M1308" s="1" t="s">
        <v>32</v>
      </c>
      <c r="N1308" s="1" t="s">
        <v>33</v>
      </c>
      <c r="O1308" s="2">
        <v>46135</v>
      </c>
      <c r="P1308" s="2"/>
      <c r="Q1308">
        <f>_xlfn.XLOOKUP(E1308,CPT!$A$2:$A$13,CPT!$D$2:$D$13)</f>
        <v>62</v>
      </c>
      <c r="R1308" s="1">
        <f>_xlfn.XLOOKUP(C1308,Contract!$A$2:$A$9,Contract!$B$2:$B$9)</f>
        <v>0.27</v>
      </c>
      <c r="S1308" s="1">
        <f t="shared" si="80"/>
        <v>66.959999999999994</v>
      </c>
      <c r="T1308" s="1" t="str">
        <f t="shared" si="81"/>
        <v/>
      </c>
      <c r="U1308" s="1" t="str">
        <f t="shared" si="82"/>
        <v/>
      </c>
      <c r="V1308" s="1" t="str">
        <f>_xlfn.XLOOKUP(C1308,Payers!$A$2:$A$9,Payers!$B$2:$B$9)</f>
        <v>Florida Medicaid</v>
      </c>
      <c r="W1308" s="1" t="str">
        <f t="shared" si="83"/>
        <v>2026-03</v>
      </c>
    </row>
    <row r="1309" spans="1:23">
      <c r="A1309" s="1" t="s">
        <v>2453</v>
      </c>
      <c r="B1309" s="1" t="s">
        <v>2454</v>
      </c>
      <c r="C1309" s="1" t="s">
        <v>76</v>
      </c>
      <c r="D1309" s="1" t="s">
        <v>37</v>
      </c>
      <c r="E1309" s="1" t="s">
        <v>57</v>
      </c>
      <c r="F1309">
        <v>1</v>
      </c>
      <c r="G1309" s="2">
        <v>46177</v>
      </c>
      <c r="H1309" s="2">
        <v>46178</v>
      </c>
      <c r="I1309">
        <v>209.19</v>
      </c>
      <c r="J1309">
        <v>101.74</v>
      </c>
      <c r="K1309">
        <v>91.57</v>
      </c>
      <c r="L1309">
        <v>10.17</v>
      </c>
      <c r="M1309" s="1" t="s">
        <v>21</v>
      </c>
      <c r="N1309" s="1" t="s">
        <v>22</v>
      </c>
      <c r="O1309" s="2">
        <v>46213</v>
      </c>
      <c r="P1309" s="2">
        <v>46213</v>
      </c>
      <c r="Q1309">
        <f>_xlfn.XLOOKUP(E1309,CPT!$A$2:$A$13,CPT!$D$2:$D$13)</f>
        <v>210</v>
      </c>
      <c r="R1309" s="1">
        <f>_xlfn.XLOOKUP(C1309,Contract!$A$2:$A$9,Contract!$B$2:$B$9)</f>
        <v>0.43</v>
      </c>
      <c r="S1309" s="1">
        <f t="shared" si="80"/>
        <v>90.3</v>
      </c>
      <c r="T1309" s="1">
        <f t="shared" si="81"/>
        <v>-11.439999999999998</v>
      </c>
      <c r="U1309" s="1" t="str">
        <f t="shared" si="82"/>
        <v>OK</v>
      </c>
      <c r="V1309" s="1" t="str">
        <f>_xlfn.XLOOKUP(C1309,Payers!$A$2:$A$9,Payers!$B$2:$B$9)</f>
        <v>Summit Health Commercial</v>
      </c>
      <c r="W1309" s="1" t="str">
        <f t="shared" si="83"/>
        <v>2026-06</v>
      </c>
    </row>
    <row r="1310" spans="1:23">
      <c r="A1310" s="1" t="s">
        <v>2455</v>
      </c>
      <c r="B1310" s="1" t="s">
        <v>2456</v>
      </c>
      <c r="C1310" s="1" t="s">
        <v>25</v>
      </c>
      <c r="D1310" s="1" t="s">
        <v>26</v>
      </c>
      <c r="E1310" s="1" t="s">
        <v>113</v>
      </c>
      <c r="F1310">
        <v>1</v>
      </c>
      <c r="G1310" s="2">
        <v>46117</v>
      </c>
      <c r="H1310" s="2">
        <v>46118</v>
      </c>
      <c r="I1310">
        <v>1028.3599999999999</v>
      </c>
      <c r="M1310" s="1" t="s">
        <v>32</v>
      </c>
      <c r="N1310" s="1" t="s">
        <v>315</v>
      </c>
      <c r="O1310" s="2">
        <v>46135</v>
      </c>
      <c r="P1310" s="2"/>
      <c r="Q1310">
        <f>_xlfn.XLOOKUP(E1310,CPT!$A$2:$A$13,CPT!$D$2:$D$13)</f>
        <v>1050</v>
      </c>
      <c r="R1310" s="1">
        <f>_xlfn.XLOOKUP(C1310,Contract!$A$2:$A$9,Contract!$B$2:$B$9)</f>
        <v>0.36</v>
      </c>
      <c r="S1310" s="1">
        <f t="shared" si="80"/>
        <v>378</v>
      </c>
      <c r="T1310" s="1" t="str">
        <f t="shared" si="81"/>
        <v/>
      </c>
      <c r="U1310" s="1" t="str">
        <f t="shared" si="82"/>
        <v/>
      </c>
      <c r="V1310" s="1" t="str">
        <f>_xlfn.XLOOKUP(C1310,Payers!$A$2:$A$9,Payers!$B$2:$B$9)</f>
        <v>Medicare Part B</v>
      </c>
      <c r="W1310" s="1" t="str">
        <f t="shared" si="83"/>
        <v>2026-04</v>
      </c>
    </row>
    <row r="1311" spans="1:23">
      <c r="A1311" s="1" t="s">
        <v>2457</v>
      </c>
      <c r="B1311" s="1" t="s">
        <v>2458</v>
      </c>
      <c r="C1311" s="1" t="s">
        <v>79</v>
      </c>
      <c r="D1311" s="1" t="s">
        <v>30</v>
      </c>
      <c r="E1311" s="1" t="s">
        <v>20</v>
      </c>
      <c r="F1311">
        <v>1</v>
      </c>
      <c r="G1311" s="2">
        <v>46147</v>
      </c>
      <c r="H1311" s="2">
        <v>46160</v>
      </c>
      <c r="I1311">
        <v>146.38</v>
      </c>
      <c r="M1311" s="1" t="s">
        <v>69</v>
      </c>
      <c r="N1311" s="1" t="s">
        <v>22</v>
      </c>
      <c r="O1311" s="2"/>
      <c r="P1311" s="2"/>
      <c r="Q1311">
        <f>_xlfn.XLOOKUP(E1311,CPT!$A$2:$A$13,CPT!$D$2:$D$13)</f>
        <v>145</v>
      </c>
      <c r="R1311" s="1">
        <f>_xlfn.XLOOKUP(C1311,Contract!$A$2:$A$9,Contract!$B$2:$B$9)</f>
        <v>1</v>
      </c>
      <c r="S1311" s="1">
        <f t="shared" si="80"/>
        <v>145</v>
      </c>
      <c r="T1311" s="1" t="str">
        <f t="shared" si="81"/>
        <v/>
      </c>
      <c r="U1311" s="1" t="str">
        <f t="shared" si="82"/>
        <v/>
      </c>
      <c r="V1311" s="1" t="str">
        <f>_xlfn.XLOOKUP(C1311,Payers!$A$2:$A$9,Payers!$B$2:$B$9)</f>
        <v>Self-Pay</v>
      </c>
      <c r="W1311" s="1" t="str">
        <f t="shared" si="83"/>
        <v>2026-05</v>
      </c>
    </row>
    <row r="1312" spans="1:23">
      <c r="A1312" s="1" t="s">
        <v>2459</v>
      </c>
      <c r="B1312" s="1" t="s">
        <v>2460</v>
      </c>
      <c r="C1312" s="1" t="s">
        <v>52</v>
      </c>
      <c r="D1312" s="1" t="s">
        <v>26</v>
      </c>
      <c r="E1312" s="1" t="s">
        <v>185</v>
      </c>
      <c r="F1312">
        <v>1</v>
      </c>
      <c r="G1312" s="2">
        <v>46180</v>
      </c>
      <c r="H1312" s="2">
        <v>46182</v>
      </c>
      <c r="I1312">
        <v>1175.9100000000001</v>
      </c>
      <c r="M1312" s="1" t="s">
        <v>32</v>
      </c>
      <c r="N1312" s="1" t="s">
        <v>315</v>
      </c>
      <c r="O1312" s="2">
        <v>46216</v>
      </c>
      <c r="P1312" s="2"/>
      <c r="Q1312">
        <f>_xlfn.XLOOKUP(E1312,CPT!$A$2:$A$13,CPT!$D$2:$D$13)</f>
        <v>1150</v>
      </c>
      <c r="R1312" s="1">
        <f>_xlfn.XLOOKUP(C1312,Contract!$A$2:$A$9,Contract!$B$2:$B$9)</f>
        <v>0.47</v>
      </c>
      <c r="S1312" s="1">
        <f t="shared" si="80"/>
        <v>540.5</v>
      </c>
      <c r="T1312" s="1" t="str">
        <f t="shared" si="81"/>
        <v/>
      </c>
      <c r="U1312" s="1" t="str">
        <f t="shared" si="82"/>
        <v/>
      </c>
      <c r="V1312" s="1" t="str">
        <f>_xlfn.XLOOKUP(C1312,Payers!$A$2:$A$9,Payers!$B$2:$B$9)</f>
        <v>Keystone Commercial PPO</v>
      </c>
      <c r="W1312" s="1" t="str">
        <f t="shared" si="83"/>
        <v>2026-06</v>
      </c>
    </row>
    <row r="1313" spans="1:23">
      <c r="A1313" s="1" t="s">
        <v>2461</v>
      </c>
      <c r="B1313" s="1" t="s">
        <v>219</v>
      </c>
      <c r="C1313" s="1" t="s">
        <v>52</v>
      </c>
      <c r="D1313" s="1" t="s">
        <v>26</v>
      </c>
      <c r="E1313" s="1" t="s">
        <v>88</v>
      </c>
      <c r="F1313">
        <v>1</v>
      </c>
      <c r="G1313" s="2">
        <v>46187</v>
      </c>
      <c r="H1313" s="2">
        <v>46188</v>
      </c>
      <c r="I1313">
        <v>255.35</v>
      </c>
      <c r="J1313">
        <v>134.08000000000001</v>
      </c>
      <c r="K1313">
        <v>120.67</v>
      </c>
      <c r="L1313">
        <v>13.41</v>
      </c>
      <c r="M1313" s="1" t="s">
        <v>21</v>
      </c>
      <c r="N1313" s="1" t="s">
        <v>22</v>
      </c>
      <c r="O1313" s="2">
        <v>46233</v>
      </c>
      <c r="P1313" s="2">
        <v>46233</v>
      </c>
      <c r="Q1313">
        <f>_xlfn.XLOOKUP(E1313,CPT!$A$2:$A$13,CPT!$D$2:$D$13)</f>
        <v>260</v>
      </c>
      <c r="R1313" s="1">
        <f>_xlfn.XLOOKUP(C1313,Contract!$A$2:$A$9,Contract!$B$2:$B$9)</f>
        <v>0.47</v>
      </c>
      <c r="S1313" s="1">
        <f t="shared" si="80"/>
        <v>122.2</v>
      </c>
      <c r="T1313" s="1">
        <f t="shared" si="81"/>
        <v>-11.88000000000001</v>
      </c>
      <c r="U1313" s="1" t="str">
        <f t="shared" si="82"/>
        <v>OK</v>
      </c>
      <c r="V1313" s="1" t="str">
        <f>_xlfn.XLOOKUP(C1313,Payers!$A$2:$A$9,Payers!$B$2:$B$9)</f>
        <v>Keystone Commercial PPO</v>
      </c>
      <c r="W1313" s="1" t="str">
        <f t="shared" si="83"/>
        <v>2026-06</v>
      </c>
    </row>
    <row r="1314" spans="1:23">
      <c r="A1314" s="1" t="s">
        <v>2462</v>
      </c>
      <c r="B1314" s="1" t="s">
        <v>665</v>
      </c>
      <c r="C1314" s="1" t="s">
        <v>52</v>
      </c>
      <c r="D1314" s="1" t="s">
        <v>19</v>
      </c>
      <c r="E1314" s="1" t="s">
        <v>57</v>
      </c>
      <c r="F1314">
        <v>1</v>
      </c>
      <c r="G1314" s="2">
        <v>45951</v>
      </c>
      <c r="H1314" s="2">
        <v>45957</v>
      </c>
      <c r="I1314">
        <v>209.43</v>
      </c>
      <c r="J1314">
        <v>100.15</v>
      </c>
      <c r="K1314">
        <v>90.13</v>
      </c>
      <c r="L1314">
        <v>10.02</v>
      </c>
      <c r="M1314" s="1" t="s">
        <v>21</v>
      </c>
      <c r="N1314" s="1" t="s">
        <v>22</v>
      </c>
      <c r="O1314" s="2">
        <v>46002</v>
      </c>
      <c r="P1314" s="2">
        <v>46002</v>
      </c>
      <c r="Q1314">
        <f>_xlfn.XLOOKUP(E1314,CPT!$A$2:$A$13,CPT!$D$2:$D$13)</f>
        <v>210</v>
      </c>
      <c r="R1314" s="1">
        <f>_xlfn.XLOOKUP(C1314,Contract!$A$2:$A$9,Contract!$B$2:$B$9)</f>
        <v>0.47</v>
      </c>
      <c r="S1314" s="1">
        <f t="shared" si="80"/>
        <v>98.7</v>
      </c>
      <c r="T1314" s="1">
        <f t="shared" si="81"/>
        <v>-1.4500000000000028</v>
      </c>
      <c r="U1314" s="1" t="str">
        <f t="shared" si="82"/>
        <v>OK</v>
      </c>
      <c r="V1314" s="1" t="str">
        <f>_xlfn.XLOOKUP(C1314,Payers!$A$2:$A$9,Payers!$B$2:$B$9)</f>
        <v>Keystone Commercial PPO</v>
      </c>
      <c r="W1314" s="1" t="str">
        <f t="shared" si="83"/>
        <v>2025-10</v>
      </c>
    </row>
    <row r="1315" spans="1:23">
      <c r="A1315" s="1" t="s">
        <v>2463</v>
      </c>
      <c r="B1315" s="1" t="s">
        <v>2464</v>
      </c>
      <c r="C1315" s="1" t="s">
        <v>52</v>
      </c>
      <c r="D1315" s="1" t="s">
        <v>19</v>
      </c>
      <c r="E1315" s="1" t="s">
        <v>20</v>
      </c>
      <c r="F1315">
        <v>1</v>
      </c>
      <c r="G1315" s="2">
        <v>46144</v>
      </c>
      <c r="H1315" s="2">
        <v>46154</v>
      </c>
      <c r="I1315">
        <v>148.72999999999999</v>
      </c>
      <c r="J1315">
        <v>64.39</v>
      </c>
      <c r="K1315">
        <v>57.95</v>
      </c>
      <c r="L1315">
        <v>6.44</v>
      </c>
      <c r="M1315" s="1" t="s">
        <v>21</v>
      </c>
      <c r="N1315" s="1" t="s">
        <v>22</v>
      </c>
      <c r="O1315" s="2">
        <v>46194</v>
      </c>
      <c r="P1315" s="2">
        <v>46194</v>
      </c>
      <c r="Q1315">
        <f>_xlfn.XLOOKUP(E1315,CPT!$A$2:$A$13,CPT!$D$2:$D$13)</f>
        <v>145</v>
      </c>
      <c r="R1315" s="1">
        <f>_xlfn.XLOOKUP(C1315,Contract!$A$2:$A$9,Contract!$B$2:$B$9)</f>
        <v>0.47</v>
      </c>
      <c r="S1315" s="1">
        <f t="shared" si="80"/>
        <v>68.150000000000006</v>
      </c>
      <c r="T1315" s="1">
        <f t="shared" si="81"/>
        <v>3.7600000000000051</v>
      </c>
      <c r="U1315" s="1" t="str">
        <f t="shared" si="82"/>
        <v>Underpaid</v>
      </c>
      <c r="V1315" s="1" t="str">
        <f>_xlfn.XLOOKUP(C1315,Payers!$A$2:$A$9,Payers!$B$2:$B$9)</f>
        <v>Keystone Commercial PPO</v>
      </c>
      <c r="W1315" s="1" t="str">
        <f t="shared" si="83"/>
        <v>2026-05</v>
      </c>
    </row>
    <row r="1316" spans="1:23">
      <c r="A1316" s="1" t="s">
        <v>2465</v>
      </c>
      <c r="B1316" s="1" t="s">
        <v>811</v>
      </c>
      <c r="C1316" s="1" t="s">
        <v>76</v>
      </c>
      <c r="D1316" s="1" t="s">
        <v>19</v>
      </c>
      <c r="E1316" s="1" t="s">
        <v>41</v>
      </c>
      <c r="F1316">
        <v>1</v>
      </c>
      <c r="G1316" s="2">
        <v>46264</v>
      </c>
      <c r="H1316" s="2">
        <v>46271</v>
      </c>
      <c r="I1316">
        <v>38.799999999999997</v>
      </c>
      <c r="M1316" s="1" t="s">
        <v>69</v>
      </c>
      <c r="N1316" s="1" t="s">
        <v>22</v>
      </c>
      <c r="O1316" s="2"/>
      <c r="P1316" s="2"/>
      <c r="Q1316">
        <f>_xlfn.XLOOKUP(E1316,CPT!$A$2:$A$13,CPT!$D$2:$D$13)</f>
        <v>38</v>
      </c>
      <c r="R1316" s="1">
        <f>_xlfn.XLOOKUP(C1316,Contract!$A$2:$A$9,Contract!$B$2:$B$9)</f>
        <v>0.43</v>
      </c>
      <c r="S1316" s="1">
        <f t="shared" si="80"/>
        <v>16.34</v>
      </c>
      <c r="T1316" s="1" t="str">
        <f t="shared" si="81"/>
        <v/>
      </c>
      <c r="U1316" s="1" t="str">
        <f t="shared" si="82"/>
        <v/>
      </c>
      <c r="V1316" s="1" t="str">
        <f>_xlfn.XLOOKUP(C1316,Payers!$A$2:$A$9,Payers!$B$2:$B$9)</f>
        <v>Summit Health Commercial</v>
      </c>
      <c r="W1316" s="1" t="str">
        <f t="shared" si="83"/>
        <v>2026-08</v>
      </c>
    </row>
    <row r="1317" spans="1:23">
      <c r="A1317" s="1" t="s">
        <v>2466</v>
      </c>
      <c r="B1317" s="1" t="s">
        <v>1700</v>
      </c>
      <c r="C1317" s="1" t="s">
        <v>52</v>
      </c>
      <c r="D1317" s="1" t="s">
        <v>26</v>
      </c>
      <c r="E1317" s="1" t="s">
        <v>44</v>
      </c>
      <c r="F1317">
        <v>1</v>
      </c>
      <c r="G1317" s="2">
        <v>46134</v>
      </c>
      <c r="H1317" s="2">
        <v>46135</v>
      </c>
      <c r="I1317">
        <v>4656.6499999999996</v>
      </c>
      <c r="M1317" s="1" t="s">
        <v>32</v>
      </c>
      <c r="N1317" s="1" t="s">
        <v>168</v>
      </c>
      <c r="O1317" s="2">
        <v>46180</v>
      </c>
      <c r="P1317" s="2"/>
      <c r="Q1317">
        <f>_xlfn.XLOOKUP(E1317,CPT!$A$2:$A$13,CPT!$D$2:$D$13)</f>
        <v>4800</v>
      </c>
      <c r="R1317" s="1">
        <f>_xlfn.XLOOKUP(C1317,Contract!$A$2:$A$9,Contract!$B$2:$B$9)</f>
        <v>0.47</v>
      </c>
      <c r="S1317" s="1">
        <f t="shared" si="80"/>
        <v>2256</v>
      </c>
      <c r="T1317" s="1" t="str">
        <f t="shared" si="81"/>
        <v/>
      </c>
      <c r="U1317" s="1" t="str">
        <f t="shared" si="82"/>
        <v/>
      </c>
      <c r="V1317" s="1" t="str">
        <f>_xlfn.XLOOKUP(C1317,Payers!$A$2:$A$9,Payers!$B$2:$B$9)</f>
        <v>Keystone Commercial PPO</v>
      </c>
      <c r="W1317" s="1" t="str">
        <f t="shared" si="83"/>
        <v>2026-04</v>
      </c>
    </row>
    <row r="1318" spans="1:23">
      <c r="A1318" s="1" t="s">
        <v>2467</v>
      </c>
      <c r="B1318" s="1" t="s">
        <v>1050</v>
      </c>
      <c r="C1318" s="1" t="s">
        <v>79</v>
      </c>
      <c r="D1318" s="1" t="s">
        <v>26</v>
      </c>
      <c r="E1318" s="1" t="s">
        <v>44</v>
      </c>
      <c r="F1318">
        <v>1</v>
      </c>
      <c r="G1318" s="2">
        <v>46258</v>
      </c>
      <c r="H1318" s="2">
        <v>46264</v>
      </c>
      <c r="I1318">
        <v>4882.9399999999996</v>
      </c>
      <c r="M1318" s="1" t="s">
        <v>69</v>
      </c>
      <c r="N1318" s="1" t="s">
        <v>22</v>
      </c>
      <c r="O1318" s="2"/>
      <c r="P1318" s="2"/>
      <c r="Q1318">
        <f>_xlfn.XLOOKUP(E1318,CPT!$A$2:$A$13,CPT!$D$2:$D$13)</f>
        <v>4800</v>
      </c>
      <c r="R1318" s="1">
        <f>_xlfn.XLOOKUP(C1318,Contract!$A$2:$A$9,Contract!$B$2:$B$9)</f>
        <v>1</v>
      </c>
      <c r="S1318" s="1">
        <f t="shared" si="80"/>
        <v>4800</v>
      </c>
      <c r="T1318" s="1" t="str">
        <f t="shared" si="81"/>
        <v/>
      </c>
      <c r="U1318" s="1" t="str">
        <f t="shared" si="82"/>
        <v/>
      </c>
      <c r="V1318" s="1" t="str">
        <f>_xlfn.XLOOKUP(C1318,Payers!$A$2:$A$9,Payers!$B$2:$B$9)</f>
        <v>Self-Pay</v>
      </c>
      <c r="W1318" s="1" t="str">
        <f t="shared" si="83"/>
        <v>2026-08</v>
      </c>
    </row>
    <row r="1319" spans="1:23">
      <c r="A1319" s="1" t="s">
        <v>2468</v>
      </c>
      <c r="B1319" s="1" t="s">
        <v>1672</v>
      </c>
      <c r="C1319" s="1" t="s">
        <v>36</v>
      </c>
      <c r="D1319" s="1" t="s">
        <v>37</v>
      </c>
      <c r="E1319" s="1" t="s">
        <v>48</v>
      </c>
      <c r="F1319">
        <v>1</v>
      </c>
      <c r="G1319" s="2">
        <v>46051</v>
      </c>
      <c r="H1319" s="2">
        <v>46053</v>
      </c>
      <c r="I1319">
        <v>430.73</v>
      </c>
      <c r="J1319">
        <v>104.62</v>
      </c>
      <c r="K1319">
        <v>104.62</v>
      </c>
      <c r="L1319">
        <v>0</v>
      </c>
      <c r="M1319" s="1" t="s">
        <v>21</v>
      </c>
      <c r="N1319" s="1" t="s">
        <v>22</v>
      </c>
      <c r="O1319" s="2">
        <v>46093</v>
      </c>
      <c r="P1319" s="2">
        <v>46093</v>
      </c>
      <c r="Q1319">
        <f>_xlfn.XLOOKUP(E1319,CPT!$A$2:$A$13,CPT!$D$2:$D$13)</f>
        <v>420</v>
      </c>
      <c r="R1319" s="1">
        <f>_xlfn.XLOOKUP(C1319,Contract!$A$2:$A$9,Contract!$B$2:$B$9)</f>
        <v>0.27</v>
      </c>
      <c r="S1319" s="1">
        <f t="shared" si="80"/>
        <v>113.4</v>
      </c>
      <c r="T1319" s="1">
        <f t="shared" si="81"/>
        <v>8.7800000000000011</v>
      </c>
      <c r="U1319" s="1" t="str">
        <f t="shared" si="82"/>
        <v>Underpaid</v>
      </c>
      <c r="V1319" s="1" t="str">
        <f>_xlfn.XLOOKUP(C1319,Payers!$A$2:$A$9,Payers!$B$2:$B$9)</f>
        <v>Florida Medicaid</v>
      </c>
      <c r="W1319" s="1" t="str">
        <f t="shared" si="83"/>
        <v>2026-01</v>
      </c>
    </row>
    <row r="1320" spans="1:23">
      <c r="A1320" s="1" t="s">
        <v>2469</v>
      </c>
      <c r="B1320" s="1" t="s">
        <v>1563</v>
      </c>
      <c r="C1320" s="1" t="s">
        <v>76</v>
      </c>
      <c r="D1320" s="1" t="s">
        <v>37</v>
      </c>
      <c r="E1320" s="1" t="s">
        <v>38</v>
      </c>
      <c r="F1320">
        <v>30</v>
      </c>
      <c r="G1320" s="2">
        <v>46056</v>
      </c>
      <c r="H1320" s="2">
        <v>46057</v>
      </c>
      <c r="I1320">
        <v>42249</v>
      </c>
      <c r="J1320">
        <v>16702.71</v>
      </c>
      <c r="K1320">
        <v>13362.17</v>
      </c>
      <c r="L1320">
        <v>3340.54</v>
      </c>
      <c r="M1320" s="1" t="s">
        <v>21</v>
      </c>
      <c r="N1320" s="1" t="s">
        <v>22</v>
      </c>
      <c r="O1320" s="2">
        <v>46081</v>
      </c>
      <c r="P1320" s="2">
        <v>46081</v>
      </c>
      <c r="Q1320">
        <f>_xlfn.XLOOKUP(E1320,CPT!$A$2:$A$13,CPT!$D$2:$D$13)</f>
        <v>1450</v>
      </c>
      <c r="R1320" s="1">
        <f>_xlfn.XLOOKUP(C1320,Contract!$A$2:$A$9,Contract!$B$2:$B$9)</f>
        <v>0.43</v>
      </c>
      <c r="S1320" s="1">
        <f t="shared" si="80"/>
        <v>18705</v>
      </c>
      <c r="T1320" s="1">
        <f t="shared" si="81"/>
        <v>2002.2900000000009</v>
      </c>
      <c r="U1320" s="1" t="str">
        <f t="shared" si="82"/>
        <v>Underpaid</v>
      </c>
      <c r="V1320" s="1" t="str">
        <f>_xlfn.XLOOKUP(C1320,Payers!$A$2:$A$9,Payers!$B$2:$B$9)</f>
        <v>Summit Health Commercial</v>
      </c>
      <c r="W1320" s="1" t="str">
        <f t="shared" si="83"/>
        <v>2026-02</v>
      </c>
    </row>
    <row r="1321" spans="1:23">
      <c r="A1321" s="1" t="s">
        <v>2470</v>
      </c>
      <c r="B1321" s="1" t="s">
        <v>261</v>
      </c>
      <c r="C1321" s="1" t="s">
        <v>18</v>
      </c>
      <c r="D1321" s="1" t="s">
        <v>30</v>
      </c>
      <c r="E1321" s="1" t="s">
        <v>31</v>
      </c>
      <c r="F1321">
        <v>1</v>
      </c>
      <c r="G1321" s="2">
        <v>46116</v>
      </c>
      <c r="H1321" s="2">
        <v>46118</v>
      </c>
      <c r="I1321">
        <v>62.99</v>
      </c>
      <c r="J1321">
        <v>25.14</v>
      </c>
      <c r="K1321">
        <v>25.14</v>
      </c>
      <c r="L1321">
        <v>0</v>
      </c>
      <c r="M1321" s="1" t="s">
        <v>21</v>
      </c>
      <c r="N1321" s="1" t="s">
        <v>22</v>
      </c>
      <c r="O1321" s="2">
        <v>46150</v>
      </c>
      <c r="P1321" s="2">
        <v>46150</v>
      </c>
      <c r="Q1321">
        <f>_xlfn.XLOOKUP(E1321,CPT!$A$2:$A$13,CPT!$D$2:$D$13)</f>
        <v>62</v>
      </c>
      <c r="R1321" s="1">
        <f>_xlfn.XLOOKUP(C1321,Contract!$A$2:$A$9,Contract!$B$2:$B$9)</f>
        <v>0.38</v>
      </c>
      <c r="S1321" s="1">
        <f t="shared" si="80"/>
        <v>23.56</v>
      </c>
      <c r="T1321" s="1">
        <f t="shared" si="81"/>
        <v>-1.5800000000000018</v>
      </c>
      <c r="U1321" s="1" t="str">
        <f t="shared" si="82"/>
        <v>OK</v>
      </c>
      <c r="V1321" s="1" t="str">
        <f>_xlfn.XLOOKUP(C1321,Payers!$A$2:$A$9,Payers!$B$2:$B$9)</f>
        <v>Sunshine Medicare Advantage</v>
      </c>
      <c r="W1321" s="1" t="str">
        <f t="shared" si="83"/>
        <v>2026-04</v>
      </c>
    </row>
    <row r="1322" spans="1:23">
      <c r="A1322" s="1" t="s">
        <v>2471</v>
      </c>
      <c r="B1322" s="1" t="s">
        <v>2472</v>
      </c>
      <c r="C1322" s="1" t="s">
        <v>79</v>
      </c>
      <c r="D1322" s="1" t="s">
        <v>30</v>
      </c>
      <c r="E1322" s="1" t="s">
        <v>31</v>
      </c>
      <c r="F1322">
        <v>1</v>
      </c>
      <c r="G1322" s="2">
        <v>45964</v>
      </c>
      <c r="H1322" s="2">
        <v>45965</v>
      </c>
      <c r="I1322">
        <v>63.73</v>
      </c>
      <c r="M1322" s="1" t="s">
        <v>69</v>
      </c>
      <c r="N1322" s="1" t="s">
        <v>22</v>
      </c>
      <c r="O1322" s="2"/>
      <c r="P1322" s="2"/>
      <c r="Q1322">
        <f>_xlfn.XLOOKUP(E1322,CPT!$A$2:$A$13,CPT!$D$2:$D$13)</f>
        <v>62</v>
      </c>
      <c r="R1322" s="1">
        <f>_xlfn.XLOOKUP(C1322,Contract!$A$2:$A$9,Contract!$B$2:$B$9)</f>
        <v>1</v>
      </c>
      <c r="S1322" s="1">
        <f t="shared" si="80"/>
        <v>62</v>
      </c>
      <c r="T1322" s="1" t="str">
        <f t="shared" si="81"/>
        <v/>
      </c>
      <c r="U1322" s="1" t="str">
        <f t="shared" si="82"/>
        <v/>
      </c>
      <c r="V1322" s="1" t="str">
        <f>_xlfn.XLOOKUP(C1322,Payers!$A$2:$A$9,Payers!$B$2:$B$9)</f>
        <v>Self-Pay</v>
      </c>
      <c r="W1322" s="1" t="str">
        <f t="shared" si="83"/>
        <v>2025-11</v>
      </c>
    </row>
    <row r="1323" spans="1:23">
      <c r="A1323" s="1" t="s">
        <v>2473</v>
      </c>
      <c r="B1323" s="1" t="s">
        <v>1451</v>
      </c>
      <c r="C1323" s="1" t="s">
        <v>36</v>
      </c>
      <c r="D1323" s="1" t="s">
        <v>19</v>
      </c>
      <c r="E1323" s="1" t="s">
        <v>88</v>
      </c>
      <c r="F1323">
        <v>1</v>
      </c>
      <c r="G1323" s="2">
        <v>46113</v>
      </c>
      <c r="H1323" s="2">
        <v>46115</v>
      </c>
      <c r="I1323">
        <v>264.51</v>
      </c>
      <c r="J1323">
        <v>64.510000000000005</v>
      </c>
      <c r="K1323">
        <v>58.06</v>
      </c>
      <c r="L1323">
        <v>6.45</v>
      </c>
      <c r="M1323" s="1" t="s">
        <v>21</v>
      </c>
      <c r="N1323" s="1" t="s">
        <v>22</v>
      </c>
      <c r="O1323" s="2">
        <v>46134</v>
      </c>
      <c r="P1323" s="2">
        <v>46134</v>
      </c>
      <c r="Q1323">
        <f>_xlfn.XLOOKUP(E1323,CPT!$A$2:$A$13,CPT!$D$2:$D$13)</f>
        <v>260</v>
      </c>
      <c r="R1323" s="1">
        <f>_xlfn.XLOOKUP(C1323,Contract!$A$2:$A$9,Contract!$B$2:$B$9)</f>
        <v>0.27</v>
      </c>
      <c r="S1323" s="1">
        <f t="shared" si="80"/>
        <v>70.2</v>
      </c>
      <c r="T1323" s="1">
        <f t="shared" si="81"/>
        <v>5.6899999999999977</v>
      </c>
      <c r="U1323" s="1" t="str">
        <f t="shared" si="82"/>
        <v>Underpaid</v>
      </c>
      <c r="V1323" s="1" t="str">
        <f>_xlfn.XLOOKUP(C1323,Payers!$A$2:$A$9,Payers!$B$2:$B$9)</f>
        <v>Florida Medicaid</v>
      </c>
      <c r="W1323" s="1" t="str">
        <f t="shared" si="83"/>
        <v>2026-04</v>
      </c>
    </row>
    <row r="1324" spans="1:23">
      <c r="A1324" s="1" t="s">
        <v>2474</v>
      </c>
      <c r="B1324" s="1" t="s">
        <v>2475</v>
      </c>
      <c r="C1324" s="1" t="s">
        <v>36</v>
      </c>
      <c r="D1324" s="1" t="s">
        <v>26</v>
      </c>
      <c r="E1324" s="1" t="s">
        <v>27</v>
      </c>
      <c r="F1324">
        <v>1</v>
      </c>
      <c r="G1324" s="2">
        <v>45975</v>
      </c>
      <c r="H1324" s="2">
        <v>45976</v>
      </c>
      <c r="I1324">
        <v>247.09</v>
      </c>
      <c r="J1324">
        <v>67.17</v>
      </c>
      <c r="K1324">
        <v>60.45</v>
      </c>
      <c r="L1324">
        <v>6.72</v>
      </c>
      <c r="M1324" s="1" t="s">
        <v>21</v>
      </c>
      <c r="N1324" s="1" t="s">
        <v>22</v>
      </c>
      <c r="O1324" s="2">
        <v>46013</v>
      </c>
      <c r="P1324" s="2">
        <v>46013</v>
      </c>
      <c r="Q1324">
        <f>_xlfn.XLOOKUP(E1324,CPT!$A$2:$A$13,CPT!$D$2:$D$13)</f>
        <v>240</v>
      </c>
      <c r="R1324" s="1">
        <f>_xlfn.XLOOKUP(C1324,Contract!$A$2:$A$9,Contract!$B$2:$B$9)</f>
        <v>0.27</v>
      </c>
      <c r="S1324" s="1">
        <f t="shared" si="80"/>
        <v>64.8</v>
      </c>
      <c r="T1324" s="1">
        <f t="shared" si="81"/>
        <v>-2.3700000000000045</v>
      </c>
      <c r="U1324" s="1" t="str">
        <f t="shared" si="82"/>
        <v>OK</v>
      </c>
      <c r="V1324" s="1" t="str">
        <f>_xlfn.XLOOKUP(C1324,Payers!$A$2:$A$9,Payers!$B$2:$B$9)</f>
        <v>Florida Medicaid</v>
      </c>
      <c r="W1324" s="1" t="str">
        <f t="shared" si="83"/>
        <v>2025-11</v>
      </c>
    </row>
    <row r="1325" spans="1:23">
      <c r="A1325" s="1" t="s">
        <v>2476</v>
      </c>
      <c r="B1325" s="1" t="s">
        <v>2477</v>
      </c>
      <c r="C1325" s="1" t="s">
        <v>36</v>
      </c>
      <c r="D1325" s="1" t="s">
        <v>19</v>
      </c>
      <c r="E1325" s="1" t="s">
        <v>41</v>
      </c>
      <c r="F1325">
        <v>1</v>
      </c>
      <c r="G1325" s="2">
        <v>46152</v>
      </c>
      <c r="H1325" s="2">
        <v>46155</v>
      </c>
      <c r="I1325">
        <v>37.1</v>
      </c>
      <c r="J1325">
        <v>9.1199999999999992</v>
      </c>
      <c r="K1325">
        <v>9.1199999999999992</v>
      </c>
      <c r="L1325">
        <v>0</v>
      </c>
      <c r="M1325" s="1" t="s">
        <v>21</v>
      </c>
      <c r="N1325" s="1" t="s">
        <v>22</v>
      </c>
      <c r="O1325" s="2">
        <v>46187</v>
      </c>
      <c r="P1325" s="2">
        <v>46187</v>
      </c>
      <c r="Q1325">
        <f>_xlfn.XLOOKUP(E1325,CPT!$A$2:$A$13,CPT!$D$2:$D$13)</f>
        <v>38</v>
      </c>
      <c r="R1325" s="1">
        <f>_xlfn.XLOOKUP(C1325,Contract!$A$2:$A$9,Contract!$B$2:$B$9)</f>
        <v>0.27</v>
      </c>
      <c r="S1325" s="1">
        <f t="shared" si="80"/>
        <v>10.26</v>
      </c>
      <c r="T1325" s="1">
        <f t="shared" si="81"/>
        <v>1.1400000000000006</v>
      </c>
      <c r="U1325" s="1" t="str">
        <f t="shared" si="82"/>
        <v>Underpaid</v>
      </c>
      <c r="V1325" s="1" t="str">
        <f>_xlfn.XLOOKUP(C1325,Payers!$A$2:$A$9,Payers!$B$2:$B$9)</f>
        <v>Florida Medicaid</v>
      </c>
      <c r="W1325" s="1" t="str">
        <f t="shared" si="83"/>
        <v>2026-05</v>
      </c>
    </row>
    <row r="1326" spans="1:23">
      <c r="A1326" s="1" t="s">
        <v>2478</v>
      </c>
      <c r="B1326" s="1" t="s">
        <v>2479</v>
      </c>
      <c r="C1326" s="1" t="s">
        <v>79</v>
      </c>
      <c r="D1326" s="1" t="s">
        <v>19</v>
      </c>
      <c r="E1326" s="1" t="s">
        <v>20</v>
      </c>
      <c r="F1326">
        <v>1</v>
      </c>
      <c r="G1326" s="2">
        <v>46047</v>
      </c>
      <c r="H1326" s="2">
        <v>46058</v>
      </c>
      <c r="I1326">
        <v>147.91</v>
      </c>
      <c r="M1326" s="1" t="s">
        <v>69</v>
      </c>
      <c r="N1326" s="1" t="s">
        <v>22</v>
      </c>
      <c r="O1326" s="2"/>
      <c r="P1326" s="2"/>
      <c r="Q1326">
        <f>_xlfn.XLOOKUP(E1326,CPT!$A$2:$A$13,CPT!$D$2:$D$13)</f>
        <v>145</v>
      </c>
      <c r="R1326" s="1">
        <f>_xlfn.XLOOKUP(C1326,Contract!$A$2:$A$9,Contract!$B$2:$B$9)</f>
        <v>1</v>
      </c>
      <c r="S1326" s="1">
        <f t="shared" si="80"/>
        <v>145</v>
      </c>
      <c r="T1326" s="1" t="str">
        <f t="shared" si="81"/>
        <v/>
      </c>
      <c r="U1326" s="1" t="str">
        <f t="shared" si="82"/>
        <v/>
      </c>
      <c r="V1326" s="1" t="str">
        <f>_xlfn.XLOOKUP(C1326,Payers!$A$2:$A$9,Payers!$B$2:$B$9)</f>
        <v>Self-Pay</v>
      </c>
      <c r="W1326" s="1" t="str">
        <f t="shared" si="83"/>
        <v>2026-01</v>
      </c>
    </row>
    <row r="1327" spans="1:23">
      <c r="A1327" s="1" t="s">
        <v>2480</v>
      </c>
      <c r="B1327" s="1" t="s">
        <v>2481</v>
      </c>
      <c r="C1327" s="1" t="s">
        <v>60</v>
      </c>
      <c r="D1327" s="1" t="s">
        <v>26</v>
      </c>
      <c r="E1327" s="1" t="s">
        <v>88</v>
      </c>
      <c r="F1327">
        <v>1</v>
      </c>
      <c r="G1327" s="2">
        <v>46027</v>
      </c>
      <c r="H1327" s="2">
        <v>46029</v>
      </c>
      <c r="I1327">
        <v>252.26</v>
      </c>
      <c r="J1327">
        <v>128.84</v>
      </c>
      <c r="K1327">
        <v>115.96</v>
      </c>
      <c r="L1327">
        <v>12.88</v>
      </c>
      <c r="M1327" s="1" t="s">
        <v>21</v>
      </c>
      <c r="N1327" s="1" t="s">
        <v>22</v>
      </c>
      <c r="O1327" s="2">
        <v>46053</v>
      </c>
      <c r="P1327" s="2">
        <v>46053</v>
      </c>
      <c r="Q1327">
        <f>_xlfn.XLOOKUP(E1327,CPT!$A$2:$A$13,CPT!$D$2:$D$13)</f>
        <v>260</v>
      </c>
      <c r="R1327" s="1">
        <f>_xlfn.XLOOKUP(C1327,Contract!$A$2:$A$9,Contract!$B$2:$B$9)</f>
        <v>0.45</v>
      </c>
      <c r="S1327" s="1">
        <f t="shared" si="80"/>
        <v>117</v>
      </c>
      <c r="T1327" s="1">
        <f t="shared" si="81"/>
        <v>-11.840000000000003</v>
      </c>
      <c r="U1327" s="1" t="str">
        <f t="shared" si="82"/>
        <v>OK</v>
      </c>
      <c r="V1327" s="1" t="str">
        <f>_xlfn.XLOOKUP(C1327,Payers!$A$2:$A$9,Payers!$B$2:$B$9)</f>
        <v>Blue Horizon Commercial</v>
      </c>
      <c r="W1327" s="1" t="str">
        <f t="shared" si="83"/>
        <v>2026-01</v>
      </c>
    </row>
    <row r="1328" spans="1:23">
      <c r="A1328" s="1" t="s">
        <v>2482</v>
      </c>
      <c r="B1328" s="1" t="s">
        <v>2483</v>
      </c>
      <c r="C1328" s="1" t="s">
        <v>60</v>
      </c>
      <c r="D1328" s="1" t="s">
        <v>37</v>
      </c>
      <c r="E1328" s="1" t="s">
        <v>38</v>
      </c>
      <c r="F1328">
        <v>5</v>
      </c>
      <c r="G1328" s="2">
        <v>46168</v>
      </c>
      <c r="H1328" s="2">
        <v>46169</v>
      </c>
      <c r="I1328">
        <v>7090.82</v>
      </c>
      <c r="J1328">
        <v>3455.06</v>
      </c>
      <c r="K1328">
        <v>3109.55</v>
      </c>
      <c r="L1328">
        <v>345.51</v>
      </c>
      <c r="M1328" s="1" t="s">
        <v>21</v>
      </c>
      <c r="N1328" s="1" t="s">
        <v>22</v>
      </c>
      <c r="O1328" s="2">
        <v>46189</v>
      </c>
      <c r="P1328" s="2">
        <v>46189</v>
      </c>
      <c r="Q1328">
        <f>_xlfn.XLOOKUP(E1328,CPT!$A$2:$A$13,CPT!$D$2:$D$13)</f>
        <v>1450</v>
      </c>
      <c r="R1328" s="1">
        <f>_xlfn.XLOOKUP(C1328,Contract!$A$2:$A$9,Contract!$B$2:$B$9)</f>
        <v>0.45</v>
      </c>
      <c r="S1328" s="1">
        <f t="shared" si="80"/>
        <v>3262.5</v>
      </c>
      <c r="T1328" s="1">
        <f t="shared" si="81"/>
        <v>-192.55999999999995</v>
      </c>
      <c r="U1328" s="1" t="str">
        <f t="shared" si="82"/>
        <v>OK</v>
      </c>
      <c r="V1328" s="1" t="str">
        <f>_xlfn.XLOOKUP(C1328,Payers!$A$2:$A$9,Payers!$B$2:$B$9)</f>
        <v>Blue Horizon Commercial</v>
      </c>
      <c r="W1328" s="1" t="str">
        <f t="shared" si="83"/>
        <v>2026-05</v>
      </c>
    </row>
    <row r="1329" spans="1:23">
      <c r="A1329" s="1" t="s">
        <v>2484</v>
      </c>
      <c r="B1329" s="1" t="s">
        <v>2485</v>
      </c>
      <c r="C1329" s="1" t="s">
        <v>36</v>
      </c>
      <c r="D1329" s="1" t="s">
        <v>19</v>
      </c>
      <c r="E1329" s="1" t="s">
        <v>20</v>
      </c>
      <c r="F1329">
        <v>1</v>
      </c>
      <c r="G1329" s="2">
        <v>46257</v>
      </c>
      <c r="H1329" s="2">
        <v>46259</v>
      </c>
      <c r="I1329">
        <v>143.41</v>
      </c>
      <c r="J1329">
        <v>36.229999999999997</v>
      </c>
      <c r="K1329">
        <v>36.229999999999997</v>
      </c>
      <c r="L1329">
        <v>0</v>
      </c>
      <c r="M1329" s="1" t="s">
        <v>21</v>
      </c>
      <c r="N1329" s="1" t="s">
        <v>22</v>
      </c>
      <c r="O1329" s="2">
        <v>46291</v>
      </c>
      <c r="P1329" s="2">
        <v>46291</v>
      </c>
      <c r="Q1329">
        <f>_xlfn.XLOOKUP(E1329,CPT!$A$2:$A$13,CPT!$D$2:$D$13)</f>
        <v>145</v>
      </c>
      <c r="R1329" s="1">
        <f>_xlfn.XLOOKUP(C1329,Contract!$A$2:$A$9,Contract!$B$2:$B$9)</f>
        <v>0.27</v>
      </c>
      <c r="S1329" s="1">
        <f t="shared" si="80"/>
        <v>39.15</v>
      </c>
      <c r="T1329" s="1">
        <f t="shared" si="81"/>
        <v>2.9200000000000017</v>
      </c>
      <c r="U1329" s="1" t="str">
        <f t="shared" si="82"/>
        <v>Underpaid</v>
      </c>
      <c r="V1329" s="1" t="str">
        <f>_xlfn.XLOOKUP(C1329,Payers!$A$2:$A$9,Payers!$B$2:$B$9)</f>
        <v>Florida Medicaid</v>
      </c>
      <c r="W1329" s="1" t="str">
        <f t="shared" si="83"/>
        <v>2026-08</v>
      </c>
    </row>
    <row r="1330" spans="1:23">
      <c r="A1330" s="1" t="s">
        <v>2486</v>
      </c>
      <c r="B1330" s="1" t="s">
        <v>2487</v>
      </c>
      <c r="C1330" s="1" t="s">
        <v>79</v>
      </c>
      <c r="D1330" s="1" t="s">
        <v>30</v>
      </c>
      <c r="E1330" s="1" t="s">
        <v>20</v>
      </c>
      <c r="F1330">
        <v>1</v>
      </c>
      <c r="G1330" s="2">
        <v>46001</v>
      </c>
      <c r="H1330" s="2">
        <v>46008</v>
      </c>
      <c r="I1330">
        <v>146.69999999999999</v>
      </c>
      <c r="J1330">
        <v>146.69999999999999</v>
      </c>
      <c r="K1330">
        <v>146.69999999999999</v>
      </c>
      <c r="L1330">
        <v>0</v>
      </c>
      <c r="M1330" s="1" t="s">
        <v>21</v>
      </c>
      <c r="N1330" s="1" t="s">
        <v>22</v>
      </c>
      <c r="O1330" s="2">
        <v>46120</v>
      </c>
      <c r="P1330" s="2">
        <v>46120</v>
      </c>
      <c r="Q1330">
        <f>_xlfn.XLOOKUP(E1330,CPT!$A$2:$A$13,CPT!$D$2:$D$13)</f>
        <v>145</v>
      </c>
      <c r="R1330" s="1">
        <f>_xlfn.XLOOKUP(C1330,Contract!$A$2:$A$9,Contract!$B$2:$B$9)</f>
        <v>1</v>
      </c>
      <c r="S1330" s="1">
        <f t="shared" si="80"/>
        <v>145</v>
      </c>
      <c r="T1330" s="1">
        <f t="shared" si="81"/>
        <v>-1.6999999999999886</v>
      </c>
      <c r="U1330" s="1" t="str">
        <f t="shared" si="82"/>
        <v>OK</v>
      </c>
      <c r="V1330" s="1" t="str">
        <f>_xlfn.XLOOKUP(C1330,Payers!$A$2:$A$9,Payers!$B$2:$B$9)</f>
        <v>Self-Pay</v>
      </c>
      <c r="W1330" s="1" t="str">
        <f t="shared" si="83"/>
        <v>2025-12</v>
      </c>
    </row>
    <row r="1331" spans="1:23">
      <c r="A1331" s="1" t="s">
        <v>2488</v>
      </c>
      <c r="B1331" s="1" t="s">
        <v>2489</v>
      </c>
      <c r="C1331" s="1" t="s">
        <v>18</v>
      </c>
      <c r="D1331" s="1" t="s">
        <v>26</v>
      </c>
      <c r="E1331" s="1" t="s">
        <v>185</v>
      </c>
      <c r="F1331">
        <v>1</v>
      </c>
      <c r="G1331" s="2">
        <v>46139</v>
      </c>
      <c r="H1331" s="2">
        <v>46155</v>
      </c>
      <c r="I1331">
        <v>1117.07</v>
      </c>
      <c r="M1331" s="1" t="s">
        <v>32</v>
      </c>
      <c r="N1331" s="1" t="s">
        <v>33</v>
      </c>
      <c r="O1331" s="2">
        <v>46171</v>
      </c>
      <c r="P1331" s="2"/>
      <c r="Q1331">
        <f>_xlfn.XLOOKUP(E1331,CPT!$A$2:$A$13,CPT!$D$2:$D$13)</f>
        <v>1150</v>
      </c>
      <c r="R1331" s="1">
        <f>_xlfn.XLOOKUP(C1331,Contract!$A$2:$A$9,Contract!$B$2:$B$9)</f>
        <v>0.38</v>
      </c>
      <c r="S1331" s="1">
        <f t="shared" si="80"/>
        <v>437</v>
      </c>
      <c r="T1331" s="1" t="str">
        <f t="shared" si="81"/>
        <v/>
      </c>
      <c r="U1331" s="1" t="str">
        <f t="shared" si="82"/>
        <v/>
      </c>
      <c r="V1331" s="1" t="str">
        <f>_xlfn.XLOOKUP(C1331,Payers!$A$2:$A$9,Payers!$B$2:$B$9)</f>
        <v>Sunshine Medicare Advantage</v>
      </c>
      <c r="W1331" s="1" t="str">
        <f t="shared" si="83"/>
        <v>2026-04</v>
      </c>
    </row>
    <row r="1332" spans="1:23">
      <c r="A1332" s="1" t="s">
        <v>2490</v>
      </c>
      <c r="B1332" s="1" t="s">
        <v>2491</v>
      </c>
      <c r="C1332" s="1" t="s">
        <v>60</v>
      </c>
      <c r="D1332" s="1" t="s">
        <v>30</v>
      </c>
      <c r="E1332" s="1" t="s">
        <v>91</v>
      </c>
      <c r="F1332">
        <v>1</v>
      </c>
      <c r="G1332" s="2">
        <v>46066</v>
      </c>
      <c r="H1332" s="2">
        <v>46067</v>
      </c>
      <c r="I1332">
        <v>57.37</v>
      </c>
      <c r="J1332">
        <v>22.43</v>
      </c>
      <c r="K1332">
        <v>22.43</v>
      </c>
      <c r="L1332">
        <v>0</v>
      </c>
      <c r="M1332" s="1" t="s">
        <v>21</v>
      </c>
      <c r="N1332" s="1" t="s">
        <v>22</v>
      </c>
      <c r="O1332" s="2">
        <v>46101</v>
      </c>
      <c r="P1332" s="2">
        <v>46101</v>
      </c>
      <c r="Q1332">
        <f>_xlfn.XLOOKUP(E1332,CPT!$A$2:$A$13,CPT!$D$2:$D$13)</f>
        <v>58</v>
      </c>
      <c r="R1332" s="1">
        <f>_xlfn.XLOOKUP(C1332,Contract!$A$2:$A$9,Contract!$B$2:$B$9)</f>
        <v>0.45</v>
      </c>
      <c r="S1332" s="1">
        <f t="shared" si="80"/>
        <v>26.1</v>
      </c>
      <c r="T1332" s="1">
        <f t="shared" si="81"/>
        <v>3.6700000000000017</v>
      </c>
      <c r="U1332" s="1" t="str">
        <f t="shared" si="82"/>
        <v>Underpaid</v>
      </c>
      <c r="V1332" s="1" t="str">
        <f>_xlfn.XLOOKUP(C1332,Payers!$A$2:$A$9,Payers!$B$2:$B$9)</f>
        <v>Blue Horizon Commercial</v>
      </c>
      <c r="W1332" s="1" t="str">
        <f t="shared" si="83"/>
        <v>2026-02</v>
      </c>
    </row>
    <row r="1333" spans="1:23">
      <c r="A1333" s="1" t="s">
        <v>2492</v>
      </c>
      <c r="B1333" s="1" t="s">
        <v>2493</v>
      </c>
      <c r="C1333" s="1" t="s">
        <v>47</v>
      </c>
      <c r="D1333" s="1" t="s">
        <v>37</v>
      </c>
      <c r="E1333" s="1" t="s">
        <v>57</v>
      </c>
      <c r="F1333">
        <v>1</v>
      </c>
      <c r="G1333" s="2">
        <v>46210</v>
      </c>
      <c r="H1333" s="2">
        <v>46214</v>
      </c>
      <c r="I1333">
        <v>207.44</v>
      </c>
      <c r="J1333">
        <v>64.989999999999995</v>
      </c>
      <c r="K1333">
        <v>64.989999999999995</v>
      </c>
      <c r="L1333">
        <v>0</v>
      </c>
      <c r="M1333" s="1" t="s">
        <v>21</v>
      </c>
      <c r="N1333" s="1" t="s">
        <v>22</v>
      </c>
      <c r="O1333" s="2">
        <v>46279</v>
      </c>
      <c r="P1333" s="2">
        <v>46279</v>
      </c>
      <c r="Q1333">
        <f>_xlfn.XLOOKUP(E1333,CPT!$A$2:$A$13,CPT!$D$2:$D$13)</f>
        <v>210</v>
      </c>
      <c r="R1333" s="1">
        <f>_xlfn.XLOOKUP(C1333,Contract!$A$2:$A$9,Contract!$B$2:$B$9)</f>
        <v>0.28000000000000003</v>
      </c>
      <c r="S1333" s="1">
        <f t="shared" si="80"/>
        <v>58.8</v>
      </c>
      <c r="T1333" s="1">
        <f t="shared" si="81"/>
        <v>-6.1899999999999977</v>
      </c>
      <c r="U1333" s="1" t="str">
        <f t="shared" si="82"/>
        <v>OK</v>
      </c>
      <c r="V1333" s="1" t="str">
        <f>_xlfn.XLOOKUP(C1333,Payers!$A$2:$A$9,Payers!$B$2:$B$9)</f>
        <v>Coastal Medicaid MCO</v>
      </c>
      <c r="W1333" s="1" t="str">
        <f t="shared" si="83"/>
        <v>2026-07</v>
      </c>
    </row>
    <row r="1334" spans="1:23">
      <c r="A1334" s="1" t="s">
        <v>2494</v>
      </c>
      <c r="B1334" s="1" t="s">
        <v>2495</v>
      </c>
      <c r="C1334" s="1" t="s">
        <v>60</v>
      </c>
      <c r="D1334" s="1" t="s">
        <v>30</v>
      </c>
      <c r="E1334" s="1" t="s">
        <v>91</v>
      </c>
      <c r="F1334">
        <v>1</v>
      </c>
      <c r="G1334" s="2">
        <v>46101</v>
      </c>
      <c r="H1334" s="2">
        <v>46233</v>
      </c>
      <c r="I1334">
        <v>58.84</v>
      </c>
      <c r="M1334" s="1" t="s">
        <v>32</v>
      </c>
      <c r="N1334" s="1" t="s">
        <v>137</v>
      </c>
      <c r="O1334" s="2">
        <v>46275</v>
      </c>
      <c r="P1334" s="2"/>
      <c r="Q1334">
        <f>_xlfn.XLOOKUP(E1334,CPT!$A$2:$A$13,CPT!$D$2:$D$13)</f>
        <v>58</v>
      </c>
      <c r="R1334" s="1">
        <f>_xlfn.XLOOKUP(C1334,Contract!$A$2:$A$9,Contract!$B$2:$B$9)</f>
        <v>0.45</v>
      </c>
      <c r="S1334" s="1">
        <f t="shared" si="80"/>
        <v>26.1</v>
      </c>
      <c r="T1334" s="1" t="str">
        <f t="shared" si="81"/>
        <v/>
      </c>
      <c r="U1334" s="1" t="str">
        <f t="shared" si="82"/>
        <v/>
      </c>
      <c r="V1334" s="1" t="str">
        <f>_xlfn.XLOOKUP(C1334,Payers!$A$2:$A$9,Payers!$B$2:$B$9)</f>
        <v>Blue Horizon Commercial</v>
      </c>
      <c r="W1334" s="1" t="str">
        <f t="shared" si="83"/>
        <v>2026-03</v>
      </c>
    </row>
    <row r="1335" spans="1:23">
      <c r="A1335" s="1" t="s">
        <v>2496</v>
      </c>
      <c r="B1335" s="1" t="s">
        <v>2497</v>
      </c>
      <c r="C1335" s="1" t="s">
        <v>60</v>
      </c>
      <c r="D1335" s="1" t="s">
        <v>19</v>
      </c>
      <c r="E1335" s="1" t="s">
        <v>88</v>
      </c>
      <c r="F1335">
        <v>1</v>
      </c>
      <c r="G1335" s="2">
        <v>46218</v>
      </c>
      <c r="H1335" s="2">
        <v>46220</v>
      </c>
      <c r="I1335">
        <v>266.16000000000003</v>
      </c>
      <c r="J1335">
        <v>108.04</v>
      </c>
      <c r="K1335">
        <v>108.04</v>
      </c>
      <c r="L1335">
        <v>0</v>
      </c>
      <c r="M1335" s="1" t="s">
        <v>21</v>
      </c>
      <c r="N1335" s="1" t="s">
        <v>22</v>
      </c>
      <c r="O1335" s="2">
        <v>46252</v>
      </c>
      <c r="P1335" s="2">
        <v>46252</v>
      </c>
      <c r="Q1335">
        <f>_xlfn.XLOOKUP(E1335,CPT!$A$2:$A$13,CPT!$D$2:$D$13)</f>
        <v>260</v>
      </c>
      <c r="R1335" s="1">
        <f>_xlfn.XLOOKUP(C1335,Contract!$A$2:$A$9,Contract!$B$2:$B$9)</f>
        <v>0.45</v>
      </c>
      <c r="S1335" s="1">
        <f t="shared" si="80"/>
        <v>117</v>
      </c>
      <c r="T1335" s="1">
        <f t="shared" si="81"/>
        <v>8.9599999999999937</v>
      </c>
      <c r="U1335" s="1" t="str">
        <f t="shared" si="82"/>
        <v>Underpaid</v>
      </c>
      <c r="V1335" s="1" t="str">
        <f>_xlfn.XLOOKUP(C1335,Payers!$A$2:$A$9,Payers!$B$2:$B$9)</f>
        <v>Blue Horizon Commercial</v>
      </c>
      <c r="W1335" s="1" t="str">
        <f t="shared" si="83"/>
        <v>2026-07</v>
      </c>
    </row>
    <row r="1336" spans="1:23">
      <c r="A1336" s="1" t="s">
        <v>2498</v>
      </c>
      <c r="B1336" s="1" t="s">
        <v>1262</v>
      </c>
      <c r="C1336" s="1" t="s">
        <v>60</v>
      </c>
      <c r="D1336" s="1" t="s">
        <v>19</v>
      </c>
      <c r="E1336" s="1" t="s">
        <v>41</v>
      </c>
      <c r="F1336">
        <v>1</v>
      </c>
      <c r="G1336" s="2">
        <v>46198</v>
      </c>
      <c r="H1336" s="2">
        <v>46202</v>
      </c>
      <c r="I1336">
        <v>38.86</v>
      </c>
      <c r="J1336">
        <v>19.350000000000001</v>
      </c>
      <c r="K1336">
        <v>15.48</v>
      </c>
      <c r="L1336">
        <v>3.87</v>
      </c>
      <c r="M1336" s="1" t="s">
        <v>21</v>
      </c>
      <c r="N1336" s="1" t="s">
        <v>22</v>
      </c>
      <c r="O1336" s="2">
        <v>46223</v>
      </c>
      <c r="P1336" s="2">
        <v>46223</v>
      </c>
      <c r="Q1336">
        <f>_xlfn.XLOOKUP(E1336,CPT!$A$2:$A$13,CPT!$D$2:$D$13)</f>
        <v>38</v>
      </c>
      <c r="R1336" s="1">
        <f>_xlfn.XLOOKUP(C1336,Contract!$A$2:$A$9,Contract!$B$2:$B$9)</f>
        <v>0.45</v>
      </c>
      <c r="S1336" s="1">
        <f t="shared" si="80"/>
        <v>17.100000000000001</v>
      </c>
      <c r="T1336" s="1">
        <f t="shared" si="81"/>
        <v>-2.25</v>
      </c>
      <c r="U1336" s="1" t="str">
        <f t="shared" si="82"/>
        <v>OK</v>
      </c>
      <c r="V1336" s="1" t="str">
        <f>_xlfn.XLOOKUP(C1336,Payers!$A$2:$A$9,Payers!$B$2:$B$9)</f>
        <v>Blue Horizon Commercial</v>
      </c>
      <c r="W1336" s="1" t="str">
        <f t="shared" si="83"/>
        <v>2026-06</v>
      </c>
    </row>
    <row r="1337" spans="1:23">
      <c r="A1337" s="1" t="s">
        <v>2499</v>
      </c>
      <c r="B1337" s="1" t="s">
        <v>631</v>
      </c>
      <c r="C1337" s="1" t="s">
        <v>60</v>
      </c>
      <c r="D1337" s="1" t="s">
        <v>19</v>
      </c>
      <c r="E1337" s="1" t="s">
        <v>41</v>
      </c>
      <c r="F1337">
        <v>1</v>
      </c>
      <c r="G1337" s="2">
        <v>46201</v>
      </c>
      <c r="H1337" s="2">
        <v>46202</v>
      </c>
      <c r="I1337">
        <v>37.53</v>
      </c>
      <c r="J1337">
        <v>16.420000000000002</v>
      </c>
      <c r="K1337">
        <v>14.78</v>
      </c>
      <c r="L1337">
        <v>1.64</v>
      </c>
      <c r="M1337" s="1" t="s">
        <v>21</v>
      </c>
      <c r="N1337" s="1" t="s">
        <v>22</v>
      </c>
      <c r="O1337" s="2">
        <v>46230</v>
      </c>
      <c r="P1337" s="2">
        <v>46230</v>
      </c>
      <c r="Q1337">
        <f>_xlfn.XLOOKUP(E1337,CPT!$A$2:$A$13,CPT!$D$2:$D$13)</f>
        <v>38</v>
      </c>
      <c r="R1337" s="1">
        <f>_xlfn.XLOOKUP(C1337,Contract!$A$2:$A$9,Contract!$B$2:$B$9)</f>
        <v>0.45</v>
      </c>
      <c r="S1337" s="1">
        <f t="shared" si="80"/>
        <v>17.100000000000001</v>
      </c>
      <c r="T1337" s="1">
        <f t="shared" si="81"/>
        <v>0.67999999999999972</v>
      </c>
      <c r="U1337" s="1" t="str">
        <f t="shared" si="82"/>
        <v>OK</v>
      </c>
      <c r="V1337" s="1" t="str">
        <f>_xlfn.XLOOKUP(C1337,Payers!$A$2:$A$9,Payers!$B$2:$B$9)</f>
        <v>Blue Horizon Commercial</v>
      </c>
      <c r="W1337" s="1" t="str">
        <f t="shared" si="83"/>
        <v>2026-06</v>
      </c>
    </row>
    <row r="1338" spans="1:23">
      <c r="A1338" s="1" t="s">
        <v>2500</v>
      </c>
      <c r="B1338" s="1" t="s">
        <v>2501</v>
      </c>
      <c r="C1338" s="1" t="s">
        <v>76</v>
      </c>
      <c r="D1338" s="1" t="s">
        <v>19</v>
      </c>
      <c r="E1338" s="1" t="s">
        <v>20</v>
      </c>
      <c r="F1338">
        <v>1</v>
      </c>
      <c r="G1338" s="2">
        <v>46028</v>
      </c>
      <c r="H1338" s="2">
        <v>46033</v>
      </c>
      <c r="I1338">
        <v>147.15</v>
      </c>
      <c r="J1338">
        <v>69.06</v>
      </c>
      <c r="K1338">
        <v>69.06</v>
      </c>
      <c r="L1338">
        <v>0</v>
      </c>
      <c r="M1338" s="1" t="s">
        <v>21</v>
      </c>
      <c r="N1338" s="1" t="s">
        <v>22</v>
      </c>
      <c r="O1338" s="2">
        <v>46043</v>
      </c>
      <c r="P1338" s="2">
        <v>46043</v>
      </c>
      <c r="Q1338">
        <f>_xlfn.XLOOKUP(E1338,CPT!$A$2:$A$13,CPT!$D$2:$D$13)</f>
        <v>145</v>
      </c>
      <c r="R1338" s="1">
        <f>_xlfn.XLOOKUP(C1338,Contract!$A$2:$A$9,Contract!$B$2:$B$9)</f>
        <v>0.43</v>
      </c>
      <c r="S1338" s="1">
        <f t="shared" si="80"/>
        <v>62.35</v>
      </c>
      <c r="T1338" s="1">
        <f t="shared" si="81"/>
        <v>-6.7100000000000009</v>
      </c>
      <c r="U1338" s="1" t="str">
        <f t="shared" si="82"/>
        <v>OK</v>
      </c>
      <c r="V1338" s="1" t="str">
        <f>_xlfn.XLOOKUP(C1338,Payers!$A$2:$A$9,Payers!$B$2:$B$9)</f>
        <v>Summit Health Commercial</v>
      </c>
      <c r="W1338" s="1" t="str">
        <f t="shared" si="83"/>
        <v>2026-01</v>
      </c>
    </row>
    <row r="1339" spans="1:23">
      <c r="A1339" s="1" t="s">
        <v>2502</v>
      </c>
      <c r="B1339" s="1" t="s">
        <v>2503</v>
      </c>
      <c r="C1339" s="1" t="s">
        <v>60</v>
      </c>
      <c r="D1339" s="1" t="s">
        <v>37</v>
      </c>
      <c r="E1339" s="1" t="s">
        <v>38</v>
      </c>
      <c r="F1339">
        <v>5</v>
      </c>
      <c r="G1339" s="2">
        <v>45954</v>
      </c>
      <c r="H1339" s="2">
        <v>45955</v>
      </c>
      <c r="I1339">
        <v>7330.07</v>
      </c>
      <c r="J1339">
        <v>3769.97</v>
      </c>
      <c r="K1339">
        <v>3769.97</v>
      </c>
      <c r="L1339">
        <v>0</v>
      </c>
      <c r="M1339" s="1" t="s">
        <v>21</v>
      </c>
      <c r="N1339" s="1" t="s">
        <v>22</v>
      </c>
      <c r="O1339" s="2">
        <v>45972</v>
      </c>
      <c r="P1339" s="2">
        <v>45972</v>
      </c>
      <c r="Q1339">
        <f>_xlfn.XLOOKUP(E1339,CPT!$A$2:$A$13,CPT!$D$2:$D$13)</f>
        <v>1450</v>
      </c>
      <c r="R1339" s="1">
        <f>_xlfn.XLOOKUP(C1339,Contract!$A$2:$A$9,Contract!$B$2:$B$9)</f>
        <v>0.45</v>
      </c>
      <c r="S1339" s="1">
        <f t="shared" si="80"/>
        <v>3262.5</v>
      </c>
      <c r="T1339" s="1">
        <f t="shared" si="81"/>
        <v>-507.4699999999998</v>
      </c>
      <c r="U1339" s="1" t="str">
        <f t="shared" si="82"/>
        <v>OK</v>
      </c>
      <c r="V1339" s="1" t="str">
        <f>_xlfn.XLOOKUP(C1339,Payers!$A$2:$A$9,Payers!$B$2:$B$9)</f>
        <v>Blue Horizon Commercial</v>
      </c>
      <c r="W1339" s="1" t="str">
        <f t="shared" si="83"/>
        <v>2025-10</v>
      </c>
    </row>
    <row r="1340" spans="1:23">
      <c r="A1340" s="1" t="s">
        <v>2504</v>
      </c>
      <c r="B1340" s="1" t="s">
        <v>2505</v>
      </c>
      <c r="C1340" s="1" t="s">
        <v>36</v>
      </c>
      <c r="D1340" s="1" t="s">
        <v>26</v>
      </c>
      <c r="E1340" s="1" t="s">
        <v>88</v>
      </c>
      <c r="F1340">
        <v>1</v>
      </c>
      <c r="G1340" s="2">
        <v>45938</v>
      </c>
      <c r="H1340" s="2">
        <v>45940</v>
      </c>
      <c r="I1340">
        <v>258.64999999999998</v>
      </c>
      <c r="J1340">
        <v>62.17</v>
      </c>
      <c r="K1340">
        <v>55.95</v>
      </c>
      <c r="L1340">
        <v>6.22</v>
      </c>
      <c r="M1340" s="1" t="s">
        <v>21</v>
      </c>
      <c r="N1340" s="1" t="s">
        <v>22</v>
      </c>
      <c r="O1340" s="2">
        <v>45976</v>
      </c>
      <c r="P1340" s="2">
        <v>45976</v>
      </c>
      <c r="Q1340">
        <f>_xlfn.XLOOKUP(E1340,CPT!$A$2:$A$13,CPT!$D$2:$D$13)</f>
        <v>260</v>
      </c>
      <c r="R1340" s="1">
        <f>_xlfn.XLOOKUP(C1340,Contract!$A$2:$A$9,Contract!$B$2:$B$9)</f>
        <v>0.27</v>
      </c>
      <c r="S1340" s="1">
        <f t="shared" si="80"/>
        <v>70.2</v>
      </c>
      <c r="T1340" s="1">
        <f t="shared" si="81"/>
        <v>8.0300000000000011</v>
      </c>
      <c r="U1340" s="1" t="str">
        <f t="shared" si="82"/>
        <v>Underpaid</v>
      </c>
      <c r="V1340" s="1" t="str">
        <f>_xlfn.XLOOKUP(C1340,Payers!$A$2:$A$9,Payers!$B$2:$B$9)</f>
        <v>Florida Medicaid</v>
      </c>
      <c r="W1340" s="1" t="str">
        <f t="shared" si="83"/>
        <v>2025-10</v>
      </c>
    </row>
    <row r="1341" spans="1:23">
      <c r="A1341" s="1" t="s">
        <v>2506</v>
      </c>
      <c r="B1341" s="1" t="s">
        <v>2507</v>
      </c>
      <c r="C1341" s="1" t="s">
        <v>25</v>
      </c>
      <c r="D1341" s="1" t="s">
        <v>30</v>
      </c>
      <c r="E1341" s="1" t="s">
        <v>91</v>
      </c>
      <c r="F1341">
        <v>1</v>
      </c>
      <c r="G1341" s="2">
        <v>46279</v>
      </c>
      <c r="H1341" s="2">
        <v>46280</v>
      </c>
      <c r="I1341">
        <v>57.8</v>
      </c>
      <c r="J1341">
        <v>19.86</v>
      </c>
      <c r="K1341">
        <v>19.86</v>
      </c>
      <c r="L1341">
        <v>0</v>
      </c>
      <c r="M1341" s="1" t="s">
        <v>21</v>
      </c>
      <c r="N1341" s="1" t="s">
        <v>22</v>
      </c>
      <c r="O1341" s="2">
        <v>46295</v>
      </c>
      <c r="P1341" s="2">
        <v>46295</v>
      </c>
      <c r="Q1341">
        <f>_xlfn.XLOOKUP(E1341,CPT!$A$2:$A$13,CPT!$D$2:$D$13)</f>
        <v>58</v>
      </c>
      <c r="R1341" s="1">
        <f>_xlfn.XLOOKUP(C1341,Contract!$A$2:$A$9,Contract!$B$2:$B$9)</f>
        <v>0.36</v>
      </c>
      <c r="S1341" s="1">
        <f t="shared" si="80"/>
        <v>20.88</v>
      </c>
      <c r="T1341" s="1">
        <f t="shared" si="81"/>
        <v>1.0199999999999996</v>
      </c>
      <c r="U1341" s="1" t="str">
        <f t="shared" si="82"/>
        <v>OK</v>
      </c>
      <c r="V1341" s="1" t="str">
        <f>_xlfn.XLOOKUP(C1341,Payers!$A$2:$A$9,Payers!$B$2:$B$9)</f>
        <v>Medicare Part B</v>
      </c>
      <c r="W1341" s="1" t="str">
        <f t="shared" si="83"/>
        <v>2026-09</v>
      </c>
    </row>
    <row r="1342" spans="1:23">
      <c r="A1342" s="1" t="s">
        <v>2508</v>
      </c>
      <c r="B1342" s="1" t="s">
        <v>2509</v>
      </c>
      <c r="C1342" s="1" t="s">
        <v>52</v>
      </c>
      <c r="D1342" s="1" t="s">
        <v>19</v>
      </c>
      <c r="E1342" s="1" t="s">
        <v>88</v>
      </c>
      <c r="F1342">
        <v>1</v>
      </c>
      <c r="G1342" s="2">
        <v>46060</v>
      </c>
      <c r="H1342" s="2">
        <v>46063</v>
      </c>
      <c r="I1342">
        <v>252.25</v>
      </c>
      <c r="M1342" s="1" t="s">
        <v>32</v>
      </c>
      <c r="N1342" s="1" t="s">
        <v>281</v>
      </c>
      <c r="O1342" s="2">
        <v>46097</v>
      </c>
      <c r="P1342" s="2"/>
      <c r="Q1342">
        <f>_xlfn.XLOOKUP(E1342,CPT!$A$2:$A$13,CPT!$D$2:$D$13)</f>
        <v>260</v>
      </c>
      <c r="R1342" s="1">
        <f>_xlfn.XLOOKUP(C1342,Contract!$A$2:$A$9,Contract!$B$2:$B$9)</f>
        <v>0.47</v>
      </c>
      <c r="S1342" s="1">
        <f t="shared" si="80"/>
        <v>122.2</v>
      </c>
      <c r="T1342" s="1" t="str">
        <f t="shared" si="81"/>
        <v/>
      </c>
      <c r="U1342" s="1" t="str">
        <f t="shared" si="82"/>
        <v/>
      </c>
      <c r="V1342" s="1" t="str">
        <f>_xlfn.XLOOKUP(C1342,Payers!$A$2:$A$9,Payers!$B$2:$B$9)</f>
        <v>Keystone Commercial PPO</v>
      </c>
      <c r="W1342" s="1" t="str">
        <f t="shared" si="83"/>
        <v>2026-02</v>
      </c>
    </row>
    <row r="1343" spans="1:23">
      <c r="A1343" s="1" t="s">
        <v>2510</v>
      </c>
      <c r="B1343" s="1" t="s">
        <v>2511</v>
      </c>
      <c r="C1343" s="1" t="s">
        <v>60</v>
      </c>
      <c r="D1343" s="1" t="s">
        <v>26</v>
      </c>
      <c r="E1343" s="1" t="s">
        <v>44</v>
      </c>
      <c r="F1343">
        <v>1</v>
      </c>
      <c r="G1343" s="2">
        <v>46202</v>
      </c>
      <c r="H1343" s="2">
        <v>46205</v>
      </c>
      <c r="I1343">
        <v>4674.8</v>
      </c>
      <c r="J1343">
        <v>1923.23</v>
      </c>
      <c r="K1343">
        <v>1923.23</v>
      </c>
      <c r="L1343">
        <v>0</v>
      </c>
      <c r="M1343" s="1" t="s">
        <v>21</v>
      </c>
      <c r="N1343" s="1" t="s">
        <v>22</v>
      </c>
      <c r="O1343" s="2">
        <v>46234</v>
      </c>
      <c r="P1343" s="2">
        <v>46234</v>
      </c>
      <c r="Q1343">
        <f>_xlfn.XLOOKUP(E1343,CPT!$A$2:$A$13,CPT!$D$2:$D$13)</f>
        <v>4800</v>
      </c>
      <c r="R1343" s="1">
        <f>_xlfn.XLOOKUP(C1343,Contract!$A$2:$A$9,Contract!$B$2:$B$9)</f>
        <v>0.45</v>
      </c>
      <c r="S1343" s="1">
        <f t="shared" si="80"/>
        <v>2160</v>
      </c>
      <c r="T1343" s="1">
        <f t="shared" si="81"/>
        <v>236.76999999999998</v>
      </c>
      <c r="U1343" s="1" t="str">
        <f t="shared" si="82"/>
        <v>Underpaid</v>
      </c>
      <c r="V1343" s="1" t="str">
        <f>_xlfn.XLOOKUP(C1343,Payers!$A$2:$A$9,Payers!$B$2:$B$9)</f>
        <v>Blue Horizon Commercial</v>
      </c>
      <c r="W1343" s="1" t="str">
        <f t="shared" si="83"/>
        <v>2026-06</v>
      </c>
    </row>
    <row r="1344" spans="1:23">
      <c r="A1344" s="1" t="s">
        <v>2512</v>
      </c>
      <c r="B1344" s="1" t="s">
        <v>758</v>
      </c>
      <c r="C1344" s="1" t="s">
        <v>79</v>
      </c>
      <c r="D1344" s="1" t="s">
        <v>30</v>
      </c>
      <c r="E1344" s="1" t="s">
        <v>91</v>
      </c>
      <c r="F1344">
        <v>1</v>
      </c>
      <c r="G1344" s="2">
        <v>46069</v>
      </c>
      <c r="H1344" s="2">
        <v>46072</v>
      </c>
      <c r="I1344">
        <v>57.93</v>
      </c>
      <c r="J1344">
        <v>57.93</v>
      </c>
      <c r="K1344">
        <v>57.93</v>
      </c>
      <c r="L1344">
        <v>0</v>
      </c>
      <c r="M1344" s="1" t="s">
        <v>21</v>
      </c>
      <c r="N1344" s="1" t="s">
        <v>22</v>
      </c>
      <c r="O1344" s="2">
        <v>46133</v>
      </c>
      <c r="P1344" s="2">
        <v>46133</v>
      </c>
      <c r="Q1344">
        <f>_xlfn.XLOOKUP(E1344,CPT!$A$2:$A$13,CPT!$D$2:$D$13)</f>
        <v>58</v>
      </c>
      <c r="R1344" s="1">
        <f>_xlfn.XLOOKUP(C1344,Contract!$A$2:$A$9,Contract!$B$2:$B$9)</f>
        <v>1</v>
      </c>
      <c r="S1344" s="1">
        <f t="shared" si="80"/>
        <v>58</v>
      </c>
      <c r="T1344" s="1">
        <f t="shared" si="81"/>
        <v>7.0000000000000284E-2</v>
      </c>
      <c r="U1344" s="1" t="str">
        <f t="shared" si="82"/>
        <v>OK</v>
      </c>
      <c r="V1344" s="1" t="str">
        <f>_xlfn.XLOOKUP(C1344,Payers!$A$2:$A$9,Payers!$B$2:$B$9)</f>
        <v>Self-Pay</v>
      </c>
      <c r="W1344" s="1" t="str">
        <f t="shared" si="83"/>
        <v>2026-02</v>
      </c>
    </row>
    <row r="1345" spans="1:23">
      <c r="A1345" s="1" t="s">
        <v>2513</v>
      </c>
      <c r="B1345" s="1" t="s">
        <v>2514</v>
      </c>
      <c r="C1345" s="1" t="s">
        <v>60</v>
      </c>
      <c r="D1345" s="1" t="s">
        <v>19</v>
      </c>
      <c r="E1345" s="1" t="s">
        <v>57</v>
      </c>
      <c r="F1345">
        <v>1</v>
      </c>
      <c r="G1345" s="2">
        <v>46120</v>
      </c>
      <c r="H1345" s="2">
        <v>46125</v>
      </c>
      <c r="I1345">
        <v>210.28</v>
      </c>
      <c r="J1345">
        <v>99.29</v>
      </c>
      <c r="K1345">
        <v>89.36</v>
      </c>
      <c r="L1345">
        <v>9.93</v>
      </c>
      <c r="M1345" s="1" t="s">
        <v>21</v>
      </c>
      <c r="N1345" s="1" t="s">
        <v>22</v>
      </c>
      <c r="O1345" s="2">
        <v>46146</v>
      </c>
      <c r="P1345" s="2">
        <v>46146</v>
      </c>
      <c r="Q1345">
        <f>_xlfn.XLOOKUP(E1345,CPT!$A$2:$A$13,CPT!$D$2:$D$13)</f>
        <v>210</v>
      </c>
      <c r="R1345" s="1">
        <f>_xlfn.XLOOKUP(C1345,Contract!$A$2:$A$9,Contract!$B$2:$B$9)</f>
        <v>0.45</v>
      </c>
      <c r="S1345" s="1">
        <f t="shared" si="80"/>
        <v>94.5</v>
      </c>
      <c r="T1345" s="1">
        <f t="shared" si="81"/>
        <v>-4.7900000000000063</v>
      </c>
      <c r="U1345" s="1" t="str">
        <f t="shared" si="82"/>
        <v>OK</v>
      </c>
      <c r="V1345" s="1" t="str">
        <f>_xlfn.XLOOKUP(C1345,Payers!$A$2:$A$9,Payers!$B$2:$B$9)</f>
        <v>Blue Horizon Commercial</v>
      </c>
      <c r="W1345" s="1" t="str">
        <f t="shared" si="83"/>
        <v>2026-04</v>
      </c>
    </row>
    <row r="1346" spans="1:23">
      <c r="A1346" s="1" t="s">
        <v>2515</v>
      </c>
      <c r="B1346" s="1" t="s">
        <v>2516</v>
      </c>
      <c r="C1346" s="1" t="s">
        <v>25</v>
      </c>
      <c r="D1346" s="1" t="s">
        <v>19</v>
      </c>
      <c r="E1346" s="1" t="s">
        <v>20</v>
      </c>
      <c r="F1346">
        <v>1</v>
      </c>
      <c r="G1346" s="2">
        <v>45985</v>
      </c>
      <c r="H1346" s="2">
        <v>45987</v>
      </c>
      <c r="I1346">
        <v>142.75</v>
      </c>
      <c r="J1346">
        <v>55.51</v>
      </c>
      <c r="K1346">
        <v>55.51</v>
      </c>
      <c r="L1346">
        <v>0</v>
      </c>
      <c r="M1346" s="1" t="s">
        <v>21</v>
      </c>
      <c r="N1346" s="1" t="s">
        <v>22</v>
      </c>
      <c r="O1346" s="2">
        <v>46001</v>
      </c>
      <c r="P1346" s="2">
        <v>46001</v>
      </c>
      <c r="Q1346">
        <f>_xlfn.XLOOKUP(E1346,CPT!$A$2:$A$13,CPT!$D$2:$D$13)</f>
        <v>145</v>
      </c>
      <c r="R1346" s="1">
        <f>_xlfn.XLOOKUP(C1346,Contract!$A$2:$A$9,Contract!$B$2:$B$9)</f>
        <v>0.36</v>
      </c>
      <c r="S1346" s="1">
        <f t="shared" ref="S1346:S1409" si="84">ROUND(Q1346*F1346*R1346,2)</f>
        <v>52.2</v>
      </c>
      <c r="T1346" s="1">
        <f t="shared" ref="T1346:T1409" si="85">IF(M1346="Paid",S1346-J1346,"")</f>
        <v>-3.3099999999999952</v>
      </c>
      <c r="U1346" s="1" t="str">
        <f t="shared" ref="U1346:U1409" si="86">IF(M1346&lt;&gt;"Paid","",IF(T1346&gt;S1346*0.05,"Underpaid","OK"))</f>
        <v>OK</v>
      </c>
      <c r="V1346" s="1" t="str">
        <f>_xlfn.XLOOKUP(C1346,Payers!$A$2:$A$9,Payers!$B$2:$B$9)</f>
        <v>Medicare Part B</v>
      </c>
      <c r="W1346" s="1" t="str">
        <f t="shared" ref="W1346:W1409" si="87">TEXT(G1346,"yyyy-mm")</f>
        <v>2025-11</v>
      </c>
    </row>
    <row r="1347" spans="1:23">
      <c r="A1347" s="1" t="s">
        <v>2517</v>
      </c>
      <c r="B1347" s="1" t="s">
        <v>2518</v>
      </c>
      <c r="C1347" s="1" t="s">
        <v>60</v>
      </c>
      <c r="D1347" s="1" t="s">
        <v>19</v>
      </c>
      <c r="E1347" s="1" t="s">
        <v>20</v>
      </c>
      <c r="F1347">
        <v>1</v>
      </c>
      <c r="G1347" s="2">
        <v>45941</v>
      </c>
      <c r="H1347" s="2">
        <v>45946</v>
      </c>
      <c r="I1347">
        <v>143.5</v>
      </c>
      <c r="J1347">
        <v>65.94</v>
      </c>
      <c r="K1347">
        <v>65.94</v>
      </c>
      <c r="L1347">
        <v>0</v>
      </c>
      <c r="M1347" s="1" t="s">
        <v>21</v>
      </c>
      <c r="N1347" s="1" t="s">
        <v>22</v>
      </c>
      <c r="O1347" s="2">
        <v>45964</v>
      </c>
      <c r="P1347" s="2">
        <v>45964</v>
      </c>
      <c r="Q1347">
        <f>_xlfn.XLOOKUP(E1347,CPT!$A$2:$A$13,CPT!$D$2:$D$13)</f>
        <v>145</v>
      </c>
      <c r="R1347" s="1">
        <f>_xlfn.XLOOKUP(C1347,Contract!$A$2:$A$9,Contract!$B$2:$B$9)</f>
        <v>0.45</v>
      </c>
      <c r="S1347" s="1">
        <f t="shared" si="84"/>
        <v>65.25</v>
      </c>
      <c r="T1347" s="1">
        <f t="shared" si="85"/>
        <v>-0.68999999999999773</v>
      </c>
      <c r="U1347" s="1" t="str">
        <f t="shared" si="86"/>
        <v>OK</v>
      </c>
      <c r="V1347" s="1" t="str">
        <f>_xlfn.XLOOKUP(C1347,Payers!$A$2:$A$9,Payers!$B$2:$B$9)</f>
        <v>Blue Horizon Commercial</v>
      </c>
      <c r="W1347" s="1" t="str">
        <f t="shared" si="87"/>
        <v>2025-10</v>
      </c>
    </row>
    <row r="1348" spans="1:23">
      <c r="A1348" s="1" t="s">
        <v>2519</v>
      </c>
      <c r="B1348" s="1" t="s">
        <v>2520</v>
      </c>
      <c r="C1348" s="1" t="s">
        <v>18</v>
      </c>
      <c r="D1348" s="1" t="s">
        <v>26</v>
      </c>
      <c r="E1348" s="1" t="s">
        <v>88</v>
      </c>
      <c r="F1348">
        <v>1</v>
      </c>
      <c r="G1348" s="2">
        <v>46148</v>
      </c>
      <c r="H1348" s="2">
        <v>46155</v>
      </c>
      <c r="I1348">
        <v>256.12</v>
      </c>
      <c r="J1348">
        <v>101.89</v>
      </c>
      <c r="K1348">
        <v>91.7</v>
      </c>
      <c r="L1348">
        <v>10.19</v>
      </c>
      <c r="M1348" s="1" t="s">
        <v>21</v>
      </c>
      <c r="N1348" s="1" t="s">
        <v>22</v>
      </c>
      <c r="O1348" s="2">
        <v>46187</v>
      </c>
      <c r="P1348" s="2">
        <v>46187</v>
      </c>
      <c r="Q1348">
        <f>_xlfn.XLOOKUP(E1348,CPT!$A$2:$A$13,CPT!$D$2:$D$13)</f>
        <v>260</v>
      </c>
      <c r="R1348" s="1">
        <f>_xlfn.XLOOKUP(C1348,Contract!$A$2:$A$9,Contract!$B$2:$B$9)</f>
        <v>0.38</v>
      </c>
      <c r="S1348" s="1">
        <f t="shared" si="84"/>
        <v>98.8</v>
      </c>
      <c r="T1348" s="1">
        <f t="shared" si="85"/>
        <v>-3.0900000000000034</v>
      </c>
      <c r="U1348" s="1" t="str">
        <f t="shared" si="86"/>
        <v>OK</v>
      </c>
      <c r="V1348" s="1" t="str">
        <f>_xlfn.XLOOKUP(C1348,Payers!$A$2:$A$9,Payers!$B$2:$B$9)</f>
        <v>Sunshine Medicare Advantage</v>
      </c>
      <c r="W1348" s="1" t="str">
        <f t="shared" si="87"/>
        <v>2026-05</v>
      </c>
    </row>
    <row r="1349" spans="1:23">
      <c r="A1349" s="1" t="s">
        <v>2521</v>
      </c>
      <c r="B1349" s="1" t="s">
        <v>2522</v>
      </c>
      <c r="C1349" s="1" t="s">
        <v>47</v>
      </c>
      <c r="D1349" s="1" t="s">
        <v>19</v>
      </c>
      <c r="E1349" s="1" t="s">
        <v>57</v>
      </c>
      <c r="F1349">
        <v>1</v>
      </c>
      <c r="G1349" s="2">
        <v>46097</v>
      </c>
      <c r="H1349" s="2">
        <v>46099</v>
      </c>
      <c r="I1349">
        <v>204.28</v>
      </c>
      <c r="J1349">
        <v>52.4</v>
      </c>
      <c r="K1349">
        <v>47.16</v>
      </c>
      <c r="L1349">
        <v>5.24</v>
      </c>
      <c r="M1349" s="1" t="s">
        <v>21</v>
      </c>
      <c r="N1349" s="1" t="s">
        <v>22</v>
      </c>
      <c r="O1349" s="2">
        <v>46119</v>
      </c>
      <c r="P1349" s="2">
        <v>46119</v>
      </c>
      <c r="Q1349">
        <f>_xlfn.XLOOKUP(E1349,CPT!$A$2:$A$13,CPT!$D$2:$D$13)</f>
        <v>210</v>
      </c>
      <c r="R1349" s="1">
        <f>_xlfn.XLOOKUP(C1349,Contract!$A$2:$A$9,Contract!$B$2:$B$9)</f>
        <v>0.28000000000000003</v>
      </c>
      <c r="S1349" s="1">
        <f t="shared" si="84"/>
        <v>58.8</v>
      </c>
      <c r="T1349" s="1">
        <f t="shared" si="85"/>
        <v>6.3999999999999986</v>
      </c>
      <c r="U1349" s="1" t="str">
        <f t="shared" si="86"/>
        <v>Underpaid</v>
      </c>
      <c r="V1349" s="1" t="str">
        <f>_xlfn.XLOOKUP(C1349,Payers!$A$2:$A$9,Payers!$B$2:$B$9)</f>
        <v>Coastal Medicaid MCO</v>
      </c>
      <c r="W1349" s="1" t="str">
        <f t="shared" si="87"/>
        <v>2026-03</v>
      </c>
    </row>
    <row r="1350" spans="1:23">
      <c r="A1350" s="1" t="s">
        <v>2523</v>
      </c>
      <c r="B1350" s="1" t="s">
        <v>2524</v>
      </c>
      <c r="C1350" s="1" t="s">
        <v>60</v>
      </c>
      <c r="D1350" s="1" t="s">
        <v>26</v>
      </c>
      <c r="E1350" s="1" t="s">
        <v>27</v>
      </c>
      <c r="F1350">
        <v>1</v>
      </c>
      <c r="G1350" s="2">
        <v>45970</v>
      </c>
      <c r="H1350" s="2">
        <v>45980</v>
      </c>
      <c r="I1350">
        <v>234.29</v>
      </c>
      <c r="J1350">
        <v>117.45</v>
      </c>
      <c r="K1350">
        <v>117.45</v>
      </c>
      <c r="L1350">
        <v>0</v>
      </c>
      <c r="M1350" s="1" t="s">
        <v>21</v>
      </c>
      <c r="N1350" s="1" t="s">
        <v>22</v>
      </c>
      <c r="O1350" s="2">
        <v>46010</v>
      </c>
      <c r="P1350" s="2">
        <v>46010</v>
      </c>
      <c r="Q1350">
        <f>_xlfn.XLOOKUP(E1350,CPT!$A$2:$A$13,CPT!$D$2:$D$13)</f>
        <v>240</v>
      </c>
      <c r="R1350" s="1">
        <f>_xlfn.XLOOKUP(C1350,Contract!$A$2:$A$9,Contract!$B$2:$B$9)</f>
        <v>0.45</v>
      </c>
      <c r="S1350" s="1">
        <f t="shared" si="84"/>
        <v>108</v>
      </c>
      <c r="T1350" s="1">
        <f t="shared" si="85"/>
        <v>-9.4500000000000028</v>
      </c>
      <c r="U1350" s="1" t="str">
        <f t="shared" si="86"/>
        <v>OK</v>
      </c>
      <c r="V1350" s="1" t="str">
        <f>_xlfn.XLOOKUP(C1350,Payers!$A$2:$A$9,Payers!$B$2:$B$9)</f>
        <v>Blue Horizon Commercial</v>
      </c>
      <c r="W1350" s="1" t="str">
        <f t="shared" si="87"/>
        <v>2025-11</v>
      </c>
    </row>
    <row r="1351" spans="1:23">
      <c r="A1351" s="1" t="s">
        <v>2525</v>
      </c>
      <c r="B1351" s="1" t="s">
        <v>2162</v>
      </c>
      <c r="C1351" s="1" t="s">
        <v>52</v>
      </c>
      <c r="D1351" s="1" t="s">
        <v>37</v>
      </c>
      <c r="E1351" s="1" t="s">
        <v>57</v>
      </c>
      <c r="F1351">
        <v>1</v>
      </c>
      <c r="G1351" s="2">
        <v>46000</v>
      </c>
      <c r="H1351" s="2">
        <v>46001</v>
      </c>
      <c r="I1351">
        <v>206.48</v>
      </c>
      <c r="J1351">
        <v>83.5</v>
      </c>
      <c r="K1351">
        <v>83.5</v>
      </c>
      <c r="L1351">
        <v>0</v>
      </c>
      <c r="M1351" s="1" t="s">
        <v>21</v>
      </c>
      <c r="N1351" s="1" t="s">
        <v>22</v>
      </c>
      <c r="O1351" s="2">
        <v>46059</v>
      </c>
      <c r="P1351" s="2">
        <v>46059</v>
      </c>
      <c r="Q1351">
        <f>_xlfn.XLOOKUP(E1351,CPT!$A$2:$A$13,CPT!$D$2:$D$13)</f>
        <v>210</v>
      </c>
      <c r="R1351" s="1">
        <f>_xlfn.XLOOKUP(C1351,Contract!$A$2:$A$9,Contract!$B$2:$B$9)</f>
        <v>0.47</v>
      </c>
      <c r="S1351" s="1">
        <f t="shared" si="84"/>
        <v>98.7</v>
      </c>
      <c r="T1351" s="1">
        <f t="shared" si="85"/>
        <v>15.200000000000003</v>
      </c>
      <c r="U1351" s="1" t="str">
        <f t="shared" si="86"/>
        <v>Underpaid</v>
      </c>
      <c r="V1351" s="1" t="str">
        <f>_xlfn.XLOOKUP(C1351,Payers!$A$2:$A$9,Payers!$B$2:$B$9)</f>
        <v>Keystone Commercial PPO</v>
      </c>
      <c r="W1351" s="1" t="str">
        <f t="shared" si="87"/>
        <v>2025-12</v>
      </c>
    </row>
    <row r="1352" spans="1:23">
      <c r="A1352" s="1" t="s">
        <v>2526</v>
      </c>
      <c r="B1352" s="1" t="s">
        <v>2527</v>
      </c>
      <c r="C1352" s="1" t="s">
        <v>25</v>
      </c>
      <c r="D1352" s="1" t="s">
        <v>19</v>
      </c>
      <c r="E1352" s="1" t="s">
        <v>88</v>
      </c>
      <c r="F1352">
        <v>1</v>
      </c>
      <c r="G1352" s="2">
        <v>46161</v>
      </c>
      <c r="H1352" s="2">
        <v>46162</v>
      </c>
      <c r="I1352">
        <v>266.13</v>
      </c>
      <c r="J1352">
        <v>99.14</v>
      </c>
      <c r="K1352">
        <v>99.14</v>
      </c>
      <c r="L1352">
        <v>0</v>
      </c>
      <c r="M1352" s="1" t="s">
        <v>21</v>
      </c>
      <c r="N1352" s="1" t="s">
        <v>22</v>
      </c>
      <c r="O1352" s="2">
        <v>46183</v>
      </c>
      <c r="P1352" s="2">
        <v>46183</v>
      </c>
      <c r="Q1352">
        <f>_xlfn.XLOOKUP(E1352,CPT!$A$2:$A$13,CPT!$D$2:$D$13)</f>
        <v>260</v>
      </c>
      <c r="R1352" s="1">
        <f>_xlfn.XLOOKUP(C1352,Contract!$A$2:$A$9,Contract!$B$2:$B$9)</f>
        <v>0.36</v>
      </c>
      <c r="S1352" s="1">
        <f t="shared" si="84"/>
        <v>93.6</v>
      </c>
      <c r="T1352" s="1">
        <f t="shared" si="85"/>
        <v>-5.5400000000000063</v>
      </c>
      <c r="U1352" s="1" t="str">
        <f t="shared" si="86"/>
        <v>OK</v>
      </c>
      <c r="V1352" s="1" t="str">
        <f>_xlfn.XLOOKUP(C1352,Payers!$A$2:$A$9,Payers!$B$2:$B$9)</f>
        <v>Medicare Part B</v>
      </c>
      <c r="W1352" s="1" t="str">
        <f t="shared" si="87"/>
        <v>2026-05</v>
      </c>
    </row>
    <row r="1353" spans="1:23">
      <c r="A1353" s="1" t="s">
        <v>2528</v>
      </c>
      <c r="B1353" s="1" t="s">
        <v>2529</v>
      </c>
      <c r="C1353" s="1" t="s">
        <v>25</v>
      </c>
      <c r="D1353" s="1" t="s">
        <v>19</v>
      </c>
      <c r="E1353" s="1" t="s">
        <v>88</v>
      </c>
      <c r="F1353">
        <v>1</v>
      </c>
      <c r="G1353" s="2">
        <v>46267</v>
      </c>
      <c r="H1353" s="2">
        <v>46273</v>
      </c>
      <c r="I1353">
        <v>264.01</v>
      </c>
      <c r="J1353">
        <v>94.73</v>
      </c>
      <c r="K1353">
        <v>94.73</v>
      </c>
      <c r="L1353">
        <v>0</v>
      </c>
      <c r="M1353" s="1" t="s">
        <v>21</v>
      </c>
      <c r="N1353" s="1" t="s">
        <v>22</v>
      </c>
      <c r="O1353" s="2">
        <v>46293</v>
      </c>
      <c r="P1353" s="2">
        <v>46293</v>
      </c>
      <c r="Q1353">
        <f>_xlfn.XLOOKUP(E1353,CPT!$A$2:$A$13,CPT!$D$2:$D$13)</f>
        <v>260</v>
      </c>
      <c r="R1353" s="1">
        <f>_xlfn.XLOOKUP(C1353,Contract!$A$2:$A$9,Contract!$B$2:$B$9)</f>
        <v>0.36</v>
      </c>
      <c r="S1353" s="1">
        <f t="shared" si="84"/>
        <v>93.6</v>
      </c>
      <c r="T1353" s="1">
        <f t="shared" si="85"/>
        <v>-1.1300000000000097</v>
      </c>
      <c r="U1353" s="1" t="str">
        <f t="shared" si="86"/>
        <v>OK</v>
      </c>
      <c r="V1353" s="1" t="str">
        <f>_xlfn.XLOOKUP(C1353,Payers!$A$2:$A$9,Payers!$B$2:$B$9)</f>
        <v>Medicare Part B</v>
      </c>
      <c r="W1353" s="1" t="str">
        <f t="shared" si="87"/>
        <v>2026-09</v>
      </c>
    </row>
    <row r="1354" spans="1:23">
      <c r="A1354" s="1" t="s">
        <v>2530</v>
      </c>
      <c r="B1354" s="1" t="s">
        <v>2148</v>
      </c>
      <c r="C1354" s="1" t="s">
        <v>60</v>
      </c>
      <c r="D1354" s="1" t="s">
        <v>19</v>
      </c>
      <c r="E1354" s="1" t="s">
        <v>88</v>
      </c>
      <c r="F1354">
        <v>1</v>
      </c>
      <c r="G1354" s="2">
        <v>46188</v>
      </c>
      <c r="H1354" s="2">
        <v>46199</v>
      </c>
      <c r="I1354">
        <v>261.29000000000002</v>
      </c>
      <c r="J1354">
        <v>114.91</v>
      </c>
      <c r="K1354">
        <v>91.93</v>
      </c>
      <c r="L1354">
        <v>22.98</v>
      </c>
      <c r="M1354" s="1" t="s">
        <v>21</v>
      </c>
      <c r="N1354" s="1" t="s">
        <v>22</v>
      </c>
      <c r="O1354" s="2">
        <v>46222</v>
      </c>
      <c r="P1354" s="2">
        <v>46222</v>
      </c>
      <c r="Q1354">
        <f>_xlfn.XLOOKUP(E1354,CPT!$A$2:$A$13,CPT!$D$2:$D$13)</f>
        <v>260</v>
      </c>
      <c r="R1354" s="1">
        <f>_xlfn.XLOOKUP(C1354,Contract!$A$2:$A$9,Contract!$B$2:$B$9)</f>
        <v>0.45</v>
      </c>
      <c r="S1354" s="1">
        <f t="shared" si="84"/>
        <v>117</v>
      </c>
      <c r="T1354" s="1">
        <f t="shared" si="85"/>
        <v>2.0900000000000034</v>
      </c>
      <c r="U1354" s="1" t="str">
        <f t="shared" si="86"/>
        <v>OK</v>
      </c>
      <c r="V1354" s="1" t="str">
        <f>_xlfn.XLOOKUP(C1354,Payers!$A$2:$A$9,Payers!$B$2:$B$9)</f>
        <v>Blue Horizon Commercial</v>
      </c>
      <c r="W1354" s="1" t="str">
        <f t="shared" si="87"/>
        <v>2026-06</v>
      </c>
    </row>
    <row r="1355" spans="1:23">
      <c r="A1355" s="1" t="s">
        <v>2531</v>
      </c>
      <c r="B1355" s="1" t="s">
        <v>2532</v>
      </c>
      <c r="C1355" s="1" t="s">
        <v>18</v>
      </c>
      <c r="D1355" s="1" t="s">
        <v>37</v>
      </c>
      <c r="E1355" s="1" t="s">
        <v>38</v>
      </c>
      <c r="F1355">
        <v>5</v>
      </c>
      <c r="G1355" s="2">
        <v>46252</v>
      </c>
      <c r="H1355" s="2">
        <v>46253</v>
      </c>
      <c r="I1355">
        <v>7322.77</v>
      </c>
      <c r="M1355" s="1" t="s">
        <v>69</v>
      </c>
      <c r="N1355" s="1" t="s">
        <v>22</v>
      </c>
      <c r="O1355" s="2"/>
      <c r="P1355" s="2"/>
      <c r="Q1355">
        <f>_xlfn.XLOOKUP(E1355,CPT!$A$2:$A$13,CPT!$D$2:$D$13)</f>
        <v>1450</v>
      </c>
      <c r="R1355" s="1">
        <f>_xlfn.XLOOKUP(C1355,Contract!$A$2:$A$9,Contract!$B$2:$B$9)</f>
        <v>0.38</v>
      </c>
      <c r="S1355" s="1">
        <f t="shared" si="84"/>
        <v>2755</v>
      </c>
      <c r="T1355" s="1" t="str">
        <f t="shared" si="85"/>
        <v/>
      </c>
      <c r="U1355" s="1" t="str">
        <f t="shared" si="86"/>
        <v/>
      </c>
      <c r="V1355" s="1" t="str">
        <f>_xlfn.XLOOKUP(C1355,Payers!$A$2:$A$9,Payers!$B$2:$B$9)</f>
        <v>Sunshine Medicare Advantage</v>
      </c>
      <c r="W1355" s="1" t="str">
        <f t="shared" si="87"/>
        <v>2026-08</v>
      </c>
    </row>
    <row r="1356" spans="1:23">
      <c r="A1356" s="1" t="s">
        <v>2533</v>
      </c>
      <c r="B1356" s="1" t="s">
        <v>2534</v>
      </c>
      <c r="C1356" s="1" t="s">
        <v>36</v>
      </c>
      <c r="D1356" s="1" t="s">
        <v>37</v>
      </c>
      <c r="E1356" s="1" t="s">
        <v>38</v>
      </c>
      <c r="F1356">
        <v>10</v>
      </c>
      <c r="G1356" s="2">
        <v>46032</v>
      </c>
      <c r="H1356" s="2">
        <v>46033</v>
      </c>
      <c r="I1356">
        <v>14321.65</v>
      </c>
      <c r="J1356">
        <v>4009.58</v>
      </c>
      <c r="K1356">
        <v>4009.58</v>
      </c>
      <c r="L1356">
        <v>0</v>
      </c>
      <c r="M1356" s="1" t="s">
        <v>21</v>
      </c>
      <c r="N1356" s="1" t="s">
        <v>22</v>
      </c>
      <c r="O1356" s="2">
        <v>46091</v>
      </c>
      <c r="P1356" s="2">
        <v>46091</v>
      </c>
      <c r="Q1356">
        <f>_xlfn.XLOOKUP(E1356,CPT!$A$2:$A$13,CPT!$D$2:$D$13)</f>
        <v>1450</v>
      </c>
      <c r="R1356" s="1">
        <f>_xlfn.XLOOKUP(C1356,Contract!$A$2:$A$9,Contract!$B$2:$B$9)</f>
        <v>0.27</v>
      </c>
      <c r="S1356" s="1">
        <f t="shared" si="84"/>
        <v>3915</v>
      </c>
      <c r="T1356" s="1">
        <f t="shared" si="85"/>
        <v>-94.579999999999927</v>
      </c>
      <c r="U1356" s="1" t="str">
        <f t="shared" si="86"/>
        <v>OK</v>
      </c>
      <c r="V1356" s="1" t="str">
        <f>_xlfn.XLOOKUP(C1356,Payers!$A$2:$A$9,Payers!$B$2:$B$9)</f>
        <v>Florida Medicaid</v>
      </c>
      <c r="W1356" s="1" t="str">
        <f t="shared" si="87"/>
        <v>2026-01</v>
      </c>
    </row>
    <row r="1357" spans="1:23">
      <c r="A1357" s="1" t="s">
        <v>2535</v>
      </c>
      <c r="B1357" s="1" t="s">
        <v>349</v>
      </c>
      <c r="C1357" s="1" t="s">
        <v>36</v>
      </c>
      <c r="D1357" s="1" t="s">
        <v>19</v>
      </c>
      <c r="E1357" s="1" t="s">
        <v>88</v>
      </c>
      <c r="F1357">
        <v>1</v>
      </c>
      <c r="G1357" s="2">
        <v>46152</v>
      </c>
      <c r="H1357" s="2">
        <v>46153</v>
      </c>
      <c r="I1357">
        <v>254.6</v>
      </c>
      <c r="J1357">
        <v>68.180000000000007</v>
      </c>
      <c r="K1357">
        <v>68.180000000000007</v>
      </c>
      <c r="L1357">
        <v>0</v>
      </c>
      <c r="M1357" s="1" t="s">
        <v>21</v>
      </c>
      <c r="N1357" s="1" t="s">
        <v>22</v>
      </c>
      <c r="O1357" s="2">
        <v>46196</v>
      </c>
      <c r="P1357" s="2">
        <v>46196</v>
      </c>
      <c r="Q1357">
        <f>_xlfn.XLOOKUP(E1357,CPT!$A$2:$A$13,CPT!$D$2:$D$13)</f>
        <v>260</v>
      </c>
      <c r="R1357" s="1">
        <f>_xlfn.XLOOKUP(C1357,Contract!$A$2:$A$9,Contract!$B$2:$B$9)</f>
        <v>0.27</v>
      </c>
      <c r="S1357" s="1">
        <f t="shared" si="84"/>
        <v>70.2</v>
      </c>
      <c r="T1357" s="1">
        <f t="shared" si="85"/>
        <v>2.019999999999996</v>
      </c>
      <c r="U1357" s="1" t="str">
        <f t="shared" si="86"/>
        <v>OK</v>
      </c>
      <c r="V1357" s="1" t="str">
        <f>_xlfn.XLOOKUP(C1357,Payers!$A$2:$A$9,Payers!$B$2:$B$9)</f>
        <v>Florida Medicaid</v>
      </c>
      <c r="W1357" s="1" t="str">
        <f t="shared" si="87"/>
        <v>2026-05</v>
      </c>
    </row>
    <row r="1358" spans="1:23">
      <c r="A1358" s="1" t="s">
        <v>2536</v>
      </c>
      <c r="B1358" s="1" t="s">
        <v>2537</v>
      </c>
      <c r="C1358" s="1" t="s">
        <v>18</v>
      </c>
      <c r="D1358" s="1" t="s">
        <v>19</v>
      </c>
      <c r="E1358" s="1" t="s">
        <v>57</v>
      </c>
      <c r="F1358">
        <v>1</v>
      </c>
      <c r="G1358" s="2">
        <v>46146</v>
      </c>
      <c r="H1358" s="2">
        <v>46152</v>
      </c>
      <c r="I1358">
        <v>205.07</v>
      </c>
      <c r="M1358" s="1" t="s">
        <v>32</v>
      </c>
      <c r="N1358" s="1" t="s">
        <v>33</v>
      </c>
      <c r="O1358" s="2">
        <v>46207</v>
      </c>
      <c r="P1358" s="2"/>
      <c r="Q1358">
        <f>_xlfn.XLOOKUP(E1358,CPT!$A$2:$A$13,CPT!$D$2:$D$13)</f>
        <v>210</v>
      </c>
      <c r="R1358" s="1">
        <f>_xlfn.XLOOKUP(C1358,Contract!$A$2:$A$9,Contract!$B$2:$B$9)</f>
        <v>0.38</v>
      </c>
      <c r="S1358" s="1">
        <f t="shared" si="84"/>
        <v>79.8</v>
      </c>
      <c r="T1358" s="1" t="str">
        <f t="shared" si="85"/>
        <v/>
      </c>
      <c r="U1358" s="1" t="str">
        <f t="shared" si="86"/>
        <v/>
      </c>
      <c r="V1358" s="1" t="str">
        <f>_xlfn.XLOOKUP(C1358,Payers!$A$2:$A$9,Payers!$B$2:$B$9)</f>
        <v>Sunshine Medicare Advantage</v>
      </c>
      <c r="W1358" s="1" t="str">
        <f t="shared" si="87"/>
        <v>2026-05</v>
      </c>
    </row>
    <row r="1359" spans="1:23">
      <c r="A1359" s="1" t="s">
        <v>2538</v>
      </c>
      <c r="B1359" s="1" t="s">
        <v>2539</v>
      </c>
      <c r="C1359" s="1" t="s">
        <v>25</v>
      </c>
      <c r="D1359" s="1" t="s">
        <v>37</v>
      </c>
      <c r="E1359" s="1" t="s">
        <v>57</v>
      </c>
      <c r="F1359">
        <v>1</v>
      </c>
      <c r="G1359" s="2">
        <v>46233</v>
      </c>
      <c r="H1359" s="2">
        <v>46243</v>
      </c>
      <c r="I1359">
        <v>215.03</v>
      </c>
      <c r="J1359">
        <v>86.72</v>
      </c>
      <c r="K1359">
        <v>86.72</v>
      </c>
      <c r="L1359">
        <v>0</v>
      </c>
      <c r="M1359" s="1" t="s">
        <v>21</v>
      </c>
      <c r="N1359" s="1" t="s">
        <v>22</v>
      </c>
      <c r="O1359" s="2">
        <v>46270</v>
      </c>
      <c r="P1359" s="2">
        <v>46270</v>
      </c>
      <c r="Q1359">
        <f>_xlfn.XLOOKUP(E1359,CPT!$A$2:$A$13,CPT!$D$2:$D$13)</f>
        <v>210</v>
      </c>
      <c r="R1359" s="1">
        <f>_xlfn.XLOOKUP(C1359,Contract!$A$2:$A$9,Contract!$B$2:$B$9)</f>
        <v>0.36</v>
      </c>
      <c r="S1359" s="1">
        <f t="shared" si="84"/>
        <v>75.599999999999994</v>
      </c>
      <c r="T1359" s="1">
        <f t="shared" si="85"/>
        <v>-11.120000000000005</v>
      </c>
      <c r="U1359" s="1" t="str">
        <f t="shared" si="86"/>
        <v>OK</v>
      </c>
      <c r="V1359" s="1" t="str">
        <f>_xlfn.XLOOKUP(C1359,Payers!$A$2:$A$9,Payers!$B$2:$B$9)</f>
        <v>Medicare Part B</v>
      </c>
      <c r="W1359" s="1" t="str">
        <f t="shared" si="87"/>
        <v>2026-07</v>
      </c>
    </row>
    <row r="1360" spans="1:23">
      <c r="A1360" s="1" t="s">
        <v>2540</v>
      </c>
      <c r="B1360" s="1" t="s">
        <v>2541</v>
      </c>
      <c r="C1360" s="1" t="s">
        <v>25</v>
      </c>
      <c r="D1360" s="1" t="s">
        <v>30</v>
      </c>
      <c r="E1360" s="1" t="s">
        <v>20</v>
      </c>
      <c r="F1360">
        <v>1</v>
      </c>
      <c r="G1360" s="2">
        <v>46041</v>
      </c>
      <c r="H1360" s="2">
        <v>46044</v>
      </c>
      <c r="I1360">
        <v>148.94999999999999</v>
      </c>
      <c r="J1360">
        <v>49.94</v>
      </c>
      <c r="K1360">
        <v>49.94</v>
      </c>
      <c r="L1360">
        <v>0</v>
      </c>
      <c r="M1360" s="1" t="s">
        <v>21</v>
      </c>
      <c r="N1360" s="1" t="s">
        <v>22</v>
      </c>
      <c r="O1360" s="2">
        <v>46061</v>
      </c>
      <c r="P1360" s="2">
        <v>46061</v>
      </c>
      <c r="Q1360">
        <f>_xlfn.XLOOKUP(E1360,CPT!$A$2:$A$13,CPT!$D$2:$D$13)</f>
        <v>145</v>
      </c>
      <c r="R1360" s="1">
        <f>_xlfn.XLOOKUP(C1360,Contract!$A$2:$A$9,Contract!$B$2:$B$9)</f>
        <v>0.36</v>
      </c>
      <c r="S1360" s="1">
        <f t="shared" si="84"/>
        <v>52.2</v>
      </c>
      <c r="T1360" s="1">
        <f t="shared" si="85"/>
        <v>2.2600000000000051</v>
      </c>
      <c r="U1360" s="1" t="str">
        <f t="shared" si="86"/>
        <v>OK</v>
      </c>
      <c r="V1360" s="1" t="str">
        <f>_xlfn.XLOOKUP(C1360,Payers!$A$2:$A$9,Payers!$B$2:$B$9)</f>
        <v>Medicare Part B</v>
      </c>
      <c r="W1360" s="1" t="str">
        <f t="shared" si="87"/>
        <v>2026-01</v>
      </c>
    </row>
    <row r="1361" spans="1:23">
      <c r="A1361" s="1" t="s">
        <v>2542</v>
      </c>
      <c r="B1361" s="1" t="s">
        <v>792</v>
      </c>
      <c r="C1361" s="1" t="s">
        <v>18</v>
      </c>
      <c r="D1361" s="1" t="s">
        <v>19</v>
      </c>
      <c r="E1361" s="1" t="s">
        <v>41</v>
      </c>
      <c r="F1361">
        <v>1</v>
      </c>
      <c r="G1361" s="2">
        <v>46169</v>
      </c>
      <c r="H1361" s="2">
        <v>46178</v>
      </c>
      <c r="I1361">
        <v>38.97</v>
      </c>
      <c r="M1361" s="1" t="s">
        <v>32</v>
      </c>
      <c r="N1361" s="1" t="s">
        <v>168</v>
      </c>
      <c r="O1361" s="2">
        <v>46240</v>
      </c>
      <c r="P1361" s="2"/>
      <c r="Q1361">
        <f>_xlfn.XLOOKUP(E1361,CPT!$A$2:$A$13,CPT!$D$2:$D$13)</f>
        <v>38</v>
      </c>
      <c r="R1361" s="1">
        <f>_xlfn.XLOOKUP(C1361,Contract!$A$2:$A$9,Contract!$B$2:$B$9)</f>
        <v>0.38</v>
      </c>
      <c r="S1361" s="1">
        <f t="shared" si="84"/>
        <v>14.44</v>
      </c>
      <c r="T1361" s="1" t="str">
        <f t="shared" si="85"/>
        <v/>
      </c>
      <c r="U1361" s="1" t="str">
        <f t="shared" si="86"/>
        <v/>
      </c>
      <c r="V1361" s="1" t="str">
        <f>_xlfn.XLOOKUP(C1361,Payers!$A$2:$A$9,Payers!$B$2:$B$9)</f>
        <v>Sunshine Medicare Advantage</v>
      </c>
      <c r="W1361" s="1" t="str">
        <f t="shared" si="87"/>
        <v>2026-05</v>
      </c>
    </row>
    <row r="1362" spans="1:23">
      <c r="A1362" s="1" t="s">
        <v>2543</v>
      </c>
      <c r="B1362" s="1" t="s">
        <v>215</v>
      </c>
      <c r="C1362" s="1" t="s">
        <v>25</v>
      </c>
      <c r="D1362" s="1" t="s">
        <v>19</v>
      </c>
      <c r="E1362" s="1" t="s">
        <v>20</v>
      </c>
      <c r="F1362">
        <v>1</v>
      </c>
      <c r="G1362" s="2">
        <v>46133</v>
      </c>
      <c r="H1362" s="2">
        <v>46137</v>
      </c>
      <c r="I1362">
        <v>148.56</v>
      </c>
      <c r="J1362">
        <v>47.41</v>
      </c>
      <c r="K1362">
        <v>47.41</v>
      </c>
      <c r="L1362">
        <v>0</v>
      </c>
      <c r="M1362" s="1" t="s">
        <v>21</v>
      </c>
      <c r="N1362" s="1" t="s">
        <v>22</v>
      </c>
      <c r="O1362" s="2">
        <v>46148</v>
      </c>
      <c r="P1362" s="2">
        <v>46148</v>
      </c>
      <c r="Q1362">
        <f>_xlfn.XLOOKUP(E1362,CPT!$A$2:$A$13,CPT!$D$2:$D$13)</f>
        <v>145</v>
      </c>
      <c r="R1362" s="1">
        <f>_xlfn.XLOOKUP(C1362,Contract!$A$2:$A$9,Contract!$B$2:$B$9)</f>
        <v>0.36</v>
      </c>
      <c r="S1362" s="1">
        <f t="shared" si="84"/>
        <v>52.2</v>
      </c>
      <c r="T1362" s="1">
        <f t="shared" si="85"/>
        <v>4.7900000000000063</v>
      </c>
      <c r="U1362" s="1" t="str">
        <f t="shared" si="86"/>
        <v>Underpaid</v>
      </c>
      <c r="V1362" s="1" t="str">
        <f>_xlfn.XLOOKUP(C1362,Payers!$A$2:$A$9,Payers!$B$2:$B$9)</f>
        <v>Medicare Part B</v>
      </c>
      <c r="W1362" s="1" t="str">
        <f t="shared" si="87"/>
        <v>2026-04</v>
      </c>
    </row>
    <row r="1363" spans="1:23">
      <c r="A1363" s="1" t="s">
        <v>2544</v>
      </c>
      <c r="B1363" s="1" t="s">
        <v>2545</v>
      </c>
      <c r="C1363" s="1" t="s">
        <v>52</v>
      </c>
      <c r="D1363" s="1" t="s">
        <v>26</v>
      </c>
      <c r="E1363" s="1" t="s">
        <v>88</v>
      </c>
      <c r="F1363">
        <v>1</v>
      </c>
      <c r="G1363" s="2">
        <v>46241</v>
      </c>
      <c r="H1363" s="2">
        <v>46242</v>
      </c>
      <c r="I1363">
        <v>260.68</v>
      </c>
      <c r="J1363">
        <v>107.21</v>
      </c>
      <c r="K1363">
        <v>107.21</v>
      </c>
      <c r="L1363">
        <v>0</v>
      </c>
      <c r="M1363" s="1" t="s">
        <v>21</v>
      </c>
      <c r="N1363" s="1" t="s">
        <v>22</v>
      </c>
      <c r="O1363" s="2">
        <v>46285</v>
      </c>
      <c r="P1363" s="2">
        <v>46285</v>
      </c>
      <c r="Q1363">
        <f>_xlfn.XLOOKUP(E1363,CPT!$A$2:$A$13,CPT!$D$2:$D$13)</f>
        <v>260</v>
      </c>
      <c r="R1363" s="1">
        <f>_xlfn.XLOOKUP(C1363,Contract!$A$2:$A$9,Contract!$B$2:$B$9)</f>
        <v>0.47</v>
      </c>
      <c r="S1363" s="1">
        <f t="shared" si="84"/>
        <v>122.2</v>
      </c>
      <c r="T1363" s="1">
        <f t="shared" si="85"/>
        <v>14.990000000000009</v>
      </c>
      <c r="U1363" s="1" t="str">
        <f t="shared" si="86"/>
        <v>Underpaid</v>
      </c>
      <c r="V1363" s="1" t="str">
        <f>_xlfn.XLOOKUP(C1363,Payers!$A$2:$A$9,Payers!$B$2:$B$9)</f>
        <v>Keystone Commercial PPO</v>
      </c>
      <c r="W1363" s="1" t="str">
        <f t="shared" si="87"/>
        <v>2026-08</v>
      </c>
    </row>
    <row r="1364" spans="1:23">
      <c r="A1364" s="1" t="s">
        <v>2546</v>
      </c>
      <c r="B1364" s="1" t="s">
        <v>2547</v>
      </c>
      <c r="C1364" s="1" t="s">
        <v>60</v>
      </c>
      <c r="D1364" s="1" t="s">
        <v>26</v>
      </c>
      <c r="E1364" s="1" t="s">
        <v>27</v>
      </c>
      <c r="F1364">
        <v>1</v>
      </c>
      <c r="G1364" s="2">
        <v>46022</v>
      </c>
      <c r="H1364" s="2">
        <v>46025</v>
      </c>
      <c r="I1364">
        <v>233.43</v>
      </c>
      <c r="J1364">
        <v>93.27</v>
      </c>
      <c r="K1364">
        <v>93.27</v>
      </c>
      <c r="L1364">
        <v>0</v>
      </c>
      <c r="M1364" s="1" t="s">
        <v>21</v>
      </c>
      <c r="N1364" s="1" t="s">
        <v>22</v>
      </c>
      <c r="O1364" s="2">
        <v>46056</v>
      </c>
      <c r="P1364" s="2">
        <v>46056</v>
      </c>
      <c r="Q1364">
        <f>_xlfn.XLOOKUP(E1364,CPT!$A$2:$A$13,CPT!$D$2:$D$13)</f>
        <v>240</v>
      </c>
      <c r="R1364" s="1">
        <f>_xlfn.XLOOKUP(C1364,Contract!$A$2:$A$9,Contract!$B$2:$B$9)</f>
        <v>0.45</v>
      </c>
      <c r="S1364" s="1">
        <f t="shared" si="84"/>
        <v>108</v>
      </c>
      <c r="T1364" s="1">
        <f t="shared" si="85"/>
        <v>14.730000000000004</v>
      </c>
      <c r="U1364" s="1" t="str">
        <f t="shared" si="86"/>
        <v>Underpaid</v>
      </c>
      <c r="V1364" s="1" t="str">
        <f>_xlfn.XLOOKUP(C1364,Payers!$A$2:$A$9,Payers!$B$2:$B$9)</f>
        <v>Blue Horizon Commercial</v>
      </c>
      <c r="W1364" s="1" t="str">
        <f t="shared" si="87"/>
        <v>2025-12</v>
      </c>
    </row>
    <row r="1365" spans="1:23">
      <c r="A1365" s="1" t="s">
        <v>2548</v>
      </c>
      <c r="B1365" s="1" t="s">
        <v>713</v>
      </c>
      <c r="C1365" s="1" t="s">
        <v>60</v>
      </c>
      <c r="D1365" s="1" t="s">
        <v>26</v>
      </c>
      <c r="E1365" s="1" t="s">
        <v>113</v>
      </c>
      <c r="F1365">
        <v>1</v>
      </c>
      <c r="G1365" s="2">
        <v>46255</v>
      </c>
      <c r="H1365" s="2">
        <v>46261</v>
      </c>
      <c r="I1365">
        <v>1052.94</v>
      </c>
      <c r="J1365">
        <v>424.39</v>
      </c>
      <c r="K1365">
        <v>381.95</v>
      </c>
      <c r="L1365">
        <v>42.44</v>
      </c>
      <c r="M1365" s="1" t="s">
        <v>21</v>
      </c>
      <c r="N1365" s="1" t="s">
        <v>22</v>
      </c>
      <c r="O1365" s="2">
        <v>46276</v>
      </c>
      <c r="P1365" s="2">
        <v>46276</v>
      </c>
      <c r="Q1365">
        <f>_xlfn.XLOOKUP(E1365,CPT!$A$2:$A$13,CPT!$D$2:$D$13)</f>
        <v>1050</v>
      </c>
      <c r="R1365" s="1">
        <f>_xlfn.XLOOKUP(C1365,Contract!$A$2:$A$9,Contract!$B$2:$B$9)</f>
        <v>0.45</v>
      </c>
      <c r="S1365" s="1">
        <f t="shared" si="84"/>
        <v>472.5</v>
      </c>
      <c r="T1365" s="1">
        <f t="shared" si="85"/>
        <v>48.110000000000014</v>
      </c>
      <c r="U1365" s="1" t="str">
        <f t="shared" si="86"/>
        <v>Underpaid</v>
      </c>
      <c r="V1365" s="1" t="str">
        <f>_xlfn.XLOOKUP(C1365,Payers!$A$2:$A$9,Payers!$B$2:$B$9)</f>
        <v>Blue Horizon Commercial</v>
      </c>
      <c r="W1365" s="1" t="str">
        <f t="shared" si="87"/>
        <v>2026-08</v>
      </c>
    </row>
    <row r="1366" spans="1:23">
      <c r="A1366" s="1" t="s">
        <v>2549</v>
      </c>
      <c r="B1366" s="1" t="s">
        <v>2550</v>
      </c>
      <c r="C1366" s="1" t="s">
        <v>18</v>
      </c>
      <c r="D1366" s="1" t="s">
        <v>26</v>
      </c>
      <c r="E1366" s="1" t="s">
        <v>88</v>
      </c>
      <c r="F1366">
        <v>1</v>
      </c>
      <c r="G1366" s="2">
        <v>45944</v>
      </c>
      <c r="H1366" s="2">
        <v>45949</v>
      </c>
      <c r="I1366">
        <v>264.29000000000002</v>
      </c>
      <c r="J1366">
        <v>108.11</v>
      </c>
      <c r="K1366">
        <v>108.11</v>
      </c>
      <c r="L1366">
        <v>0</v>
      </c>
      <c r="M1366" s="1" t="s">
        <v>21</v>
      </c>
      <c r="N1366" s="1" t="s">
        <v>22</v>
      </c>
      <c r="O1366" s="2">
        <v>46009</v>
      </c>
      <c r="P1366" s="2">
        <v>46009</v>
      </c>
      <c r="Q1366">
        <f>_xlfn.XLOOKUP(E1366,CPT!$A$2:$A$13,CPT!$D$2:$D$13)</f>
        <v>260</v>
      </c>
      <c r="R1366" s="1">
        <f>_xlfn.XLOOKUP(C1366,Contract!$A$2:$A$9,Contract!$B$2:$B$9)</f>
        <v>0.38</v>
      </c>
      <c r="S1366" s="1">
        <f t="shared" si="84"/>
        <v>98.8</v>
      </c>
      <c r="T1366" s="1">
        <f t="shared" si="85"/>
        <v>-9.3100000000000023</v>
      </c>
      <c r="U1366" s="1" t="str">
        <f t="shared" si="86"/>
        <v>OK</v>
      </c>
      <c r="V1366" s="1" t="str">
        <f>_xlfn.XLOOKUP(C1366,Payers!$A$2:$A$9,Payers!$B$2:$B$9)</f>
        <v>Sunshine Medicare Advantage</v>
      </c>
      <c r="W1366" s="1" t="str">
        <f t="shared" si="87"/>
        <v>2025-10</v>
      </c>
    </row>
    <row r="1367" spans="1:23">
      <c r="A1367" s="1" t="s">
        <v>2551</v>
      </c>
      <c r="B1367" s="1" t="s">
        <v>2247</v>
      </c>
      <c r="C1367" s="1" t="s">
        <v>60</v>
      </c>
      <c r="D1367" s="1" t="s">
        <v>37</v>
      </c>
      <c r="E1367" s="1" t="s">
        <v>48</v>
      </c>
      <c r="F1367">
        <v>1</v>
      </c>
      <c r="G1367" s="2">
        <v>45981</v>
      </c>
      <c r="H1367" s="2">
        <v>45990</v>
      </c>
      <c r="I1367">
        <v>418.46</v>
      </c>
      <c r="J1367">
        <v>162.37</v>
      </c>
      <c r="K1367">
        <v>162.37</v>
      </c>
      <c r="L1367">
        <v>0</v>
      </c>
      <c r="M1367" s="1" t="s">
        <v>21</v>
      </c>
      <c r="N1367" s="1" t="s">
        <v>22</v>
      </c>
      <c r="O1367" s="2">
        <v>46020</v>
      </c>
      <c r="P1367" s="2">
        <v>46020</v>
      </c>
      <c r="Q1367">
        <f>_xlfn.XLOOKUP(E1367,CPT!$A$2:$A$13,CPT!$D$2:$D$13)</f>
        <v>420</v>
      </c>
      <c r="R1367" s="1">
        <f>_xlfn.XLOOKUP(C1367,Contract!$A$2:$A$9,Contract!$B$2:$B$9)</f>
        <v>0.45</v>
      </c>
      <c r="S1367" s="1">
        <f t="shared" si="84"/>
        <v>189</v>
      </c>
      <c r="T1367" s="1">
        <f t="shared" si="85"/>
        <v>26.629999999999995</v>
      </c>
      <c r="U1367" s="1" t="str">
        <f t="shared" si="86"/>
        <v>Underpaid</v>
      </c>
      <c r="V1367" s="1" t="str">
        <f>_xlfn.XLOOKUP(C1367,Payers!$A$2:$A$9,Payers!$B$2:$B$9)</f>
        <v>Blue Horizon Commercial</v>
      </c>
      <c r="W1367" s="1" t="str">
        <f t="shared" si="87"/>
        <v>2025-11</v>
      </c>
    </row>
    <row r="1368" spans="1:23">
      <c r="A1368" s="1" t="s">
        <v>2552</v>
      </c>
      <c r="B1368" s="1" t="s">
        <v>1349</v>
      </c>
      <c r="C1368" s="1" t="s">
        <v>76</v>
      </c>
      <c r="D1368" s="1" t="s">
        <v>26</v>
      </c>
      <c r="E1368" s="1" t="s">
        <v>185</v>
      </c>
      <c r="F1368">
        <v>1</v>
      </c>
      <c r="G1368" s="2">
        <v>46275</v>
      </c>
      <c r="H1368" s="2">
        <v>46285</v>
      </c>
      <c r="I1368">
        <v>1123.45</v>
      </c>
      <c r="M1368" s="1" t="s">
        <v>69</v>
      </c>
      <c r="N1368" s="1" t="s">
        <v>22</v>
      </c>
      <c r="O1368" s="2"/>
      <c r="P1368" s="2"/>
      <c r="Q1368">
        <f>_xlfn.XLOOKUP(E1368,CPT!$A$2:$A$13,CPT!$D$2:$D$13)</f>
        <v>1150</v>
      </c>
      <c r="R1368" s="1">
        <f>_xlfn.XLOOKUP(C1368,Contract!$A$2:$A$9,Contract!$B$2:$B$9)</f>
        <v>0.43</v>
      </c>
      <c r="S1368" s="1">
        <f t="shared" si="84"/>
        <v>494.5</v>
      </c>
      <c r="T1368" s="1" t="str">
        <f t="shared" si="85"/>
        <v/>
      </c>
      <c r="U1368" s="1" t="str">
        <f t="shared" si="86"/>
        <v/>
      </c>
      <c r="V1368" s="1" t="str">
        <f>_xlfn.XLOOKUP(C1368,Payers!$A$2:$A$9,Payers!$B$2:$B$9)</f>
        <v>Summit Health Commercial</v>
      </c>
      <c r="W1368" s="1" t="str">
        <f t="shared" si="87"/>
        <v>2026-09</v>
      </c>
    </row>
    <row r="1369" spans="1:23">
      <c r="A1369" s="1" t="s">
        <v>2553</v>
      </c>
      <c r="B1369" s="1" t="s">
        <v>2554</v>
      </c>
      <c r="C1369" s="1" t="s">
        <v>25</v>
      </c>
      <c r="D1369" s="1" t="s">
        <v>26</v>
      </c>
      <c r="E1369" s="1" t="s">
        <v>41</v>
      </c>
      <c r="F1369">
        <v>1</v>
      </c>
      <c r="G1369" s="2">
        <v>46175</v>
      </c>
      <c r="H1369" s="2">
        <v>46178</v>
      </c>
      <c r="I1369">
        <v>37.51</v>
      </c>
      <c r="J1369">
        <v>12.04</v>
      </c>
      <c r="K1369">
        <v>10.84</v>
      </c>
      <c r="L1369">
        <v>1.2</v>
      </c>
      <c r="M1369" s="1" t="s">
        <v>21</v>
      </c>
      <c r="N1369" s="1" t="s">
        <v>22</v>
      </c>
      <c r="O1369" s="2">
        <v>46198</v>
      </c>
      <c r="P1369" s="2">
        <v>46198</v>
      </c>
      <c r="Q1369">
        <f>_xlfn.XLOOKUP(E1369,CPT!$A$2:$A$13,CPT!$D$2:$D$13)</f>
        <v>38</v>
      </c>
      <c r="R1369" s="1">
        <f>_xlfn.XLOOKUP(C1369,Contract!$A$2:$A$9,Contract!$B$2:$B$9)</f>
        <v>0.36</v>
      </c>
      <c r="S1369" s="1">
        <f t="shared" si="84"/>
        <v>13.68</v>
      </c>
      <c r="T1369" s="1">
        <f t="shared" si="85"/>
        <v>1.6400000000000006</v>
      </c>
      <c r="U1369" s="1" t="str">
        <f t="shared" si="86"/>
        <v>Underpaid</v>
      </c>
      <c r="V1369" s="1" t="str">
        <f>_xlfn.XLOOKUP(C1369,Payers!$A$2:$A$9,Payers!$B$2:$B$9)</f>
        <v>Medicare Part B</v>
      </c>
      <c r="W1369" s="1" t="str">
        <f t="shared" si="87"/>
        <v>2026-06</v>
      </c>
    </row>
    <row r="1370" spans="1:23">
      <c r="A1370" s="1" t="s">
        <v>2555</v>
      </c>
      <c r="B1370" s="1" t="s">
        <v>1986</v>
      </c>
      <c r="C1370" s="1" t="s">
        <v>76</v>
      </c>
      <c r="D1370" s="1" t="s">
        <v>19</v>
      </c>
      <c r="E1370" s="1" t="s">
        <v>20</v>
      </c>
      <c r="F1370">
        <v>1</v>
      </c>
      <c r="G1370" s="2">
        <v>46171</v>
      </c>
      <c r="H1370" s="2">
        <v>46174</v>
      </c>
      <c r="I1370">
        <v>141</v>
      </c>
      <c r="M1370" s="1" t="s">
        <v>32</v>
      </c>
      <c r="N1370" s="1" t="s">
        <v>98</v>
      </c>
      <c r="O1370" s="2">
        <v>46205</v>
      </c>
      <c r="P1370" s="2"/>
      <c r="Q1370">
        <f>_xlfn.XLOOKUP(E1370,CPT!$A$2:$A$13,CPT!$D$2:$D$13)</f>
        <v>145</v>
      </c>
      <c r="R1370" s="1">
        <f>_xlfn.XLOOKUP(C1370,Contract!$A$2:$A$9,Contract!$B$2:$B$9)</f>
        <v>0.43</v>
      </c>
      <c r="S1370" s="1">
        <f t="shared" si="84"/>
        <v>62.35</v>
      </c>
      <c r="T1370" s="1" t="str">
        <f t="shared" si="85"/>
        <v/>
      </c>
      <c r="U1370" s="1" t="str">
        <f t="shared" si="86"/>
        <v/>
      </c>
      <c r="V1370" s="1" t="str">
        <f>_xlfn.XLOOKUP(C1370,Payers!$A$2:$A$9,Payers!$B$2:$B$9)</f>
        <v>Summit Health Commercial</v>
      </c>
      <c r="W1370" s="1" t="str">
        <f t="shared" si="87"/>
        <v>2026-05</v>
      </c>
    </row>
    <row r="1371" spans="1:23">
      <c r="A1371" s="1" t="s">
        <v>2556</v>
      </c>
      <c r="B1371" s="1" t="s">
        <v>1301</v>
      </c>
      <c r="C1371" s="1" t="s">
        <v>52</v>
      </c>
      <c r="D1371" s="1" t="s">
        <v>26</v>
      </c>
      <c r="E1371" s="1" t="s">
        <v>41</v>
      </c>
      <c r="F1371">
        <v>1</v>
      </c>
      <c r="G1371" s="2">
        <v>46202</v>
      </c>
      <c r="H1371" s="2">
        <v>46204</v>
      </c>
      <c r="I1371">
        <v>37.200000000000003</v>
      </c>
      <c r="M1371" s="1" t="s">
        <v>32</v>
      </c>
      <c r="N1371" s="1" t="s">
        <v>124</v>
      </c>
      <c r="O1371" s="2">
        <v>46259</v>
      </c>
      <c r="P1371" s="2"/>
      <c r="Q1371">
        <f>_xlfn.XLOOKUP(E1371,CPT!$A$2:$A$13,CPT!$D$2:$D$13)</f>
        <v>38</v>
      </c>
      <c r="R1371" s="1">
        <f>_xlfn.XLOOKUP(C1371,Contract!$A$2:$A$9,Contract!$B$2:$B$9)</f>
        <v>0.47</v>
      </c>
      <c r="S1371" s="1">
        <f t="shared" si="84"/>
        <v>17.86</v>
      </c>
      <c r="T1371" s="1" t="str">
        <f t="shared" si="85"/>
        <v/>
      </c>
      <c r="U1371" s="1" t="str">
        <f t="shared" si="86"/>
        <v/>
      </c>
      <c r="V1371" s="1" t="str">
        <f>_xlfn.XLOOKUP(C1371,Payers!$A$2:$A$9,Payers!$B$2:$B$9)</f>
        <v>Keystone Commercial PPO</v>
      </c>
      <c r="W1371" s="1" t="str">
        <f t="shared" si="87"/>
        <v>2026-06</v>
      </c>
    </row>
    <row r="1372" spans="1:23">
      <c r="A1372" s="1" t="s">
        <v>2557</v>
      </c>
      <c r="B1372" s="1" t="s">
        <v>2558</v>
      </c>
      <c r="C1372" s="1" t="s">
        <v>76</v>
      </c>
      <c r="D1372" s="1" t="s">
        <v>37</v>
      </c>
      <c r="E1372" s="1" t="s">
        <v>48</v>
      </c>
      <c r="F1372">
        <v>1</v>
      </c>
      <c r="G1372" s="2">
        <v>46018</v>
      </c>
      <c r="H1372" s="2">
        <v>46020</v>
      </c>
      <c r="I1372">
        <v>427.19</v>
      </c>
      <c r="M1372" s="1" t="s">
        <v>32</v>
      </c>
      <c r="N1372" s="1" t="s">
        <v>33</v>
      </c>
      <c r="O1372" s="2">
        <v>46058</v>
      </c>
      <c r="P1372" s="2"/>
      <c r="Q1372">
        <f>_xlfn.XLOOKUP(E1372,CPT!$A$2:$A$13,CPT!$D$2:$D$13)</f>
        <v>420</v>
      </c>
      <c r="R1372" s="1">
        <f>_xlfn.XLOOKUP(C1372,Contract!$A$2:$A$9,Contract!$B$2:$B$9)</f>
        <v>0.43</v>
      </c>
      <c r="S1372" s="1">
        <f t="shared" si="84"/>
        <v>180.6</v>
      </c>
      <c r="T1372" s="1" t="str">
        <f t="shared" si="85"/>
        <v/>
      </c>
      <c r="U1372" s="1" t="str">
        <f t="shared" si="86"/>
        <v/>
      </c>
      <c r="V1372" s="1" t="str">
        <f>_xlfn.XLOOKUP(C1372,Payers!$A$2:$A$9,Payers!$B$2:$B$9)</f>
        <v>Summit Health Commercial</v>
      </c>
      <c r="W1372" s="1" t="str">
        <f t="shared" si="87"/>
        <v>2025-12</v>
      </c>
    </row>
    <row r="1373" spans="1:23">
      <c r="A1373" s="1" t="s">
        <v>2559</v>
      </c>
      <c r="B1373" s="1" t="s">
        <v>2560</v>
      </c>
      <c r="C1373" s="1" t="s">
        <v>25</v>
      </c>
      <c r="D1373" s="1" t="s">
        <v>19</v>
      </c>
      <c r="E1373" s="1" t="s">
        <v>41</v>
      </c>
      <c r="F1373">
        <v>1</v>
      </c>
      <c r="G1373" s="2">
        <v>45939</v>
      </c>
      <c r="H1373" s="2">
        <v>45946</v>
      </c>
      <c r="I1373">
        <v>38.619999999999997</v>
      </c>
      <c r="J1373">
        <v>15.44</v>
      </c>
      <c r="K1373">
        <v>15.44</v>
      </c>
      <c r="L1373">
        <v>0</v>
      </c>
      <c r="M1373" s="1" t="s">
        <v>21</v>
      </c>
      <c r="N1373" s="1" t="s">
        <v>22</v>
      </c>
      <c r="O1373" s="2">
        <v>45965</v>
      </c>
      <c r="P1373" s="2">
        <v>45965</v>
      </c>
      <c r="Q1373">
        <f>_xlfn.XLOOKUP(E1373,CPT!$A$2:$A$13,CPT!$D$2:$D$13)</f>
        <v>38</v>
      </c>
      <c r="R1373" s="1">
        <f>_xlfn.XLOOKUP(C1373,Contract!$A$2:$A$9,Contract!$B$2:$B$9)</f>
        <v>0.36</v>
      </c>
      <c r="S1373" s="1">
        <f t="shared" si="84"/>
        <v>13.68</v>
      </c>
      <c r="T1373" s="1">
        <f t="shared" si="85"/>
        <v>-1.7599999999999998</v>
      </c>
      <c r="U1373" s="1" t="str">
        <f t="shared" si="86"/>
        <v>OK</v>
      </c>
      <c r="V1373" s="1" t="str">
        <f>_xlfn.XLOOKUP(C1373,Payers!$A$2:$A$9,Payers!$B$2:$B$9)</f>
        <v>Medicare Part B</v>
      </c>
      <c r="W1373" s="1" t="str">
        <f t="shared" si="87"/>
        <v>2025-10</v>
      </c>
    </row>
    <row r="1374" spans="1:23">
      <c r="A1374" s="1" t="s">
        <v>2561</v>
      </c>
      <c r="B1374" s="1" t="s">
        <v>2362</v>
      </c>
      <c r="C1374" s="1" t="s">
        <v>36</v>
      </c>
      <c r="D1374" s="1" t="s">
        <v>26</v>
      </c>
      <c r="E1374" s="1" t="s">
        <v>185</v>
      </c>
      <c r="F1374">
        <v>1</v>
      </c>
      <c r="G1374" s="2">
        <v>45993</v>
      </c>
      <c r="H1374" s="2">
        <v>45995</v>
      </c>
      <c r="I1374">
        <v>1175.2</v>
      </c>
      <c r="J1374">
        <v>355.82</v>
      </c>
      <c r="K1374">
        <v>320.24</v>
      </c>
      <c r="L1374">
        <v>35.58</v>
      </c>
      <c r="M1374" s="1" t="s">
        <v>21</v>
      </c>
      <c r="N1374" s="1" t="s">
        <v>22</v>
      </c>
      <c r="O1374" s="2">
        <v>46051</v>
      </c>
      <c r="P1374" s="2">
        <v>46051</v>
      </c>
      <c r="Q1374">
        <f>_xlfn.XLOOKUP(E1374,CPT!$A$2:$A$13,CPT!$D$2:$D$13)</f>
        <v>1150</v>
      </c>
      <c r="R1374" s="1">
        <f>_xlfn.XLOOKUP(C1374,Contract!$A$2:$A$9,Contract!$B$2:$B$9)</f>
        <v>0.27</v>
      </c>
      <c r="S1374" s="1">
        <f t="shared" si="84"/>
        <v>310.5</v>
      </c>
      <c r="T1374" s="1">
        <f t="shared" si="85"/>
        <v>-45.319999999999993</v>
      </c>
      <c r="U1374" s="1" t="str">
        <f t="shared" si="86"/>
        <v>OK</v>
      </c>
      <c r="V1374" s="1" t="str">
        <f>_xlfn.XLOOKUP(C1374,Payers!$A$2:$A$9,Payers!$B$2:$B$9)</f>
        <v>Florida Medicaid</v>
      </c>
      <c r="W1374" s="1" t="str">
        <f t="shared" si="87"/>
        <v>2025-12</v>
      </c>
    </row>
    <row r="1375" spans="1:23">
      <c r="A1375" s="1" t="s">
        <v>2562</v>
      </c>
      <c r="B1375" s="1" t="s">
        <v>2563</v>
      </c>
      <c r="C1375" s="1" t="s">
        <v>60</v>
      </c>
      <c r="D1375" s="1" t="s">
        <v>37</v>
      </c>
      <c r="E1375" s="1" t="s">
        <v>57</v>
      </c>
      <c r="F1375">
        <v>1</v>
      </c>
      <c r="G1375" s="2">
        <v>46173</v>
      </c>
      <c r="H1375" s="2">
        <v>46184</v>
      </c>
      <c r="I1375">
        <v>209.98</v>
      </c>
      <c r="J1375">
        <v>90.91</v>
      </c>
      <c r="K1375">
        <v>90.91</v>
      </c>
      <c r="L1375">
        <v>0</v>
      </c>
      <c r="M1375" s="1" t="s">
        <v>21</v>
      </c>
      <c r="N1375" s="1" t="s">
        <v>22</v>
      </c>
      <c r="O1375" s="2">
        <v>46205</v>
      </c>
      <c r="P1375" s="2">
        <v>46205</v>
      </c>
      <c r="Q1375">
        <f>_xlfn.XLOOKUP(E1375,CPT!$A$2:$A$13,CPT!$D$2:$D$13)</f>
        <v>210</v>
      </c>
      <c r="R1375" s="1">
        <f>_xlfn.XLOOKUP(C1375,Contract!$A$2:$A$9,Contract!$B$2:$B$9)</f>
        <v>0.45</v>
      </c>
      <c r="S1375" s="1">
        <f t="shared" si="84"/>
        <v>94.5</v>
      </c>
      <c r="T1375" s="1">
        <f t="shared" si="85"/>
        <v>3.5900000000000034</v>
      </c>
      <c r="U1375" s="1" t="str">
        <f t="shared" si="86"/>
        <v>OK</v>
      </c>
      <c r="V1375" s="1" t="str">
        <f>_xlfn.XLOOKUP(C1375,Payers!$A$2:$A$9,Payers!$B$2:$B$9)</f>
        <v>Blue Horizon Commercial</v>
      </c>
      <c r="W1375" s="1" t="str">
        <f t="shared" si="87"/>
        <v>2026-05</v>
      </c>
    </row>
    <row r="1376" spans="1:23">
      <c r="A1376" s="1" t="s">
        <v>2564</v>
      </c>
      <c r="B1376" s="1" t="s">
        <v>2565</v>
      </c>
      <c r="C1376" s="1" t="s">
        <v>76</v>
      </c>
      <c r="D1376" s="1" t="s">
        <v>37</v>
      </c>
      <c r="E1376" s="1" t="s">
        <v>48</v>
      </c>
      <c r="F1376">
        <v>1</v>
      </c>
      <c r="G1376" s="2">
        <v>46010</v>
      </c>
      <c r="H1376" s="2">
        <v>46011</v>
      </c>
      <c r="I1376">
        <v>424.36</v>
      </c>
      <c r="J1376">
        <v>191.45</v>
      </c>
      <c r="K1376">
        <v>172.31</v>
      </c>
      <c r="L1376">
        <v>19.14</v>
      </c>
      <c r="M1376" s="1" t="s">
        <v>21</v>
      </c>
      <c r="N1376" s="1" t="s">
        <v>22</v>
      </c>
      <c r="O1376" s="2">
        <v>46041</v>
      </c>
      <c r="P1376" s="2">
        <v>46041</v>
      </c>
      <c r="Q1376">
        <f>_xlfn.XLOOKUP(E1376,CPT!$A$2:$A$13,CPT!$D$2:$D$13)</f>
        <v>420</v>
      </c>
      <c r="R1376" s="1">
        <f>_xlfn.XLOOKUP(C1376,Contract!$A$2:$A$9,Contract!$B$2:$B$9)</f>
        <v>0.43</v>
      </c>
      <c r="S1376" s="1">
        <f t="shared" si="84"/>
        <v>180.6</v>
      </c>
      <c r="T1376" s="1">
        <f t="shared" si="85"/>
        <v>-10.849999999999994</v>
      </c>
      <c r="U1376" s="1" t="str">
        <f t="shared" si="86"/>
        <v>OK</v>
      </c>
      <c r="V1376" s="1" t="str">
        <f>_xlfn.XLOOKUP(C1376,Payers!$A$2:$A$9,Payers!$B$2:$B$9)</f>
        <v>Summit Health Commercial</v>
      </c>
      <c r="W1376" s="1" t="str">
        <f t="shared" si="87"/>
        <v>2025-12</v>
      </c>
    </row>
    <row r="1377" spans="1:23">
      <c r="A1377" s="1" t="s">
        <v>2566</v>
      </c>
      <c r="B1377" s="1" t="s">
        <v>2567</v>
      </c>
      <c r="C1377" s="1" t="s">
        <v>76</v>
      </c>
      <c r="D1377" s="1" t="s">
        <v>26</v>
      </c>
      <c r="E1377" s="1" t="s">
        <v>88</v>
      </c>
      <c r="F1377">
        <v>1</v>
      </c>
      <c r="G1377" s="2">
        <v>46145</v>
      </c>
      <c r="H1377" s="2">
        <v>46146</v>
      </c>
      <c r="I1377">
        <v>264</v>
      </c>
      <c r="J1377">
        <v>124.98</v>
      </c>
      <c r="K1377">
        <v>99.98</v>
      </c>
      <c r="L1377">
        <v>25</v>
      </c>
      <c r="M1377" s="1" t="s">
        <v>21</v>
      </c>
      <c r="N1377" s="1" t="s">
        <v>22</v>
      </c>
      <c r="O1377" s="2">
        <v>46166</v>
      </c>
      <c r="P1377" s="2">
        <v>46166</v>
      </c>
      <c r="Q1377">
        <f>_xlfn.XLOOKUP(E1377,CPT!$A$2:$A$13,CPT!$D$2:$D$13)</f>
        <v>260</v>
      </c>
      <c r="R1377" s="1">
        <f>_xlfn.XLOOKUP(C1377,Contract!$A$2:$A$9,Contract!$B$2:$B$9)</f>
        <v>0.43</v>
      </c>
      <c r="S1377" s="1">
        <f t="shared" si="84"/>
        <v>111.8</v>
      </c>
      <c r="T1377" s="1">
        <f t="shared" si="85"/>
        <v>-13.180000000000007</v>
      </c>
      <c r="U1377" s="1" t="str">
        <f t="shared" si="86"/>
        <v>OK</v>
      </c>
      <c r="V1377" s="1" t="str">
        <f>_xlfn.XLOOKUP(C1377,Payers!$A$2:$A$9,Payers!$B$2:$B$9)</f>
        <v>Summit Health Commercial</v>
      </c>
      <c r="W1377" s="1" t="str">
        <f t="shared" si="87"/>
        <v>2026-05</v>
      </c>
    </row>
    <row r="1378" spans="1:23">
      <c r="A1378" s="1" t="s">
        <v>2568</v>
      </c>
      <c r="B1378" s="1" t="s">
        <v>933</v>
      </c>
      <c r="C1378" s="1" t="s">
        <v>76</v>
      </c>
      <c r="D1378" s="1" t="s">
        <v>26</v>
      </c>
      <c r="E1378" s="1" t="s">
        <v>44</v>
      </c>
      <c r="F1378">
        <v>1</v>
      </c>
      <c r="G1378" s="2">
        <v>46167</v>
      </c>
      <c r="H1378" s="2">
        <v>46174</v>
      </c>
      <c r="I1378">
        <v>4907.55</v>
      </c>
      <c r="J1378">
        <v>2412.7199999999998</v>
      </c>
      <c r="K1378">
        <v>2171.4499999999998</v>
      </c>
      <c r="L1378">
        <v>241.27</v>
      </c>
      <c r="M1378" s="1" t="s">
        <v>21</v>
      </c>
      <c r="N1378" s="1" t="s">
        <v>22</v>
      </c>
      <c r="O1378" s="2">
        <v>46199</v>
      </c>
      <c r="P1378" s="2">
        <v>46199</v>
      </c>
      <c r="Q1378">
        <f>_xlfn.XLOOKUP(E1378,CPT!$A$2:$A$13,CPT!$D$2:$D$13)</f>
        <v>4800</v>
      </c>
      <c r="R1378" s="1">
        <f>_xlfn.XLOOKUP(C1378,Contract!$A$2:$A$9,Contract!$B$2:$B$9)</f>
        <v>0.43</v>
      </c>
      <c r="S1378" s="1">
        <f t="shared" si="84"/>
        <v>2064</v>
      </c>
      <c r="T1378" s="1">
        <f t="shared" si="85"/>
        <v>-348.7199999999998</v>
      </c>
      <c r="U1378" s="1" t="str">
        <f t="shared" si="86"/>
        <v>OK</v>
      </c>
      <c r="V1378" s="1" t="str">
        <f>_xlfn.XLOOKUP(C1378,Payers!$A$2:$A$9,Payers!$B$2:$B$9)</f>
        <v>Summit Health Commercial</v>
      </c>
      <c r="W1378" s="1" t="str">
        <f t="shared" si="87"/>
        <v>2026-05</v>
      </c>
    </row>
    <row r="1379" spans="1:23">
      <c r="A1379" s="1" t="s">
        <v>2569</v>
      </c>
      <c r="B1379" s="1" t="s">
        <v>655</v>
      </c>
      <c r="C1379" s="1" t="s">
        <v>60</v>
      </c>
      <c r="D1379" s="1" t="s">
        <v>26</v>
      </c>
      <c r="E1379" s="1" t="s">
        <v>44</v>
      </c>
      <c r="F1379">
        <v>1</v>
      </c>
      <c r="G1379" s="2">
        <v>46137</v>
      </c>
      <c r="H1379" s="2">
        <v>46143</v>
      </c>
      <c r="I1379">
        <v>4883.13</v>
      </c>
      <c r="J1379">
        <v>2227.13</v>
      </c>
      <c r="K1379">
        <v>2227.13</v>
      </c>
      <c r="L1379">
        <v>0</v>
      </c>
      <c r="M1379" s="1" t="s">
        <v>21</v>
      </c>
      <c r="N1379" s="1" t="s">
        <v>22</v>
      </c>
      <c r="O1379" s="2">
        <v>46176</v>
      </c>
      <c r="P1379" s="2">
        <v>46176</v>
      </c>
      <c r="Q1379">
        <f>_xlfn.XLOOKUP(E1379,CPT!$A$2:$A$13,CPT!$D$2:$D$13)</f>
        <v>4800</v>
      </c>
      <c r="R1379" s="1">
        <f>_xlfn.XLOOKUP(C1379,Contract!$A$2:$A$9,Contract!$B$2:$B$9)</f>
        <v>0.45</v>
      </c>
      <c r="S1379" s="1">
        <f t="shared" si="84"/>
        <v>2160</v>
      </c>
      <c r="T1379" s="1">
        <f t="shared" si="85"/>
        <v>-67.130000000000109</v>
      </c>
      <c r="U1379" s="1" t="str">
        <f t="shared" si="86"/>
        <v>OK</v>
      </c>
      <c r="V1379" s="1" t="str">
        <f>_xlfn.XLOOKUP(C1379,Payers!$A$2:$A$9,Payers!$B$2:$B$9)</f>
        <v>Blue Horizon Commercial</v>
      </c>
      <c r="W1379" s="1" t="str">
        <f t="shared" si="87"/>
        <v>2026-04</v>
      </c>
    </row>
    <row r="1380" spans="1:23">
      <c r="A1380" s="1" t="s">
        <v>2570</v>
      </c>
      <c r="B1380" s="1" t="s">
        <v>2571</v>
      </c>
      <c r="C1380" s="1" t="s">
        <v>47</v>
      </c>
      <c r="D1380" s="1" t="s">
        <v>26</v>
      </c>
      <c r="E1380" s="1" t="s">
        <v>44</v>
      </c>
      <c r="F1380">
        <v>1</v>
      </c>
      <c r="G1380" s="2">
        <v>45942</v>
      </c>
      <c r="H1380" s="2">
        <v>45945</v>
      </c>
      <c r="I1380">
        <v>4848.58</v>
      </c>
      <c r="M1380" s="1" t="s">
        <v>32</v>
      </c>
      <c r="N1380" s="1" t="s">
        <v>168</v>
      </c>
      <c r="O1380" s="2">
        <v>45959</v>
      </c>
      <c r="P1380" s="2"/>
      <c r="Q1380">
        <f>_xlfn.XLOOKUP(E1380,CPT!$A$2:$A$13,CPT!$D$2:$D$13)</f>
        <v>4800</v>
      </c>
      <c r="R1380" s="1">
        <f>_xlfn.XLOOKUP(C1380,Contract!$A$2:$A$9,Contract!$B$2:$B$9)</f>
        <v>0.28000000000000003</v>
      </c>
      <c r="S1380" s="1">
        <f t="shared" si="84"/>
        <v>1344</v>
      </c>
      <c r="T1380" s="1" t="str">
        <f t="shared" si="85"/>
        <v/>
      </c>
      <c r="U1380" s="1" t="str">
        <f t="shared" si="86"/>
        <v/>
      </c>
      <c r="V1380" s="1" t="str">
        <f>_xlfn.XLOOKUP(C1380,Payers!$A$2:$A$9,Payers!$B$2:$B$9)</f>
        <v>Coastal Medicaid MCO</v>
      </c>
      <c r="W1380" s="1" t="str">
        <f t="shared" si="87"/>
        <v>2025-10</v>
      </c>
    </row>
    <row r="1381" spans="1:23">
      <c r="A1381" s="1" t="s">
        <v>2572</v>
      </c>
      <c r="B1381" s="1" t="s">
        <v>2573</v>
      </c>
      <c r="C1381" s="1" t="s">
        <v>36</v>
      </c>
      <c r="D1381" s="1" t="s">
        <v>19</v>
      </c>
      <c r="E1381" s="1" t="s">
        <v>57</v>
      </c>
      <c r="F1381">
        <v>1</v>
      </c>
      <c r="G1381" s="2">
        <v>46072</v>
      </c>
      <c r="H1381" s="2">
        <v>46087</v>
      </c>
      <c r="I1381">
        <v>207.88</v>
      </c>
      <c r="J1381">
        <v>61.92</v>
      </c>
      <c r="K1381">
        <v>61.92</v>
      </c>
      <c r="L1381">
        <v>0</v>
      </c>
      <c r="M1381" s="1" t="s">
        <v>21</v>
      </c>
      <c r="N1381" s="1" t="s">
        <v>22</v>
      </c>
      <c r="O1381" s="2">
        <v>46124</v>
      </c>
      <c r="P1381" s="2">
        <v>46124</v>
      </c>
      <c r="Q1381">
        <f>_xlfn.XLOOKUP(E1381,CPT!$A$2:$A$13,CPT!$D$2:$D$13)</f>
        <v>210</v>
      </c>
      <c r="R1381" s="1">
        <f>_xlfn.XLOOKUP(C1381,Contract!$A$2:$A$9,Contract!$B$2:$B$9)</f>
        <v>0.27</v>
      </c>
      <c r="S1381" s="1">
        <f t="shared" si="84"/>
        <v>56.7</v>
      </c>
      <c r="T1381" s="1">
        <f t="shared" si="85"/>
        <v>-5.2199999999999989</v>
      </c>
      <c r="U1381" s="1" t="str">
        <f t="shared" si="86"/>
        <v>OK</v>
      </c>
      <c r="V1381" s="1" t="str">
        <f>_xlfn.XLOOKUP(C1381,Payers!$A$2:$A$9,Payers!$B$2:$B$9)</f>
        <v>Florida Medicaid</v>
      </c>
      <c r="W1381" s="1" t="str">
        <f t="shared" si="87"/>
        <v>2026-02</v>
      </c>
    </row>
    <row r="1382" spans="1:23">
      <c r="A1382" s="1" t="s">
        <v>2574</v>
      </c>
      <c r="B1382" s="1" t="s">
        <v>2575</v>
      </c>
      <c r="C1382" s="1" t="s">
        <v>76</v>
      </c>
      <c r="D1382" s="1" t="s">
        <v>37</v>
      </c>
      <c r="E1382" s="1" t="s">
        <v>38</v>
      </c>
      <c r="F1382">
        <v>5</v>
      </c>
      <c r="G1382" s="2">
        <v>46258</v>
      </c>
      <c r="H1382" s="2">
        <v>46260</v>
      </c>
      <c r="I1382">
        <v>7464.51</v>
      </c>
      <c r="M1382" s="1" t="s">
        <v>32</v>
      </c>
      <c r="N1382" s="1" t="s">
        <v>315</v>
      </c>
      <c r="O1382" s="2">
        <v>46294</v>
      </c>
      <c r="P1382" s="2"/>
      <c r="Q1382">
        <f>_xlfn.XLOOKUP(E1382,CPT!$A$2:$A$13,CPT!$D$2:$D$13)</f>
        <v>1450</v>
      </c>
      <c r="R1382" s="1">
        <f>_xlfn.XLOOKUP(C1382,Contract!$A$2:$A$9,Contract!$B$2:$B$9)</f>
        <v>0.43</v>
      </c>
      <c r="S1382" s="1">
        <f t="shared" si="84"/>
        <v>3117.5</v>
      </c>
      <c r="T1382" s="1" t="str">
        <f t="shared" si="85"/>
        <v/>
      </c>
      <c r="U1382" s="1" t="str">
        <f t="shared" si="86"/>
        <v/>
      </c>
      <c r="V1382" s="1" t="str">
        <f>_xlfn.XLOOKUP(C1382,Payers!$A$2:$A$9,Payers!$B$2:$B$9)</f>
        <v>Summit Health Commercial</v>
      </c>
      <c r="W1382" s="1" t="str">
        <f t="shared" si="87"/>
        <v>2026-08</v>
      </c>
    </row>
    <row r="1383" spans="1:23">
      <c r="A1383" s="1" t="s">
        <v>2576</v>
      </c>
      <c r="B1383" s="1" t="s">
        <v>2577</v>
      </c>
      <c r="C1383" s="1" t="s">
        <v>60</v>
      </c>
      <c r="D1383" s="1" t="s">
        <v>26</v>
      </c>
      <c r="E1383" s="1" t="s">
        <v>41</v>
      </c>
      <c r="F1383">
        <v>1</v>
      </c>
      <c r="G1383" s="2">
        <v>46044</v>
      </c>
      <c r="H1383" s="2">
        <v>46051</v>
      </c>
      <c r="I1383">
        <v>38.700000000000003</v>
      </c>
      <c r="M1383" s="1" t="s">
        <v>32</v>
      </c>
      <c r="N1383" s="1" t="s">
        <v>168</v>
      </c>
      <c r="O1383" s="2">
        <v>46074</v>
      </c>
      <c r="P1383" s="2"/>
      <c r="Q1383">
        <f>_xlfn.XLOOKUP(E1383,CPT!$A$2:$A$13,CPT!$D$2:$D$13)</f>
        <v>38</v>
      </c>
      <c r="R1383" s="1">
        <f>_xlfn.XLOOKUP(C1383,Contract!$A$2:$A$9,Contract!$B$2:$B$9)</f>
        <v>0.45</v>
      </c>
      <c r="S1383" s="1">
        <f t="shared" si="84"/>
        <v>17.100000000000001</v>
      </c>
      <c r="T1383" s="1" t="str">
        <f t="shared" si="85"/>
        <v/>
      </c>
      <c r="U1383" s="1" t="str">
        <f t="shared" si="86"/>
        <v/>
      </c>
      <c r="V1383" s="1" t="str">
        <f>_xlfn.XLOOKUP(C1383,Payers!$A$2:$A$9,Payers!$B$2:$B$9)</f>
        <v>Blue Horizon Commercial</v>
      </c>
      <c r="W1383" s="1" t="str">
        <f t="shared" si="87"/>
        <v>2026-01</v>
      </c>
    </row>
    <row r="1384" spans="1:23">
      <c r="A1384" s="1" t="s">
        <v>2578</v>
      </c>
      <c r="B1384" s="1" t="s">
        <v>2579</v>
      </c>
      <c r="C1384" s="1" t="s">
        <v>60</v>
      </c>
      <c r="D1384" s="1" t="s">
        <v>37</v>
      </c>
      <c r="E1384" s="1" t="s">
        <v>57</v>
      </c>
      <c r="F1384">
        <v>1</v>
      </c>
      <c r="G1384" s="2">
        <v>46032</v>
      </c>
      <c r="H1384" s="2">
        <v>46033</v>
      </c>
      <c r="I1384">
        <v>206.74</v>
      </c>
      <c r="J1384">
        <v>92.82</v>
      </c>
      <c r="K1384">
        <v>92.82</v>
      </c>
      <c r="L1384">
        <v>0</v>
      </c>
      <c r="M1384" s="1" t="s">
        <v>21</v>
      </c>
      <c r="N1384" s="1" t="s">
        <v>22</v>
      </c>
      <c r="O1384" s="2">
        <v>46069</v>
      </c>
      <c r="P1384" s="2">
        <v>46069</v>
      </c>
      <c r="Q1384">
        <f>_xlfn.XLOOKUP(E1384,CPT!$A$2:$A$13,CPT!$D$2:$D$13)</f>
        <v>210</v>
      </c>
      <c r="R1384" s="1">
        <f>_xlfn.XLOOKUP(C1384,Contract!$A$2:$A$9,Contract!$B$2:$B$9)</f>
        <v>0.45</v>
      </c>
      <c r="S1384" s="1">
        <f t="shared" si="84"/>
        <v>94.5</v>
      </c>
      <c r="T1384" s="1">
        <f t="shared" si="85"/>
        <v>1.6800000000000068</v>
      </c>
      <c r="U1384" s="1" t="str">
        <f t="shared" si="86"/>
        <v>OK</v>
      </c>
      <c r="V1384" s="1" t="str">
        <f>_xlfn.XLOOKUP(C1384,Payers!$A$2:$A$9,Payers!$B$2:$B$9)</f>
        <v>Blue Horizon Commercial</v>
      </c>
      <c r="W1384" s="1" t="str">
        <f t="shared" si="87"/>
        <v>2026-01</v>
      </c>
    </row>
    <row r="1385" spans="1:23">
      <c r="A1385" s="1" t="s">
        <v>2580</v>
      </c>
      <c r="B1385" s="1" t="s">
        <v>530</v>
      </c>
      <c r="C1385" s="1" t="s">
        <v>18</v>
      </c>
      <c r="D1385" s="1" t="s">
        <v>30</v>
      </c>
      <c r="E1385" s="1" t="s">
        <v>31</v>
      </c>
      <c r="F1385">
        <v>3</v>
      </c>
      <c r="G1385" s="2">
        <v>45973</v>
      </c>
      <c r="H1385" s="2">
        <v>45976</v>
      </c>
      <c r="I1385">
        <v>188.92</v>
      </c>
      <c r="J1385">
        <v>63.16</v>
      </c>
      <c r="K1385">
        <v>50.53</v>
      </c>
      <c r="L1385">
        <v>12.63</v>
      </c>
      <c r="M1385" s="1" t="s">
        <v>21</v>
      </c>
      <c r="N1385" s="1" t="s">
        <v>22</v>
      </c>
      <c r="O1385" s="2">
        <v>46044</v>
      </c>
      <c r="P1385" s="2">
        <v>46044</v>
      </c>
      <c r="Q1385">
        <f>_xlfn.XLOOKUP(E1385,CPT!$A$2:$A$13,CPT!$D$2:$D$13)</f>
        <v>62</v>
      </c>
      <c r="R1385" s="1">
        <f>_xlfn.XLOOKUP(C1385,Contract!$A$2:$A$9,Contract!$B$2:$B$9)</f>
        <v>0.38</v>
      </c>
      <c r="S1385" s="1">
        <f t="shared" si="84"/>
        <v>70.680000000000007</v>
      </c>
      <c r="T1385" s="1">
        <f t="shared" si="85"/>
        <v>7.5200000000000102</v>
      </c>
      <c r="U1385" s="1" t="str">
        <f t="shared" si="86"/>
        <v>Underpaid</v>
      </c>
      <c r="V1385" s="1" t="str">
        <f>_xlfn.XLOOKUP(C1385,Payers!$A$2:$A$9,Payers!$B$2:$B$9)</f>
        <v>Sunshine Medicare Advantage</v>
      </c>
      <c r="W1385" s="1" t="str">
        <f t="shared" si="87"/>
        <v>2025-11</v>
      </c>
    </row>
    <row r="1386" spans="1:23">
      <c r="A1386" s="1" t="s">
        <v>2581</v>
      </c>
      <c r="B1386" s="1" t="s">
        <v>193</v>
      </c>
      <c r="C1386" s="1" t="s">
        <v>60</v>
      </c>
      <c r="D1386" s="1" t="s">
        <v>19</v>
      </c>
      <c r="E1386" s="1" t="s">
        <v>20</v>
      </c>
      <c r="F1386">
        <v>1</v>
      </c>
      <c r="G1386" s="2">
        <v>46025</v>
      </c>
      <c r="H1386" s="2">
        <v>46026</v>
      </c>
      <c r="I1386">
        <v>142.47</v>
      </c>
      <c r="J1386">
        <v>65.83</v>
      </c>
      <c r="K1386">
        <v>65.83</v>
      </c>
      <c r="L1386">
        <v>0</v>
      </c>
      <c r="M1386" s="1" t="s">
        <v>21</v>
      </c>
      <c r="N1386" s="1" t="s">
        <v>22</v>
      </c>
      <c r="O1386" s="2">
        <v>46049</v>
      </c>
      <c r="P1386" s="2">
        <v>46049</v>
      </c>
      <c r="Q1386">
        <f>_xlfn.XLOOKUP(E1386,CPT!$A$2:$A$13,CPT!$D$2:$D$13)</f>
        <v>145</v>
      </c>
      <c r="R1386" s="1">
        <f>_xlfn.XLOOKUP(C1386,Contract!$A$2:$A$9,Contract!$B$2:$B$9)</f>
        <v>0.45</v>
      </c>
      <c r="S1386" s="1">
        <f t="shared" si="84"/>
        <v>65.25</v>
      </c>
      <c r="T1386" s="1">
        <f t="shared" si="85"/>
        <v>-0.57999999999999829</v>
      </c>
      <c r="U1386" s="1" t="str">
        <f t="shared" si="86"/>
        <v>OK</v>
      </c>
      <c r="V1386" s="1" t="str">
        <f>_xlfn.XLOOKUP(C1386,Payers!$A$2:$A$9,Payers!$B$2:$B$9)</f>
        <v>Blue Horizon Commercial</v>
      </c>
      <c r="W1386" s="1" t="str">
        <f t="shared" si="87"/>
        <v>2026-01</v>
      </c>
    </row>
    <row r="1387" spans="1:23">
      <c r="A1387" s="1" t="s">
        <v>2582</v>
      </c>
      <c r="B1387" s="1" t="s">
        <v>1375</v>
      </c>
      <c r="C1387" s="1" t="s">
        <v>76</v>
      </c>
      <c r="D1387" s="1" t="s">
        <v>19</v>
      </c>
      <c r="E1387" s="1" t="s">
        <v>20</v>
      </c>
      <c r="F1387">
        <v>1</v>
      </c>
      <c r="G1387" s="2">
        <v>46124</v>
      </c>
      <c r="H1387" s="2">
        <v>46129</v>
      </c>
      <c r="I1387">
        <v>143.55000000000001</v>
      </c>
      <c r="J1387">
        <v>65.739999999999995</v>
      </c>
      <c r="K1387">
        <v>65.739999999999995</v>
      </c>
      <c r="L1387">
        <v>0</v>
      </c>
      <c r="M1387" s="1" t="s">
        <v>21</v>
      </c>
      <c r="N1387" s="1" t="s">
        <v>22</v>
      </c>
      <c r="O1387" s="2">
        <v>46169</v>
      </c>
      <c r="P1387" s="2">
        <v>46169</v>
      </c>
      <c r="Q1387">
        <f>_xlfn.XLOOKUP(E1387,CPT!$A$2:$A$13,CPT!$D$2:$D$13)</f>
        <v>145</v>
      </c>
      <c r="R1387" s="1">
        <f>_xlfn.XLOOKUP(C1387,Contract!$A$2:$A$9,Contract!$B$2:$B$9)</f>
        <v>0.43</v>
      </c>
      <c r="S1387" s="1">
        <f t="shared" si="84"/>
        <v>62.35</v>
      </c>
      <c r="T1387" s="1">
        <f t="shared" si="85"/>
        <v>-3.3899999999999935</v>
      </c>
      <c r="U1387" s="1" t="str">
        <f t="shared" si="86"/>
        <v>OK</v>
      </c>
      <c r="V1387" s="1" t="str">
        <f>_xlfn.XLOOKUP(C1387,Payers!$A$2:$A$9,Payers!$B$2:$B$9)</f>
        <v>Summit Health Commercial</v>
      </c>
      <c r="W1387" s="1" t="str">
        <f t="shared" si="87"/>
        <v>2026-04</v>
      </c>
    </row>
    <row r="1388" spans="1:23">
      <c r="A1388" s="1" t="s">
        <v>2583</v>
      </c>
      <c r="B1388" s="1" t="s">
        <v>2584</v>
      </c>
      <c r="C1388" s="1" t="s">
        <v>47</v>
      </c>
      <c r="D1388" s="1" t="s">
        <v>30</v>
      </c>
      <c r="E1388" s="1" t="s">
        <v>31</v>
      </c>
      <c r="F1388">
        <v>1</v>
      </c>
      <c r="G1388" s="2">
        <v>46279</v>
      </c>
      <c r="H1388" s="2">
        <v>46283</v>
      </c>
      <c r="I1388">
        <v>61.6</v>
      </c>
      <c r="M1388" s="1" t="s">
        <v>69</v>
      </c>
      <c r="N1388" s="1" t="s">
        <v>22</v>
      </c>
      <c r="O1388" s="2"/>
      <c r="P1388" s="2"/>
      <c r="Q1388">
        <f>_xlfn.XLOOKUP(E1388,CPT!$A$2:$A$13,CPT!$D$2:$D$13)</f>
        <v>62</v>
      </c>
      <c r="R1388" s="1">
        <f>_xlfn.XLOOKUP(C1388,Contract!$A$2:$A$9,Contract!$B$2:$B$9)</f>
        <v>0.28000000000000003</v>
      </c>
      <c r="S1388" s="1">
        <f t="shared" si="84"/>
        <v>17.36</v>
      </c>
      <c r="T1388" s="1" t="str">
        <f t="shared" si="85"/>
        <v/>
      </c>
      <c r="U1388" s="1" t="str">
        <f t="shared" si="86"/>
        <v/>
      </c>
      <c r="V1388" s="1" t="str">
        <f>_xlfn.XLOOKUP(C1388,Payers!$A$2:$A$9,Payers!$B$2:$B$9)</f>
        <v>Coastal Medicaid MCO</v>
      </c>
      <c r="W1388" s="1" t="str">
        <f t="shared" si="87"/>
        <v>2026-09</v>
      </c>
    </row>
    <row r="1389" spans="1:23">
      <c r="A1389" s="1" t="s">
        <v>2585</v>
      </c>
      <c r="B1389" s="1" t="s">
        <v>2586</v>
      </c>
      <c r="C1389" s="1" t="s">
        <v>60</v>
      </c>
      <c r="D1389" s="1" t="s">
        <v>19</v>
      </c>
      <c r="E1389" s="1" t="s">
        <v>88</v>
      </c>
      <c r="F1389">
        <v>1</v>
      </c>
      <c r="G1389" s="2">
        <v>46080</v>
      </c>
      <c r="H1389" s="2">
        <v>46083</v>
      </c>
      <c r="I1389">
        <v>255.72</v>
      </c>
      <c r="J1389">
        <v>127.18</v>
      </c>
      <c r="K1389">
        <v>127.18</v>
      </c>
      <c r="L1389">
        <v>0</v>
      </c>
      <c r="M1389" s="1" t="s">
        <v>21</v>
      </c>
      <c r="N1389" s="1" t="s">
        <v>22</v>
      </c>
      <c r="O1389" s="2">
        <v>46101</v>
      </c>
      <c r="P1389" s="2">
        <v>46101</v>
      </c>
      <c r="Q1389">
        <f>_xlfn.XLOOKUP(E1389,CPT!$A$2:$A$13,CPT!$D$2:$D$13)</f>
        <v>260</v>
      </c>
      <c r="R1389" s="1">
        <f>_xlfn.XLOOKUP(C1389,Contract!$A$2:$A$9,Contract!$B$2:$B$9)</f>
        <v>0.45</v>
      </c>
      <c r="S1389" s="1">
        <f t="shared" si="84"/>
        <v>117</v>
      </c>
      <c r="T1389" s="1">
        <f t="shared" si="85"/>
        <v>-10.180000000000007</v>
      </c>
      <c r="U1389" s="1" t="str">
        <f t="shared" si="86"/>
        <v>OK</v>
      </c>
      <c r="V1389" s="1" t="str">
        <f>_xlfn.XLOOKUP(C1389,Payers!$A$2:$A$9,Payers!$B$2:$B$9)</f>
        <v>Blue Horizon Commercial</v>
      </c>
      <c r="W1389" s="1" t="str">
        <f t="shared" si="87"/>
        <v>2026-02</v>
      </c>
    </row>
    <row r="1390" spans="1:23">
      <c r="A1390" s="1" t="s">
        <v>2587</v>
      </c>
      <c r="B1390" s="1" t="s">
        <v>2588</v>
      </c>
      <c r="C1390" s="1" t="s">
        <v>60</v>
      </c>
      <c r="D1390" s="1" t="s">
        <v>30</v>
      </c>
      <c r="E1390" s="1" t="s">
        <v>31</v>
      </c>
      <c r="F1390">
        <v>1</v>
      </c>
      <c r="G1390" s="2">
        <v>46011</v>
      </c>
      <c r="H1390" s="2">
        <v>46134</v>
      </c>
      <c r="I1390">
        <v>62.4</v>
      </c>
      <c r="M1390" s="1" t="s">
        <v>32</v>
      </c>
      <c r="N1390" s="1" t="s">
        <v>137</v>
      </c>
      <c r="O1390" s="2">
        <v>46167</v>
      </c>
      <c r="P1390" s="2"/>
      <c r="Q1390">
        <f>_xlfn.XLOOKUP(E1390,CPT!$A$2:$A$13,CPT!$D$2:$D$13)</f>
        <v>62</v>
      </c>
      <c r="R1390" s="1">
        <f>_xlfn.XLOOKUP(C1390,Contract!$A$2:$A$9,Contract!$B$2:$B$9)</f>
        <v>0.45</v>
      </c>
      <c r="S1390" s="1">
        <f t="shared" si="84"/>
        <v>27.9</v>
      </c>
      <c r="T1390" s="1" t="str">
        <f t="shared" si="85"/>
        <v/>
      </c>
      <c r="U1390" s="1" t="str">
        <f t="shared" si="86"/>
        <v/>
      </c>
      <c r="V1390" s="1" t="str">
        <f>_xlfn.XLOOKUP(C1390,Payers!$A$2:$A$9,Payers!$B$2:$B$9)</f>
        <v>Blue Horizon Commercial</v>
      </c>
      <c r="W1390" s="1" t="str">
        <f t="shared" si="87"/>
        <v>2025-12</v>
      </c>
    </row>
    <row r="1391" spans="1:23">
      <c r="A1391" s="1" t="s">
        <v>2589</v>
      </c>
      <c r="B1391" s="1" t="s">
        <v>2590</v>
      </c>
      <c r="C1391" s="1" t="s">
        <v>76</v>
      </c>
      <c r="D1391" s="1" t="s">
        <v>37</v>
      </c>
      <c r="E1391" s="1" t="s">
        <v>57</v>
      </c>
      <c r="F1391">
        <v>1</v>
      </c>
      <c r="G1391" s="2">
        <v>46197</v>
      </c>
      <c r="H1391" s="2">
        <v>46209</v>
      </c>
      <c r="I1391">
        <v>210.45</v>
      </c>
      <c r="M1391" s="1" t="s">
        <v>32</v>
      </c>
      <c r="N1391" s="1" t="s">
        <v>124</v>
      </c>
      <c r="O1391" s="2">
        <v>46244</v>
      </c>
      <c r="P1391" s="2"/>
      <c r="Q1391">
        <f>_xlfn.XLOOKUP(E1391,CPT!$A$2:$A$13,CPT!$D$2:$D$13)</f>
        <v>210</v>
      </c>
      <c r="R1391" s="1">
        <f>_xlfn.XLOOKUP(C1391,Contract!$A$2:$A$9,Contract!$B$2:$B$9)</f>
        <v>0.43</v>
      </c>
      <c r="S1391" s="1">
        <f t="shared" si="84"/>
        <v>90.3</v>
      </c>
      <c r="T1391" s="1" t="str">
        <f t="shared" si="85"/>
        <v/>
      </c>
      <c r="U1391" s="1" t="str">
        <f t="shared" si="86"/>
        <v/>
      </c>
      <c r="V1391" s="1" t="str">
        <f>_xlfn.XLOOKUP(C1391,Payers!$A$2:$A$9,Payers!$B$2:$B$9)</f>
        <v>Summit Health Commercial</v>
      </c>
      <c r="W1391" s="1" t="str">
        <f t="shared" si="87"/>
        <v>2026-06</v>
      </c>
    </row>
    <row r="1392" spans="1:23">
      <c r="A1392" s="1" t="s">
        <v>2591</v>
      </c>
      <c r="B1392" s="1" t="s">
        <v>2592</v>
      </c>
      <c r="C1392" s="1" t="s">
        <v>52</v>
      </c>
      <c r="D1392" s="1" t="s">
        <v>19</v>
      </c>
      <c r="E1392" s="1" t="s">
        <v>20</v>
      </c>
      <c r="F1392">
        <v>1</v>
      </c>
      <c r="G1392" s="2">
        <v>45980</v>
      </c>
      <c r="H1392" s="2">
        <v>45981</v>
      </c>
      <c r="I1392">
        <v>141.66</v>
      </c>
      <c r="J1392">
        <v>56.9</v>
      </c>
      <c r="K1392">
        <v>56.9</v>
      </c>
      <c r="L1392">
        <v>0</v>
      </c>
      <c r="M1392" s="1" t="s">
        <v>21</v>
      </c>
      <c r="N1392" s="1" t="s">
        <v>22</v>
      </c>
      <c r="O1392" s="2">
        <v>46034</v>
      </c>
      <c r="P1392" s="2">
        <v>46034</v>
      </c>
      <c r="Q1392">
        <f>_xlfn.XLOOKUP(E1392,CPT!$A$2:$A$13,CPT!$D$2:$D$13)</f>
        <v>145</v>
      </c>
      <c r="R1392" s="1">
        <f>_xlfn.XLOOKUP(C1392,Contract!$A$2:$A$9,Contract!$B$2:$B$9)</f>
        <v>0.47</v>
      </c>
      <c r="S1392" s="1">
        <f t="shared" si="84"/>
        <v>68.150000000000006</v>
      </c>
      <c r="T1392" s="1">
        <f t="shared" si="85"/>
        <v>11.250000000000007</v>
      </c>
      <c r="U1392" s="1" t="str">
        <f t="shared" si="86"/>
        <v>Underpaid</v>
      </c>
      <c r="V1392" s="1" t="str">
        <f>_xlfn.XLOOKUP(C1392,Payers!$A$2:$A$9,Payers!$B$2:$B$9)</f>
        <v>Keystone Commercial PPO</v>
      </c>
      <c r="W1392" s="1" t="str">
        <f t="shared" si="87"/>
        <v>2025-11</v>
      </c>
    </row>
    <row r="1393" spans="1:23">
      <c r="A1393" s="1" t="s">
        <v>2593</v>
      </c>
      <c r="B1393" s="1" t="s">
        <v>2594</v>
      </c>
      <c r="C1393" s="1" t="s">
        <v>76</v>
      </c>
      <c r="D1393" s="1" t="s">
        <v>30</v>
      </c>
      <c r="E1393" s="1" t="s">
        <v>91</v>
      </c>
      <c r="F1393">
        <v>1</v>
      </c>
      <c r="G1393" s="2">
        <v>46242</v>
      </c>
      <c r="H1393" s="2">
        <v>46248</v>
      </c>
      <c r="I1393">
        <v>59.11</v>
      </c>
      <c r="J1393">
        <v>21.91</v>
      </c>
      <c r="K1393">
        <v>21.91</v>
      </c>
      <c r="L1393">
        <v>0</v>
      </c>
      <c r="M1393" s="1" t="s">
        <v>21</v>
      </c>
      <c r="N1393" s="1" t="s">
        <v>22</v>
      </c>
      <c r="O1393" s="2">
        <v>46281</v>
      </c>
      <c r="P1393" s="2">
        <v>46281</v>
      </c>
      <c r="Q1393">
        <f>_xlfn.XLOOKUP(E1393,CPT!$A$2:$A$13,CPT!$D$2:$D$13)</f>
        <v>58</v>
      </c>
      <c r="R1393" s="1">
        <f>_xlfn.XLOOKUP(C1393,Contract!$A$2:$A$9,Contract!$B$2:$B$9)</f>
        <v>0.43</v>
      </c>
      <c r="S1393" s="1">
        <f t="shared" si="84"/>
        <v>24.94</v>
      </c>
      <c r="T1393" s="1">
        <f t="shared" si="85"/>
        <v>3.0300000000000011</v>
      </c>
      <c r="U1393" s="1" t="str">
        <f t="shared" si="86"/>
        <v>Underpaid</v>
      </c>
      <c r="V1393" s="1" t="str">
        <f>_xlfn.XLOOKUP(C1393,Payers!$A$2:$A$9,Payers!$B$2:$B$9)</f>
        <v>Summit Health Commercial</v>
      </c>
      <c r="W1393" s="1" t="str">
        <f t="shared" si="87"/>
        <v>2026-08</v>
      </c>
    </row>
    <row r="1394" spans="1:23">
      <c r="A1394" s="1" t="s">
        <v>2595</v>
      </c>
      <c r="B1394" s="1" t="s">
        <v>141</v>
      </c>
      <c r="C1394" s="1" t="s">
        <v>76</v>
      </c>
      <c r="D1394" s="1" t="s">
        <v>30</v>
      </c>
      <c r="E1394" s="1" t="s">
        <v>31</v>
      </c>
      <c r="F1394">
        <v>1</v>
      </c>
      <c r="G1394" s="2">
        <v>46105</v>
      </c>
      <c r="H1394" s="2">
        <v>46108</v>
      </c>
      <c r="I1394">
        <v>60.33</v>
      </c>
      <c r="J1394">
        <v>22.65</v>
      </c>
      <c r="K1394">
        <v>22.65</v>
      </c>
      <c r="L1394">
        <v>0</v>
      </c>
      <c r="M1394" s="1" t="s">
        <v>21</v>
      </c>
      <c r="N1394" s="1" t="s">
        <v>22</v>
      </c>
      <c r="O1394" s="2">
        <v>46132</v>
      </c>
      <c r="P1394" s="2">
        <v>46132</v>
      </c>
      <c r="Q1394">
        <f>_xlfn.XLOOKUP(E1394,CPT!$A$2:$A$13,CPT!$D$2:$D$13)</f>
        <v>62</v>
      </c>
      <c r="R1394" s="1">
        <f>_xlfn.XLOOKUP(C1394,Contract!$A$2:$A$9,Contract!$B$2:$B$9)</f>
        <v>0.43</v>
      </c>
      <c r="S1394" s="1">
        <f t="shared" si="84"/>
        <v>26.66</v>
      </c>
      <c r="T1394" s="1">
        <f t="shared" si="85"/>
        <v>4.0100000000000016</v>
      </c>
      <c r="U1394" s="1" t="str">
        <f t="shared" si="86"/>
        <v>Underpaid</v>
      </c>
      <c r="V1394" s="1" t="str">
        <f>_xlfn.XLOOKUP(C1394,Payers!$A$2:$A$9,Payers!$B$2:$B$9)</f>
        <v>Summit Health Commercial</v>
      </c>
      <c r="W1394" s="1" t="str">
        <f t="shared" si="87"/>
        <v>2026-03</v>
      </c>
    </row>
    <row r="1395" spans="1:23">
      <c r="A1395" s="1" t="s">
        <v>2596</v>
      </c>
      <c r="B1395" s="1" t="s">
        <v>572</v>
      </c>
      <c r="C1395" s="1" t="s">
        <v>36</v>
      </c>
      <c r="D1395" s="1" t="s">
        <v>26</v>
      </c>
      <c r="E1395" s="1" t="s">
        <v>27</v>
      </c>
      <c r="F1395">
        <v>1</v>
      </c>
      <c r="G1395" s="2">
        <v>46079</v>
      </c>
      <c r="H1395" s="2">
        <v>46080</v>
      </c>
      <c r="I1395">
        <v>243.6</v>
      </c>
      <c r="J1395">
        <v>73.88</v>
      </c>
      <c r="K1395">
        <v>73.88</v>
      </c>
      <c r="L1395">
        <v>0</v>
      </c>
      <c r="M1395" s="1" t="s">
        <v>21</v>
      </c>
      <c r="N1395" s="1" t="s">
        <v>22</v>
      </c>
      <c r="O1395" s="2">
        <v>46110</v>
      </c>
      <c r="P1395" s="2">
        <v>46110</v>
      </c>
      <c r="Q1395">
        <f>_xlfn.XLOOKUP(E1395,CPT!$A$2:$A$13,CPT!$D$2:$D$13)</f>
        <v>240</v>
      </c>
      <c r="R1395" s="1">
        <f>_xlfn.XLOOKUP(C1395,Contract!$A$2:$A$9,Contract!$B$2:$B$9)</f>
        <v>0.27</v>
      </c>
      <c r="S1395" s="1">
        <f t="shared" si="84"/>
        <v>64.8</v>
      </c>
      <c r="T1395" s="1">
        <f t="shared" si="85"/>
        <v>-9.0799999999999983</v>
      </c>
      <c r="U1395" s="1" t="str">
        <f t="shared" si="86"/>
        <v>OK</v>
      </c>
      <c r="V1395" s="1" t="str">
        <f>_xlfn.XLOOKUP(C1395,Payers!$A$2:$A$9,Payers!$B$2:$B$9)</f>
        <v>Florida Medicaid</v>
      </c>
      <c r="W1395" s="1" t="str">
        <f t="shared" si="87"/>
        <v>2026-02</v>
      </c>
    </row>
    <row r="1396" spans="1:23">
      <c r="A1396" s="1" t="s">
        <v>2597</v>
      </c>
      <c r="B1396" s="1" t="s">
        <v>2598</v>
      </c>
      <c r="C1396" s="1" t="s">
        <v>36</v>
      </c>
      <c r="D1396" s="1" t="s">
        <v>19</v>
      </c>
      <c r="E1396" s="1" t="s">
        <v>41</v>
      </c>
      <c r="F1396">
        <v>1</v>
      </c>
      <c r="G1396" s="2">
        <v>46106</v>
      </c>
      <c r="H1396" s="2">
        <v>46109</v>
      </c>
      <c r="I1396">
        <v>37.54</v>
      </c>
      <c r="J1396">
        <v>10.29</v>
      </c>
      <c r="K1396">
        <v>10.29</v>
      </c>
      <c r="L1396">
        <v>0</v>
      </c>
      <c r="M1396" s="1" t="s">
        <v>21</v>
      </c>
      <c r="N1396" s="1" t="s">
        <v>22</v>
      </c>
      <c r="O1396" s="2">
        <v>46154</v>
      </c>
      <c r="P1396" s="2">
        <v>46154</v>
      </c>
      <c r="Q1396">
        <f>_xlfn.XLOOKUP(E1396,CPT!$A$2:$A$13,CPT!$D$2:$D$13)</f>
        <v>38</v>
      </c>
      <c r="R1396" s="1">
        <f>_xlfn.XLOOKUP(C1396,Contract!$A$2:$A$9,Contract!$B$2:$B$9)</f>
        <v>0.27</v>
      </c>
      <c r="S1396" s="1">
        <f t="shared" si="84"/>
        <v>10.26</v>
      </c>
      <c r="T1396" s="1">
        <f t="shared" si="85"/>
        <v>-2.9999999999999361E-2</v>
      </c>
      <c r="U1396" s="1" t="str">
        <f t="shared" si="86"/>
        <v>OK</v>
      </c>
      <c r="V1396" s="1" t="str">
        <f>_xlfn.XLOOKUP(C1396,Payers!$A$2:$A$9,Payers!$B$2:$B$9)</f>
        <v>Florida Medicaid</v>
      </c>
      <c r="W1396" s="1" t="str">
        <f t="shared" si="87"/>
        <v>2026-03</v>
      </c>
    </row>
    <row r="1397" spans="1:23">
      <c r="A1397" s="1" t="s">
        <v>2599</v>
      </c>
      <c r="B1397" s="1" t="s">
        <v>2600</v>
      </c>
      <c r="C1397" s="1" t="s">
        <v>25</v>
      </c>
      <c r="D1397" s="1" t="s">
        <v>26</v>
      </c>
      <c r="E1397" s="1" t="s">
        <v>185</v>
      </c>
      <c r="F1397">
        <v>1</v>
      </c>
      <c r="G1397" s="2">
        <v>45994</v>
      </c>
      <c r="H1397" s="2">
        <v>45999</v>
      </c>
      <c r="I1397">
        <v>1119.18</v>
      </c>
      <c r="J1397">
        <v>427.22</v>
      </c>
      <c r="K1397">
        <v>427.22</v>
      </c>
      <c r="L1397">
        <v>0</v>
      </c>
      <c r="M1397" s="1" t="s">
        <v>21</v>
      </c>
      <c r="N1397" s="1" t="s">
        <v>22</v>
      </c>
      <c r="O1397" s="2">
        <v>46015</v>
      </c>
      <c r="P1397" s="2">
        <v>46015</v>
      </c>
      <c r="Q1397">
        <f>_xlfn.XLOOKUP(E1397,CPT!$A$2:$A$13,CPT!$D$2:$D$13)</f>
        <v>1150</v>
      </c>
      <c r="R1397" s="1">
        <f>_xlfn.XLOOKUP(C1397,Contract!$A$2:$A$9,Contract!$B$2:$B$9)</f>
        <v>0.36</v>
      </c>
      <c r="S1397" s="1">
        <f t="shared" si="84"/>
        <v>414</v>
      </c>
      <c r="T1397" s="1">
        <f t="shared" si="85"/>
        <v>-13.220000000000027</v>
      </c>
      <c r="U1397" s="1" t="str">
        <f t="shared" si="86"/>
        <v>OK</v>
      </c>
      <c r="V1397" s="1" t="str">
        <f>_xlfn.XLOOKUP(C1397,Payers!$A$2:$A$9,Payers!$B$2:$B$9)</f>
        <v>Medicare Part B</v>
      </c>
      <c r="W1397" s="1" t="str">
        <f t="shared" si="87"/>
        <v>2025-12</v>
      </c>
    </row>
    <row r="1398" spans="1:23">
      <c r="A1398" s="1" t="s">
        <v>2601</v>
      </c>
      <c r="B1398" s="1" t="s">
        <v>1161</v>
      </c>
      <c r="C1398" s="1" t="s">
        <v>36</v>
      </c>
      <c r="D1398" s="1" t="s">
        <v>19</v>
      </c>
      <c r="E1398" s="1" t="s">
        <v>20</v>
      </c>
      <c r="F1398">
        <v>1</v>
      </c>
      <c r="G1398" s="2">
        <v>46077</v>
      </c>
      <c r="H1398" s="2">
        <v>46088</v>
      </c>
      <c r="I1398">
        <v>145.63999999999999</v>
      </c>
      <c r="J1398">
        <v>38.75</v>
      </c>
      <c r="K1398">
        <v>31</v>
      </c>
      <c r="L1398">
        <v>7.75</v>
      </c>
      <c r="M1398" s="1" t="s">
        <v>21</v>
      </c>
      <c r="N1398" s="1" t="s">
        <v>22</v>
      </c>
      <c r="O1398" s="2">
        <v>46127</v>
      </c>
      <c r="P1398" s="2">
        <v>46127</v>
      </c>
      <c r="Q1398">
        <f>_xlfn.XLOOKUP(E1398,CPT!$A$2:$A$13,CPT!$D$2:$D$13)</f>
        <v>145</v>
      </c>
      <c r="R1398" s="1">
        <f>_xlfn.XLOOKUP(C1398,Contract!$A$2:$A$9,Contract!$B$2:$B$9)</f>
        <v>0.27</v>
      </c>
      <c r="S1398" s="1">
        <f t="shared" si="84"/>
        <v>39.15</v>
      </c>
      <c r="T1398" s="1">
        <f t="shared" si="85"/>
        <v>0.39999999999999858</v>
      </c>
      <c r="U1398" s="1" t="str">
        <f t="shared" si="86"/>
        <v>OK</v>
      </c>
      <c r="V1398" s="1" t="str">
        <f>_xlfn.XLOOKUP(C1398,Payers!$A$2:$A$9,Payers!$B$2:$B$9)</f>
        <v>Florida Medicaid</v>
      </c>
      <c r="W1398" s="1" t="str">
        <f t="shared" si="87"/>
        <v>2026-02</v>
      </c>
    </row>
    <row r="1399" spans="1:23">
      <c r="A1399" s="1" t="s">
        <v>2602</v>
      </c>
      <c r="B1399" s="1" t="s">
        <v>2603</v>
      </c>
      <c r="C1399" s="1" t="s">
        <v>18</v>
      </c>
      <c r="D1399" s="1" t="s">
        <v>19</v>
      </c>
      <c r="E1399" s="1" t="s">
        <v>41</v>
      </c>
      <c r="F1399">
        <v>1</v>
      </c>
      <c r="G1399" s="2">
        <v>46224</v>
      </c>
      <c r="H1399" s="2">
        <v>46233</v>
      </c>
      <c r="I1399">
        <v>38.700000000000003</v>
      </c>
      <c r="M1399" s="1" t="s">
        <v>69</v>
      </c>
      <c r="N1399" s="1" t="s">
        <v>22</v>
      </c>
      <c r="O1399" s="2"/>
      <c r="P1399" s="2"/>
      <c r="Q1399">
        <f>_xlfn.XLOOKUP(E1399,CPT!$A$2:$A$13,CPT!$D$2:$D$13)</f>
        <v>38</v>
      </c>
      <c r="R1399" s="1">
        <f>_xlfn.XLOOKUP(C1399,Contract!$A$2:$A$9,Contract!$B$2:$B$9)</f>
        <v>0.38</v>
      </c>
      <c r="S1399" s="1">
        <f t="shared" si="84"/>
        <v>14.44</v>
      </c>
      <c r="T1399" s="1" t="str">
        <f t="shared" si="85"/>
        <v/>
      </c>
      <c r="U1399" s="1" t="str">
        <f t="shared" si="86"/>
        <v/>
      </c>
      <c r="V1399" s="1" t="str">
        <f>_xlfn.XLOOKUP(C1399,Payers!$A$2:$A$9,Payers!$B$2:$B$9)</f>
        <v>Sunshine Medicare Advantage</v>
      </c>
      <c r="W1399" s="1" t="str">
        <f t="shared" si="87"/>
        <v>2026-07</v>
      </c>
    </row>
    <row r="1400" spans="1:23">
      <c r="A1400" s="1" t="s">
        <v>2604</v>
      </c>
      <c r="B1400" s="1" t="s">
        <v>2605</v>
      </c>
      <c r="C1400" s="1" t="s">
        <v>60</v>
      </c>
      <c r="D1400" s="1" t="s">
        <v>19</v>
      </c>
      <c r="E1400" s="1" t="s">
        <v>41</v>
      </c>
      <c r="F1400">
        <v>1</v>
      </c>
      <c r="G1400" s="2">
        <v>46198</v>
      </c>
      <c r="H1400" s="2">
        <v>46202</v>
      </c>
      <c r="I1400">
        <v>37.53</v>
      </c>
      <c r="J1400">
        <v>16.28</v>
      </c>
      <c r="K1400">
        <v>14.65</v>
      </c>
      <c r="L1400">
        <v>1.63</v>
      </c>
      <c r="M1400" s="1" t="s">
        <v>21</v>
      </c>
      <c r="N1400" s="1" t="s">
        <v>22</v>
      </c>
      <c r="O1400" s="2">
        <v>46236</v>
      </c>
      <c r="P1400" s="2">
        <v>46236</v>
      </c>
      <c r="Q1400">
        <f>_xlfn.XLOOKUP(E1400,CPT!$A$2:$A$13,CPT!$D$2:$D$13)</f>
        <v>38</v>
      </c>
      <c r="R1400" s="1">
        <f>_xlfn.XLOOKUP(C1400,Contract!$A$2:$A$9,Contract!$B$2:$B$9)</f>
        <v>0.45</v>
      </c>
      <c r="S1400" s="1">
        <f t="shared" si="84"/>
        <v>17.100000000000001</v>
      </c>
      <c r="T1400" s="1">
        <f t="shared" si="85"/>
        <v>0.82000000000000028</v>
      </c>
      <c r="U1400" s="1" t="str">
        <f t="shared" si="86"/>
        <v>OK</v>
      </c>
      <c r="V1400" s="1" t="str">
        <f>_xlfn.XLOOKUP(C1400,Payers!$A$2:$A$9,Payers!$B$2:$B$9)</f>
        <v>Blue Horizon Commercial</v>
      </c>
      <c r="W1400" s="1" t="str">
        <f t="shared" si="87"/>
        <v>2026-06</v>
      </c>
    </row>
    <row r="1401" spans="1:23">
      <c r="A1401" s="1" t="s">
        <v>2606</v>
      </c>
      <c r="B1401" s="1" t="s">
        <v>2607</v>
      </c>
      <c r="C1401" s="1" t="s">
        <v>18</v>
      </c>
      <c r="D1401" s="1" t="s">
        <v>26</v>
      </c>
      <c r="E1401" s="1" t="s">
        <v>88</v>
      </c>
      <c r="F1401">
        <v>1</v>
      </c>
      <c r="G1401" s="2">
        <v>46089</v>
      </c>
      <c r="H1401" s="2">
        <v>46096</v>
      </c>
      <c r="I1401">
        <v>261.08</v>
      </c>
      <c r="J1401">
        <v>113.95</v>
      </c>
      <c r="K1401">
        <v>113.95</v>
      </c>
      <c r="L1401">
        <v>0</v>
      </c>
      <c r="M1401" s="1" t="s">
        <v>21</v>
      </c>
      <c r="N1401" s="1" t="s">
        <v>22</v>
      </c>
      <c r="O1401" s="2">
        <v>46144</v>
      </c>
      <c r="P1401" s="2">
        <v>46144</v>
      </c>
      <c r="Q1401">
        <f>_xlfn.XLOOKUP(E1401,CPT!$A$2:$A$13,CPT!$D$2:$D$13)</f>
        <v>260</v>
      </c>
      <c r="R1401" s="1">
        <f>_xlfn.XLOOKUP(C1401,Contract!$A$2:$A$9,Contract!$B$2:$B$9)</f>
        <v>0.38</v>
      </c>
      <c r="S1401" s="1">
        <f t="shared" si="84"/>
        <v>98.8</v>
      </c>
      <c r="T1401" s="1">
        <f t="shared" si="85"/>
        <v>-15.150000000000006</v>
      </c>
      <c r="U1401" s="1" t="str">
        <f t="shared" si="86"/>
        <v>OK</v>
      </c>
      <c r="V1401" s="1" t="str">
        <f>_xlfn.XLOOKUP(C1401,Payers!$A$2:$A$9,Payers!$B$2:$B$9)</f>
        <v>Sunshine Medicare Advantage</v>
      </c>
      <c r="W1401" s="1" t="str">
        <f t="shared" si="87"/>
        <v>2026-03</v>
      </c>
    </row>
    <row r="1402" spans="1:23">
      <c r="A1402" s="1" t="s">
        <v>2608</v>
      </c>
      <c r="B1402" s="1" t="s">
        <v>2609</v>
      </c>
      <c r="C1402" s="1" t="s">
        <v>36</v>
      </c>
      <c r="D1402" s="1" t="s">
        <v>26</v>
      </c>
      <c r="E1402" s="1" t="s">
        <v>44</v>
      </c>
      <c r="F1402">
        <v>1</v>
      </c>
      <c r="G1402" s="2">
        <v>46045</v>
      </c>
      <c r="H1402" s="2">
        <v>46046</v>
      </c>
      <c r="I1402">
        <v>4740.8</v>
      </c>
      <c r="J1402">
        <v>1241.8699999999999</v>
      </c>
      <c r="K1402">
        <v>993.5</v>
      </c>
      <c r="L1402">
        <v>248.37</v>
      </c>
      <c r="M1402" s="1" t="s">
        <v>21</v>
      </c>
      <c r="N1402" s="1" t="s">
        <v>22</v>
      </c>
      <c r="O1402" s="2">
        <v>46059</v>
      </c>
      <c r="P1402" s="2">
        <v>46059</v>
      </c>
      <c r="Q1402">
        <f>_xlfn.XLOOKUP(E1402,CPT!$A$2:$A$13,CPT!$D$2:$D$13)</f>
        <v>4800</v>
      </c>
      <c r="R1402" s="1">
        <f>_xlfn.XLOOKUP(C1402,Contract!$A$2:$A$9,Contract!$B$2:$B$9)</f>
        <v>0.27</v>
      </c>
      <c r="S1402" s="1">
        <f t="shared" si="84"/>
        <v>1296</v>
      </c>
      <c r="T1402" s="1">
        <f t="shared" si="85"/>
        <v>54.130000000000109</v>
      </c>
      <c r="U1402" s="1" t="str">
        <f t="shared" si="86"/>
        <v>OK</v>
      </c>
      <c r="V1402" s="1" t="str">
        <f>_xlfn.XLOOKUP(C1402,Payers!$A$2:$A$9,Payers!$B$2:$B$9)</f>
        <v>Florida Medicaid</v>
      </c>
      <c r="W1402" s="1" t="str">
        <f t="shared" si="87"/>
        <v>2026-01</v>
      </c>
    </row>
    <row r="1403" spans="1:23">
      <c r="A1403" s="1" t="s">
        <v>2610</v>
      </c>
      <c r="B1403" s="1" t="s">
        <v>2611</v>
      </c>
      <c r="C1403" s="1" t="s">
        <v>52</v>
      </c>
      <c r="D1403" s="1" t="s">
        <v>37</v>
      </c>
      <c r="E1403" s="1" t="s">
        <v>57</v>
      </c>
      <c r="F1403">
        <v>1</v>
      </c>
      <c r="G1403" s="2">
        <v>46134</v>
      </c>
      <c r="H1403" s="2">
        <v>46137</v>
      </c>
      <c r="I1403">
        <v>211.77</v>
      </c>
      <c r="J1403">
        <v>112.25</v>
      </c>
      <c r="K1403">
        <v>89.8</v>
      </c>
      <c r="L1403">
        <v>22.45</v>
      </c>
      <c r="M1403" s="1" t="s">
        <v>21</v>
      </c>
      <c r="N1403" s="1" t="s">
        <v>22</v>
      </c>
      <c r="O1403" s="2">
        <v>46170</v>
      </c>
      <c r="P1403" s="2">
        <v>46170</v>
      </c>
      <c r="Q1403">
        <f>_xlfn.XLOOKUP(E1403,CPT!$A$2:$A$13,CPT!$D$2:$D$13)</f>
        <v>210</v>
      </c>
      <c r="R1403" s="1">
        <f>_xlfn.XLOOKUP(C1403,Contract!$A$2:$A$9,Contract!$B$2:$B$9)</f>
        <v>0.47</v>
      </c>
      <c r="S1403" s="1">
        <f t="shared" si="84"/>
        <v>98.7</v>
      </c>
      <c r="T1403" s="1">
        <f t="shared" si="85"/>
        <v>-13.549999999999997</v>
      </c>
      <c r="U1403" s="1" t="str">
        <f t="shared" si="86"/>
        <v>OK</v>
      </c>
      <c r="V1403" s="1" t="str">
        <f>_xlfn.XLOOKUP(C1403,Payers!$A$2:$A$9,Payers!$B$2:$B$9)</f>
        <v>Keystone Commercial PPO</v>
      </c>
      <c r="W1403" s="1" t="str">
        <f t="shared" si="87"/>
        <v>2026-04</v>
      </c>
    </row>
    <row r="1404" spans="1:23">
      <c r="A1404" s="1" t="s">
        <v>2612</v>
      </c>
      <c r="B1404" s="1" t="s">
        <v>2613</v>
      </c>
      <c r="C1404" s="1" t="s">
        <v>25</v>
      </c>
      <c r="D1404" s="1" t="s">
        <v>37</v>
      </c>
      <c r="E1404" s="1" t="s">
        <v>48</v>
      </c>
      <c r="F1404">
        <v>1</v>
      </c>
      <c r="G1404" s="2">
        <v>46047</v>
      </c>
      <c r="H1404" s="2">
        <v>46048</v>
      </c>
      <c r="I1404">
        <v>420.5</v>
      </c>
      <c r="J1404">
        <v>156.19999999999999</v>
      </c>
      <c r="K1404">
        <v>156.19999999999999</v>
      </c>
      <c r="L1404">
        <v>0</v>
      </c>
      <c r="M1404" s="1" t="s">
        <v>21</v>
      </c>
      <c r="N1404" s="1" t="s">
        <v>22</v>
      </c>
      <c r="O1404" s="2">
        <v>46063</v>
      </c>
      <c r="P1404" s="2">
        <v>46063</v>
      </c>
      <c r="Q1404">
        <f>_xlfn.XLOOKUP(E1404,CPT!$A$2:$A$13,CPT!$D$2:$D$13)</f>
        <v>420</v>
      </c>
      <c r="R1404" s="1">
        <f>_xlfn.XLOOKUP(C1404,Contract!$A$2:$A$9,Contract!$B$2:$B$9)</f>
        <v>0.36</v>
      </c>
      <c r="S1404" s="1">
        <f t="shared" si="84"/>
        <v>151.19999999999999</v>
      </c>
      <c r="T1404" s="1">
        <f t="shared" si="85"/>
        <v>-5</v>
      </c>
      <c r="U1404" s="1" t="str">
        <f t="shared" si="86"/>
        <v>OK</v>
      </c>
      <c r="V1404" s="1" t="str">
        <f>_xlfn.XLOOKUP(C1404,Payers!$A$2:$A$9,Payers!$B$2:$B$9)</f>
        <v>Medicare Part B</v>
      </c>
      <c r="W1404" s="1" t="str">
        <f t="shared" si="87"/>
        <v>2026-01</v>
      </c>
    </row>
    <row r="1405" spans="1:23">
      <c r="A1405" s="1" t="s">
        <v>2614</v>
      </c>
      <c r="B1405" s="1" t="s">
        <v>2615</v>
      </c>
      <c r="C1405" s="1" t="s">
        <v>36</v>
      </c>
      <c r="D1405" s="1" t="s">
        <v>30</v>
      </c>
      <c r="E1405" s="1" t="s">
        <v>31</v>
      </c>
      <c r="F1405">
        <v>1</v>
      </c>
      <c r="G1405" s="2">
        <v>46076</v>
      </c>
      <c r="H1405" s="2">
        <v>46089</v>
      </c>
      <c r="I1405">
        <v>63.48</v>
      </c>
      <c r="M1405" s="1" t="s">
        <v>32</v>
      </c>
      <c r="N1405" s="1" t="s">
        <v>33</v>
      </c>
      <c r="O1405" s="2">
        <v>46135</v>
      </c>
      <c r="P1405" s="2"/>
      <c r="Q1405">
        <f>_xlfn.XLOOKUP(E1405,CPT!$A$2:$A$13,CPT!$D$2:$D$13)</f>
        <v>62</v>
      </c>
      <c r="R1405" s="1">
        <f>_xlfn.XLOOKUP(C1405,Contract!$A$2:$A$9,Contract!$B$2:$B$9)</f>
        <v>0.27</v>
      </c>
      <c r="S1405" s="1">
        <f t="shared" si="84"/>
        <v>16.739999999999998</v>
      </c>
      <c r="T1405" s="1" t="str">
        <f t="shared" si="85"/>
        <v/>
      </c>
      <c r="U1405" s="1" t="str">
        <f t="shared" si="86"/>
        <v/>
      </c>
      <c r="V1405" s="1" t="str">
        <f>_xlfn.XLOOKUP(C1405,Payers!$A$2:$A$9,Payers!$B$2:$B$9)</f>
        <v>Florida Medicaid</v>
      </c>
      <c r="W1405" s="1" t="str">
        <f t="shared" si="87"/>
        <v>2026-02</v>
      </c>
    </row>
    <row r="1406" spans="1:23">
      <c r="A1406" s="1" t="s">
        <v>2616</v>
      </c>
      <c r="B1406" s="1" t="s">
        <v>2617</v>
      </c>
      <c r="C1406" s="1" t="s">
        <v>25</v>
      </c>
      <c r="D1406" s="1" t="s">
        <v>37</v>
      </c>
      <c r="E1406" s="1" t="s">
        <v>48</v>
      </c>
      <c r="F1406">
        <v>1</v>
      </c>
      <c r="G1406" s="2">
        <v>46114</v>
      </c>
      <c r="H1406" s="2">
        <v>46115</v>
      </c>
      <c r="I1406">
        <v>421.12</v>
      </c>
      <c r="J1406">
        <v>132.43</v>
      </c>
      <c r="K1406">
        <v>119.19</v>
      </c>
      <c r="L1406">
        <v>13.24</v>
      </c>
      <c r="M1406" s="1" t="s">
        <v>21</v>
      </c>
      <c r="N1406" s="1" t="s">
        <v>22</v>
      </c>
      <c r="O1406" s="2">
        <v>46126</v>
      </c>
      <c r="P1406" s="2">
        <v>46126</v>
      </c>
      <c r="Q1406">
        <f>_xlfn.XLOOKUP(E1406,CPT!$A$2:$A$13,CPT!$D$2:$D$13)</f>
        <v>420</v>
      </c>
      <c r="R1406" s="1">
        <f>_xlfn.XLOOKUP(C1406,Contract!$A$2:$A$9,Contract!$B$2:$B$9)</f>
        <v>0.36</v>
      </c>
      <c r="S1406" s="1">
        <f t="shared" si="84"/>
        <v>151.19999999999999</v>
      </c>
      <c r="T1406" s="1">
        <f t="shared" si="85"/>
        <v>18.769999999999982</v>
      </c>
      <c r="U1406" s="1" t="str">
        <f t="shared" si="86"/>
        <v>Underpaid</v>
      </c>
      <c r="V1406" s="1" t="str">
        <f>_xlfn.XLOOKUP(C1406,Payers!$A$2:$A$9,Payers!$B$2:$B$9)</f>
        <v>Medicare Part B</v>
      </c>
      <c r="W1406" s="1" t="str">
        <f t="shared" si="87"/>
        <v>2026-04</v>
      </c>
    </row>
    <row r="1407" spans="1:23">
      <c r="A1407" s="1" t="s">
        <v>2618</v>
      </c>
      <c r="B1407" s="1" t="s">
        <v>2619</v>
      </c>
      <c r="C1407" s="1" t="s">
        <v>60</v>
      </c>
      <c r="D1407" s="1" t="s">
        <v>19</v>
      </c>
      <c r="E1407" s="1" t="s">
        <v>57</v>
      </c>
      <c r="F1407">
        <v>1</v>
      </c>
      <c r="G1407" s="2">
        <v>46177</v>
      </c>
      <c r="H1407" s="2">
        <v>46178</v>
      </c>
      <c r="I1407">
        <v>213.89</v>
      </c>
      <c r="J1407">
        <v>107.7</v>
      </c>
      <c r="K1407">
        <v>107.7</v>
      </c>
      <c r="L1407">
        <v>0</v>
      </c>
      <c r="M1407" s="1" t="s">
        <v>21</v>
      </c>
      <c r="N1407" s="1" t="s">
        <v>22</v>
      </c>
      <c r="O1407" s="2">
        <v>46202</v>
      </c>
      <c r="P1407" s="2">
        <v>46202</v>
      </c>
      <c r="Q1407">
        <f>_xlfn.XLOOKUP(E1407,CPT!$A$2:$A$13,CPT!$D$2:$D$13)</f>
        <v>210</v>
      </c>
      <c r="R1407" s="1">
        <f>_xlfn.XLOOKUP(C1407,Contract!$A$2:$A$9,Contract!$B$2:$B$9)</f>
        <v>0.45</v>
      </c>
      <c r="S1407" s="1">
        <f t="shared" si="84"/>
        <v>94.5</v>
      </c>
      <c r="T1407" s="1">
        <f t="shared" si="85"/>
        <v>-13.200000000000003</v>
      </c>
      <c r="U1407" s="1" t="str">
        <f t="shared" si="86"/>
        <v>OK</v>
      </c>
      <c r="V1407" s="1" t="str">
        <f>_xlfn.XLOOKUP(C1407,Payers!$A$2:$A$9,Payers!$B$2:$B$9)</f>
        <v>Blue Horizon Commercial</v>
      </c>
      <c r="W1407" s="1" t="str">
        <f t="shared" si="87"/>
        <v>2026-06</v>
      </c>
    </row>
    <row r="1408" spans="1:23">
      <c r="A1408" s="1" t="s">
        <v>2620</v>
      </c>
      <c r="B1408" s="1" t="s">
        <v>1767</v>
      </c>
      <c r="C1408" s="1" t="s">
        <v>79</v>
      </c>
      <c r="D1408" s="1" t="s">
        <v>19</v>
      </c>
      <c r="E1408" s="1" t="s">
        <v>88</v>
      </c>
      <c r="F1408">
        <v>1</v>
      </c>
      <c r="G1408" s="2">
        <v>45992</v>
      </c>
      <c r="H1408" s="2">
        <v>45993</v>
      </c>
      <c r="I1408">
        <v>256.13</v>
      </c>
      <c r="J1408">
        <v>256.13</v>
      </c>
      <c r="K1408">
        <v>256.13</v>
      </c>
      <c r="L1408">
        <v>0</v>
      </c>
      <c r="M1408" s="1" t="s">
        <v>21</v>
      </c>
      <c r="N1408" s="1" t="s">
        <v>22</v>
      </c>
      <c r="O1408" s="2">
        <v>46051</v>
      </c>
      <c r="P1408" s="2">
        <v>46051</v>
      </c>
      <c r="Q1408">
        <f>_xlfn.XLOOKUP(E1408,CPT!$A$2:$A$13,CPT!$D$2:$D$13)</f>
        <v>260</v>
      </c>
      <c r="R1408" s="1">
        <f>_xlfn.XLOOKUP(C1408,Contract!$A$2:$A$9,Contract!$B$2:$B$9)</f>
        <v>1</v>
      </c>
      <c r="S1408" s="1">
        <f t="shared" si="84"/>
        <v>260</v>
      </c>
      <c r="T1408" s="1">
        <f t="shared" si="85"/>
        <v>3.8700000000000045</v>
      </c>
      <c r="U1408" s="1" t="str">
        <f t="shared" si="86"/>
        <v>OK</v>
      </c>
      <c r="V1408" s="1" t="str">
        <f>_xlfn.XLOOKUP(C1408,Payers!$A$2:$A$9,Payers!$B$2:$B$9)</f>
        <v>Self-Pay</v>
      </c>
      <c r="W1408" s="1" t="str">
        <f t="shared" si="87"/>
        <v>2025-12</v>
      </c>
    </row>
    <row r="1409" spans="1:23">
      <c r="A1409" s="1" t="s">
        <v>2621</v>
      </c>
      <c r="B1409" s="1" t="s">
        <v>2622</v>
      </c>
      <c r="C1409" s="1" t="s">
        <v>25</v>
      </c>
      <c r="D1409" s="1" t="s">
        <v>30</v>
      </c>
      <c r="E1409" s="1" t="s">
        <v>91</v>
      </c>
      <c r="F1409">
        <v>1</v>
      </c>
      <c r="G1409" s="2">
        <v>45951</v>
      </c>
      <c r="H1409" s="2">
        <v>45952</v>
      </c>
      <c r="I1409">
        <v>59.16</v>
      </c>
      <c r="M1409" s="1" t="s">
        <v>32</v>
      </c>
      <c r="N1409" s="1" t="s">
        <v>98</v>
      </c>
      <c r="O1409" s="2">
        <v>45968</v>
      </c>
      <c r="P1409" s="2"/>
      <c r="Q1409">
        <f>_xlfn.XLOOKUP(E1409,CPT!$A$2:$A$13,CPT!$D$2:$D$13)</f>
        <v>58</v>
      </c>
      <c r="R1409" s="1">
        <f>_xlfn.XLOOKUP(C1409,Contract!$A$2:$A$9,Contract!$B$2:$B$9)</f>
        <v>0.36</v>
      </c>
      <c r="S1409" s="1">
        <f t="shared" si="84"/>
        <v>20.88</v>
      </c>
      <c r="T1409" s="1" t="str">
        <f t="shared" si="85"/>
        <v/>
      </c>
      <c r="U1409" s="1" t="str">
        <f t="shared" si="86"/>
        <v/>
      </c>
      <c r="V1409" s="1" t="str">
        <f>_xlfn.XLOOKUP(C1409,Payers!$A$2:$A$9,Payers!$B$2:$B$9)</f>
        <v>Medicare Part B</v>
      </c>
      <c r="W1409" s="1" t="str">
        <f t="shared" si="87"/>
        <v>2025-10</v>
      </c>
    </row>
    <row r="1410" spans="1:23">
      <c r="A1410" s="1" t="s">
        <v>2623</v>
      </c>
      <c r="B1410" s="1" t="s">
        <v>2624</v>
      </c>
      <c r="C1410" s="1" t="s">
        <v>76</v>
      </c>
      <c r="D1410" s="1" t="s">
        <v>26</v>
      </c>
      <c r="E1410" s="1" t="s">
        <v>44</v>
      </c>
      <c r="F1410">
        <v>1</v>
      </c>
      <c r="G1410" s="2">
        <v>46034</v>
      </c>
      <c r="H1410" s="2">
        <v>46039</v>
      </c>
      <c r="I1410">
        <v>4677.62</v>
      </c>
      <c r="J1410">
        <v>1896.93</v>
      </c>
      <c r="K1410">
        <v>1896.93</v>
      </c>
      <c r="L1410">
        <v>0</v>
      </c>
      <c r="M1410" s="1" t="s">
        <v>21</v>
      </c>
      <c r="N1410" s="1" t="s">
        <v>22</v>
      </c>
      <c r="O1410" s="2">
        <v>46089</v>
      </c>
      <c r="P1410" s="2">
        <v>46089</v>
      </c>
      <c r="Q1410">
        <f>_xlfn.XLOOKUP(E1410,CPT!$A$2:$A$13,CPT!$D$2:$D$13)</f>
        <v>4800</v>
      </c>
      <c r="R1410" s="1">
        <f>_xlfn.XLOOKUP(C1410,Contract!$A$2:$A$9,Contract!$B$2:$B$9)</f>
        <v>0.43</v>
      </c>
      <c r="S1410" s="1">
        <f t="shared" ref="S1410:S1473" si="88">ROUND(Q1410*F1410*R1410,2)</f>
        <v>2064</v>
      </c>
      <c r="T1410" s="1">
        <f t="shared" ref="T1410:T1473" si="89">IF(M1410="Paid",S1410-J1410,"")</f>
        <v>167.06999999999994</v>
      </c>
      <c r="U1410" s="1" t="str">
        <f t="shared" ref="U1410:U1473" si="90">IF(M1410&lt;&gt;"Paid","",IF(T1410&gt;S1410*0.05,"Underpaid","OK"))</f>
        <v>Underpaid</v>
      </c>
      <c r="V1410" s="1" t="str">
        <f>_xlfn.XLOOKUP(C1410,Payers!$A$2:$A$9,Payers!$B$2:$B$9)</f>
        <v>Summit Health Commercial</v>
      </c>
      <c r="W1410" s="1" t="str">
        <f t="shared" ref="W1410:W1473" si="91">TEXT(G1410,"yyyy-mm")</f>
        <v>2026-01</v>
      </c>
    </row>
    <row r="1411" spans="1:23">
      <c r="A1411" s="1" t="s">
        <v>2625</v>
      </c>
      <c r="B1411" s="1" t="s">
        <v>2626</v>
      </c>
      <c r="C1411" s="1" t="s">
        <v>25</v>
      </c>
      <c r="D1411" s="1" t="s">
        <v>19</v>
      </c>
      <c r="E1411" s="1" t="s">
        <v>20</v>
      </c>
      <c r="F1411">
        <v>1</v>
      </c>
      <c r="G1411" s="2">
        <v>46073</v>
      </c>
      <c r="H1411" s="2">
        <v>46077</v>
      </c>
      <c r="I1411">
        <v>141.35</v>
      </c>
      <c r="M1411" s="1" t="s">
        <v>32</v>
      </c>
      <c r="N1411" s="1" t="s">
        <v>168</v>
      </c>
      <c r="O1411" s="2">
        <v>46092</v>
      </c>
      <c r="P1411" s="2"/>
      <c r="Q1411">
        <f>_xlfn.XLOOKUP(E1411,CPT!$A$2:$A$13,CPT!$D$2:$D$13)</f>
        <v>145</v>
      </c>
      <c r="R1411" s="1">
        <f>_xlfn.XLOOKUP(C1411,Contract!$A$2:$A$9,Contract!$B$2:$B$9)</f>
        <v>0.36</v>
      </c>
      <c r="S1411" s="1">
        <f t="shared" si="88"/>
        <v>52.2</v>
      </c>
      <c r="T1411" s="1" t="str">
        <f t="shared" si="89"/>
        <v/>
      </c>
      <c r="U1411" s="1" t="str">
        <f t="shared" si="90"/>
        <v/>
      </c>
      <c r="V1411" s="1" t="str">
        <f>_xlfn.XLOOKUP(C1411,Payers!$A$2:$A$9,Payers!$B$2:$B$9)</f>
        <v>Medicare Part B</v>
      </c>
      <c r="W1411" s="1" t="str">
        <f t="shared" si="91"/>
        <v>2026-02</v>
      </c>
    </row>
    <row r="1412" spans="1:23">
      <c r="A1412" s="1" t="s">
        <v>2627</v>
      </c>
      <c r="B1412" s="1" t="s">
        <v>1037</v>
      </c>
      <c r="C1412" s="1" t="s">
        <v>60</v>
      </c>
      <c r="D1412" s="1" t="s">
        <v>30</v>
      </c>
      <c r="E1412" s="1" t="s">
        <v>20</v>
      </c>
      <c r="F1412">
        <v>1</v>
      </c>
      <c r="G1412" s="2">
        <v>46229</v>
      </c>
      <c r="H1412" s="2">
        <v>46234</v>
      </c>
      <c r="I1412">
        <v>148.91</v>
      </c>
      <c r="M1412" s="1" t="s">
        <v>32</v>
      </c>
      <c r="N1412" s="1" t="s">
        <v>124</v>
      </c>
      <c r="O1412" s="2">
        <v>46259</v>
      </c>
      <c r="P1412" s="2"/>
      <c r="Q1412">
        <f>_xlfn.XLOOKUP(E1412,CPT!$A$2:$A$13,CPT!$D$2:$D$13)</f>
        <v>145</v>
      </c>
      <c r="R1412" s="1">
        <f>_xlfn.XLOOKUP(C1412,Contract!$A$2:$A$9,Contract!$B$2:$B$9)</f>
        <v>0.45</v>
      </c>
      <c r="S1412" s="1">
        <f t="shared" si="88"/>
        <v>65.25</v>
      </c>
      <c r="T1412" s="1" t="str">
        <f t="shared" si="89"/>
        <v/>
      </c>
      <c r="U1412" s="1" t="str">
        <f t="shared" si="90"/>
        <v/>
      </c>
      <c r="V1412" s="1" t="str">
        <f>_xlfn.XLOOKUP(C1412,Payers!$A$2:$A$9,Payers!$B$2:$B$9)</f>
        <v>Blue Horizon Commercial</v>
      </c>
      <c r="W1412" s="1" t="str">
        <f t="shared" si="91"/>
        <v>2026-07</v>
      </c>
    </row>
    <row r="1413" spans="1:23">
      <c r="A1413" s="1" t="s">
        <v>2628</v>
      </c>
      <c r="B1413" s="1" t="s">
        <v>2629</v>
      </c>
      <c r="C1413" s="1" t="s">
        <v>47</v>
      </c>
      <c r="D1413" s="1" t="s">
        <v>26</v>
      </c>
      <c r="E1413" s="1" t="s">
        <v>41</v>
      </c>
      <c r="F1413">
        <v>1</v>
      </c>
      <c r="G1413" s="2">
        <v>46002</v>
      </c>
      <c r="H1413" s="2">
        <v>46008</v>
      </c>
      <c r="I1413">
        <v>38.520000000000003</v>
      </c>
      <c r="J1413">
        <v>9.51</v>
      </c>
      <c r="K1413">
        <v>9.51</v>
      </c>
      <c r="L1413">
        <v>0</v>
      </c>
      <c r="M1413" s="1" t="s">
        <v>21</v>
      </c>
      <c r="N1413" s="1" t="s">
        <v>22</v>
      </c>
      <c r="O1413" s="2">
        <v>46107</v>
      </c>
      <c r="P1413" s="2">
        <v>46107</v>
      </c>
      <c r="Q1413">
        <f>_xlfn.XLOOKUP(E1413,CPT!$A$2:$A$13,CPT!$D$2:$D$13)</f>
        <v>38</v>
      </c>
      <c r="R1413" s="1">
        <f>_xlfn.XLOOKUP(C1413,Contract!$A$2:$A$9,Contract!$B$2:$B$9)</f>
        <v>0.28000000000000003</v>
      </c>
      <c r="S1413" s="1">
        <f t="shared" si="88"/>
        <v>10.64</v>
      </c>
      <c r="T1413" s="1">
        <f t="shared" si="89"/>
        <v>1.1300000000000008</v>
      </c>
      <c r="U1413" s="1" t="str">
        <f t="shared" si="90"/>
        <v>Underpaid</v>
      </c>
      <c r="V1413" s="1" t="str">
        <f>_xlfn.XLOOKUP(C1413,Payers!$A$2:$A$9,Payers!$B$2:$B$9)</f>
        <v>Coastal Medicaid MCO</v>
      </c>
      <c r="W1413" s="1" t="str">
        <f t="shared" si="91"/>
        <v>2025-12</v>
      </c>
    </row>
    <row r="1414" spans="1:23">
      <c r="A1414" s="1" t="s">
        <v>2630</v>
      </c>
      <c r="B1414" s="1" t="s">
        <v>2631</v>
      </c>
      <c r="C1414" s="1" t="s">
        <v>60</v>
      </c>
      <c r="D1414" s="1" t="s">
        <v>26</v>
      </c>
      <c r="E1414" s="1" t="s">
        <v>44</v>
      </c>
      <c r="F1414">
        <v>1</v>
      </c>
      <c r="G1414" s="2">
        <v>46182</v>
      </c>
      <c r="H1414" s="2">
        <v>46189</v>
      </c>
      <c r="I1414">
        <v>4864.8</v>
      </c>
      <c r="J1414">
        <v>2477.31</v>
      </c>
      <c r="K1414">
        <v>2477.31</v>
      </c>
      <c r="L1414">
        <v>0</v>
      </c>
      <c r="M1414" s="1" t="s">
        <v>21</v>
      </c>
      <c r="N1414" s="1" t="s">
        <v>22</v>
      </c>
      <c r="O1414" s="2">
        <v>46227</v>
      </c>
      <c r="P1414" s="2">
        <v>46227</v>
      </c>
      <c r="Q1414">
        <f>_xlfn.XLOOKUP(E1414,CPT!$A$2:$A$13,CPT!$D$2:$D$13)</f>
        <v>4800</v>
      </c>
      <c r="R1414" s="1">
        <f>_xlfn.XLOOKUP(C1414,Contract!$A$2:$A$9,Contract!$B$2:$B$9)</f>
        <v>0.45</v>
      </c>
      <c r="S1414" s="1">
        <f t="shared" si="88"/>
        <v>2160</v>
      </c>
      <c r="T1414" s="1">
        <f t="shared" si="89"/>
        <v>-317.30999999999995</v>
      </c>
      <c r="U1414" s="1" t="str">
        <f t="shared" si="90"/>
        <v>OK</v>
      </c>
      <c r="V1414" s="1" t="str">
        <f>_xlfn.XLOOKUP(C1414,Payers!$A$2:$A$9,Payers!$B$2:$B$9)</f>
        <v>Blue Horizon Commercial</v>
      </c>
      <c r="W1414" s="1" t="str">
        <f t="shared" si="91"/>
        <v>2026-06</v>
      </c>
    </row>
    <row r="1415" spans="1:23">
      <c r="A1415" s="1" t="s">
        <v>2632</v>
      </c>
      <c r="B1415" s="1" t="s">
        <v>2633</v>
      </c>
      <c r="C1415" s="1" t="s">
        <v>76</v>
      </c>
      <c r="D1415" s="1" t="s">
        <v>37</v>
      </c>
      <c r="E1415" s="1" t="s">
        <v>38</v>
      </c>
      <c r="F1415">
        <v>20</v>
      </c>
      <c r="G1415" s="2">
        <v>46199</v>
      </c>
      <c r="H1415" s="2">
        <v>46200</v>
      </c>
      <c r="I1415">
        <v>28246.86</v>
      </c>
      <c r="M1415" s="1" t="s">
        <v>32</v>
      </c>
      <c r="N1415" s="1" t="s">
        <v>315</v>
      </c>
      <c r="O1415" s="2">
        <v>46230</v>
      </c>
      <c r="P1415" s="2"/>
      <c r="Q1415">
        <f>_xlfn.XLOOKUP(E1415,CPT!$A$2:$A$13,CPT!$D$2:$D$13)</f>
        <v>1450</v>
      </c>
      <c r="R1415" s="1">
        <f>_xlfn.XLOOKUP(C1415,Contract!$A$2:$A$9,Contract!$B$2:$B$9)</f>
        <v>0.43</v>
      </c>
      <c r="S1415" s="1">
        <f t="shared" si="88"/>
        <v>12470</v>
      </c>
      <c r="T1415" s="1" t="str">
        <f t="shared" si="89"/>
        <v/>
      </c>
      <c r="U1415" s="1" t="str">
        <f t="shared" si="90"/>
        <v/>
      </c>
      <c r="V1415" s="1" t="str">
        <f>_xlfn.XLOOKUP(C1415,Payers!$A$2:$A$9,Payers!$B$2:$B$9)</f>
        <v>Summit Health Commercial</v>
      </c>
      <c r="W1415" s="1" t="str">
        <f t="shared" si="91"/>
        <v>2026-06</v>
      </c>
    </row>
    <row r="1416" spans="1:23">
      <c r="A1416" s="1" t="s">
        <v>2634</v>
      </c>
      <c r="B1416" s="1" t="s">
        <v>2635</v>
      </c>
      <c r="C1416" s="1" t="s">
        <v>52</v>
      </c>
      <c r="D1416" s="1" t="s">
        <v>30</v>
      </c>
      <c r="E1416" s="1" t="s">
        <v>31</v>
      </c>
      <c r="F1416">
        <v>2</v>
      </c>
      <c r="G1416" s="2">
        <v>45971</v>
      </c>
      <c r="H1416" s="2">
        <v>45979</v>
      </c>
      <c r="I1416">
        <v>120.36</v>
      </c>
      <c r="M1416" s="1" t="s">
        <v>32</v>
      </c>
      <c r="N1416" s="1" t="s">
        <v>33</v>
      </c>
      <c r="O1416" s="2">
        <v>46030</v>
      </c>
      <c r="P1416" s="2"/>
      <c r="Q1416">
        <f>_xlfn.XLOOKUP(E1416,CPT!$A$2:$A$13,CPT!$D$2:$D$13)</f>
        <v>62</v>
      </c>
      <c r="R1416" s="1">
        <f>_xlfn.XLOOKUP(C1416,Contract!$A$2:$A$9,Contract!$B$2:$B$9)</f>
        <v>0.47</v>
      </c>
      <c r="S1416" s="1">
        <f t="shared" si="88"/>
        <v>58.28</v>
      </c>
      <c r="T1416" s="1" t="str">
        <f t="shared" si="89"/>
        <v/>
      </c>
      <c r="U1416" s="1" t="str">
        <f t="shared" si="90"/>
        <v/>
      </c>
      <c r="V1416" s="1" t="str">
        <f>_xlfn.XLOOKUP(C1416,Payers!$A$2:$A$9,Payers!$B$2:$B$9)</f>
        <v>Keystone Commercial PPO</v>
      </c>
      <c r="W1416" s="1" t="str">
        <f t="shared" si="91"/>
        <v>2025-11</v>
      </c>
    </row>
    <row r="1417" spans="1:23">
      <c r="A1417" s="1" t="s">
        <v>2636</v>
      </c>
      <c r="B1417" s="1" t="s">
        <v>2637</v>
      </c>
      <c r="C1417" s="1" t="s">
        <v>76</v>
      </c>
      <c r="D1417" s="1" t="s">
        <v>19</v>
      </c>
      <c r="E1417" s="1" t="s">
        <v>88</v>
      </c>
      <c r="F1417">
        <v>1</v>
      </c>
      <c r="G1417" s="2">
        <v>46028</v>
      </c>
      <c r="H1417" s="2">
        <v>46029</v>
      </c>
      <c r="I1417">
        <v>255.6</v>
      </c>
      <c r="J1417">
        <v>102.36</v>
      </c>
      <c r="K1417">
        <v>92.12</v>
      </c>
      <c r="L1417">
        <v>10.24</v>
      </c>
      <c r="M1417" s="1" t="s">
        <v>21</v>
      </c>
      <c r="N1417" s="1" t="s">
        <v>22</v>
      </c>
      <c r="O1417" s="2">
        <v>46061</v>
      </c>
      <c r="P1417" s="2">
        <v>46061</v>
      </c>
      <c r="Q1417">
        <f>_xlfn.XLOOKUP(E1417,CPT!$A$2:$A$13,CPT!$D$2:$D$13)</f>
        <v>260</v>
      </c>
      <c r="R1417" s="1">
        <f>_xlfn.XLOOKUP(C1417,Contract!$A$2:$A$9,Contract!$B$2:$B$9)</f>
        <v>0.43</v>
      </c>
      <c r="S1417" s="1">
        <f t="shared" si="88"/>
        <v>111.8</v>
      </c>
      <c r="T1417" s="1">
        <f t="shared" si="89"/>
        <v>9.4399999999999977</v>
      </c>
      <c r="U1417" s="1" t="str">
        <f t="shared" si="90"/>
        <v>Underpaid</v>
      </c>
      <c r="V1417" s="1" t="str">
        <f>_xlfn.XLOOKUP(C1417,Payers!$A$2:$A$9,Payers!$B$2:$B$9)</f>
        <v>Summit Health Commercial</v>
      </c>
      <c r="W1417" s="1" t="str">
        <f t="shared" si="91"/>
        <v>2026-01</v>
      </c>
    </row>
    <row r="1418" spans="1:23">
      <c r="A1418" s="1" t="s">
        <v>2638</v>
      </c>
      <c r="B1418" s="1" t="s">
        <v>2231</v>
      </c>
      <c r="C1418" s="1" t="s">
        <v>47</v>
      </c>
      <c r="D1418" s="1" t="s">
        <v>26</v>
      </c>
      <c r="E1418" s="1" t="s">
        <v>57</v>
      </c>
      <c r="F1418">
        <v>1</v>
      </c>
      <c r="G1418" s="2">
        <v>46096</v>
      </c>
      <c r="H1418" s="2">
        <v>46104</v>
      </c>
      <c r="I1418">
        <v>204.3</v>
      </c>
      <c r="M1418" s="1" t="s">
        <v>32</v>
      </c>
      <c r="N1418" s="1" t="s">
        <v>33</v>
      </c>
      <c r="O1418" s="2">
        <v>46151</v>
      </c>
      <c r="P1418" s="2"/>
      <c r="Q1418">
        <f>_xlfn.XLOOKUP(E1418,CPT!$A$2:$A$13,CPT!$D$2:$D$13)</f>
        <v>210</v>
      </c>
      <c r="R1418" s="1">
        <f>_xlfn.XLOOKUP(C1418,Contract!$A$2:$A$9,Contract!$B$2:$B$9)</f>
        <v>0.28000000000000003</v>
      </c>
      <c r="S1418" s="1">
        <f t="shared" si="88"/>
        <v>58.8</v>
      </c>
      <c r="T1418" s="1" t="str">
        <f t="shared" si="89"/>
        <v/>
      </c>
      <c r="U1418" s="1" t="str">
        <f t="shared" si="90"/>
        <v/>
      </c>
      <c r="V1418" s="1" t="str">
        <f>_xlfn.XLOOKUP(C1418,Payers!$A$2:$A$9,Payers!$B$2:$B$9)</f>
        <v>Coastal Medicaid MCO</v>
      </c>
      <c r="W1418" s="1" t="str">
        <f t="shared" si="91"/>
        <v>2026-03</v>
      </c>
    </row>
    <row r="1419" spans="1:23">
      <c r="A1419" s="1" t="s">
        <v>2639</v>
      </c>
      <c r="B1419" s="1" t="s">
        <v>223</v>
      </c>
      <c r="C1419" s="1" t="s">
        <v>47</v>
      </c>
      <c r="D1419" s="1" t="s">
        <v>19</v>
      </c>
      <c r="E1419" s="1" t="s">
        <v>20</v>
      </c>
      <c r="F1419">
        <v>1</v>
      </c>
      <c r="G1419" s="2">
        <v>46168</v>
      </c>
      <c r="H1419" s="2">
        <v>46171</v>
      </c>
      <c r="I1419">
        <v>147.1</v>
      </c>
      <c r="J1419">
        <v>46.34</v>
      </c>
      <c r="K1419">
        <v>46.34</v>
      </c>
      <c r="L1419">
        <v>0</v>
      </c>
      <c r="M1419" s="1" t="s">
        <v>21</v>
      </c>
      <c r="N1419" s="1" t="s">
        <v>22</v>
      </c>
      <c r="O1419" s="2">
        <v>46238</v>
      </c>
      <c r="P1419" s="2">
        <v>46238</v>
      </c>
      <c r="Q1419">
        <f>_xlfn.XLOOKUP(E1419,CPT!$A$2:$A$13,CPT!$D$2:$D$13)</f>
        <v>145</v>
      </c>
      <c r="R1419" s="1">
        <f>_xlfn.XLOOKUP(C1419,Contract!$A$2:$A$9,Contract!$B$2:$B$9)</f>
        <v>0.28000000000000003</v>
      </c>
      <c r="S1419" s="1">
        <f t="shared" si="88"/>
        <v>40.6</v>
      </c>
      <c r="T1419" s="1">
        <f t="shared" si="89"/>
        <v>-5.740000000000002</v>
      </c>
      <c r="U1419" s="1" t="str">
        <f t="shared" si="90"/>
        <v>OK</v>
      </c>
      <c r="V1419" s="1" t="str">
        <f>_xlfn.XLOOKUP(C1419,Payers!$A$2:$A$9,Payers!$B$2:$B$9)</f>
        <v>Coastal Medicaid MCO</v>
      </c>
      <c r="W1419" s="1" t="str">
        <f t="shared" si="91"/>
        <v>2026-05</v>
      </c>
    </row>
    <row r="1420" spans="1:23">
      <c r="A1420" s="1" t="s">
        <v>2640</v>
      </c>
      <c r="B1420" s="1" t="s">
        <v>1808</v>
      </c>
      <c r="C1420" s="1" t="s">
        <v>60</v>
      </c>
      <c r="D1420" s="1" t="s">
        <v>30</v>
      </c>
      <c r="E1420" s="1" t="s">
        <v>20</v>
      </c>
      <c r="F1420">
        <v>1</v>
      </c>
      <c r="G1420" s="2">
        <v>46182</v>
      </c>
      <c r="H1420" s="2">
        <v>46186</v>
      </c>
      <c r="I1420">
        <v>148.43</v>
      </c>
      <c r="M1420" s="1" t="s">
        <v>32</v>
      </c>
      <c r="N1420" s="1" t="s">
        <v>33</v>
      </c>
      <c r="O1420" s="2">
        <v>46219</v>
      </c>
      <c r="P1420" s="2"/>
      <c r="Q1420">
        <f>_xlfn.XLOOKUP(E1420,CPT!$A$2:$A$13,CPT!$D$2:$D$13)</f>
        <v>145</v>
      </c>
      <c r="R1420" s="1">
        <f>_xlfn.XLOOKUP(C1420,Contract!$A$2:$A$9,Contract!$B$2:$B$9)</f>
        <v>0.45</v>
      </c>
      <c r="S1420" s="1">
        <f t="shared" si="88"/>
        <v>65.25</v>
      </c>
      <c r="T1420" s="1" t="str">
        <f t="shared" si="89"/>
        <v/>
      </c>
      <c r="U1420" s="1" t="str">
        <f t="shared" si="90"/>
        <v/>
      </c>
      <c r="V1420" s="1" t="str">
        <f>_xlfn.XLOOKUP(C1420,Payers!$A$2:$A$9,Payers!$B$2:$B$9)</f>
        <v>Blue Horizon Commercial</v>
      </c>
      <c r="W1420" s="1" t="str">
        <f t="shared" si="91"/>
        <v>2026-06</v>
      </c>
    </row>
    <row r="1421" spans="1:23">
      <c r="A1421" s="1" t="s">
        <v>2641</v>
      </c>
      <c r="B1421" s="1" t="s">
        <v>2642</v>
      </c>
      <c r="C1421" s="1" t="s">
        <v>47</v>
      </c>
      <c r="D1421" s="1" t="s">
        <v>19</v>
      </c>
      <c r="E1421" s="1" t="s">
        <v>41</v>
      </c>
      <c r="F1421">
        <v>1</v>
      </c>
      <c r="G1421" s="2">
        <v>46049</v>
      </c>
      <c r="H1421" s="2">
        <v>46053</v>
      </c>
      <c r="I1421">
        <v>38.85</v>
      </c>
      <c r="J1421">
        <v>12.01</v>
      </c>
      <c r="K1421">
        <v>12.01</v>
      </c>
      <c r="L1421">
        <v>0</v>
      </c>
      <c r="M1421" s="1" t="s">
        <v>21</v>
      </c>
      <c r="N1421" s="1" t="s">
        <v>22</v>
      </c>
      <c r="O1421" s="2">
        <v>46112</v>
      </c>
      <c r="P1421" s="2">
        <v>46112</v>
      </c>
      <c r="Q1421">
        <f>_xlfn.XLOOKUP(E1421,CPT!$A$2:$A$13,CPT!$D$2:$D$13)</f>
        <v>38</v>
      </c>
      <c r="R1421" s="1">
        <f>_xlfn.XLOOKUP(C1421,Contract!$A$2:$A$9,Contract!$B$2:$B$9)</f>
        <v>0.28000000000000003</v>
      </c>
      <c r="S1421" s="1">
        <f t="shared" si="88"/>
        <v>10.64</v>
      </c>
      <c r="T1421" s="1">
        <f t="shared" si="89"/>
        <v>-1.3699999999999992</v>
      </c>
      <c r="U1421" s="1" t="str">
        <f t="shared" si="90"/>
        <v>OK</v>
      </c>
      <c r="V1421" s="1" t="str">
        <f>_xlfn.XLOOKUP(C1421,Payers!$A$2:$A$9,Payers!$B$2:$B$9)</f>
        <v>Coastal Medicaid MCO</v>
      </c>
      <c r="W1421" s="1" t="str">
        <f t="shared" si="91"/>
        <v>2026-01</v>
      </c>
    </row>
    <row r="1422" spans="1:23">
      <c r="A1422" s="1" t="s">
        <v>2643</v>
      </c>
      <c r="B1422" s="1" t="s">
        <v>2644</v>
      </c>
      <c r="C1422" s="1" t="s">
        <v>76</v>
      </c>
      <c r="D1422" s="1" t="s">
        <v>37</v>
      </c>
      <c r="E1422" s="1" t="s">
        <v>48</v>
      </c>
      <c r="F1422">
        <v>1</v>
      </c>
      <c r="G1422" s="2">
        <v>46104</v>
      </c>
      <c r="H1422" s="2">
        <v>46110</v>
      </c>
      <c r="I1422">
        <v>413.17</v>
      </c>
      <c r="J1422">
        <v>150.41</v>
      </c>
      <c r="K1422">
        <v>120.33</v>
      </c>
      <c r="L1422">
        <v>30.08</v>
      </c>
      <c r="M1422" s="1" t="s">
        <v>21</v>
      </c>
      <c r="N1422" s="1" t="s">
        <v>22</v>
      </c>
      <c r="O1422" s="2">
        <v>46144</v>
      </c>
      <c r="P1422" s="2">
        <v>46144</v>
      </c>
      <c r="Q1422">
        <f>_xlfn.XLOOKUP(E1422,CPT!$A$2:$A$13,CPT!$D$2:$D$13)</f>
        <v>420</v>
      </c>
      <c r="R1422" s="1">
        <f>_xlfn.XLOOKUP(C1422,Contract!$A$2:$A$9,Contract!$B$2:$B$9)</f>
        <v>0.43</v>
      </c>
      <c r="S1422" s="1">
        <f t="shared" si="88"/>
        <v>180.6</v>
      </c>
      <c r="T1422" s="1">
        <f t="shared" si="89"/>
        <v>30.189999999999998</v>
      </c>
      <c r="U1422" s="1" t="str">
        <f t="shared" si="90"/>
        <v>Underpaid</v>
      </c>
      <c r="V1422" s="1" t="str">
        <f>_xlfn.XLOOKUP(C1422,Payers!$A$2:$A$9,Payers!$B$2:$B$9)</f>
        <v>Summit Health Commercial</v>
      </c>
      <c r="W1422" s="1" t="str">
        <f t="shared" si="91"/>
        <v>2026-03</v>
      </c>
    </row>
    <row r="1423" spans="1:23">
      <c r="A1423" s="1" t="s">
        <v>2645</v>
      </c>
      <c r="B1423" s="1" t="s">
        <v>2646</v>
      </c>
      <c r="C1423" s="1" t="s">
        <v>52</v>
      </c>
      <c r="D1423" s="1" t="s">
        <v>26</v>
      </c>
      <c r="E1423" s="1" t="s">
        <v>113</v>
      </c>
      <c r="F1423">
        <v>1</v>
      </c>
      <c r="G1423" s="2">
        <v>46006</v>
      </c>
      <c r="H1423" s="2">
        <v>46007</v>
      </c>
      <c r="I1423">
        <v>1072.69</v>
      </c>
      <c r="J1423">
        <v>487.31</v>
      </c>
      <c r="K1423">
        <v>487.31</v>
      </c>
      <c r="L1423">
        <v>0</v>
      </c>
      <c r="M1423" s="1" t="s">
        <v>21</v>
      </c>
      <c r="N1423" s="1" t="s">
        <v>22</v>
      </c>
      <c r="O1423" s="2">
        <v>46034</v>
      </c>
      <c r="P1423" s="2">
        <v>46034</v>
      </c>
      <c r="Q1423">
        <f>_xlfn.XLOOKUP(E1423,CPT!$A$2:$A$13,CPT!$D$2:$D$13)</f>
        <v>1050</v>
      </c>
      <c r="R1423" s="1">
        <f>_xlfn.XLOOKUP(C1423,Contract!$A$2:$A$9,Contract!$B$2:$B$9)</f>
        <v>0.47</v>
      </c>
      <c r="S1423" s="1">
        <f t="shared" si="88"/>
        <v>493.5</v>
      </c>
      <c r="T1423" s="1">
        <f t="shared" si="89"/>
        <v>6.1899999999999977</v>
      </c>
      <c r="U1423" s="1" t="str">
        <f t="shared" si="90"/>
        <v>OK</v>
      </c>
      <c r="V1423" s="1" t="str">
        <f>_xlfn.XLOOKUP(C1423,Payers!$A$2:$A$9,Payers!$B$2:$B$9)</f>
        <v>Keystone Commercial PPO</v>
      </c>
      <c r="W1423" s="1" t="str">
        <f t="shared" si="91"/>
        <v>2025-12</v>
      </c>
    </row>
    <row r="1424" spans="1:23">
      <c r="A1424" s="1" t="s">
        <v>2647</v>
      </c>
      <c r="B1424" s="1" t="s">
        <v>1555</v>
      </c>
      <c r="C1424" s="1" t="s">
        <v>60</v>
      </c>
      <c r="D1424" s="1" t="s">
        <v>37</v>
      </c>
      <c r="E1424" s="1" t="s">
        <v>38</v>
      </c>
      <c r="F1424">
        <v>20</v>
      </c>
      <c r="G1424" s="2">
        <v>46253</v>
      </c>
      <c r="H1424" s="2">
        <v>46254</v>
      </c>
      <c r="I1424">
        <v>28700.53</v>
      </c>
      <c r="J1424">
        <v>13633.46</v>
      </c>
      <c r="K1424">
        <v>12270.11</v>
      </c>
      <c r="L1424">
        <v>1363.35</v>
      </c>
      <c r="M1424" s="1" t="s">
        <v>21</v>
      </c>
      <c r="N1424" s="1" t="s">
        <v>22</v>
      </c>
      <c r="O1424" s="2">
        <v>46281</v>
      </c>
      <c r="P1424" s="2">
        <v>46281</v>
      </c>
      <c r="Q1424">
        <f>_xlfn.XLOOKUP(E1424,CPT!$A$2:$A$13,CPT!$D$2:$D$13)</f>
        <v>1450</v>
      </c>
      <c r="R1424" s="1">
        <f>_xlfn.XLOOKUP(C1424,Contract!$A$2:$A$9,Contract!$B$2:$B$9)</f>
        <v>0.45</v>
      </c>
      <c r="S1424" s="1">
        <f t="shared" si="88"/>
        <v>13050</v>
      </c>
      <c r="T1424" s="1">
        <f t="shared" si="89"/>
        <v>-583.45999999999913</v>
      </c>
      <c r="U1424" s="1" t="str">
        <f t="shared" si="90"/>
        <v>OK</v>
      </c>
      <c r="V1424" s="1" t="str">
        <f>_xlfn.XLOOKUP(C1424,Payers!$A$2:$A$9,Payers!$B$2:$B$9)</f>
        <v>Blue Horizon Commercial</v>
      </c>
      <c r="W1424" s="1" t="str">
        <f t="shared" si="91"/>
        <v>2026-08</v>
      </c>
    </row>
    <row r="1425" spans="1:23">
      <c r="A1425" s="1" t="s">
        <v>2648</v>
      </c>
      <c r="B1425" s="1" t="s">
        <v>2649</v>
      </c>
      <c r="C1425" s="1" t="s">
        <v>18</v>
      </c>
      <c r="D1425" s="1" t="s">
        <v>30</v>
      </c>
      <c r="E1425" s="1" t="s">
        <v>31</v>
      </c>
      <c r="F1425">
        <v>3</v>
      </c>
      <c r="G1425" s="2">
        <v>46138</v>
      </c>
      <c r="H1425" s="2">
        <v>46139</v>
      </c>
      <c r="I1425">
        <v>182.1</v>
      </c>
      <c r="J1425">
        <v>60.39</v>
      </c>
      <c r="K1425">
        <v>60.39</v>
      </c>
      <c r="L1425">
        <v>0</v>
      </c>
      <c r="M1425" s="1" t="s">
        <v>21</v>
      </c>
      <c r="N1425" s="1" t="s">
        <v>22</v>
      </c>
      <c r="O1425" s="2">
        <v>46188</v>
      </c>
      <c r="P1425" s="2">
        <v>46188</v>
      </c>
      <c r="Q1425">
        <f>_xlfn.XLOOKUP(E1425,CPT!$A$2:$A$13,CPT!$D$2:$D$13)</f>
        <v>62</v>
      </c>
      <c r="R1425" s="1">
        <f>_xlfn.XLOOKUP(C1425,Contract!$A$2:$A$9,Contract!$B$2:$B$9)</f>
        <v>0.38</v>
      </c>
      <c r="S1425" s="1">
        <f t="shared" si="88"/>
        <v>70.680000000000007</v>
      </c>
      <c r="T1425" s="1">
        <f t="shared" si="89"/>
        <v>10.290000000000006</v>
      </c>
      <c r="U1425" s="1" t="str">
        <f t="shared" si="90"/>
        <v>Underpaid</v>
      </c>
      <c r="V1425" s="1" t="str">
        <f>_xlfn.XLOOKUP(C1425,Payers!$A$2:$A$9,Payers!$B$2:$B$9)</f>
        <v>Sunshine Medicare Advantage</v>
      </c>
      <c r="W1425" s="1" t="str">
        <f t="shared" si="91"/>
        <v>2026-04</v>
      </c>
    </row>
    <row r="1426" spans="1:23">
      <c r="A1426" s="1" t="s">
        <v>2650</v>
      </c>
      <c r="B1426" s="1" t="s">
        <v>2651</v>
      </c>
      <c r="C1426" s="1" t="s">
        <v>18</v>
      </c>
      <c r="D1426" s="1" t="s">
        <v>19</v>
      </c>
      <c r="E1426" s="1" t="s">
        <v>41</v>
      </c>
      <c r="F1426">
        <v>1</v>
      </c>
      <c r="G1426" s="2">
        <v>45951</v>
      </c>
      <c r="H1426" s="2">
        <v>45955</v>
      </c>
      <c r="I1426">
        <v>38.130000000000003</v>
      </c>
      <c r="J1426">
        <v>13.38</v>
      </c>
      <c r="K1426">
        <v>13.38</v>
      </c>
      <c r="L1426">
        <v>0</v>
      </c>
      <c r="M1426" s="1" t="s">
        <v>21</v>
      </c>
      <c r="N1426" s="1" t="s">
        <v>22</v>
      </c>
      <c r="O1426" s="2">
        <v>45993</v>
      </c>
      <c r="P1426" s="2">
        <v>45993</v>
      </c>
      <c r="Q1426">
        <f>_xlfn.XLOOKUP(E1426,CPT!$A$2:$A$13,CPT!$D$2:$D$13)</f>
        <v>38</v>
      </c>
      <c r="R1426" s="1">
        <f>_xlfn.XLOOKUP(C1426,Contract!$A$2:$A$9,Contract!$B$2:$B$9)</f>
        <v>0.38</v>
      </c>
      <c r="S1426" s="1">
        <f t="shared" si="88"/>
        <v>14.44</v>
      </c>
      <c r="T1426" s="1">
        <f t="shared" si="89"/>
        <v>1.0599999999999987</v>
      </c>
      <c r="U1426" s="1" t="str">
        <f t="shared" si="90"/>
        <v>Underpaid</v>
      </c>
      <c r="V1426" s="1" t="str">
        <f>_xlfn.XLOOKUP(C1426,Payers!$A$2:$A$9,Payers!$B$2:$B$9)</f>
        <v>Sunshine Medicare Advantage</v>
      </c>
      <c r="W1426" s="1" t="str">
        <f t="shared" si="91"/>
        <v>2025-10</v>
      </c>
    </row>
    <row r="1427" spans="1:23">
      <c r="A1427" s="1" t="s">
        <v>2652</v>
      </c>
      <c r="B1427" s="1" t="s">
        <v>2247</v>
      </c>
      <c r="C1427" s="1" t="s">
        <v>36</v>
      </c>
      <c r="D1427" s="1" t="s">
        <v>26</v>
      </c>
      <c r="E1427" s="1" t="s">
        <v>88</v>
      </c>
      <c r="F1427">
        <v>1</v>
      </c>
      <c r="G1427" s="2">
        <v>45948</v>
      </c>
      <c r="H1427" s="2">
        <v>45953</v>
      </c>
      <c r="I1427">
        <v>267.04000000000002</v>
      </c>
      <c r="J1427">
        <v>79.77</v>
      </c>
      <c r="K1427">
        <v>63.82</v>
      </c>
      <c r="L1427">
        <v>15.95</v>
      </c>
      <c r="M1427" s="1" t="s">
        <v>21</v>
      </c>
      <c r="N1427" s="1" t="s">
        <v>22</v>
      </c>
      <c r="O1427" s="2">
        <v>45982</v>
      </c>
      <c r="P1427" s="2">
        <v>45982</v>
      </c>
      <c r="Q1427">
        <f>_xlfn.XLOOKUP(E1427,CPT!$A$2:$A$13,CPT!$D$2:$D$13)</f>
        <v>260</v>
      </c>
      <c r="R1427" s="1">
        <f>_xlfn.XLOOKUP(C1427,Contract!$A$2:$A$9,Contract!$B$2:$B$9)</f>
        <v>0.27</v>
      </c>
      <c r="S1427" s="1">
        <f t="shared" si="88"/>
        <v>70.2</v>
      </c>
      <c r="T1427" s="1">
        <f t="shared" si="89"/>
        <v>-9.5699999999999932</v>
      </c>
      <c r="U1427" s="1" t="str">
        <f t="shared" si="90"/>
        <v>OK</v>
      </c>
      <c r="V1427" s="1" t="str">
        <f>_xlfn.XLOOKUP(C1427,Payers!$A$2:$A$9,Payers!$B$2:$B$9)</f>
        <v>Florida Medicaid</v>
      </c>
      <c r="W1427" s="1" t="str">
        <f t="shared" si="91"/>
        <v>2025-10</v>
      </c>
    </row>
    <row r="1428" spans="1:23">
      <c r="A1428" s="1" t="s">
        <v>2653</v>
      </c>
      <c r="B1428" s="1" t="s">
        <v>578</v>
      </c>
      <c r="C1428" s="1" t="s">
        <v>52</v>
      </c>
      <c r="D1428" s="1" t="s">
        <v>19</v>
      </c>
      <c r="E1428" s="1" t="s">
        <v>88</v>
      </c>
      <c r="F1428">
        <v>1</v>
      </c>
      <c r="G1428" s="2">
        <v>46080</v>
      </c>
      <c r="H1428" s="2">
        <v>46082</v>
      </c>
      <c r="I1428">
        <v>262.31</v>
      </c>
      <c r="J1428">
        <v>137.29</v>
      </c>
      <c r="K1428">
        <v>137.29</v>
      </c>
      <c r="L1428">
        <v>0</v>
      </c>
      <c r="M1428" s="1" t="s">
        <v>21</v>
      </c>
      <c r="N1428" s="1" t="s">
        <v>22</v>
      </c>
      <c r="O1428" s="2">
        <v>46113</v>
      </c>
      <c r="P1428" s="2">
        <v>46113</v>
      </c>
      <c r="Q1428">
        <f>_xlfn.XLOOKUP(E1428,CPT!$A$2:$A$13,CPT!$D$2:$D$13)</f>
        <v>260</v>
      </c>
      <c r="R1428" s="1">
        <f>_xlfn.XLOOKUP(C1428,Contract!$A$2:$A$9,Contract!$B$2:$B$9)</f>
        <v>0.47</v>
      </c>
      <c r="S1428" s="1">
        <f t="shared" si="88"/>
        <v>122.2</v>
      </c>
      <c r="T1428" s="1">
        <f t="shared" si="89"/>
        <v>-15.089999999999989</v>
      </c>
      <c r="U1428" s="1" t="str">
        <f t="shared" si="90"/>
        <v>OK</v>
      </c>
      <c r="V1428" s="1" t="str">
        <f>_xlfn.XLOOKUP(C1428,Payers!$A$2:$A$9,Payers!$B$2:$B$9)</f>
        <v>Keystone Commercial PPO</v>
      </c>
      <c r="W1428" s="1" t="str">
        <f t="shared" si="91"/>
        <v>2026-02</v>
      </c>
    </row>
    <row r="1429" spans="1:23">
      <c r="A1429" s="1" t="s">
        <v>2654</v>
      </c>
      <c r="B1429" s="1" t="s">
        <v>2655</v>
      </c>
      <c r="C1429" s="1" t="s">
        <v>52</v>
      </c>
      <c r="D1429" s="1" t="s">
        <v>26</v>
      </c>
      <c r="E1429" s="1" t="s">
        <v>185</v>
      </c>
      <c r="F1429">
        <v>1</v>
      </c>
      <c r="G1429" s="2">
        <v>46210</v>
      </c>
      <c r="H1429" s="2">
        <v>46224</v>
      </c>
      <c r="I1429">
        <v>1150.52</v>
      </c>
      <c r="J1429">
        <v>465.11</v>
      </c>
      <c r="K1429">
        <v>372.09</v>
      </c>
      <c r="L1429">
        <v>93.02</v>
      </c>
      <c r="M1429" s="1" t="s">
        <v>21</v>
      </c>
      <c r="N1429" s="1" t="s">
        <v>22</v>
      </c>
      <c r="O1429" s="2">
        <v>46258</v>
      </c>
      <c r="P1429" s="2">
        <v>46258</v>
      </c>
      <c r="Q1429">
        <f>_xlfn.XLOOKUP(E1429,CPT!$A$2:$A$13,CPT!$D$2:$D$13)</f>
        <v>1150</v>
      </c>
      <c r="R1429" s="1">
        <f>_xlfn.XLOOKUP(C1429,Contract!$A$2:$A$9,Contract!$B$2:$B$9)</f>
        <v>0.47</v>
      </c>
      <c r="S1429" s="1">
        <f t="shared" si="88"/>
        <v>540.5</v>
      </c>
      <c r="T1429" s="1">
        <f t="shared" si="89"/>
        <v>75.389999999999986</v>
      </c>
      <c r="U1429" s="1" t="str">
        <f t="shared" si="90"/>
        <v>Underpaid</v>
      </c>
      <c r="V1429" s="1" t="str">
        <f>_xlfn.XLOOKUP(C1429,Payers!$A$2:$A$9,Payers!$B$2:$B$9)</f>
        <v>Keystone Commercial PPO</v>
      </c>
      <c r="W1429" s="1" t="str">
        <f t="shared" si="91"/>
        <v>2026-07</v>
      </c>
    </row>
    <row r="1430" spans="1:23">
      <c r="A1430" s="1" t="s">
        <v>2656</v>
      </c>
      <c r="B1430" s="1" t="s">
        <v>2090</v>
      </c>
      <c r="C1430" s="1" t="s">
        <v>60</v>
      </c>
      <c r="D1430" s="1" t="s">
        <v>19</v>
      </c>
      <c r="E1430" s="1" t="s">
        <v>57</v>
      </c>
      <c r="F1430">
        <v>1</v>
      </c>
      <c r="G1430" s="2">
        <v>46209</v>
      </c>
      <c r="H1430" s="2">
        <v>46211</v>
      </c>
      <c r="I1430">
        <v>208.76</v>
      </c>
      <c r="J1430">
        <v>101.81</v>
      </c>
      <c r="K1430">
        <v>81.45</v>
      </c>
      <c r="L1430">
        <v>20.36</v>
      </c>
      <c r="M1430" s="1" t="s">
        <v>21</v>
      </c>
      <c r="N1430" s="1" t="s">
        <v>22</v>
      </c>
      <c r="O1430" s="2">
        <v>46237</v>
      </c>
      <c r="P1430" s="2">
        <v>46237</v>
      </c>
      <c r="Q1430">
        <f>_xlfn.XLOOKUP(E1430,CPT!$A$2:$A$13,CPT!$D$2:$D$13)</f>
        <v>210</v>
      </c>
      <c r="R1430" s="1">
        <f>_xlfn.XLOOKUP(C1430,Contract!$A$2:$A$9,Contract!$B$2:$B$9)</f>
        <v>0.45</v>
      </c>
      <c r="S1430" s="1">
        <f t="shared" si="88"/>
        <v>94.5</v>
      </c>
      <c r="T1430" s="1">
        <f t="shared" si="89"/>
        <v>-7.3100000000000023</v>
      </c>
      <c r="U1430" s="1" t="str">
        <f t="shared" si="90"/>
        <v>OK</v>
      </c>
      <c r="V1430" s="1" t="str">
        <f>_xlfn.XLOOKUP(C1430,Payers!$A$2:$A$9,Payers!$B$2:$B$9)</f>
        <v>Blue Horizon Commercial</v>
      </c>
      <c r="W1430" s="1" t="str">
        <f t="shared" si="91"/>
        <v>2026-07</v>
      </c>
    </row>
    <row r="1431" spans="1:23">
      <c r="A1431" s="1" t="s">
        <v>2657</v>
      </c>
      <c r="B1431" s="1" t="s">
        <v>961</v>
      </c>
      <c r="C1431" s="1" t="s">
        <v>79</v>
      </c>
      <c r="D1431" s="1" t="s">
        <v>19</v>
      </c>
      <c r="E1431" s="1" t="s">
        <v>20</v>
      </c>
      <c r="F1431">
        <v>1</v>
      </c>
      <c r="G1431" s="2">
        <v>45963</v>
      </c>
      <c r="H1431" s="2">
        <v>45968</v>
      </c>
      <c r="I1431">
        <v>146.91</v>
      </c>
      <c r="J1431">
        <v>146.91</v>
      </c>
      <c r="K1431">
        <v>146.91</v>
      </c>
      <c r="L1431">
        <v>0</v>
      </c>
      <c r="M1431" s="1" t="s">
        <v>21</v>
      </c>
      <c r="N1431" s="1" t="s">
        <v>22</v>
      </c>
      <c r="O1431" s="2">
        <v>46038</v>
      </c>
      <c r="P1431" s="2">
        <v>46038</v>
      </c>
      <c r="Q1431">
        <f>_xlfn.XLOOKUP(E1431,CPT!$A$2:$A$13,CPT!$D$2:$D$13)</f>
        <v>145</v>
      </c>
      <c r="R1431" s="1">
        <f>_xlfn.XLOOKUP(C1431,Contract!$A$2:$A$9,Contract!$B$2:$B$9)</f>
        <v>1</v>
      </c>
      <c r="S1431" s="1">
        <f t="shared" si="88"/>
        <v>145</v>
      </c>
      <c r="T1431" s="1">
        <f t="shared" si="89"/>
        <v>-1.9099999999999966</v>
      </c>
      <c r="U1431" s="1" t="str">
        <f t="shared" si="90"/>
        <v>OK</v>
      </c>
      <c r="V1431" s="1" t="str">
        <f>_xlfn.XLOOKUP(C1431,Payers!$A$2:$A$9,Payers!$B$2:$B$9)</f>
        <v>Self-Pay</v>
      </c>
      <c r="W1431" s="1" t="str">
        <f t="shared" si="91"/>
        <v>2025-11</v>
      </c>
    </row>
    <row r="1432" spans="1:23">
      <c r="A1432" s="1" t="s">
        <v>2658</v>
      </c>
      <c r="B1432" s="1" t="s">
        <v>2659</v>
      </c>
      <c r="C1432" s="1" t="s">
        <v>36</v>
      </c>
      <c r="D1432" s="1" t="s">
        <v>19</v>
      </c>
      <c r="E1432" s="1" t="s">
        <v>57</v>
      </c>
      <c r="F1432">
        <v>1</v>
      </c>
      <c r="G1432" s="2">
        <v>46225</v>
      </c>
      <c r="H1432" s="2">
        <v>46228</v>
      </c>
      <c r="I1432">
        <v>215.23</v>
      </c>
      <c r="J1432">
        <v>51.86</v>
      </c>
      <c r="K1432">
        <v>51.86</v>
      </c>
      <c r="L1432">
        <v>0</v>
      </c>
      <c r="M1432" s="1" t="s">
        <v>21</v>
      </c>
      <c r="N1432" s="1" t="s">
        <v>22</v>
      </c>
      <c r="O1432" s="2">
        <v>46273</v>
      </c>
      <c r="P1432" s="2">
        <v>46273</v>
      </c>
      <c r="Q1432">
        <f>_xlfn.XLOOKUP(E1432,CPT!$A$2:$A$13,CPT!$D$2:$D$13)</f>
        <v>210</v>
      </c>
      <c r="R1432" s="1">
        <f>_xlfn.XLOOKUP(C1432,Contract!$A$2:$A$9,Contract!$B$2:$B$9)</f>
        <v>0.27</v>
      </c>
      <c r="S1432" s="1">
        <f t="shared" si="88"/>
        <v>56.7</v>
      </c>
      <c r="T1432" s="1">
        <f t="shared" si="89"/>
        <v>4.8400000000000034</v>
      </c>
      <c r="U1432" s="1" t="str">
        <f t="shared" si="90"/>
        <v>Underpaid</v>
      </c>
      <c r="V1432" s="1" t="str">
        <f>_xlfn.XLOOKUP(C1432,Payers!$A$2:$A$9,Payers!$B$2:$B$9)</f>
        <v>Florida Medicaid</v>
      </c>
      <c r="W1432" s="1" t="str">
        <f t="shared" si="91"/>
        <v>2026-07</v>
      </c>
    </row>
    <row r="1433" spans="1:23">
      <c r="A1433" s="1" t="s">
        <v>2660</v>
      </c>
      <c r="B1433" s="1" t="s">
        <v>2661</v>
      </c>
      <c r="C1433" s="1" t="s">
        <v>36</v>
      </c>
      <c r="D1433" s="1" t="s">
        <v>30</v>
      </c>
      <c r="E1433" s="1" t="s">
        <v>31</v>
      </c>
      <c r="F1433">
        <v>1</v>
      </c>
      <c r="G1433" s="2">
        <v>46203</v>
      </c>
      <c r="H1433" s="2">
        <v>46204</v>
      </c>
      <c r="I1433">
        <v>62.68</v>
      </c>
      <c r="J1433">
        <v>18.46</v>
      </c>
      <c r="K1433">
        <v>16.61</v>
      </c>
      <c r="L1433">
        <v>1.85</v>
      </c>
      <c r="M1433" s="1" t="s">
        <v>21</v>
      </c>
      <c r="N1433" s="1" t="s">
        <v>22</v>
      </c>
      <c r="O1433" s="2">
        <v>46234</v>
      </c>
      <c r="P1433" s="2">
        <v>46234</v>
      </c>
      <c r="Q1433">
        <f>_xlfn.XLOOKUP(E1433,CPT!$A$2:$A$13,CPT!$D$2:$D$13)</f>
        <v>62</v>
      </c>
      <c r="R1433" s="1">
        <f>_xlfn.XLOOKUP(C1433,Contract!$A$2:$A$9,Contract!$B$2:$B$9)</f>
        <v>0.27</v>
      </c>
      <c r="S1433" s="1">
        <f t="shared" si="88"/>
        <v>16.739999999999998</v>
      </c>
      <c r="T1433" s="1">
        <f t="shared" si="89"/>
        <v>-1.7200000000000024</v>
      </c>
      <c r="U1433" s="1" t="str">
        <f t="shared" si="90"/>
        <v>OK</v>
      </c>
      <c r="V1433" s="1" t="str">
        <f>_xlfn.XLOOKUP(C1433,Payers!$A$2:$A$9,Payers!$B$2:$B$9)</f>
        <v>Florida Medicaid</v>
      </c>
      <c r="W1433" s="1" t="str">
        <f t="shared" si="91"/>
        <v>2026-06</v>
      </c>
    </row>
    <row r="1434" spans="1:23">
      <c r="A1434" s="1" t="s">
        <v>2662</v>
      </c>
      <c r="B1434" s="1" t="s">
        <v>2663</v>
      </c>
      <c r="C1434" s="1" t="s">
        <v>25</v>
      </c>
      <c r="D1434" s="1" t="s">
        <v>37</v>
      </c>
      <c r="E1434" s="1" t="s">
        <v>38</v>
      </c>
      <c r="F1434">
        <v>30</v>
      </c>
      <c r="G1434" s="2">
        <v>46115</v>
      </c>
      <c r="H1434" s="2">
        <v>46119</v>
      </c>
      <c r="I1434">
        <v>43189.25</v>
      </c>
      <c r="J1434">
        <v>15882.83</v>
      </c>
      <c r="K1434">
        <v>14294.55</v>
      </c>
      <c r="L1434">
        <v>1588.28</v>
      </c>
      <c r="M1434" s="1" t="s">
        <v>21</v>
      </c>
      <c r="N1434" s="1" t="s">
        <v>22</v>
      </c>
      <c r="O1434" s="2">
        <v>46139</v>
      </c>
      <c r="P1434" s="2">
        <v>46139</v>
      </c>
      <c r="Q1434">
        <f>_xlfn.XLOOKUP(E1434,CPT!$A$2:$A$13,CPT!$D$2:$D$13)</f>
        <v>1450</v>
      </c>
      <c r="R1434" s="1">
        <f>_xlfn.XLOOKUP(C1434,Contract!$A$2:$A$9,Contract!$B$2:$B$9)</f>
        <v>0.36</v>
      </c>
      <c r="S1434" s="1">
        <f t="shared" si="88"/>
        <v>15660</v>
      </c>
      <c r="T1434" s="1">
        <f t="shared" si="89"/>
        <v>-222.82999999999993</v>
      </c>
      <c r="U1434" s="1" t="str">
        <f t="shared" si="90"/>
        <v>OK</v>
      </c>
      <c r="V1434" s="1" t="str">
        <f>_xlfn.XLOOKUP(C1434,Payers!$A$2:$A$9,Payers!$B$2:$B$9)</f>
        <v>Medicare Part B</v>
      </c>
      <c r="W1434" s="1" t="str">
        <f t="shared" si="91"/>
        <v>2026-04</v>
      </c>
    </row>
    <row r="1435" spans="1:23">
      <c r="A1435" s="1" t="s">
        <v>2664</v>
      </c>
      <c r="B1435" s="1" t="s">
        <v>2541</v>
      </c>
      <c r="C1435" s="1" t="s">
        <v>76</v>
      </c>
      <c r="D1435" s="1" t="s">
        <v>26</v>
      </c>
      <c r="E1435" s="1" t="s">
        <v>41</v>
      </c>
      <c r="F1435">
        <v>1</v>
      </c>
      <c r="G1435" s="2">
        <v>46122</v>
      </c>
      <c r="H1435" s="2">
        <v>46123</v>
      </c>
      <c r="I1435">
        <v>37.47</v>
      </c>
      <c r="J1435">
        <v>15.82</v>
      </c>
      <c r="K1435">
        <v>12.66</v>
      </c>
      <c r="L1435">
        <v>3.16</v>
      </c>
      <c r="M1435" s="1" t="s">
        <v>21</v>
      </c>
      <c r="N1435" s="1" t="s">
        <v>22</v>
      </c>
      <c r="O1435" s="2">
        <v>46155</v>
      </c>
      <c r="P1435" s="2">
        <v>46155</v>
      </c>
      <c r="Q1435">
        <f>_xlfn.XLOOKUP(E1435,CPT!$A$2:$A$13,CPT!$D$2:$D$13)</f>
        <v>38</v>
      </c>
      <c r="R1435" s="1">
        <f>_xlfn.XLOOKUP(C1435,Contract!$A$2:$A$9,Contract!$B$2:$B$9)</f>
        <v>0.43</v>
      </c>
      <c r="S1435" s="1">
        <f t="shared" si="88"/>
        <v>16.34</v>
      </c>
      <c r="T1435" s="1">
        <f t="shared" si="89"/>
        <v>0.51999999999999957</v>
      </c>
      <c r="U1435" s="1" t="str">
        <f t="shared" si="90"/>
        <v>OK</v>
      </c>
      <c r="V1435" s="1" t="str">
        <f>_xlfn.XLOOKUP(C1435,Payers!$A$2:$A$9,Payers!$B$2:$B$9)</f>
        <v>Summit Health Commercial</v>
      </c>
      <c r="W1435" s="1" t="str">
        <f t="shared" si="91"/>
        <v>2026-04</v>
      </c>
    </row>
    <row r="1436" spans="1:23">
      <c r="A1436" s="1" t="s">
        <v>2665</v>
      </c>
      <c r="B1436" s="1" t="s">
        <v>2666</v>
      </c>
      <c r="C1436" s="1" t="s">
        <v>36</v>
      </c>
      <c r="D1436" s="1" t="s">
        <v>26</v>
      </c>
      <c r="E1436" s="1" t="s">
        <v>44</v>
      </c>
      <c r="F1436">
        <v>1</v>
      </c>
      <c r="G1436" s="2">
        <v>46081</v>
      </c>
      <c r="H1436" s="2">
        <v>46083</v>
      </c>
      <c r="I1436">
        <v>4709.4799999999996</v>
      </c>
      <c r="J1436">
        <v>1344.16</v>
      </c>
      <c r="K1436">
        <v>1075.33</v>
      </c>
      <c r="L1436">
        <v>268.83</v>
      </c>
      <c r="M1436" s="1" t="s">
        <v>21</v>
      </c>
      <c r="N1436" s="1" t="s">
        <v>22</v>
      </c>
      <c r="O1436" s="2">
        <v>46121</v>
      </c>
      <c r="P1436" s="2">
        <v>46121</v>
      </c>
      <c r="Q1436">
        <f>_xlfn.XLOOKUP(E1436,CPT!$A$2:$A$13,CPT!$D$2:$D$13)</f>
        <v>4800</v>
      </c>
      <c r="R1436" s="1">
        <f>_xlfn.XLOOKUP(C1436,Contract!$A$2:$A$9,Contract!$B$2:$B$9)</f>
        <v>0.27</v>
      </c>
      <c r="S1436" s="1">
        <f t="shared" si="88"/>
        <v>1296</v>
      </c>
      <c r="T1436" s="1">
        <f t="shared" si="89"/>
        <v>-48.160000000000082</v>
      </c>
      <c r="U1436" s="1" t="str">
        <f t="shared" si="90"/>
        <v>OK</v>
      </c>
      <c r="V1436" s="1" t="str">
        <f>_xlfn.XLOOKUP(C1436,Payers!$A$2:$A$9,Payers!$B$2:$B$9)</f>
        <v>Florida Medicaid</v>
      </c>
      <c r="W1436" s="1" t="str">
        <f t="shared" si="91"/>
        <v>2026-02</v>
      </c>
    </row>
    <row r="1437" spans="1:23">
      <c r="A1437" s="1" t="s">
        <v>2667</v>
      </c>
      <c r="B1437" s="1" t="s">
        <v>81</v>
      </c>
      <c r="C1437" s="1" t="s">
        <v>25</v>
      </c>
      <c r="D1437" s="1" t="s">
        <v>30</v>
      </c>
      <c r="E1437" s="1" t="s">
        <v>31</v>
      </c>
      <c r="F1437">
        <v>4</v>
      </c>
      <c r="G1437" s="2">
        <v>46103</v>
      </c>
      <c r="H1437" s="2">
        <v>46106</v>
      </c>
      <c r="I1437">
        <v>255.28</v>
      </c>
      <c r="J1437">
        <v>82.4</v>
      </c>
      <c r="K1437">
        <v>82.4</v>
      </c>
      <c r="L1437">
        <v>0</v>
      </c>
      <c r="M1437" s="1" t="s">
        <v>21</v>
      </c>
      <c r="N1437" s="1" t="s">
        <v>22</v>
      </c>
      <c r="O1437" s="2">
        <v>46113</v>
      </c>
      <c r="P1437" s="2">
        <v>46113</v>
      </c>
      <c r="Q1437">
        <f>_xlfn.XLOOKUP(E1437,CPT!$A$2:$A$13,CPT!$D$2:$D$13)</f>
        <v>62</v>
      </c>
      <c r="R1437" s="1">
        <f>_xlfn.XLOOKUP(C1437,Contract!$A$2:$A$9,Contract!$B$2:$B$9)</f>
        <v>0.36</v>
      </c>
      <c r="S1437" s="1">
        <f t="shared" si="88"/>
        <v>89.28</v>
      </c>
      <c r="T1437" s="1">
        <f t="shared" si="89"/>
        <v>6.8799999999999955</v>
      </c>
      <c r="U1437" s="1" t="str">
        <f t="shared" si="90"/>
        <v>Underpaid</v>
      </c>
      <c r="V1437" s="1" t="str">
        <f>_xlfn.XLOOKUP(C1437,Payers!$A$2:$A$9,Payers!$B$2:$B$9)</f>
        <v>Medicare Part B</v>
      </c>
      <c r="W1437" s="1" t="str">
        <f t="shared" si="91"/>
        <v>2026-03</v>
      </c>
    </row>
    <row r="1438" spans="1:23">
      <c r="A1438" s="1" t="s">
        <v>2668</v>
      </c>
      <c r="B1438" s="1" t="s">
        <v>2669</v>
      </c>
      <c r="C1438" s="1" t="s">
        <v>47</v>
      </c>
      <c r="D1438" s="1" t="s">
        <v>30</v>
      </c>
      <c r="E1438" s="1" t="s">
        <v>31</v>
      </c>
      <c r="F1438">
        <v>1</v>
      </c>
      <c r="G1438" s="2">
        <v>46044</v>
      </c>
      <c r="H1438" s="2">
        <v>46051</v>
      </c>
      <c r="I1438">
        <v>62.11</v>
      </c>
      <c r="M1438" s="1" t="s">
        <v>32</v>
      </c>
      <c r="N1438" s="1" t="s">
        <v>49</v>
      </c>
      <c r="O1438" s="2">
        <v>46095</v>
      </c>
      <c r="P1438" s="2"/>
      <c r="Q1438">
        <f>_xlfn.XLOOKUP(E1438,CPT!$A$2:$A$13,CPT!$D$2:$D$13)</f>
        <v>62</v>
      </c>
      <c r="R1438" s="1">
        <f>_xlfn.XLOOKUP(C1438,Contract!$A$2:$A$9,Contract!$B$2:$B$9)</f>
        <v>0.28000000000000003</v>
      </c>
      <c r="S1438" s="1">
        <f t="shared" si="88"/>
        <v>17.36</v>
      </c>
      <c r="T1438" s="1" t="str">
        <f t="shared" si="89"/>
        <v/>
      </c>
      <c r="U1438" s="1" t="str">
        <f t="shared" si="90"/>
        <v/>
      </c>
      <c r="V1438" s="1" t="str">
        <f>_xlfn.XLOOKUP(C1438,Payers!$A$2:$A$9,Payers!$B$2:$B$9)</f>
        <v>Coastal Medicaid MCO</v>
      </c>
      <c r="W1438" s="1" t="str">
        <f t="shared" si="91"/>
        <v>2026-01</v>
      </c>
    </row>
    <row r="1439" spans="1:23">
      <c r="A1439" s="1" t="s">
        <v>2670</v>
      </c>
      <c r="B1439" s="1" t="s">
        <v>2671</v>
      </c>
      <c r="C1439" s="1" t="s">
        <v>60</v>
      </c>
      <c r="D1439" s="1" t="s">
        <v>30</v>
      </c>
      <c r="E1439" s="1" t="s">
        <v>91</v>
      </c>
      <c r="F1439">
        <v>2</v>
      </c>
      <c r="G1439" s="2">
        <v>46095</v>
      </c>
      <c r="H1439" s="2">
        <v>46097</v>
      </c>
      <c r="I1439">
        <v>117.9</v>
      </c>
      <c r="M1439" s="1" t="s">
        <v>32</v>
      </c>
      <c r="N1439" s="1" t="s">
        <v>33</v>
      </c>
      <c r="O1439" s="2">
        <v>46121</v>
      </c>
      <c r="P1439" s="2"/>
      <c r="Q1439">
        <f>_xlfn.XLOOKUP(E1439,CPT!$A$2:$A$13,CPT!$D$2:$D$13)</f>
        <v>58</v>
      </c>
      <c r="R1439" s="1">
        <f>_xlfn.XLOOKUP(C1439,Contract!$A$2:$A$9,Contract!$B$2:$B$9)</f>
        <v>0.45</v>
      </c>
      <c r="S1439" s="1">
        <f t="shared" si="88"/>
        <v>52.2</v>
      </c>
      <c r="T1439" s="1" t="str">
        <f t="shared" si="89"/>
        <v/>
      </c>
      <c r="U1439" s="1" t="str">
        <f t="shared" si="90"/>
        <v/>
      </c>
      <c r="V1439" s="1" t="str">
        <f>_xlfn.XLOOKUP(C1439,Payers!$A$2:$A$9,Payers!$B$2:$B$9)</f>
        <v>Blue Horizon Commercial</v>
      </c>
      <c r="W1439" s="1" t="str">
        <f t="shared" si="91"/>
        <v>2026-03</v>
      </c>
    </row>
    <row r="1440" spans="1:23">
      <c r="A1440" s="1" t="s">
        <v>2672</v>
      </c>
      <c r="B1440" s="1" t="s">
        <v>2673</v>
      </c>
      <c r="C1440" s="1" t="s">
        <v>47</v>
      </c>
      <c r="D1440" s="1" t="s">
        <v>30</v>
      </c>
      <c r="E1440" s="1" t="s">
        <v>31</v>
      </c>
      <c r="F1440">
        <v>2</v>
      </c>
      <c r="G1440" s="2">
        <v>45988</v>
      </c>
      <c r="H1440" s="2">
        <v>45989</v>
      </c>
      <c r="I1440">
        <v>124.74</v>
      </c>
      <c r="J1440">
        <v>33</v>
      </c>
      <c r="K1440">
        <v>33</v>
      </c>
      <c r="L1440">
        <v>0</v>
      </c>
      <c r="M1440" s="1" t="s">
        <v>21</v>
      </c>
      <c r="N1440" s="1" t="s">
        <v>22</v>
      </c>
      <c r="O1440" s="2">
        <v>46052</v>
      </c>
      <c r="P1440" s="2">
        <v>46052</v>
      </c>
      <c r="Q1440">
        <f>_xlfn.XLOOKUP(E1440,CPT!$A$2:$A$13,CPT!$D$2:$D$13)</f>
        <v>62</v>
      </c>
      <c r="R1440" s="1">
        <f>_xlfn.XLOOKUP(C1440,Contract!$A$2:$A$9,Contract!$B$2:$B$9)</f>
        <v>0.28000000000000003</v>
      </c>
      <c r="S1440" s="1">
        <f t="shared" si="88"/>
        <v>34.72</v>
      </c>
      <c r="T1440" s="1">
        <f t="shared" si="89"/>
        <v>1.7199999999999989</v>
      </c>
      <c r="U1440" s="1" t="str">
        <f t="shared" si="90"/>
        <v>OK</v>
      </c>
      <c r="V1440" s="1" t="str">
        <f>_xlfn.XLOOKUP(C1440,Payers!$A$2:$A$9,Payers!$B$2:$B$9)</f>
        <v>Coastal Medicaid MCO</v>
      </c>
      <c r="W1440" s="1" t="str">
        <f t="shared" si="91"/>
        <v>2025-11</v>
      </c>
    </row>
    <row r="1441" spans="1:23">
      <c r="A1441" s="1" t="s">
        <v>2674</v>
      </c>
      <c r="B1441" s="1" t="s">
        <v>2675</v>
      </c>
      <c r="C1441" s="1" t="s">
        <v>76</v>
      </c>
      <c r="D1441" s="1" t="s">
        <v>19</v>
      </c>
      <c r="E1441" s="1" t="s">
        <v>41</v>
      </c>
      <c r="F1441">
        <v>1</v>
      </c>
      <c r="G1441" s="2">
        <v>46097</v>
      </c>
      <c r="H1441" s="2">
        <v>46098</v>
      </c>
      <c r="I1441">
        <v>37.53</v>
      </c>
      <c r="J1441">
        <v>14.56</v>
      </c>
      <c r="K1441">
        <v>14.56</v>
      </c>
      <c r="L1441">
        <v>0</v>
      </c>
      <c r="M1441" s="1" t="s">
        <v>21</v>
      </c>
      <c r="N1441" s="1" t="s">
        <v>22</v>
      </c>
      <c r="O1441" s="2">
        <v>46146</v>
      </c>
      <c r="P1441" s="2">
        <v>46146</v>
      </c>
      <c r="Q1441">
        <f>_xlfn.XLOOKUP(E1441,CPT!$A$2:$A$13,CPT!$D$2:$D$13)</f>
        <v>38</v>
      </c>
      <c r="R1441" s="1">
        <f>_xlfn.XLOOKUP(C1441,Contract!$A$2:$A$9,Contract!$B$2:$B$9)</f>
        <v>0.43</v>
      </c>
      <c r="S1441" s="1">
        <f t="shared" si="88"/>
        <v>16.34</v>
      </c>
      <c r="T1441" s="1">
        <f t="shared" si="89"/>
        <v>1.7799999999999994</v>
      </c>
      <c r="U1441" s="1" t="str">
        <f t="shared" si="90"/>
        <v>Underpaid</v>
      </c>
      <c r="V1441" s="1" t="str">
        <f>_xlfn.XLOOKUP(C1441,Payers!$A$2:$A$9,Payers!$B$2:$B$9)</f>
        <v>Summit Health Commercial</v>
      </c>
      <c r="W1441" s="1" t="str">
        <f t="shared" si="91"/>
        <v>2026-03</v>
      </c>
    </row>
    <row r="1442" spans="1:23">
      <c r="A1442" s="1" t="s">
        <v>2676</v>
      </c>
      <c r="B1442" s="1" t="s">
        <v>2677</v>
      </c>
      <c r="C1442" s="1" t="s">
        <v>47</v>
      </c>
      <c r="D1442" s="1" t="s">
        <v>26</v>
      </c>
      <c r="E1442" s="1" t="s">
        <v>27</v>
      </c>
      <c r="F1442">
        <v>1</v>
      </c>
      <c r="G1442" s="2">
        <v>46145</v>
      </c>
      <c r="H1442" s="2">
        <v>46153</v>
      </c>
      <c r="I1442">
        <v>239.65</v>
      </c>
      <c r="J1442">
        <v>61.42</v>
      </c>
      <c r="K1442">
        <v>61.42</v>
      </c>
      <c r="L1442">
        <v>0</v>
      </c>
      <c r="M1442" s="1" t="s">
        <v>21</v>
      </c>
      <c r="N1442" s="1" t="s">
        <v>22</v>
      </c>
      <c r="O1442" s="2">
        <v>46182</v>
      </c>
      <c r="P1442" s="2">
        <v>46182</v>
      </c>
      <c r="Q1442">
        <f>_xlfn.XLOOKUP(E1442,CPT!$A$2:$A$13,CPT!$D$2:$D$13)</f>
        <v>240</v>
      </c>
      <c r="R1442" s="1">
        <f>_xlfn.XLOOKUP(C1442,Contract!$A$2:$A$9,Contract!$B$2:$B$9)</f>
        <v>0.28000000000000003</v>
      </c>
      <c r="S1442" s="1">
        <f t="shared" si="88"/>
        <v>67.2</v>
      </c>
      <c r="T1442" s="1">
        <f t="shared" si="89"/>
        <v>5.7800000000000011</v>
      </c>
      <c r="U1442" s="1" t="str">
        <f t="shared" si="90"/>
        <v>Underpaid</v>
      </c>
      <c r="V1442" s="1" t="str">
        <f>_xlfn.XLOOKUP(C1442,Payers!$A$2:$A$9,Payers!$B$2:$B$9)</f>
        <v>Coastal Medicaid MCO</v>
      </c>
      <c r="W1442" s="1" t="str">
        <f t="shared" si="91"/>
        <v>2026-05</v>
      </c>
    </row>
    <row r="1443" spans="1:23">
      <c r="A1443" s="1" t="s">
        <v>2678</v>
      </c>
      <c r="B1443" s="1" t="s">
        <v>2679</v>
      </c>
      <c r="C1443" s="1" t="s">
        <v>79</v>
      </c>
      <c r="D1443" s="1" t="s">
        <v>30</v>
      </c>
      <c r="E1443" s="1" t="s">
        <v>91</v>
      </c>
      <c r="F1443">
        <v>4</v>
      </c>
      <c r="G1443" s="2">
        <v>46007</v>
      </c>
      <c r="H1443" s="2">
        <v>46014</v>
      </c>
      <c r="I1443">
        <v>237.07</v>
      </c>
      <c r="M1443" s="1" t="s">
        <v>69</v>
      </c>
      <c r="N1443" s="1" t="s">
        <v>22</v>
      </c>
      <c r="O1443" s="2"/>
      <c r="P1443" s="2"/>
      <c r="Q1443">
        <f>_xlfn.XLOOKUP(E1443,CPT!$A$2:$A$13,CPT!$D$2:$D$13)</f>
        <v>58</v>
      </c>
      <c r="R1443" s="1">
        <f>_xlfn.XLOOKUP(C1443,Contract!$A$2:$A$9,Contract!$B$2:$B$9)</f>
        <v>1</v>
      </c>
      <c r="S1443" s="1">
        <f t="shared" si="88"/>
        <v>232</v>
      </c>
      <c r="T1443" s="1" t="str">
        <f t="shared" si="89"/>
        <v/>
      </c>
      <c r="U1443" s="1" t="str">
        <f t="shared" si="90"/>
        <v/>
      </c>
      <c r="V1443" s="1" t="str">
        <f>_xlfn.XLOOKUP(C1443,Payers!$A$2:$A$9,Payers!$B$2:$B$9)</f>
        <v>Self-Pay</v>
      </c>
      <c r="W1443" s="1" t="str">
        <f t="shared" si="91"/>
        <v>2025-12</v>
      </c>
    </row>
    <row r="1444" spans="1:23">
      <c r="A1444" s="1" t="s">
        <v>2680</v>
      </c>
      <c r="B1444" s="1" t="s">
        <v>933</v>
      </c>
      <c r="C1444" s="1" t="s">
        <v>76</v>
      </c>
      <c r="D1444" s="1" t="s">
        <v>19</v>
      </c>
      <c r="E1444" s="1" t="s">
        <v>41</v>
      </c>
      <c r="F1444">
        <v>1</v>
      </c>
      <c r="G1444" s="2">
        <v>46201</v>
      </c>
      <c r="H1444" s="2">
        <v>46202</v>
      </c>
      <c r="I1444">
        <v>39.020000000000003</v>
      </c>
      <c r="J1444">
        <v>16.54</v>
      </c>
      <c r="K1444">
        <v>16.54</v>
      </c>
      <c r="L1444">
        <v>0</v>
      </c>
      <c r="M1444" s="1" t="s">
        <v>21</v>
      </c>
      <c r="N1444" s="1" t="s">
        <v>22</v>
      </c>
      <c r="O1444" s="2">
        <v>46248</v>
      </c>
      <c r="P1444" s="2">
        <v>46248</v>
      </c>
      <c r="Q1444">
        <f>_xlfn.XLOOKUP(E1444,CPT!$A$2:$A$13,CPT!$D$2:$D$13)</f>
        <v>38</v>
      </c>
      <c r="R1444" s="1">
        <f>_xlfn.XLOOKUP(C1444,Contract!$A$2:$A$9,Contract!$B$2:$B$9)</f>
        <v>0.43</v>
      </c>
      <c r="S1444" s="1">
        <f t="shared" si="88"/>
        <v>16.34</v>
      </c>
      <c r="T1444" s="1">
        <f t="shared" si="89"/>
        <v>-0.19999999999999929</v>
      </c>
      <c r="U1444" s="1" t="str">
        <f t="shared" si="90"/>
        <v>OK</v>
      </c>
      <c r="V1444" s="1" t="str">
        <f>_xlfn.XLOOKUP(C1444,Payers!$A$2:$A$9,Payers!$B$2:$B$9)</f>
        <v>Summit Health Commercial</v>
      </c>
      <c r="W1444" s="1" t="str">
        <f t="shared" si="91"/>
        <v>2026-06</v>
      </c>
    </row>
    <row r="1445" spans="1:23">
      <c r="A1445" s="1" t="s">
        <v>2681</v>
      </c>
      <c r="B1445" s="1" t="s">
        <v>1880</v>
      </c>
      <c r="C1445" s="1" t="s">
        <v>76</v>
      </c>
      <c r="D1445" s="1" t="s">
        <v>19</v>
      </c>
      <c r="E1445" s="1" t="s">
        <v>88</v>
      </c>
      <c r="F1445">
        <v>1</v>
      </c>
      <c r="G1445" s="2">
        <v>46051</v>
      </c>
      <c r="H1445" s="2">
        <v>46054</v>
      </c>
      <c r="I1445">
        <v>265.38</v>
      </c>
      <c r="J1445">
        <v>108.1</v>
      </c>
      <c r="K1445">
        <v>108.1</v>
      </c>
      <c r="L1445">
        <v>0</v>
      </c>
      <c r="M1445" s="1" t="s">
        <v>21</v>
      </c>
      <c r="N1445" s="1" t="s">
        <v>22</v>
      </c>
      <c r="O1445" s="2">
        <v>46091</v>
      </c>
      <c r="P1445" s="2">
        <v>46091</v>
      </c>
      <c r="Q1445">
        <f>_xlfn.XLOOKUP(E1445,CPT!$A$2:$A$13,CPT!$D$2:$D$13)</f>
        <v>260</v>
      </c>
      <c r="R1445" s="1">
        <f>_xlfn.XLOOKUP(C1445,Contract!$A$2:$A$9,Contract!$B$2:$B$9)</f>
        <v>0.43</v>
      </c>
      <c r="S1445" s="1">
        <f t="shared" si="88"/>
        <v>111.8</v>
      </c>
      <c r="T1445" s="1">
        <f t="shared" si="89"/>
        <v>3.7000000000000028</v>
      </c>
      <c r="U1445" s="1" t="str">
        <f t="shared" si="90"/>
        <v>OK</v>
      </c>
      <c r="V1445" s="1" t="str">
        <f>_xlfn.XLOOKUP(C1445,Payers!$A$2:$A$9,Payers!$B$2:$B$9)</f>
        <v>Summit Health Commercial</v>
      </c>
      <c r="W1445" s="1" t="str">
        <f t="shared" si="91"/>
        <v>2026-01</v>
      </c>
    </row>
    <row r="1446" spans="1:23">
      <c r="A1446" s="1" t="s">
        <v>2682</v>
      </c>
      <c r="B1446" s="1" t="s">
        <v>2683</v>
      </c>
      <c r="C1446" s="1" t="s">
        <v>36</v>
      </c>
      <c r="D1446" s="1" t="s">
        <v>30</v>
      </c>
      <c r="E1446" s="1" t="s">
        <v>20</v>
      </c>
      <c r="F1446">
        <v>1</v>
      </c>
      <c r="G1446" s="2">
        <v>46150</v>
      </c>
      <c r="H1446" s="2">
        <v>46163</v>
      </c>
      <c r="I1446">
        <v>144.27000000000001</v>
      </c>
      <c r="J1446">
        <v>37.93</v>
      </c>
      <c r="K1446">
        <v>34.14</v>
      </c>
      <c r="L1446">
        <v>3.79</v>
      </c>
      <c r="M1446" s="1" t="s">
        <v>21</v>
      </c>
      <c r="N1446" s="1" t="s">
        <v>22</v>
      </c>
      <c r="O1446" s="2">
        <v>46203</v>
      </c>
      <c r="P1446" s="2">
        <v>46203</v>
      </c>
      <c r="Q1446">
        <f>_xlfn.XLOOKUP(E1446,CPT!$A$2:$A$13,CPT!$D$2:$D$13)</f>
        <v>145</v>
      </c>
      <c r="R1446" s="1">
        <f>_xlfn.XLOOKUP(C1446,Contract!$A$2:$A$9,Contract!$B$2:$B$9)</f>
        <v>0.27</v>
      </c>
      <c r="S1446" s="1">
        <f t="shared" si="88"/>
        <v>39.15</v>
      </c>
      <c r="T1446" s="1">
        <f t="shared" si="89"/>
        <v>1.2199999999999989</v>
      </c>
      <c r="U1446" s="1" t="str">
        <f t="shared" si="90"/>
        <v>OK</v>
      </c>
      <c r="V1446" s="1" t="str">
        <f>_xlfn.XLOOKUP(C1446,Payers!$A$2:$A$9,Payers!$B$2:$B$9)</f>
        <v>Florida Medicaid</v>
      </c>
      <c r="W1446" s="1" t="str">
        <f t="shared" si="91"/>
        <v>2026-05</v>
      </c>
    </row>
    <row r="1447" spans="1:23">
      <c r="A1447" s="1" t="s">
        <v>2684</v>
      </c>
      <c r="B1447" s="1" t="s">
        <v>1733</v>
      </c>
      <c r="C1447" s="1" t="s">
        <v>52</v>
      </c>
      <c r="D1447" s="1" t="s">
        <v>30</v>
      </c>
      <c r="E1447" s="1" t="s">
        <v>31</v>
      </c>
      <c r="F1447">
        <v>3</v>
      </c>
      <c r="G1447" s="2">
        <v>46103</v>
      </c>
      <c r="H1447" s="2">
        <v>46109</v>
      </c>
      <c r="I1447">
        <v>184.18</v>
      </c>
      <c r="J1447">
        <v>82.68</v>
      </c>
      <c r="K1447">
        <v>66.14</v>
      </c>
      <c r="L1447">
        <v>16.54</v>
      </c>
      <c r="M1447" s="1" t="s">
        <v>21</v>
      </c>
      <c r="N1447" s="1" t="s">
        <v>22</v>
      </c>
      <c r="O1447" s="2">
        <v>46137</v>
      </c>
      <c r="P1447" s="2">
        <v>46137</v>
      </c>
      <c r="Q1447">
        <f>_xlfn.XLOOKUP(E1447,CPT!$A$2:$A$13,CPT!$D$2:$D$13)</f>
        <v>62</v>
      </c>
      <c r="R1447" s="1">
        <f>_xlfn.XLOOKUP(C1447,Contract!$A$2:$A$9,Contract!$B$2:$B$9)</f>
        <v>0.47</v>
      </c>
      <c r="S1447" s="1">
        <f t="shared" si="88"/>
        <v>87.42</v>
      </c>
      <c r="T1447" s="1">
        <f t="shared" si="89"/>
        <v>4.7399999999999949</v>
      </c>
      <c r="U1447" s="1" t="str">
        <f t="shared" si="90"/>
        <v>Underpaid</v>
      </c>
      <c r="V1447" s="1" t="str">
        <f>_xlfn.XLOOKUP(C1447,Payers!$A$2:$A$9,Payers!$B$2:$B$9)</f>
        <v>Keystone Commercial PPO</v>
      </c>
      <c r="W1447" s="1" t="str">
        <f t="shared" si="91"/>
        <v>2026-03</v>
      </c>
    </row>
    <row r="1448" spans="1:23">
      <c r="A1448" s="1" t="s">
        <v>2685</v>
      </c>
      <c r="B1448" s="1" t="s">
        <v>2686</v>
      </c>
      <c r="C1448" s="1" t="s">
        <v>36</v>
      </c>
      <c r="D1448" s="1" t="s">
        <v>37</v>
      </c>
      <c r="E1448" s="1" t="s">
        <v>48</v>
      </c>
      <c r="F1448">
        <v>1</v>
      </c>
      <c r="G1448" s="2">
        <v>46245</v>
      </c>
      <c r="H1448" s="2">
        <v>46248</v>
      </c>
      <c r="I1448">
        <v>414.66</v>
      </c>
      <c r="J1448">
        <v>115.94</v>
      </c>
      <c r="K1448">
        <v>92.75</v>
      </c>
      <c r="L1448">
        <v>23.19</v>
      </c>
      <c r="M1448" s="1" t="s">
        <v>21</v>
      </c>
      <c r="N1448" s="1" t="s">
        <v>22</v>
      </c>
      <c r="O1448" s="2">
        <v>46291</v>
      </c>
      <c r="P1448" s="2">
        <v>46291</v>
      </c>
      <c r="Q1448">
        <f>_xlfn.XLOOKUP(E1448,CPT!$A$2:$A$13,CPT!$D$2:$D$13)</f>
        <v>420</v>
      </c>
      <c r="R1448" s="1">
        <f>_xlfn.XLOOKUP(C1448,Contract!$A$2:$A$9,Contract!$B$2:$B$9)</f>
        <v>0.27</v>
      </c>
      <c r="S1448" s="1">
        <f t="shared" si="88"/>
        <v>113.4</v>
      </c>
      <c r="T1448" s="1">
        <f t="shared" si="89"/>
        <v>-2.539999999999992</v>
      </c>
      <c r="U1448" s="1" t="str">
        <f t="shared" si="90"/>
        <v>OK</v>
      </c>
      <c r="V1448" s="1" t="str">
        <f>_xlfn.XLOOKUP(C1448,Payers!$A$2:$A$9,Payers!$B$2:$B$9)</f>
        <v>Florida Medicaid</v>
      </c>
      <c r="W1448" s="1" t="str">
        <f t="shared" si="91"/>
        <v>2026-08</v>
      </c>
    </row>
    <row r="1449" spans="1:23">
      <c r="A1449" s="1" t="s">
        <v>2687</v>
      </c>
      <c r="B1449" s="1" t="s">
        <v>2688</v>
      </c>
      <c r="C1449" s="1" t="s">
        <v>60</v>
      </c>
      <c r="D1449" s="1" t="s">
        <v>26</v>
      </c>
      <c r="E1449" s="1" t="s">
        <v>44</v>
      </c>
      <c r="F1449">
        <v>1</v>
      </c>
      <c r="G1449" s="2">
        <v>45951</v>
      </c>
      <c r="H1449" s="2">
        <v>45958</v>
      </c>
      <c r="I1449">
        <v>4668.3500000000004</v>
      </c>
      <c r="J1449">
        <v>1924.02</v>
      </c>
      <c r="K1449">
        <v>1924.02</v>
      </c>
      <c r="L1449">
        <v>0</v>
      </c>
      <c r="M1449" s="1" t="s">
        <v>21</v>
      </c>
      <c r="N1449" s="1" t="s">
        <v>22</v>
      </c>
      <c r="O1449" s="2">
        <v>45988</v>
      </c>
      <c r="P1449" s="2">
        <v>45988</v>
      </c>
      <c r="Q1449">
        <f>_xlfn.XLOOKUP(E1449,CPT!$A$2:$A$13,CPT!$D$2:$D$13)</f>
        <v>4800</v>
      </c>
      <c r="R1449" s="1">
        <f>_xlfn.XLOOKUP(C1449,Contract!$A$2:$A$9,Contract!$B$2:$B$9)</f>
        <v>0.45</v>
      </c>
      <c r="S1449" s="1">
        <f t="shared" si="88"/>
        <v>2160</v>
      </c>
      <c r="T1449" s="1">
        <f t="shared" si="89"/>
        <v>235.98000000000002</v>
      </c>
      <c r="U1449" s="1" t="str">
        <f t="shared" si="90"/>
        <v>Underpaid</v>
      </c>
      <c r="V1449" s="1" t="str">
        <f>_xlfn.XLOOKUP(C1449,Payers!$A$2:$A$9,Payers!$B$2:$B$9)</f>
        <v>Blue Horizon Commercial</v>
      </c>
      <c r="W1449" s="1" t="str">
        <f t="shared" si="91"/>
        <v>2025-10</v>
      </c>
    </row>
    <row r="1450" spans="1:23">
      <c r="A1450" s="1" t="s">
        <v>2689</v>
      </c>
      <c r="B1450" s="1" t="s">
        <v>2690</v>
      </c>
      <c r="C1450" s="1" t="s">
        <v>25</v>
      </c>
      <c r="D1450" s="1" t="s">
        <v>30</v>
      </c>
      <c r="E1450" s="1" t="s">
        <v>31</v>
      </c>
      <c r="F1450">
        <v>1</v>
      </c>
      <c r="G1450" s="2">
        <v>45990</v>
      </c>
      <c r="H1450" s="2">
        <v>46106</v>
      </c>
      <c r="I1450">
        <v>63.37</v>
      </c>
      <c r="M1450" s="1" t="s">
        <v>32</v>
      </c>
      <c r="N1450" s="1" t="s">
        <v>137</v>
      </c>
      <c r="O1450" s="2">
        <v>46120</v>
      </c>
      <c r="P1450" s="2"/>
      <c r="Q1450">
        <f>_xlfn.XLOOKUP(E1450,CPT!$A$2:$A$13,CPT!$D$2:$D$13)</f>
        <v>62</v>
      </c>
      <c r="R1450" s="1">
        <f>_xlfn.XLOOKUP(C1450,Contract!$A$2:$A$9,Contract!$B$2:$B$9)</f>
        <v>0.36</v>
      </c>
      <c r="S1450" s="1">
        <f t="shared" si="88"/>
        <v>22.32</v>
      </c>
      <c r="T1450" s="1" t="str">
        <f t="shared" si="89"/>
        <v/>
      </c>
      <c r="U1450" s="1" t="str">
        <f t="shared" si="90"/>
        <v/>
      </c>
      <c r="V1450" s="1" t="str">
        <f>_xlfn.XLOOKUP(C1450,Payers!$A$2:$A$9,Payers!$B$2:$B$9)</f>
        <v>Medicare Part B</v>
      </c>
      <c r="W1450" s="1" t="str">
        <f t="shared" si="91"/>
        <v>2025-11</v>
      </c>
    </row>
    <row r="1451" spans="1:23">
      <c r="A1451" s="1" t="s">
        <v>2691</v>
      </c>
      <c r="B1451" s="1" t="s">
        <v>2692</v>
      </c>
      <c r="C1451" s="1" t="s">
        <v>76</v>
      </c>
      <c r="D1451" s="1" t="s">
        <v>26</v>
      </c>
      <c r="E1451" s="1" t="s">
        <v>88</v>
      </c>
      <c r="F1451">
        <v>1</v>
      </c>
      <c r="G1451" s="2">
        <v>46076</v>
      </c>
      <c r="H1451" s="2">
        <v>46079</v>
      </c>
      <c r="I1451">
        <v>265.48</v>
      </c>
      <c r="J1451">
        <v>116.54</v>
      </c>
      <c r="K1451">
        <v>93.23</v>
      </c>
      <c r="L1451">
        <v>23.31</v>
      </c>
      <c r="M1451" s="1" t="s">
        <v>21</v>
      </c>
      <c r="N1451" s="1" t="s">
        <v>22</v>
      </c>
      <c r="O1451" s="2">
        <v>46103</v>
      </c>
      <c r="P1451" s="2">
        <v>46103</v>
      </c>
      <c r="Q1451">
        <f>_xlfn.XLOOKUP(E1451,CPT!$A$2:$A$13,CPT!$D$2:$D$13)</f>
        <v>260</v>
      </c>
      <c r="R1451" s="1">
        <f>_xlfn.XLOOKUP(C1451,Contract!$A$2:$A$9,Contract!$B$2:$B$9)</f>
        <v>0.43</v>
      </c>
      <c r="S1451" s="1">
        <f t="shared" si="88"/>
        <v>111.8</v>
      </c>
      <c r="T1451" s="1">
        <f t="shared" si="89"/>
        <v>-4.7400000000000091</v>
      </c>
      <c r="U1451" s="1" t="str">
        <f t="shared" si="90"/>
        <v>OK</v>
      </c>
      <c r="V1451" s="1" t="str">
        <f>_xlfn.XLOOKUP(C1451,Payers!$A$2:$A$9,Payers!$B$2:$B$9)</f>
        <v>Summit Health Commercial</v>
      </c>
      <c r="W1451" s="1" t="str">
        <f t="shared" si="91"/>
        <v>2026-02</v>
      </c>
    </row>
    <row r="1452" spans="1:23">
      <c r="A1452" s="1" t="s">
        <v>2693</v>
      </c>
      <c r="B1452" s="1" t="s">
        <v>1192</v>
      </c>
      <c r="C1452" s="1" t="s">
        <v>52</v>
      </c>
      <c r="D1452" s="1" t="s">
        <v>19</v>
      </c>
      <c r="E1452" s="1" t="s">
        <v>57</v>
      </c>
      <c r="F1452">
        <v>1</v>
      </c>
      <c r="G1452" s="2">
        <v>46257</v>
      </c>
      <c r="H1452" s="2">
        <v>46263</v>
      </c>
      <c r="I1452">
        <v>213.64</v>
      </c>
      <c r="M1452" s="1" t="s">
        <v>69</v>
      </c>
      <c r="N1452" s="1" t="s">
        <v>22</v>
      </c>
      <c r="O1452" s="2"/>
      <c r="P1452" s="2"/>
      <c r="Q1452">
        <f>_xlfn.XLOOKUP(E1452,CPT!$A$2:$A$13,CPT!$D$2:$D$13)</f>
        <v>210</v>
      </c>
      <c r="R1452" s="1">
        <f>_xlfn.XLOOKUP(C1452,Contract!$A$2:$A$9,Contract!$B$2:$B$9)</f>
        <v>0.47</v>
      </c>
      <c r="S1452" s="1">
        <f t="shared" si="88"/>
        <v>98.7</v>
      </c>
      <c r="T1452" s="1" t="str">
        <f t="shared" si="89"/>
        <v/>
      </c>
      <c r="U1452" s="1" t="str">
        <f t="shared" si="90"/>
        <v/>
      </c>
      <c r="V1452" s="1" t="str">
        <f>_xlfn.XLOOKUP(C1452,Payers!$A$2:$A$9,Payers!$B$2:$B$9)</f>
        <v>Keystone Commercial PPO</v>
      </c>
      <c r="W1452" s="1" t="str">
        <f t="shared" si="91"/>
        <v>2026-08</v>
      </c>
    </row>
    <row r="1453" spans="1:23">
      <c r="A1453" s="1" t="s">
        <v>2694</v>
      </c>
      <c r="B1453" s="1" t="s">
        <v>2695</v>
      </c>
      <c r="C1453" s="1" t="s">
        <v>47</v>
      </c>
      <c r="D1453" s="1" t="s">
        <v>19</v>
      </c>
      <c r="E1453" s="1" t="s">
        <v>57</v>
      </c>
      <c r="F1453">
        <v>1</v>
      </c>
      <c r="G1453" s="2">
        <v>46078</v>
      </c>
      <c r="H1453" s="2">
        <v>46091</v>
      </c>
      <c r="I1453">
        <v>206.34</v>
      </c>
      <c r="J1453">
        <v>63.04</v>
      </c>
      <c r="K1453">
        <v>63.04</v>
      </c>
      <c r="L1453">
        <v>0</v>
      </c>
      <c r="M1453" s="1" t="s">
        <v>21</v>
      </c>
      <c r="N1453" s="1" t="s">
        <v>22</v>
      </c>
      <c r="O1453" s="2">
        <v>46142</v>
      </c>
      <c r="P1453" s="2">
        <v>46142</v>
      </c>
      <c r="Q1453">
        <f>_xlfn.XLOOKUP(E1453,CPT!$A$2:$A$13,CPT!$D$2:$D$13)</f>
        <v>210</v>
      </c>
      <c r="R1453" s="1">
        <f>_xlfn.XLOOKUP(C1453,Contract!$A$2:$A$9,Contract!$B$2:$B$9)</f>
        <v>0.28000000000000003</v>
      </c>
      <c r="S1453" s="1">
        <f t="shared" si="88"/>
        <v>58.8</v>
      </c>
      <c r="T1453" s="1">
        <f t="shared" si="89"/>
        <v>-4.240000000000002</v>
      </c>
      <c r="U1453" s="1" t="str">
        <f t="shared" si="90"/>
        <v>OK</v>
      </c>
      <c r="V1453" s="1" t="str">
        <f>_xlfn.XLOOKUP(C1453,Payers!$A$2:$A$9,Payers!$B$2:$B$9)</f>
        <v>Coastal Medicaid MCO</v>
      </c>
      <c r="W1453" s="1" t="str">
        <f t="shared" si="91"/>
        <v>2026-02</v>
      </c>
    </row>
    <row r="1454" spans="1:23">
      <c r="A1454" s="1" t="s">
        <v>2696</v>
      </c>
      <c r="B1454" s="1" t="s">
        <v>2697</v>
      </c>
      <c r="C1454" s="1" t="s">
        <v>18</v>
      </c>
      <c r="D1454" s="1" t="s">
        <v>19</v>
      </c>
      <c r="E1454" s="1" t="s">
        <v>20</v>
      </c>
      <c r="F1454">
        <v>1</v>
      </c>
      <c r="G1454" s="2">
        <v>46028</v>
      </c>
      <c r="H1454" s="2">
        <v>46029</v>
      </c>
      <c r="I1454">
        <v>147.93</v>
      </c>
      <c r="J1454">
        <v>63.25</v>
      </c>
      <c r="K1454">
        <v>63.25</v>
      </c>
      <c r="L1454">
        <v>0</v>
      </c>
      <c r="M1454" s="1" t="s">
        <v>21</v>
      </c>
      <c r="N1454" s="1" t="s">
        <v>22</v>
      </c>
      <c r="O1454" s="2">
        <v>46067</v>
      </c>
      <c r="P1454" s="2">
        <v>46067</v>
      </c>
      <c r="Q1454">
        <f>_xlfn.XLOOKUP(E1454,CPT!$A$2:$A$13,CPT!$D$2:$D$13)</f>
        <v>145</v>
      </c>
      <c r="R1454" s="1">
        <f>_xlfn.XLOOKUP(C1454,Contract!$A$2:$A$9,Contract!$B$2:$B$9)</f>
        <v>0.38</v>
      </c>
      <c r="S1454" s="1">
        <f t="shared" si="88"/>
        <v>55.1</v>
      </c>
      <c r="T1454" s="1">
        <f t="shared" si="89"/>
        <v>-8.1499999999999986</v>
      </c>
      <c r="U1454" s="1" t="str">
        <f t="shared" si="90"/>
        <v>OK</v>
      </c>
      <c r="V1454" s="1" t="str">
        <f>_xlfn.XLOOKUP(C1454,Payers!$A$2:$A$9,Payers!$B$2:$B$9)</f>
        <v>Sunshine Medicare Advantage</v>
      </c>
      <c r="W1454" s="1" t="str">
        <f t="shared" si="91"/>
        <v>2026-01</v>
      </c>
    </row>
    <row r="1455" spans="1:23">
      <c r="A1455" s="1" t="s">
        <v>2698</v>
      </c>
      <c r="B1455" s="1" t="s">
        <v>2394</v>
      </c>
      <c r="C1455" s="1" t="s">
        <v>47</v>
      </c>
      <c r="D1455" s="1" t="s">
        <v>19</v>
      </c>
      <c r="E1455" s="1" t="s">
        <v>20</v>
      </c>
      <c r="F1455">
        <v>1</v>
      </c>
      <c r="G1455" s="2">
        <v>46197</v>
      </c>
      <c r="H1455" s="2">
        <v>46199</v>
      </c>
      <c r="I1455">
        <v>142.78</v>
      </c>
      <c r="M1455" s="1" t="s">
        <v>32</v>
      </c>
      <c r="N1455" s="1" t="s">
        <v>168</v>
      </c>
      <c r="O1455" s="2">
        <v>46239</v>
      </c>
      <c r="P1455" s="2"/>
      <c r="Q1455">
        <f>_xlfn.XLOOKUP(E1455,CPT!$A$2:$A$13,CPT!$D$2:$D$13)</f>
        <v>145</v>
      </c>
      <c r="R1455" s="1">
        <f>_xlfn.XLOOKUP(C1455,Contract!$A$2:$A$9,Contract!$B$2:$B$9)</f>
        <v>0.28000000000000003</v>
      </c>
      <c r="S1455" s="1">
        <f t="shared" si="88"/>
        <v>40.6</v>
      </c>
      <c r="T1455" s="1" t="str">
        <f t="shared" si="89"/>
        <v/>
      </c>
      <c r="U1455" s="1" t="str">
        <f t="shared" si="90"/>
        <v/>
      </c>
      <c r="V1455" s="1" t="str">
        <f>_xlfn.XLOOKUP(C1455,Payers!$A$2:$A$9,Payers!$B$2:$B$9)</f>
        <v>Coastal Medicaid MCO</v>
      </c>
      <c r="W1455" s="1" t="str">
        <f t="shared" si="91"/>
        <v>2026-06</v>
      </c>
    </row>
    <row r="1456" spans="1:23">
      <c r="A1456" s="1" t="s">
        <v>2699</v>
      </c>
      <c r="B1456" s="1" t="s">
        <v>790</v>
      </c>
      <c r="C1456" s="1" t="s">
        <v>25</v>
      </c>
      <c r="D1456" s="1" t="s">
        <v>19</v>
      </c>
      <c r="E1456" s="1" t="s">
        <v>20</v>
      </c>
      <c r="F1456">
        <v>1</v>
      </c>
      <c r="G1456" s="2">
        <v>46021</v>
      </c>
      <c r="H1456" s="2">
        <v>46031</v>
      </c>
      <c r="I1456">
        <v>147.5</v>
      </c>
      <c r="J1456">
        <v>50.14</v>
      </c>
      <c r="K1456">
        <v>45.13</v>
      </c>
      <c r="L1456">
        <v>5.01</v>
      </c>
      <c r="M1456" s="1" t="s">
        <v>21</v>
      </c>
      <c r="N1456" s="1" t="s">
        <v>22</v>
      </c>
      <c r="O1456" s="2">
        <v>46048</v>
      </c>
      <c r="P1456" s="2">
        <v>46048</v>
      </c>
      <c r="Q1456">
        <f>_xlfn.XLOOKUP(E1456,CPT!$A$2:$A$13,CPT!$D$2:$D$13)</f>
        <v>145</v>
      </c>
      <c r="R1456" s="1">
        <f>_xlfn.XLOOKUP(C1456,Contract!$A$2:$A$9,Contract!$B$2:$B$9)</f>
        <v>0.36</v>
      </c>
      <c r="S1456" s="1">
        <f t="shared" si="88"/>
        <v>52.2</v>
      </c>
      <c r="T1456" s="1">
        <f t="shared" si="89"/>
        <v>2.0600000000000023</v>
      </c>
      <c r="U1456" s="1" t="str">
        <f t="shared" si="90"/>
        <v>OK</v>
      </c>
      <c r="V1456" s="1" t="str">
        <f>_xlfn.XLOOKUP(C1456,Payers!$A$2:$A$9,Payers!$B$2:$B$9)</f>
        <v>Medicare Part B</v>
      </c>
      <c r="W1456" s="1" t="str">
        <f t="shared" si="91"/>
        <v>2025-12</v>
      </c>
    </row>
    <row r="1457" spans="1:23">
      <c r="A1457" s="1" t="s">
        <v>2700</v>
      </c>
      <c r="B1457" s="1" t="s">
        <v>2701</v>
      </c>
      <c r="C1457" s="1" t="s">
        <v>47</v>
      </c>
      <c r="D1457" s="1" t="s">
        <v>26</v>
      </c>
      <c r="E1457" s="1" t="s">
        <v>57</v>
      </c>
      <c r="F1457">
        <v>1</v>
      </c>
      <c r="G1457" s="2">
        <v>45947</v>
      </c>
      <c r="H1457" s="2">
        <v>45951</v>
      </c>
      <c r="I1457">
        <v>207.8</v>
      </c>
      <c r="J1457">
        <v>62.95</v>
      </c>
      <c r="K1457">
        <v>50.36</v>
      </c>
      <c r="L1457">
        <v>12.59</v>
      </c>
      <c r="M1457" s="1" t="s">
        <v>21</v>
      </c>
      <c r="N1457" s="1" t="s">
        <v>22</v>
      </c>
      <c r="O1457" s="2">
        <v>45994</v>
      </c>
      <c r="P1457" s="2">
        <v>45994</v>
      </c>
      <c r="Q1457">
        <f>_xlfn.XLOOKUP(E1457,CPT!$A$2:$A$13,CPT!$D$2:$D$13)</f>
        <v>210</v>
      </c>
      <c r="R1457" s="1">
        <f>_xlfn.XLOOKUP(C1457,Contract!$A$2:$A$9,Contract!$B$2:$B$9)</f>
        <v>0.28000000000000003</v>
      </c>
      <c r="S1457" s="1">
        <f t="shared" si="88"/>
        <v>58.8</v>
      </c>
      <c r="T1457" s="1">
        <f t="shared" si="89"/>
        <v>-4.1500000000000057</v>
      </c>
      <c r="U1457" s="1" t="str">
        <f t="shared" si="90"/>
        <v>OK</v>
      </c>
      <c r="V1457" s="1" t="str">
        <f>_xlfn.XLOOKUP(C1457,Payers!$A$2:$A$9,Payers!$B$2:$B$9)</f>
        <v>Coastal Medicaid MCO</v>
      </c>
      <c r="W1457" s="1" t="str">
        <f t="shared" si="91"/>
        <v>2025-10</v>
      </c>
    </row>
    <row r="1458" spans="1:23">
      <c r="A1458" s="1" t="s">
        <v>2702</v>
      </c>
      <c r="B1458" s="1" t="s">
        <v>2703</v>
      </c>
      <c r="C1458" s="1" t="s">
        <v>76</v>
      </c>
      <c r="D1458" s="1" t="s">
        <v>30</v>
      </c>
      <c r="E1458" s="1" t="s">
        <v>20</v>
      </c>
      <c r="F1458">
        <v>1</v>
      </c>
      <c r="G1458" s="2">
        <v>45983</v>
      </c>
      <c r="H1458" s="2">
        <v>45987</v>
      </c>
      <c r="I1458">
        <v>144.06</v>
      </c>
      <c r="J1458">
        <v>54.32</v>
      </c>
      <c r="K1458">
        <v>54.32</v>
      </c>
      <c r="L1458">
        <v>0</v>
      </c>
      <c r="M1458" s="1" t="s">
        <v>21</v>
      </c>
      <c r="N1458" s="1" t="s">
        <v>22</v>
      </c>
      <c r="O1458" s="2">
        <v>46015</v>
      </c>
      <c r="P1458" s="2">
        <v>46015</v>
      </c>
      <c r="Q1458">
        <f>_xlfn.XLOOKUP(E1458,CPT!$A$2:$A$13,CPT!$D$2:$D$13)</f>
        <v>145</v>
      </c>
      <c r="R1458" s="1">
        <f>_xlfn.XLOOKUP(C1458,Contract!$A$2:$A$9,Contract!$B$2:$B$9)</f>
        <v>0.43</v>
      </c>
      <c r="S1458" s="1">
        <f t="shared" si="88"/>
        <v>62.35</v>
      </c>
      <c r="T1458" s="1">
        <f t="shared" si="89"/>
        <v>8.0300000000000011</v>
      </c>
      <c r="U1458" s="1" t="str">
        <f t="shared" si="90"/>
        <v>Underpaid</v>
      </c>
      <c r="V1458" s="1" t="str">
        <f>_xlfn.XLOOKUP(C1458,Payers!$A$2:$A$9,Payers!$B$2:$B$9)</f>
        <v>Summit Health Commercial</v>
      </c>
      <c r="W1458" s="1" t="str">
        <f t="shared" si="91"/>
        <v>2025-11</v>
      </c>
    </row>
    <row r="1459" spans="1:23">
      <c r="A1459" s="1" t="s">
        <v>2704</v>
      </c>
      <c r="B1459" s="1" t="s">
        <v>2705</v>
      </c>
      <c r="C1459" s="1" t="s">
        <v>47</v>
      </c>
      <c r="D1459" s="1" t="s">
        <v>19</v>
      </c>
      <c r="E1459" s="1" t="s">
        <v>57</v>
      </c>
      <c r="F1459">
        <v>1</v>
      </c>
      <c r="G1459" s="2">
        <v>46266</v>
      </c>
      <c r="H1459" s="2">
        <v>46267</v>
      </c>
      <c r="I1459">
        <v>211.04</v>
      </c>
      <c r="M1459" s="1" t="s">
        <v>69</v>
      </c>
      <c r="N1459" s="1" t="s">
        <v>22</v>
      </c>
      <c r="O1459" s="2"/>
      <c r="P1459" s="2"/>
      <c r="Q1459">
        <f>_xlfn.XLOOKUP(E1459,CPT!$A$2:$A$13,CPT!$D$2:$D$13)</f>
        <v>210</v>
      </c>
      <c r="R1459" s="1">
        <f>_xlfn.XLOOKUP(C1459,Contract!$A$2:$A$9,Contract!$B$2:$B$9)</f>
        <v>0.28000000000000003</v>
      </c>
      <c r="S1459" s="1">
        <f t="shared" si="88"/>
        <v>58.8</v>
      </c>
      <c r="T1459" s="1" t="str">
        <f t="shared" si="89"/>
        <v/>
      </c>
      <c r="U1459" s="1" t="str">
        <f t="shared" si="90"/>
        <v/>
      </c>
      <c r="V1459" s="1" t="str">
        <f>_xlfn.XLOOKUP(C1459,Payers!$A$2:$A$9,Payers!$B$2:$B$9)</f>
        <v>Coastal Medicaid MCO</v>
      </c>
      <c r="W1459" s="1" t="str">
        <f t="shared" si="91"/>
        <v>2026-09</v>
      </c>
    </row>
    <row r="1460" spans="1:23">
      <c r="A1460" s="1" t="s">
        <v>2706</v>
      </c>
      <c r="B1460" s="1" t="s">
        <v>2707</v>
      </c>
      <c r="C1460" s="1" t="s">
        <v>79</v>
      </c>
      <c r="D1460" s="1" t="s">
        <v>26</v>
      </c>
      <c r="E1460" s="1" t="s">
        <v>27</v>
      </c>
      <c r="F1460">
        <v>1</v>
      </c>
      <c r="G1460" s="2">
        <v>46245</v>
      </c>
      <c r="H1460" s="2">
        <v>46248</v>
      </c>
      <c r="I1460">
        <v>235.88</v>
      </c>
      <c r="M1460" s="1" t="s">
        <v>69</v>
      </c>
      <c r="N1460" s="1" t="s">
        <v>22</v>
      </c>
      <c r="O1460" s="2"/>
      <c r="P1460" s="2"/>
      <c r="Q1460">
        <f>_xlfn.XLOOKUP(E1460,CPT!$A$2:$A$13,CPT!$D$2:$D$13)</f>
        <v>240</v>
      </c>
      <c r="R1460" s="1">
        <f>_xlfn.XLOOKUP(C1460,Contract!$A$2:$A$9,Contract!$B$2:$B$9)</f>
        <v>1</v>
      </c>
      <c r="S1460" s="1">
        <f t="shared" si="88"/>
        <v>240</v>
      </c>
      <c r="T1460" s="1" t="str">
        <f t="shared" si="89"/>
        <v/>
      </c>
      <c r="U1460" s="1" t="str">
        <f t="shared" si="90"/>
        <v/>
      </c>
      <c r="V1460" s="1" t="str">
        <f>_xlfn.XLOOKUP(C1460,Payers!$A$2:$A$9,Payers!$B$2:$B$9)</f>
        <v>Self-Pay</v>
      </c>
      <c r="W1460" s="1" t="str">
        <f t="shared" si="91"/>
        <v>2026-08</v>
      </c>
    </row>
    <row r="1461" spans="1:23">
      <c r="A1461" s="1" t="s">
        <v>2708</v>
      </c>
      <c r="B1461" s="1" t="s">
        <v>2709</v>
      </c>
      <c r="C1461" s="1" t="s">
        <v>60</v>
      </c>
      <c r="D1461" s="1" t="s">
        <v>37</v>
      </c>
      <c r="E1461" s="1" t="s">
        <v>57</v>
      </c>
      <c r="F1461">
        <v>1</v>
      </c>
      <c r="G1461" s="2">
        <v>46086</v>
      </c>
      <c r="H1461" s="2">
        <v>46090</v>
      </c>
      <c r="I1461">
        <v>206.68</v>
      </c>
      <c r="J1461">
        <v>83.36</v>
      </c>
      <c r="K1461">
        <v>75.02</v>
      </c>
      <c r="L1461">
        <v>8.34</v>
      </c>
      <c r="M1461" s="1" t="s">
        <v>21</v>
      </c>
      <c r="N1461" s="1" t="s">
        <v>22</v>
      </c>
      <c r="O1461" s="2">
        <v>46123</v>
      </c>
      <c r="P1461" s="2">
        <v>46123</v>
      </c>
      <c r="Q1461">
        <f>_xlfn.XLOOKUP(E1461,CPT!$A$2:$A$13,CPT!$D$2:$D$13)</f>
        <v>210</v>
      </c>
      <c r="R1461" s="1">
        <f>_xlfn.XLOOKUP(C1461,Contract!$A$2:$A$9,Contract!$B$2:$B$9)</f>
        <v>0.45</v>
      </c>
      <c r="S1461" s="1">
        <f t="shared" si="88"/>
        <v>94.5</v>
      </c>
      <c r="T1461" s="1">
        <f t="shared" si="89"/>
        <v>11.14</v>
      </c>
      <c r="U1461" s="1" t="str">
        <f t="shared" si="90"/>
        <v>Underpaid</v>
      </c>
      <c r="V1461" s="1" t="str">
        <f>_xlfn.XLOOKUP(C1461,Payers!$A$2:$A$9,Payers!$B$2:$B$9)</f>
        <v>Blue Horizon Commercial</v>
      </c>
      <c r="W1461" s="1" t="str">
        <f t="shared" si="91"/>
        <v>2026-03</v>
      </c>
    </row>
    <row r="1462" spans="1:23">
      <c r="A1462" s="1" t="s">
        <v>2710</v>
      </c>
      <c r="B1462" s="1" t="s">
        <v>2711</v>
      </c>
      <c r="C1462" s="1" t="s">
        <v>36</v>
      </c>
      <c r="D1462" s="1" t="s">
        <v>30</v>
      </c>
      <c r="E1462" s="1" t="s">
        <v>20</v>
      </c>
      <c r="F1462">
        <v>1</v>
      </c>
      <c r="G1462" s="2">
        <v>46207</v>
      </c>
      <c r="H1462" s="2">
        <v>46211</v>
      </c>
      <c r="I1462">
        <v>142.41999999999999</v>
      </c>
      <c r="J1462">
        <v>38.32</v>
      </c>
      <c r="K1462">
        <v>30.66</v>
      </c>
      <c r="L1462">
        <v>7.66</v>
      </c>
      <c r="M1462" s="1" t="s">
        <v>21</v>
      </c>
      <c r="N1462" s="1" t="s">
        <v>22</v>
      </c>
      <c r="O1462" s="2">
        <v>46238</v>
      </c>
      <c r="P1462" s="2">
        <v>46238</v>
      </c>
      <c r="Q1462">
        <f>_xlfn.XLOOKUP(E1462,CPT!$A$2:$A$13,CPT!$D$2:$D$13)</f>
        <v>145</v>
      </c>
      <c r="R1462" s="1">
        <f>_xlfn.XLOOKUP(C1462,Contract!$A$2:$A$9,Contract!$B$2:$B$9)</f>
        <v>0.27</v>
      </c>
      <c r="S1462" s="1">
        <f t="shared" si="88"/>
        <v>39.15</v>
      </c>
      <c r="T1462" s="1">
        <f t="shared" si="89"/>
        <v>0.82999999999999829</v>
      </c>
      <c r="U1462" s="1" t="str">
        <f t="shared" si="90"/>
        <v>OK</v>
      </c>
      <c r="V1462" s="1" t="str">
        <f>_xlfn.XLOOKUP(C1462,Payers!$A$2:$A$9,Payers!$B$2:$B$9)</f>
        <v>Florida Medicaid</v>
      </c>
      <c r="W1462" s="1" t="str">
        <f t="shared" si="91"/>
        <v>2026-07</v>
      </c>
    </row>
    <row r="1463" spans="1:23">
      <c r="A1463" s="1" t="s">
        <v>2712</v>
      </c>
      <c r="B1463" s="1" t="s">
        <v>688</v>
      </c>
      <c r="C1463" s="1" t="s">
        <v>76</v>
      </c>
      <c r="D1463" s="1" t="s">
        <v>26</v>
      </c>
      <c r="E1463" s="1" t="s">
        <v>113</v>
      </c>
      <c r="F1463">
        <v>1</v>
      </c>
      <c r="G1463" s="2">
        <v>45941</v>
      </c>
      <c r="H1463" s="2">
        <v>45943</v>
      </c>
      <c r="I1463">
        <v>1054.48</v>
      </c>
      <c r="J1463">
        <v>494.37</v>
      </c>
      <c r="K1463">
        <v>395.5</v>
      </c>
      <c r="L1463">
        <v>98.87</v>
      </c>
      <c r="M1463" s="1" t="s">
        <v>21</v>
      </c>
      <c r="N1463" s="1" t="s">
        <v>22</v>
      </c>
      <c r="O1463" s="2">
        <v>45962</v>
      </c>
      <c r="P1463" s="2">
        <v>45962</v>
      </c>
      <c r="Q1463">
        <f>_xlfn.XLOOKUP(E1463,CPT!$A$2:$A$13,CPT!$D$2:$D$13)</f>
        <v>1050</v>
      </c>
      <c r="R1463" s="1">
        <f>_xlfn.XLOOKUP(C1463,Contract!$A$2:$A$9,Contract!$B$2:$B$9)</f>
        <v>0.43</v>
      </c>
      <c r="S1463" s="1">
        <f t="shared" si="88"/>
        <v>451.5</v>
      </c>
      <c r="T1463" s="1">
        <f t="shared" si="89"/>
        <v>-42.870000000000005</v>
      </c>
      <c r="U1463" s="1" t="str">
        <f t="shared" si="90"/>
        <v>OK</v>
      </c>
      <c r="V1463" s="1" t="str">
        <f>_xlfn.XLOOKUP(C1463,Payers!$A$2:$A$9,Payers!$B$2:$B$9)</f>
        <v>Summit Health Commercial</v>
      </c>
      <c r="W1463" s="1" t="str">
        <f t="shared" si="91"/>
        <v>2025-10</v>
      </c>
    </row>
    <row r="1464" spans="1:23">
      <c r="A1464" s="1" t="s">
        <v>2713</v>
      </c>
      <c r="B1464" s="1" t="s">
        <v>2714</v>
      </c>
      <c r="C1464" s="1" t="s">
        <v>60</v>
      </c>
      <c r="D1464" s="1" t="s">
        <v>37</v>
      </c>
      <c r="E1464" s="1" t="s">
        <v>38</v>
      </c>
      <c r="F1464">
        <v>30</v>
      </c>
      <c r="G1464" s="2">
        <v>46159</v>
      </c>
      <c r="H1464" s="2">
        <v>46163</v>
      </c>
      <c r="I1464">
        <v>42202.02</v>
      </c>
      <c r="J1464">
        <v>16994.439999999999</v>
      </c>
      <c r="K1464">
        <v>13595.55</v>
      </c>
      <c r="L1464">
        <v>3398.89</v>
      </c>
      <c r="M1464" s="1" t="s">
        <v>21</v>
      </c>
      <c r="N1464" s="1" t="s">
        <v>22</v>
      </c>
      <c r="O1464" s="2">
        <v>46184</v>
      </c>
      <c r="P1464" s="2">
        <v>46184</v>
      </c>
      <c r="Q1464">
        <f>_xlfn.XLOOKUP(E1464,CPT!$A$2:$A$13,CPT!$D$2:$D$13)</f>
        <v>1450</v>
      </c>
      <c r="R1464" s="1">
        <f>_xlfn.XLOOKUP(C1464,Contract!$A$2:$A$9,Contract!$B$2:$B$9)</f>
        <v>0.45</v>
      </c>
      <c r="S1464" s="1">
        <f t="shared" si="88"/>
        <v>19575</v>
      </c>
      <c r="T1464" s="1">
        <f t="shared" si="89"/>
        <v>2580.5600000000013</v>
      </c>
      <c r="U1464" s="1" t="str">
        <f t="shared" si="90"/>
        <v>Underpaid</v>
      </c>
      <c r="V1464" s="1" t="str">
        <f>_xlfn.XLOOKUP(C1464,Payers!$A$2:$A$9,Payers!$B$2:$B$9)</f>
        <v>Blue Horizon Commercial</v>
      </c>
      <c r="W1464" s="1" t="str">
        <f t="shared" si="91"/>
        <v>2026-05</v>
      </c>
    </row>
    <row r="1465" spans="1:23">
      <c r="A1465" s="1" t="s">
        <v>2715</v>
      </c>
      <c r="B1465" s="1" t="s">
        <v>2716</v>
      </c>
      <c r="C1465" s="1" t="s">
        <v>18</v>
      </c>
      <c r="D1465" s="1" t="s">
        <v>19</v>
      </c>
      <c r="E1465" s="1" t="s">
        <v>41</v>
      </c>
      <c r="F1465">
        <v>1</v>
      </c>
      <c r="G1465" s="2">
        <v>46040</v>
      </c>
      <c r="H1465" s="2">
        <v>46050</v>
      </c>
      <c r="I1465">
        <v>37.979999999999997</v>
      </c>
      <c r="J1465">
        <v>14.89</v>
      </c>
      <c r="K1465">
        <v>14.89</v>
      </c>
      <c r="L1465">
        <v>0</v>
      </c>
      <c r="M1465" s="1" t="s">
        <v>21</v>
      </c>
      <c r="N1465" s="1" t="s">
        <v>22</v>
      </c>
      <c r="O1465" s="2">
        <v>46122</v>
      </c>
      <c r="P1465" s="2">
        <v>46122</v>
      </c>
      <c r="Q1465">
        <f>_xlfn.XLOOKUP(E1465,CPT!$A$2:$A$13,CPT!$D$2:$D$13)</f>
        <v>38</v>
      </c>
      <c r="R1465" s="1">
        <f>_xlfn.XLOOKUP(C1465,Contract!$A$2:$A$9,Contract!$B$2:$B$9)</f>
        <v>0.38</v>
      </c>
      <c r="S1465" s="1">
        <f t="shared" si="88"/>
        <v>14.44</v>
      </c>
      <c r="T1465" s="1">
        <f t="shared" si="89"/>
        <v>-0.45000000000000107</v>
      </c>
      <c r="U1465" s="1" t="str">
        <f t="shared" si="90"/>
        <v>OK</v>
      </c>
      <c r="V1465" s="1" t="str">
        <f>_xlfn.XLOOKUP(C1465,Payers!$A$2:$A$9,Payers!$B$2:$B$9)</f>
        <v>Sunshine Medicare Advantage</v>
      </c>
      <c r="W1465" s="1" t="str">
        <f t="shared" si="91"/>
        <v>2026-01</v>
      </c>
    </row>
    <row r="1466" spans="1:23">
      <c r="A1466" s="1" t="s">
        <v>2717</v>
      </c>
      <c r="B1466" s="1" t="s">
        <v>1849</v>
      </c>
      <c r="C1466" s="1" t="s">
        <v>18</v>
      </c>
      <c r="D1466" s="1" t="s">
        <v>26</v>
      </c>
      <c r="E1466" s="1" t="s">
        <v>44</v>
      </c>
      <c r="F1466">
        <v>1</v>
      </c>
      <c r="G1466" s="2">
        <v>45981</v>
      </c>
      <c r="H1466" s="2">
        <v>45983</v>
      </c>
      <c r="I1466">
        <v>4694.8</v>
      </c>
      <c r="J1466">
        <v>1922.08</v>
      </c>
      <c r="K1466">
        <v>1922.08</v>
      </c>
      <c r="L1466">
        <v>0</v>
      </c>
      <c r="M1466" s="1" t="s">
        <v>21</v>
      </c>
      <c r="N1466" s="1" t="s">
        <v>22</v>
      </c>
      <c r="O1466" s="2">
        <v>46044</v>
      </c>
      <c r="P1466" s="2">
        <v>46044</v>
      </c>
      <c r="Q1466">
        <f>_xlfn.XLOOKUP(E1466,CPT!$A$2:$A$13,CPT!$D$2:$D$13)</f>
        <v>4800</v>
      </c>
      <c r="R1466" s="1">
        <f>_xlfn.XLOOKUP(C1466,Contract!$A$2:$A$9,Contract!$B$2:$B$9)</f>
        <v>0.38</v>
      </c>
      <c r="S1466" s="1">
        <f t="shared" si="88"/>
        <v>1824</v>
      </c>
      <c r="T1466" s="1">
        <f t="shared" si="89"/>
        <v>-98.079999999999927</v>
      </c>
      <c r="U1466" s="1" t="str">
        <f t="shared" si="90"/>
        <v>OK</v>
      </c>
      <c r="V1466" s="1" t="str">
        <f>_xlfn.XLOOKUP(C1466,Payers!$A$2:$A$9,Payers!$B$2:$B$9)</f>
        <v>Sunshine Medicare Advantage</v>
      </c>
      <c r="W1466" s="1" t="str">
        <f t="shared" si="91"/>
        <v>2025-11</v>
      </c>
    </row>
    <row r="1467" spans="1:23">
      <c r="A1467" s="1" t="s">
        <v>2718</v>
      </c>
      <c r="B1467" s="1" t="s">
        <v>2719</v>
      </c>
      <c r="C1467" s="1" t="s">
        <v>52</v>
      </c>
      <c r="D1467" s="1" t="s">
        <v>26</v>
      </c>
      <c r="E1467" s="1" t="s">
        <v>27</v>
      </c>
      <c r="F1467">
        <v>1</v>
      </c>
      <c r="G1467" s="2">
        <v>46282</v>
      </c>
      <c r="H1467" s="2">
        <v>46285</v>
      </c>
      <c r="I1467">
        <v>245.54</v>
      </c>
      <c r="M1467" s="1" t="s">
        <v>69</v>
      </c>
      <c r="N1467" s="1" t="s">
        <v>22</v>
      </c>
      <c r="O1467" s="2"/>
      <c r="P1467" s="2"/>
      <c r="Q1467">
        <f>_xlfn.XLOOKUP(E1467,CPT!$A$2:$A$13,CPT!$D$2:$D$13)</f>
        <v>240</v>
      </c>
      <c r="R1467" s="1">
        <f>_xlfn.XLOOKUP(C1467,Contract!$A$2:$A$9,Contract!$B$2:$B$9)</f>
        <v>0.47</v>
      </c>
      <c r="S1467" s="1">
        <f t="shared" si="88"/>
        <v>112.8</v>
      </c>
      <c r="T1467" s="1" t="str">
        <f t="shared" si="89"/>
        <v/>
      </c>
      <c r="U1467" s="1" t="str">
        <f t="shared" si="90"/>
        <v/>
      </c>
      <c r="V1467" s="1" t="str">
        <f>_xlfn.XLOOKUP(C1467,Payers!$A$2:$A$9,Payers!$B$2:$B$9)</f>
        <v>Keystone Commercial PPO</v>
      </c>
      <c r="W1467" s="1" t="str">
        <f t="shared" si="91"/>
        <v>2026-09</v>
      </c>
    </row>
    <row r="1468" spans="1:23">
      <c r="A1468" s="1" t="s">
        <v>2720</v>
      </c>
      <c r="B1468" s="1" t="s">
        <v>2721</v>
      </c>
      <c r="C1468" s="1" t="s">
        <v>25</v>
      </c>
      <c r="D1468" s="1" t="s">
        <v>19</v>
      </c>
      <c r="E1468" s="1" t="s">
        <v>57</v>
      </c>
      <c r="F1468">
        <v>1</v>
      </c>
      <c r="G1468" s="2">
        <v>46132</v>
      </c>
      <c r="H1468" s="2">
        <v>46139</v>
      </c>
      <c r="I1468">
        <v>215.35</v>
      </c>
      <c r="J1468">
        <v>84.53</v>
      </c>
      <c r="K1468">
        <v>84.53</v>
      </c>
      <c r="L1468">
        <v>0</v>
      </c>
      <c r="M1468" s="1" t="s">
        <v>21</v>
      </c>
      <c r="N1468" s="1" t="s">
        <v>22</v>
      </c>
      <c r="O1468" s="2">
        <v>46157</v>
      </c>
      <c r="P1468" s="2">
        <v>46157</v>
      </c>
      <c r="Q1468">
        <f>_xlfn.XLOOKUP(E1468,CPT!$A$2:$A$13,CPT!$D$2:$D$13)</f>
        <v>210</v>
      </c>
      <c r="R1468" s="1">
        <f>_xlfn.XLOOKUP(C1468,Contract!$A$2:$A$9,Contract!$B$2:$B$9)</f>
        <v>0.36</v>
      </c>
      <c r="S1468" s="1">
        <f t="shared" si="88"/>
        <v>75.599999999999994</v>
      </c>
      <c r="T1468" s="1">
        <f t="shared" si="89"/>
        <v>-8.9300000000000068</v>
      </c>
      <c r="U1468" s="1" t="str">
        <f t="shared" si="90"/>
        <v>OK</v>
      </c>
      <c r="V1468" s="1" t="str">
        <f>_xlfn.XLOOKUP(C1468,Payers!$A$2:$A$9,Payers!$B$2:$B$9)</f>
        <v>Medicare Part B</v>
      </c>
      <c r="W1468" s="1" t="str">
        <f t="shared" si="91"/>
        <v>2026-04</v>
      </c>
    </row>
    <row r="1469" spans="1:23">
      <c r="A1469" s="1" t="s">
        <v>2722</v>
      </c>
      <c r="B1469" s="1" t="s">
        <v>1131</v>
      </c>
      <c r="C1469" s="1" t="s">
        <v>47</v>
      </c>
      <c r="D1469" s="1" t="s">
        <v>30</v>
      </c>
      <c r="E1469" s="1" t="s">
        <v>31</v>
      </c>
      <c r="F1469">
        <v>1</v>
      </c>
      <c r="G1469" s="2">
        <v>46261</v>
      </c>
      <c r="H1469" s="2">
        <v>46269</v>
      </c>
      <c r="I1469">
        <v>63.17</v>
      </c>
      <c r="M1469" s="1" t="s">
        <v>69</v>
      </c>
      <c r="N1469" s="1" t="s">
        <v>22</v>
      </c>
      <c r="O1469" s="2"/>
      <c r="P1469" s="2"/>
      <c r="Q1469">
        <f>_xlfn.XLOOKUP(E1469,CPT!$A$2:$A$13,CPT!$D$2:$D$13)</f>
        <v>62</v>
      </c>
      <c r="R1469" s="1">
        <f>_xlfn.XLOOKUP(C1469,Contract!$A$2:$A$9,Contract!$B$2:$B$9)</f>
        <v>0.28000000000000003</v>
      </c>
      <c r="S1469" s="1">
        <f t="shared" si="88"/>
        <v>17.36</v>
      </c>
      <c r="T1469" s="1" t="str">
        <f t="shared" si="89"/>
        <v/>
      </c>
      <c r="U1469" s="1" t="str">
        <f t="shared" si="90"/>
        <v/>
      </c>
      <c r="V1469" s="1" t="str">
        <f>_xlfn.XLOOKUP(C1469,Payers!$A$2:$A$9,Payers!$B$2:$B$9)</f>
        <v>Coastal Medicaid MCO</v>
      </c>
      <c r="W1469" s="1" t="str">
        <f t="shared" si="91"/>
        <v>2026-08</v>
      </c>
    </row>
    <row r="1470" spans="1:23">
      <c r="A1470" s="1" t="s">
        <v>2723</v>
      </c>
      <c r="B1470" s="1" t="s">
        <v>2724</v>
      </c>
      <c r="C1470" s="1" t="s">
        <v>25</v>
      </c>
      <c r="D1470" s="1" t="s">
        <v>30</v>
      </c>
      <c r="E1470" s="1" t="s">
        <v>20</v>
      </c>
      <c r="F1470">
        <v>1</v>
      </c>
      <c r="G1470" s="2">
        <v>45978</v>
      </c>
      <c r="H1470" s="2">
        <v>45979</v>
      </c>
      <c r="I1470">
        <v>140.85</v>
      </c>
      <c r="J1470">
        <v>54.33</v>
      </c>
      <c r="K1470">
        <v>54.33</v>
      </c>
      <c r="L1470">
        <v>0</v>
      </c>
      <c r="M1470" s="1" t="s">
        <v>21</v>
      </c>
      <c r="N1470" s="1" t="s">
        <v>22</v>
      </c>
      <c r="O1470" s="2">
        <v>45992</v>
      </c>
      <c r="P1470" s="2">
        <v>45992</v>
      </c>
      <c r="Q1470">
        <f>_xlfn.XLOOKUP(E1470,CPT!$A$2:$A$13,CPT!$D$2:$D$13)</f>
        <v>145</v>
      </c>
      <c r="R1470" s="1">
        <f>_xlfn.XLOOKUP(C1470,Contract!$A$2:$A$9,Contract!$B$2:$B$9)</f>
        <v>0.36</v>
      </c>
      <c r="S1470" s="1">
        <f t="shared" si="88"/>
        <v>52.2</v>
      </c>
      <c r="T1470" s="1">
        <f t="shared" si="89"/>
        <v>-2.1299999999999955</v>
      </c>
      <c r="U1470" s="1" t="str">
        <f t="shared" si="90"/>
        <v>OK</v>
      </c>
      <c r="V1470" s="1" t="str">
        <f>_xlfn.XLOOKUP(C1470,Payers!$A$2:$A$9,Payers!$B$2:$B$9)</f>
        <v>Medicare Part B</v>
      </c>
      <c r="W1470" s="1" t="str">
        <f t="shared" si="91"/>
        <v>2025-11</v>
      </c>
    </row>
    <row r="1471" spans="1:23">
      <c r="A1471" s="1" t="s">
        <v>2725</v>
      </c>
      <c r="B1471" s="1" t="s">
        <v>2726</v>
      </c>
      <c r="C1471" s="1" t="s">
        <v>76</v>
      </c>
      <c r="D1471" s="1" t="s">
        <v>26</v>
      </c>
      <c r="E1471" s="1" t="s">
        <v>113</v>
      </c>
      <c r="F1471">
        <v>1</v>
      </c>
      <c r="G1471" s="2">
        <v>46192</v>
      </c>
      <c r="H1471" s="2">
        <v>46196</v>
      </c>
      <c r="I1471">
        <v>1030.6500000000001</v>
      </c>
      <c r="M1471" s="1" t="s">
        <v>32</v>
      </c>
      <c r="N1471" s="1" t="s">
        <v>315</v>
      </c>
      <c r="O1471" s="2">
        <v>46223</v>
      </c>
      <c r="P1471" s="2"/>
      <c r="Q1471">
        <f>_xlfn.XLOOKUP(E1471,CPT!$A$2:$A$13,CPT!$D$2:$D$13)</f>
        <v>1050</v>
      </c>
      <c r="R1471" s="1">
        <f>_xlfn.XLOOKUP(C1471,Contract!$A$2:$A$9,Contract!$B$2:$B$9)</f>
        <v>0.43</v>
      </c>
      <c r="S1471" s="1">
        <f t="shared" si="88"/>
        <v>451.5</v>
      </c>
      <c r="T1471" s="1" t="str">
        <f t="shared" si="89"/>
        <v/>
      </c>
      <c r="U1471" s="1" t="str">
        <f t="shared" si="90"/>
        <v/>
      </c>
      <c r="V1471" s="1" t="str">
        <f>_xlfn.XLOOKUP(C1471,Payers!$A$2:$A$9,Payers!$B$2:$B$9)</f>
        <v>Summit Health Commercial</v>
      </c>
      <c r="W1471" s="1" t="str">
        <f t="shared" si="91"/>
        <v>2026-06</v>
      </c>
    </row>
    <row r="1472" spans="1:23">
      <c r="A1472" s="1" t="s">
        <v>2727</v>
      </c>
      <c r="B1472" s="1" t="s">
        <v>480</v>
      </c>
      <c r="C1472" s="1" t="s">
        <v>60</v>
      </c>
      <c r="D1472" s="1" t="s">
        <v>26</v>
      </c>
      <c r="E1472" s="1" t="s">
        <v>113</v>
      </c>
      <c r="F1472">
        <v>1</v>
      </c>
      <c r="G1472" s="2">
        <v>46008</v>
      </c>
      <c r="H1472" s="2">
        <v>46009</v>
      </c>
      <c r="I1472">
        <v>1064.5999999999999</v>
      </c>
      <c r="M1472" s="1" t="s">
        <v>32</v>
      </c>
      <c r="N1472" s="1" t="s">
        <v>168</v>
      </c>
      <c r="O1472" s="2">
        <v>46045</v>
      </c>
      <c r="P1472" s="2"/>
      <c r="Q1472">
        <f>_xlfn.XLOOKUP(E1472,CPT!$A$2:$A$13,CPT!$D$2:$D$13)</f>
        <v>1050</v>
      </c>
      <c r="R1472" s="1">
        <f>_xlfn.XLOOKUP(C1472,Contract!$A$2:$A$9,Contract!$B$2:$B$9)</f>
        <v>0.45</v>
      </c>
      <c r="S1472" s="1">
        <f t="shared" si="88"/>
        <v>472.5</v>
      </c>
      <c r="T1472" s="1" t="str">
        <f t="shared" si="89"/>
        <v/>
      </c>
      <c r="U1472" s="1" t="str">
        <f t="shared" si="90"/>
        <v/>
      </c>
      <c r="V1472" s="1" t="str">
        <f>_xlfn.XLOOKUP(C1472,Payers!$A$2:$A$9,Payers!$B$2:$B$9)</f>
        <v>Blue Horizon Commercial</v>
      </c>
      <c r="W1472" s="1" t="str">
        <f t="shared" si="91"/>
        <v>2025-12</v>
      </c>
    </row>
    <row r="1473" spans="1:23">
      <c r="A1473" s="1" t="s">
        <v>2728</v>
      </c>
      <c r="B1473" s="1" t="s">
        <v>1020</v>
      </c>
      <c r="C1473" s="1" t="s">
        <v>18</v>
      </c>
      <c r="D1473" s="1" t="s">
        <v>26</v>
      </c>
      <c r="E1473" s="1" t="s">
        <v>27</v>
      </c>
      <c r="F1473">
        <v>1</v>
      </c>
      <c r="G1473" s="2">
        <v>46275</v>
      </c>
      <c r="H1473" s="2">
        <v>46276</v>
      </c>
      <c r="I1473">
        <v>234.09</v>
      </c>
      <c r="M1473" s="1" t="s">
        <v>69</v>
      </c>
      <c r="N1473" s="1" t="s">
        <v>22</v>
      </c>
      <c r="O1473" s="2"/>
      <c r="P1473" s="2"/>
      <c r="Q1473">
        <f>_xlfn.XLOOKUP(E1473,CPT!$A$2:$A$13,CPT!$D$2:$D$13)</f>
        <v>240</v>
      </c>
      <c r="R1473" s="1">
        <f>_xlfn.XLOOKUP(C1473,Contract!$A$2:$A$9,Contract!$B$2:$B$9)</f>
        <v>0.38</v>
      </c>
      <c r="S1473" s="1">
        <f t="shared" si="88"/>
        <v>91.2</v>
      </c>
      <c r="T1473" s="1" t="str">
        <f t="shared" si="89"/>
        <v/>
      </c>
      <c r="U1473" s="1" t="str">
        <f t="shared" si="90"/>
        <v/>
      </c>
      <c r="V1473" s="1" t="str">
        <f>_xlfn.XLOOKUP(C1473,Payers!$A$2:$A$9,Payers!$B$2:$B$9)</f>
        <v>Sunshine Medicare Advantage</v>
      </c>
      <c r="W1473" s="1" t="str">
        <f t="shared" si="91"/>
        <v>2026-09</v>
      </c>
    </row>
    <row r="1474" spans="1:23">
      <c r="A1474" s="1" t="s">
        <v>2729</v>
      </c>
      <c r="B1474" s="1" t="s">
        <v>2730</v>
      </c>
      <c r="C1474" s="1" t="s">
        <v>18</v>
      </c>
      <c r="D1474" s="1" t="s">
        <v>26</v>
      </c>
      <c r="E1474" s="1" t="s">
        <v>27</v>
      </c>
      <c r="F1474">
        <v>1</v>
      </c>
      <c r="G1474" s="2">
        <v>46159</v>
      </c>
      <c r="H1474" s="2">
        <v>46161</v>
      </c>
      <c r="I1474">
        <v>234.76</v>
      </c>
      <c r="J1474">
        <v>90.61</v>
      </c>
      <c r="K1474">
        <v>90.61</v>
      </c>
      <c r="L1474">
        <v>0</v>
      </c>
      <c r="M1474" s="1" t="s">
        <v>21</v>
      </c>
      <c r="N1474" s="1" t="s">
        <v>22</v>
      </c>
      <c r="O1474" s="2">
        <v>46202</v>
      </c>
      <c r="P1474" s="2">
        <v>46202</v>
      </c>
      <c r="Q1474">
        <f>_xlfn.XLOOKUP(E1474,CPT!$A$2:$A$13,CPT!$D$2:$D$13)</f>
        <v>240</v>
      </c>
      <c r="R1474" s="1">
        <f>_xlfn.XLOOKUP(C1474,Contract!$A$2:$A$9,Contract!$B$2:$B$9)</f>
        <v>0.38</v>
      </c>
      <c r="S1474" s="1">
        <f t="shared" ref="S1474:S1537" si="92">ROUND(Q1474*F1474*R1474,2)</f>
        <v>91.2</v>
      </c>
      <c r="T1474" s="1">
        <f t="shared" ref="T1474:T1537" si="93">IF(M1474="Paid",S1474-J1474,"")</f>
        <v>0.59000000000000341</v>
      </c>
      <c r="U1474" s="1" t="str">
        <f t="shared" ref="U1474:U1537" si="94">IF(M1474&lt;&gt;"Paid","",IF(T1474&gt;S1474*0.05,"Underpaid","OK"))</f>
        <v>OK</v>
      </c>
      <c r="V1474" s="1" t="str">
        <f>_xlfn.XLOOKUP(C1474,Payers!$A$2:$A$9,Payers!$B$2:$B$9)</f>
        <v>Sunshine Medicare Advantage</v>
      </c>
      <c r="W1474" s="1" t="str">
        <f t="shared" ref="W1474:W1537" si="95">TEXT(G1474,"yyyy-mm")</f>
        <v>2026-05</v>
      </c>
    </row>
    <row r="1475" spans="1:23">
      <c r="A1475" s="1" t="s">
        <v>2731</v>
      </c>
      <c r="B1475" s="1" t="s">
        <v>2732</v>
      </c>
      <c r="C1475" s="1" t="s">
        <v>52</v>
      </c>
      <c r="D1475" s="1" t="s">
        <v>26</v>
      </c>
      <c r="E1475" s="1" t="s">
        <v>57</v>
      </c>
      <c r="F1475">
        <v>1</v>
      </c>
      <c r="G1475" s="2">
        <v>46103</v>
      </c>
      <c r="H1475" s="2">
        <v>46104</v>
      </c>
      <c r="I1475">
        <v>206.33</v>
      </c>
      <c r="M1475" s="1" t="s">
        <v>32</v>
      </c>
      <c r="N1475" s="1" t="s">
        <v>98</v>
      </c>
      <c r="O1475" s="2">
        <v>46152</v>
      </c>
      <c r="P1475" s="2"/>
      <c r="Q1475">
        <f>_xlfn.XLOOKUP(E1475,CPT!$A$2:$A$13,CPT!$D$2:$D$13)</f>
        <v>210</v>
      </c>
      <c r="R1475" s="1">
        <f>_xlfn.XLOOKUP(C1475,Contract!$A$2:$A$9,Contract!$B$2:$B$9)</f>
        <v>0.47</v>
      </c>
      <c r="S1475" s="1">
        <f t="shared" si="92"/>
        <v>98.7</v>
      </c>
      <c r="T1475" s="1" t="str">
        <f t="shared" si="93"/>
        <v/>
      </c>
      <c r="U1475" s="1" t="str">
        <f t="shared" si="94"/>
        <v/>
      </c>
      <c r="V1475" s="1" t="str">
        <f>_xlfn.XLOOKUP(C1475,Payers!$A$2:$A$9,Payers!$B$2:$B$9)</f>
        <v>Keystone Commercial PPO</v>
      </c>
      <c r="W1475" s="1" t="str">
        <f t="shared" si="95"/>
        <v>2026-03</v>
      </c>
    </row>
    <row r="1476" spans="1:23">
      <c r="A1476" s="1" t="s">
        <v>2733</v>
      </c>
      <c r="B1476" s="1" t="s">
        <v>2734</v>
      </c>
      <c r="C1476" s="1" t="s">
        <v>36</v>
      </c>
      <c r="D1476" s="1" t="s">
        <v>26</v>
      </c>
      <c r="E1476" s="1" t="s">
        <v>44</v>
      </c>
      <c r="F1476">
        <v>1</v>
      </c>
      <c r="G1476" s="2">
        <v>46021</v>
      </c>
      <c r="H1476" s="2">
        <v>46023</v>
      </c>
      <c r="I1476">
        <v>4684.93</v>
      </c>
      <c r="J1476">
        <v>1336.96</v>
      </c>
      <c r="K1476">
        <v>1203.26</v>
      </c>
      <c r="L1476">
        <v>133.69999999999999</v>
      </c>
      <c r="M1476" s="1" t="s">
        <v>21</v>
      </c>
      <c r="N1476" s="1" t="s">
        <v>22</v>
      </c>
      <c r="O1476" s="2">
        <v>46058</v>
      </c>
      <c r="P1476" s="2">
        <v>46058</v>
      </c>
      <c r="Q1476">
        <f>_xlfn.XLOOKUP(E1476,CPT!$A$2:$A$13,CPT!$D$2:$D$13)</f>
        <v>4800</v>
      </c>
      <c r="R1476" s="1">
        <f>_xlfn.XLOOKUP(C1476,Contract!$A$2:$A$9,Contract!$B$2:$B$9)</f>
        <v>0.27</v>
      </c>
      <c r="S1476" s="1">
        <f t="shared" si="92"/>
        <v>1296</v>
      </c>
      <c r="T1476" s="1">
        <f t="shared" si="93"/>
        <v>-40.960000000000036</v>
      </c>
      <c r="U1476" s="1" t="str">
        <f t="shared" si="94"/>
        <v>OK</v>
      </c>
      <c r="V1476" s="1" t="str">
        <f>_xlfn.XLOOKUP(C1476,Payers!$A$2:$A$9,Payers!$B$2:$B$9)</f>
        <v>Florida Medicaid</v>
      </c>
      <c r="W1476" s="1" t="str">
        <f t="shared" si="95"/>
        <v>2025-12</v>
      </c>
    </row>
    <row r="1477" spans="1:23">
      <c r="A1477" s="1" t="s">
        <v>2735</v>
      </c>
      <c r="B1477" s="1" t="s">
        <v>2736</v>
      </c>
      <c r="C1477" s="1" t="s">
        <v>79</v>
      </c>
      <c r="D1477" s="1" t="s">
        <v>19</v>
      </c>
      <c r="E1477" s="1" t="s">
        <v>88</v>
      </c>
      <c r="F1477">
        <v>1</v>
      </c>
      <c r="G1477" s="2">
        <v>46007</v>
      </c>
      <c r="H1477" s="2">
        <v>46009</v>
      </c>
      <c r="I1477">
        <v>261.5</v>
      </c>
      <c r="J1477">
        <v>261.5</v>
      </c>
      <c r="K1477">
        <v>261.5</v>
      </c>
      <c r="L1477">
        <v>0</v>
      </c>
      <c r="M1477" s="1" t="s">
        <v>21</v>
      </c>
      <c r="N1477" s="1" t="s">
        <v>22</v>
      </c>
      <c r="O1477" s="2">
        <v>46075</v>
      </c>
      <c r="P1477" s="2">
        <v>46075</v>
      </c>
      <c r="Q1477">
        <f>_xlfn.XLOOKUP(E1477,CPT!$A$2:$A$13,CPT!$D$2:$D$13)</f>
        <v>260</v>
      </c>
      <c r="R1477" s="1">
        <f>_xlfn.XLOOKUP(C1477,Contract!$A$2:$A$9,Contract!$B$2:$B$9)</f>
        <v>1</v>
      </c>
      <c r="S1477" s="1">
        <f t="shared" si="92"/>
        <v>260</v>
      </c>
      <c r="T1477" s="1">
        <f t="shared" si="93"/>
        <v>-1.5</v>
      </c>
      <c r="U1477" s="1" t="str">
        <f t="shared" si="94"/>
        <v>OK</v>
      </c>
      <c r="V1477" s="1" t="str">
        <f>_xlfn.XLOOKUP(C1477,Payers!$A$2:$A$9,Payers!$B$2:$B$9)</f>
        <v>Self-Pay</v>
      </c>
      <c r="W1477" s="1" t="str">
        <f t="shared" si="95"/>
        <v>2025-12</v>
      </c>
    </row>
    <row r="1478" spans="1:23">
      <c r="A1478" s="1" t="s">
        <v>2737</v>
      </c>
      <c r="B1478" s="1" t="s">
        <v>1118</v>
      </c>
      <c r="C1478" s="1" t="s">
        <v>60</v>
      </c>
      <c r="D1478" s="1" t="s">
        <v>37</v>
      </c>
      <c r="E1478" s="1" t="s">
        <v>48</v>
      </c>
      <c r="F1478">
        <v>1</v>
      </c>
      <c r="G1478" s="2">
        <v>46110</v>
      </c>
      <c r="H1478" s="2">
        <v>46118</v>
      </c>
      <c r="I1478">
        <v>425.58</v>
      </c>
      <c r="M1478" s="1" t="s">
        <v>32</v>
      </c>
      <c r="N1478" s="1" t="s">
        <v>33</v>
      </c>
      <c r="O1478" s="2">
        <v>46147</v>
      </c>
      <c r="P1478" s="2"/>
      <c r="Q1478">
        <f>_xlfn.XLOOKUP(E1478,CPT!$A$2:$A$13,CPT!$D$2:$D$13)</f>
        <v>420</v>
      </c>
      <c r="R1478" s="1">
        <f>_xlfn.XLOOKUP(C1478,Contract!$A$2:$A$9,Contract!$B$2:$B$9)</f>
        <v>0.45</v>
      </c>
      <c r="S1478" s="1">
        <f t="shared" si="92"/>
        <v>189</v>
      </c>
      <c r="T1478" s="1" t="str">
        <f t="shared" si="93"/>
        <v/>
      </c>
      <c r="U1478" s="1" t="str">
        <f t="shared" si="94"/>
        <v/>
      </c>
      <c r="V1478" s="1" t="str">
        <f>_xlfn.XLOOKUP(C1478,Payers!$A$2:$A$9,Payers!$B$2:$B$9)</f>
        <v>Blue Horizon Commercial</v>
      </c>
      <c r="W1478" s="1" t="str">
        <f t="shared" si="95"/>
        <v>2026-03</v>
      </c>
    </row>
    <row r="1479" spans="1:23">
      <c r="A1479" s="1" t="s">
        <v>2738</v>
      </c>
      <c r="B1479" s="1" t="s">
        <v>2739</v>
      </c>
      <c r="C1479" s="1" t="s">
        <v>36</v>
      </c>
      <c r="D1479" s="1" t="s">
        <v>19</v>
      </c>
      <c r="E1479" s="1" t="s">
        <v>41</v>
      </c>
      <c r="F1479">
        <v>1</v>
      </c>
      <c r="G1479" s="2">
        <v>45980</v>
      </c>
      <c r="H1479" s="2">
        <v>45983</v>
      </c>
      <c r="I1479">
        <v>37.380000000000003</v>
      </c>
      <c r="M1479" s="1" t="s">
        <v>32</v>
      </c>
      <c r="N1479" s="1" t="s">
        <v>33</v>
      </c>
      <c r="O1479" s="2">
        <v>46015</v>
      </c>
      <c r="P1479" s="2"/>
      <c r="Q1479">
        <f>_xlfn.XLOOKUP(E1479,CPT!$A$2:$A$13,CPT!$D$2:$D$13)</f>
        <v>38</v>
      </c>
      <c r="R1479" s="1">
        <f>_xlfn.XLOOKUP(C1479,Contract!$A$2:$A$9,Contract!$B$2:$B$9)</f>
        <v>0.27</v>
      </c>
      <c r="S1479" s="1">
        <f t="shared" si="92"/>
        <v>10.26</v>
      </c>
      <c r="T1479" s="1" t="str">
        <f t="shared" si="93"/>
        <v/>
      </c>
      <c r="U1479" s="1" t="str">
        <f t="shared" si="94"/>
        <v/>
      </c>
      <c r="V1479" s="1" t="str">
        <f>_xlfn.XLOOKUP(C1479,Payers!$A$2:$A$9,Payers!$B$2:$B$9)</f>
        <v>Florida Medicaid</v>
      </c>
      <c r="W1479" s="1" t="str">
        <f t="shared" si="95"/>
        <v>2025-11</v>
      </c>
    </row>
    <row r="1480" spans="1:23">
      <c r="A1480" s="1" t="s">
        <v>2740</v>
      </c>
      <c r="B1480" s="1" t="s">
        <v>2741</v>
      </c>
      <c r="C1480" s="1" t="s">
        <v>76</v>
      </c>
      <c r="D1480" s="1" t="s">
        <v>26</v>
      </c>
      <c r="E1480" s="1" t="s">
        <v>88</v>
      </c>
      <c r="F1480">
        <v>1</v>
      </c>
      <c r="G1480" s="2">
        <v>45969</v>
      </c>
      <c r="H1480" s="2">
        <v>45976</v>
      </c>
      <c r="I1480">
        <v>266.05</v>
      </c>
      <c r="M1480" s="1" t="s">
        <v>32</v>
      </c>
      <c r="N1480" s="1" t="s">
        <v>49</v>
      </c>
      <c r="O1480" s="2">
        <v>45999</v>
      </c>
      <c r="P1480" s="2"/>
      <c r="Q1480">
        <f>_xlfn.XLOOKUP(E1480,CPT!$A$2:$A$13,CPT!$D$2:$D$13)</f>
        <v>260</v>
      </c>
      <c r="R1480" s="1">
        <f>_xlfn.XLOOKUP(C1480,Contract!$A$2:$A$9,Contract!$B$2:$B$9)</f>
        <v>0.43</v>
      </c>
      <c r="S1480" s="1">
        <f t="shared" si="92"/>
        <v>111.8</v>
      </c>
      <c r="T1480" s="1" t="str">
        <f t="shared" si="93"/>
        <v/>
      </c>
      <c r="U1480" s="1" t="str">
        <f t="shared" si="94"/>
        <v/>
      </c>
      <c r="V1480" s="1" t="str">
        <f>_xlfn.XLOOKUP(C1480,Payers!$A$2:$A$9,Payers!$B$2:$B$9)</f>
        <v>Summit Health Commercial</v>
      </c>
      <c r="W1480" s="1" t="str">
        <f t="shared" si="95"/>
        <v>2025-11</v>
      </c>
    </row>
    <row r="1481" spans="1:23">
      <c r="A1481" s="1" t="s">
        <v>2742</v>
      </c>
      <c r="B1481" s="1" t="s">
        <v>1137</v>
      </c>
      <c r="C1481" s="1" t="s">
        <v>18</v>
      </c>
      <c r="D1481" s="1" t="s">
        <v>19</v>
      </c>
      <c r="E1481" s="1" t="s">
        <v>41</v>
      </c>
      <c r="F1481">
        <v>1</v>
      </c>
      <c r="G1481" s="2">
        <v>45974</v>
      </c>
      <c r="H1481" s="2">
        <v>45982</v>
      </c>
      <c r="I1481">
        <v>37.840000000000003</v>
      </c>
      <c r="M1481" s="1" t="s">
        <v>32</v>
      </c>
      <c r="N1481" s="1" t="s">
        <v>33</v>
      </c>
      <c r="O1481" s="2">
        <v>46040</v>
      </c>
      <c r="P1481" s="2"/>
      <c r="Q1481">
        <f>_xlfn.XLOOKUP(E1481,CPT!$A$2:$A$13,CPT!$D$2:$D$13)</f>
        <v>38</v>
      </c>
      <c r="R1481" s="1">
        <f>_xlfn.XLOOKUP(C1481,Contract!$A$2:$A$9,Contract!$B$2:$B$9)</f>
        <v>0.38</v>
      </c>
      <c r="S1481" s="1">
        <f t="shared" si="92"/>
        <v>14.44</v>
      </c>
      <c r="T1481" s="1" t="str">
        <f t="shared" si="93"/>
        <v/>
      </c>
      <c r="U1481" s="1" t="str">
        <f t="shared" si="94"/>
        <v/>
      </c>
      <c r="V1481" s="1" t="str">
        <f>_xlfn.XLOOKUP(C1481,Payers!$A$2:$A$9,Payers!$B$2:$B$9)</f>
        <v>Sunshine Medicare Advantage</v>
      </c>
      <c r="W1481" s="1" t="str">
        <f t="shared" si="95"/>
        <v>2025-11</v>
      </c>
    </row>
    <row r="1482" spans="1:23">
      <c r="A1482" s="1" t="s">
        <v>2743</v>
      </c>
      <c r="B1482" s="1" t="s">
        <v>2744</v>
      </c>
      <c r="C1482" s="1" t="s">
        <v>25</v>
      </c>
      <c r="D1482" s="1" t="s">
        <v>26</v>
      </c>
      <c r="E1482" s="1" t="s">
        <v>41</v>
      </c>
      <c r="F1482">
        <v>1</v>
      </c>
      <c r="G1482" s="2">
        <v>45934</v>
      </c>
      <c r="H1482" s="2">
        <v>45939</v>
      </c>
      <c r="I1482">
        <v>37.369999999999997</v>
      </c>
      <c r="J1482">
        <v>12.41</v>
      </c>
      <c r="K1482">
        <v>9.93</v>
      </c>
      <c r="L1482">
        <v>2.48</v>
      </c>
      <c r="M1482" s="1" t="s">
        <v>21</v>
      </c>
      <c r="N1482" s="1" t="s">
        <v>22</v>
      </c>
      <c r="O1482" s="2">
        <v>45962</v>
      </c>
      <c r="P1482" s="2">
        <v>45962</v>
      </c>
      <c r="Q1482">
        <f>_xlfn.XLOOKUP(E1482,CPT!$A$2:$A$13,CPT!$D$2:$D$13)</f>
        <v>38</v>
      </c>
      <c r="R1482" s="1">
        <f>_xlfn.XLOOKUP(C1482,Contract!$A$2:$A$9,Contract!$B$2:$B$9)</f>
        <v>0.36</v>
      </c>
      <c r="S1482" s="1">
        <f t="shared" si="92"/>
        <v>13.68</v>
      </c>
      <c r="T1482" s="1">
        <f t="shared" si="93"/>
        <v>1.2699999999999996</v>
      </c>
      <c r="U1482" s="1" t="str">
        <f t="shared" si="94"/>
        <v>Underpaid</v>
      </c>
      <c r="V1482" s="1" t="str">
        <f>_xlfn.XLOOKUP(C1482,Payers!$A$2:$A$9,Payers!$B$2:$B$9)</f>
        <v>Medicare Part B</v>
      </c>
      <c r="W1482" s="1" t="str">
        <f t="shared" si="95"/>
        <v>2025-10</v>
      </c>
    </row>
    <row r="1483" spans="1:23">
      <c r="A1483" s="1" t="s">
        <v>2745</v>
      </c>
      <c r="B1483" s="1" t="s">
        <v>2746</v>
      </c>
      <c r="C1483" s="1" t="s">
        <v>76</v>
      </c>
      <c r="D1483" s="1" t="s">
        <v>19</v>
      </c>
      <c r="E1483" s="1" t="s">
        <v>41</v>
      </c>
      <c r="F1483">
        <v>1</v>
      </c>
      <c r="G1483" s="2">
        <v>46088</v>
      </c>
      <c r="H1483" s="2">
        <v>46090</v>
      </c>
      <c r="I1483">
        <v>38.28</v>
      </c>
      <c r="J1483">
        <v>17.78</v>
      </c>
      <c r="K1483">
        <v>16</v>
      </c>
      <c r="L1483">
        <v>1.78</v>
      </c>
      <c r="M1483" s="1" t="s">
        <v>21</v>
      </c>
      <c r="N1483" s="1" t="s">
        <v>22</v>
      </c>
      <c r="O1483" s="2">
        <v>46131</v>
      </c>
      <c r="P1483" s="2">
        <v>46131</v>
      </c>
      <c r="Q1483">
        <f>_xlfn.XLOOKUP(E1483,CPT!$A$2:$A$13,CPT!$D$2:$D$13)</f>
        <v>38</v>
      </c>
      <c r="R1483" s="1">
        <f>_xlfn.XLOOKUP(C1483,Contract!$A$2:$A$9,Contract!$B$2:$B$9)</f>
        <v>0.43</v>
      </c>
      <c r="S1483" s="1">
        <f t="shared" si="92"/>
        <v>16.34</v>
      </c>
      <c r="T1483" s="1">
        <f t="shared" si="93"/>
        <v>-1.4400000000000013</v>
      </c>
      <c r="U1483" s="1" t="str">
        <f t="shared" si="94"/>
        <v>OK</v>
      </c>
      <c r="V1483" s="1" t="str">
        <f>_xlfn.XLOOKUP(C1483,Payers!$A$2:$A$9,Payers!$B$2:$B$9)</f>
        <v>Summit Health Commercial</v>
      </c>
      <c r="W1483" s="1" t="str">
        <f t="shared" si="95"/>
        <v>2026-03</v>
      </c>
    </row>
    <row r="1484" spans="1:23">
      <c r="A1484" s="1" t="s">
        <v>2747</v>
      </c>
      <c r="B1484" s="1" t="s">
        <v>2748</v>
      </c>
      <c r="C1484" s="1" t="s">
        <v>60</v>
      </c>
      <c r="D1484" s="1" t="s">
        <v>26</v>
      </c>
      <c r="E1484" s="1" t="s">
        <v>44</v>
      </c>
      <c r="F1484">
        <v>1</v>
      </c>
      <c r="G1484" s="2">
        <v>46057</v>
      </c>
      <c r="H1484" s="2">
        <v>46065</v>
      </c>
      <c r="I1484">
        <v>4728.37</v>
      </c>
      <c r="M1484" s="1" t="s">
        <v>32</v>
      </c>
      <c r="N1484" s="1" t="s">
        <v>168</v>
      </c>
      <c r="O1484" s="2">
        <v>46095</v>
      </c>
      <c r="P1484" s="2"/>
      <c r="Q1484">
        <f>_xlfn.XLOOKUP(E1484,CPT!$A$2:$A$13,CPT!$D$2:$D$13)</f>
        <v>4800</v>
      </c>
      <c r="R1484" s="1">
        <f>_xlfn.XLOOKUP(C1484,Contract!$A$2:$A$9,Contract!$B$2:$B$9)</f>
        <v>0.45</v>
      </c>
      <c r="S1484" s="1">
        <f t="shared" si="92"/>
        <v>2160</v>
      </c>
      <c r="T1484" s="1" t="str">
        <f t="shared" si="93"/>
        <v/>
      </c>
      <c r="U1484" s="1" t="str">
        <f t="shared" si="94"/>
        <v/>
      </c>
      <c r="V1484" s="1" t="str">
        <f>_xlfn.XLOOKUP(C1484,Payers!$A$2:$A$9,Payers!$B$2:$B$9)</f>
        <v>Blue Horizon Commercial</v>
      </c>
      <c r="W1484" s="1" t="str">
        <f t="shared" si="95"/>
        <v>2026-02</v>
      </c>
    </row>
    <row r="1485" spans="1:23">
      <c r="A1485" s="1" t="s">
        <v>2749</v>
      </c>
      <c r="B1485" s="1" t="s">
        <v>2750</v>
      </c>
      <c r="C1485" s="1" t="s">
        <v>60</v>
      </c>
      <c r="D1485" s="1" t="s">
        <v>37</v>
      </c>
      <c r="E1485" s="1" t="s">
        <v>57</v>
      </c>
      <c r="F1485">
        <v>1</v>
      </c>
      <c r="G1485" s="2">
        <v>46037</v>
      </c>
      <c r="H1485" s="2">
        <v>46047</v>
      </c>
      <c r="I1485">
        <v>204.04</v>
      </c>
      <c r="J1485">
        <v>93.36</v>
      </c>
      <c r="K1485">
        <v>93.36</v>
      </c>
      <c r="L1485">
        <v>0</v>
      </c>
      <c r="M1485" s="1" t="s">
        <v>21</v>
      </c>
      <c r="N1485" s="1" t="s">
        <v>22</v>
      </c>
      <c r="O1485" s="2">
        <v>46075</v>
      </c>
      <c r="P1485" s="2">
        <v>46075</v>
      </c>
      <c r="Q1485">
        <f>_xlfn.XLOOKUP(E1485,CPT!$A$2:$A$13,CPT!$D$2:$D$13)</f>
        <v>210</v>
      </c>
      <c r="R1485" s="1">
        <f>_xlfn.XLOOKUP(C1485,Contract!$A$2:$A$9,Contract!$B$2:$B$9)</f>
        <v>0.45</v>
      </c>
      <c r="S1485" s="1">
        <f t="shared" si="92"/>
        <v>94.5</v>
      </c>
      <c r="T1485" s="1">
        <f t="shared" si="93"/>
        <v>1.1400000000000006</v>
      </c>
      <c r="U1485" s="1" t="str">
        <f t="shared" si="94"/>
        <v>OK</v>
      </c>
      <c r="V1485" s="1" t="str">
        <f>_xlfn.XLOOKUP(C1485,Payers!$A$2:$A$9,Payers!$B$2:$B$9)</f>
        <v>Blue Horizon Commercial</v>
      </c>
      <c r="W1485" s="1" t="str">
        <f t="shared" si="95"/>
        <v>2026-01</v>
      </c>
    </row>
    <row r="1486" spans="1:23">
      <c r="A1486" s="1" t="s">
        <v>2751</v>
      </c>
      <c r="B1486" s="1" t="s">
        <v>2637</v>
      </c>
      <c r="C1486" s="1" t="s">
        <v>52</v>
      </c>
      <c r="D1486" s="1" t="s">
        <v>19</v>
      </c>
      <c r="E1486" s="1" t="s">
        <v>20</v>
      </c>
      <c r="F1486">
        <v>1</v>
      </c>
      <c r="G1486" s="2">
        <v>46147</v>
      </c>
      <c r="H1486" s="2">
        <v>46151</v>
      </c>
      <c r="I1486">
        <v>145.13999999999999</v>
      </c>
      <c r="J1486">
        <v>75.239999999999995</v>
      </c>
      <c r="K1486">
        <v>75.239999999999995</v>
      </c>
      <c r="L1486">
        <v>0</v>
      </c>
      <c r="M1486" s="1" t="s">
        <v>21</v>
      </c>
      <c r="N1486" s="1" t="s">
        <v>22</v>
      </c>
      <c r="O1486" s="2">
        <v>46188</v>
      </c>
      <c r="P1486" s="2">
        <v>46188</v>
      </c>
      <c r="Q1486">
        <f>_xlfn.XLOOKUP(E1486,CPT!$A$2:$A$13,CPT!$D$2:$D$13)</f>
        <v>145</v>
      </c>
      <c r="R1486" s="1">
        <f>_xlfn.XLOOKUP(C1486,Contract!$A$2:$A$9,Contract!$B$2:$B$9)</f>
        <v>0.47</v>
      </c>
      <c r="S1486" s="1">
        <f t="shared" si="92"/>
        <v>68.150000000000006</v>
      </c>
      <c r="T1486" s="1">
        <f t="shared" si="93"/>
        <v>-7.0899999999999892</v>
      </c>
      <c r="U1486" s="1" t="str">
        <f t="shared" si="94"/>
        <v>OK</v>
      </c>
      <c r="V1486" s="1" t="str">
        <f>_xlfn.XLOOKUP(C1486,Payers!$A$2:$A$9,Payers!$B$2:$B$9)</f>
        <v>Keystone Commercial PPO</v>
      </c>
      <c r="W1486" s="1" t="str">
        <f t="shared" si="95"/>
        <v>2026-05</v>
      </c>
    </row>
    <row r="1487" spans="1:23">
      <c r="A1487" s="1" t="s">
        <v>2752</v>
      </c>
      <c r="B1487" s="1" t="s">
        <v>1614</v>
      </c>
      <c r="C1487" s="1" t="s">
        <v>60</v>
      </c>
      <c r="D1487" s="1" t="s">
        <v>26</v>
      </c>
      <c r="E1487" s="1" t="s">
        <v>41</v>
      </c>
      <c r="F1487">
        <v>1</v>
      </c>
      <c r="G1487" s="2">
        <v>46106</v>
      </c>
      <c r="H1487" s="2">
        <v>46109</v>
      </c>
      <c r="I1487">
        <v>38.47</v>
      </c>
      <c r="J1487">
        <v>14.85</v>
      </c>
      <c r="K1487">
        <v>11.88</v>
      </c>
      <c r="L1487">
        <v>2.97</v>
      </c>
      <c r="M1487" s="1" t="s">
        <v>21</v>
      </c>
      <c r="N1487" s="1" t="s">
        <v>22</v>
      </c>
      <c r="O1487" s="2">
        <v>46128</v>
      </c>
      <c r="P1487" s="2">
        <v>46128</v>
      </c>
      <c r="Q1487">
        <f>_xlfn.XLOOKUP(E1487,CPT!$A$2:$A$13,CPT!$D$2:$D$13)</f>
        <v>38</v>
      </c>
      <c r="R1487" s="1">
        <f>_xlfn.XLOOKUP(C1487,Contract!$A$2:$A$9,Contract!$B$2:$B$9)</f>
        <v>0.45</v>
      </c>
      <c r="S1487" s="1">
        <f t="shared" si="92"/>
        <v>17.100000000000001</v>
      </c>
      <c r="T1487" s="1">
        <f t="shared" si="93"/>
        <v>2.2500000000000018</v>
      </c>
      <c r="U1487" s="1" t="str">
        <f t="shared" si="94"/>
        <v>Underpaid</v>
      </c>
      <c r="V1487" s="1" t="str">
        <f>_xlfn.XLOOKUP(C1487,Payers!$A$2:$A$9,Payers!$B$2:$B$9)</f>
        <v>Blue Horizon Commercial</v>
      </c>
      <c r="W1487" s="1" t="str">
        <f t="shared" si="95"/>
        <v>2026-03</v>
      </c>
    </row>
    <row r="1488" spans="1:23">
      <c r="A1488" s="1" t="s">
        <v>2753</v>
      </c>
      <c r="B1488" s="1" t="s">
        <v>2754</v>
      </c>
      <c r="C1488" s="1" t="s">
        <v>18</v>
      </c>
      <c r="D1488" s="1" t="s">
        <v>26</v>
      </c>
      <c r="E1488" s="1" t="s">
        <v>113</v>
      </c>
      <c r="F1488">
        <v>1</v>
      </c>
      <c r="G1488" s="2">
        <v>46101</v>
      </c>
      <c r="H1488" s="2">
        <v>46102</v>
      </c>
      <c r="I1488">
        <v>1023.52</v>
      </c>
      <c r="J1488">
        <v>374.58</v>
      </c>
      <c r="K1488">
        <v>337.12</v>
      </c>
      <c r="L1488">
        <v>37.46</v>
      </c>
      <c r="M1488" s="1" t="s">
        <v>21</v>
      </c>
      <c r="N1488" s="1" t="s">
        <v>22</v>
      </c>
      <c r="O1488" s="2">
        <v>46141</v>
      </c>
      <c r="P1488" s="2">
        <v>46141</v>
      </c>
      <c r="Q1488">
        <f>_xlfn.XLOOKUP(E1488,CPT!$A$2:$A$13,CPT!$D$2:$D$13)</f>
        <v>1050</v>
      </c>
      <c r="R1488" s="1">
        <f>_xlfn.XLOOKUP(C1488,Contract!$A$2:$A$9,Contract!$B$2:$B$9)</f>
        <v>0.38</v>
      </c>
      <c r="S1488" s="1">
        <f t="shared" si="92"/>
        <v>399</v>
      </c>
      <c r="T1488" s="1">
        <f t="shared" si="93"/>
        <v>24.420000000000016</v>
      </c>
      <c r="U1488" s="1" t="str">
        <f t="shared" si="94"/>
        <v>Underpaid</v>
      </c>
      <c r="V1488" s="1" t="str">
        <f>_xlfn.XLOOKUP(C1488,Payers!$A$2:$A$9,Payers!$B$2:$B$9)</f>
        <v>Sunshine Medicare Advantage</v>
      </c>
      <c r="W1488" s="1" t="str">
        <f t="shared" si="95"/>
        <v>2026-03</v>
      </c>
    </row>
    <row r="1489" spans="1:23">
      <c r="A1489" s="1" t="s">
        <v>2755</v>
      </c>
      <c r="B1489" s="1" t="s">
        <v>2756</v>
      </c>
      <c r="C1489" s="1" t="s">
        <v>60</v>
      </c>
      <c r="D1489" s="1" t="s">
        <v>30</v>
      </c>
      <c r="E1489" s="1" t="s">
        <v>31</v>
      </c>
      <c r="F1489">
        <v>1</v>
      </c>
      <c r="G1489" s="2">
        <v>46031</v>
      </c>
      <c r="H1489" s="2">
        <v>46034</v>
      </c>
      <c r="I1489">
        <v>60.2</v>
      </c>
      <c r="J1489">
        <v>28.58</v>
      </c>
      <c r="K1489">
        <v>22.86</v>
      </c>
      <c r="L1489">
        <v>5.72</v>
      </c>
      <c r="M1489" s="1" t="s">
        <v>21</v>
      </c>
      <c r="N1489" s="1" t="s">
        <v>22</v>
      </c>
      <c r="O1489" s="2">
        <v>46060</v>
      </c>
      <c r="P1489" s="2">
        <v>46060</v>
      </c>
      <c r="Q1489">
        <f>_xlfn.XLOOKUP(E1489,CPT!$A$2:$A$13,CPT!$D$2:$D$13)</f>
        <v>62</v>
      </c>
      <c r="R1489" s="1">
        <f>_xlfn.XLOOKUP(C1489,Contract!$A$2:$A$9,Contract!$B$2:$B$9)</f>
        <v>0.45</v>
      </c>
      <c r="S1489" s="1">
        <f t="shared" si="92"/>
        <v>27.9</v>
      </c>
      <c r="T1489" s="1">
        <f t="shared" si="93"/>
        <v>-0.67999999999999972</v>
      </c>
      <c r="U1489" s="1" t="str">
        <f t="shared" si="94"/>
        <v>OK</v>
      </c>
      <c r="V1489" s="1" t="str">
        <f>_xlfn.XLOOKUP(C1489,Payers!$A$2:$A$9,Payers!$B$2:$B$9)</f>
        <v>Blue Horizon Commercial</v>
      </c>
      <c r="W1489" s="1" t="str">
        <f t="shared" si="95"/>
        <v>2026-01</v>
      </c>
    </row>
    <row r="1490" spans="1:23">
      <c r="A1490" s="1" t="s">
        <v>2757</v>
      </c>
      <c r="B1490" s="1" t="s">
        <v>2758</v>
      </c>
      <c r="C1490" s="1" t="s">
        <v>76</v>
      </c>
      <c r="D1490" s="1" t="s">
        <v>37</v>
      </c>
      <c r="E1490" s="1" t="s">
        <v>57</v>
      </c>
      <c r="F1490">
        <v>1</v>
      </c>
      <c r="G1490" s="2">
        <v>45946</v>
      </c>
      <c r="H1490" s="2">
        <v>45950</v>
      </c>
      <c r="I1490">
        <v>206.28</v>
      </c>
      <c r="J1490">
        <v>101.9</v>
      </c>
      <c r="K1490">
        <v>81.52</v>
      </c>
      <c r="L1490">
        <v>20.38</v>
      </c>
      <c r="M1490" s="1" t="s">
        <v>21</v>
      </c>
      <c r="N1490" s="1" t="s">
        <v>22</v>
      </c>
      <c r="O1490" s="2">
        <v>45987</v>
      </c>
      <c r="P1490" s="2">
        <v>45987</v>
      </c>
      <c r="Q1490">
        <f>_xlfn.XLOOKUP(E1490,CPT!$A$2:$A$13,CPT!$D$2:$D$13)</f>
        <v>210</v>
      </c>
      <c r="R1490" s="1">
        <f>_xlfn.XLOOKUP(C1490,Contract!$A$2:$A$9,Contract!$B$2:$B$9)</f>
        <v>0.43</v>
      </c>
      <c r="S1490" s="1">
        <f t="shared" si="92"/>
        <v>90.3</v>
      </c>
      <c r="T1490" s="1">
        <f t="shared" si="93"/>
        <v>-11.600000000000009</v>
      </c>
      <c r="U1490" s="1" t="str">
        <f t="shared" si="94"/>
        <v>OK</v>
      </c>
      <c r="V1490" s="1" t="str">
        <f>_xlfn.XLOOKUP(C1490,Payers!$A$2:$A$9,Payers!$B$2:$B$9)</f>
        <v>Summit Health Commercial</v>
      </c>
      <c r="W1490" s="1" t="str">
        <f t="shared" si="95"/>
        <v>2025-10</v>
      </c>
    </row>
    <row r="1491" spans="1:23">
      <c r="A1491" s="1" t="s">
        <v>2759</v>
      </c>
      <c r="B1491" s="1" t="s">
        <v>2760</v>
      </c>
      <c r="C1491" s="1" t="s">
        <v>47</v>
      </c>
      <c r="D1491" s="1" t="s">
        <v>30</v>
      </c>
      <c r="E1491" s="1" t="s">
        <v>91</v>
      </c>
      <c r="F1491">
        <v>2</v>
      </c>
      <c r="G1491" s="2">
        <v>46154</v>
      </c>
      <c r="H1491" s="2">
        <v>46155</v>
      </c>
      <c r="I1491">
        <v>115.56</v>
      </c>
      <c r="M1491" s="1" t="s">
        <v>32</v>
      </c>
      <c r="N1491" s="1" t="s">
        <v>33</v>
      </c>
      <c r="O1491" s="2">
        <v>46186</v>
      </c>
      <c r="P1491" s="2"/>
      <c r="Q1491">
        <f>_xlfn.XLOOKUP(E1491,CPT!$A$2:$A$13,CPT!$D$2:$D$13)</f>
        <v>58</v>
      </c>
      <c r="R1491" s="1">
        <f>_xlfn.XLOOKUP(C1491,Contract!$A$2:$A$9,Contract!$B$2:$B$9)</f>
        <v>0.28000000000000003</v>
      </c>
      <c r="S1491" s="1">
        <f t="shared" si="92"/>
        <v>32.479999999999997</v>
      </c>
      <c r="T1491" s="1" t="str">
        <f t="shared" si="93"/>
        <v/>
      </c>
      <c r="U1491" s="1" t="str">
        <f t="shared" si="94"/>
        <v/>
      </c>
      <c r="V1491" s="1" t="str">
        <f>_xlfn.XLOOKUP(C1491,Payers!$A$2:$A$9,Payers!$B$2:$B$9)</f>
        <v>Coastal Medicaid MCO</v>
      </c>
      <c r="W1491" s="1" t="str">
        <f t="shared" si="95"/>
        <v>2026-05</v>
      </c>
    </row>
    <row r="1492" spans="1:23">
      <c r="A1492" s="1" t="s">
        <v>2761</v>
      </c>
      <c r="B1492" s="1" t="s">
        <v>2762</v>
      </c>
      <c r="C1492" s="1" t="s">
        <v>60</v>
      </c>
      <c r="D1492" s="1" t="s">
        <v>19</v>
      </c>
      <c r="E1492" s="1" t="s">
        <v>41</v>
      </c>
      <c r="F1492">
        <v>1</v>
      </c>
      <c r="G1492" s="2">
        <v>46100</v>
      </c>
      <c r="H1492" s="2">
        <v>46101</v>
      </c>
      <c r="I1492">
        <v>38.29</v>
      </c>
      <c r="M1492" s="1" t="s">
        <v>32</v>
      </c>
      <c r="N1492" s="1" t="s">
        <v>33</v>
      </c>
      <c r="O1492" s="2">
        <v>46119</v>
      </c>
      <c r="P1492" s="2"/>
      <c r="Q1492">
        <f>_xlfn.XLOOKUP(E1492,CPT!$A$2:$A$13,CPT!$D$2:$D$13)</f>
        <v>38</v>
      </c>
      <c r="R1492" s="1">
        <f>_xlfn.XLOOKUP(C1492,Contract!$A$2:$A$9,Contract!$B$2:$B$9)</f>
        <v>0.45</v>
      </c>
      <c r="S1492" s="1">
        <f t="shared" si="92"/>
        <v>17.100000000000001</v>
      </c>
      <c r="T1492" s="1" t="str">
        <f t="shared" si="93"/>
        <v/>
      </c>
      <c r="U1492" s="1" t="str">
        <f t="shared" si="94"/>
        <v/>
      </c>
      <c r="V1492" s="1" t="str">
        <f>_xlfn.XLOOKUP(C1492,Payers!$A$2:$A$9,Payers!$B$2:$B$9)</f>
        <v>Blue Horizon Commercial</v>
      </c>
      <c r="W1492" s="1" t="str">
        <f t="shared" si="95"/>
        <v>2026-03</v>
      </c>
    </row>
    <row r="1493" spans="1:23">
      <c r="A1493" s="1" t="s">
        <v>2763</v>
      </c>
      <c r="B1493" s="1" t="s">
        <v>2764</v>
      </c>
      <c r="C1493" s="1" t="s">
        <v>25</v>
      </c>
      <c r="D1493" s="1" t="s">
        <v>19</v>
      </c>
      <c r="E1493" s="1" t="s">
        <v>88</v>
      </c>
      <c r="F1493">
        <v>1</v>
      </c>
      <c r="G1493" s="2">
        <v>46092</v>
      </c>
      <c r="H1493" s="2">
        <v>46116</v>
      </c>
      <c r="I1493">
        <v>256.08999999999997</v>
      </c>
      <c r="M1493" s="1" t="s">
        <v>32</v>
      </c>
      <c r="N1493" s="1" t="s">
        <v>168</v>
      </c>
      <c r="O1493" s="2">
        <v>46134</v>
      </c>
      <c r="P1493" s="2"/>
      <c r="Q1493">
        <f>_xlfn.XLOOKUP(E1493,CPT!$A$2:$A$13,CPT!$D$2:$D$13)</f>
        <v>260</v>
      </c>
      <c r="R1493" s="1">
        <f>_xlfn.XLOOKUP(C1493,Contract!$A$2:$A$9,Contract!$B$2:$B$9)</f>
        <v>0.36</v>
      </c>
      <c r="S1493" s="1">
        <f t="shared" si="92"/>
        <v>93.6</v>
      </c>
      <c r="T1493" s="1" t="str">
        <f t="shared" si="93"/>
        <v/>
      </c>
      <c r="U1493" s="1" t="str">
        <f t="shared" si="94"/>
        <v/>
      </c>
      <c r="V1493" s="1" t="str">
        <f>_xlfn.XLOOKUP(C1493,Payers!$A$2:$A$9,Payers!$B$2:$B$9)</f>
        <v>Medicare Part B</v>
      </c>
      <c r="W1493" s="1" t="str">
        <f t="shared" si="95"/>
        <v>2026-03</v>
      </c>
    </row>
    <row r="1494" spans="1:23">
      <c r="A1494" s="1" t="s">
        <v>2765</v>
      </c>
      <c r="B1494" s="1" t="s">
        <v>2766</v>
      </c>
      <c r="C1494" s="1" t="s">
        <v>76</v>
      </c>
      <c r="D1494" s="1" t="s">
        <v>26</v>
      </c>
      <c r="E1494" s="1" t="s">
        <v>27</v>
      </c>
      <c r="F1494">
        <v>1</v>
      </c>
      <c r="G1494" s="2">
        <v>46237</v>
      </c>
      <c r="H1494" s="2">
        <v>46248</v>
      </c>
      <c r="I1494">
        <v>244.63</v>
      </c>
      <c r="J1494">
        <v>108.03</v>
      </c>
      <c r="K1494">
        <v>108.03</v>
      </c>
      <c r="L1494">
        <v>0</v>
      </c>
      <c r="M1494" s="1" t="s">
        <v>21</v>
      </c>
      <c r="N1494" s="1" t="s">
        <v>22</v>
      </c>
      <c r="O1494" s="2">
        <v>46293</v>
      </c>
      <c r="P1494" s="2">
        <v>46293</v>
      </c>
      <c r="Q1494">
        <f>_xlfn.XLOOKUP(E1494,CPT!$A$2:$A$13,CPT!$D$2:$D$13)</f>
        <v>240</v>
      </c>
      <c r="R1494" s="1">
        <f>_xlfn.XLOOKUP(C1494,Contract!$A$2:$A$9,Contract!$B$2:$B$9)</f>
        <v>0.43</v>
      </c>
      <c r="S1494" s="1">
        <f t="shared" si="92"/>
        <v>103.2</v>
      </c>
      <c r="T1494" s="1">
        <f t="shared" si="93"/>
        <v>-4.8299999999999983</v>
      </c>
      <c r="U1494" s="1" t="str">
        <f t="shared" si="94"/>
        <v>OK</v>
      </c>
      <c r="V1494" s="1" t="str">
        <f>_xlfn.XLOOKUP(C1494,Payers!$A$2:$A$9,Payers!$B$2:$B$9)</f>
        <v>Summit Health Commercial</v>
      </c>
      <c r="W1494" s="1" t="str">
        <f t="shared" si="95"/>
        <v>2026-08</v>
      </c>
    </row>
    <row r="1495" spans="1:23">
      <c r="A1495" s="1" t="s">
        <v>2767</v>
      </c>
      <c r="B1495" s="1" t="s">
        <v>2768</v>
      </c>
      <c r="C1495" s="1" t="s">
        <v>18</v>
      </c>
      <c r="D1495" s="1" t="s">
        <v>19</v>
      </c>
      <c r="E1495" s="1" t="s">
        <v>41</v>
      </c>
      <c r="F1495">
        <v>1</v>
      </c>
      <c r="G1495" s="2">
        <v>46143</v>
      </c>
      <c r="H1495" s="2">
        <v>46147</v>
      </c>
      <c r="I1495">
        <v>37.729999999999997</v>
      </c>
      <c r="J1495">
        <v>14.03</v>
      </c>
      <c r="K1495">
        <v>11.22</v>
      </c>
      <c r="L1495">
        <v>2.81</v>
      </c>
      <c r="M1495" s="1" t="s">
        <v>21</v>
      </c>
      <c r="N1495" s="1" t="s">
        <v>22</v>
      </c>
      <c r="O1495" s="2">
        <v>46197</v>
      </c>
      <c r="P1495" s="2">
        <v>46197</v>
      </c>
      <c r="Q1495">
        <f>_xlfn.XLOOKUP(E1495,CPT!$A$2:$A$13,CPT!$D$2:$D$13)</f>
        <v>38</v>
      </c>
      <c r="R1495" s="1">
        <f>_xlfn.XLOOKUP(C1495,Contract!$A$2:$A$9,Contract!$B$2:$B$9)</f>
        <v>0.38</v>
      </c>
      <c r="S1495" s="1">
        <f t="shared" si="92"/>
        <v>14.44</v>
      </c>
      <c r="T1495" s="1">
        <f t="shared" si="93"/>
        <v>0.41000000000000014</v>
      </c>
      <c r="U1495" s="1" t="str">
        <f t="shared" si="94"/>
        <v>OK</v>
      </c>
      <c r="V1495" s="1" t="str">
        <f>_xlfn.XLOOKUP(C1495,Payers!$A$2:$A$9,Payers!$B$2:$B$9)</f>
        <v>Sunshine Medicare Advantage</v>
      </c>
      <c r="W1495" s="1" t="str">
        <f t="shared" si="95"/>
        <v>2026-05</v>
      </c>
    </row>
    <row r="1496" spans="1:23">
      <c r="A1496" s="1" t="s">
        <v>2769</v>
      </c>
      <c r="B1496" s="1" t="s">
        <v>2770</v>
      </c>
      <c r="C1496" s="1" t="s">
        <v>76</v>
      </c>
      <c r="D1496" s="1" t="s">
        <v>26</v>
      </c>
      <c r="E1496" s="1" t="s">
        <v>113</v>
      </c>
      <c r="F1496">
        <v>1</v>
      </c>
      <c r="G1496" s="2">
        <v>45956</v>
      </c>
      <c r="H1496" s="2">
        <v>45960</v>
      </c>
      <c r="I1496">
        <v>1049.06</v>
      </c>
      <c r="J1496">
        <v>494.64</v>
      </c>
      <c r="K1496">
        <v>494.64</v>
      </c>
      <c r="L1496">
        <v>0</v>
      </c>
      <c r="M1496" s="1" t="s">
        <v>21</v>
      </c>
      <c r="N1496" s="1" t="s">
        <v>22</v>
      </c>
      <c r="O1496" s="2">
        <v>45992</v>
      </c>
      <c r="P1496" s="2">
        <v>45992</v>
      </c>
      <c r="Q1496">
        <f>_xlfn.XLOOKUP(E1496,CPT!$A$2:$A$13,CPT!$D$2:$D$13)</f>
        <v>1050</v>
      </c>
      <c r="R1496" s="1">
        <f>_xlfn.XLOOKUP(C1496,Contract!$A$2:$A$9,Contract!$B$2:$B$9)</f>
        <v>0.43</v>
      </c>
      <c r="S1496" s="1">
        <f t="shared" si="92"/>
        <v>451.5</v>
      </c>
      <c r="T1496" s="1">
        <f t="shared" si="93"/>
        <v>-43.139999999999986</v>
      </c>
      <c r="U1496" s="1" t="str">
        <f t="shared" si="94"/>
        <v>OK</v>
      </c>
      <c r="V1496" s="1" t="str">
        <f>_xlfn.XLOOKUP(C1496,Payers!$A$2:$A$9,Payers!$B$2:$B$9)</f>
        <v>Summit Health Commercial</v>
      </c>
      <c r="W1496" s="1" t="str">
        <f t="shared" si="95"/>
        <v>2025-10</v>
      </c>
    </row>
    <row r="1497" spans="1:23">
      <c r="A1497" s="1" t="s">
        <v>2771</v>
      </c>
      <c r="B1497" s="1" t="s">
        <v>2282</v>
      </c>
      <c r="C1497" s="1" t="s">
        <v>18</v>
      </c>
      <c r="D1497" s="1" t="s">
        <v>37</v>
      </c>
      <c r="E1497" s="1" t="s">
        <v>57</v>
      </c>
      <c r="F1497">
        <v>1</v>
      </c>
      <c r="G1497" s="2">
        <v>46235</v>
      </c>
      <c r="H1497" s="2">
        <v>46239</v>
      </c>
      <c r="I1497">
        <v>207.34</v>
      </c>
      <c r="M1497" s="1" t="s">
        <v>32</v>
      </c>
      <c r="N1497" s="1" t="s">
        <v>98</v>
      </c>
      <c r="O1497" s="2">
        <v>46274</v>
      </c>
      <c r="P1497" s="2"/>
      <c r="Q1497">
        <f>_xlfn.XLOOKUP(E1497,CPT!$A$2:$A$13,CPT!$D$2:$D$13)</f>
        <v>210</v>
      </c>
      <c r="R1497" s="1">
        <f>_xlfn.XLOOKUP(C1497,Contract!$A$2:$A$9,Contract!$B$2:$B$9)</f>
        <v>0.38</v>
      </c>
      <c r="S1497" s="1">
        <f t="shared" si="92"/>
        <v>79.8</v>
      </c>
      <c r="T1497" s="1" t="str">
        <f t="shared" si="93"/>
        <v/>
      </c>
      <c r="U1497" s="1" t="str">
        <f t="shared" si="94"/>
        <v/>
      </c>
      <c r="V1497" s="1" t="str">
        <f>_xlfn.XLOOKUP(C1497,Payers!$A$2:$A$9,Payers!$B$2:$B$9)</f>
        <v>Sunshine Medicare Advantage</v>
      </c>
      <c r="W1497" s="1" t="str">
        <f t="shared" si="95"/>
        <v>2026-08</v>
      </c>
    </row>
    <row r="1498" spans="1:23">
      <c r="A1498" s="1" t="s">
        <v>2772</v>
      </c>
      <c r="B1498" s="1" t="s">
        <v>2485</v>
      </c>
      <c r="C1498" s="1" t="s">
        <v>47</v>
      </c>
      <c r="D1498" s="1" t="s">
        <v>30</v>
      </c>
      <c r="E1498" s="1" t="s">
        <v>31</v>
      </c>
      <c r="F1498">
        <v>1</v>
      </c>
      <c r="G1498" s="2">
        <v>46269</v>
      </c>
      <c r="H1498" s="2">
        <v>46272</v>
      </c>
      <c r="I1498">
        <v>60.24</v>
      </c>
      <c r="M1498" s="1" t="s">
        <v>69</v>
      </c>
      <c r="N1498" s="1" t="s">
        <v>22</v>
      </c>
      <c r="O1498" s="2"/>
      <c r="P1498" s="2"/>
      <c r="Q1498">
        <f>_xlfn.XLOOKUP(E1498,CPT!$A$2:$A$13,CPT!$D$2:$D$13)</f>
        <v>62</v>
      </c>
      <c r="R1498" s="1">
        <f>_xlfn.XLOOKUP(C1498,Contract!$A$2:$A$9,Contract!$B$2:$B$9)</f>
        <v>0.28000000000000003</v>
      </c>
      <c r="S1498" s="1">
        <f t="shared" si="92"/>
        <v>17.36</v>
      </c>
      <c r="T1498" s="1" t="str">
        <f t="shared" si="93"/>
        <v/>
      </c>
      <c r="U1498" s="1" t="str">
        <f t="shared" si="94"/>
        <v/>
      </c>
      <c r="V1498" s="1" t="str">
        <f>_xlfn.XLOOKUP(C1498,Payers!$A$2:$A$9,Payers!$B$2:$B$9)</f>
        <v>Coastal Medicaid MCO</v>
      </c>
      <c r="W1498" s="1" t="str">
        <f t="shared" si="95"/>
        <v>2026-09</v>
      </c>
    </row>
    <row r="1499" spans="1:23">
      <c r="A1499" s="1" t="s">
        <v>2773</v>
      </c>
      <c r="B1499" s="1" t="s">
        <v>2774</v>
      </c>
      <c r="C1499" s="1" t="s">
        <v>25</v>
      </c>
      <c r="D1499" s="1" t="s">
        <v>30</v>
      </c>
      <c r="E1499" s="1" t="s">
        <v>20</v>
      </c>
      <c r="F1499">
        <v>1</v>
      </c>
      <c r="G1499" s="2">
        <v>45945</v>
      </c>
      <c r="H1499" s="2">
        <v>45950</v>
      </c>
      <c r="I1499">
        <v>146.13999999999999</v>
      </c>
      <c r="J1499">
        <v>59.19</v>
      </c>
      <c r="K1499">
        <v>59.19</v>
      </c>
      <c r="L1499">
        <v>0</v>
      </c>
      <c r="M1499" s="1" t="s">
        <v>21</v>
      </c>
      <c r="N1499" s="1" t="s">
        <v>22</v>
      </c>
      <c r="O1499" s="2">
        <v>45970</v>
      </c>
      <c r="P1499" s="2">
        <v>45970</v>
      </c>
      <c r="Q1499">
        <f>_xlfn.XLOOKUP(E1499,CPT!$A$2:$A$13,CPT!$D$2:$D$13)</f>
        <v>145</v>
      </c>
      <c r="R1499" s="1">
        <f>_xlfn.XLOOKUP(C1499,Contract!$A$2:$A$9,Contract!$B$2:$B$9)</f>
        <v>0.36</v>
      </c>
      <c r="S1499" s="1">
        <f t="shared" si="92"/>
        <v>52.2</v>
      </c>
      <c r="T1499" s="1">
        <f t="shared" si="93"/>
        <v>-6.9899999999999949</v>
      </c>
      <c r="U1499" s="1" t="str">
        <f t="shared" si="94"/>
        <v>OK</v>
      </c>
      <c r="V1499" s="1" t="str">
        <f>_xlfn.XLOOKUP(C1499,Payers!$A$2:$A$9,Payers!$B$2:$B$9)</f>
        <v>Medicare Part B</v>
      </c>
      <c r="W1499" s="1" t="str">
        <f t="shared" si="95"/>
        <v>2025-10</v>
      </c>
    </row>
    <row r="1500" spans="1:23">
      <c r="A1500" s="1" t="s">
        <v>2775</v>
      </c>
      <c r="B1500" s="1" t="s">
        <v>2776</v>
      </c>
      <c r="C1500" s="1" t="s">
        <v>47</v>
      </c>
      <c r="D1500" s="1" t="s">
        <v>19</v>
      </c>
      <c r="E1500" s="1" t="s">
        <v>41</v>
      </c>
      <c r="F1500">
        <v>1</v>
      </c>
      <c r="G1500" s="2">
        <v>45988</v>
      </c>
      <c r="H1500" s="2">
        <v>45991</v>
      </c>
      <c r="I1500">
        <v>37.049999999999997</v>
      </c>
      <c r="M1500" s="1" t="s">
        <v>32</v>
      </c>
      <c r="N1500" s="1" t="s">
        <v>281</v>
      </c>
      <c r="O1500" s="2">
        <v>46039</v>
      </c>
      <c r="P1500" s="2"/>
      <c r="Q1500">
        <f>_xlfn.XLOOKUP(E1500,CPT!$A$2:$A$13,CPT!$D$2:$D$13)</f>
        <v>38</v>
      </c>
      <c r="R1500" s="1">
        <f>_xlfn.XLOOKUP(C1500,Contract!$A$2:$A$9,Contract!$B$2:$B$9)</f>
        <v>0.28000000000000003</v>
      </c>
      <c r="S1500" s="1">
        <f t="shared" si="92"/>
        <v>10.64</v>
      </c>
      <c r="T1500" s="1" t="str">
        <f t="shared" si="93"/>
        <v/>
      </c>
      <c r="U1500" s="1" t="str">
        <f t="shared" si="94"/>
        <v/>
      </c>
      <c r="V1500" s="1" t="str">
        <f>_xlfn.XLOOKUP(C1500,Payers!$A$2:$A$9,Payers!$B$2:$B$9)</f>
        <v>Coastal Medicaid MCO</v>
      </c>
      <c r="W1500" s="1" t="str">
        <f t="shared" si="95"/>
        <v>2025-11</v>
      </c>
    </row>
    <row r="1501" spans="1:23">
      <c r="A1501" s="1" t="s">
        <v>2777</v>
      </c>
      <c r="B1501" s="1" t="s">
        <v>1961</v>
      </c>
      <c r="C1501" s="1" t="s">
        <v>25</v>
      </c>
      <c r="D1501" s="1" t="s">
        <v>30</v>
      </c>
      <c r="E1501" s="1" t="s">
        <v>91</v>
      </c>
      <c r="F1501">
        <v>1</v>
      </c>
      <c r="G1501" s="2">
        <v>46013</v>
      </c>
      <c r="H1501" s="2">
        <v>46022</v>
      </c>
      <c r="I1501">
        <v>57.83</v>
      </c>
      <c r="J1501">
        <v>23.59</v>
      </c>
      <c r="K1501">
        <v>18.87</v>
      </c>
      <c r="L1501">
        <v>4.72</v>
      </c>
      <c r="M1501" s="1" t="s">
        <v>21</v>
      </c>
      <c r="N1501" s="1" t="s">
        <v>22</v>
      </c>
      <c r="O1501" s="2">
        <v>46037</v>
      </c>
      <c r="P1501" s="2">
        <v>46037</v>
      </c>
      <c r="Q1501">
        <f>_xlfn.XLOOKUP(E1501,CPT!$A$2:$A$13,CPT!$D$2:$D$13)</f>
        <v>58</v>
      </c>
      <c r="R1501" s="1">
        <f>_xlfn.XLOOKUP(C1501,Contract!$A$2:$A$9,Contract!$B$2:$B$9)</f>
        <v>0.36</v>
      </c>
      <c r="S1501" s="1">
        <f t="shared" si="92"/>
        <v>20.88</v>
      </c>
      <c r="T1501" s="1">
        <f t="shared" si="93"/>
        <v>-2.7100000000000009</v>
      </c>
      <c r="U1501" s="1" t="str">
        <f t="shared" si="94"/>
        <v>OK</v>
      </c>
      <c r="V1501" s="1" t="str">
        <f>_xlfn.XLOOKUP(C1501,Payers!$A$2:$A$9,Payers!$B$2:$B$9)</f>
        <v>Medicare Part B</v>
      </c>
      <c r="W1501" s="1" t="str">
        <f t="shared" si="95"/>
        <v>2025-12</v>
      </c>
    </row>
    <row r="1502" spans="1:23">
      <c r="A1502" s="1" t="s">
        <v>2778</v>
      </c>
      <c r="B1502" s="1" t="s">
        <v>2779</v>
      </c>
      <c r="C1502" s="1" t="s">
        <v>25</v>
      </c>
      <c r="D1502" s="1" t="s">
        <v>19</v>
      </c>
      <c r="E1502" s="1" t="s">
        <v>20</v>
      </c>
      <c r="F1502">
        <v>1</v>
      </c>
      <c r="G1502" s="2">
        <v>45962</v>
      </c>
      <c r="H1502" s="2">
        <v>45964</v>
      </c>
      <c r="I1502">
        <v>147.71</v>
      </c>
      <c r="M1502" s="1" t="s">
        <v>32</v>
      </c>
      <c r="N1502" s="1" t="s">
        <v>124</v>
      </c>
      <c r="O1502" s="2">
        <v>45990</v>
      </c>
      <c r="P1502" s="2"/>
      <c r="Q1502">
        <f>_xlfn.XLOOKUP(E1502,CPT!$A$2:$A$13,CPT!$D$2:$D$13)</f>
        <v>145</v>
      </c>
      <c r="R1502" s="1">
        <f>_xlfn.XLOOKUP(C1502,Contract!$A$2:$A$9,Contract!$B$2:$B$9)</f>
        <v>0.36</v>
      </c>
      <c r="S1502" s="1">
        <f t="shared" si="92"/>
        <v>52.2</v>
      </c>
      <c r="T1502" s="1" t="str">
        <f t="shared" si="93"/>
        <v/>
      </c>
      <c r="U1502" s="1" t="str">
        <f t="shared" si="94"/>
        <v/>
      </c>
      <c r="V1502" s="1" t="str">
        <f>_xlfn.XLOOKUP(C1502,Payers!$A$2:$A$9,Payers!$B$2:$B$9)</f>
        <v>Medicare Part B</v>
      </c>
      <c r="W1502" s="1" t="str">
        <f t="shared" si="95"/>
        <v>2025-11</v>
      </c>
    </row>
    <row r="1503" spans="1:23">
      <c r="A1503" s="1" t="s">
        <v>2780</v>
      </c>
      <c r="B1503" s="1" t="s">
        <v>1224</v>
      </c>
      <c r="C1503" s="1" t="s">
        <v>18</v>
      </c>
      <c r="D1503" s="1" t="s">
        <v>26</v>
      </c>
      <c r="E1503" s="1" t="s">
        <v>41</v>
      </c>
      <c r="F1503">
        <v>1</v>
      </c>
      <c r="G1503" s="2">
        <v>46011</v>
      </c>
      <c r="H1503" s="2">
        <v>46014</v>
      </c>
      <c r="I1503">
        <v>38.020000000000003</v>
      </c>
      <c r="J1503">
        <v>13.5</v>
      </c>
      <c r="K1503">
        <v>13.5</v>
      </c>
      <c r="L1503">
        <v>0</v>
      </c>
      <c r="M1503" s="1" t="s">
        <v>21</v>
      </c>
      <c r="N1503" s="1" t="s">
        <v>22</v>
      </c>
      <c r="O1503" s="2">
        <v>46082</v>
      </c>
      <c r="P1503" s="2">
        <v>46082</v>
      </c>
      <c r="Q1503">
        <f>_xlfn.XLOOKUP(E1503,CPT!$A$2:$A$13,CPT!$D$2:$D$13)</f>
        <v>38</v>
      </c>
      <c r="R1503" s="1">
        <f>_xlfn.XLOOKUP(C1503,Contract!$A$2:$A$9,Contract!$B$2:$B$9)</f>
        <v>0.38</v>
      </c>
      <c r="S1503" s="1">
        <f t="shared" si="92"/>
        <v>14.44</v>
      </c>
      <c r="T1503" s="1">
        <f t="shared" si="93"/>
        <v>0.9399999999999995</v>
      </c>
      <c r="U1503" s="1" t="str">
        <f t="shared" si="94"/>
        <v>Underpaid</v>
      </c>
      <c r="V1503" s="1" t="str">
        <f>_xlfn.XLOOKUP(C1503,Payers!$A$2:$A$9,Payers!$B$2:$B$9)</f>
        <v>Sunshine Medicare Advantage</v>
      </c>
      <c r="W1503" s="1" t="str">
        <f t="shared" si="95"/>
        <v>2025-12</v>
      </c>
    </row>
    <row r="1504" spans="1:23">
      <c r="A1504" s="1" t="s">
        <v>2781</v>
      </c>
      <c r="B1504" s="1" t="s">
        <v>2782</v>
      </c>
      <c r="C1504" s="1" t="s">
        <v>47</v>
      </c>
      <c r="D1504" s="1" t="s">
        <v>37</v>
      </c>
      <c r="E1504" s="1" t="s">
        <v>57</v>
      </c>
      <c r="F1504">
        <v>1</v>
      </c>
      <c r="G1504" s="2">
        <v>46008</v>
      </c>
      <c r="H1504" s="2">
        <v>46014</v>
      </c>
      <c r="I1504">
        <v>209.54</v>
      </c>
      <c r="J1504">
        <v>67.540000000000006</v>
      </c>
      <c r="K1504">
        <v>67.540000000000006</v>
      </c>
      <c r="L1504">
        <v>0</v>
      </c>
      <c r="M1504" s="1" t="s">
        <v>21</v>
      </c>
      <c r="N1504" s="1" t="s">
        <v>22</v>
      </c>
      <c r="O1504" s="2">
        <v>46093</v>
      </c>
      <c r="P1504" s="2">
        <v>46093</v>
      </c>
      <c r="Q1504">
        <f>_xlfn.XLOOKUP(E1504,CPT!$A$2:$A$13,CPT!$D$2:$D$13)</f>
        <v>210</v>
      </c>
      <c r="R1504" s="1">
        <f>_xlfn.XLOOKUP(C1504,Contract!$A$2:$A$9,Contract!$B$2:$B$9)</f>
        <v>0.28000000000000003</v>
      </c>
      <c r="S1504" s="1">
        <f t="shared" si="92"/>
        <v>58.8</v>
      </c>
      <c r="T1504" s="1">
        <f t="shared" si="93"/>
        <v>-8.7400000000000091</v>
      </c>
      <c r="U1504" s="1" t="str">
        <f t="shared" si="94"/>
        <v>OK</v>
      </c>
      <c r="V1504" s="1" t="str">
        <f>_xlfn.XLOOKUP(C1504,Payers!$A$2:$A$9,Payers!$B$2:$B$9)</f>
        <v>Coastal Medicaid MCO</v>
      </c>
      <c r="W1504" s="1" t="str">
        <f t="shared" si="95"/>
        <v>2025-12</v>
      </c>
    </row>
    <row r="1505" spans="1:23">
      <c r="A1505" s="1" t="s">
        <v>2783</v>
      </c>
      <c r="B1505" s="1" t="s">
        <v>2784</v>
      </c>
      <c r="C1505" s="1" t="s">
        <v>60</v>
      </c>
      <c r="D1505" s="1" t="s">
        <v>26</v>
      </c>
      <c r="E1505" s="1" t="s">
        <v>185</v>
      </c>
      <c r="F1505">
        <v>1</v>
      </c>
      <c r="G1505" s="2">
        <v>45991</v>
      </c>
      <c r="H1505" s="2">
        <v>45998</v>
      </c>
      <c r="I1505">
        <v>1133.3499999999999</v>
      </c>
      <c r="J1505">
        <v>497.87</v>
      </c>
      <c r="K1505">
        <v>448.08</v>
      </c>
      <c r="L1505">
        <v>49.79</v>
      </c>
      <c r="M1505" s="1" t="s">
        <v>21</v>
      </c>
      <c r="N1505" s="1" t="s">
        <v>22</v>
      </c>
      <c r="O1505" s="2">
        <v>46021</v>
      </c>
      <c r="P1505" s="2">
        <v>46021</v>
      </c>
      <c r="Q1505">
        <f>_xlfn.XLOOKUP(E1505,CPT!$A$2:$A$13,CPT!$D$2:$D$13)</f>
        <v>1150</v>
      </c>
      <c r="R1505" s="1">
        <f>_xlfn.XLOOKUP(C1505,Contract!$A$2:$A$9,Contract!$B$2:$B$9)</f>
        <v>0.45</v>
      </c>
      <c r="S1505" s="1">
        <f t="shared" si="92"/>
        <v>517.5</v>
      </c>
      <c r="T1505" s="1">
        <f t="shared" si="93"/>
        <v>19.629999999999995</v>
      </c>
      <c r="U1505" s="1" t="str">
        <f t="shared" si="94"/>
        <v>OK</v>
      </c>
      <c r="V1505" s="1" t="str">
        <f>_xlfn.XLOOKUP(C1505,Payers!$A$2:$A$9,Payers!$B$2:$B$9)</f>
        <v>Blue Horizon Commercial</v>
      </c>
      <c r="W1505" s="1" t="str">
        <f t="shared" si="95"/>
        <v>2025-11</v>
      </c>
    </row>
    <row r="1506" spans="1:23">
      <c r="A1506" s="1" t="s">
        <v>2785</v>
      </c>
      <c r="B1506" s="1" t="s">
        <v>2786</v>
      </c>
      <c r="C1506" s="1" t="s">
        <v>25</v>
      </c>
      <c r="D1506" s="1" t="s">
        <v>26</v>
      </c>
      <c r="E1506" s="1" t="s">
        <v>27</v>
      </c>
      <c r="F1506">
        <v>1</v>
      </c>
      <c r="G1506" s="2">
        <v>46021</v>
      </c>
      <c r="H1506" s="2">
        <v>46026</v>
      </c>
      <c r="I1506">
        <v>239.82</v>
      </c>
      <c r="J1506">
        <v>87.76</v>
      </c>
      <c r="K1506">
        <v>78.98</v>
      </c>
      <c r="L1506">
        <v>8.7799999999999994</v>
      </c>
      <c r="M1506" s="1" t="s">
        <v>21</v>
      </c>
      <c r="N1506" s="1" t="s">
        <v>22</v>
      </c>
      <c r="O1506" s="2">
        <v>46045</v>
      </c>
      <c r="P1506" s="2">
        <v>46045</v>
      </c>
      <c r="Q1506">
        <f>_xlfn.XLOOKUP(E1506,CPT!$A$2:$A$13,CPT!$D$2:$D$13)</f>
        <v>240</v>
      </c>
      <c r="R1506" s="1">
        <f>_xlfn.XLOOKUP(C1506,Contract!$A$2:$A$9,Contract!$B$2:$B$9)</f>
        <v>0.36</v>
      </c>
      <c r="S1506" s="1">
        <f t="shared" si="92"/>
        <v>86.4</v>
      </c>
      <c r="T1506" s="1">
        <f t="shared" si="93"/>
        <v>-1.3599999999999994</v>
      </c>
      <c r="U1506" s="1" t="str">
        <f t="shared" si="94"/>
        <v>OK</v>
      </c>
      <c r="V1506" s="1" t="str">
        <f>_xlfn.XLOOKUP(C1506,Payers!$A$2:$A$9,Payers!$B$2:$B$9)</f>
        <v>Medicare Part B</v>
      </c>
      <c r="W1506" s="1" t="str">
        <f t="shared" si="95"/>
        <v>2025-12</v>
      </c>
    </row>
    <row r="1507" spans="1:23">
      <c r="A1507" s="1" t="s">
        <v>2787</v>
      </c>
      <c r="B1507" s="1" t="s">
        <v>2788</v>
      </c>
      <c r="C1507" s="1" t="s">
        <v>25</v>
      </c>
      <c r="D1507" s="1" t="s">
        <v>37</v>
      </c>
      <c r="E1507" s="1" t="s">
        <v>48</v>
      </c>
      <c r="F1507">
        <v>1</v>
      </c>
      <c r="G1507" s="2">
        <v>46268</v>
      </c>
      <c r="H1507" s="2">
        <v>46271</v>
      </c>
      <c r="I1507">
        <v>424.28</v>
      </c>
      <c r="M1507" s="1" t="s">
        <v>69</v>
      </c>
      <c r="N1507" s="1" t="s">
        <v>22</v>
      </c>
      <c r="O1507" s="2"/>
      <c r="P1507" s="2"/>
      <c r="Q1507">
        <f>_xlfn.XLOOKUP(E1507,CPT!$A$2:$A$13,CPT!$D$2:$D$13)</f>
        <v>420</v>
      </c>
      <c r="R1507" s="1">
        <f>_xlfn.XLOOKUP(C1507,Contract!$A$2:$A$9,Contract!$B$2:$B$9)</f>
        <v>0.36</v>
      </c>
      <c r="S1507" s="1">
        <f t="shared" si="92"/>
        <v>151.19999999999999</v>
      </c>
      <c r="T1507" s="1" t="str">
        <f t="shared" si="93"/>
        <v/>
      </c>
      <c r="U1507" s="1" t="str">
        <f t="shared" si="94"/>
        <v/>
      </c>
      <c r="V1507" s="1" t="str">
        <f>_xlfn.XLOOKUP(C1507,Payers!$A$2:$A$9,Payers!$B$2:$B$9)</f>
        <v>Medicare Part B</v>
      </c>
      <c r="W1507" s="1" t="str">
        <f t="shared" si="95"/>
        <v>2026-09</v>
      </c>
    </row>
    <row r="1508" spans="1:23">
      <c r="A1508" s="1" t="s">
        <v>2789</v>
      </c>
      <c r="B1508" s="1" t="s">
        <v>2033</v>
      </c>
      <c r="C1508" s="1" t="s">
        <v>25</v>
      </c>
      <c r="D1508" s="1" t="s">
        <v>30</v>
      </c>
      <c r="E1508" s="1" t="s">
        <v>20</v>
      </c>
      <c r="F1508">
        <v>1</v>
      </c>
      <c r="G1508" s="2">
        <v>46243</v>
      </c>
      <c r="H1508" s="2">
        <v>46247</v>
      </c>
      <c r="I1508">
        <v>143.91999999999999</v>
      </c>
      <c r="J1508">
        <v>50.67</v>
      </c>
      <c r="K1508">
        <v>50.67</v>
      </c>
      <c r="L1508">
        <v>0</v>
      </c>
      <c r="M1508" s="1" t="s">
        <v>21</v>
      </c>
      <c r="N1508" s="1" t="s">
        <v>22</v>
      </c>
      <c r="O1508" s="2">
        <v>46264</v>
      </c>
      <c r="P1508" s="2">
        <v>46264</v>
      </c>
      <c r="Q1508">
        <f>_xlfn.XLOOKUP(E1508,CPT!$A$2:$A$13,CPT!$D$2:$D$13)</f>
        <v>145</v>
      </c>
      <c r="R1508" s="1">
        <f>_xlfn.XLOOKUP(C1508,Contract!$A$2:$A$9,Contract!$B$2:$B$9)</f>
        <v>0.36</v>
      </c>
      <c r="S1508" s="1">
        <f t="shared" si="92"/>
        <v>52.2</v>
      </c>
      <c r="T1508" s="1">
        <f t="shared" si="93"/>
        <v>1.5300000000000011</v>
      </c>
      <c r="U1508" s="1" t="str">
        <f t="shared" si="94"/>
        <v>OK</v>
      </c>
      <c r="V1508" s="1" t="str">
        <f>_xlfn.XLOOKUP(C1508,Payers!$A$2:$A$9,Payers!$B$2:$B$9)</f>
        <v>Medicare Part B</v>
      </c>
      <c r="W1508" s="1" t="str">
        <f t="shared" si="95"/>
        <v>2026-08</v>
      </c>
    </row>
    <row r="1509" spans="1:23">
      <c r="A1509" s="1" t="s">
        <v>2790</v>
      </c>
      <c r="B1509" s="1" t="s">
        <v>2791</v>
      </c>
      <c r="C1509" s="1" t="s">
        <v>25</v>
      </c>
      <c r="D1509" s="1" t="s">
        <v>19</v>
      </c>
      <c r="E1509" s="1" t="s">
        <v>57</v>
      </c>
      <c r="F1509">
        <v>1</v>
      </c>
      <c r="G1509" s="2">
        <v>45983</v>
      </c>
      <c r="H1509" s="2">
        <v>45984</v>
      </c>
      <c r="I1509">
        <v>208.56</v>
      </c>
      <c r="J1509">
        <v>76.95</v>
      </c>
      <c r="K1509">
        <v>76.95</v>
      </c>
      <c r="L1509">
        <v>0</v>
      </c>
      <c r="M1509" s="1" t="s">
        <v>21</v>
      </c>
      <c r="N1509" s="1" t="s">
        <v>22</v>
      </c>
      <c r="O1509" s="2">
        <v>46008</v>
      </c>
      <c r="P1509" s="2">
        <v>46008</v>
      </c>
      <c r="Q1509">
        <f>_xlfn.XLOOKUP(E1509,CPT!$A$2:$A$13,CPT!$D$2:$D$13)</f>
        <v>210</v>
      </c>
      <c r="R1509" s="1">
        <f>_xlfn.XLOOKUP(C1509,Contract!$A$2:$A$9,Contract!$B$2:$B$9)</f>
        <v>0.36</v>
      </c>
      <c r="S1509" s="1">
        <f t="shared" si="92"/>
        <v>75.599999999999994</v>
      </c>
      <c r="T1509" s="1">
        <f t="shared" si="93"/>
        <v>-1.3500000000000085</v>
      </c>
      <c r="U1509" s="1" t="str">
        <f t="shared" si="94"/>
        <v>OK</v>
      </c>
      <c r="V1509" s="1" t="str">
        <f>_xlfn.XLOOKUP(C1509,Payers!$A$2:$A$9,Payers!$B$2:$B$9)</f>
        <v>Medicare Part B</v>
      </c>
      <c r="W1509" s="1" t="str">
        <f t="shared" si="95"/>
        <v>2025-11</v>
      </c>
    </row>
    <row r="1510" spans="1:23">
      <c r="A1510" s="1" t="s">
        <v>2792</v>
      </c>
      <c r="B1510" s="1" t="s">
        <v>2793</v>
      </c>
      <c r="C1510" s="1" t="s">
        <v>25</v>
      </c>
      <c r="D1510" s="1" t="s">
        <v>19</v>
      </c>
      <c r="E1510" s="1" t="s">
        <v>88</v>
      </c>
      <c r="F1510">
        <v>1</v>
      </c>
      <c r="G1510" s="2">
        <v>45995</v>
      </c>
      <c r="H1510" s="2">
        <v>46009</v>
      </c>
      <c r="I1510">
        <v>252.21</v>
      </c>
      <c r="J1510">
        <v>98.67</v>
      </c>
      <c r="K1510">
        <v>98.67</v>
      </c>
      <c r="L1510">
        <v>0</v>
      </c>
      <c r="M1510" s="1" t="s">
        <v>21</v>
      </c>
      <c r="N1510" s="1" t="s">
        <v>22</v>
      </c>
      <c r="O1510" s="2">
        <v>46026</v>
      </c>
      <c r="P1510" s="2">
        <v>46026</v>
      </c>
      <c r="Q1510">
        <f>_xlfn.XLOOKUP(E1510,CPT!$A$2:$A$13,CPT!$D$2:$D$13)</f>
        <v>260</v>
      </c>
      <c r="R1510" s="1">
        <f>_xlfn.XLOOKUP(C1510,Contract!$A$2:$A$9,Contract!$B$2:$B$9)</f>
        <v>0.36</v>
      </c>
      <c r="S1510" s="1">
        <f t="shared" si="92"/>
        <v>93.6</v>
      </c>
      <c r="T1510" s="1">
        <f t="shared" si="93"/>
        <v>-5.0700000000000074</v>
      </c>
      <c r="U1510" s="1" t="str">
        <f t="shared" si="94"/>
        <v>OK</v>
      </c>
      <c r="V1510" s="1" t="str">
        <f>_xlfn.XLOOKUP(C1510,Payers!$A$2:$A$9,Payers!$B$2:$B$9)</f>
        <v>Medicare Part B</v>
      </c>
      <c r="W1510" s="1" t="str">
        <f t="shared" si="95"/>
        <v>2025-12</v>
      </c>
    </row>
    <row r="1511" spans="1:23">
      <c r="A1511" s="1" t="s">
        <v>2794</v>
      </c>
      <c r="B1511" s="1" t="s">
        <v>2795</v>
      </c>
      <c r="C1511" s="1" t="s">
        <v>60</v>
      </c>
      <c r="D1511" s="1" t="s">
        <v>26</v>
      </c>
      <c r="E1511" s="1" t="s">
        <v>113</v>
      </c>
      <c r="F1511">
        <v>1</v>
      </c>
      <c r="G1511" s="2">
        <v>46063</v>
      </c>
      <c r="H1511" s="2">
        <v>46064</v>
      </c>
      <c r="I1511">
        <v>1043.4000000000001</v>
      </c>
      <c r="J1511">
        <v>473.5</v>
      </c>
      <c r="K1511">
        <v>473.5</v>
      </c>
      <c r="L1511">
        <v>0</v>
      </c>
      <c r="M1511" s="1" t="s">
        <v>21</v>
      </c>
      <c r="N1511" s="1" t="s">
        <v>22</v>
      </c>
      <c r="O1511" s="2">
        <v>46100</v>
      </c>
      <c r="P1511" s="2">
        <v>46100</v>
      </c>
      <c r="Q1511">
        <f>_xlfn.XLOOKUP(E1511,CPT!$A$2:$A$13,CPT!$D$2:$D$13)</f>
        <v>1050</v>
      </c>
      <c r="R1511" s="1">
        <f>_xlfn.XLOOKUP(C1511,Contract!$A$2:$A$9,Contract!$B$2:$B$9)</f>
        <v>0.45</v>
      </c>
      <c r="S1511" s="1">
        <f t="shared" si="92"/>
        <v>472.5</v>
      </c>
      <c r="T1511" s="1">
        <f t="shared" si="93"/>
        <v>-1</v>
      </c>
      <c r="U1511" s="1" t="str">
        <f t="shared" si="94"/>
        <v>OK</v>
      </c>
      <c r="V1511" s="1" t="str">
        <f>_xlfn.XLOOKUP(C1511,Payers!$A$2:$A$9,Payers!$B$2:$B$9)</f>
        <v>Blue Horizon Commercial</v>
      </c>
      <c r="W1511" s="1" t="str">
        <f t="shared" si="95"/>
        <v>2026-02</v>
      </c>
    </row>
    <row r="1512" spans="1:23">
      <c r="A1512" s="1" t="s">
        <v>2796</v>
      </c>
      <c r="B1512" s="1" t="s">
        <v>2365</v>
      </c>
      <c r="C1512" s="1" t="s">
        <v>60</v>
      </c>
      <c r="D1512" s="1" t="s">
        <v>26</v>
      </c>
      <c r="E1512" s="1" t="s">
        <v>44</v>
      </c>
      <c r="F1512">
        <v>1</v>
      </c>
      <c r="G1512" s="2">
        <v>46084</v>
      </c>
      <c r="H1512" s="2">
        <v>46111</v>
      </c>
      <c r="I1512">
        <v>4677.2700000000004</v>
      </c>
      <c r="M1512" s="1" t="s">
        <v>32</v>
      </c>
      <c r="N1512" s="1" t="s">
        <v>168</v>
      </c>
      <c r="O1512" s="2">
        <v>46139</v>
      </c>
      <c r="P1512" s="2"/>
      <c r="Q1512">
        <f>_xlfn.XLOOKUP(E1512,CPT!$A$2:$A$13,CPT!$D$2:$D$13)</f>
        <v>4800</v>
      </c>
      <c r="R1512" s="1">
        <f>_xlfn.XLOOKUP(C1512,Contract!$A$2:$A$9,Contract!$B$2:$B$9)</f>
        <v>0.45</v>
      </c>
      <c r="S1512" s="1">
        <f t="shared" si="92"/>
        <v>2160</v>
      </c>
      <c r="T1512" s="1" t="str">
        <f t="shared" si="93"/>
        <v/>
      </c>
      <c r="U1512" s="1" t="str">
        <f t="shared" si="94"/>
        <v/>
      </c>
      <c r="V1512" s="1" t="str">
        <f>_xlfn.XLOOKUP(C1512,Payers!$A$2:$A$9,Payers!$B$2:$B$9)</f>
        <v>Blue Horizon Commercial</v>
      </c>
      <c r="W1512" s="1" t="str">
        <f t="shared" si="95"/>
        <v>2026-03</v>
      </c>
    </row>
    <row r="1513" spans="1:23">
      <c r="A1513" s="1" t="s">
        <v>2797</v>
      </c>
      <c r="B1513" s="1" t="s">
        <v>2798</v>
      </c>
      <c r="C1513" s="1" t="s">
        <v>47</v>
      </c>
      <c r="D1513" s="1" t="s">
        <v>26</v>
      </c>
      <c r="E1513" s="1" t="s">
        <v>44</v>
      </c>
      <c r="F1513">
        <v>1</v>
      </c>
      <c r="G1513" s="2">
        <v>46139</v>
      </c>
      <c r="H1513" s="2">
        <v>46140</v>
      </c>
      <c r="I1513">
        <v>4687.09</v>
      </c>
      <c r="J1513">
        <v>1468.17</v>
      </c>
      <c r="K1513">
        <v>1321.35</v>
      </c>
      <c r="L1513">
        <v>146.82</v>
      </c>
      <c r="M1513" s="1" t="s">
        <v>21</v>
      </c>
      <c r="N1513" s="1" t="s">
        <v>22</v>
      </c>
      <c r="O1513" s="2">
        <v>46227</v>
      </c>
      <c r="P1513" s="2">
        <v>46227</v>
      </c>
      <c r="Q1513">
        <f>_xlfn.XLOOKUP(E1513,CPT!$A$2:$A$13,CPT!$D$2:$D$13)</f>
        <v>4800</v>
      </c>
      <c r="R1513" s="1">
        <f>_xlfn.XLOOKUP(C1513,Contract!$A$2:$A$9,Contract!$B$2:$B$9)</f>
        <v>0.28000000000000003</v>
      </c>
      <c r="S1513" s="1">
        <f t="shared" si="92"/>
        <v>1344</v>
      </c>
      <c r="T1513" s="1">
        <f t="shared" si="93"/>
        <v>-124.17000000000007</v>
      </c>
      <c r="U1513" s="1" t="str">
        <f t="shared" si="94"/>
        <v>OK</v>
      </c>
      <c r="V1513" s="1" t="str">
        <f>_xlfn.XLOOKUP(C1513,Payers!$A$2:$A$9,Payers!$B$2:$B$9)</f>
        <v>Coastal Medicaid MCO</v>
      </c>
      <c r="W1513" s="1" t="str">
        <f t="shared" si="95"/>
        <v>2026-04</v>
      </c>
    </row>
    <row r="1514" spans="1:23">
      <c r="A1514" s="1" t="s">
        <v>2799</v>
      </c>
      <c r="B1514" s="1" t="s">
        <v>2800</v>
      </c>
      <c r="C1514" s="1" t="s">
        <v>47</v>
      </c>
      <c r="D1514" s="1" t="s">
        <v>30</v>
      </c>
      <c r="E1514" s="1" t="s">
        <v>31</v>
      </c>
      <c r="F1514">
        <v>3</v>
      </c>
      <c r="G1514" s="2">
        <v>46095</v>
      </c>
      <c r="H1514" s="2">
        <v>46098</v>
      </c>
      <c r="I1514">
        <v>186.12</v>
      </c>
      <c r="J1514">
        <v>58.55</v>
      </c>
      <c r="K1514">
        <v>52.69</v>
      </c>
      <c r="L1514">
        <v>5.86</v>
      </c>
      <c r="M1514" s="1" t="s">
        <v>21</v>
      </c>
      <c r="N1514" s="1" t="s">
        <v>22</v>
      </c>
      <c r="O1514" s="2">
        <v>46129</v>
      </c>
      <c r="P1514" s="2">
        <v>46129</v>
      </c>
      <c r="Q1514">
        <f>_xlfn.XLOOKUP(E1514,CPT!$A$2:$A$13,CPT!$D$2:$D$13)</f>
        <v>62</v>
      </c>
      <c r="R1514" s="1">
        <f>_xlfn.XLOOKUP(C1514,Contract!$A$2:$A$9,Contract!$B$2:$B$9)</f>
        <v>0.28000000000000003</v>
      </c>
      <c r="S1514" s="1">
        <f t="shared" si="92"/>
        <v>52.08</v>
      </c>
      <c r="T1514" s="1">
        <f t="shared" si="93"/>
        <v>-6.4699999999999989</v>
      </c>
      <c r="U1514" s="1" t="str">
        <f t="shared" si="94"/>
        <v>OK</v>
      </c>
      <c r="V1514" s="1" t="str">
        <f>_xlfn.XLOOKUP(C1514,Payers!$A$2:$A$9,Payers!$B$2:$B$9)</f>
        <v>Coastal Medicaid MCO</v>
      </c>
      <c r="W1514" s="1" t="str">
        <f t="shared" si="95"/>
        <v>2026-03</v>
      </c>
    </row>
    <row r="1515" spans="1:23">
      <c r="A1515" s="1" t="s">
        <v>2801</v>
      </c>
      <c r="B1515" s="1" t="s">
        <v>1089</v>
      </c>
      <c r="C1515" s="1" t="s">
        <v>25</v>
      </c>
      <c r="D1515" s="1" t="s">
        <v>26</v>
      </c>
      <c r="E1515" s="1" t="s">
        <v>88</v>
      </c>
      <c r="F1515">
        <v>1</v>
      </c>
      <c r="G1515" s="2">
        <v>46150</v>
      </c>
      <c r="H1515" s="2">
        <v>46151</v>
      </c>
      <c r="I1515">
        <v>257.16000000000003</v>
      </c>
      <c r="J1515">
        <v>86.5</v>
      </c>
      <c r="K1515">
        <v>86.5</v>
      </c>
      <c r="L1515">
        <v>0</v>
      </c>
      <c r="M1515" s="1" t="s">
        <v>21</v>
      </c>
      <c r="N1515" s="1" t="s">
        <v>22</v>
      </c>
      <c r="O1515" s="2">
        <v>46179</v>
      </c>
      <c r="P1515" s="2">
        <v>46179</v>
      </c>
      <c r="Q1515">
        <f>_xlfn.XLOOKUP(E1515,CPT!$A$2:$A$13,CPT!$D$2:$D$13)</f>
        <v>260</v>
      </c>
      <c r="R1515" s="1">
        <f>_xlfn.XLOOKUP(C1515,Contract!$A$2:$A$9,Contract!$B$2:$B$9)</f>
        <v>0.36</v>
      </c>
      <c r="S1515" s="1">
        <f t="shared" si="92"/>
        <v>93.6</v>
      </c>
      <c r="T1515" s="1">
        <f t="shared" si="93"/>
        <v>7.0999999999999943</v>
      </c>
      <c r="U1515" s="1" t="str">
        <f t="shared" si="94"/>
        <v>Underpaid</v>
      </c>
      <c r="V1515" s="1" t="str">
        <f>_xlfn.XLOOKUP(C1515,Payers!$A$2:$A$9,Payers!$B$2:$B$9)</f>
        <v>Medicare Part B</v>
      </c>
      <c r="W1515" s="1" t="str">
        <f t="shared" si="95"/>
        <v>2026-05</v>
      </c>
    </row>
    <row r="1516" spans="1:23">
      <c r="A1516" s="1" t="s">
        <v>2802</v>
      </c>
      <c r="B1516" s="1" t="s">
        <v>2803</v>
      </c>
      <c r="C1516" s="1" t="s">
        <v>36</v>
      </c>
      <c r="D1516" s="1" t="s">
        <v>19</v>
      </c>
      <c r="E1516" s="1" t="s">
        <v>41</v>
      </c>
      <c r="F1516">
        <v>1</v>
      </c>
      <c r="G1516" s="2">
        <v>46171</v>
      </c>
      <c r="H1516" s="2">
        <v>46174</v>
      </c>
      <c r="I1516">
        <v>38.58</v>
      </c>
      <c r="J1516">
        <v>11.22</v>
      </c>
      <c r="K1516">
        <v>10.1</v>
      </c>
      <c r="L1516">
        <v>1.1200000000000001</v>
      </c>
      <c r="M1516" s="1" t="s">
        <v>21</v>
      </c>
      <c r="N1516" s="1" t="s">
        <v>22</v>
      </c>
      <c r="O1516" s="2">
        <v>46214</v>
      </c>
      <c r="P1516" s="2">
        <v>46214</v>
      </c>
      <c r="Q1516">
        <f>_xlfn.XLOOKUP(E1516,CPT!$A$2:$A$13,CPT!$D$2:$D$13)</f>
        <v>38</v>
      </c>
      <c r="R1516" s="1">
        <f>_xlfn.XLOOKUP(C1516,Contract!$A$2:$A$9,Contract!$B$2:$B$9)</f>
        <v>0.27</v>
      </c>
      <c r="S1516" s="1">
        <f t="shared" si="92"/>
        <v>10.26</v>
      </c>
      <c r="T1516" s="1">
        <f t="shared" si="93"/>
        <v>-0.96000000000000085</v>
      </c>
      <c r="U1516" s="1" t="str">
        <f t="shared" si="94"/>
        <v>OK</v>
      </c>
      <c r="V1516" s="1" t="str">
        <f>_xlfn.XLOOKUP(C1516,Payers!$A$2:$A$9,Payers!$B$2:$B$9)</f>
        <v>Florida Medicaid</v>
      </c>
      <c r="W1516" s="1" t="str">
        <f t="shared" si="95"/>
        <v>2026-05</v>
      </c>
    </row>
    <row r="1517" spans="1:23">
      <c r="A1517" s="1" t="s">
        <v>2804</v>
      </c>
      <c r="B1517" s="1" t="s">
        <v>2805</v>
      </c>
      <c r="C1517" s="1" t="s">
        <v>25</v>
      </c>
      <c r="D1517" s="1" t="s">
        <v>19</v>
      </c>
      <c r="E1517" s="1" t="s">
        <v>20</v>
      </c>
      <c r="F1517">
        <v>1</v>
      </c>
      <c r="G1517" s="2">
        <v>45932</v>
      </c>
      <c r="H1517" s="2">
        <v>45935</v>
      </c>
      <c r="I1517">
        <v>148.19</v>
      </c>
      <c r="J1517">
        <v>46.66</v>
      </c>
      <c r="K1517">
        <v>46.66</v>
      </c>
      <c r="L1517">
        <v>0</v>
      </c>
      <c r="M1517" s="1" t="s">
        <v>21</v>
      </c>
      <c r="N1517" s="1" t="s">
        <v>22</v>
      </c>
      <c r="O1517" s="2">
        <v>45950</v>
      </c>
      <c r="P1517" s="2">
        <v>45950</v>
      </c>
      <c r="Q1517">
        <f>_xlfn.XLOOKUP(E1517,CPT!$A$2:$A$13,CPT!$D$2:$D$13)</f>
        <v>145</v>
      </c>
      <c r="R1517" s="1">
        <f>_xlfn.XLOOKUP(C1517,Contract!$A$2:$A$9,Contract!$B$2:$B$9)</f>
        <v>0.36</v>
      </c>
      <c r="S1517" s="1">
        <f t="shared" si="92"/>
        <v>52.2</v>
      </c>
      <c r="T1517" s="1">
        <f t="shared" si="93"/>
        <v>5.5400000000000063</v>
      </c>
      <c r="U1517" s="1" t="str">
        <f t="shared" si="94"/>
        <v>Underpaid</v>
      </c>
      <c r="V1517" s="1" t="str">
        <f>_xlfn.XLOOKUP(C1517,Payers!$A$2:$A$9,Payers!$B$2:$B$9)</f>
        <v>Medicare Part B</v>
      </c>
      <c r="W1517" s="1" t="str">
        <f t="shared" si="95"/>
        <v>2025-10</v>
      </c>
    </row>
    <row r="1518" spans="1:23">
      <c r="A1518" s="1" t="s">
        <v>2806</v>
      </c>
      <c r="B1518" s="1" t="s">
        <v>2807</v>
      </c>
      <c r="C1518" s="1" t="s">
        <v>36</v>
      </c>
      <c r="D1518" s="1" t="s">
        <v>26</v>
      </c>
      <c r="E1518" s="1" t="s">
        <v>27</v>
      </c>
      <c r="F1518">
        <v>1</v>
      </c>
      <c r="G1518" s="2">
        <v>45984</v>
      </c>
      <c r="H1518" s="2">
        <v>45992</v>
      </c>
      <c r="I1518">
        <v>244.14</v>
      </c>
      <c r="J1518">
        <v>74.510000000000005</v>
      </c>
      <c r="K1518">
        <v>59.61</v>
      </c>
      <c r="L1518">
        <v>14.9</v>
      </c>
      <c r="M1518" s="1" t="s">
        <v>21</v>
      </c>
      <c r="N1518" s="1" t="s">
        <v>22</v>
      </c>
      <c r="O1518" s="2">
        <v>46011</v>
      </c>
      <c r="P1518" s="2">
        <v>46011</v>
      </c>
      <c r="Q1518">
        <f>_xlfn.XLOOKUP(E1518,CPT!$A$2:$A$13,CPT!$D$2:$D$13)</f>
        <v>240</v>
      </c>
      <c r="R1518" s="1">
        <f>_xlfn.XLOOKUP(C1518,Contract!$A$2:$A$9,Contract!$B$2:$B$9)</f>
        <v>0.27</v>
      </c>
      <c r="S1518" s="1">
        <f t="shared" si="92"/>
        <v>64.8</v>
      </c>
      <c r="T1518" s="1">
        <f t="shared" si="93"/>
        <v>-9.710000000000008</v>
      </c>
      <c r="U1518" s="1" t="str">
        <f t="shared" si="94"/>
        <v>OK</v>
      </c>
      <c r="V1518" s="1" t="str">
        <f>_xlfn.XLOOKUP(C1518,Payers!$A$2:$A$9,Payers!$B$2:$B$9)</f>
        <v>Florida Medicaid</v>
      </c>
      <c r="W1518" s="1" t="str">
        <f t="shared" si="95"/>
        <v>2025-11</v>
      </c>
    </row>
    <row r="1519" spans="1:23">
      <c r="A1519" s="1" t="s">
        <v>2808</v>
      </c>
      <c r="B1519" s="1" t="s">
        <v>2809</v>
      </c>
      <c r="C1519" s="1" t="s">
        <v>36</v>
      </c>
      <c r="D1519" s="1" t="s">
        <v>37</v>
      </c>
      <c r="E1519" s="1" t="s">
        <v>57</v>
      </c>
      <c r="F1519">
        <v>1</v>
      </c>
      <c r="G1519" s="2">
        <v>46058</v>
      </c>
      <c r="H1519" s="2">
        <v>46062</v>
      </c>
      <c r="I1519">
        <v>212.51</v>
      </c>
      <c r="J1519">
        <v>58.26</v>
      </c>
      <c r="K1519">
        <v>52.43</v>
      </c>
      <c r="L1519">
        <v>5.83</v>
      </c>
      <c r="M1519" s="1" t="s">
        <v>21</v>
      </c>
      <c r="N1519" s="1" t="s">
        <v>22</v>
      </c>
      <c r="O1519" s="2">
        <v>46081</v>
      </c>
      <c r="P1519" s="2">
        <v>46081</v>
      </c>
      <c r="Q1519">
        <f>_xlfn.XLOOKUP(E1519,CPT!$A$2:$A$13,CPT!$D$2:$D$13)</f>
        <v>210</v>
      </c>
      <c r="R1519" s="1">
        <f>_xlfn.XLOOKUP(C1519,Contract!$A$2:$A$9,Contract!$B$2:$B$9)</f>
        <v>0.27</v>
      </c>
      <c r="S1519" s="1">
        <f t="shared" si="92"/>
        <v>56.7</v>
      </c>
      <c r="T1519" s="1">
        <f t="shared" si="93"/>
        <v>-1.5599999999999952</v>
      </c>
      <c r="U1519" s="1" t="str">
        <f t="shared" si="94"/>
        <v>OK</v>
      </c>
      <c r="V1519" s="1" t="str">
        <f>_xlfn.XLOOKUP(C1519,Payers!$A$2:$A$9,Payers!$B$2:$B$9)</f>
        <v>Florida Medicaid</v>
      </c>
      <c r="W1519" s="1" t="str">
        <f t="shared" si="95"/>
        <v>2026-02</v>
      </c>
    </row>
    <row r="1520" spans="1:23">
      <c r="A1520" s="1" t="s">
        <v>2810</v>
      </c>
      <c r="B1520" s="1" t="s">
        <v>1893</v>
      </c>
      <c r="C1520" s="1" t="s">
        <v>18</v>
      </c>
      <c r="D1520" s="1" t="s">
        <v>19</v>
      </c>
      <c r="E1520" s="1" t="s">
        <v>88</v>
      </c>
      <c r="F1520">
        <v>1</v>
      </c>
      <c r="G1520" s="2">
        <v>45977</v>
      </c>
      <c r="H1520" s="2">
        <v>45981</v>
      </c>
      <c r="I1520">
        <v>257.31</v>
      </c>
      <c r="J1520">
        <v>107.72</v>
      </c>
      <c r="K1520">
        <v>107.72</v>
      </c>
      <c r="L1520">
        <v>0</v>
      </c>
      <c r="M1520" s="1" t="s">
        <v>21</v>
      </c>
      <c r="N1520" s="1" t="s">
        <v>22</v>
      </c>
      <c r="O1520" s="2">
        <v>46040</v>
      </c>
      <c r="P1520" s="2">
        <v>46040</v>
      </c>
      <c r="Q1520">
        <f>_xlfn.XLOOKUP(E1520,CPT!$A$2:$A$13,CPT!$D$2:$D$13)</f>
        <v>260</v>
      </c>
      <c r="R1520" s="1">
        <f>_xlfn.XLOOKUP(C1520,Contract!$A$2:$A$9,Contract!$B$2:$B$9)</f>
        <v>0.38</v>
      </c>
      <c r="S1520" s="1">
        <f t="shared" si="92"/>
        <v>98.8</v>
      </c>
      <c r="T1520" s="1">
        <f t="shared" si="93"/>
        <v>-8.9200000000000017</v>
      </c>
      <c r="U1520" s="1" t="str">
        <f t="shared" si="94"/>
        <v>OK</v>
      </c>
      <c r="V1520" s="1" t="str">
        <f>_xlfn.XLOOKUP(C1520,Payers!$A$2:$A$9,Payers!$B$2:$B$9)</f>
        <v>Sunshine Medicare Advantage</v>
      </c>
      <c r="W1520" s="1" t="str">
        <f t="shared" si="95"/>
        <v>2025-11</v>
      </c>
    </row>
    <row r="1521" spans="1:23">
      <c r="A1521" s="1" t="s">
        <v>2811</v>
      </c>
      <c r="B1521" s="1" t="s">
        <v>2812</v>
      </c>
      <c r="C1521" s="1" t="s">
        <v>47</v>
      </c>
      <c r="D1521" s="1" t="s">
        <v>26</v>
      </c>
      <c r="E1521" s="1" t="s">
        <v>113</v>
      </c>
      <c r="F1521">
        <v>1</v>
      </c>
      <c r="G1521" s="2">
        <v>45953</v>
      </c>
      <c r="H1521" s="2">
        <v>45954</v>
      </c>
      <c r="I1521">
        <v>1040.6300000000001</v>
      </c>
      <c r="M1521" s="1" t="s">
        <v>32</v>
      </c>
      <c r="N1521" s="1" t="s">
        <v>33</v>
      </c>
      <c r="O1521" s="2">
        <v>46017</v>
      </c>
      <c r="P1521" s="2"/>
      <c r="Q1521">
        <f>_xlfn.XLOOKUP(E1521,CPT!$A$2:$A$13,CPT!$D$2:$D$13)</f>
        <v>1050</v>
      </c>
      <c r="R1521" s="1">
        <f>_xlfn.XLOOKUP(C1521,Contract!$A$2:$A$9,Contract!$B$2:$B$9)</f>
        <v>0.28000000000000003</v>
      </c>
      <c r="S1521" s="1">
        <f t="shared" si="92"/>
        <v>294</v>
      </c>
      <c r="T1521" s="1" t="str">
        <f t="shared" si="93"/>
        <v/>
      </c>
      <c r="U1521" s="1" t="str">
        <f t="shared" si="94"/>
        <v/>
      </c>
      <c r="V1521" s="1" t="str">
        <f>_xlfn.XLOOKUP(C1521,Payers!$A$2:$A$9,Payers!$B$2:$B$9)</f>
        <v>Coastal Medicaid MCO</v>
      </c>
      <c r="W1521" s="1" t="str">
        <f t="shared" si="95"/>
        <v>2025-10</v>
      </c>
    </row>
    <row r="1522" spans="1:23">
      <c r="A1522" s="1" t="s">
        <v>2813</v>
      </c>
      <c r="B1522" s="1" t="s">
        <v>2814</v>
      </c>
      <c r="C1522" s="1" t="s">
        <v>36</v>
      </c>
      <c r="D1522" s="1" t="s">
        <v>37</v>
      </c>
      <c r="E1522" s="1" t="s">
        <v>57</v>
      </c>
      <c r="F1522">
        <v>1</v>
      </c>
      <c r="G1522" s="2">
        <v>46037</v>
      </c>
      <c r="H1522" s="2">
        <v>46039</v>
      </c>
      <c r="I1522">
        <v>209.01</v>
      </c>
      <c r="J1522">
        <v>59.02</v>
      </c>
      <c r="K1522">
        <v>53.12</v>
      </c>
      <c r="L1522">
        <v>5.9</v>
      </c>
      <c r="M1522" s="1" t="s">
        <v>21</v>
      </c>
      <c r="N1522" s="1" t="s">
        <v>22</v>
      </c>
      <c r="O1522" s="2">
        <v>46091</v>
      </c>
      <c r="P1522" s="2">
        <v>46091</v>
      </c>
      <c r="Q1522">
        <f>_xlfn.XLOOKUP(E1522,CPT!$A$2:$A$13,CPT!$D$2:$D$13)</f>
        <v>210</v>
      </c>
      <c r="R1522" s="1">
        <f>_xlfn.XLOOKUP(C1522,Contract!$A$2:$A$9,Contract!$B$2:$B$9)</f>
        <v>0.27</v>
      </c>
      <c r="S1522" s="1">
        <f t="shared" si="92"/>
        <v>56.7</v>
      </c>
      <c r="T1522" s="1">
        <f t="shared" si="93"/>
        <v>-2.3200000000000003</v>
      </c>
      <c r="U1522" s="1" t="str">
        <f t="shared" si="94"/>
        <v>OK</v>
      </c>
      <c r="V1522" s="1" t="str">
        <f>_xlfn.XLOOKUP(C1522,Payers!$A$2:$A$9,Payers!$B$2:$B$9)</f>
        <v>Florida Medicaid</v>
      </c>
      <c r="W1522" s="1" t="str">
        <f t="shared" si="95"/>
        <v>2026-01</v>
      </c>
    </row>
    <row r="1523" spans="1:23">
      <c r="A1523" s="1" t="s">
        <v>2815</v>
      </c>
      <c r="B1523" s="1" t="s">
        <v>2571</v>
      </c>
      <c r="C1523" s="1" t="s">
        <v>52</v>
      </c>
      <c r="D1523" s="1" t="s">
        <v>19</v>
      </c>
      <c r="E1523" s="1" t="s">
        <v>41</v>
      </c>
      <c r="F1523">
        <v>1</v>
      </c>
      <c r="G1523" s="2">
        <v>45956</v>
      </c>
      <c r="H1523" s="2">
        <v>45961</v>
      </c>
      <c r="I1523">
        <v>36.92</v>
      </c>
      <c r="J1523">
        <v>19.11</v>
      </c>
      <c r="K1523">
        <v>17.2</v>
      </c>
      <c r="L1523">
        <v>1.91</v>
      </c>
      <c r="M1523" s="1" t="s">
        <v>21</v>
      </c>
      <c r="N1523" s="1" t="s">
        <v>22</v>
      </c>
      <c r="O1523" s="2">
        <v>46016</v>
      </c>
      <c r="P1523" s="2">
        <v>46016</v>
      </c>
      <c r="Q1523">
        <f>_xlfn.XLOOKUP(E1523,CPT!$A$2:$A$13,CPT!$D$2:$D$13)</f>
        <v>38</v>
      </c>
      <c r="R1523" s="1">
        <f>_xlfn.XLOOKUP(C1523,Contract!$A$2:$A$9,Contract!$B$2:$B$9)</f>
        <v>0.47</v>
      </c>
      <c r="S1523" s="1">
        <f t="shared" si="92"/>
        <v>17.86</v>
      </c>
      <c r="T1523" s="1">
        <f t="shared" si="93"/>
        <v>-1.25</v>
      </c>
      <c r="U1523" s="1" t="str">
        <f t="shared" si="94"/>
        <v>OK</v>
      </c>
      <c r="V1523" s="1" t="str">
        <f>_xlfn.XLOOKUP(C1523,Payers!$A$2:$A$9,Payers!$B$2:$B$9)</f>
        <v>Keystone Commercial PPO</v>
      </c>
      <c r="W1523" s="1" t="str">
        <f t="shared" si="95"/>
        <v>2025-10</v>
      </c>
    </row>
    <row r="1524" spans="1:23">
      <c r="A1524" s="1" t="s">
        <v>2816</v>
      </c>
      <c r="B1524" s="1" t="s">
        <v>2817</v>
      </c>
      <c r="C1524" s="1" t="s">
        <v>60</v>
      </c>
      <c r="D1524" s="1" t="s">
        <v>30</v>
      </c>
      <c r="E1524" s="1" t="s">
        <v>91</v>
      </c>
      <c r="F1524">
        <v>2</v>
      </c>
      <c r="G1524" s="2">
        <v>46081</v>
      </c>
      <c r="H1524" s="2">
        <v>46086</v>
      </c>
      <c r="I1524">
        <v>119.47</v>
      </c>
      <c r="J1524">
        <v>59.81</v>
      </c>
      <c r="K1524">
        <v>47.85</v>
      </c>
      <c r="L1524">
        <v>11.96</v>
      </c>
      <c r="M1524" s="1" t="s">
        <v>21</v>
      </c>
      <c r="N1524" s="1" t="s">
        <v>22</v>
      </c>
      <c r="O1524" s="2">
        <v>46107</v>
      </c>
      <c r="P1524" s="2">
        <v>46107</v>
      </c>
      <c r="Q1524">
        <f>_xlfn.XLOOKUP(E1524,CPT!$A$2:$A$13,CPT!$D$2:$D$13)</f>
        <v>58</v>
      </c>
      <c r="R1524" s="1">
        <f>_xlfn.XLOOKUP(C1524,Contract!$A$2:$A$9,Contract!$B$2:$B$9)</f>
        <v>0.45</v>
      </c>
      <c r="S1524" s="1">
        <f t="shared" si="92"/>
        <v>52.2</v>
      </c>
      <c r="T1524" s="1">
        <f t="shared" si="93"/>
        <v>-7.6099999999999994</v>
      </c>
      <c r="U1524" s="1" t="str">
        <f t="shared" si="94"/>
        <v>OK</v>
      </c>
      <c r="V1524" s="1" t="str">
        <f>_xlfn.XLOOKUP(C1524,Payers!$A$2:$A$9,Payers!$B$2:$B$9)</f>
        <v>Blue Horizon Commercial</v>
      </c>
      <c r="W1524" s="1" t="str">
        <f t="shared" si="95"/>
        <v>2026-02</v>
      </c>
    </row>
    <row r="1525" spans="1:23">
      <c r="A1525" s="1" t="s">
        <v>2818</v>
      </c>
      <c r="B1525" s="1" t="s">
        <v>1161</v>
      </c>
      <c r="C1525" s="1" t="s">
        <v>76</v>
      </c>
      <c r="D1525" s="1" t="s">
        <v>26</v>
      </c>
      <c r="E1525" s="1" t="s">
        <v>113</v>
      </c>
      <c r="F1525">
        <v>1</v>
      </c>
      <c r="G1525" s="2">
        <v>45938</v>
      </c>
      <c r="H1525" s="2">
        <v>45949</v>
      </c>
      <c r="I1525">
        <v>1070.17</v>
      </c>
      <c r="J1525">
        <v>509.47</v>
      </c>
      <c r="K1525">
        <v>407.58</v>
      </c>
      <c r="L1525">
        <v>101.89</v>
      </c>
      <c r="M1525" s="1" t="s">
        <v>21</v>
      </c>
      <c r="N1525" s="1" t="s">
        <v>22</v>
      </c>
      <c r="O1525" s="2">
        <v>45974</v>
      </c>
      <c r="P1525" s="2">
        <v>45974</v>
      </c>
      <c r="Q1525">
        <f>_xlfn.XLOOKUP(E1525,CPT!$A$2:$A$13,CPT!$D$2:$D$13)</f>
        <v>1050</v>
      </c>
      <c r="R1525" s="1">
        <f>_xlfn.XLOOKUP(C1525,Contract!$A$2:$A$9,Contract!$B$2:$B$9)</f>
        <v>0.43</v>
      </c>
      <c r="S1525" s="1">
        <f t="shared" si="92"/>
        <v>451.5</v>
      </c>
      <c r="T1525" s="1">
        <f t="shared" si="93"/>
        <v>-57.970000000000027</v>
      </c>
      <c r="U1525" s="1" t="str">
        <f t="shared" si="94"/>
        <v>OK</v>
      </c>
      <c r="V1525" s="1" t="str">
        <f>_xlfn.XLOOKUP(C1525,Payers!$A$2:$A$9,Payers!$B$2:$B$9)</f>
        <v>Summit Health Commercial</v>
      </c>
      <c r="W1525" s="1" t="str">
        <f t="shared" si="95"/>
        <v>2025-10</v>
      </c>
    </row>
    <row r="1526" spans="1:23">
      <c r="A1526" s="1" t="s">
        <v>2819</v>
      </c>
      <c r="B1526" s="1" t="s">
        <v>973</v>
      </c>
      <c r="C1526" s="1" t="s">
        <v>25</v>
      </c>
      <c r="D1526" s="1" t="s">
        <v>19</v>
      </c>
      <c r="E1526" s="1" t="s">
        <v>20</v>
      </c>
      <c r="F1526">
        <v>1</v>
      </c>
      <c r="G1526" s="2">
        <v>46088</v>
      </c>
      <c r="H1526" s="2">
        <v>46102</v>
      </c>
      <c r="I1526">
        <v>147.33000000000001</v>
      </c>
      <c r="J1526">
        <v>53.14</v>
      </c>
      <c r="K1526">
        <v>53.14</v>
      </c>
      <c r="L1526">
        <v>0</v>
      </c>
      <c r="M1526" s="1" t="s">
        <v>21</v>
      </c>
      <c r="N1526" s="1" t="s">
        <v>22</v>
      </c>
      <c r="O1526" s="2">
        <v>46115</v>
      </c>
      <c r="P1526" s="2">
        <v>46115</v>
      </c>
      <c r="Q1526">
        <f>_xlfn.XLOOKUP(E1526,CPT!$A$2:$A$13,CPT!$D$2:$D$13)</f>
        <v>145</v>
      </c>
      <c r="R1526" s="1">
        <f>_xlfn.XLOOKUP(C1526,Contract!$A$2:$A$9,Contract!$B$2:$B$9)</f>
        <v>0.36</v>
      </c>
      <c r="S1526" s="1">
        <f t="shared" si="92"/>
        <v>52.2</v>
      </c>
      <c r="T1526" s="1">
        <f t="shared" si="93"/>
        <v>-0.93999999999999773</v>
      </c>
      <c r="U1526" s="1" t="str">
        <f t="shared" si="94"/>
        <v>OK</v>
      </c>
      <c r="V1526" s="1" t="str">
        <f>_xlfn.XLOOKUP(C1526,Payers!$A$2:$A$9,Payers!$B$2:$B$9)</f>
        <v>Medicare Part B</v>
      </c>
      <c r="W1526" s="1" t="str">
        <f t="shared" si="95"/>
        <v>2026-03</v>
      </c>
    </row>
    <row r="1527" spans="1:23">
      <c r="A1527" s="1" t="s">
        <v>2820</v>
      </c>
      <c r="B1527" s="1" t="s">
        <v>2200</v>
      </c>
      <c r="C1527" s="1" t="s">
        <v>47</v>
      </c>
      <c r="D1527" s="1" t="s">
        <v>19</v>
      </c>
      <c r="E1527" s="1" t="s">
        <v>41</v>
      </c>
      <c r="F1527">
        <v>1</v>
      </c>
      <c r="G1527" s="2">
        <v>45997</v>
      </c>
      <c r="H1527" s="2">
        <v>45998</v>
      </c>
      <c r="I1527">
        <v>38.81</v>
      </c>
      <c r="J1527">
        <v>11.5</v>
      </c>
      <c r="K1527">
        <v>11.5</v>
      </c>
      <c r="L1527">
        <v>0</v>
      </c>
      <c r="M1527" s="1" t="s">
        <v>21</v>
      </c>
      <c r="N1527" s="1" t="s">
        <v>22</v>
      </c>
      <c r="O1527" s="2">
        <v>46046</v>
      </c>
      <c r="P1527" s="2">
        <v>46046</v>
      </c>
      <c r="Q1527">
        <f>_xlfn.XLOOKUP(E1527,CPT!$A$2:$A$13,CPT!$D$2:$D$13)</f>
        <v>38</v>
      </c>
      <c r="R1527" s="1">
        <f>_xlfn.XLOOKUP(C1527,Contract!$A$2:$A$9,Contract!$B$2:$B$9)</f>
        <v>0.28000000000000003</v>
      </c>
      <c r="S1527" s="1">
        <f t="shared" si="92"/>
        <v>10.64</v>
      </c>
      <c r="T1527" s="1">
        <f t="shared" si="93"/>
        <v>-0.85999999999999943</v>
      </c>
      <c r="U1527" s="1" t="str">
        <f t="shared" si="94"/>
        <v>OK</v>
      </c>
      <c r="V1527" s="1" t="str">
        <f>_xlfn.XLOOKUP(C1527,Payers!$A$2:$A$9,Payers!$B$2:$B$9)</f>
        <v>Coastal Medicaid MCO</v>
      </c>
      <c r="W1527" s="1" t="str">
        <f t="shared" si="95"/>
        <v>2025-12</v>
      </c>
    </row>
    <row r="1528" spans="1:23">
      <c r="A1528" s="1" t="s">
        <v>2821</v>
      </c>
      <c r="B1528" s="1" t="s">
        <v>2822</v>
      </c>
      <c r="C1528" s="1" t="s">
        <v>25</v>
      </c>
      <c r="D1528" s="1" t="s">
        <v>19</v>
      </c>
      <c r="E1528" s="1" t="s">
        <v>88</v>
      </c>
      <c r="F1528">
        <v>1</v>
      </c>
      <c r="G1528" s="2">
        <v>46108</v>
      </c>
      <c r="H1528" s="2">
        <v>46109</v>
      </c>
      <c r="I1528">
        <v>255.77</v>
      </c>
      <c r="J1528">
        <v>97.1</v>
      </c>
      <c r="K1528">
        <v>97.1</v>
      </c>
      <c r="L1528">
        <v>0</v>
      </c>
      <c r="M1528" s="1" t="s">
        <v>21</v>
      </c>
      <c r="N1528" s="1" t="s">
        <v>22</v>
      </c>
      <c r="O1528" s="2">
        <v>46128</v>
      </c>
      <c r="P1528" s="2">
        <v>46128</v>
      </c>
      <c r="Q1528">
        <f>_xlfn.XLOOKUP(E1528,CPT!$A$2:$A$13,CPT!$D$2:$D$13)</f>
        <v>260</v>
      </c>
      <c r="R1528" s="1">
        <f>_xlfn.XLOOKUP(C1528,Contract!$A$2:$A$9,Contract!$B$2:$B$9)</f>
        <v>0.36</v>
      </c>
      <c r="S1528" s="1">
        <f t="shared" si="92"/>
        <v>93.6</v>
      </c>
      <c r="T1528" s="1">
        <f t="shared" si="93"/>
        <v>-3.5</v>
      </c>
      <c r="U1528" s="1" t="str">
        <f t="shared" si="94"/>
        <v>OK</v>
      </c>
      <c r="V1528" s="1" t="str">
        <f>_xlfn.XLOOKUP(C1528,Payers!$A$2:$A$9,Payers!$B$2:$B$9)</f>
        <v>Medicare Part B</v>
      </c>
      <c r="W1528" s="1" t="str">
        <f t="shared" si="95"/>
        <v>2026-03</v>
      </c>
    </row>
    <row r="1529" spans="1:23">
      <c r="A1529" s="1" t="s">
        <v>2823</v>
      </c>
      <c r="B1529" s="1" t="s">
        <v>2824</v>
      </c>
      <c r="C1529" s="1" t="s">
        <v>36</v>
      </c>
      <c r="D1529" s="1" t="s">
        <v>26</v>
      </c>
      <c r="E1529" s="1" t="s">
        <v>44</v>
      </c>
      <c r="F1529">
        <v>1</v>
      </c>
      <c r="G1529" s="2">
        <v>46150</v>
      </c>
      <c r="H1529" s="2">
        <v>46153</v>
      </c>
      <c r="I1529">
        <v>4933.7299999999996</v>
      </c>
      <c r="J1529">
        <v>1253.6199999999999</v>
      </c>
      <c r="K1529">
        <v>1253.6199999999999</v>
      </c>
      <c r="L1529">
        <v>0</v>
      </c>
      <c r="M1529" s="1" t="s">
        <v>21</v>
      </c>
      <c r="N1529" s="1" t="s">
        <v>22</v>
      </c>
      <c r="O1529" s="2">
        <v>46199</v>
      </c>
      <c r="P1529" s="2">
        <v>46199</v>
      </c>
      <c r="Q1529">
        <f>_xlfn.XLOOKUP(E1529,CPT!$A$2:$A$13,CPT!$D$2:$D$13)</f>
        <v>4800</v>
      </c>
      <c r="R1529" s="1">
        <f>_xlfn.XLOOKUP(C1529,Contract!$A$2:$A$9,Contract!$B$2:$B$9)</f>
        <v>0.27</v>
      </c>
      <c r="S1529" s="1">
        <f t="shared" si="92"/>
        <v>1296</v>
      </c>
      <c r="T1529" s="1">
        <f t="shared" si="93"/>
        <v>42.380000000000109</v>
      </c>
      <c r="U1529" s="1" t="str">
        <f t="shared" si="94"/>
        <v>OK</v>
      </c>
      <c r="V1529" s="1" t="str">
        <f>_xlfn.XLOOKUP(C1529,Payers!$A$2:$A$9,Payers!$B$2:$B$9)</f>
        <v>Florida Medicaid</v>
      </c>
      <c r="W1529" s="1" t="str">
        <f t="shared" si="95"/>
        <v>2026-05</v>
      </c>
    </row>
    <row r="1530" spans="1:23">
      <c r="A1530" s="1" t="s">
        <v>2825</v>
      </c>
      <c r="B1530" s="1" t="s">
        <v>2826</v>
      </c>
      <c r="C1530" s="1" t="s">
        <v>76</v>
      </c>
      <c r="D1530" s="1" t="s">
        <v>26</v>
      </c>
      <c r="E1530" s="1" t="s">
        <v>88</v>
      </c>
      <c r="F1530">
        <v>1</v>
      </c>
      <c r="G1530" s="2">
        <v>45984</v>
      </c>
      <c r="H1530" s="2">
        <v>45986</v>
      </c>
      <c r="I1530">
        <v>253.43</v>
      </c>
      <c r="J1530">
        <v>94.6</v>
      </c>
      <c r="K1530">
        <v>85.14</v>
      </c>
      <c r="L1530">
        <v>9.4600000000000009</v>
      </c>
      <c r="M1530" s="1" t="s">
        <v>21</v>
      </c>
      <c r="N1530" s="1" t="s">
        <v>22</v>
      </c>
      <c r="O1530" s="2">
        <v>46033</v>
      </c>
      <c r="P1530" s="2">
        <v>46033</v>
      </c>
      <c r="Q1530">
        <f>_xlfn.XLOOKUP(E1530,CPT!$A$2:$A$13,CPT!$D$2:$D$13)</f>
        <v>260</v>
      </c>
      <c r="R1530" s="1">
        <f>_xlfn.XLOOKUP(C1530,Contract!$A$2:$A$9,Contract!$B$2:$B$9)</f>
        <v>0.43</v>
      </c>
      <c r="S1530" s="1">
        <f t="shared" si="92"/>
        <v>111.8</v>
      </c>
      <c r="T1530" s="1">
        <f t="shared" si="93"/>
        <v>17.200000000000003</v>
      </c>
      <c r="U1530" s="1" t="str">
        <f t="shared" si="94"/>
        <v>Underpaid</v>
      </c>
      <c r="V1530" s="1" t="str">
        <f>_xlfn.XLOOKUP(C1530,Payers!$A$2:$A$9,Payers!$B$2:$B$9)</f>
        <v>Summit Health Commercial</v>
      </c>
      <c r="W1530" s="1" t="str">
        <f t="shared" si="95"/>
        <v>2025-11</v>
      </c>
    </row>
    <row r="1531" spans="1:23">
      <c r="A1531" s="1" t="s">
        <v>2827</v>
      </c>
      <c r="B1531" s="1" t="s">
        <v>2518</v>
      </c>
      <c r="C1531" s="1" t="s">
        <v>76</v>
      </c>
      <c r="D1531" s="1" t="s">
        <v>37</v>
      </c>
      <c r="E1531" s="1" t="s">
        <v>57</v>
      </c>
      <c r="F1531">
        <v>1</v>
      </c>
      <c r="G1531" s="2">
        <v>45961</v>
      </c>
      <c r="H1531" s="2">
        <v>45971</v>
      </c>
      <c r="I1531">
        <v>203.78</v>
      </c>
      <c r="J1531">
        <v>76.5</v>
      </c>
      <c r="K1531">
        <v>61.2</v>
      </c>
      <c r="L1531">
        <v>15.3</v>
      </c>
      <c r="M1531" s="1" t="s">
        <v>21</v>
      </c>
      <c r="N1531" s="1" t="s">
        <v>22</v>
      </c>
      <c r="O1531" s="2">
        <v>45993</v>
      </c>
      <c r="P1531" s="2">
        <v>45993</v>
      </c>
      <c r="Q1531">
        <f>_xlfn.XLOOKUP(E1531,CPT!$A$2:$A$13,CPT!$D$2:$D$13)</f>
        <v>210</v>
      </c>
      <c r="R1531" s="1">
        <f>_xlfn.XLOOKUP(C1531,Contract!$A$2:$A$9,Contract!$B$2:$B$9)</f>
        <v>0.43</v>
      </c>
      <c r="S1531" s="1">
        <f t="shared" si="92"/>
        <v>90.3</v>
      </c>
      <c r="T1531" s="1">
        <f t="shared" si="93"/>
        <v>13.799999999999997</v>
      </c>
      <c r="U1531" s="1" t="str">
        <f t="shared" si="94"/>
        <v>Underpaid</v>
      </c>
      <c r="V1531" s="1" t="str">
        <f>_xlfn.XLOOKUP(C1531,Payers!$A$2:$A$9,Payers!$B$2:$B$9)</f>
        <v>Summit Health Commercial</v>
      </c>
      <c r="W1531" s="1" t="str">
        <f t="shared" si="95"/>
        <v>2025-10</v>
      </c>
    </row>
    <row r="1532" spans="1:23">
      <c r="A1532" s="1" t="s">
        <v>2828</v>
      </c>
      <c r="B1532" s="1" t="s">
        <v>2829</v>
      </c>
      <c r="C1532" s="1" t="s">
        <v>60</v>
      </c>
      <c r="D1532" s="1" t="s">
        <v>37</v>
      </c>
      <c r="E1532" s="1" t="s">
        <v>57</v>
      </c>
      <c r="F1532">
        <v>1</v>
      </c>
      <c r="G1532" s="2">
        <v>45971</v>
      </c>
      <c r="H1532" s="2">
        <v>45975</v>
      </c>
      <c r="I1532">
        <v>205.88</v>
      </c>
      <c r="J1532">
        <v>91.03</v>
      </c>
      <c r="K1532">
        <v>81.93</v>
      </c>
      <c r="L1532">
        <v>9.1</v>
      </c>
      <c r="M1532" s="1" t="s">
        <v>21</v>
      </c>
      <c r="N1532" s="1" t="s">
        <v>22</v>
      </c>
      <c r="O1532" s="2">
        <v>46003</v>
      </c>
      <c r="P1532" s="2">
        <v>46003</v>
      </c>
      <c r="Q1532">
        <f>_xlfn.XLOOKUP(E1532,CPT!$A$2:$A$13,CPT!$D$2:$D$13)</f>
        <v>210</v>
      </c>
      <c r="R1532" s="1">
        <f>_xlfn.XLOOKUP(C1532,Contract!$A$2:$A$9,Contract!$B$2:$B$9)</f>
        <v>0.45</v>
      </c>
      <c r="S1532" s="1">
        <f t="shared" si="92"/>
        <v>94.5</v>
      </c>
      <c r="T1532" s="1">
        <f t="shared" si="93"/>
        <v>3.4699999999999989</v>
      </c>
      <c r="U1532" s="1" t="str">
        <f t="shared" si="94"/>
        <v>OK</v>
      </c>
      <c r="V1532" s="1" t="str">
        <f>_xlfn.XLOOKUP(C1532,Payers!$A$2:$A$9,Payers!$B$2:$B$9)</f>
        <v>Blue Horizon Commercial</v>
      </c>
      <c r="W1532" s="1" t="str">
        <f t="shared" si="95"/>
        <v>2025-11</v>
      </c>
    </row>
    <row r="1533" spans="1:23">
      <c r="A1533" s="1" t="s">
        <v>2830</v>
      </c>
      <c r="B1533" s="1" t="s">
        <v>73</v>
      </c>
      <c r="C1533" s="1" t="s">
        <v>76</v>
      </c>
      <c r="D1533" s="1" t="s">
        <v>26</v>
      </c>
      <c r="E1533" s="1" t="s">
        <v>41</v>
      </c>
      <c r="F1533">
        <v>1</v>
      </c>
      <c r="G1533" s="2">
        <v>46065</v>
      </c>
      <c r="H1533" s="2">
        <v>46070</v>
      </c>
      <c r="I1533">
        <v>38.799999999999997</v>
      </c>
      <c r="J1533">
        <v>14.77</v>
      </c>
      <c r="K1533">
        <v>14.77</v>
      </c>
      <c r="L1533">
        <v>0</v>
      </c>
      <c r="M1533" s="1" t="s">
        <v>21</v>
      </c>
      <c r="N1533" s="1" t="s">
        <v>22</v>
      </c>
      <c r="O1533" s="2">
        <v>46100</v>
      </c>
      <c r="P1533" s="2">
        <v>46100</v>
      </c>
      <c r="Q1533">
        <f>_xlfn.XLOOKUP(E1533,CPT!$A$2:$A$13,CPT!$D$2:$D$13)</f>
        <v>38</v>
      </c>
      <c r="R1533" s="1">
        <f>_xlfn.XLOOKUP(C1533,Contract!$A$2:$A$9,Contract!$B$2:$B$9)</f>
        <v>0.43</v>
      </c>
      <c r="S1533" s="1">
        <f t="shared" si="92"/>
        <v>16.34</v>
      </c>
      <c r="T1533" s="1">
        <f t="shared" si="93"/>
        <v>1.5700000000000003</v>
      </c>
      <c r="U1533" s="1" t="str">
        <f t="shared" si="94"/>
        <v>Underpaid</v>
      </c>
      <c r="V1533" s="1" t="str">
        <f>_xlfn.XLOOKUP(C1533,Payers!$A$2:$A$9,Payers!$B$2:$B$9)</f>
        <v>Summit Health Commercial</v>
      </c>
      <c r="W1533" s="1" t="str">
        <f t="shared" si="95"/>
        <v>2026-02</v>
      </c>
    </row>
    <row r="1534" spans="1:23">
      <c r="A1534" s="1" t="s">
        <v>2831</v>
      </c>
      <c r="B1534" s="1" t="s">
        <v>2154</v>
      </c>
      <c r="C1534" s="1" t="s">
        <v>76</v>
      </c>
      <c r="D1534" s="1" t="s">
        <v>26</v>
      </c>
      <c r="E1534" s="1" t="s">
        <v>27</v>
      </c>
      <c r="F1534">
        <v>1</v>
      </c>
      <c r="G1534" s="2">
        <v>46176</v>
      </c>
      <c r="H1534" s="2">
        <v>46179</v>
      </c>
      <c r="I1534">
        <v>237.73</v>
      </c>
      <c r="J1534">
        <v>108.89</v>
      </c>
      <c r="K1534">
        <v>87.11</v>
      </c>
      <c r="L1534">
        <v>21.78</v>
      </c>
      <c r="M1534" s="1" t="s">
        <v>21</v>
      </c>
      <c r="N1534" s="1" t="s">
        <v>22</v>
      </c>
      <c r="O1534" s="2">
        <v>46218</v>
      </c>
      <c r="P1534" s="2">
        <v>46218</v>
      </c>
      <c r="Q1534">
        <f>_xlfn.XLOOKUP(E1534,CPT!$A$2:$A$13,CPT!$D$2:$D$13)</f>
        <v>240</v>
      </c>
      <c r="R1534" s="1">
        <f>_xlfn.XLOOKUP(C1534,Contract!$A$2:$A$9,Contract!$B$2:$B$9)</f>
        <v>0.43</v>
      </c>
      <c r="S1534" s="1">
        <f t="shared" si="92"/>
        <v>103.2</v>
      </c>
      <c r="T1534" s="1">
        <f t="shared" si="93"/>
        <v>-5.6899999999999977</v>
      </c>
      <c r="U1534" s="1" t="str">
        <f t="shared" si="94"/>
        <v>OK</v>
      </c>
      <c r="V1534" s="1" t="str">
        <f>_xlfn.XLOOKUP(C1534,Payers!$A$2:$A$9,Payers!$B$2:$B$9)</f>
        <v>Summit Health Commercial</v>
      </c>
      <c r="W1534" s="1" t="str">
        <f t="shared" si="95"/>
        <v>2026-06</v>
      </c>
    </row>
    <row r="1535" spans="1:23">
      <c r="A1535" s="1" t="s">
        <v>2832</v>
      </c>
      <c r="B1535" s="1" t="s">
        <v>1449</v>
      </c>
      <c r="C1535" s="1" t="s">
        <v>76</v>
      </c>
      <c r="D1535" s="1" t="s">
        <v>19</v>
      </c>
      <c r="E1535" s="1" t="s">
        <v>57</v>
      </c>
      <c r="F1535">
        <v>1</v>
      </c>
      <c r="G1535" s="2">
        <v>46066</v>
      </c>
      <c r="H1535" s="2">
        <v>46067</v>
      </c>
      <c r="I1535">
        <v>215.64</v>
      </c>
      <c r="M1535" s="1" t="s">
        <v>32</v>
      </c>
      <c r="N1535" s="1" t="s">
        <v>98</v>
      </c>
      <c r="O1535" s="2">
        <v>46090</v>
      </c>
      <c r="P1535" s="2"/>
      <c r="Q1535">
        <f>_xlfn.XLOOKUP(E1535,CPT!$A$2:$A$13,CPT!$D$2:$D$13)</f>
        <v>210</v>
      </c>
      <c r="R1535" s="1">
        <f>_xlfn.XLOOKUP(C1535,Contract!$A$2:$A$9,Contract!$B$2:$B$9)</f>
        <v>0.43</v>
      </c>
      <c r="S1535" s="1">
        <f t="shared" si="92"/>
        <v>90.3</v>
      </c>
      <c r="T1535" s="1" t="str">
        <f t="shared" si="93"/>
        <v/>
      </c>
      <c r="U1535" s="1" t="str">
        <f t="shared" si="94"/>
        <v/>
      </c>
      <c r="V1535" s="1" t="str">
        <f>_xlfn.XLOOKUP(C1535,Payers!$A$2:$A$9,Payers!$B$2:$B$9)</f>
        <v>Summit Health Commercial</v>
      </c>
      <c r="W1535" s="1" t="str">
        <f t="shared" si="95"/>
        <v>2026-02</v>
      </c>
    </row>
    <row r="1536" spans="1:23">
      <c r="A1536" s="1" t="s">
        <v>2833</v>
      </c>
      <c r="B1536" s="1" t="s">
        <v>2834</v>
      </c>
      <c r="C1536" s="1" t="s">
        <v>60</v>
      </c>
      <c r="D1536" s="1" t="s">
        <v>30</v>
      </c>
      <c r="E1536" s="1" t="s">
        <v>91</v>
      </c>
      <c r="F1536">
        <v>2</v>
      </c>
      <c r="G1536" s="2">
        <v>46277</v>
      </c>
      <c r="H1536" s="2">
        <v>46282</v>
      </c>
      <c r="I1536">
        <v>114.29</v>
      </c>
      <c r="M1536" s="1" t="s">
        <v>69</v>
      </c>
      <c r="N1536" s="1" t="s">
        <v>22</v>
      </c>
      <c r="O1536" s="2"/>
      <c r="P1536" s="2"/>
      <c r="Q1536">
        <f>_xlfn.XLOOKUP(E1536,CPT!$A$2:$A$13,CPT!$D$2:$D$13)</f>
        <v>58</v>
      </c>
      <c r="R1536" s="1">
        <f>_xlfn.XLOOKUP(C1536,Contract!$A$2:$A$9,Contract!$B$2:$B$9)</f>
        <v>0.45</v>
      </c>
      <c r="S1536" s="1">
        <f t="shared" si="92"/>
        <v>52.2</v>
      </c>
      <c r="T1536" s="1" t="str">
        <f t="shared" si="93"/>
        <v/>
      </c>
      <c r="U1536" s="1" t="str">
        <f t="shared" si="94"/>
        <v/>
      </c>
      <c r="V1536" s="1" t="str">
        <f>_xlfn.XLOOKUP(C1536,Payers!$A$2:$A$9,Payers!$B$2:$B$9)</f>
        <v>Blue Horizon Commercial</v>
      </c>
      <c r="W1536" s="1" t="str">
        <f t="shared" si="95"/>
        <v>2026-09</v>
      </c>
    </row>
    <row r="1537" spans="1:23">
      <c r="A1537" s="1" t="s">
        <v>2835</v>
      </c>
      <c r="B1537" s="1" t="s">
        <v>2836</v>
      </c>
      <c r="C1537" s="1" t="s">
        <v>60</v>
      </c>
      <c r="D1537" s="1" t="s">
        <v>26</v>
      </c>
      <c r="E1537" s="1" t="s">
        <v>57</v>
      </c>
      <c r="F1537">
        <v>1</v>
      </c>
      <c r="G1537" s="2">
        <v>46160</v>
      </c>
      <c r="H1537" s="2">
        <v>46164</v>
      </c>
      <c r="I1537">
        <v>207.3</v>
      </c>
      <c r="J1537">
        <v>99.99</v>
      </c>
      <c r="K1537">
        <v>79.989999999999995</v>
      </c>
      <c r="L1537">
        <v>20</v>
      </c>
      <c r="M1537" s="1" t="s">
        <v>21</v>
      </c>
      <c r="N1537" s="1" t="s">
        <v>22</v>
      </c>
      <c r="O1537" s="2">
        <v>46180</v>
      </c>
      <c r="P1537" s="2">
        <v>46180</v>
      </c>
      <c r="Q1537">
        <f>_xlfn.XLOOKUP(E1537,CPT!$A$2:$A$13,CPT!$D$2:$D$13)</f>
        <v>210</v>
      </c>
      <c r="R1537" s="1">
        <f>_xlfn.XLOOKUP(C1537,Contract!$A$2:$A$9,Contract!$B$2:$B$9)</f>
        <v>0.45</v>
      </c>
      <c r="S1537" s="1">
        <f t="shared" si="92"/>
        <v>94.5</v>
      </c>
      <c r="T1537" s="1">
        <f t="shared" si="93"/>
        <v>-5.4899999999999949</v>
      </c>
      <c r="U1537" s="1" t="str">
        <f t="shared" si="94"/>
        <v>OK</v>
      </c>
      <c r="V1537" s="1" t="str">
        <f>_xlfn.XLOOKUP(C1537,Payers!$A$2:$A$9,Payers!$B$2:$B$9)</f>
        <v>Blue Horizon Commercial</v>
      </c>
      <c r="W1537" s="1" t="str">
        <f t="shared" si="95"/>
        <v>2026-05</v>
      </c>
    </row>
    <row r="1538" spans="1:23">
      <c r="A1538" s="1" t="s">
        <v>2837</v>
      </c>
      <c r="B1538" s="1" t="s">
        <v>2838</v>
      </c>
      <c r="C1538" s="1" t="s">
        <v>36</v>
      </c>
      <c r="D1538" s="1" t="s">
        <v>30</v>
      </c>
      <c r="E1538" s="1" t="s">
        <v>20</v>
      </c>
      <c r="F1538">
        <v>1</v>
      </c>
      <c r="G1538" s="2">
        <v>45974</v>
      </c>
      <c r="H1538" s="2">
        <v>45984</v>
      </c>
      <c r="I1538">
        <v>144.57</v>
      </c>
      <c r="J1538">
        <v>41.03</v>
      </c>
      <c r="K1538">
        <v>41.03</v>
      </c>
      <c r="L1538">
        <v>0</v>
      </c>
      <c r="M1538" s="1" t="s">
        <v>21</v>
      </c>
      <c r="N1538" s="1" t="s">
        <v>22</v>
      </c>
      <c r="O1538" s="2">
        <v>46012</v>
      </c>
      <c r="P1538" s="2">
        <v>46012</v>
      </c>
      <c r="Q1538">
        <f>_xlfn.XLOOKUP(E1538,CPT!$A$2:$A$13,CPT!$D$2:$D$13)</f>
        <v>145</v>
      </c>
      <c r="R1538" s="1">
        <f>_xlfn.XLOOKUP(C1538,Contract!$A$2:$A$9,Contract!$B$2:$B$9)</f>
        <v>0.27</v>
      </c>
      <c r="S1538" s="1">
        <f t="shared" ref="S1538:S1601" si="96">ROUND(Q1538*F1538*R1538,2)</f>
        <v>39.15</v>
      </c>
      <c r="T1538" s="1">
        <f t="shared" ref="T1538:T1601" si="97">IF(M1538="Paid",S1538-J1538,"")</f>
        <v>-1.8800000000000026</v>
      </c>
      <c r="U1538" s="1" t="str">
        <f t="shared" ref="U1538:U1601" si="98">IF(M1538&lt;&gt;"Paid","",IF(T1538&gt;S1538*0.05,"Underpaid","OK"))</f>
        <v>OK</v>
      </c>
      <c r="V1538" s="1" t="str">
        <f>_xlfn.XLOOKUP(C1538,Payers!$A$2:$A$9,Payers!$B$2:$B$9)</f>
        <v>Florida Medicaid</v>
      </c>
      <c r="W1538" s="1" t="str">
        <f t="shared" ref="W1538:W1601" si="99">TEXT(G1538,"yyyy-mm")</f>
        <v>2025-11</v>
      </c>
    </row>
    <row r="1539" spans="1:23">
      <c r="A1539" s="1" t="s">
        <v>2839</v>
      </c>
      <c r="B1539" s="1" t="s">
        <v>283</v>
      </c>
      <c r="C1539" s="1" t="s">
        <v>47</v>
      </c>
      <c r="D1539" s="1" t="s">
        <v>26</v>
      </c>
      <c r="E1539" s="1" t="s">
        <v>57</v>
      </c>
      <c r="F1539">
        <v>1</v>
      </c>
      <c r="G1539" s="2">
        <v>46215</v>
      </c>
      <c r="H1539" s="2">
        <v>46220</v>
      </c>
      <c r="I1539">
        <v>210.49</v>
      </c>
      <c r="J1539">
        <v>65.989999999999995</v>
      </c>
      <c r="K1539">
        <v>59.39</v>
      </c>
      <c r="L1539">
        <v>6.6</v>
      </c>
      <c r="M1539" s="1" t="s">
        <v>21</v>
      </c>
      <c r="N1539" s="1" t="s">
        <v>22</v>
      </c>
      <c r="O1539" s="2">
        <v>46259</v>
      </c>
      <c r="P1539" s="2">
        <v>46259</v>
      </c>
      <c r="Q1539">
        <f>_xlfn.XLOOKUP(E1539,CPT!$A$2:$A$13,CPT!$D$2:$D$13)</f>
        <v>210</v>
      </c>
      <c r="R1539" s="1">
        <f>_xlfn.XLOOKUP(C1539,Contract!$A$2:$A$9,Contract!$B$2:$B$9)</f>
        <v>0.28000000000000003</v>
      </c>
      <c r="S1539" s="1">
        <f t="shared" si="96"/>
        <v>58.8</v>
      </c>
      <c r="T1539" s="1">
        <f t="shared" si="97"/>
        <v>-7.1899999999999977</v>
      </c>
      <c r="U1539" s="1" t="str">
        <f t="shared" si="98"/>
        <v>OK</v>
      </c>
      <c r="V1539" s="1" t="str">
        <f>_xlfn.XLOOKUP(C1539,Payers!$A$2:$A$9,Payers!$B$2:$B$9)</f>
        <v>Coastal Medicaid MCO</v>
      </c>
      <c r="W1539" s="1" t="str">
        <f t="shared" si="99"/>
        <v>2026-07</v>
      </c>
    </row>
    <row r="1540" spans="1:23">
      <c r="A1540" s="1" t="s">
        <v>2840</v>
      </c>
      <c r="B1540" s="1" t="s">
        <v>2841</v>
      </c>
      <c r="C1540" s="1" t="s">
        <v>60</v>
      </c>
      <c r="D1540" s="1" t="s">
        <v>26</v>
      </c>
      <c r="E1540" s="1" t="s">
        <v>27</v>
      </c>
      <c r="F1540">
        <v>1</v>
      </c>
      <c r="G1540" s="2">
        <v>45965</v>
      </c>
      <c r="H1540" s="2">
        <v>45967</v>
      </c>
      <c r="I1540">
        <v>241.54</v>
      </c>
      <c r="J1540">
        <v>93.2</v>
      </c>
      <c r="K1540">
        <v>93.2</v>
      </c>
      <c r="L1540">
        <v>0</v>
      </c>
      <c r="M1540" s="1" t="s">
        <v>21</v>
      </c>
      <c r="N1540" s="1" t="s">
        <v>22</v>
      </c>
      <c r="O1540" s="2">
        <v>45989</v>
      </c>
      <c r="P1540" s="2">
        <v>45989</v>
      </c>
      <c r="Q1540">
        <f>_xlfn.XLOOKUP(E1540,CPT!$A$2:$A$13,CPT!$D$2:$D$13)</f>
        <v>240</v>
      </c>
      <c r="R1540" s="1">
        <f>_xlfn.XLOOKUP(C1540,Contract!$A$2:$A$9,Contract!$B$2:$B$9)</f>
        <v>0.45</v>
      </c>
      <c r="S1540" s="1">
        <f t="shared" si="96"/>
        <v>108</v>
      </c>
      <c r="T1540" s="1">
        <f t="shared" si="97"/>
        <v>14.799999999999997</v>
      </c>
      <c r="U1540" s="1" t="str">
        <f t="shared" si="98"/>
        <v>Underpaid</v>
      </c>
      <c r="V1540" s="1" t="str">
        <f>_xlfn.XLOOKUP(C1540,Payers!$A$2:$A$9,Payers!$B$2:$B$9)</f>
        <v>Blue Horizon Commercial</v>
      </c>
      <c r="W1540" s="1" t="str">
        <f t="shared" si="99"/>
        <v>2025-11</v>
      </c>
    </row>
    <row r="1541" spans="1:23">
      <c r="A1541" s="1" t="s">
        <v>2842</v>
      </c>
      <c r="B1541" s="1" t="s">
        <v>2843</v>
      </c>
      <c r="C1541" s="1" t="s">
        <v>76</v>
      </c>
      <c r="D1541" s="1" t="s">
        <v>19</v>
      </c>
      <c r="E1541" s="1" t="s">
        <v>57</v>
      </c>
      <c r="F1541">
        <v>1</v>
      </c>
      <c r="G1541" s="2">
        <v>46210</v>
      </c>
      <c r="H1541" s="2">
        <v>46211</v>
      </c>
      <c r="I1541">
        <v>210.04</v>
      </c>
      <c r="J1541">
        <v>82.23</v>
      </c>
      <c r="K1541">
        <v>82.23</v>
      </c>
      <c r="L1541">
        <v>0</v>
      </c>
      <c r="M1541" s="1" t="s">
        <v>21</v>
      </c>
      <c r="N1541" s="1" t="s">
        <v>22</v>
      </c>
      <c r="O1541" s="2">
        <v>46254</v>
      </c>
      <c r="P1541" s="2">
        <v>46254</v>
      </c>
      <c r="Q1541">
        <f>_xlfn.XLOOKUP(E1541,CPT!$A$2:$A$13,CPT!$D$2:$D$13)</f>
        <v>210</v>
      </c>
      <c r="R1541" s="1">
        <f>_xlfn.XLOOKUP(C1541,Contract!$A$2:$A$9,Contract!$B$2:$B$9)</f>
        <v>0.43</v>
      </c>
      <c r="S1541" s="1">
        <f t="shared" si="96"/>
        <v>90.3</v>
      </c>
      <c r="T1541" s="1">
        <f t="shared" si="97"/>
        <v>8.0699999999999932</v>
      </c>
      <c r="U1541" s="1" t="str">
        <f t="shared" si="98"/>
        <v>Underpaid</v>
      </c>
      <c r="V1541" s="1" t="str">
        <f>_xlfn.XLOOKUP(C1541,Payers!$A$2:$A$9,Payers!$B$2:$B$9)</f>
        <v>Summit Health Commercial</v>
      </c>
      <c r="W1541" s="1" t="str">
        <f t="shared" si="99"/>
        <v>2026-07</v>
      </c>
    </row>
    <row r="1542" spans="1:23">
      <c r="A1542" s="1" t="s">
        <v>2844</v>
      </c>
      <c r="B1542" s="1" t="s">
        <v>2845</v>
      </c>
      <c r="C1542" s="1" t="s">
        <v>47</v>
      </c>
      <c r="D1542" s="1" t="s">
        <v>26</v>
      </c>
      <c r="E1542" s="1" t="s">
        <v>44</v>
      </c>
      <c r="F1542">
        <v>1</v>
      </c>
      <c r="G1542" s="2">
        <v>46289</v>
      </c>
      <c r="H1542" s="2">
        <v>46295</v>
      </c>
      <c r="I1542">
        <v>4882.8999999999996</v>
      </c>
      <c r="M1542" s="1" t="s">
        <v>69</v>
      </c>
      <c r="N1542" s="1" t="s">
        <v>22</v>
      </c>
      <c r="O1542" s="2"/>
      <c r="P1542" s="2"/>
      <c r="Q1542">
        <f>_xlfn.XLOOKUP(E1542,CPT!$A$2:$A$13,CPT!$D$2:$D$13)</f>
        <v>4800</v>
      </c>
      <c r="R1542" s="1">
        <f>_xlfn.XLOOKUP(C1542,Contract!$A$2:$A$9,Contract!$B$2:$B$9)</f>
        <v>0.28000000000000003</v>
      </c>
      <c r="S1542" s="1">
        <f t="shared" si="96"/>
        <v>1344</v>
      </c>
      <c r="T1542" s="1" t="str">
        <f t="shared" si="97"/>
        <v/>
      </c>
      <c r="U1542" s="1" t="str">
        <f t="shared" si="98"/>
        <v/>
      </c>
      <c r="V1542" s="1" t="str">
        <f>_xlfn.XLOOKUP(C1542,Payers!$A$2:$A$9,Payers!$B$2:$B$9)</f>
        <v>Coastal Medicaid MCO</v>
      </c>
      <c r="W1542" s="1" t="str">
        <f t="shared" si="99"/>
        <v>2026-09</v>
      </c>
    </row>
    <row r="1543" spans="1:23">
      <c r="A1543" s="1" t="s">
        <v>2846</v>
      </c>
      <c r="B1543" s="1" t="s">
        <v>2847</v>
      </c>
      <c r="C1543" s="1" t="s">
        <v>36</v>
      </c>
      <c r="D1543" s="1" t="s">
        <v>19</v>
      </c>
      <c r="E1543" s="1" t="s">
        <v>20</v>
      </c>
      <c r="F1543">
        <v>1</v>
      </c>
      <c r="G1543" s="2">
        <v>46107</v>
      </c>
      <c r="H1543" s="2">
        <v>46109</v>
      </c>
      <c r="I1543">
        <v>149.25</v>
      </c>
      <c r="J1543">
        <v>42.43</v>
      </c>
      <c r="K1543">
        <v>38.19</v>
      </c>
      <c r="L1543">
        <v>4.24</v>
      </c>
      <c r="M1543" s="1" t="s">
        <v>21</v>
      </c>
      <c r="N1543" s="1" t="s">
        <v>22</v>
      </c>
      <c r="O1543" s="2">
        <v>46157</v>
      </c>
      <c r="P1543" s="2">
        <v>46157</v>
      </c>
      <c r="Q1543">
        <f>_xlfn.XLOOKUP(E1543,CPT!$A$2:$A$13,CPT!$D$2:$D$13)</f>
        <v>145</v>
      </c>
      <c r="R1543" s="1">
        <f>_xlfn.XLOOKUP(C1543,Contract!$A$2:$A$9,Contract!$B$2:$B$9)</f>
        <v>0.27</v>
      </c>
      <c r="S1543" s="1">
        <f t="shared" si="96"/>
        <v>39.15</v>
      </c>
      <c r="T1543" s="1">
        <f t="shared" si="97"/>
        <v>-3.2800000000000011</v>
      </c>
      <c r="U1543" s="1" t="str">
        <f t="shared" si="98"/>
        <v>OK</v>
      </c>
      <c r="V1543" s="1" t="str">
        <f>_xlfn.XLOOKUP(C1543,Payers!$A$2:$A$9,Payers!$B$2:$B$9)</f>
        <v>Florida Medicaid</v>
      </c>
      <c r="W1543" s="1" t="str">
        <f t="shared" si="99"/>
        <v>2026-03</v>
      </c>
    </row>
    <row r="1544" spans="1:23">
      <c r="A1544" s="1" t="s">
        <v>2848</v>
      </c>
      <c r="B1544" s="1" t="s">
        <v>1761</v>
      </c>
      <c r="C1544" s="1" t="s">
        <v>36</v>
      </c>
      <c r="D1544" s="1" t="s">
        <v>26</v>
      </c>
      <c r="E1544" s="1" t="s">
        <v>88</v>
      </c>
      <c r="F1544">
        <v>1</v>
      </c>
      <c r="G1544" s="2">
        <v>46038</v>
      </c>
      <c r="H1544" s="2">
        <v>46047</v>
      </c>
      <c r="I1544">
        <v>264.98</v>
      </c>
      <c r="J1544">
        <v>70.989999999999995</v>
      </c>
      <c r="K1544">
        <v>70.989999999999995</v>
      </c>
      <c r="L1544">
        <v>0</v>
      </c>
      <c r="M1544" s="1" t="s">
        <v>21</v>
      </c>
      <c r="N1544" s="1" t="s">
        <v>22</v>
      </c>
      <c r="O1544" s="2">
        <v>46077</v>
      </c>
      <c r="P1544" s="2">
        <v>46077</v>
      </c>
      <c r="Q1544">
        <f>_xlfn.XLOOKUP(E1544,CPT!$A$2:$A$13,CPT!$D$2:$D$13)</f>
        <v>260</v>
      </c>
      <c r="R1544" s="1">
        <f>_xlfn.XLOOKUP(C1544,Contract!$A$2:$A$9,Contract!$B$2:$B$9)</f>
        <v>0.27</v>
      </c>
      <c r="S1544" s="1">
        <f t="shared" si="96"/>
        <v>70.2</v>
      </c>
      <c r="T1544" s="1">
        <f t="shared" si="97"/>
        <v>-0.78999999999999204</v>
      </c>
      <c r="U1544" s="1" t="str">
        <f t="shared" si="98"/>
        <v>OK</v>
      </c>
      <c r="V1544" s="1" t="str">
        <f>_xlfn.XLOOKUP(C1544,Payers!$A$2:$A$9,Payers!$B$2:$B$9)</f>
        <v>Florida Medicaid</v>
      </c>
      <c r="W1544" s="1" t="str">
        <f t="shared" si="99"/>
        <v>2026-01</v>
      </c>
    </row>
    <row r="1545" spans="1:23">
      <c r="A1545" s="1" t="s">
        <v>2849</v>
      </c>
      <c r="B1545" s="1" t="s">
        <v>2850</v>
      </c>
      <c r="C1545" s="1" t="s">
        <v>18</v>
      </c>
      <c r="D1545" s="1" t="s">
        <v>37</v>
      </c>
      <c r="E1545" s="1" t="s">
        <v>57</v>
      </c>
      <c r="F1545">
        <v>1</v>
      </c>
      <c r="G1545" s="2">
        <v>46273</v>
      </c>
      <c r="H1545" s="2">
        <v>46278</v>
      </c>
      <c r="I1545">
        <v>207.74</v>
      </c>
      <c r="M1545" s="1" t="s">
        <v>69</v>
      </c>
      <c r="N1545" s="1" t="s">
        <v>22</v>
      </c>
      <c r="O1545" s="2"/>
      <c r="P1545" s="2"/>
      <c r="Q1545">
        <f>_xlfn.XLOOKUP(E1545,CPT!$A$2:$A$13,CPT!$D$2:$D$13)</f>
        <v>210</v>
      </c>
      <c r="R1545" s="1">
        <f>_xlfn.XLOOKUP(C1545,Contract!$A$2:$A$9,Contract!$B$2:$B$9)</f>
        <v>0.38</v>
      </c>
      <c r="S1545" s="1">
        <f t="shared" si="96"/>
        <v>79.8</v>
      </c>
      <c r="T1545" s="1" t="str">
        <f t="shared" si="97"/>
        <v/>
      </c>
      <c r="U1545" s="1" t="str">
        <f t="shared" si="98"/>
        <v/>
      </c>
      <c r="V1545" s="1" t="str">
        <f>_xlfn.XLOOKUP(C1545,Payers!$A$2:$A$9,Payers!$B$2:$B$9)</f>
        <v>Sunshine Medicare Advantage</v>
      </c>
      <c r="W1545" s="1" t="str">
        <f t="shared" si="99"/>
        <v>2026-09</v>
      </c>
    </row>
    <row r="1546" spans="1:23">
      <c r="A1546" s="1" t="s">
        <v>2851</v>
      </c>
      <c r="B1546" s="1" t="s">
        <v>2852</v>
      </c>
      <c r="C1546" s="1" t="s">
        <v>18</v>
      </c>
      <c r="D1546" s="1" t="s">
        <v>37</v>
      </c>
      <c r="E1546" s="1" t="s">
        <v>57</v>
      </c>
      <c r="F1546">
        <v>1</v>
      </c>
      <c r="G1546" s="2">
        <v>46249</v>
      </c>
      <c r="H1546" s="2">
        <v>46252</v>
      </c>
      <c r="I1546">
        <v>210.86</v>
      </c>
      <c r="M1546" s="1" t="s">
        <v>69</v>
      </c>
      <c r="N1546" s="1" t="s">
        <v>22</v>
      </c>
      <c r="O1546" s="2"/>
      <c r="P1546" s="2"/>
      <c r="Q1546">
        <f>_xlfn.XLOOKUP(E1546,CPT!$A$2:$A$13,CPT!$D$2:$D$13)</f>
        <v>210</v>
      </c>
      <c r="R1546" s="1">
        <f>_xlfn.XLOOKUP(C1546,Contract!$A$2:$A$9,Contract!$B$2:$B$9)</f>
        <v>0.38</v>
      </c>
      <c r="S1546" s="1">
        <f t="shared" si="96"/>
        <v>79.8</v>
      </c>
      <c r="T1546" s="1" t="str">
        <f t="shared" si="97"/>
        <v/>
      </c>
      <c r="U1546" s="1" t="str">
        <f t="shared" si="98"/>
        <v/>
      </c>
      <c r="V1546" s="1" t="str">
        <f>_xlfn.XLOOKUP(C1546,Payers!$A$2:$A$9,Payers!$B$2:$B$9)</f>
        <v>Sunshine Medicare Advantage</v>
      </c>
      <c r="W1546" s="1" t="str">
        <f t="shared" si="99"/>
        <v>2026-08</v>
      </c>
    </row>
    <row r="1547" spans="1:23">
      <c r="A1547" s="1" t="s">
        <v>2853</v>
      </c>
      <c r="B1547" s="1" t="s">
        <v>2854</v>
      </c>
      <c r="C1547" s="1" t="s">
        <v>79</v>
      </c>
      <c r="D1547" s="1" t="s">
        <v>19</v>
      </c>
      <c r="E1547" s="1" t="s">
        <v>88</v>
      </c>
      <c r="F1547">
        <v>1</v>
      </c>
      <c r="G1547" s="2">
        <v>46092</v>
      </c>
      <c r="H1547" s="2">
        <v>46097</v>
      </c>
      <c r="I1547">
        <v>259.70999999999998</v>
      </c>
      <c r="M1547" s="1" t="s">
        <v>69</v>
      </c>
      <c r="N1547" s="1" t="s">
        <v>22</v>
      </c>
      <c r="O1547" s="2"/>
      <c r="P1547" s="2"/>
      <c r="Q1547">
        <f>_xlfn.XLOOKUP(E1547,CPT!$A$2:$A$13,CPT!$D$2:$D$13)</f>
        <v>260</v>
      </c>
      <c r="R1547" s="1">
        <f>_xlfn.XLOOKUP(C1547,Contract!$A$2:$A$9,Contract!$B$2:$B$9)</f>
        <v>1</v>
      </c>
      <c r="S1547" s="1">
        <f t="shared" si="96"/>
        <v>260</v>
      </c>
      <c r="T1547" s="1" t="str">
        <f t="shared" si="97"/>
        <v/>
      </c>
      <c r="U1547" s="1" t="str">
        <f t="shared" si="98"/>
        <v/>
      </c>
      <c r="V1547" s="1" t="str">
        <f>_xlfn.XLOOKUP(C1547,Payers!$A$2:$A$9,Payers!$B$2:$B$9)</f>
        <v>Self-Pay</v>
      </c>
      <c r="W1547" s="1" t="str">
        <f t="shared" si="99"/>
        <v>2026-03</v>
      </c>
    </row>
    <row r="1548" spans="1:23">
      <c r="A1548" s="1" t="s">
        <v>2855</v>
      </c>
      <c r="B1548" s="1" t="s">
        <v>2856</v>
      </c>
      <c r="C1548" s="1" t="s">
        <v>76</v>
      </c>
      <c r="D1548" s="1" t="s">
        <v>19</v>
      </c>
      <c r="E1548" s="1" t="s">
        <v>57</v>
      </c>
      <c r="F1548">
        <v>1</v>
      </c>
      <c r="G1548" s="2">
        <v>46050</v>
      </c>
      <c r="H1548" s="2">
        <v>46051</v>
      </c>
      <c r="I1548">
        <v>204.16</v>
      </c>
      <c r="J1548">
        <v>89.95</v>
      </c>
      <c r="K1548">
        <v>80.95</v>
      </c>
      <c r="L1548">
        <v>9</v>
      </c>
      <c r="M1548" s="1" t="s">
        <v>21</v>
      </c>
      <c r="N1548" s="1" t="s">
        <v>22</v>
      </c>
      <c r="O1548" s="2">
        <v>46082</v>
      </c>
      <c r="P1548" s="2">
        <v>46082</v>
      </c>
      <c r="Q1548">
        <f>_xlfn.XLOOKUP(E1548,CPT!$A$2:$A$13,CPT!$D$2:$D$13)</f>
        <v>210</v>
      </c>
      <c r="R1548" s="1">
        <f>_xlfn.XLOOKUP(C1548,Contract!$A$2:$A$9,Contract!$B$2:$B$9)</f>
        <v>0.43</v>
      </c>
      <c r="S1548" s="1">
        <f t="shared" si="96"/>
        <v>90.3</v>
      </c>
      <c r="T1548" s="1">
        <f t="shared" si="97"/>
        <v>0.34999999999999432</v>
      </c>
      <c r="U1548" s="1" t="str">
        <f t="shared" si="98"/>
        <v>OK</v>
      </c>
      <c r="V1548" s="1" t="str">
        <f>_xlfn.XLOOKUP(C1548,Payers!$A$2:$A$9,Payers!$B$2:$B$9)</f>
        <v>Summit Health Commercial</v>
      </c>
      <c r="W1548" s="1" t="str">
        <f t="shared" si="99"/>
        <v>2026-01</v>
      </c>
    </row>
    <row r="1549" spans="1:23">
      <c r="A1549" s="1" t="s">
        <v>2857</v>
      </c>
      <c r="B1549" s="1" t="s">
        <v>2858</v>
      </c>
      <c r="C1549" s="1" t="s">
        <v>36</v>
      </c>
      <c r="D1549" s="1" t="s">
        <v>26</v>
      </c>
      <c r="E1549" s="1" t="s">
        <v>57</v>
      </c>
      <c r="F1549">
        <v>1</v>
      </c>
      <c r="G1549" s="2">
        <v>46263</v>
      </c>
      <c r="H1549" s="2">
        <v>46266</v>
      </c>
      <c r="I1549">
        <v>206.55</v>
      </c>
      <c r="J1549">
        <v>51.23</v>
      </c>
      <c r="K1549">
        <v>51.23</v>
      </c>
      <c r="L1549">
        <v>0</v>
      </c>
      <c r="M1549" s="1" t="s">
        <v>21</v>
      </c>
      <c r="N1549" s="1" t="s">
        <v>22</v>
      </c>
      <c r="O1549" s="2">
        <v>46294</v>
      </c>
      <c r="P1549" s="2">
        <v>46294</v>
      </c>
      <c r="Q1549">
        <f>_xlfn.XLOOKUP(E1549,CPT!$A$2:$A$13,CPT!$D$2:$D$13)</f>
        <v>210</v>
      </c>
      <c r="R1549" s="1">
        <f>_xlfn.XLOOKUP(C1549,Contract!$A$2:$A$9,Contract!$B$2:$B$9)</f>
        <v>0.27</v>
      </c>
      <c r="S1549" s="1">
        <f t="shared" si="96"/>
        <v>56.7</v>
      </c>
      <c r="T1549" s="1">
        <f t="shared" si="97"/>
        <v>5.470000000000006</v>
      </c>
      <c r="U1549" s="1" t="str">
        <f t="shared" si="98"/>
        <v>Underpaid</v>
      </c>
      <c r="V1549" s="1" t="str">
        <f>_xlfn.XLOOKUP(C1549,Payers!$A$2:$A$9,Payers!$B$2:$B$9)</f>
        <v>Florida Medicaid</v>
      </c>
      <c r="W1549" s="1" t="str">
        <f t="shared" si="99"/>
        <v>2026-08</v>
      </c>
    </row>
    <row r="1550" spans="1:23">
      <c r="A1550" s="1" t="s">
        <v>2859</v>
      </c>
      <c r="B1550" s="1" t="s">
        <v>1006</v>
      </c>
      <c r="C1550" s="1" t="s">
        <v>25</v>
      </c>
      <c r="D1550" s="1" t="s">
        <v>30</v>
      </c>
      <c r="E1550" s="1" t="s">
        <v>20</v>
      </c>
      <c r="F1550">
        <v>1</v>
      </c>
      <c r="G1550" s="2">
        <v>46186</v>
      </c>
      <c r="H1550" s="2">
        <v>46197</v>
      </c>
      <c r="I1550">
        <v>140.91</v>
      </c>
      <c r="J1550">
        <v>46.15</v>
      </c>
      <c r="K1550">
        <v>46.15</v>
      </c>
      <c r="L1550">
        <v>0</v>
      </c>
      <c r="M1550" s="1" t="s">
        <v>21</v>
      </c>
      <c r="N1550" s="1" t="s">
        <v>22</v>
      </c>
      <c r="O1550" s="2">
        <v>46220</v>
      </c>
      <c r="P1550" s="2">
        <v>46220</v>
      </c>
      <c r="Q1550">
        <f>_xlfn.XLOOKUP(E1550,CPT!$A$2:$A$13,CPT!$D$2:$D$13)</f>
        <v>145</v>
      </c>
      <c r="R1550" s="1">
        <f>_xlfn.XLOOKUP(C1550,Contract!$A$2:$A$9,Contract!$B$2:$B$9)</f>
        <v>0.36</v>
      </c>
      <c r="S1550" s="1">
        <f t="shared" si="96"/>
        <v>52.2</v>
      </c>
      <c r="T1550" s="1">
        <f t="shared" si="97"/>
        <v>6.0500000000000043</v>
      </c>
      <c r="U1550" s="1" t="str">
        <f t="shared" si="98"/>
        <v>Underpaid</v>
      </c>
      <c r="V1550" s="1" t="str">
        <f>_xlfn.XLOOKUP(C1550,Payers!$A$2:$A$9,Payers!$B$2:$B$9)</f>
        <v>Medicare Part B</v>
      </c>
      <c r="W1550" s="1" t="str">
        <f t="shared" si="99"/>
        <v>2026-06</v>
      </c>
    </row>
    <row r="1551" spans="1:23">
      <c r="A1551" s="1" t="s">
        <v>2860</v>
      </c>
      <c r="B1551" s="1" t="s">
        <v>519</v>
      </c>
      <c r="C1551" s="1" t="s">
        <v>60</v>
      </c>
      <c r="D1551" s="1" t="s">
        <v>19</v>
      </c>
      <c r="E1551" s="1" t="s">
        <v>57</v>
      </c>
      <c r="F1551">
        <v>1</v>
      </c>
      <c r="G1551" s="2">
        <v>45993</v>
      </c>
      <c r="H1551" s="2">
        <v>45994</v>
      </c>
      <c r="I1551">
        <v>204.26</v>
      </c>
      <c r="J1551">
        <v>82.64</v>
      </c>
      <c r="K1551">
        <v>82.64</v>
      </c>
      <c r="L1551">
        <v>0</v>
      </c>
      <c r="M1551" s="1" t="s">
        <v>21</v>
      </c>
      <c r="N1551" s="1" t="s">
        <v>22</v>
      </c>
      <c r="O1551" s="2">
        <v>46036</v>
      </c>
      <c r="P1551" s="2">
        <v>46036</v>
      </c>
      <c r="Q1551">
        <f>_xlfn.XLOOKUP(E1551,CPT!$A$2:$A$13,CPT!$D$2:$D$13)</f>
        <v>210</v>
      </c>
      <c r="R1551" s="1">
        <f>_xlfn.XLOOKUP(C1551,Contract!$A$2:$A$9,Contract!$B$2:$B$9)</f>
        <v>0.45</v>
      </c>
      <c r="S1551" s="1">
        <f t="shared" si="96"/>
        <v>94.5</v>
      </c>
      <c r="T1551" s="1">
        <f t="shared" si="97"/>
        <v>11.86</v>
      </c>
      <c r="U1551" s="1" t="str">
        <f t="shared" si="98"/>
        <v>Underpaid</v>
      </c>
      <c r="V1551" s="1" t="str">
        <f>_xlfn.XLOOKUP(C1551,Payers!$A$2:$A$9,Payers!$B$2:$B$9)</f>
        <v>Blue Horizon Commercial</v>
      </c>
      <c r="W1551" s="1" t="str">
        <f t="shared" si="99"/>
        <v>2025-12</v>
      </c>
    </row>
    <row r="1552" spans="1:23">
      <c r="A1552" s="1" t="s">
        <v>2861</v>
      </c>
      <c r="B1552" s="1" t="s">
        <v>2862</v>
      </c>
      <c r="C1552" s="1" t="s">
        <v>76</v>
      </c>
      <c r="D1552" s="1" t="s">
        <v>26</v>
      </c>
      <c r="E1552" s="1" t="s">
        <v>27</v>
      </c>
      <c r="F1552">
        <v>1</v>
      </c>
      <c r="G1552" s="2">
        <v>46153</v>
      </c>
      <c r="H1552" s="2">
        <v>46154</v>
      </c>
      <c r="I1552">
        <v>238.26</v>
      </c>
      <c r="M1552" s="1" t="s">
        <v>32</v>
      </c>
      <c r="N1552" s="1" t="s">
        <v>281</v>
      </c>
      <c r="O1552" s="2">
        <v>46200</v>
      </c>
      <c r="P1552" s="2"/>
      <c r="Q1552">
        <f>_xlfn.XLOOKUP(E1552,CPT!$A$2:$A$13,CPT!$D$2:$D$13)</f>
        <v>240</v>
      </c>
      <c r="R1552" s="1">
        <f>_xlfn.XLOOKUP(C1552,Contract!$A$2:$A$9,Contract!$B$2:$B$9)</f>
        <v>0.43</v>
      </c>
      <c r="S1552" s="1">
        <f t="shared" si="96"/>
        <v>103.2</v>
      </c>
      <c r="T1552" s="1" t="str">
        <f t="shared" si="97"/>
        <v/>
      </c>
      <c r="U1552" s="1" t="str">
        <f t="shared" si="98"/>
        <v/>
      </c>
      <c r="V1552" s="1" t="str">
        <f>_xlfn.XLOOKUP(C1552,Payers!$A$2:$A$9,Payers!$B$2:$B$9)</f>
        <v>Summit Health Commercial</v>
      </c>
      <c r="W1552" s="1" t="str">
        <f t="shared" si="99"/>
        <v>2026-05</v>
      </c>
    </row>
    <row r="1553" spans="1:23">
      <c r="A1553" s="1" t="s">
        <v>2863</v>
      </c>
      <c r="B1553" s="1" t="s">
        <v>2864</v>
      </c>
      <c r="C1553" s="1" t="s">
        <v>76</v>
      </c>
      <c r="D1553" s="1" t="s">
        <v>26</v>
      </c>
      <c r="E1553" s="1" t="s">
        <v>185</v>
      </c>
      <c r="F1553">
        <v>1</v>
      </c>
      <c r="G1553" s="2">
        <v>45978</v>
      </c>
      <c r="H1553" s="2">
        <v>45988</v>
      </c>
      <c r="I1553">
        <v>1135.42</v>
      </c>
      <c r="M1553" s="1" t="s">
        <v>32</v>
      </c>
      <c r="N1553" s="1" t="s">
        <v>49</v>
      </c>
      <c r="O1553" s="2">
        <v>46004</v>
      </c>
      <c r="P1553" s="2"/>
      <c r="Q1553">
        <f>_xlfn.XLOOKUP(E1553,CPT!$A$2:$A$13,CPT!$D$2:$D$13)</f>
        <v>1150</v>
      </c>
      <c r="R1553" s="1">
        <f>_xlfn.XLOOKUP(C1553,Contract!$A$2:$A$9,Contract!$B$2:$B$9)</f>
        <v>0.43</v>
      </c>
      <c r="S1553" s="1">
        <f t="shared" si="96"/>
        <v>494.5</v>
      </c>
      <c r="T1553" s="1" t="str">
        <f t="shared" si="97"/>
        <v/>
      </c>
      <c r="U1553" s="1" t="str">
        <f t="shared" si="98"/>
        <v/>
      </c>
      <c r="V1553" s="1" t="str">
        <f>_xlfn.XLOOKUP(C1553,Payers!$A$2:$A$9,Payers!$B$2:$B$9)</f>
        <v>Summit Health Commercial</v>
      </c>
      <c r="W1553" s="1" t="str">
        <f t="shared" si="99"/>
        <v>2025-11</v>
      </c>
    </row>
    <row r="1554" spans="1:23">
      <c r="A1554" s="1" t="s">
        <v>2865</v>
      </c>
      <c r="B1554" s="1" t="s">
        <v>2866</v>
      </c>
      <c r="C1554" s="1" t="s">
        <v>76</v>
      </c>
      <c r="D1554" s="1" t="s">
        <v>26</v>
      </c>
      <c r="E1554" s="1" t="s">
        <v>113</v>
      </c>
      <c r="F1554">
        <v>1</v>
      </c>
      <c r="G1554" s="2">
        <v>46212</v>
      </c>
      <c r="H1554" s="2">
        <v>46213</v>
      </c>
      <c r="I1554">
        <v>1058.92</v>
      </c>
      <c r="J1554">
        <v>504.28</v>
      </c>
      <c r="K1554">
        <v>504.28</v>
      </c>
      <c r="L1554">
        <v>0</v>
      </c>
      <c r="M1554" s="1" t="s">
        <v>21</v>
      </c>
      <c r="N1554" s="1" t="s">
        <v>22</v>
      </c>
      <c r="O1554" s="2">
        <v>46229</v>
      </c>
      <c r="P1554" s="2">
        <v>46229</v>
      </c>
      <c r="Q1554">
        <f>_xlfn.XLOOKUP(E1554,CPT!$A$2:$A$13,CPT!$D$2:$D$13)</f>
        <v>1050</v>
      </c>
      <c r="R1554" s="1">
        <f>_xlfn.XLOOKUP(C1554,Contract!$A$2:$A$9,Contract!$B$2:$B$9)</f>
        <v>0.43</v>
      </c>
      <c r="S1554" s="1">
        <f t="shared" si="96"/>
        <v>451.5</v>
      </c>
      <c r="T1554" s="1">
        <f t="shared" si="97"/>
        <v>-52.779999999999973</v>
      </c>
      <c r="U1554" s="1" t="str">
        <f t="shared" si="98"/>
        <v>OK</v>
      </c>
      <c r="V1554" s="1" t="str">
        <f>_xlfn.XLOOKUP(C1554,Payers!$A$2:$A$9,Payers!$B$2:$B$9)</f>
        <v>Summit Health Commercial</v>
      </c>
      <c r="W1554" s="1" t="str">
        <f t="shared" si="99"/>
        <v>2026-07</v>
      </c>
    </row>
    <row r="1555" spans="1:23">
      <c r="A1555" s="1" t="s">
        <v>2867</v>
      </c>
      <c r="B1555" s="1" t="s">
        <v>2868</v>
      </c>
      <c r="C1555" s="1" t="s">
        <v>18</v>
      </c>
      <c r="D1555" s="1" t="s">
        <v>26</v>
      </c>
      <c r="E1555" s="1" t="s">
        <v>41</v>
      </c>
      <c r="F1555">
        <v>1</v>
      </c>
      <c r="G1555" s="2">
        <v>45939</v>
      </c>
      <c r="H1555" s="2">
        <v>45945</v>
      </c>
      <c r="I1555">
        <v>37.9</v>
      </c>
      <c r="J1555">
        <v>12.26</v>
      </c>
      <c r="K1555">
        <v>11.03</v>
      </c>
      <c r="L1555">
        <v>1.23</v>
      </c>
      <c r="M1555" s="1" t="s">
        <v>21</v>
      </c>
      <c r="N1555" s="1" t="s">
        <v>22</v>
      </c>
      <c r="O1555" s="2">
        <v>45981</v>
      </c>
      <c r="P1555" s="2">
        <v>45981</v>
      </c>
      <c r="Q1555">
        <f>_xlfn.XLOOKUP(E1555,CPT!$A$2:$A$13,CPT!$D$2:$D$13)</f>
        <v>38</v>
      </c>
      <c r="R1555" s="1">
        <f>_xlfn.XLOOKUP(C1555,Contract!$A$2:$A$9,Contract!$B$2:$B$9)</f>
        <v>0.38</v>
      </c>
      <c r="S1555" s="1">
        <f t="shared" si="96"/>
        <v>14.44</v>
      </c>
      <c r="T1555" s="1">
        <f t="shared" si="97"/>
        <v>2.1799999999999997</v>
      </c>
      <c r="U1555" s="1" t="str">
        <f t="shared" si="98"/>
        <v>Underpaid</v>
      </c>
      <c r="V1555" s="1" t="str">
        <f>_xlfn.XLOOKUP(C1555,Payers!$A$2:$A$9,Payers!$B$2:$B$9)</f>
        <v>Sunshine Medicare Advantage</v>
      </c>
      <c r="W1555" s="1" t="str">
        <f t="shared" si="99"/>
        <v>2025-10</v>
      </c>
    </row>
    <row r="1556" spans="1:23">
      <c r="A1556" s="1" t="s">
        <v>2869</v>
      </c>
      <c r="B1556" s="1" t="s">
        <v>879</v>
      </c>
      <c r="C1556" s="1" t="s">
        <v>76</v>
      </c>
      <c r="D1556" s="1" t="s">
        <v>30</v>
      </c>
      <c r="E1556" s="1" t="s">
        <v>20</v>
      </c>
      <c r="F1556">
        <v>1</v>
      </c>
      <c r="G1556" s="2">
        <v>45969</v>
      </c>
      <c r="H1556" s="2">
        <v>46091</v>
      </c>
      <c r="I1556">
        <v>143.53</v>
      </c>
      <c r="M1556" s="1" t="s">
        <v>32</v>
      </c>
      <c r="N1556" s="1" t="s">
        <v>137</v>
      </c>
      <c r="O1556" s="2">
        <v>46119</v>
      </c>
      <c r="P1556" s="2"/>
      <c r="Q1556">
        <f>_xlfn.XLOOKUP(E1556,CPT!$A$2:$A$13,CPT!$D$2:$D$13)</f>
        <v>145</v>
      </c>
      <c r="R1556" s="1">
        <f>_xlfn.XLOOKUP(C1556,Contract!$A$2:$A$9,Contract!$B$2:$B$9)</f>
        <v>0.43</v>
      </c>
      <c r="S1556" s="1">
        <f t="shared" si="96"/>
        <v>62.35</v>
      </c>
      <c r="T1556" s="1" t="str">
        <f t="shared" si="97"/>
        <v/>
      </c>
      <c r="U1556" s="1" t="str">
        <f t="shared" si="98"/>
        <v/>
      </c>
      <c r="V1556" s="1" t="str">
        <f>_xlfn.XLOOKUP(C1556,Payers!$A$2:$A$9,Payers!$B$2:$B$9)</f>
        <v>Summit Health Commercial</v>
      </c>
      <c r="W1556" s="1" t="str">
        <f t="shared" si="99"/>
        <v>2025-11</v>
      </c>
    </row>
    <row r="1557" spans="1:23">
      <c r="A1557" s="1" t="s">
        <v>2870</v>
      </c>
      <c r="B1557" s="1" t="s">
        <v>2871</v>
      </c>
      <c r="C1557" s="1" t="s">
        <v>47</v>
      </c>
      <c r="D1557" s="1" t="s">
        <v>30</v>
      </c>
      <c r="E1557" s="1" t="s">
        <v>91</v>
      </c>
      <c r="F1557">
        <v>1</v>
      </c>
      <c r="G1557" s="2">
        <v>46084</v>
      </c>
      <c r="H1557" s="2">
        <v>46089</v>
      </c>
      <c r="I1557">
        <v>58.73</v>
      </c>
      <c r="J1557">
        <v>18.87</v>
      </c>
      <c r="K1557">
        <v>18.87</v>
      </c>
      <c r="L1557">
        <v>0</v>
      </c>
      <c r="M1557" s="1" t="s">
        <v>21</v>
      </c>
      <c r="N1557" s="1" t="s">
        <v>22</v>
      </c>
      <c r="O1557" s="2">
        <v>46153</v>
      </c>
      <c r="P1557" s="2">
        <v>46153</v>
      </c>
      <c r="Q1557">
        <f>_xlfn.XLOOKUP(E1557,CPT!$A$2:$A$13,CPT!$D$2:$D$13)</f>
        <v>58</v>
      </c>
      <c r="R1557" s="1">
        <f>_xlfn.XLOOKUP(C1557,Contract!$A$2:$A$9,Contract!$B$2:$B$9)</f>
        <v>0.28000000000000003</v>
      </c>
      <c r="S1557" s="1">
        <f t="shared" si="96"/>
        <v>16.239999999999998</v>
      </c>
      <c r="T1557" s="1">
        <f t="shared" si="97"/>
        <v>-2.6300000000000026</v>
      </c>
      <c r="U1557" s="1" t="str">
        <f t="shared" si="98"/>
        <v>OK</v>
      </c>
      <c r="V1557" s="1" t="str">
        <f>_xlfn.XLOOKUP(C1557,Payers!$A$2:$A$9,Payers!$B$2:$B$9)</f>
        <v>Coastal Medicaid MCO</v>
      </c>
      <c r="W1557" s="1" t="str">
        <f t="shared" si="99"/>
        <v>2026-03</v>
      </c>
    </row>
    <row r="1558" spans="1:23">
      <c r="A1558" s="1" t="s">
        <v>2872</v>
      </c>
      <c r="B1558" s="1" t="s">
        <v>2873</v>
      </c>
      <c r="C1558" s="1" t="s">
        <v>60</v>
      </c>
      <c r="D1558" s="1" t="s">
        <v>19</v>
      </c>
      <c r="E1558" s="1" t="s">
        <v>88</v>
      </c>
      <c r="F1558">
        <v>1</v>
      </c>
      <c r="G1558" s="2">
        <v>46245</v>
      </c>
      <c r="H1558" s="2">
        <v>46255</v>
      </c>
      <c r="I1558">
        <v>264.95999999999998</v>
      </c>
      <c r="J1558">
        <v>123.63</v>
      </c>
      <c r="K1558">
        <v>111.27</v>
      </c>
      <c r="L1558">
        <v>12.36</v>
      </c>
      <c r="M1558" s="1" t="s">
        <v>21</v>
      </c>
      <c r="N1558" s="1" t="s">
        <v>22</v>
      </c>
      <c r="O1558" s="2">
        <v>46294</v>
      </c>
      <c r="P1558" s="2">
        <v>46294</v>
      </c>
      <c r="Q1558">
        <f>_xlfn.XLOOKUP(E1558,CPT!$A$2:$A$13,CPT!$D$2:$D$13)</f>
        <v>260</v>
      </c>
      <c r="R1558" s="1">
        <f>_xlfn.XLOOKUP(C1558,Contract!$A$2:$A$9,Contract!$B$2:$B$9)</f>
        <v>0.45</v>
      </c>
      <c r="S1558" s="1">
        <f t="shared" si="96"/>
        <v>117</v>
      </c>
      <c r="T1558" s="1">
        <f t="shared" si="97"/>
        <v>-6.6299999999999955</v>
      </c>
      <c r="U1558" s="1" t="str">
        <f t="shared" si="98"/>
        <v>OK</v>
      </c>
      <c r="V1558" s="1" t="str">
        <f>_xlfn.XLOOKUP(C1558,Payers!$A$2:$A$9,Payers!$B$2:$B$9)</f>
        <v>Blue Horizon Commercial</v>
      </c>
      <c r="W1558" s="1" t="str">
        <f t="shared" si="99"/>
        <v>2026-08</v>
      </c>
    </row>
    <row r="1559" spans="1:23">
      <c r="A1559" s="1" t="s">
        <v>2874</v>
      </c>
      <c r="B1559" s="1" t="s">
        <v>2875</v>
      </c>
      <c r="C1559" s="1" t="s">
        <v>52</v>
      </c>
      <c r="D1559" s="1" t="s">
        <v>19</v>
      </c>
      <c r="E1559" s="1" t="s">
        <v>57</v>
      </c>
      <c r="F1559">
        <v>1</v>
      </c>
      <c r="G1559" s="2">
        <v>46211</v>
      </c>
      <c r="H1559" s="2">
        <v>46215</v>
      </c>
      <c r="I1559">
        <v>206.25</v>
      </c>
      <c r="J1559">
        <v>104.29</v>
      </c>
      <c r="K1559">
        <v>83.43</v>
      </c>
      <c r="L1559">
        <v>20.86</v>
      </c>
      <c r="M1559" s="1" t="s">
        <v>21</v>
      </c>
      <c r="N1559" s="1" t="s">
        <v>22</v>
      </c>
      <c r="O1559" s="2">
        <v>46264</v>
      </c>
      <c r="P1559" s="2">
        <v>46264</v>
      </c>
      <c r="Q1559">
        <f>_xlfn.XLOOKUP(E1559,CPT!$A$2:$A$13,CPT!$D$2:$D$13)</f>
        <v>210</v>
      </c>
      <c r="R1559" s="1">
        <f>_xlfn.XLOOKUP(C1559,Contract!$A$2:$A$9,Contract!$B$2:$B$9)</f>
        <v>0.47</v>
      </c>
      <c r="S1559" s="1">
        <f t="shared" si="96"/>
        <v>98.7</v>
      </c>
      <c r="T1559" s="1">
        <f t="shared" si="97"/>
        <v>-5.5900000000000034</v>
      </c>
      <c r="U1559" s="1" t="str">
        <f t="shared" si="98"/>
        <v>OK</v>
      </c>
      <c r="V1559" s="1" t="str">
        <f>_xlfn.XLOOKUP(C1559,Payers!$A$2:$A$9,Payers!$B$2:$B$9)</f>
        <v>Keystone Commercial PPO</v>
      </c>
      <c r="W1559" s="1" t="str">
        <f t="shared" si="99"/>
        <v>2026-07</v>
      </c>
    </row>
    <row r="1560" spans="1:23">
      <c r="A1560" s="1" t="s">
        <v>2876</v>
      </c>
      <c r="B1560" s="1" t="s">
        <v>2877</v>
      </c>
      <c r="C1560" s="1" t="s">
        <v>36</v>
      </c>
      <c r="D1560" s="1" t="s">
        <v>19</v>
      </c>
      <c r="E1560" s="1" t="s">
        <v>41</v>
      </c>
      <c r="F1560">
        <v>1</v>
      </c>
      <c r="G1560" s="2">
        <v>46201</v>
      </c>
      <c r="H1560" s="2">
        <v>46204</v>
      </c>
      <c r="I1560">
        <v>37.39</v>
      </c>
      <c r="J1560">
        <v>11.34</v>
      </c>
      <c r="K1560">
        <v>9.07</v>
      </c>
      <c r="L1560">
        <v>2.27</v>
      </c>
      <c r="M1560" s="1" t="s">
        <v>21</v>
      </c>
      <c r="N1560" s="1" t="s">
        <v>22</v>
      </c>
      <c r="O1560" s="2">
        <v>46231</v>
      </c>
      <c r="P1560" s="2">
        <v>46231</v>
      </c>
      <c r="Q1560">
        <f>_xlfn.XLOOKUP(E1560,CPT!$A$2:$A$13,CPT!$D$2:$D$13)</f>
        <v>38</v>
      </c>
      <c r="R1560" s="1">
        <f>_xlfn.XLOOKUP(C1560,Contract!$A$2:$A$9,Contract!$B$2:$B$9)</f>
        <v>0.27</v>
      </c>
      <c r="S1560" s="1">
        <f t="shared" si="96"/>
        <v>10.26</v>
      </c>
      <c r="T1560" s="1">
        <f t="shared" si="97"/>
        <v>-1.08</v>
      </c>
      <c r="U1560" s="1" t="str">
        <f t="shared" si="98"/>
        <v>OK</v>
      </c>
      <c r="V1560" s="1" t="str">
        <f>_xlfn.XLOOKUP(C1560,Payers!$A$2:$A$9,Payers!$B$2:$B$9)</f>
        <v>Florida Medicaid</v>
      </c>
      <c r="W1560" s="1" t="str">
        <f t="shared" si="99"/>
        <v>2026-06</v>
      </c>
    </row>
    <row r="1561" spans="1:23">
      <c r="A1561" s="1" t="s">
        <v>2878</v>
      </c>
      <c r="B1561" s="1" t="s">
        <v>2879</v>
      </c>
      <c r="C1561" s="1" t="s">
        <v>60</v>
      </c>
      <c r="D1561" s="1" t="s">
        <v>19</v>
      </c>
      <c r="E1561" s="1" t="s">
        <v>88</v>
      </c>
      <c r="F1561">
        <v>1</v>
      </c>
      <c r="G1561" s="2">
        <v>46233</v>
      </c>
      <c r="H1561" s="2">
        <v>46235</v>
      </c>
      <c r="I1561">
        <v>258.89</v>
      </c>
      <c r="J1561">
        <v>119.01</v>
      </c>
      <c r="K1561">
        <v>95.21</v>
      </c>
      <c r="L1561">
        <v>23.8</v>
      </c>
      <c r="M1561" s="1" t="s">
        <v>21</v>
      </c>
      <c r="N1561" s="1" t="s">
        <v>22</v>
      </c>
      <c r="O1561" s="2">
        <v>46259</v>
      </c>
      <c r="P1561" s="2">
        <v>46259</v>
      </c>
      <c r="Q1561">
        <f>_xlfn.XLOOKUP(E1561,CPT!$A$2:$A$13,CPT!$D$2:$D$13)</f>
        <v>260</v>
      </c>
      <c r="R1561" s="1">
        <f>_xlfn.XLOOKUP(C1561,Contract!$A$2:$A$9,Contract!$B$2:$B$9)</f>
        <v>0.45</v>
      </c>
      <c r="S1561" s="1">
        <f t="shared" si="96"/>
        <v>117</v>
      </c>
      <c r="T1561" s="1">
        <f t="shared" si="97"/>
        <v>-2.0100000000000051</v>
      </c>
      <c r="U1561" s="1" t="str">
        <f t="shared" si="98"/>
        <v>OK</v>
      </c>
      <c r="V1561" s="1" t="str">
        <f>_xlfn.XLOOKUP(C1561,Payers!$A$2:$A$9,Payers!$B$2:$B$9)</f>
        <v>Blue Horizon Commercial</v>
      </c>
      <c r="W1561" s="1" t="str">
        <f t="shared" si="99"/>
        <v>2026-07</v>
      </c>
    </row>
    <row r="1562" spans="1:23">
      <c r="A1562" s="1" t="s">
        <v>2880</v>
      </c>
      <c r="B1562" s="1" t="s">
        <v>1574</v>
      </c>
      <c r="C1562" s="1" t="s">
        <v>60</v>
      </c>
      <c r="D1562" s="1" t="s">
        <v>37</v>
      </c>
      <c r="E1562" s="1" t="s">
        <v>38</v>
      </c>
      <c r="F1562">
        <v>10</v>
      </c>
      <c r="G1562" s="2">
        <v>45975</v>
      </c>
      <c r="H1562" s="2">
        <v>45980</v>
      </c>
      <c r="I1562">
        <v>14440.5</v>
      </c>
      <c r="J1562">
        <v>6406.34</v>
      </c>
      <c r="K1562">
        <v>6406.34</v>
      </c>
      <c r="L1562">
        <v>0</v>
      </c>
      <c r="M1562" s="1" t="s">
        <v>21</v>
      </c>
      <c r="N1562" s="1" t="s">
        <v>22</v>
      </c>
      <c r="O1562" s="2">
        <v>46017</v>
      </c>
      <c r="P1562" s="2">
        <v>46017</v>
      </c>
      <c r="Q1562">
        <f>_xlfn.XLOOKUP(E1562,CPT!$A$2:$A$13,CPT!$D$2:$D$13)</f>
        <v>1450</v>
      </c>
      <c r="R1562" s="1">
        <f>_xlfn.XLOOKUP(C1562,Contract!$A$2:$A$9,Contract!$B$2:$B$9)</f>
        <v>0.45</v>
      </c>
      <c r="S1562" s="1">
        <f t="shared" si="96"/>
        <v>6525</v>
      </c>
      <c r="T1562" s="1">
        <f t="shared" si="97"/>
        <v>118.65999999999985</v>
      </c>
      <c r="U1562" s="1" t="str">
        <f t="shared" si="98"/>
        <v>OK</v>
      </c>
      <c r="V1562" s="1" t="str">
        <f>_xlfn.XLOOKUP(C1562,Payers!$A$2:$A$9,Payers!$B$2:$B$9)</f>
        <v>Blue Horizon Commercial</v>
      </c>
      <c r="W1562" s="1" t="str">
        <f t="shared" si="99"/>
        <v>2025-11</v>
      </c>
    </row>
    <row r="1563" spans="1:23">
      <c r="A1563" s="1" t="s">
        <v>2881</v>
      </c>
      <c r="B1563" s="1" t="s">
        <v>2882</v>
      </c>
      <c r="C1563" s="1" t="s">
        <v>25</v>
      </c>
      <c r="D1563" s="1" t="s">
        <v>26</v>
      </c>
      <c r="E1563" s="1" t="s">
        <v>88</v>
      </c>
      <c r="F1563">
        <v>1</v>
      </c>
      <c r="G1563" s="2">
        <v>45933</v>
      </c>
      <c r="H1563" s="2">
        <v>45949</v>
      </c>
      <c r="I1563">
        <v>264.07</v>
      </c>
      <c r="J1563">
        <v>107.92</v>
      </c>
      <c r="K1563">
        <v>107.92</v>
      </c>
      <c r="L1563">
        <v>0</v>
      </c>
      <c r="M1563" s="1" t="s">
        <v>21</v>
      </c>
      <c r="N1563" s="1" t="s">
        <v>22</v>
      </c>
      <c r="O1563" s="2">
        <v>45965</v>
      </c>
      <c r="P1563" s="2">
        <v>45965</v>
      </c>
      <c r="Q1563">
        <f>_xlfn.XLOOKUP(E1563,CPT!$A$2:$A$13,CPT!$D$2:$D$13)</f>
        <v>260</v>
      </c>
      <c r="R1563" s="1">
        <f>_xlfn.XLOOKUP(C1563,Contract!$A$2:$A$9,Contract!$B$2:$B$9)</f>
        <v>0.36</v>
      </c>
      <c r="S1563" s="1">
        <f t="shared" si="96"/>
        <v>93.6</v>
      </c>
      <c r="T1563" s="1">
        <f t="shared" si="97"/>
        <v>-14.320000000000007</v>
      </c>
      <c r="U1563" s="1" t="str">
        <f t="shared" si="98"/>
        <v>OK</v>
      </c>
      <c r="V1563" s="1" t="str">
        <f>_xlfn.XLOOKUP(C1563,Payers!$A$2:$A$9,Payers!$B$2:$B$9)</f>
        <v>Medicare Part B</v>
      </c>
      <c r="W1563" s="1" t="str">
        <f t="shared" si="99"/>
        <v>2025-10</v>
      </c>
    </row>
    <row r="1564" spans="1:23">
      <c r="A1564" s="1" t="s">
        <v>2883</v>
      </c>
      <c r="B1564" s="1" t="s">
        <v>2882</v>
      </c>
      <c r="C1564" s="1" t="s">
        <v>52</v>
      </c>
      <c r="D1564" s="1" t="s">
        <v>19</v>
      </c>
      <c r="E1564" s="1" t="s">
        <v>88</v>
      </c>
      <c r="F1564">
        <v>1</v>
      </c>
      <c r="G1564" s="2">
        <v>45991</v>
      </c>
      <c r="H1564" s="2">
        <v>45994</v>
      </c>
      <c r="I1564">
        <v>259.38</v>
      </c>
      <c r="J1564">
        <v>129.08000000000001</v>
      </c>
      <c r="K1564">
        <v>129.08000000000001</v>
      </c>
      <c r="L1564">
        <v>0</v>
      </c>
      <c r="M1564" s="1" t="s">
        <v>21</v>
      </c>
      <c r="N1564" s="1" t="s">
        <v>22</v>
      </c>
      <c r="O1564" s="2">
        <v>46046</v>
      </c>
      <c r="P1564" s="2">
        <v>46046</v>
      </c>
      <c r="Q1564">
        <f>_xlfn.XLOOKUP(E1564,CPT!$A$2:$A$13,CPT!$D$2:$D$13)</f>
        <v>260</v>
      </c>
      <c r="R1564" s="1">
        <f>_xlfn.XLOOKUP(C1564,Contract!$A$2:$A$9,Contract!$B$2:$B$9)</f>
        <v>0.47</v>
      </c>
      <c r="S1564" s="1">
        <f t="shared" si="96"/>
        <v>122.2</v>
      </c>
      <c r="T1564" s="1">
        <f t="shared" si="97"/>
        <v>-6.8800000000000097</v>
      </c>
      <c r="U1564" s="1" t="str">
        <f t="shared" si="98"/>
        <v>OK</v>
      </c>
      <c r="V1564" s="1" t="str">
        <f>_xlfn.XLOOKUP(C1564,Payers!$A$2:$A$9,Payers!$B$2:$B$9)</f>
        <v>Keystone Commercial PPO</v>
      </c>
      <c r="W1564" s="1" t="str">
        <f t="shared" si="99"/>
        <v>2025-11</v>
      </c>
    </row>
    <row r="1565" spans="1:23">
      <c r="A1565" s="1" t="s">
        <v>2884</v>
      </c>
      <c r="B1565" s="1" t="s">
        <v>2885</v>
      </c>
      <c r="C1565" s="1" t="s">
        <v>18</v>
      </c>
      <c r="D1565" s="1" t="s">
        <v>26</v>
      </c>
      <c r="E1565" s="1" t="s">
        <v>27</v>
      </c>
      <c r="F1565">
        <v>1</v>
      </c>
      <c r="G1565" s="2">
        <v>46261</v>
      </c>
      <c r="H1565" s="2">
        <v>46263</v>
      </c>
      <c r="I1565">
        <v>240.74</v>
      </c>
      <c r="M1565" s="1" t="s">
        <v>69</v>
      </c>
      <c r="N1565" s="1" t="s">
        <v>22</v>
      </c>
      <c r="O1565" s="2"/>
      <c r="P1565" s="2"/>
      <c r="Q1565">
        <f>_xlfn.XLOOKUP(E1565,CPT!$A$2:$A$13,CPT!$D$2:$D$13)</f>
        <v>240</v>
      </c>
      <c r="R1565" s="1">
        <f>_xlfn.XLOOKUP(C1565,Contract!$A$2:$A$9,Contract!$B$2:$B$9)</f>
        <v>0.38</v>
      </c>
      <c r="S1565" s="1">
        <f t="shared" si="96"/>
        <v>91.2</v>
      </c>
      <c r="T1565" s="1" t="str">
        <f t="shared" si="97"/>
        <v/>
      </c>
      <c r="U1565" s="1" t="str">
        <f t="shared" si="98"/>
        <v/>
      </c>
      <c r="V1565" s="1" t="str">
        <f>_xlfn.XLOOKUP(C1565,Payers!$A$2:$A$9,Payers!$B$2:$B$9)</f>
        <v>Sunshine Medicare Advantage</v>
      </c>
      <c r="W1565" s="1" t="str">
        <f t="shared" si="99"/>
        <v>2026-08</v>
      </c>
    </row>
    <row r="1566" spans="1:23">
      <c r="A1566" s="1" t="s">
        <v>2886</v>
      </c>
      <c r="B1566" s="1" t="s">
        <v>2887</v>
      </c>
      <c r="C1566" s="1" t="s">
        <v>60</v>
      </c>
      <c r="D1566" s="1" t="s">
        <v>19</v>
      </c>
      <c r="E1566" s="1" t="s">
        <v>57</v>
      </c>
      <c r="F1566">
        <v>1</v>
      </c>
      <c r="G1566" s="2">
        <v>46239</v>
      </c>
      <c r="H1566" s="2">
        <v>46241</v>
      </c>
      <c r="I1566">
        <v>215.58</v>
      </c>
      <c r="J1566">
        <v>95.48</v>
      </c>
      <c r="K1566">
        <v>85.93</v>
      </c>
      <c r="L1566">
        <v>9.5500000000000007</v>
      </c>
      <c r="M1566" s="1" t="s">
        <v>21</v>
      </c>
      <c r="N1566" s="1" t="s">
        <v>22</v>
      </c>
      <c r="O1566" s="2">
        <v>46275</v>
      </c>
      <c r="P1566" s="2">
        <v>46275</v>
      </c>
      <c r="Q1566">
        <f>_xlfn.XLOOKUP(E1566,CPT!$A$2:$A$13,CPT!$D$2:$D$13)</f>
        <v>210</v>
      </c>
      <c r="R1566" s="1">
        <f>_xlfn.XLOOKUP(C1566,Contract!$A$2:$A$9,Contract!$B$2:$B$9)</f>
        <v>0.45</v>
      </c>
      <c r="S1566" s="1">
        <f t="shared" si="96"/>
        <v>94.5</v>
      </c>
      <c r="T1566" s="1">
        <f t="shared" si="97"/>
        <v>-0.98000000000000398</v>
      </c>
      <c r="U1566" s="1" t="str">
        <f t="shared" si="98"/>
        <v>OK</v>
      </c>
      <c r="V1566" s="1" t="str">
        <f>_xlfn.XLOOKUP(C1566,Payers!$A$2:$A$9,Payers!$B$2:$B$9)</f>
        <v>Blue Horizon Commercial</v>
      </c>
      <c r="W1566" s="1" t="str">
        <f t="shared" si="99"/>
        <v>2026-08</v>
      </c>
    </row>
    <row r="1567" spans="1:23">
      <c r="A1567" s="1" t="s">
        <v>2888</v>
      </c>
      <c r="B1567" s="1" t="s">
        <v>422</v>
      </c>
      <c r="C1567" s="1" t="s">
        <v>47</v>
      </c>
      <c r="D1567" s="1" t="s">
        <v>37</v>
      </c>
      <c r="E1567" s="1" t="s">
        <v>48</v>
      </c>
      <c r="F1567">
        <v>1</v>
      </c>
      <c r="G1567" s="2">
        <v>45984</v>
      </c>
      <c r="H1567" s="2">
        <v>45986</v>
      </c>
      <c r="I1567">
        <v>428.15</v>
      </c>
      <c r="J1567">
        <v>118.94</v>
      </c>
      <c r="K1567">
        <v>118.94</v>
      </c>
      <c r="L1567">
        <v>0</v>
      </c>
      <c r="M1567" s="1" t="s">
        <v>21</v>
      </c>
      <c r="N1567" s="1" t="s">
        <v>22</v>
      </c>
      <c r="O1567" s="2">
        <v>46011</v>
      </c>
      <c r="P1567" s="2">
        <v>46011</v>
      </c>
      <c r="Q1567">
        <f>_xlfn.XLOOKUP(E1567,CPT!$A$2:$A$13,CPT!$D$2:$D$13)</f>
        <v>420</v>
      </c>
      <c r="R1567" s="1">
        <f>_xlfn.XLOOKUP(C1567,Contract!$A$2:$A$9,Contract!$B$2:$B$9)</f>
        <v>0.28000000000000003</v>
      </c>
      <c r="S1567" s="1">
        <f t="shared" si="96"/>
        <v>117.6</v>
      </c>
      <c r="T1567" s="1">
        <f t="shared" si="97"/>
        <v>-1.3400000000000034</v>
      </c>
      <c r="U1567" s="1" t="str">
        <f t="shared" si="98"/>
        <v>OK</v>
      </c>
      <c r="V1567" s="1" t="str">
        <f>_xlfn.XLOOKUP(C1567,Payers!$A$2:$A$9,Payers!$B$2:$B$9)</f>
        <v>Coastal Medicaid MCO</v>
      </c>
      <c r="W1567" s="1" t="str">
        <f t="shared" si="99"/>
        <v>2025-11</v>
      </c>
    </row>
    <row r="1568" spans="1:23">
      <c r="A1568" s="1" t="s">
        <v>2889</v>
      </c>
      <c r="B1568" s="1" t="s">
        <v>1095</v>
      </c>
      <c r="C1568" s="1" t="s">
        <v>60</v>
      </c>
      <c r="D1568" s="1" t="s">
        <v>19</v>
      </c>
      <c r="E1568" s="1" t="s">
        <v>57</v>
      </c>
      <c r="F1568">
        <v>1</v>
      </c>
      <c r="G1568" s="2">
        <v>46226</v>
      </c>
      <c r="H1568" s="2">
        <v>46234</v>
      </c>
      <c r="I1568">
        <v>205.48</v>
      </c>
      <c r="J1568">
        <v>101.97</v>
      </c>
      <c r="K1568">
        <v>101.97</v>
      </c>
      <c r="L1568">
        <v>0</v>
      </c>
      <c r="M1568" s="1" t="s">
        <v>21</v>
      </c>
      <c r="N1568" s="1" t="s">
        <v>22</v>
      </c>
      <c r="O1568" s="2">
        <v>46261</v>
      </c>
      <c r="P1568" s="2">
        <v>46261</v>
      </c>
      <c r="Q1568">
        <f>_xlfn.XLOOKUP(E1568,CPT!$A$2:$A$13,CPT!$D$2:$D$13)</f>
        <v>210</v>
      </c>
      <c r="R1568" s="1">
        <f>_xlfn.XLOOKUP(C1568,Contract!$A$2:$A$9,Contract!$B$2:$B$9)</f>
        <v>0.45</v>
      </c>
      <c r="S1568" s="1">
        <f t="shared" si="96"/>
        <v>94.5</v>
      </c>
      <c r="T1568" s="1">
        <f t="shared" si="97"/>
        <v>-7.4699999999999989</v>
      </c>
      <c r="U1568" s="1" t="str">
        <f t="shared" si="98"/>
        <v>OK</v>
      </c>
      <c r="V1568" s="1" t="str">
        <f>_xlfn.XLOOKUP(C1568,Payers!$A$2:$A$9,Payers!$B$2:$B$9)</f>
        <v>Blue Horizon Commercial</v>
      </c>
      <c r="W1568" s="1" t="str">
        <f t="shared" si="99"/>
        <v>2026-07</v>
      </c>
    </row>
    <row r="1569" spans="1:23">
      <c r="A1569" s="1" t="s">
        <v>2890</v>
      </c>
      <c r="B1569" s="1" t="s">
        <v>1665</v>
      </c>
      <c r="C1569" s="1" t="s">
        <v>47</v>
      </c>
      <c r="D1569" s="1" t="s">
        <v>19</v>
      </c>
      <c r="E1569" s="1" t="s">
        <v>57</v>
      </c>
      <c r="F1569">
        <v>1</v>
      </c>
      <c r="G1569" s="2">
        <v>46106</v>
      </c>
      <c r="H1569" s="2">
        <v>46119</v>
      </c>
      <c r="I1569">
        <v>208.87</v>
      </c>
      <c r="J1569">
        <v>53.04</v>
      </c>
      <c r="K1569">
        <v>53.04</v>
      </c>
      <c r="L1569">
        <v>0</v>
      </c>
      <c r="M1569" s="1" t="s">
        <v>21</v>
      </c>
      <c r="N1569" s="1" t="s">
        <v>22</v>
      </c>
      <c r="O1569" s="2">
        <v>46176</v>
      </c>
      <c r="P1569" s="2">
        <v>46176</v>
      </c>
      <c r="Q1569">
        <f>_xlfn.XLOOKUP(E1569,CPT!$A$2:$A$13,CPT!$D$2:$D$13)</f>
        <v>210</v>
      </c>
      <c r="R1569" s="1">
        <f>_xlfn.XLOOKUP(C1569,Contract!$A$2:$A$9,Contract!$B$2:$B$9)</f>
        <v>0.28000000000000003</v>
      </c>
      <c r="S1569" s="1">
        <f t="shared" si="96"/>
        <v>58.8</v>
      </c>
      <c r="T1569" s="1">
        <f t="shared" si="97"/>
        <v>5.759999999999998</v>
      </c>
      <c r="U1569" s="1" t="str">
        <f t="shared" si="98"/>
        <v>Underpaid</v>
      </c>
      <c r="V1569" s="1" t="str">
        <f>_xlfn.XLOOKUP(C1569,Payers!$A$2:$A$9,Payers!$B$2:$B$9)</f>
        <v>Coastal Medicaid MCO</v>
      </c>
      <c r="W1569" s="1" t="str">
        <f t="shared" si="99"/>
        <v>2026-03</v>
      </c>
    </row>
    <row r="1570" spans="1:23">
      <c r="A1570" s="1" t="s">
        <v>2891</v>
      </c>
      <c r="B1570" s="1" t="s">
        <v>1909</v>
      </c>
      <c r="C1570" s="1" t="s">
        <v>79</v>
      </c>
      <c r="D1570" s="1" t="s">
        <v>30</v>
      </c>
      <c r="E1570" s="1" t="s">
        <v>91</v>
      </c>
      <c r="F1570">
        <v>1</v>
      </c>
      <c r="G1570" s="2">
        <v>46188</v>
      </c>
      <c r="H1570" s="2">
        <v>46192</v>
      </c>
      <c r="I1570">
        <v>59.46</v>
      </c>
      <c r="M1570" s="1" t="s">
        <v>69</v>
      </c>
      <c r="N1570" s="1" t="s">
        <v>22</v>
      </c>
      <c r="O1570" s="2"/>
      <c r="P1570" s="2"/>
      <c r="Q1570">
        <f>_xlfn.XLOOKUP(E1570,CPT!$A$2:$A$13,CPT!$D$2:$D$13)</f>
        <v>58</v>
      </c>
      <c r="R1570" s="1">
        <f>_xlfn.XLOOKUP(C1570,Contract!$A$2:$A$9,Contract!$B$2:$B$9)</f>
        <v>1</v>
      </c>
      <c r="S1570" s="1">
        <f t="shared" si="96"/>
        <v>58</v>
      </c>
      <c r="T1570" s="1" t="str">
        <f t="shared" si="97"/>
        <v/>
      </c>
      <c r="U1570" s="1" t="str">
        <f t="shared" si="98"/>
        <v/>
      </c>
      <c r="V1570" s="1" t="str">
        <f>_xlfn.XLOOKUP(C1570,Payers!$A$2:$A$9,Payers!$B$2:$B$9)</f>
        <v>Self-Pay</v>
      </c>
      <c r="W1570" s="1" t="str">
        <f t="shared" si="99"/>
        <v>2026-06</v>
      </c>
    </row>
    <row r="1571" spans="1:23">
      <c r="A1571" s="1" t="s">
        <v>2892</v>
      </c>
      <c r="B1571" s="1" t="s">
        <v>2893</v>
      </c>
      <c r="C1571" s="1" t="s">
        <v>47</v>
      </c>
      <c r="D1571" s="1" t="s">
        <v>26</v>
      </c>
      <c r="E1571" s="1" t="s">
        <v>27</v>
      </c>
      <c r="F1571">
        <v>1</v>
      </c>
      <c r="G1571" s="2">
        <v>46122</v>
      </c>
      <c r="H1571" s="2">
        <v>46123</v>
      </c>
      <c r="I1571">
        <v>232.89</v>
      </c>
      <c r="J1571">
        <v>73.930000000000007</v>
      </c>
      <c r="K1571">
        <v>73.930000000000007</v>
      </c>
      <c r="L1571">
        <v>0</v>
      </c>
      <c r="M1571" s="1" t="s">
        <v>21</v>
      </c>
      <c r="N1571" s="1" t="s">
        <v>22</v>
      </c>
      <c r="O1571" s="2">
        <v>46190</v>
      </c>
      <c r="P1571" s="2">
        <v>46190</v>
      </c>
      <c r="Q1571">
        <f>_xlfn.XLOOKUP(E1571,CPT!$A$2:$A$13,CPT!$D$2:$D$13)</f>
        <v>240</v>
      </c>
      <c r="R1571" s="1">
        <f>_xlfn.XLOOKUP(C1571,Contract!$A$2:$A$9,Contract!$B$2:$B$9)</f>
        <v>0.28000000000000003</v>
      </c>
      <c r="S1571" s="1">
        <f t="shared" si="96"/>
        <v>67.2</v>
      </c>
      <c r="T1571" s="1">
        <f t="shared" si="97"/>
        <v>-6.730000000000004</v>
      </c>
      <c r="U1571" s="1" t="str">
        <f t="shared" si="98"/>
        <v>OK</v>
      </c>
      <c r="V1571" s="1" t="str">
        <f>_xlfn.XLOOKUP(C1571,Payers!$A$2:$A$9,Payers!$B$2:$B$9)</f>
        <v>Coastal Medicaid MCO</v>
      </c>
      <c r="W1571" s="1" t="str">
        <f t="shared" si="99"/>
        <v>2026-04</v>
      </c>
    </row>
    <row r="1572" spans="1:23">
      <c r="A1572" s="1" t="s">
        <v>2894</v>
      </c>
      <c r="B1572" s="1" t="s">
        <v>2895</v>
      </c>
      <c r="C1572" s="1" t="s">
        <v>79</v>
      </c>
      <c r="D1572" s="1" t="s">
        <v>26</v>
      </c>
      <c r="E1572" s="1" t="s">
        <v>185</v>
      </c>
      <c r="F1572">
        <v>1</v>
      </c>
      <c r="G1572" s="2">
        <v>46243</v>
      </c>
      <c r="H1572" s="2">
        <v>46246</v>
      </c>
      <c r="I1572">
        <v>1127.78</v>
      </c>
      <c r="M1572" s="1" t="s">
        <v>69</v>
      </c>
      <c r="N1572" s="1" t="s">
        <v>22</v>
      </c>
      <c r="O1572" s="2"/>
      <c r="P1572" s="2"/>
      <c r="Q1572">
        <f>_xlfn.XLOOKUP(E1572,CPT!$A$2:$A$13,CPT!$D$2:$D$13)</f>
        <v>1150</v>
      </c>
      <c r="R1572" s="1">
        <f>_xlfn.XLOOKUP(C1572,Contract!$A$2:$A$9,Contract!$B$2:$B$9)</f>
        <v>1</v>
      </c>
      <c r="S1572" s="1">
        <f t="shared" si="96"/>
        <v>1150</v>
      </c>
      <c r="T1572" s="1" t="str">
        <f t="shared" si="97"/>
        <v/>
      </c>
      <c r="U1572" s="1" t="str">
        <f t="shared" si="98"/>
        <v/>
      </c>
      <c r="V1572" s="1" t="str">
        <f>_xlfn.XLOOKUP(C1572,Payers!$A$2:$A$9,Payers!$B$2:$B$9)</f>
        <v>Self-Pay</v>
      </c>
      <c r="W1572" s="1" t="str">
        <f t="shared" si="99"/>
        <v>2026-08</v>
      </c>
    </row>
    <row r="1573" spans="1:23">
      <c r="A1573" s="1" t="s">
        <v>2896</v>
      </c>
      <c r="B1573" s="1" t="s">
        <v>2897</v>
      </c>
      <c r="C1573" s="1" t="s">
        <v>18</v>
      </c>
      <c r="D1573" s="1" t="s">
        <v>26</v>
      </c>
      <c r="E1573" s="1" t="s">
        <v>88</v>
      </c>
      <c r="F1573">
        <v>1</v>
      </c>
      <c r="G1573" s="2">
        <v>45953</v>
      </c>
      <c r="H1573" s="2">
        <v>45955</v>
      </c>
      <c r="I1573">
        <v>263.8</v>
      </c>
      <c r="J1573">
        <v>110.13</v>
      </c>
      <c r="K1573">
        <v>110.13</v>
      </c>
      <c r="L1573">
        <v>0</v>
      </c>
      <c r="M1573" s="1" t="s">
        <v>21</v>
      </c>
      <c r="N1573" s="1" t="s">
        <v>22</v>
      </c>
      <c r="O1573" s="2">
        <v>46004</v>
      </c>
      <c r="P1573" s="2">
        <v>46004</v>
      </c>
      <c r="Q1573">
        <f>_xlfn.XLOOKUP(E1573,CPT!$A$2:$A$13,CPT!$D$2:$D$13)</f>
        <v>260</v>
      </c>
      <c r="R1573" s="1">
        <f>_xlfn.XLOOKUP(C1573,Contract!$A$2:$A$9,Contract!$B$2:$B$9)</f>
        <v>0.38</v>
      </c>
      <c r="S1573" s="1">
        <f t="shared" si="96"/>
        <v>98.8</v>
      </c>
      <c r="T1573" s="1">
        <f t="shared" si="97"/>
        <v>-11.329999999999998</v>
      </c>
      <c r="U1573" s="1" t="str">
        <f t="shared" si="98"/>
        <v>OK</v>
      </c>
      <c r="V1573" s="1" t="str">
        <f>_xlfn.XLOOKUP(C1573,Payers!$A$2:$A$9,Payers!$B$2:$B$9)</f>
        <v>Sunshine Medicare Advantage</v>
      </c>
      <c r="W1573" s="1" t="str">
        <f t="shared" si="99"/>
        <v>2025-10</v>
      </c>
    </row>
    <row r="1574" spans="1:23">
      <c r="A1574" s="1" t="s">
        <v>2898</v>
      </c>
      <c r="B1574" s="1" t="s">
        <v>1689</v>
      </c>
      <c r="C1574" s="1" t="s">
        <v>60</v>
      </c>
      <c r="D1574" s="1" t="s">
        <v>19</v>
      </c>
      <c r="E1574" s="1" t="s">
        <v>57</v>
      </c>
      <c r="F1574">
        <v>1</v>
      </c>
      <c r="G1574" s="2">
        <v>46167</v>
      </c>
      <c r="H1574" s="2">
        <v>46170</v>
      </c>
      <c r="I1574">
        <v>204.59</v>
      </c>
      <c r="J1574">
        <v>78.17</v>
      </c>
      <c r="K1574">
        <v>78.17</v>
      </c>
      <c r="L1574">
        <v>0</v>
      </c>
      <c r="M1574" s="1" t="s">
        <v>21</v>
      </c>
      <c r="N1574" s="1" t="s">
        <v>22</v>
      </c>
      <c r="O1574" s="2">
        <v>46204</v>
      </c>
      <c r="P1574" s="2">
        <v>46204</v>
      </c>
      <c r="Q1574">
        <f>_xlfn.XLOOKUP(E1574,CPT!$A$2:$A$13,CPT!$D$2:$D$13)</f>
        <v>210</v>
      </c>
      <c r="R1574" s="1">
        <f>_xlfn.XLOOKUP(C1574,Contract!$A$2:$A$9,Contract!$B$2:$B$9)</f>
        <v>0.45</v>
      </c>
      <c r="S1574" s="1">
        <f t="shared" si="96"/>
        <v>94.5</v>
      </c>
      <c r="T1574" s="1">
        <f t="shared" si="97"/>
        <v>16.329999999999998</v>
      </c>
      <c r="U1574" s="1" t="str">
        <f t="shared" si="98"/>
        <v>Underpaid</v>
      </c>
      <c r="V1574" s="1" t="str">
        <f>_xlfn.XLOOKUP(C1574,Payers!$A$2:$A$9,Payers!$B$2:$B$9)</f>
        <v>Blue Horizon Commercial</v>
      </c>
      <c r="W1574" s="1" t="str">
        <f t="shared" si="99"/>
        <v>2026-05</v>
      </c>
    </row>
    <row r="1575" spans="1:23">
      <c r="A1575" s="1" t="s">
        <v>2899</v>
      </c>
      <c r="B1575" s="1" t="s">
        <v>2900</v>
      </c>
      <c r="C1575" s="1" t="s">
        <v>25</v>
      </c>
      <c r="D1575" s="1" t="s">
        <v>19</v>
      </c>
      <c r="E1575" s="1" t="s">
        <v>88</v>
      </c>
      <c r="F1575">
        <v>1</v>
      </c>
      <c r="G1575" s="2">
        <v>46098</v>
      </c>
      <c r="H1575" s="2">
        <v>46100</v>
      </c>
      <c r="I1575">
        <v>263.11</v>
      </c>
      <c r="J1575">
        <v>103.48</v>
      </c>
      <c r="K1575">
        <v>82.78</v>
      </c>
      <c r="L1575">
        <v>20.7</v>
      </c>
      <c r="M1575" s="1" t="s">
        <v>21</v>
      </c>
      <c r="N1575" s="1" t="s">
        <v>22</v>
      </c>
      <c r="O1575" s="2">
        <v>46116</v>
      </c>
      <c r="P1575" s="2">
        <v>46116</v>
      </c>
      <c r="Q1575">
        <f>_xlfn.XLOOKUP(E1575,CPT!$A$2:$A$13,CPT!$D$2:$D$13)</f>
        <v>260</v>
      </c>
      <c r="R1575" s="1">
        <f>_xlfn.XLOOKUP(C1575,Contract!$A$2:$A$9,Contract!$B$2:$B$9)</f>
        <v>0.36</v>
      </c>
      <c r="S1575" s="1">
        <f t="shared" si="96"/>
        <v>93.6</v>
      </c>
      <c r="T1575" s="1">
        <f t="shared" si="97"/>
        <v>-9.8800000000000097</v>
      </c>
      <c r="U1575" s="1" t="str">
        <f t="shared" si="98"/>
        <v>OK</v>
      </c>
      <c r="V1575" s="1" t="str">
        <f>_xlfn.XLOOKUP(C1575,Payers!$A$2:$A$9,Payers!$B$2:$B$9)</f>
        <v>Medicare Part B</v>
      </c>
      <c r="W1575" s="1" t="str">
        <f t="shared" si="99"/>
        <v>2026-03</v>
      </c>
    </row>
    <row r="1576" spans="1:23">
      <c r="A1576" s="1" t="s">
        <v>2901</v>
      </c>
      <c r="B1576" s="1" t="s">
        <v>2902</v>
      </c>
      <c r="C1576" s="1" t="s">
        <v>47</v>
      </c>
      <c r="D1576" s="1" t="s">
        <v>19</v>
      </c>
      <c r="E1576" s="1" t="s">
        <v>57</v>
      </c>
      <c r="F1576">
        <v>1</v>
      </c>
      <c r="G1576" s="2">
        <v>46142</v>
      </c>
      <c r="H1576" s="2">
        <v>46146</v>
      </c>
      <c r="I1576">
        <v>208.04</v>
      </c>
      <c r="J1576">
        <v>57.54</v>
      </c>
      <c r="K1576">
        <v>57.54</v>
      </c>
      <c r="L1576">
        <v>0</v>
      </c>
      <c r="M1576" s="1" t="s">
        <v>21</v>
      </c>
      <c r="N1576" s="1" t="s">
        <v>22</v>
      </c>
      <c r="O1576" s="2">
        <v>46233</v>
      </c>
      <c r="P1576" s="2">
        <v>46233</v>
      </c>
      <c r="Q1576">
        <f>_xlfn.XLOOKUP(E1576,CPT!$A$2:$A$13,CPT!$D$2:$D$13)</f>
        <v>210</v>
      </c>
      <c r="R1576" s="1">
        <f>_xlfn.XLOOKUP(C1576,Contract!$A$2:$A$9,Contract!$B$2:$B$9)</f>
        <v>0.28000000000000003</v>
      </c>
      <c r="S1576" s="1">
        <f t="shared" si="96"/>
        <v>58.8</v>
      </c>
      <c r="T1576" s="1">
        <f t="shared" si="97"/>
        <v>1.259999999999998</v>
      </c>
      <c r="U1576" s="1" t="str">
        <f t="shared" si="98"/>
        <v>OK</v>
      </c>
      <c r="V1576" s="1" t="str">
        <f>_xlfn.XLOOKUP(C1576,Payers!$A$2:$A$9,Payers!$B$2:$B$9)</f>
        <v>Coastal Medicaid MCO</v>
      </c>
      <c r="W1576" s="1" t="str">
        <f t="shared" si="99"/>
        <v>2026-04</v>
      </c>
    </row>
    <row r="1577" spans="1:23">
      <c r="A1577" s="1" t="s">
        <v>2903</v>
      </c>
      <c r="B1577" s="1" t="s">
        <v>2904</v>
      </c>
      <c r="C1577" s="1" t="s">
        <v>47</v>
      </c>
      <c r="D1577" s="1" t="s">
        <v>37</v>
      </c>
      <c r="E1577" s="1" t="s">
        <v>57</v>
      </c>
      <c r="F1577">
        <v>1</v>
      </c>
      <c r="G1577" s="2">
        <v>46173</v>
      </c>
      <c r="H1577" s="2">
        <v>46175</v>
      </c>
      <c r="I1577">
        <v>206.25</v>
      </c>
      <c r="J1577">
        <v>52.41</v>
      </c>
      <c r="K1577">
        <v>52.41</v>
      </c>
      <c r="L1577">
        <v>0</v>
      </c>
      <c r="M1577" s="1" t="s">
        <v>21</v>
      </c>
      <c r="N1577" s="1" t="s">
        <v>22</v>
      </c>
      <c r="O1577" s="2">
        <v>46259</v>
      </c>
      <c r="P1577" s="2">
        <v>46259</v>
      </c>
      <c r="Q1577">
        <f>_xlfn.XLOOKUP(E1577,CPT!$A$2:$A$13,CPT!$D$2:$D$13)</f>
        <v>210</v>
      </c>
      <c r="R1577" s="1">
        <f>_xlfn.XLOOKUP(C1577,Contract!$A$2:$A$9,Contract!$B$2:$B$9)</f>
        <v>0.28000000000000003</v>
      </c>
      <c r="S1577" s="1">
        <f t="shared" si="96"/>
        <v>58.8</v>
      </c>
      <c r="T1577" s="1">
        <f t="shared" si="97"/>
        <v>6.3900000000000006</v>
      </c>
      <c r="U1577" s="1" t="str">
        <f t="shared" si="98"/>
        <v>Underpaid</v>
      </c>
      <c r="V1577" s="1" t="str">
        <f>_xlfn.XLOOKUP(C1577,Payers!$A$2:$A$9,Payers!$B$2:$B$9)</f>
        <v>Coastal Medicaid MCO</v>
      </c>
      <c r="W1577" s="1" t="str">
        <f t="shared" si="99"/>
        <v>2026-05</v>
      </c>
    </row>
    <row r="1578" spans="1:23">
      <c r="A1578" s="1" t="s">
        <v>2905</v>
      </c>
      <c r="B1578" s="1" t="s">
        <v>2906</v>
      </c>
      <c r="C1578" s="1" t="s">
        <v>60</v>
      </c>
      <c r="D1578" s="1" t="s">
        <v>26</v>
      </c>
      <c r="E1578" s="1" t="s">
        <v>88</v>
      </c>
      <c r="F1578">
        <v>1</v>
      </c>
      <c r="G1578" s="2">
        <v>46218</v>
      </c>
      <c r="H1578" s="2">
        <v>46221</v>
      </c>
      <c r="I1578">
        <v>262.56</v>
      </c>
      <c r="J1578">
        <v>102.3</v>
      </c>
      <c r="K1578">
        <v>92.07</v>
      </c>
      <c r="L1578">
        <v>10.23</v>
      </c>
      <c r="M1578" s="1" t="s">
        <v>21</v>
      </c>
      <c r="N1578" s="1" t="s">
        <v>22</v>
      </c>
      <c r="O1578" s="2">
        <v>46253</v>
      </c>
      <c r="P1578" s="2">
        <v>46253</v>
      </c>
      <c r="Q1578">
        <f>_xlfn.XLOOKUP(E1578,CPT!$A$2:$A$13,CPT!$D$2:$D$13)</f>
        <v>260</v>
      </c>
      <c r="R1578" s="1">
        <f>_xlfn.XLOOKUP(C1578,Contract!$A$2:$A$9,Contract!$B$2:$B$9)</f>
        <v>0.45</v>
      </c>
      <c r="S1578" s="1">
        <f t="shared" si="96"/>
        <v>117</v>
      </c>
      <c r="T1578" s="1">
        <f t="shared" si="97"/>
        <v>14.700000000000003</v>
      </c>
      <c r="U1578" s="1" t="str">
        <f t="shared" si="98"/>
        <v>Underpaid</v>
      </c>
      <c r="V1578" s="1" t="str">
        <f>_xlfn.XLOOKUP(C1578,Payers!$A$2:$A$9,Payers!$B$2:$B$9)</f>
        <v>Blue Horizon Commercial</v>
      </c>
      <c r="W1578" s="1" t="str">
        <f t="shared" si="99"/>
        <v>2026-07</v>
      </c>
    </row>
    <row r="1579" spans="1:23">
      <c r="A1579" s="1" t="s">
        <v>2907</v>
      </c>
      <c r="B1579" s="1" t="s">
        <v>1769</v>
      </c>
      <c r="C1579" s="1" t="s">
        <v>47</v>
      </c>
      <c r="D1579" s="1" t="s">
        <v>26</v>
      </c>
      <c r="E1579" s="1" t="s">
        <v>44</v>
      </c>
      <c r="F1579">
        <v>1</v>
      </c>
      <c r="G1579" s="2">
        <v>46054</v>
      </c>
      <c r="H1579" s="2">
        <v>46065</v>
      </c>
      <c r="I1579">
        <v>4753.17</v>
      </c>
      <c r="M1579" s="1" t="s">
        <v>32</v>
      </c>
      <c r="N1579" s="1" t="s">
        <v>315</v>
      </c>
      <c r="O1579" s="2">
        <v>46118</v>
      </c>
      <c r="P1579" s="2"/>
      <c r="Q1579">
        <f>_xlfn.XLOOKUP(E1579,CPT!$A$2:$A$13,CPT!$D$2:$D$13)</f>
        <v>4800</v>
      </c>
      <c r="R1579" s="1">
        <f>_xlfn.XLOOKUP(C1579,Contract!$A$2:$A$9,Contract!$B$2:$B$9)</f>
        <v>0.28000000000000003</v>
      </c>
      <c r="S1579" s="1">
        <f t="shared" si="96"/>
        <v>1344</v>
      </c>
      <c r="T1579" s="1" t="str">
        <f t="shared" si="97"/>
        <v/>
      </c>
      <c r="U1579" s="1" t="str">
        <f t="shared" si="98"/>
        <v/>
      </c>
      <c r="V1579" s="1" t="str">
        <f>_xlfn.XLOOKUP(C1579,Payers!$A$2:$A$9,Payers!$B$2:$B$9)</f>
        <v>Coastal Medicaid MCO</v>
      </c>
      <c r="W1579" s="1" t="str">
        <f t="shared" si="99"/>
        <v>2026-02</v>
      </c>
    </row>
    <row r="1580" spans="1:23">
      <c r="A1580" s="1" t="s">
        <v>2908</v>
      </c>
      <c r="B1580" s="1" t="s">
        <v>2909</v>
      </c>
      <c r="C1580" s="1" t="s">
        <v>47</v>
      </c>
      <c r="D1580" s="1" t="s">
        <v>30</v>
      </c>
      <c r="E1580" s="1" t="s">
        <v>91</v>
      </c>
      <c r="F1580">
        <v>3</v>
      </c>
      <c r="G1580" s="2">
        <v>46208</v>
      </c>
      <c r="H1580" s="2">
        <v>46210</v>
      </c>
      <c r="I1580">
        <v>170.82</v>
      </c>
      <c r="M1580" s="1" t="s">
        <v>69</v>
      </c>
      <c r="N1580" s="1" t="s">
        <v>22</v>
      </c>
      <c r="O1580" s="2"/>
      <c r="P1580" s="2"/>
      <c r="Q1580">
        <f>_xlfn.XLOOKUP(E1580,CPT!$A$2:$A$13,CPT!$D$2:$D$13)</f>
        <v>58</v>
      </c>
      <c r="R1580" s="1">
        <f>_xlfn.XLOOKUP(C1580,Contract!$A$2:$A$9,Contract!$B$2:$B$9)</f>
        <v>0.28000000000000003</v>
      </c>
      <c r="S1580" s="1">
        <f t="shared" si="96"/>
        <v>48.72</v>
      </c>
      <c r="T1580" s="1" t="str">
        <f t="shared" si="97"/>
        <v/>
      </c>
      <c r="U1580" s="1" t="str">
        <f t="shared" si="98"/>
        <v/>
      </c>
      <c r="V1580" s="1" t="str">
        <f>_xlfn.XLOOKUP(C1580,Payers!$A$2:$A$9,Payers!$B$2:$B$9)</f>
        <v>Coastal Medicaid MCO</v>
      </c>
      <c r="W1580" s="1" t="str">
        <f t="shared" si="99"/>
        <v>2026-07</v>
      </c>
    </row>
    <row r="1581" spans="1:23">
      <c r="A1581" s="1" t="s">
        <v>2910</v>
      </c>
      <c r="B1581" s="1" t="s">
        <v>916</v>
      </c>
      <c r="C1581" s="1" t="s">
        <v>25</v>
      </c>
      <c r="D1581" s="1" t="s">
        <v>26</v>
      </c>
      <c r="E1581" s="1" t="s">
        <v>57</v>
      </c>
      <c r="F1581">
        <v>1</v>
      </c>
      <c r="G1581" s="2">
        <v>46100</v>
      </c>
      <c r="H1581" s="2">
        <v>46103</v>
      </c>
      <c r="I1581">
        <v>207.91</v>
      </c>
      <c r="J1581">
        <v>69.650000000000006</v>
      </c>
      <c r="K1581">
        <v>69.650000000000006</v>
      </c>
      <c r="L1581">
        <v>0</v>
      </c>
      <c r="M1581" s="1" t="s">
        <v>21</v>
      </c>
      <c r="N1581" s="1" t="s">
        <v>22</v>
      </c>
      <c r="O1581" s="2">
        <v>46119</v>
      </c>
      <c r="P1581" s="2">
        <v>46119</v>
      </c>
      <c r="Q1581">
        <f>_xlfn.XLOOKUP(E1581,CPT!$A$2:$A$13,CPT!$D$2:$D$13)</f>
        <v>210</v>
      </c>
      <c r="R1581" s="1">
        <f>_xlfn.XLOOKUP(C1581,Contract!$A$2:$A$9,Contract!$B$2:$B$9)</f>
        <v>0.36</v>
      </c>
      <c r="S1581" s="1">
        <f t="shared" si="96"/>
        <v>75.599999999999994</v>
      </c>
      <c r="T1581" s="1">
        <f t="shared" si="97"/>
        <v>5.9499999999999886</v>
      </c>
      <c r="U1581" s="1" t="str">
        <f t="shared" si="98"/>
        <v>Underpaid</v>
      </c>
      <c r="V1581" s="1" t="str">
        <f>_xlfn.XLOOKUP(C1581,Payers!$A$2:$A$9,Payers!$B$2:$B$9)</f>
        <v>Medicare Part B</v>
      </c>
      <c r="W1581" s="1" t="str">
        <f t="shared" si="99"/>
        <v>2026-03</v>
      </c>
    </row>
    <row r="1582" spans="1:23">
      <c r="A1582" s="1" t="s">
        <v>2911</v>
      </c>
      <c r="B1582" s="1" t="s">
        <v>2912</v>
      </c>
      <c r="C1582" s="1" t="s">
        <v>76</v>
      </c>
      <c r="D1582" s="1" t="s">
        <v>19</v>
      </c>
      <c r="E1582" s="1" t="s">
        <v>88</v>
      </c>
      <c r="F1582">
        <v>1</v>
      </c>
      <c r="G1582" s="2">
        <v>46117</v>
      </c>
      <c r="H1582" s="2">
        <v>46118</v>
      </c>
      <c r="I1582">
        <v>267.19</v>
      </c>
      <c r="J1582">
        <v>122.37</v>
      </c>
      <c r="K1582">
        <v>110.13</v>
      </c>
      <c r="L1582">
        <v>12.24</v>
      </c>
      <c r="M1582" s="1" t="s">
        <v>21</v>
      </c>
      <c r="N1582" s="1" t="s">
        <v>22</v>
      </c>
      <c r="O1582" s="2">
        <v>46152</v>
      </c>
      <c r="P1582" s="2">
        <v>46152</v>
      </c>
      <c r="Q1582">
        <f>_xlfn.XLOOKUP(E1582,CPT!$A$2:$A$13,CPT!$D$2:$D$13)</f>
        <v>260</v>
      </c>
      <c r="R1582" s="1">
        <f>_xlfn.XLOOKUP(C1582,Contract!$A$2:$A$9,Contract!$B$2:$B$9)</f>
        <v>0.43</v>
      </c>
      <c r="S1582" s="1">
        <f t="shared" si="96"/>
        <v>111.8</v>
      </c>
      <c r="T1582" s="1">
        <f t="shared" si="97"/>
        <v>-10.570000000000007</v>
      </c>
      <c r="U1582" s="1" t="str">
        <f t="shared" si="98"/>
        <v>OK</v>
      </c>
      <c r="V1582" s="1" t="str">
        <f>_xlfn.XLOOKUP(C1582,Payers!$A$2:$A$9,Payers!$B$2:$B$9)</f>
        <v>Summit Health Commercial</v>
      </c>
      <c r="W1582" s="1" t="str">
        <f t="shared" si="99"/>
        <v>2026-04</v>
      </c>
    </row>
    <row r="1583" spans="1:23">
      <c r="A1583" s="1" t="s">
        <v>2913</v>
      </c>
      <c r="B1583" s="1" t="s">
        <v>2914</v>
      </c>
      <c r="C1583" s="1" t="s">
        <v>52</v>
      </c>
      <c r="D1583" s="1" t="s">
        <v>26</v>
      </c>
      <c r="E1583" s="1" t="s">
        <v>88</v>
      </c>
      <c r="F1583">
        <v>1</v>
      </c>
      <c r="G1583" s="2">
        <v>46289</v>
      </c>
      <c r="H1583" s="2">
        <v>46290</v>
      </c>
      <c r="I1583">
        <v>257.02999999999997</v>
      </c>
      <c r="M1583" s="1" t="s">
        <v>69</v>
      </c>
      <c r="N1583" s="1" t="s">
        <v>22</v>
      </c>
      <c r="O1583" s="2"/>
      <c r="P1583" s="2"/>
      <c r="Q1583">
        <f>_xlfn.XLOOKUP(E1583,CPT!$A$2:$A$13,CPT!$D$2:$D$13)</f>
        <v>260</v>
      </c>
      <c r="R1583" s="1">
        <f>_xlfn.XLOOKUP(C1583,Contract!$A$2:$A$9,Contract!$B$2:$B$9)</f>
        <v>0.47</v>
      </c>
      <c r="S1583" s="1">
        <f t="shared" si="96"/>
        <v>122.2</v>
      </c>
      <c r="T1583" s="1" t="str">
        <f t="shared" si="97"/>
        <v/>
      </c>
      <c r="U1583" s="1" t="str">
        <f t="shared" si="98"/>
        <v/>
      </c>
      <c r="V1583" s="1" t="str">
        <f>_xlfn.XLOOKUP(C1583,Payers!$A$2:$A$9,Payers!$B$2:$B$9)</f>
        <v>Keystone Commercial PPO</v>
      </c>
      <c r="W1583" s="1" t="str">
        <f t="shared" si="99"/>
        <v>2026-09</v>
      </c>
    </row>
    <row r="1584" spans="1:23">
      <c r="A1584" s="1" t="s">
        <v>2915</v>
      </c>
      <c r="B1584" s="1" t="s">
        <v>1402</v>
      </c>
      <c r="C1584" s="1" t="s">
        <v>79</v>
      </c>
      <c r="D1584" s="1" t="s">
        <v>26</v>
      </c>
      <c r="E1584" s="1" t="s">
        <v>88</v>
      </c>
      <c r="F1584">
        <v>1</v>
      </c>
      <c r="G1584" s="2">
        <v>46167</v>
      </c>
      <c r="H1584" s="2">
        <v>46179</v>
      </c>
      <c r="I1584">
        <v>264.35000000000002</v>
      </c>
      <c r="M1584" s="1" t="s">
        <v>69</v>
      </c>
      <c r="N1584" s="1" t="s">
        <v>22</v>
      </c>
      <c r="O1584" s="2"/>
      <c r="P1584" s="2"/>
      <c r="Q1584">
        <f>_xlfn.XLOOKUP(E1584,CPT!$A$2:$A$13,CPT!$D$2:$D$13)</f>
        <v>260</v>
      </c>
      <c r="R1584" s="1">
        <f>_xlfn.XLOOKUP(C1584,Contract!$A$2:$A$9,Contract!$B$2:$B$9)</f>
        <v>1</v>
      </c>
      <c r="S1584" s="1">
        <f t="shared" si="96"/>
        <v>260</v>
      </c>
      <c r="T1584" s="1" t="str">
        <f t="shared" si="97"/>
        <v/>
      </c>
      <c r="U1584" s="1" t="str">
        <f t="shared" si="98"/>
        <v/>
      </c>
      <c r="V1584" s="1" t="str">
        <f>_xlfn.XLOOKUP(C1584,Payers!$A$2:$A$9,Payers!$B$2:$B$9)</f>
        <v>Self-Pay</v>
      </c>
      <c r="W1584" s="1" t="str">
        <f t="shared" si="99"/>
        <v>2026-05</v>
      </c>
    </row>
    <row r="1585" spans="1:23">
      <c r="A1585" s="1" t="s">
        <v>2916</v>
      </c>
      <c r="B1585" s="1" t="s">
        <v>2917</v>
      </c>
      <c r="C1585" s="1" t="s">
        <v>18</v>
      </c>
      <c r="D1585" s="1" t="s">
        <v>37</v>
      </c>
      <c r="E1585" s="1" t="s">
        <v>48</v>
      </c>
      <c r="F1585">
        <v>1</v>
      </c>
      <c r="G1585" s="2">
        <v>45958</v>
      </c>
      <c r="H1585" s="2">
        <v>45959</v>
      </c>
      <c r="I1585">
        <v>424.71</v>
      </c>
      <c r="J1585">
        <v>157.71</v>
      </c>
      <c r="K1585">
        <v>141.94</v>
      </c>
      <c r="L1585">
        <v>15.77</v>
      </c>
      <c r="M1585" s="1" t="s">
        <v>21</v>
      </c>
      <c r="N1585" s="1" t="s">
        <v>22</v>
      </c>
      <c r="O1585" s="2">
        <v>46010</v>
      </c>
      <c r="P1585" s="2">
        <v>46010</v>
      </c>
      <c r="Q1585">
        <f>_xlfn.XLOOKUP(E1585,CPT!$A$2:$A$13,CPT!$D$2:$D$13)</f>
        <v>420</v>
      </c>
      <c r="R1585" s="1">
        <f>_xlfn.XLOOKUP(C1585,Contract!$A$2:$A$9,Contract!$B$2:$B$9)</f>
        <v>0.38</v>
      </c>
      <c r="S1585" s="1">
        <f t="shared" si="96"/>
        <v>159.6</v>
      </c>
      <c r="T1585" s="1">
        <f t="shared" si="97"/>
        <v>1.8899999999999864</v>
      </c>
      <c r="U1585" s="1" t="str">
        <f t="shared" si="98"/>
        <v>OK</v>
      </c>
      <c r="V1585" s="1" t="str">
        <f>_xlfn.XLOOKUP(C1585,Payers!$A$2:$A$9,Payers!$B$2:$B$9)</f>
        <v>Sunshine Medicare Advantage</v>
      </c>
      <c r="W1585" s="1" t="str">
        <f t="shared" si="99"/>
        <v>2025-10</v>
      </c>
    </row>
    <row r="1586" spans="1:23">
      <c r="A1586" s="1" t="s">
        <v>2918</v>
      </c>
      <c r="B1586" s="1" t="s">
        <v>2748</v>
      </c>
      <c r="C1586" s="1" t="s">
        <v>18</v>
      </c>
      <c r="D1586" s="1" t="s">
        <v>26</v>
      </c>
      <c r="E1586" s="1" t="s">
        <v>185</v>
      </c>
      <c r="F1586">
        <v>1</v>
      </c>
      <c r="G1586" s="2">
        <v>45973</v>
      </c>
      <c r="H1586" s="2">
        <v>45999</v>
      </c>
      <c r="I1586">
        <v>1162.5999999999999</v>
      </c>
      <c r="J1586">
        <v>467.78</v>
      </c>
      <c r="K1586">
        <v>421</v>
      </c>
      <c r="L1586">
        <v>46.78</v>
      </c>
      <c r="M1586" s="1" t="s">
        <v>21</v>
      </c>
      <c r="N1586" s="1" t="s">
        <v>22</v>
      </c>
      <c r="O1586" s="2">
        <v>46064</v>
      </c>
      <c r="P1586" s="2">
        <v>46064</v>
      </c>
      <c r="Q1586">
        <f>_xlfn.XLOOKUP(E1586,CPT!$A$2:$A$13,CPT!$D$2:$D$13)</f>
        <v>1150</v>
      </c>
      <c r="R1586" s="1">
        <f>_xlfn.XLOOKUP(C1586,Contract!$A$2:$A$9,Contract!$B$2:$B$9)</f>
        <v>0.38</v>
      </c>
      <c r="S1586" s="1">
        <f t="shared" si="96"/>
        <v>437</v>
      </c>
      <c r="T1586" s="1">
        <f t="shared" si="97"/>
        <v>-30.779999999999973</v>
      </c>
      <c r="U1586" s="1" t="str">
        <f t="shared" si="98"/>
        <v>OK</v>
      </c>
      <c r="V1586" s="1" t="str">
        <f>_xlfn.XLOOKUP(C1586,Payers!$A$2:$A$9,Payers!$B$2:$B$9)</f>
        <v>Sunshine Medicare Advantage</v>
      </c>
      <c r="W1586" s="1" t="str">
        <f t="shared" si="99"/>
        <v>2025-11</v>
      </c>
    </row>
    <row r="1587" spans="1:23">
      <c r="A1587" s="1" t="s">
        <v>2919</v>
      </c>
      <c r="B1587" s="1" t="s">
        <v>684</v>
      </c>
      <c r="C1587" s="1" t="s">
        <v>52</v>
      </c>
      <c r="D1587" s="1" t="s">
        <v>26</v>
      </c>
      <c r="E1587" s="1" t="s">
        <v>44</v>
      </c>
      <c r="F1587">
        <v>1</v>
      </c>
      <c r="G1587" s="2">
        <v>46289</v>
      </c>
      <c r="H1587" s="2">
        <v>46290</v>
      </c>
      <c r="I1587">
        <v>4920.66</v>
      </c>
      <c r="M1587" s="1" t="s">
        <v>69</v>
      </c>
      <c r="N1587" s="1" t="s">
        <v>22</v>
      </c>
      <c r="O1587" s="2"/>
      <c r="P1587" s="2"/>
      <c r="Q1587">
        <f>_xlfn.XLOOKUP(E1587,CPT!$A$2:$A$13,CPT!$D$2:$D$13)</f>
        <v>4800</v>
      </c>
      <c r="R1587" s="1">
        <f>_xlfn.XLOOKUP(C1587,Contract!$A$2:$A$9,Contract!$B$2:$B$9)</f>
        <v>0.47</v>
      </c>
      <c r="S1587" s="1">
        <f t="shared" si="96"/>
        <v>2256</v>
      </c>
      <c r="T1587" s="1" t="str">
        <f t="shared" si="97"/>
        <v/>
      </c>
      <c r="U1587" s="1" t="str">
        <f t="shared" si="98"/>
        <v/>
      </c>
      <c r="V1587" s="1" t="str">
        <f>_xlfn.XLOOKUP(C1587,Payers!$A$2:$A$9,Payers!$B$2:$B$9)</f>
        <v>Keystone Commercial PPO</v>
      </c>
      <c r="W1587" s="1" t="str">
        <f t="shared" si="99"/>
        <v>2026-09</v>
      </c>
    </row>
    <row r="1588" spans="1:23">
      <c r="A1588" s="1" t="s">
        <v>2920</v>
      </c>
      <c r="B1588" s="1" t="s">
        <v>2464</v>
      </c>
      <c r="C1588" s="1" t="s">
        <v>79</v>
      </c>
      <c r="D1588" s="1" t="s">
        <v>30</v>
      </c>
      <c r="E1588" s="1" t="s">
        <v>91</v>
      </c>
      <c r="F1588">
        <v>4</v>
      </c>
      <c r="G1588" s="2">
        <v>46266</v>
      </c>
      <c r="H1588" s="2">
        <v>46268</v>
      </c>
      <c r="I1588">
        <v>234.59</v>
      </c>
      <c r="M1588" s="1" t="s">
        <v>69</v>
      </c>
      <c r="N1588" s="1" t="s">
        <v>22</v>
      </c>
      <c r="O1588" s="2"/>
      <c r="P1588" s="2"/>
      <c r="Q1588">
        <f>_xlfn.XLOOKUP(E1588,CPT!$A$2:$A$13,CPT!$D$2:$D$13)</f>
        <v>58</v>
      </c>
      <c r="R1588" s="1">
        <f>_xlfn.XLOOKUP(C1588,Contract!$A$2:$A$9,Contract!$B$2:$B$9)</f>
        <v>1</v>
      </c>
      <c r="S1588" s="1">
        <f t="shared" si="96"/>
        <v>232</v>
      </c>
      <c r="T1588" s="1" t="str">
        <f t="shared" si="97"/>
        <v/>
      </c>
      <c r="U1588" s="1" t="str">
        <f t="shared" si="98"/>
        <v/>
      </c>
      <c r="V1588" s="1" t="str">
        <f>_xlfn.XLOOKUP(C1588,Payers!$A$2:$A$9,Payers!$B$2:$B$9)</f>
        <v>Self-Pay</v>
      </c>
      <c r="W1588" s="1" t="str">
        <f t="shared" si="99"/>
        <v>2026-09</v>
      </c>
    </row>
    <row r="1589" spans="1:23">
      <c r="A1589" s="1" t="s">
        <v>2921</v>
      </c>
      <c r="B1589" s="1" t="s">
        <v>1497</v>
      </c>
      <c r="C1589" s="1" t="s">
        <v>18</v>
      </c>
      <c r="D1589" s="1" t="s">
        <v>19</v>
      </c>
      <c r="E1589" s="1" t="s">
        <v>41</v>
      </c>
      <c r="F1589">
        <v>1</v>
      </c>
      <c r="G1589" s="2">
        <v>45997</v>
      </c>
      <c r="H1589" s="2">
        <v>46001</v>
      </c>
      <c r="I1589">
        <v>37.92</v>
      </c>
      <c r="J1589">
        <v>15.44</v>
      </c>
      <c r="K1589">
        <v>13.9</v>
      </c>
      <c r="L1589">
        <v>1.54</v>
      </c>
      <c r="M1589" s="1" t="s">
        <v>21</v>
      </c>
      <c r="N1589" s="1" t="s">
        <v>22</v>
      </c>
      <c r="O1589" s="2">
        <v>46055</v>
      </c>
      <c r="P1589" s="2">
        <v>46055</v>
      </c>
      <c r="Q1589">
        <f>_xlfn.XLOOKUP(E1589,CPT!$A$2:$A$13,CPT!$D$2:$D$13)</f>
        <v>38</v>
      </c>
      <c r="R1589" s="1">
        <f>_xlfn.XLOOKUP(C1589,Contract!$A$2:$A$9,Contract!$B$2:$B$9)</f>
        <v>0.38</v>
      </c>
      <c r="S1589" s="1">
        <f t="shared" si="96"/>
        <v>14.44</v>
      </c>
      <c r="T1589" s="1">
        <f t="shared" si="97"/>
        <v>-1</v>
      </c>
      <c r="U1589" s="1" t="str">
        <f t="shared" si="98"/>
        <v>OK</v>
      </c>
      <c r="V1589" s="1" t="str">
        <f>_xlfn.XLOOKUP(C1589,Payers!$A$2:$A$9,Payers!$B$2:$B$9)</f>
        <v>Sunshine Medicare Advantage</v>
      </c>
      <c r="W1589" s="1" t="str">
        <f t="shared" si="99"/>
        <v>2025-12</v>
      </c>
    </row>
    <row r="1590" spans="1:23">
      <c r="A1590" s="1" t="s">
        <v>2922</v>
      </c>
      <c r="B1590" s="1" t="s">
        <v>2387</v>
      </c>
      <c r="C1590" s="1" t="s">
        <v>25</v>
      </c>
      <c r="D1590" s="1" t="s">
        <v>26</v>
      </c>
      <c r="E1590" s="1" t="s">
        <v>57</v>
      </c>
      <c r="F1590">
        <v>1</v>
      </c>
      <c r="G1590" s="2">
        <v>45964</v>
      </c>
      <c r="H1590" s="2">
        <v>45981</v>
      </c>
      <c r="I1590">
        <v>204.31</v>
      </c>
      <c r="J1590">
        <v>77.61</v>
      </c>
      <c r="K1590">
        <v>77.61</v>
      </c>
      <c r="L1590">
        <v>0</v>
      </c>
      <c r="M1590" s="1" t="s">
        <v>21</v>
      </c>
      <c r="N1590" s="1" t="s">
        <v>22</v>
      </c>
      <c r="O1590" s="2">
        <v>45999</v>
      </c>
      <c r="P1590" s="2">
        <v>45999</v>
      </c>
      <c r="Q1590">
        <f>_xlfn.XLOOKUP(E1590,CPT!$A$2:$A$13,CPT!$D$2:$D$13)</f>
        <v>210</v>
      </c>
      <c r="R1590" s="1">
        <f>_xlfn.XLOOKUP(C1590,Contract!$A$2:$A$9,Contract!$B$2:$B$9)</f>
        <v>0.36</v>
      </c>
      <c r="S1590" s="1">
        <f t="shared" si="96"/>
        <v>75.599999999999994</v>
      </c>
      <c r="T1590" s="1">
        <f t="shared" si="97"/>
        <v>-2.0100000000000051</v>
      </c>
      <c r="U1590" s="1" t="str">
        <f t="shared" si="98"/>
        <v>OK</v>
      </c>
      <c r="V1590" s="1" t="str">
        <f>_xlfn.XLOOKUP(C1590,Payers!$A$2:$A$9,Payers!$B$2:$B$9)</f>
        <v>Medicare Part B</v>
      </c>
      <c r="W1590" s="1" t="str">
        <f t="shared" si="99"/>
        <v>2025-11</v>
      </c>
    </row>
    <row r="1591" spans="1:23">
      <c r="A1591" s="1" t="s">
        <v>2923</v>
      </c>
      <c r="B1591" s="1" t="s">
        <v>2924</v>
      </c>
      <c r="C1591" s="1" t="s">
        <v>60</v>
      </c>
      <c r="D1591" s="1" t="s">
        <v>37</v>
      </c>
      <c r="E1591" s="1" t="s">
        <v>57</v>
      </c>
      <c r="F1591">
        <v>1</v>
      </c>
      <c r="G1591" s="2">
        <v>46073</v>
      </c>
      <c r="H1591" s="2">
        <v>46085</v>
      </c>
      <c r="I1591">
        <v>208.09</v>
      </c>
      <c r="J1591">
        <v>91.55</v>
      </c>
      <c r="K1591">
        <v>82.4</v>
      </c>
      <c r="L1591">
        <v>9.15</v>
      </c>
      <c r="M1591" s="1" t="s">
        <v>21</v>
      </c>
      <c r="N1591" s="1" t="s">
        <v>22</v>
      </c>
      <c r="O1591" s="2">
        <v>46119</v>
      </c>
      <c r="P1591" s="2">
        <v>46119</v>
      </c>
      <c r="Q1591">
        <f>_xlfn.XLOOKUP(E1591,CPT!$A$2:$A$13,CPT!$D$2:$D$13)</f>
        <v>210</v>
      </c>
      <c r="R1591" s="1">
        <f>_xlfn.XLOOKUP(C1591,Contract!$A$2:$A$9,Contract!$B$2:$B$9)</f>
        <v>0.45</v>
      </c>
      <c r="S1591" s="1">
        <f t="shared" si="96"/>
        <v>94.5</v>
      </c>
      <c r="T1591" s="1">
        <f t="shared" si="97"/>
        <v>2.9500000000000028</v>
      </c>
      <c r="U1591" s="1" t="str">
        <f t="shared" si="98"/>
        <v>OK</v>
      </c>
      <c r="V1591" s="1" t="str">
        <f>_xlfn.XLOOKUP(C1591,Payers!$A$2:$A$9,Payers!$B$2:$B$9)</f>
        <v>Blue Horizon Commercial</v>
      </c>
      <c r="W1591" s="1" t="str">
        <f t="shared" si="99"/>
        <v>2026-02</v>
      </c>
    </row>
    <row r="1592" spans="1:23">
      <c r="A1592" s="1" t="s">
        <v>2925</v>
      </c>
      <c r="B1592" s="1" t="s">
        <v>2926</v>
      </c>
      <c r="C1592" s="1" t="s">
        <v>25</v>
      </c>
      <c r="D1592" s="1" t="s">
        <v>26</v>
      </c>
      <c r="E1592" s="1" t="s">
        <v>185</v>
      </c>
      <c r="F1592">
        <v>1</v>
      </c>
      <c r="G1592" s="2">
        <v>45979</v>
      </c>
      <c r="H1592" s="2">
        <v>45998</v>
      </c>
      <c r="I1592">
        <v>1181.42</v>
      </c>
      <c r="J1592">
        <v>440.58</v>
      </c>
      <c r="K1592">
        <v>396.52</v>
      </c>
      <c r="L1592">
        <v>44.06</v>
      </c>
      <c r="M1592" s="1" t="s">
        <v>21</v>
      </c>
      <c r="N1592" s="1" t="s">
        <v>22</v>
      </c>
      <c r="O1592" s="2">
        <v>46026</v>
      </c>
      <c r="P1592" s="2">
        <v>46026</v>
      </c>
      <c r="Q1592">
        <f>_xlfn.XLOOKUP(E1592,CPT!$A$2:$A$13,CPT!$D$2:$D$13)</f>
        <v>1150</v>
      </c>
      <c r="R1592" s="1">
        <f>_xlfn.XLOOKUP(C1592,Contract!$A$2:$A$9,Contract!$B$2:$B$9)</f>
        <v>0.36</v>
      </c>
      <c r="S1592" s="1">
        <f t="shared" si="96"/>
        <v>414</v>
      </c>
      <c r="T1592" s="1">
        <f t="shared" si="97"/>
        <v>-26.579999999999984</v>
      </c>
      <c r="U1592" s="1" t="str">
        <f t="shared" si="98"/>
        <v>OK</v>
      </c>
      <c r="V1592" s="1" t="str">
        <f>_xlfn.XLOOKUP(C1592,Payers!$A$2:$A$9,Payers!$B$2:$B$9)</f>
        <v>Medicare Part B</v>
      </c>
      <c r="W1592" s="1" t="str">
        <f t="shared" si="99"/>
        <v>2025-11</v>
      </c>
    </row>
    <row r="1593" spans="1:23">
      <c r="A1593" s="1" t="s">
        <v>2927</v>
      </c>
      <c r="B1593" s="1" t="s">
        <v>2928</v>
      </c>
      <c r="C1593" s="1" t="s">
        <v>47</v>
      </c>
      <c r="D1593" s="1" t="s">
        <v>37</v>
      </c>
      <c r="E1593" s="1" t="s">
        <v>38</v>
      </c>
      <c r="F1593">
        <v>20</v>
      </c>
      <c r="G1593" s="2">
        <v>46282</v>
      </c>
      <c r="H1593" s="2">
        <v>46284</v>
      </c>
      <c r="I1593">
        <v>28384.92</v>
      </c>
      <c r="M1593" s="1" t="s">
        <v>69</v>
      </c>
      <c r="N1593" s="1" t="s">
        <v>22</v>
      </c>
      <c r="O1593" s="2"/>
      <c r="P1593" s="2"/>
      <c r="Q1593">
        <f>_xlfn.XLOOKUP(E1593,CPT!$A$2:$A$13,CPT!$D$2:$D$13)</f>
        <v>1450</v>
      </c>
      <c r="R1593" s="1">
        <f>_xlfn.XLOOKUP(C1593,Contract!$A$2:$A$9,Contract!$B$2:$B$9)</f>
        <v>0.28000000000000003</v>
      </c>
      <c r="S1593" s="1">
        <f t="shared" si="96"/>
        <v>8120</v>
      </c>
      <c r="T1593" s="1" t="str">
        <f t="shared" si="97"/>
        <v/>
      </c>
      <c r="U1593" s="1" t="str">
        <f t="shared" si="98"/>
        <v/>
      </c>
      <c r="V1593" s="1" t="str">
        <f>_xlfn.XLOOKUP(C1593,Payers!$A$2:$A$9,Payers!$B$2:$B$9)</f>
        <v>Coastal Medicaid MCO</v>
      </c>
      <c r="W1593" s="1" t="str">
        <f t="shared" si="99"/>
        <v>2026-09</v>
      </c>
    </row>
    <row r="1594" spans="1:23">
      <c r="A1594" s="1" t="s">
        <v>2929</v>
      </c>
      <c r="B1594" s="1" t="s">
        <v>2398</v>
      </c>
      <c r="C1594" s="1" t="s">
        <v>25</v>
      </c>
      <c r="D1594" s="1" t="s">
        <v>30</v>
      </c>
      <c r="E1594" s="1" t="s">
        <v>31</v>
      </c>
      <c r="F1594">
        <v>3</v>
      </c>
      <c r="G1594" s="2">
        <v>46134</v>
      </c>
      <c r="H1594" s="2">
        <v>46144</v>
      </c>
      <c r="I1594">
        <v>185.2</v>
      </c>
      <c r="M1594" s="1" t="s">
        <v>32</v>
      </c>
      <c r="N1594" s="1" t="s">
        <v>98</v>
      </c>
      <c r="O1594" s="2">
        <v>46160</v>
      </c>
      <c r="P1594" s="2"/>
      <c r="Q1594">
        <f>_xlfn.XLOOKUP(E1594,CPT!$A$2:$A$13,CPT!$D$2:$D$13)</f>
        <v>62</v>
      </c>
      <c r="R1594" s="1">
        <f>_xlfn.XLOOKUP(C1594,Contract!$A$2:$A$9,Contract!$B$2:$B$9)</f>
        <v>0.36</v>
      </c>
      <c r="S1594" s="1">
        <f t="shared" si="96"/>
        <v>66.959999999999994</v>
      </c>
      <c r="T1594" s="1" t="str">
        <f t="shared" si="97"/>
        <v/>
      </c>
      <c r="U1594" s="1" t="str">
        <f t="shared" si="98"/>
        <v/>
      </c>
      <c r="V1594" s="1" t="str">
        <f>_xlfn.XLOOKUP(C1594,Payers!$A$2:$A$9,Payers!$B$2:$B$9)</f>
        <v>Medicare Part B</v>
      </c>
      <c r="W1594" s="1" t="str">
        <f t="shared" si="99"/>
        <v>2026-04</v>
      </c>
    </row>
    <row r="1595" spans="1:23">
      <c r="A1595" s="1" t="s">
        <v>2930</v>
      </c>
      <c r="B1595" s="1" t="s">
        <v>2931</v>
      </c>
      <c r="C1595" s="1" t="s">
        <v>76</v>
      </c>
      <c r="D1595" s="1" t="s">
        <v>30</v>
      </c>
      <c r="E1595" s="1" t="s">
        <v>20</v>
      </c>
      <c r="F1595">
        <v>1</v>
      </c>
      <c r="G1595" s="2">
        <v>46279</v>
      </c>
      <c r="H1595" s="2">
        <v>46288</v>
      </c>
      <c r="I1595">
        <v>141.74</v>
      </c>
      <c r="M1595" s="1" t="s">
        <v>69</v>
      </c>
      <c r="N1595" s="1" t="s">
        <v>22</v>
      </c>
      <c r="O1595" s="2"/>
      <c r="P1595" s="2"/>
      <c r="Q1595">
        <f>_xlfn.XLOOKUP(E1595,CPT!$A$2:$A$13,CPT!$D$2:$D$13)</f>
        <v>145</v>
      </c>
      <c r="R1595" s="1">
        <f>_xlfn.XLOOKUP(C1595,Contract!$A$2:$A$9,Contract!$B$2:$B$9)</f>
        <v>0.43</v>
      </c>
      <c r="S1595" s="1">
        <f t="shared" si="96"/>
        <v>62.35</v>
      </c>
      <c r="T1595" s="1" t="str">
        <f t="shared" si="97"/>
        <v/>
      </c>
      <c r="U1595" s="1" t="str">
        <f t="shared" si="98"/>
        <v/>
      </c>
      <c r="V1595" s="1" t="str">
        <f>_xlfn.XLOOKUP(C1595,Payers!$A$2:$A$9,Payers!$B$2:$B$9)</f>
        <v>Summit Health Commercial</v>
      </c>
      <c r="W1595" s="1" t="str">
        <f t="shared" si="99"/>
        <v>2026-09</v>
      </c>
    </row>
    <row r="1596" spans="1:23">
      <c r="A1596" s="1" t="s">
        <v>2932</v>
      </c>
      <c r="B1596" s="1" t="s">
        <v>1975</v>
      </c>
      <c r="C1596" s="1" t="s">
        <v>47</v>
      </c>
      <c r="D1596" s="1" t="s">
        <v>19</v>
      </c>
      <c r="E1596" s="1" t="s">
        <v>88</v>
      </c>
      <c r="F1596">
        <v>1</v>
      </c>
      <c r="G1596" s="2">
        <v>45941</v>
      </c>
      <c r="H1596" s="2">
        <v>45944</v>
      </c>
      <c r="I1596">
        <v>252.24</v>
      </c>
      <c r="J1596">
        <v>78</v>
      </c>
      <c r="K1596">
        <v>78</v>
      </c>
      <c r="L1596">
        <v>0</v>
      </c>
      <c r="M1596" s="1" t="s">
        <v>21</v>
      </c>
      <c r="N1596" s="1" t="s">
        <v>22</v>
      </c>
      <c r="O1596" s="2">
        <v>46013</v>
      </c>
      <c r="P1596" s="2">
        <v>46013</v>
      </c>
      <c r="Q1596">
        <f>_xlfn.XLOOKUP(E1596,CPT!$A$2:$A$13,CPT!$D$2:$D$13)</f>
        <v>260</v>
      </c>
      <c r="R1596" s="1">
        <f>_xlfn.XLOOKUP(C1596,Contract!$A$2:$A$9,Contract!$B$2:$B$9)</f>
        <v>0.28000000000000003</v>
      </c>
      <c r="S1596" s="1">
        <f t="shared" si="96"/>
        <v>72.8</v>
      </c>
      <c r="T1596" s="1">
        <f t="shared" si="97"/>
        <v>-5.2000000000000028</v>
      </c>
      <c r="U1596" s="1" t="str">
        <f t="shared" si="98"/>
        <v>OK</v>
      </c>
      <c r="V1596" s="1" t="str">
        <f>_xlfn.XLOOKUP(C1596,Payers!$A$2:$A$9,Payers!$B$2:$B$9)</f>
        <v>Coastal Medicaid MCO</v>
      </c>
      <c r="W1596" s="1" t="str">
        <f t="shared" si="99"/>
        <v>2025-10</v>
      </c>
    </row>
    <row r="1597" spans="1:23">
      <c r="A1597" s="1" t="s">
        <v>2933</v>
      </c>
      <c r="B1597" s="1" t="s">
        <v>2934</v>
      </c>
      <c r="C1597" s="1" t="s">
        <v>60</v>
      </c>
      <c r="D1597" s="1" t="s">
        <v>19</v>
      </c>
      <c r="E1597" s="1" t="s">
        <v>20</v>
      </c>
      <c r="F1597">
        <v>1</v>
      </c>
      <c r="G1597" s="2">
        <v>46039</v>
      </c>
      <c r="H1597" s="2">
        <v>46041</v>
      </c>
      <c r="I1597">
        <v>149.22</v>
      </c>
      <c r="J1597">
        <v>64.88</v>
      </c>
      <c r="K1597">
        <v>58.39</v>
      </c>
      <c r="L1597">
        <v>6.49</v>
      </c>
      <c r="M1597" s="1" t="s">
        <v>21</v>
      </c>
      <c r="N1597" s="1" t="s">
        <v>22</v>
      </c>
      <c r="O1597" s="2">
        <v>46075</v>
      </c>
      <c r="P1597" s="2">
        <v>46075</v>
      </c>
      <c r="Q1597">
        <f>_xlfn.XLOOKUP(E1597,CPT!$A$2:$A$13,CPT!$D$2:$D$13)</f>
        <v>145</v>
      </c>
      <c r="R1597" s="1">
        <f>_xlfn.XLOOKUP(C1597,Contract!$A$2:$A$9,Contract!$B$2:$B$9)</f>
        <v>0.45</v>
      </c>
      <c r="S1597" s="1">
        <f t="shared" si="96"/>
        <v>65.25</v>
      </c>
      <c r="T1597" s="1">
        <f t="shared" si="97"/>
        <v>0.37000000000000455</v>
      </c>
      <c r="U1597" s="1" t="str">
        <f t="shared" si="98"/>
        <v>OK</v>
      </c>
      <c r="V1597" s="1" t="str">
        <f>_xlfn.XLOOKUP(C1597,Payers!$A$2:$A$9,Payers!$B$2:$B$9)</f>
        <v>Blue Horizon Commercial</v>
      </c>
      <c r="W1597" s="1" t="str">
        <f t="shared" si="99"/>
        <v>2026-01</v>
      </c>
    </row>
    <row r="1598" spans="1:23">
      <c r="A1598" s="1" t="s">
        <v>2935</v>
      </c>
      <c r="B1598" s="1" t="s">
        <v>451</v>
      </c>
      <c r="C1598" s="1" t="s">
        <v>60</v>
      </c>
      <c r="D1598" s="1" t="s">
        <v>19</v>
      </c>
      <c r="E1598" s="1" t="s">
        <v>88</v>
      </c>
      <c r="F1598">
        <v>1</v>
      </c>
      <c r="G1598" s="2">
        <v>45962</v>
      </c>
      <c r="H1598" s="2">
        <v>45967</v>
      </c>
      <c r="I1598">
        <v>261.99</v>
      </c>
      <c r="J1598">
        <v>128.13</v>
      </c>
      <c r="K1598">
        <v>115.32</v>
      </c>
      <c r="L1598">
        <v>12.81</v>
      </c>
      <c r="M1598" s="1" t="s">
        <v>21</v>
      </c>
      <c r="N1598" s="1" t="s">
        <v>22</v>
      </c>
      <c r="O1598" s="2">
        <v>45996</v>
      </c>
      <c r="P1598" s="2">
        <v>45996</v>
      </c>
      <c r="Q1598">
        <f>_xlfn.XLOOKUP(E1598,CPT!$A$2:$A$13,CPT!$D$2:$D$13)</f>
        <v>260</v>
      </c>
      <c r="R1598" s="1">
        <f>_xlfn.XLOOKUP(C1598,Contract!$A$2:$A$9,Contract!$B$2:$B$9)</f>
        <v>0.45</v>
      </c>
      <c r="S1598" s="1">
        <f t="shared" si="96"/>
        <v>117</v>
      </c>
      <c r="T1598" s="1">
        <f t="shared" si="97"/>
        <v>-11.129999999999995</v>
      </c>
      <c r="U1598" s="1" t="str">
        <f t="shared" si="98"/>
        <v>OK</v>
      </c>
      <c r="V1598" s="1" t="str">
        <f>_xlfn.XLOOKUP(C1598,Payers!$A$2:$A$9,Payers!$B$2:$B$9)</f>
        <v>Blue Horizon Commercial</v>
      </c>
      <c r="W1598" s="1" t="str">
        <f t="shared" si="99"/>
        <v>2025-11</v>
      </c>
    </row>
    <row r="1599" spans="1:23">
      <c r="A1599" s="1" t="s">
        <v>2936</v>
      </c>
      <c r="B1599" s="1" t="s">
        <v>2937</v>
      </c>
      <c r="C1599" s="1" t="s">
        <v>36</v>
      </c>
      <c r="D1599" s="1" t="s">
        <v>26</v>
      </c>
      <c r="E1599" s="1" t="s">
        <v>41</v>
      </c>
      <c r="F1599">
        <v>1</v>
      </c>
      <c r="G1599" s="2">
        <v>46223</v>
      </c>
      <c r="H1599" s="2">
        <v>46233</v>
      </c>
      <c r="I1599">
        <v>36.950000000000003</v>
      </c>
      <c r="J1599">
        <v>10.53</v>
      </c>
      <c r="K1599">
        <v>9.48</v>
      </c>
      <c r="L1599">
        <v>1.05</v>
      </c>
      <c r="M1599" s="1" t="s">
        <v>21</v>
      </c>
      <c r="N1599" s="1" t="s">
        <v>22</v>
      </c>
      <c r="O1599" s="2">
        <v>46281</v>
      </c>
      <c r="P1599" s="2">
        <v>46281</v>
      </c>
      <c r="Q1599">
        <f>_xlfn.XLOOKUP(E1599,CPT!$A$2:$A$13,CPT!$D$2:$D$13)</f>
        <v>38</v>
      </c>
      <c r="R1599" s="1">
        <f>_xlfn.XLOOKUP(C1599,Contract!$A$2:$A$9,Contract!$B$2:$B$9)</f>
        <v>0.27</v>
      </c>
      <c r="S1599" s="1">
        <f t="shared" si="96"/>
        <v>10.26</v>
      </c>
      <c r="T1599" s="1">
        <f t="shared" si="97"/>
        <v>-0.26999999999999957</v>
      </c>
      <c r="U1599" s="1" t="str">
        <f t="shared" si="98"/>
        <v>OK</v>
      </c>
      <c r="V1599" s="1" t="str">
        <f>_xlfn.XLOOKUP(C1599,Payers!$A$2:$A$9,Payers!$B$2:$B$9)</f>
        <v>Florida Medicaid</v>
      </c>
      <c r="W1599" s="1" t="str">
        <f t="shared" si="99"/>
        <v>2026-07</v>
      </c>
    </row>
    <row r="1600" spans="1:23">
      <c r="A1600" s="1" t="s">
        <v>2938</v>
      </c>
      <c r="B1600" s="1" t="s">
        <v>1123</v>
      </c>
      <c r="C1600" s="1" t="s">
        <v>79</v>
      </c>
      <c r="D1600" s="1" t="s">
        <v>26</v>
      </c>
      <c r="E1600" s="1" t="s">
        <v>44</v>
      </c>
      <c r="F1600">
        <v>1</v>
      </c>
      <c r="G1600" s="2">
        <v>46215</v>
      </c>
      <c r="H1600" s="2">
        <v>46218</v>
      </c>
      <c r="I1600">
        <v>4919.1000000000004</v>
      </c>
      <c r="M1600" s="1" t="s">
        <v>69</v>
      </c>
      <c r="N1600" s="1" t="s">
        <v>22</v>
      </c>
      <c r="O1600" s="2"/>
      <c r="P1600" s="2"/>
      <c r="Q1600">
        <f>_xlfn.XLOOKUP(E1600,CPT!$A$2:$A$13,CPT!$D$2:$D$13)</f>
        <v>4800</v>
      </c>
      <c r="R1600" s="1">
        <f>_xlfn.XLOOKUP(C1600,Contract!$A$2:$A$9,Contract!$B$2:$B$9)</f>
        <v>1</v>
      </c>
      <c r="S1600" s="1">
        <f t="shared" si="96"/>
        <v>4800</v>
      </c>
      <c r="T1600" s="1" t="str">
        <f t="shared" si="97"/>
        <v/>
      </c>
      <c r="U1600" s="1" t="str">
        <f t="shared" si="98"/>
        <v/>
      </c>
      <c r="V1600" s="1" t="str">
        <f>_xlfn.XLOOKUP(C1600,Payers!$A$2:$A$9,Payers!$B$2:$B$9)</f>
        <v>Self-Pay</v>
      </c>
      <c r="W1600" s="1" t="str">
        <f t="shared" si="99"/>
        <v>2026-07</v>
      </c>
    </row>
    <row r="1601" spans="1:23">
      <c r="A1601" s="1" t="s">
        <v>2939</v>
      </c>
      <c r="B1601" s="1" t="s">
        <v>2940</v>
      </c>
      <c r="C1601" s="1" t="s">
        <v>60</v>
      </c>
      <c r="D1601" s="1" t="s">
        <v>19</v>
      </c>
      <c r="E1601" s="1" t="s">
        <v>41</v>
      </c>
      <c r="F1601">
        <v>1</v>
      </c>
      <c r="G1601" s="2">
        <v>46000</v>
      </c>
      <c r="H1601" s="2">
        <v>46001</v>
      </c>
      <c r="I1601">
        <v>38.270000000000003</v>
      </c>
      <c r="J1601">
        <v>16.329999999999998</v>
      </c>
      <c r="K1601">
        <v>13.06</v>
      </c>
      <c r="L1601">
        <v>3.27</v>
      </c>
      <c r="M1601" s="1" t="s">
        <v>21</v>
      </c>
      <c r="N1601" s="1" t="s">
        <v>22</v>
      </c>
      <c r="O1601" s="2">
        <v>46043</v>
      </c>
      <c r="P1601" s="2">
        <v>46043</v>
      </c>
      <c r="Q1601">
        <f>_xlfn.XLOOKUP(E1601,CPT!$A$2:$A$13,CPT!$D$2:$D$13)</f>
        <v>38</v>
      </c>
      <c r="R1601" s="1">
        <f>_xlfn.XLOOKUP(C1601,Contract!$A$2:$A$9,Contract!$B$2:$B$9)</f>
        <v>0.45</v>
      </c>
      <c r="S1601" s="1">
        <f t="shared" si="96"/>
        <v>17.100000000000001</v>
      </c>
      <c r="T1601" s="1">
        <f t="shared" si="97"/>
        <v>0.77000000000000313</v>
      </c>
      <c r="U1601" s="1" t="str">
        <f t="shared" si="98"/>
        <v>OK</v>
      </c>
      <c r="V1601" s="1" t="str">
        <f>_xlfn.XLOOKUP(C1601,Payers!$A$2:$A$9,Payers!$B$2:$B$9)</f>
        <v>Blue Horizon Commercial</v>
      </c>
      <c r="W1601" s="1" t="str">
        <f t="shared" si="99"/>
        <v>2025-12</v>
      </c>
    </row>
    <row r="1602" spans="1:23">
      <c r="A1602" s="1" t="s">
        <v>2941</v>
      </c>
      <c r="B1602" s="1" t="s">
        <v>2942</v>
      </c>
      <c r="C1602" s="1" t="s">
        <v>25</v>
      </c>
      <c r="D1602" s="1" t="s">
        <v>37</v>
      </c>
      <c r="E1602" s="1" t="s">
        <v>57</v>
      </c>
      <c r="F1602">
        <v>1</v>
      </c>
      <c r="G1602" s="2">
        <v>46209</v>
      </c>
      <c r="H1602" s="2">
        <v>46217</v>
      </c>
      <c r="I1602">
        <v>209.38</v>
      </c>
      <c r="J1602">
        <v>65.709999999999994</v>
      </c>
      <c r="K1602">
        <v>52.57</v>
      </c>
      <c r="L1602">
        <v>13.14</v>
      </c>
      <c r="M1602" s="1" t="s">
        <v>21</v>
      </c>
      <c r="N1602" s="1" t="s">
        <v>22</v>
      </c>
      <c r="O1602" s="2">
        <v>46228</v>
      </c>
      <c r="P1602" s="2">
        <v>46228</v>
      </c>
      <c r="Q1602">
        <f>_xlfn.XLOOKUP(E1602,CPT!$A$2:$A$13,CPT!$D$2:$D$13)</f>
        <v>210</v>
      </c>
      <c r="R1602" s="1">
        <f>_xlfn.XLOOKUP(C1602,Contract!$A$2:$A$9,Contract!$B$2:$B$9)</f>
        <v>0.36</v>
      </c>
      <c r="S1602" s="1">
        <f t="shared" ref="S1602:S1665" si="100">ROUND(Q1602*F1602*R1602,2)</f>
        <v>75.599999999999994</v>
      </c>
      <c r="T1602" s="1">
        <f t="shared" ref="T1602:T1665" si="101">IF(M1602="Paid",S1602-J1602,"")</f>
        <v>9.89</v>
      </c>
      <c r="U1602" s="1" t="str">
        <f t="shared" ref="U1602:U1665" si="102">IF(M1602&lt;&gt;"Paid","",IF(T1602&gt;S1602*0.05,"Underpaid","OK"))</f>
        <v>Underpaid</v>
      </c>
      <c r="V1602" s="1" t="str">
        <f>_xlfn.XLOOKUP(C1602,Payers!$A$2:$A$9,Payers!$B$2:$B$9)</f>
        <v>Medicare Part B</v>
      </c>
      <c r="W1602" s="1" t="str">
        <f t="shared" ref="W1602:W1665" si="103">TEXT(G1602,"yyyy-mm")</f>
        <v>2026-07</v>
      </c>
    </row>
    <row r="1603" spans="1:23">
      <c r="A1603" s="1" t="s">
        <v>2943</v>
      </c>
      <c r="B1603" s="1" t="s">
        <v>2944</v>
      </c>
      <c r="C1603" s="1" t="s">
        <v>60</v>
      </c>
      <c r="D1603" s="1" t="s">
        <v>26</v>
      </c>
      <c r="E1603" s="1" t="s">
        <v>88</v>
      </c>
      <c r="F1603">
        <v>1</v>
      </c>
      <c r="G1603" s="2">
        <v>46054</v>
      </c>
      <c r="H1603" s="2">
        <v>46061</v>
      </c>
      <c r="I1603">
        <v>258.74</v>
      </c>
      <c r="J1603">
        <v>98.63</v>
      </c>
      <c r="K1603">
        <v>98.63</v>
      </c>
      <c r="L1603">
        <v>0</v>
      </c>
      <c r="M1603" s="1" t="s">
        <v>21</v>
      </c>
      <c r="N1603" s="1" t="s">
        <v>22</v>
      </c>
      <c r="O1603" s="2">
        <v>46082</v>
      </c>
      <c r="P1603" s="2">
        <v>46082</v>
      </c>
      <c r="Q1603">
        <f>_xlfn.XLOOKUP(E1603,CPT!$A$2:$A$13,CPT!$D$2:$D$13)</f>
        <v>260</v>
      </c>
      <c r="R1603" s="1">
        <f>_xlfn.XLOOKUP(C1603,Contract!$A$2:$A$9,Contract!$B$2:$B$9)</f>
        <v>0.45</v>
      </c>
      <c r="S1603" s="1">
        <f t="shared" si="100"/>
        <v>117</v>
      </c>
      <c r="T1603" s="1">
        <f t="shared" si="101"/>
        <v>18.370000000000005</v>
      </c>
      <c r="U1603" s="1" t="str">
        <f t="shared" si="102"/>
        <v>Underpaid</v>
      </c>
      <c r="V1603" s="1" t="str">
        <f>_xlfn.XLOOKUP(C1603,Payers!$A$2:$A$9,Payers!$B$2:$B$9)</f>
        <v>Blue Horizon Commercial</v>
      </c>
      <c r="W1603" s="1" t="str">
        <f t="shared" si="103"/>
        <v>2026-02</v>
      </c>
    </row>
    <row r="1604" spans="1:23">
      <c r="A1604" s="1" t="s">
        <v>2945</v>
      </c>
      <c r="B1604" s="1" t="s">
        <v>498</v>
      </c>
      <c r="C1604" s="1" t="s">
        <v>60</v>
      </c>
      <c r="D1604" s="1" t="s">
        <v>19</v>
      </c>
      <c r="E1604" s="1" t="s">
        <v>57</v>
      </c>
      <c r="F1604">
        <v>1</v>
      </c>
      <c r="G1604" s="2">
        <v>46167</v>
      </c>
      <c r="H1604" s="2">
        <v>46176</v>
      </c>
      <c r="I1604">
        <v>216.09</v>
      </c>
      <c r="J1604">
        <v>85.93</v>
      </c>
      <c r="K1604">
        <v>77.34</v>
      </c>
      <c r="L1604">
        <v>8.59</v>
      </c>
      <c r="M1604" s="1" t="s">
        <v>21</v>
      </c>
      <c r="N1604" s="1" t="s">
        <v>22</v>
      </c>
      <c r="O1604" s="2">
        <v>46207</v>
      </c>
      <c r="P1604" s="2">
        <v>46207</v>
      </c>
      <c r="Q1604">
        <f>_xlfn.XLOOKUP(E1604,CPT!$A$2:$A$13,CPT!$D$2:$D$13)</f>
        <v>210</v>
      </c>
      <c r="R1604" s="1">
        <f>_xlfn.XLOOKUP(C1604,Contract!$A$2:$A$9,Contract!$B$2:$B$9)</f>
        <v>0.45</v>
      </c>
      <c r="S1604" s="1">
        <f t="shared" si="100"/>
        <v>94.5</v>
      </c>
      <c r="T1604" s="1">
        <f t="shared" si="101"/>
        <v>8.5699999999999932</v>
      </c>
      <c r="U1604" s="1" t="str">
        <f t="shared" si="102"/>
        <v>Underpaid</v>
      </c>
      <c r="V1604" s="1" t="str">
        <f>_xlfn.XLOOKUP(C1604,Payers!$A$2:$A$9,Payers!$B$2:$B$9)</f>
        <v>Blue Horizon Commercial</v>
      </c>
      <c r="W1604" s="1" t="str">
        <f t="shared" si="103"/>
        <v>2026-05</v>
      </c>
    </row>
    <row r="1605" spans="1:23">
      <c r="A1605" s="1" t="s">
        <v>2946</v>
      </c>
      <c r="B1605" s="1" t="s">
        <v>1318</v>
      </c>
      <c r="C1605" s="1" t="s">
        <v>18</v>
      </c>
      <c r="D1605" s="1" t="s">
        <v>26</v>
      </c>
      <c r="E1605" s="1" t="s">
        <v>41</v>
      </c>
      <c r="F1605">
        <v>1</v>
      </c>
      <c r="G1605" s="2">
        <v>45934</v>
      </c>
      <c r="H1605" s="2">
        <v>45937</v>
      </c>
      <c r="I1605">
        <v>37.270000000000003</v>
      </c>
      <c r="J1605">
        <v>12.48</v>
      </c>
      <c r="K1605">
        <v>12.48</v>
      </c>
      <c r="L1605">
        <v>0</v>
      </c>
      <c r="M1605" s="1" t="s">
        <v>21</v>
      </c>
      <c r="N1605" s="1" t="s">
        <v>22</v>
      </c>
      <c r="O1605" s="2">
        <v>45984</v>
      </c>
      <c r="P1605" s="2">
        <v>45984</v>
      </c>
      <c r="Q1605">
        <f>_xlfn.XLOOKUP(E1605,CPT!$A$2:$A$13,CPT!$D$2:$D$13)</f>
        <v>38</v>
      </c>
      <c r="R1605" s="1">
        <f>_xlfn.XLOOKUP(C1605,Contract!$A$2:$A$9,Contract!$B$2:$B$9)</f>
        <v>0.38</v>
      </c>
      <c r="S1605" s="1">
        <f t="shared" si="100"/>
        <v>14.44</v>
      </c>
      <c r="T1605" s="1">
        <f t="shared" si="101"/>
        <v>1.9599999999999991</v>
      </c>
      <c r="U1605" s="1" t="str">
        <f t="shared" si="102"/>
        <v>Underpaid</v>
      </c>
      <c r="V1605" s="1" t="str">
        <f>_xlfn.XLOOKUP(C1605,Payers!$A$2:$A$9,Payers!$B$2:$B$9)</f>
        <v>Sunshine Medicare Advantage</v>
      </c>
      <c r="W1605" s="1" t="str">
        <f t="shared" si="103"/>
        <v>2025-10</v>
      </c>
    </row>
    <row r="1606" spans="1:23">
      <c r="A1606" s="1" t="s">
        <v>2947</v>
      </c>
      <c r="B1606" s="1" t="s">
        <v>2008</v>
      </c>
      <c r="C1606" s="1" t="s">
        <v>52</v>
      </c>
      <c r="D1606" s="1" t="s">
        <v>19</v>
      </c>
      <c r="E1606" s="1" t="s">
        <v>20</v>
      </c>
      <c r="F1606">
        <v>1</v>
      </c>
      <c r="G1606" s="2">
        <v>46181</v>
      </c>
      <c r="H1606" s="2">
        <v>46186</v>
      </c>
      <c r="I1606">
        <v>146.94</v>
      </c>
      <c r="J1606">
        <v>68</v>
      </c>
      <c r="K1606">
        <v>68</v>
      </c>
      <c r="L1606">
        <v>0</v>
      </c>
      <c r="M1606" s="1" t="s">
        <v>21</v>
      </c>
      <c r="N1606" s="1" t="s">
        <v>22</v>
      </c>
      <c r="O1606" s="2">
        <v>46233</v>
      </c>
      <c r="P1606" s="2">
        <v>46233</v>
      </c>
      <c r="Q1606">
        <f>_xlfn.XLOOKUP(E1606,CPT!$A$2:$A$13,CPT!$D$2:$D$13)</f>
        <v>145</v>
      </c>
      <c r="R1606" s="1">
        <f>_xlfn.XLOOKUP(C1606,Contract!$A$2:$A$9,Contract!$B$2:$B$9)</f>
        <v>0.47</v>
      </c>
      <c r="S1606" s="1">
        <f t="shared" si="100"/>
        <v>68.150000000000006</v>
      </c>
      <c r="T1606" s="1">
        <f t="shared" si="101"/>
        <v>0.15000000000000568</v>
      </c>
      <c r="U1606" s="1" t="str">
        <f t="shared" si="102"/>
        <v>OK</v>
      </c>
      <c r="V1606" s="1" t="str">
        <f>_xlfn.XLOOKUP(C1606,Payers!$A$2:$A$9,Payers!$B$2:$B$9)</f>
        <v>Keystone Commercial PPO</v>
      </c>
      <c r="W1606" s="1" t="str">
        <f t="shared" si="103"/>
        <v>2026-06</v>
      </c>
    </row>
    <row r="1607" spans="1:23">
      <c r="A1607" s="1" t="s">
        <v>2948</v>
      </c>
      <c r="B1607" s="1" t="s">
        <v>51</v>
      </c>
      <c r="C1607" s="1" t="s">
        <v>18</v>
      </c>
      <c r="D1607" s="1" t="s">
        <v>19</v>
      </c>
      <c r="E1607" s="1" t="s">
        <v>20</v>
      </c>
      <c r="F1607">
        <v>1</v>
      </c>
      <c r="G1607" s="2">
        <v>46091</v>
      </c>
      <c r="H1607" s="2">
        <v>46094</v>
      </c>
      <c r="I1607">
        <v>145.6</v>
      </c>
      <c r="J1607">
        <v>49.93</v>
      </c>
      <c r="K1607">
        <v>49.93</v>
      </c>
      <c r="L1607">
        <v>0</v>
      </c>
      <c r="M1607" s="1" t="s">
        <v>21</v>
      </c>
      <c r="N1607" s="1" t="s">
        <v>22</v>
      </c>
      <c r="O1607" s="2">
        <v>46127</v>
      </c>
      <c r="P1607" s="2">
        <v>46127</v>
      </c>
      <c r="Q1607">
        <f>_xlfn.XLOOKUP(E1607,CPT!$A$2:$A$13,CPT!$D$2:$D$13)</f>
        <v>145</v>
      </c>
      <c r="R1607" s="1">
        <f>_xlfn.XLOOKUP(C1607,Contract!$A$2:$A$9,Contract!$B$2:$B$9)</f>
        <v>0.38</v>
      </c>
      <c r="S1607" s="1">
        <f t="shared" si="100"/>
        <v>55.1</v>
      </c>
      <c r="T1607" s="1">
        <f t="shared" si="101"/>
        <v>5.1700000000000017</v>
      </c>
      <c r="U1607" s="1" t="str">
        <f t="shared" si="102"/>
        <v>Underpaid</v>
      </c>
      <c r="V1607" s="1" t="str">
        <f>_xlfn.XLOOKUP(C1607,Payers!$A$2:$A$9,Payers!$B$2:$B$9)</f>
        <v>Sunshine Medicare Advantage</v>
      </c>
      <c r="W1607" s="1" t="str">
        <f t="shared" si="103"/>
        <v>2026-03</v>
      </c>
    </row>
    <row r="1608" spans="1:23">
      <c r="A1608" s="1" t="s">
        <v>2949</v>
      </c>
      <c r="B1608" s="1" t="s">
        <v>542</v>
      </c>
      <c r="C1608" s="1" t="s">
        <v>18</v>
      </c>
      <c r="D1608" s="1" t="s">
        <v>19</v>
      </c>
      <c r="E1608" s="1" t="s">
        <v>20</v>
      </c>
      <c r="F1608">
        <v>1</v>
      </c>
      <c r="G1608" s="2">
        <v>46104</v>
      </c>
      <c r="H1608" s="2">
        <v>46107</v>
      </c>
      <c r="I1608">
        <v>148.63</v>
      </c>
      <c r="J1608">
        <v>60.38</v>
      </c>
      <c r="K1608">
        <v>48.3</v>
      </c>
      <c r="L1608">
        <v>12.08</v>
      </c>
      <c r="M1608" s="1" t="s">
        <v>21</v>
      </c>
      <c r="N1608" s="1" t="s">
        <v>22</v>
      </c>
      <c r="O1608" s="2">
        <v>46162</v>
      </c>
      <c r="P1608" s="2">
        <v>46162</v>
      </c>
      <c r="Q1608">
        <f>_xlfn.XLOOKUP(E1608,CPT!$A$2:$A$13,CPT!$D$2:$D$13)</f>
        <v>145</v>
      </c>
      <c r="R1608" s="1">
        <f>_xlfn.XLOOKUP(C1608,Contract!$A$2:$A$9,Contract!$B$2:$B$9)</f>
        <v>0.38</v>
      </c>
      <c r="S1608" s="1">
        <f t="shared" si="100"/>
        <v>55.1</v>
      </c>
      <c r="T1608" s="1">
        <f t="shared" si="101"/>
        <v>-5.2800000000000011</v>
      </c>
      <c r="U1608" s="1" t="str">
        <f t="shared" si="102"/>
        <v>OK</v>
      </c>
      <c r="V1608" s="1" t="str">
        <f>_xlfn.XLOOKUP(C1608,Payers!$A$2:$A$9,Payers!$B$2:$B$9)</f>
        <v>Sunshine Medicare Advantage</v>
      </c>
      <c r="W1608" s="1" t="str">
        <f t="shared" si="103"/>
        <v>2026-03</v>
      </c>
    </row>
    <row r="1609" spans="1:23">
      <c r="A1609" s="1" t="s">
        <v>2950</v>
      </c>
      <c r="B1609" s="1" t="s">
        <v>2613</v>
      </c>
      <c r="C1609" s="1" t="s">
        <v>47</v>
      </c>
      <c r="D1609" s="1" t="s">
        <v>30</v>
      </c>
      <c r="E1609" s="1" t="s">
        <v>20</v>
      </c>
      <c r="F1609">
        <v>1</v>
      </c>
      <c r="G1609" s="2">
        <v>46176</v>
      </c>
      <c r="H1609" s="2">
        <v>46183</v>
      </c>
      <c r="I1609">
        <v>148.47</v>
      </c>
      <c r="J1609">
        <v>38.99</v>
      </c>
      <c r="K1609">
        <v>38.99</v>
      </c>
      <c r="L1609">
        <v>0</v>
      </c>
      <c r="M1609" s="1" t="s">
        <v>21</v>
      </c>
      <c r="N1609" s="1" t="s">
        <v>22</v>
      </c>
      <c r="O1609" s="2">
        <v>46238</v>
      </c>
      <c r="P1609" s="2">
        <v>46238</v>
      </c>
      <c r="Q1609">
        <f>_xlfn.XLOOKUP(E1609,CPT!$A$2:$A$13,CPT!$D$2:$D$13)</f>
        <v>145</v>
      </c>
      <c r="R1609" s="1">
        <f>_xlfn.XLOOKUP(C1609,Contract!$A$2:$A$9,Contract!$B$2:$B$9)</f>
        <v>0.28000000000000003</v>
      </c>
      <c r="S1609" s="1">
        <f t="shared" si="100"/>
        <v>40.6</v>
      </c>
      <c r="T1609" s="1">
        <f t="shared" si="101"/>
        <v>1.6099999999999994</v>
      </c>
      <c r="U1609" s="1" t="str">
        <f t="shared" si="102"/>
        <v>OK</v>
      </c>
      <c r="V1609" s="1" t="str">
        <f>_xlfn.XLOOKUP(C1609,Payers!$A$2:$A$9,Payers!$B$2:$B$9)</f>
        <v>Coastal Medicaid MCO</v>
      </c>
      <c r="W1609" s="1" t="str">
        <f t="shared" si="103"/>
        <v>2026-06</v>
      </c>
    </row>
    <row r="1610" spans="1:23">
      <c r="A1610" s="1" t="s">
        <v>2951</v>
      </c>
      <c r="B1610" s="1" t="s">
        <v>2952</v>
      </c>
      <c r="C1610" s="1" t="s">
        <v>60</v>
      </c>
      <c r="D1610" s="1" t="s">
        <v>26</v>
      </c>
      <c r="E1610" s="1" t="s">
        <v>27</v>
      </c>
      <c r="F1610">
        <v>1</v>
      </c>
      <c r="G1610" s="2">
        <v>46175</v>
      </c>
      <c r="H1610" s="2">
        <v>46176</v>
      </c>
      <c r="I1610">
        <v>235.14</v>
      </c>
      <c r="J1610">
        <v>109.6</v>
      </c>
      <c r="K1610">
        <v>109.6</v>
      </c>
      <c r="L1610">
        <v>0</v>
      </c>
      <c r="M1610" s="1" t="s">
        <v>21</v>
      </c>
      <c r="N1610" s="1" t="s">
        <v>22</v>
      </c>
      <c r="O1610" s="2">
        <v>46192</v>
      </c>
      <c r="P1610" s="2">
        <v>46192</v>
      </c>
      <c r="Q1610">
        <f>_xlfn.XLOOKUP(E1610,CPT!$A$2:$A$13,CPT!$D$2:$D$13)</f>
        <v>240</v>
      </c>
      <c r="R1610" s="1">
        <f>_xlfn.XLOOKUP(C1610,Contract!$A$2:$A$9,Contract!$B$2:$B$9)</f>
        <v>0.45</v>
      </c>
      <c r="S1610" s="1">
        <f t="shared" si="100"/>
        <v>108</v>
      </c>
      <c r="T1610" s="1">
        <f t="shared" si="101"/>
        <v>-1.5999999999999943</v>
      </c>
      <c r="U1610" s="1" t="str">
        <f t="shared" si="102"/>
        <v>OK</v>
      </c>
      <c r="V1610" s="1" t="str">
        <f>_xlfn.XLOOKUP(C1610,Payers!$A$2:$A$9,Payers!$B$2:$B$9)</f>
        <v>Blue Horizon Commercial</v>
      </c>
      <c r="W1610" s="1" t="str">
        <f t="shared" si="103"/>
        <v>2026-06</v>
      </c>
    </row>
    <row r="1611" spans="1:23">
      <c r="A1611" s="1" t="s">
        <v>2953</v>
      </c>
      <c r="B1611" s="1" t="s">
        <v>2954</v>
      </c>
      <c r="C1611" s="1" t="s">
        <v>60</v>
      </c>
      <c r="D1611" s="1" t="s">
        <v>37</v>
      </c>
      <c r="E1611" s="1" t="s">
        <v>38</v>
      </c>
      <c r="F1611">
        <v>20</v>
      </c>
      <c r="G1611" s="2">
        <v>45976</v>
      </c>
      <c r="H1611" s="2">
        <v>45994</v>
      </c>
      <c r="I1611">
        <v>28615.02</v>
      </c>
      <c r="J1611">
        <v>13802.74</v>
      </c>
      <c r="K1611">
        <v>13802.74</v>
      </c>
      <c r="L1611">
        <v>0</v>
      </c>
      <c r="M1611" s="1" t="s">
        <v>21</v>
      </c>
      <c r="N1611" s="1" t="s">
        <v>22</v>
      </c>
      <c r="O1611" s="2">
        <v>46019</v>
      </c>
      <c r="P1611" s="2">
        <v>46019</v>
      </c>
      <c r="Q1611">
        <f>_xlfn.XLOOKUP(E1611,CPT!$A$2:$A$13,CPT!$D$2:$D$13)</f>
        <v>1450</v>
      </c>
      <c r="R1611" s="1">
        <f>_xlfn.XLOOKUP(C1611,Contract!$A$2:$A$9,Contract!$B$2:$B$9)</f>
        <v>0.45</v>
      </c>
      <c r="S1611" s="1">
        <f t="shared" si="100"/>
        <v>13050</v>
      </c>
      <c r="T1611" s="1">
        <f t="shared" si="101"/>
        <v>-752.73999999999978</v>
      </c>
      <c r="U1611" s="1" t="str">
        <f t="shared" si="102"/>
        <v>OK</v>
      </c>
      <c r="V1611" s="1" t="str">
        <f>_xlfn.XLOOKUP(C1611,Payers!$A$2:$A$9,Payers!$B$2:$B$9)</f>
        <v>Blue Horizon Commercial</v>
      </c>
      <c r="W1611" s="1" t="str">
        <f t="shared" si="103"/>
        <v>2025-11</v>
      </c>
    </row>
    <row r="1612" spans="1:23">
      <c r="A1612" s="1" t="s">
        <v>2955</v>
      </c>
      <c r="B1612" s="1" t="s">
        <v>2956</v>
      </c>
      <c r="C1612" s="1" t="s">
        <v>25</v>
      </c>
      <c r="D1612" s="1" t="s">
        <v>19</v>
      </c>
      <c r="E1612" s="1" t="s">
        <v>88</v>
      </c>
      <c r="F1612">
        <v>1</v>
      </c>
      <c r="G1612" s="2">
        <v>46294</v>
      </c>
      <c r="H1612" s="2">
        <v>46295</v>
      </c>
      <c r="I1612">
        <v>255.26</v>
      </c>
      <c r="M1612" s="1" t="s">
        <v>69</v>
      </c>
      <c r="N1612" s="1" t="s">
        <v>22</v>
      </c>
      <c r="O1612" s="2"/>
      <c r="P1612" s="2"/>
      <c r="Q1612">
        <f>_xlfn.XLOOKUP(E1612,CPT!$A$2:$A$13,CPT!$D$2:$D$13)</f>
        <v>260</v>
      </c>
      <c r="R1612" s="1">
        <f>_xlfn.XLOOKUP(C1612,Contract!$A$2:$A$9,Contract!$B$2:$B$9)</f>
        <v>0.36</v>
      </c>
      <c r="S1612" s="1">
        <f t="shared" si="100"/>
        <v>93.6</v>
      </c>
      <c r="T1612" s="1" t="str">
        <f t="shared" si="101"/>
        <v/>
      </c>
      <c r="U1612" s="1" t="str">
        <f t="shared" si="102"/>
        <v/>
      </c>
      <c r="V1612" s="1" t="str">
        <f>_xlfn.XLOOKUP(C1612,Payers!$A$2:$A$9,Payers!$B$2:$B$9)</f>
        <v>Medicare Part B</v>
      </c>
      <c r="W1612" s="1" t="str">
        <f t="shared" si="103"/>
        <v>2026-09</v>
      </c>
    </row>
    <row r="1613" spans="1:23">
      <c r="A1613" s="1" t="s">
        <v>2957</v>
      </c>
      <c r="B1613" s="1" t="s">
        <v>2958</v>
      </c>
      <c r="C1613" s="1" t="s">
        <v>47</v>
      </c>
      <c r="D1613" s="1" t="s">
        <v>30</v>
      </c>
      <c r="E1613" s="1" t="s">
        <v>91</v>
      </c>
      <c r="F1613">
        <v>1</v>
      </c>
      <c r="G1613" s="2">
        <v>46287</v>
      </c>
      <c r="H1613" s="2">
        <v>46288</v>
      </c>
      <c r="I1613">
        <v>57.02</v>
      </c>
      <c r="M1613" s="1" t="s">
        <v>69</v>
      </c>
      <c r="N1613" s="1" t="s">
        <v>22</v>
      </c>
      <c r="O1613" s="2"/>
      <c r="P1613" s="2"/>
      <c r="Q1613">
        <f>_xlfn.XLOOKUP(E1613,CPT!$A$2:$A$13,CPT!$D$2:$D$13)</f>
        <v>58</v>
      </c>
      <c r="R1613" s="1">
        <f>_xlfn.XLOOKUP(C1613,Contract!$A$2:$A$9,Contract!$B$2:$B$9)</f>
        <v>0.28000000000000003</v>
      </c>
      <c r="S1613" s="1">
        <f t="shared" si="100"/>
        <v>16.239999999999998</v>
      </c>
      <c r="T1613" s="1" t="str">
        <f t="shared" si="101"/>
        <v/>
      </c>
      <c r="U1613" s="1" t="str">
        <f t="shared" si="102"/>
        <v/>
      </c>
      <c r="V1613" s="1" t="str">
        <f>_xlfn.XLOOKUP(C1613,Payers!$A$2:$A$9,Payers!$B$2:$B$9)</f>
        <v>Coastal Medicaid MCO</v>
      </c>
      <c r="W1613" s="1" t="str">
        <f t="shared" si="103"/>
        <v>2026-09</v>
      </c>
    </row>
    <row r="1614" spans="1:23">
      <c r="A1614" s="1" t="s">
        <v>2959</v>
      </c>
      <c r="B1614" s="1" t="s">
        <v>2960</v>
      </c>
      <c r="C1614" s="1" t="s">
        <v>76</v>
      </c>
      <c r="D1614" s="1" t="s">
        <v>37</v>
      </c>
      <c r="E1614" s="1" t="s">
        <v>38</v>
      </c>
      <c r="F1614">
        <v>5</v>
      </c>
      <c r="G1614" s="2">
        <v>46030</v>
      </c>
      <c r="H1614" s="2">
        <v>46036</v>
      </c>
      <c r="I1614">
        <v>7423.35</v>
      </c>
      <c r="J1614">
        <v>3092.45</v>
      </c>
      <c r="K1614">
        <v>2473.96</v>
      </c>
      <c r="L1614">
        <v>618.49</v>
      </c>
      <c r="M1614" s="1" t="s">
        <v>21</v>
      </c>
      <c r="N1614" s="1" t="s">
        <v>22</v>
      </c>
      <c r="O1614" s="2">
        <v>46075</v>
      </c>
      <c r="P1614" s="2">
        <v>46075</v>
      </c>
      <c r="Q1614">
        <f>_xlfn.XLOOKUP(E1614,CPT!$A$2:$A$13,CPT!$D$2:$D$13)</f>
        <v>1450</v>
      </c>
      <c r="R1614" s="1">
        <f>_xlfn.XLOOKUP(C1614,Contract!$A$2:$A$9,Contract!$B$2:$B$9)</f>
        <v>0.43</v>
      </c>
      <c r="S1614" s="1">
        <f t="shared" si="100"/>
        <v>3117.5</v>
      </c>
      <c r="T1614" s="1">
        <f t="shared" si="101"/>
        <v>25.050000000000182</v>
      </c>
      <c r="U1614" s="1" t="str">
        <f t="shared" si="102"/>
        <v>OK</v>
      </c>
      <c r="V1614" s="1" t="str">
        <f>_xlfn.XLOOKUP(C1614,Payers!$A$2:$A$9,Payers!$B$2:$B$9)</f>
        <v>Summit Health Commercial</v>
      </c>
      <c r="W1614" s="1" t="str">
        <f t="shared" si="103"/>
        <v>2026-01</v>
      </c>
    </row>
    <row r="1615" spans="1:23">
      <c r="A1615" s="1" t="s">
        <v>2961</v>
      </c>
      <c r="B1615" s="1" t="s">
        <v>688</v>
      </c>
      <c r="C1615" s="1" t="s">
        <v>60</v>
      </c>
      <c r="D1615" s="1" t="s">
        <v>26</v>
      </c>
      <c r="E1615" s="1" t="s">
        <v>44</v>
      </c>
      <c r="F1615">
        <v>1</v>
      </c>
      <c r="G1615" s="2">
        <v>46235</v>
      </c>
      <c r="H1615" s="2">
        <v>46243</v>
      </c>
      <c r="I1615">
        <v>4722.47</v>
      </c>
      <c r="J1615">
        <v>2029.81</v>
      </c>
      <c r="K1615">
        <v>2029.81</v>
      </c>
      <c r="L1615">
        <v>0</v>
      </c>
      <c r="M1615" s="1" t="s">
        <v>21</v>
      </c>
      <c r="N1615" s="1" t="s">
        <v>22</v>
      </c>
      <c r="O1615" s="2">
        <v>46265</v>
      </c>
      <c r="P1615" s="2">
        <v>46265</v>
      </c>
      <c r="Q1615">
        <f>_xlfn.XLOOKUP(E1615,CPT!$A$2:$A$13,CPT!$D$2:$D$13)</f>
        <v>4800</v>
      </c>
      <c r="R1615" s="1">
        <f>_xlfn.XLOOKUP(C1615,Contract!$A$2:$A$9,Contract!$B$2:$B$9)</f>
        <v>0.45</v>
      </c>
      <c r="S1615" s="1">
        <f t="shared" si="100"/>
        <v>2160</v>
      </c>
      <c r="T1615" s="1">
        <f t="shared" si="101"/>
        <v>130.19000000000005</v>
      </c>
      <c r="U1615" s="1" t="str">
        <f t="shared" si="102"/>
        <v>Underpaid</v>
      </c>
      <c r="V1615" s="1" t="str">
        <f>_xlfn.XLOOKUP(C1615,Payers!$A$2:$A$9,Payers!$B$2:$B$9)</f>
        <v>Blue Horizon Commercial</v>
      </c>
      <c r="W1615" s="1" t="str">
        <f t="shared" si="103"/>
        <v>2026-08</v>
      </c>
    </row>
    <row r="1616" spans="1:23">
      <c r="A1616" s="1" t="s">
        <v>2962</v>
      </c>
      <c r="B1616" s="1" t="s">
        <v>2963</v>
      </c>
      <c r="C1616" s="1" t="s">
        <v>18</v>
      </c>
      <c r="D1616" s="1" t="s">
        <v>19</v>
      </c>
      <c r="E1616" s="1" t="s">
        <v>57</v>
      </c>
      <c r="F1616">
        <v>1</v>
      </c>
      <c r="G1616" s="2">
        <v>46281</v>
      </c>
      <c r="H1616" s="2">
        <v>46282</v>
      </c>
      <c r="I1616">
        <v>203.99</v>
      </c>
      <c r="M1616" s="1" t="s">
        <v>69</v>
      </c>
      <c r="N1616" s="1" t="s">
        <v>22</v>
      </c>
      <c r="O1616" s="2"/>
      <c r="P1616" s="2"/>
      <c r="Q1616">
        <f>_xlfn.XLOOKUP(E1616,CPT!$A$2:$A$13,CPT!$D$2:$D$13)</f>
        <v>210</v>
      </c>
      <c r="R1616" s="1">
        <f>_xlfn.XLOOKUP(C1616,Contract!$A$2:$A$9,Contract!$B$2:$B$9)</f>
        <v>0.38</v>
      </c>
      <c r="S1616" s="1">
        <f t="shared" si="100"/>
        <v>79.8</v>
      </c>
      <c r="T1616" s="1" t="str">
        <f t="shared" si="101"/>
        <v/>
      </c>
      <c r="U1616" s="1" t="str">
        <f t="shared" si="102"/>
        <v/>
      </c>
      <c r="V1616" s="1" t="str">
        <f>_xlfn.XLOOKUP(C1616,Payers!$A$2:$A$9,Payers!$B$2:$B$9)</f>
        <v>Sunshine Medicare Advantage</v>
      </c>
      <c r="W1616" s="1" t="str">
        <f t="shared" si="103"/>
        <v>2026-09</v>
      </c>
    </row>
    <row r="1617" spans="1:23">
      <c r="A1617" s="1" t="s">
        <v>2964</v>
      </c>
      <c r="B1617" s="1" t="s">
        <v>2965</v>
      </c>
      <c r="C1617" s="1" t="s">
        <v>76</v>
      </c>
      <c r="D1617" s="1" t="s">
        <v>26</v>
      </c>
      <c r="E1617" s="1" t="s">
        <v>185</v>
      </c>
      <c r="F1617">
        <v>1</v>
      </c>
      <c r="G1617" s="2">
        <v>46242</v>
      </c>
      <c r="H1617" s="2">
        <v>46254</v>
      </c>
      <c r="I1617">
        <v>1118.32</v>
      </c>
      <c r="J1617">
        <v>545.87</v>
      </c>
      <c r="K1617">
        <v>545.87</v>
      </c>
      <c r="L1617">
        <v>0</v>
      </c>
      <c r="M1617" s="1" t="s">
        <v>21</v>
      </c>
      <c r="N1617" s="1" t="s">
        <v>22</v>
      </c>
      <c r="O1617" s="2">
        <v>46276</v>
      </c>
      <c r="P1617" s="2">
        <v>46276</v>
      </c>
      <c r="Q1617">
        <f>_xlfn.XLOOKUP(E1617,CPT!$A$2:$A$13,CPT!$D$2:$D$13)</f>
        <v>1150</v>
      </c>
      <c r="R1617" s="1">
        <f>_xlfn.XLOOKUP(C1617,Contract!$A$2:$A$9,Contract!$B$2:$B$9)</f>
        <v>0.43</v>
      </c>
      <c r="S1617" s="1">
        <f t="shared" si="100"/>
        <v>494.5</v>
      </c>
      <c r="T1617" s="1">
        <f t="shared" si="101"/>
        <v>-51.370000000000005</v>
      </c>
      <c r="U1617" s="1" t="str">
        <f t="shared" si="102"/>
        <v>OK</v>
      </c>
      <c r="V1617" s="1" t="str">
        <f>_xlfn.XLOOKUP(C1617,Payers!$A$2:$A$9,Payers!$B$2:$B$9)</f>
        <v>Summit Health Commercial</v>
      </c>
      <c r="W1617" s="1" t="str">
        <f t="shared" si="103"/>
        <v>2026-08</v>
      </c>
    </row>
    <row r="1618" spans="1:23">
      <c r="A1618" s="1" t="s">
        <v>2966</v>
      </c>
      <c r="B1618" s="1" t="s">
        <v>223</v>
      </c>
      <c r="C1618" s="1" t="s">
        <v>76</v>
      </c>
      <c r="D1618" s="1" t="s">
        <v>30</v>
      </c>
      <c r="E1618" s="1" t="s">
        <v>31</v>
      </c>
      <c r="F1618">
        <v>1</v>
      </c>
      <c r="G1618" s="2">
        <v>46208</v>
      </c>
      <c r="H1618" s="2">
        <v>46210</v>
      </c>
      <c r="I1618">
        <v>60.39</v>
      </c>
      <c r="J1618">
        <v>28.24</v>
      </c>
      <c r="K1618">
        <v>22.59</v>
      </c>
      <c r="L1618">
        <v>5.65</v>
      </c>
      <c r="M1618" s="1" t="s">
        <v>21</v>
      </c>
      <c r="N1618" s="1" t="s">
        <v>22</v>
      </c>
      <c r="O1618" s="2">
        <v>46243</v>
      </c>
      <c r="P1618" s="2">
        <v>46243</v>
      </c>
      <c r="Q1618">
        <f>_xlfn.XLOOKUP(E1618,CPT!$A$2:$A$13,CPT!$D$2:$D$13)</f>
        <v>62</v>
      </c>
      <c r="R1618" s="1">
        <f>_xlfn.XLOOKUP(C1618,Contract!$A$2:$A$9,Contract!$B$2:$B$9)</f>
        <v>0.43</v>
      </c>
      <c r="S1618" s="1">
        <f t="shared" si="100"/>
        <v>26.66</v>
      </c>
      <c r="T1618" s="1">
        <f t="shared" si="101"/>
        <v>-1.5799999999999983</v>
      </c>
      <c r="U1618" s="1" t="str">
        <f t="shared" si="102"/>
        <v>OK</v>
      </c>
      <c r="V1618" s="1" t="str">
        <f>_xlfn.XLOOKUP(C1618,Payers!$A$2:$A$9,Payers!$B$2:$B$9)</f>
        <v>Summit Health Commercial</v>
      </c>
      <c r="W1618" s="1" t="str">
        <f t="shared" si="103"/>
        <v>2026-07</v>
      </c>
    </row>
    <row r="1619" spans="1:23">
      <c r="A1619" s="1" t="s">
        <v>2967</v>
      </c>
      <c r="B1619" s="1" t="s">
        <v>2968</v>
      </c>
      <c r="C1619" s="1" t="s">
        <v>76</v>
      </c>
      <c r="D1619" s="1" t="s">
        <v>19</v>
      </c>
      <c r="E1619" s="1" t="s">
        <v>88</v>
      </c>
      <c r="F1619">
        <v>1</v>
      </c>
      <c r="G1619" s="2">
        <v>46119</v>
      </c>
      <c r="H1619" s="2">
        <v>46122</v>
      </c>
      <c r="I1619">
        <v>267.31</v>
      </c>
      <c r="J1619">
        <v>110.48</v>
      </c>
      <c r="K1619">
        <v>110.48</v>
      </c>
      <c r="L1619">
        <v>0</v>
      </c>
      <c r="M1619" s="1" t="s">
        <v>21</v>
      </c>
      <c r="N1619" s="1" t="s">
        <v>22</v>
      </c>
      <c r="O1619" s="2">
        <v>46158</v>
      </c>
      <c r="P1619" s="2">
        <v>46158</v>
      </c>
      <c r="Q1619">
        <f>_xlfn.XLOOKUP(E1619,CPT!$A$2:$A$13,CPT!$D$2:$D$13)</f>
        <v>260</v>
      </c>
      <c r="R1619" s="1">
        <f>_xlfn.XLOOKUP(C1619,Contract!$A$2:$A$9,Contract!$B$2:$B$9)</f>
        <v>0.43</v>
      </c>
      <c r="S1619" s="1">
        <f t="shared" si="100"/>
        <v>111.8</v>
      </c>
      <c r="T1619" s="1">
        <f t="shared" si="101"/>
        <v>1.3199999999999932</v>
      </c>
      <c r="U1619" s="1" t="str">
        <f t="shared" si="102"/>
        <v>OK</v>
      </c>
      <c r="V1619" s="1" t="str">
        <f>_xlfn.XLOOKUP(C1619,Payers!$A$2:$A$9,Payers!$B$2:$B$9)</f>
        <v>Summit Health Commercial</v>
      </c>
      <c r="W1619" s="1" t="str">
        <f t="shared" si="103"/>
        <v>2026-04</v>
      </c>
    </row>
    <row r="1620" spans="1:23">
      <c r="A1620" s="1" t="s">
        <v>2969</v>
      </c>
      <c r="B1620" s="1" t="s">
        <v>2970</v>
      </c>
      <c r="C1620" s="1" t="s">
        <v>47</v>
      </c>
      <c r="D1620" s="1" t="s">
        <v>26</v>
      </c>
      <c r="E1620" s="1" t="s">
        <v>113</v>
      </c>
      <c r="F1620">
        <v>1</v>
      </c>
      <c r="G1620" s="2">
        <v>45974</v>
      </c>
      <c r="H1620" s="2">
        <v>45981</v>
      </c>
      <c r="I1620">
        <v>1054.43</v>
      </c>
      <c r="M1620" s="1" t="s">
        <v>32</v>
      </c>
      <c r="N1620" s="1" t="s">
        <v>315</v>
      </c>
      <c r="O1620" s="2">
        <v>46047</v>
      </c>
      <c r="P1620" s="2"/>
      <c r="Q1620">
        <f>_xlfn.XLOOKUP(E1620,CPT!$A$2:$A$13,CPT!$D$2:$D$13)</f>
        <v>1050</v>
      </c>
      <c r="R1620" s="1">
        <f>_xlfn.XLOOKUP(C1620,Contract!$A$2:$A$9,Contract!$B$2:$B$9)</f>
        <v>0.28000000000000003</v>
      </c>
      <c r="S1620" s="1">
        <f t="shared" si="100"/>
        <v>294</v>
      </c>
      <c r="T1620" s="1" t="str">
        <f t="shared" si="101"/>
        <v/>
      </c>
      <c r="U1620" s="1" t="str">
        <f t="shared" si="102"/>
        <v/>
      </c>
      <c r="V1620" s="1" t="str">
        <f>_xlfn.XLOOKUP(C1620,Payers!$A$2:$A$9,Payers!$B$2:$B$9)</f>
        <v>Coastal Medicaid MCO</v>
      </c>
      <c r="W1620" s="1" t="str">
        <f t="shared" si="103"/>
        <v>2025-11</v>
      </c>
    </row>
    <row r="1621" spans="1:23">
      <c r="A1621" s="1" t="s">
        <v>2971</v>
      </c>
      <c r="B1621" s="1" t="s">
        <v>2972</v>
      </c>
      <c r="C1621" s="1" t="s">
        <v>76</v>
      </c>
      <c r="D1621" s="1" t="s">
        <v>19</v>
      </c>
      <c r="E1621" s="1" t="s">
        <v>41</v>
      </c>
      <c r="F1621">
        <v>1</v>
      </c>
      <c r="G1621" s="2">
        <v>46031</v>
      </c>
      <c r="H1621" s="2">
        <v>46035</v>
      </c>
      <c r="I1621">
        <v>38.42</v>
      </c>
      <c r="J1621">
        <v>15.02</v>
      </c>
      <c r="K1621">
        <v>12.02</v>
      </c>
      <c r="L1621">
        <v>3</v>
      </c>
      <c r="M1621" s="1" t="s">
        <v>21</v>
      </c>
      <c r="N1621" s="1" t="s">
        <v>22</v>
      </c>
      <c r="O1621" s="2">
        <v>46050</v>
      </c>
      <c r="P1621" s="2">
        <v>46050</v>
      </c>
      <c r="Q1621">
        <f>_xlfn.XLOOKUP(E1621,CPT!$A$2:$A$13,CPT!$D$2:$D$13)</f>
        <v>38</v>
      </c>
      <c r="R1621" s="1">
        <f>_xlfn.XLOOKUP(C1621,Contract!$A$2:$A$9,Contract!$B$2:$B$9)</f>
        <v>0.43</v>
      </c>
      <c r="S1621" s="1">
        <f t="shared" si="100"/>
        <v>16.34</v>
      </c>
      <c r="T1621" s="1">
        <f t="shared" si="101"/>
        <v>1.3200000000000003</v>
      </c>
      <c r="U1621" s="1" t="str">
        <f t="shared" si="102"/>
        <v>Underpaid</v>
      </c>
      <c r="V1621" s="1" t="str">
        <f>_xlfn.XLOOKUP(C1621,Payers!$A$2:$A$9,Payers!$B$2:$B$9)</f>
        <v>Summit Health Commercial</v>
      </c>
      <c r="W1621" s="1" t="str">
        <f t="shared" si="103"/>
        <v>2026-01</v>
      </c>
    </row>
    <row r="1622" spans="1:23">
      <c r="A1622" s="1" t="s">
        <v>2973</v>
      </c>
      <c r="B1622" s="1" t="s">
        <v>1841</v>
      </c>
      <c r="C1622" s="1" t="s">
        <v>25</v>
      </c>
      <c r="D1622" s="1" t="s">
        <v>26</v>
      </c>
      <c r="E1622" s="1" t="s">
        <v>41</v>
      </c>
      <c r="F1622">
        <v>1</v>
      </c>
      <c r="G1622" s="2">
        <v>46016</v>
      </c>
      <c r="H1622" s="2">
        <v>46017</v>
      </c>
      <c r="I1622">
        <v>37.89</v>
      </c>
      <c r="J1622">
        <v>12.09</v>
      </c>
      <c r="K1622">
        <v>10.88</v>
      </c>
      <c r="L1622">
        <v>1.21</v>
      </c>
      <c r="M1622" s="1" t="s">
        <v>21</v>
      </c>
      <c r="N1622" s="1" t="s">
        <v>22</v>
      </c>
      <c r="O1622" s="2">
        <v>46036</v>
      </c>
      <c r="P1622" s="2">
        <v>46036</v>
      </c>
      <c r="Q1622">
        <f>_xlfn.XLOOKUP(E1622,CPT!$A$2:$A$13,CPT!$D$2:$D$13)</f>
        <v>38</v>
      </c>
      <c r="R1622" s="1">
        <f>_xlfn.XLOOKUP(C1622,Contract!$A$2:$A$9,Contract!$B$2:$B$9)</f>
        <v>0.36</v>
      </c>
      <c r="S1622" s="1">
        <f t="shared" si="100"/>
        <v>13.68</v>
      </c>
      <c r="T1622" s="1">
        <f t="shared" si="101"/>
        <v>1.5899999999999999</v>
      </c>
      <c r="U1622" s="1" t="str">
        <f t="shared" si="102"/>
        <v>Underpaid</v>
      </c>
      <c r="V1622" s="1" t="str">
        <f>_xlfn.XLOOKUP(C1622,Payers!$A$2:$A$9,Payers!$B$2:$B$9)</f>
        <v>Medicare Part B</v>
      </c>
      <c r="W1622" s="1" t="str">
        <f t="shared" si="103"/>
        <v>2025-12</v>
      </c>
    </row>
    <row r="1623" spans="1:23">
      <c r="A1623" s="1" t="s">
        <v>2974</v>
      </c>
      <c r="B1623" s="1" t="s">
        <v>1041</v>
      </c>
      <c r="C1623" s="1" t="s">
        <v>76</v>
      </c>
      <c r="D1623" s="1" t="s">
        <v>26</v>
      </c>
      <c r="E1623" s="1" t="s">
        <v>44</v>
      </c>
      <c r="F1623">
        <v>1</v>
      </c>
      <c r="G1623" s="2">
        <v>46001</v>
      </c>
      <c r="H1623" s="2">
        <v>46007</v>
      </c>
      <c r="I1623">
        <v>4920.8500000000004</v>
      </c>
      <c r="J1623">
        <v>2139.5300000000002</v>
      </c>
      <c r="K1623">
        <v>1925.58</v>
      </c>
      <c r="L1623">
        <v>213.95</v>
      </c>
      <c r="M1623" s="1" t="s">
        <v>21</v>
      </c>
      <c r="N1623" s="1" t="s">
        <v>22</v>
      </c>
      <c r="O1623" s="2">
        <v>46035</v>
      </c>
      <c r="P1623" s="2">
        <v>46035</v>
      </c>
      <c r="Q1623">
        <f>_xlfn.XLOOKUP(E1623,CPT!$A$2:$A$13,CPT!$D$2:$D$13)</f>
        <v>4800</v>
      </c>
      <c r="R1623" s="1">
        <f>_xlfn.XLOOKUP(C1623,Contract!$A$2:$A$9,Contract!$B$2:$B$9)</f>
        <v>0.43</v>
      </c>
      <c r="S1623" s="1">
        <f t="shared" si="100"/>
        <v>2064</v>
      </c>
      <c r="T1623" s="1">
        <f t="shared" si="101"/>
        <v>-75.5300000000002</v>
      </c>
      <c r="U1623" s="1" t="str">
        <f t="shared" si="102"/>
        <v>OK</v>
      </c>
      <c r="V1623" s="1" t="str">
        <f>_xlfn.XLOOKUP(C1623,Payers!$A$2:$A$9,Payers!$B$2:$B$9)</f>
        <v>Summit Health Commercial</v>
      </c>
      <c r="W1623" s="1" t="str">
        <f t="shared" si="103"/>
        <v>2025-12</v>
      </c>
    </row>
    <row r="1624" spans="1:23">
      <c r="A1624" s="1" t="s">
        <v>2975</v>
      </c>
      <c r="B1624" s="1" t="s">
        <v>1515</v>
      </c>
      <c r="C1624" s="1" t="s">
        <v>18</v>
      </c>
      <c r="D1624" s="1" t="s">
        <v>37</v>
      </c>
      <c r="E1624" s="1" t="s">
        <v>38</v>
      </c>
      <c r="F1624">
        <v>5</v>
      </c>
      <c r="G1624" s="2">
        <v>46193</v>
      </c>
      <c r="H1624" s="2">
        <v>46196</v>
      </c>
      <c r="I1624">
        <v>7264.7</v>
      </c>
      <c r="J1624">
        <v>3168.09</v>
      </c>
      <c r="K1624">
        <v>2534.4699999999998</v>
      </c>
      <c r="L1624">
        <v>633.62</v>
      </c>
      <c r="M1624" s="1" t="s">
        <v>21</v>
      </c>
      <c r="N1624" s="1" t="s">
        <v>22</v>
      </c>
      <c r="O1624" s="2">
        <v>46229</v>
      </c>
      <c r="P1624" s="2">
        <v>46229</v>
      </c>
      <c r="Q1624">
        <f>_xlfn.XLOOKUP(E1624,CPT!$A$2:$A$13,CPT!$D$2:$D$13)</f>
        <v>1450</v>
      </c>
      <c r="R1624" s="1">
        <f>_xlfn.XLOOKUP(C1624,Contract!$A$2:$A$9,Contract!$B$2:$B$9)</f>
        <v>0.38</v>
      </c>
      <c r="S1624" s="1">
        <f t="shared" si="100"/>
        <v>2755</v>
      </c>
      <c r="T1624" s="1">
        <f t="shared" si="101"/>
        <v>-413.09000000000015</v>
      </c>
      <c r="U1624" s="1" t="str">
        <f t="shared" si="102"/>
        <v>OK</v>
      </c>
      <c r="V1624" s="1" t="str">
        <f>_xlfn.XLOOKUP(C1624,Payers!$A$2:$A$9,Payers!$B$2:$B$9)</f>
        <v>Sunshine Medicare Advantage</v>
      </c>
      <c r="W1624" s="1" t="str">
        <f t="shared" si="103"/>
        <v>2026-06</v>
      </c>
    </row>
    <row r="1625" spans="1:23">
      <c r="A1625" s="1" t="s">
        <v>2976</v>
      </c>
      <c r="B1625" s="1" t="s">
        <v>2977</v>
      </c>
      <c r="C1625" s="1" t="s">
        <v>60</v>
      </c>
      <c r="D1625" s="1" t="s">
        <v>37</v>
      </c>
      <c r="E1625" s="1" t="s">
        <v>48</v>
      </c>
      <c r="F1625">
        <v>1</v>
      </c>
      <c r="G1625" s="2">
        <v>46217</v>
      </c>
      <c r="H1625" s="2">
        <v>46219</v>
      </c>
      <c r="I1625">
        <v>415.94</v>
      </c>
      <c r="J1625">
        <v>214.29</v>
      </c>
      <c r="K1625">
        <v>192.86</v>
      </c>
      <c r="L1625">
        <v>21.43</v>
      </c>
      <c r="M1625" s="1" t="s">
        <v>21</v>
      </c>
      <c r="N1625" s="1" t="s">
        <v>22</v>
      </c>
      <c r="O1625" s="2">
        <v>46237</v>
      </c>
      <c r="P1625" s="2">
        <v>46237</v>
      </c>
      <c r="Q1625">
        <f>_xlfn.XLOOKUP(E1625,CPT!$A$2:$A$13,CPT!$D$2:$D$13)</f>
        <v>420</v>
      </c>
      <c r="R1625" s="1">
        <f>_xlfn.XLOOKUP(C1625,Contract!$A$2:$A$9,Contract!$B$2:$B$9)</f>
        <v>0.45</v>
      </c>
      <c r="S1625" s="1">
        <f t="shared" si="100"/>
        <v>189</v>
      </c>
      <c r="T1625" s="1">
        <f t="shared" si="101"/>
        <v>-25.289999999999992</v>
      </c>
      <c r="U1625" s="1" t="str">
        <f t="shared" si="102"/>
        <v>OK</v>
      </c>
      <c r="V1625" s="1" t="str">
        <f>_xlfn.XLOOKUP(C1625,Payers!$A$2:$A$9,Payers!$B$2:$B$9)</f>
        <v>Blue Horizon Commercial</v>
      </c>
      <c r="W1625" s="1" t="str">
        <f t="shared" si="103"/>
        <v>2026-07</v>
      </c>
    </row>
    <row r="1626" spans="1:23">
      <c r="A1626" s="1" t="s">
        <v>2978</v>
      </c>
      <c r="B1626" s="1" t="s">
        <v>2979</v>
      </c>
      <c r="C1626" s="1" t="s">
        <v>47</v>
      </c>
      <c r="D1626" s="1" t="s">
        <v>30</v>
      </c>
      <c r="E1626" s="1" t="s">
        <v>31</v>
      </c>
      <c r="F1626">
        <v>1</v>
      </c>
      <c r="G1626" s="2">
        <v>46272</v>
      </c>
      <c r="H1626" s="2">
        <v>46274</v>
      </c>
      <c r="I1626">
        <v>61.5</v>
      </c>
      <c r="M1626" s="1" t="s">
        <v>69</v>
      </c>
      <c r="N1626" s="1" t="s">
        <v>22</v>
      </c>
      <c r="O1626" s="2"/>
      <c r="P1626" s="2"/>
      <c r="Q1626">
        <f>_xlfn.XLOOKUP(E1626,CPT!$A$2:$A$13,CPT!$D$2:$D$13)</f>
        <v>62</v>
      </c>
      <c r="R1626" s="1">
        <f>_xlfn.XLOOKUP(C1626,Contract!$A$2:$A$9,Contract!$B$2:$B$9)</f>
        <v>0.28000000000000003</v>
      </c>
      <c r="S1626" s="1">
        <f t="shared" si="100"/>
        <v>17.36</v>
      </c>
      <c r="T1626" s="1" t="str">
        <f t="shared" si="101"/>
        <v/>
      </c>
      <c r="U1626" s="1" t="str">
        <f t="shared" si="102"/>
        <v/>
      </c>
      <c r="V1626" s="1" t="str">
        <f>_xlfn.XLOOKUP(C1626,Payers!$A$2:$A$9,Payers!$B$2:$B$9)</f>
        <v>Coastal Medicaid MCO</v>
      </c>
      <c r="W1626" s="1" t="str">
        <f t="shared" si="103"/>
        <v>2026-09</v>
      </c>
    </row>
    <row r="1627" spans="1:23">
      <c r="A1627" s="1" t="s">
        <v>2980</v>
      </c>
      <c r="B1627" s="1" t="s">
        <v>2981</v>
      </c>
      <c r="C1627" s="1" t="s">
        <v>76</v>
      </c>
      <c r="D1627" s="1" t="s">
        <v>26</v>
      </c>
      <c r="E1627" s="1" t="s">
        <v>44</v>
      </c>
      <c r="F1627">
        <v>1</v>
      </c>
      <c r="G1627" s="2">
        <v>46273</v>
      </c>
      <c r="H1627" s="2">
        <v>46276</v>
      </c>
      <c r="I1627">
        <v>4808.3500000000004</v>
      </c>
      <c r="M1627" s="1" t="s">
        <v>69</v>
      </c>
      <c r="N1627" s="1" t="s">
        <v>22</v>
      </c>
      <c r="O1627" s="2"/>
      <c r="P1627" s="2"/>
      <c r="Q1627">
        <f>_xlfn.XLOOKUP(E1627,CPT!$A$2:$A$13,CPT!$D$2:$D$13)</f>
        <v>4800</v>
      </c>
      <c r="R1627" s="1">
        <f>_xlfn.XLOOKUP(C1627,Contract!$A$2:$A$9,Contract!$B$2:$B$9)</f>
        <v>0.43</v>
      </c>
      <c r="S1627" s="1">
        <f t="shared" si="100"/>
        <v>2064</v>
      </c>
      <c r="T1627" s="1" t="str">
        <f t="shared" si="101"/>
        <v/>
      </c>
      <c r="U1627" s="1" t="str">
        <f t="shared" si="102"/>
        <v/>
      </c>
      <c r="V1627" s="1" t="str">
        <f>_xlfn.XLOOKUP(C1627,Payers!$A$2:$A$9,Payers!$B$2:$B$9)</f>
        <v>Summit Health Commercial</v>
      </c>
      <c r="W1627" s="1" t="str">
        <f t="shared" si="103"/>
        <v>2026-09</v>
      </c>
    </row>
    <row r="1628" spans="1:23">
      <c r="A1628" s="1" t="s">
        <v>2982</v>
      </c>
      <c r="B1628" s="1" t="s">
        <v>2983</v>
      </c>
      <c r="C1628" s="1" t="s">
        <v>76</v>
      </c>
      <c r="D1628" s="1" t="s">
        <v>30</v>
      </c>
      <c r="E1628" s="1" t="s">
        <v>20</v>
      </c>
      <c r="F1628">
        <v>1</v>
      </c>
      <c r="G1628" s="2">
        <v>46284</v>
      </c>
      <c r="H1628" s="2">
        <v>46286</v>
      </c>
      <c r="I1628">
        <v>145.55000000000001</v>
      </c>
      <c r="M1628" s="1" t="s">
        <v>69</v>
      </c>
      <c r="N1628" s="1" t="s">
        <v>22</v>
      </c>
      <c r="O1628" s="2"/>
      <c r="P1628" s="2"/>
      <c r="Q1628">
        <f>_xlfn.XLOOKUP(E1628,CPT!$A$2:$A$13,CPT!$D$2:$D$13)</f>
        <v>145</v>
      </c>
      <c r="R1628" s="1">
        <f>_xlfn.XLOOKUP(C1628,Contract!$A$2:$A$9,Contract!$B$2:$B$9)</f>
        <v>0.43</v>
      </c>
      <c r="S1628" s="1">
        <f t="shared" si="100"/>
        <v>62.35</v>
      </c>
      <c r="T1628" s="1" t="str">
        <f t="shared" si="101"/>
        <v/>
      </c>
      <c r="U1628" s="1" t="str">
        <f t="shared" si="102"/>
        <v/>
      </c>
      <c r="V1628" s="1" t="str">
        <f>_xlfn.XLOOKUP(C1628,Payers!$A$2:$A$9,Payers!$B$2:$B$9)</f>
        <v>Summit Health Commercial</v>
      </c>
      <c r="W1628" s="1" t="str">
        <f t="shared" si="103"/>
        <v>2026-09</v>
      </c>
    </row>
    <row r="1629" spans="1:23">
      <c r="A1629" s="1" t="s">
        <v>2984</v>
      </c>
      <c r="B1629" s="1" t="s">
        <v>2985</v>
      </c>
      <c r="C1629" s="1" t="s">
        <v>76</v>
      </c>
      <c r="D1629" s="1" t="s">
        <v>37</v>
      </c>
      <c r="E1629" s="1" t="s">
        <v>57</v>
      </c>
      <c r="F1629">
        <v>1</v>
      </c>
      <c r="G1629" s="2">
        <v>46033</v>
      </c>
      <c r="H1629" s="2">
        <v>46035</v>
      </c>
      <c r="I1629">
        <v>208.24</v>
      </c>
      <c r="J1629">
        <v>88.25</v>
      </c>
      <c r="K1629">
        <v>79.42</v>
      </c>
      <c r="L1629">
        <v>8.83</v>
      </c>
      <c r="M1629" s="1" t="s">
        <v>21</v>
      </c>
      <c r="N1629" s="1" t="s">
        <v>22</v>
      </c>
      <c r="O1629" s="2">
        <v>46056</v>
      </c>
      <c r="P1629" s="2">
        <v>46056</v>
      </c>
      <c r="Q1629">
        <f>_xlfn.XLOOKUP(E1629,CPT!$A$2:$A$13,CPT!$D$2:$D$13)</f>
        <v>210</v>
      </c>
      <c r="R1629" s="1">
        <f>_xlfn.XLOOKUP(C1629,Contract!$A$2:$A$9,Contract!$B$2:$B$9)</f>
        <v>0.43</v>
      </c>
      <c r="S1629" s="1">
        <f t="shared" si="100"/>
        <v>90.3</v>
      </c>
      <c r="T1629" s="1">
        <f t="shared" si="101"/>
        <v>2.0499999999999972</v>
      </c>
      <c r="U1629" s="1" t="str">
        <f t="shared" si="102"/>
        <v>OK</v>
      </c>
      <c r="V1629" s="1" t="str">
        <f>_xlfn.XLOOKUP(C1629,Payers!$A$2:$A$9,Payers!$B$2:$B$9)</f>
        <v>Summit Health Commercial</v>
      </c>
      <c r="W1629" s="1" t="str">
        <f t="shared" si="103"/>
        <v>2026-01</v>
      </c>
    </row>
    <row r="1630" spans="1:23">
      <c r="A1630" s="1" t="s">
        <v>2986</v>
      </c>
      <c r="B1630" s="1" t="s">
        <v>2987</v>
      </c>
      <c r="C1630" s="1" t="s">
        <v>79</v>
      </c>
      <c r="D1630" s="1" t="s">
        <v>19</v>
      </c>
      <c r="E1630" s="1" t="s">
        <v>41</v>
      </c>
      <c r="F1630">
        <v>1</v>
      </c>
      <c r="G1630" s="2">
        <v>45963</v>
      </c>
      <c r="H1630" s="2">
        <v>45973</v>
      </c>
      <c r="I1630">
        <v>37.840000000000003</v>
      </c>
      <c r="M1630" s="1" t="s">
        <v>69</v>
      </c>
      <c r="N1630" s="1" t="s">
        <v>22</v>
      </c>
      <c r="O1630" s="2"/>
      <c r="P1630" s="2"/>
      <c r="Q1630">
        <f>_xlfn.XLOOKUP(E1630,CPT!$A$2:$A$13,CPT!$D$2:$D$13)</f>
        <v>38</v>
      </c>
      <c r="R1630" s="1">
        <f>_xlfn.XLOOKUP(C1630,Contract!$A$2:$A$9,Contract!$B$2:$B$9)</f>
        <v>1</v>
      </c>
      <c r="S1630" s="1">
        <f t="shared" si="100"/>
        <v>38</v>
      </c>
      <c r="T1630" s="1" t="str">
        <f t="shared" si="101"/>
        <v/>
      </c>
      <c r="U1630" s="1" t="str">
        <f t="shared" si="102"/>
        <v/>
      </c>
      <c r="V1630" s="1" t="str">
        <f>_xlfn.XLOOKUP(C1630,Payers!$A$2:$A$9,Payers!$B$2:$B$9)</f>
        <v>Self-Pay</v>
      </c>
      <c r="W1630" s="1" t="str">
        <f t="shared" si="103"/>
        <v>2025-11</v>
      </c>
    </row>
    <row r="1631" spans="1:23">
      <c r="A1631" s="1" t="s">
        <v>2988</v>
      </c>
      <c r="B1631" s="1" t="s">
        <v>2705</v>
      </c>
      <c r="C1631" s="1" t="s">
        <v>25</v>
      </c>
      <c r="D1631" s="1" t="s">
        <v>26</v>
      </c>
      <c r="E1631" s="1" t="s">
        <v>113</v>
      </c>
      <c r="F1631">
        <v>1</v>
      </c>
      <c r="G1631" s="2">
        <v>46096</v>
      </c>
      <c r="H1631" s="2">
        <v>46098</v>
      </c>
      <c r="I1631">
        <v>1068.05</v>
      </c>
      <c r="J1631">
        <v>360.82</v>
      </c>
      <c r="K1631">
        <v>288.66000000000003</v>
      </c>
      <c r="L1631">
        <v>72.16</v>
      </c>
      <c r="M1631" s="1" t="s">
        <v>21</v>
      </c>
      <c r="N1631" s="1" t="s">
        <v>22</v>
      </c>
      <c r="O1631" s="2">
        <v>46119</v>
      </c>
      <c r="P1631" s="2">
        <v>46119</v>
      </c>
      <c r="Q1631">
        <f>_xlfn.XLOOKUP(E1631,CPT!$A$2:$A$13,CPT!$D$2:$D$13)</f>
        <v>1050</v>
      </c>
      <c r="R1631" s="1">
        <f>_xlfn.XLOOKUP(C1631,Contract!$A$2:$A$9,Contract!$B$2:$B$9)</f>
        <v>0.36</v>
      </c>
      <c r="S1631" s="1">
        <f t="shared" si="100"/>
        <v>378</v>
      </c>
      <c r="T1631" s="1">
        <f t="shared" si="101"/>
        <v>17.180000000000007</v>
      </c>
      <c r="U1631" s="1" t="str">
        <f t="shared" si="102"/>
        <v>OK</v>
      </c>
      <c r="V1631" s="1" t="str">
        <f>_xlfn.XLOOKUP(C1631,Payers!$A$2:$A$9,Payers!$B$2:$B$9)</f>
        <v>Medicare Part B</v>
      </c>
      <c r="W1631" s="1" t="str">
        <f t="shared" si="103"/>
        <v>2026-03</v>
      </c>
    </row>
    <row r="1632" spans="1:23">
      <c r="A1632" s="1" t="s">
        <v>2989</v>
      </c>
      <c r="B1632" s="1" t="s">
        <v>2990</v>
      </c>
      <c r="C1632" s="1" t="s">
        <v>60</v>
      </c>
      <c r="D1632" s="1" t="s">
        <v>26</v>
      </c>
      <c r="E1632" s="1" t="s">
        <v>57</v>
      </c>
      <c r="F1632">
        <v>1</v>
      </c>
      <c r="G1632" s="2">
        <v>46072</v>
      </c>
      <c r="H1632" s="2">
        <v>46074</v>
      </c>
      <c r="I1632">
        <v>205.42</v>
      </c>
      <c r="J1632">
        <v>106.45</v>
      </c>
      <c r="K1632">
        <v>95.8</v>
      </c>
      <c r="L1632">
        <v>10.65</v>
      </c>
      <c r="M1632" s="1" t="s">
        <v>21</v>
      </c>
      <c r="N1632" s="1" t="s">
        <v>22</v>
      </c>
      <c r="O1632" s="2">
        <v>46101</v>
      </c>
      <c r="P1632" s="2">
        <v>46101</v>
      </c>
      <c r="Q1632">
        <f>_xlfn.XLOOKUP(E1632,CPT!$A$2:$A$13,CPT!$D$2:$D$13)</f>
        <v>210</v>
      </c>
      <c r="R1632" s="1">
        <f>_xlfn.XLOOKUP(C1632,Contract!$A$2:$A$9,Contract!$B$2:$B$9)</f>
        <v>0.45</v>
      </c>
      <c r="S1632" s="1">
        <f t="shared" si="100"/>
        <v>94.5</v>
      </c>
      <c r="T1632" s="1">
        <f t="shared" si="101"/>
        <v>-11.950000000000003</v>
      </c>
      <c r="U1632" s="1" t="str">
        <f t="shared" si="102"/>
        <v>OK</v>
      </c>
      <c r="V1632" s="1" t="str">
        <f>_xlfn.XLOOKUP(C1632,Payers!$A$2:$A$9,Payers!$B$2:$B$9)</f>
        <v>Blue Horizon Commercial</v>
      </c>
      <c r="W1632" s="1" t="str">
        <f t="shared" si="103"/>
        <v>2026-02</v>
      </c>
    </row>
    <row r="1633" spans="1:23">
      <c r="A1633" s="1" t="s">
        <v>2991</v>
      </c>
      <c r="B1633" s="1" t="s">
        <v>217</v>
      </c>
      <c r="C1633" s="1" t="s">
        <v>25</v>
      </c>
      <c r="D1633" s="1" t="s">
        <v>30</v>
      </c>
      <c r="E1633" s="1" t="s">
        <v>91</v>
      </c>
      <c r="F1633">
        <v>1</v>
      </c>
      <c r="G1633" s="2">
        <v>46229</v>
      </c>
      <c r="H1633" s="2">
        <v>46239</v>
      </c>
      <c r="I1633">
        <v>57.12</v>
      </c>
      <c r="J1633">
        <v>19.29</v>
      </c>
      <c r="K1633">
        <v>17.36</v>
      </c>
      <c r="L1633">
        <v>1.93</v>
      </c>
      <c r="M1633" s="1" t="s">
        <v>21</v>
      </c>
      <c r="N1633" s="1" t="s">
        <v>22</v>
      </c>
      <c r="O1633" s="2">
        <v>46262</v>
      </c>
      <c r="P1633" s="2">
        <v>46262</v>
      </c>
      <c r="Q1633">
        <f>_xlfn.XLOOKUP(E1633,CPT!$A$2:$A$13,CPT!$D$2:$D$13)</f>
        <v>58</v>
      </c>
      <c r="R1633" s="1">
        <f>_xlfn.XLOOKUP(C1633,Contract!$A$2:$A$9,Contract!$B$2:$B$9)</f>
        <v>0.36</v>
      </c>
      <c r="S1633" s="1">
        <f t="shared" si="100"/>
        <v>20.88</v>
      </c>
      <c r="T1633" s="1">
        <f t="shared" si="101"/>
        <v>1.5899999999999999</v>
      </c>
      <c r="U1633" s="1" t="str">
        <f t="shared" si="102"/>
        <v>Underpaid</v>
      </c>
      <c r="V1633" s="1" t="str">
        <f>_xlfn.XLOOKUP(C1633,Payers!$A$2:$A$9,Payers!$B$2:$B$9)</f>
        <v>Medicare Part B</v>
      </c>
      <c r="W1633" s="1" t="str">
        <f t="shared" si="103"/>
        <v>2026-07</v>
      </c>
    </row>
    <row r="1634" spans="1:23">
      <c r="A1634" s="1" t="s">
        <v>2992</v>
      </c>
      <c r="B1634" s="1" t="s">
        <v>1050</v>
      </c>
      <c r="C1634" s="1" t="s">
        <v>60</v>
      </c>
      <c r="D1634" s="1" t="s">
        <v>26</v>
      </c>
      <c r="E1634" s="1" t="s">
        <v>44</v>
      </c>
      <c r="F1634">
        <v>1</v>
      </c>
      <c r="G1634" s="2">
        <v>46221</v>
      </c>
      <c r="H1634" s="2">
        <v>46226</v>
      </c>
      <c r="I1634">
        <v>4774.84</v>
      </c>
      <c r="J1634">
        <v>1884.13</v>
      </c>
      <c r="K1634">
        <v>1884.13</v>
      </c>
      <c r="L1634">
        <v>0</v>
      </c>
      <c r="M1634" s="1" t="s">
        <v>21</v>
      </c>
      <c r="N1634" s="1" t="s">
        <v>22</v>
      </c>
      <c r="O1634" s="2">
        <v>46269</v>
      </c>
      <c r="P1634" s="2">
        <v>46269</v>
      </c>
      <c r="Q1634">
        <f>_xlfn.XLOOKUP(E1634,CPT!$A$2:$A$13,CPT!$D$2:$D$13)</f>
        <v>4800</v>
      </c>
      <c r="R1634" s="1">
        <f>_xlfn.XLOOKUP(C1634,Contract!$A$2:$A$9,Contract!$B$2:$B$9)</f>
        <v>0.45</v>
      </c>
      <c r="S1634" s="1">
        <f t="shared" si="100"/>
        <v>2160</v>
      </c>
      <c r="T1634" s="1">
        <f t="shared" si="101"/>
        <v>275.86999999999989</v>
      </c>
      <c r="U1634" s="1" t="str">
        <f t="shared" si="102"/>
        <v>Underpaid</v>
      </c>
      <c r="V1634" s="1" t="str">
        <f>_xlfn.XLOOKUP(C1634,Payers!$A$2:$A$9,Payers!$B$2:$B$9)</f>
        <v>Blue Horizon Commercial</v>
      </c>
      <c r="W1634" s="1" t="str">
        <f t="shared" si="103"/>
        <v>2026-07</v>
      </c>
    </row>
    <row r="1635" spans="1:23">
      <c r="A1635" s="1" t="s">
        <v>2993</v>
      </c>
      <c r="B1635" s="1" t="s">
        <v>2994</v>
      </c>
      <c r="C1635" s="1" t="s">
        <v>60</v>
      </c>
      <c r="D1635" s="1" t="s">
        <v>37</v>
      </c>
      <c r="E1635" s="1" t="s">
        <v>57</v>
      </c>
      <c r="F1635">
        <v>1</v>
      </c>
      <c r="G1635" s="2">
        <v>46202</v>
      </c>
      <c r="H1635" s="2">
        <v>46213</v>
      </c>
      <c r="I1635">
        <v>214.06</v>
      </c>
      <c r="J1635">
        <v>84.95</v>
      </c>
      <c r="K1635">
        <v>76.45</v>
      </c>
      <c r="L1635">
        <v>8.5</v>
      </c>
      <c r="M1635" s="1" t="s">
        <v>21</v>
      </c>
      <c r="N1635" s="1" t="s">
        <v>22</v>
      </c>
      <c r="O1635" s="2">
        <v>46231</v>
      </c>
      <c r="P1635" s="2">
        <v>46231</v>
      </c>
      <c r="Q1635">
        <f>_xlfn.XLOOKUP(E1635,CPT!$A$2:$A$13,CPT!$D$2:$D$13)</f>
        <v>210</v>
      </c>
      <c r="R1635" s="1">
        <f>_xlfn.XLOOKUP(C1635,Contract!$A$2:$A$9,Contract!$B$2:$B$9)</f>
        <v>0.45</v>
      </c>
      <c r="S1635" s="1">
        <f t="shared" si="100"/>
        <v>94.5</v>
      </c>
      <c r="T1635" s="1">
        <f t="shared" si="101"/>
        <v>9.5499999999999972</v>
      </c>
      <c r="U1635" s="1" t="str">
        <f t="shared" si="102"/>
        <v>Underpaid</v>
      </c>
      <c r="V1635" s="1" t="str">
        <f>_xlfn.XLOOKUP(C1635,Payers!$A$2:$A$9,Payers!$B$2:$B$9)</f>
        <v>Blue Horizon Commercial</v>
      </c>
      <c r="W1635" s="1" t="str">
        <f t="shared" si="103"/>
        <v>2026-06</v>
      </c>
    </row>
    <row r="1636" spans="1:23">
      <c r="A1636" s="1" t="s">
        <v>2995</v>
      </c>
      <c r="B1636" s="1" t="s">
        <v>562</v>
      </c>
      <c r="C1636" s="1" t="s">
        <v>47</v>
      </c>
      <c r="D1636" s="1" t="s">
        <v>19</v>
      </c>
      <c r="E1636" s="1" t="s">
        <v>20</v>
      </c>
      <c r="F1636">
        <v>1</v>
      </c>
      <c r="G1636" s="2">
        <v>46216</v>
      </c>
      <c r="H1636" s="2">
        <v>46217</v>
      </c>
      <c r="I1636">
        <v>143.09</v>
      </c>
      <c r="J1636">
        <v>45.75</v>
      </c>
      <c r="K1636">
        <v>36.6</v>
      </c>
      <c r="L1636">
        <v>9.15</v>
      </c>
      <c r="M1636" s="1" t="s">
        <v>21</v>
      </c>
      <c r="N1636" s="1" t="s">
        <v>22</v>
      </c>
      <c r="O1636" s="2">
        <v>46270</v>
      </c>
      <c r="P1636" s="2">
        <v>46270</v>
      </c>
      <c r="Q1636">
        <f>_xlfn.XLOOKUP(E1636,CPT!$A$2:$A$13,CPT!$D$2:$D$13)</f>
        <v>145</v>
      </c>
      <c r="R1636" s="1">
        <f>_xlfn.XLOOKUP(C1636,Contract!$A$2:$A$9,Contract!$B$2:$B$9)</f>
        <v>0.28000000000000003</v>
      </c>
      <c r="S1636" s="1">
        <f t="shared" si="100"/>
        <v>40.6</v>
      </c>
      <c r="T1636" s="1">
        <f t="shared" si="101"/>
        <v>-5.1499999999999986</v>
      </c>
      <c r="U1636" s="1" t="str">
        <f t="shared" si="102"/>
        <v>OK</v>
      </c>
      <c r="V1636" s="1" t="str">
        <f>_xlfn.XLOOKUP(C1636,Payers!$A$2:$A$9,Payers!$B$2:$B$9)</f>
        <v>Coastal Medicaid MCO</v>
      </c>
      <c r="W1636" s="1" t="str">
        <f t="shared" si="103"/>
        <v>2026-07</v>
      </c>
    </row>
    <row r="1637" spans="1:23">
      <c r="A1637" s="1" t="s">
        <v>2996</v>
      </c>
      <c r="B1637" s="1" t="s">
        <v>2997</v>
      </c>
      <c r="C1637" s="1" t="s">
        <v>76</v>
      </c>
      <c r="D1637" s="1" t="s">
        <v>37</v>
      </c>
      <c r="E1637" s="1" t="s">
        <v>48</v>
      </c>
      <c r="F1637">
        <v>1</v>
      </c>
      <c r="G1637" s="2">
        <v>46279</v>
      </c>
      <c r="H1637" s="2">
        <v>46284</v>
      </c>
      <c r="I1637">
        <v>423.79</v>
      </c>
      <c r="M1637" s="1" t="s">
        <v>69</v>
      </c>
      <c r="N1637" s="1" t="s">
        <v>22</v>
      </c>
      <c r="O1637" s="2"/>
      <c r="P1637" s="2"/>
      <c r="Q1637">
        <f>_xlfn.XLOOKUP(E1637,CPT!$A$2:$A$13,CPT!$D$2:$D$13)</f>
        <v>420</v>
      </c>
      <c r="R1637" s="1">
        <f>_xlfn.XLOOKUP(C1637,Contract!$A$2:$A$9,Contract!$B$2:$B$9)</f>
        <v>0.43</v>
      </c>
      <c r="S1637" s="1">
        <f t="shared" si="100"/>
        <v>180.6</v>
      </c>
      <c r="T1637" s="1" t="str">
        <f t="shared" si="101"/>
        <v/>
      </c>
      <c r="U1637" s="1" t="str">
        <f t="shared" si="102"/>
        <v/>
      </c>
      <c r="V1637" s="1" t="str">
        <f>_xlfn.XLOOKUP(C1637,Payers!$A$2:$A$9,Payers!$B$2:$B$9)</f>
        <v>Summit Health Commercial</v>
      </c>
      <c r="W1637" s="1" t="str">
        <f t="shared" si="103"/>
        <v>2026-09</v>
      </c>
    </row>
    <row r="1638" spans="1:23">
      <c r="A1638" s="1" t="s">
        <v>2998</v>
      </c>
      <c r="B1638" s="1" t="s">
        <v>1719</v>
      </c>
      <c r="C1638" s="1" t="s">
        <v>60</v>
      </c>
      <c r="D1638" s="1" t="s">
        <v>30</v>
      </c>
      <c r="E1638" s="1" t="s">
        <v>20</v>
      </c>
      <c r="F1638">
        <v>1</v>
      </c>
      <c r="G1638" s="2">
        <v>46201</v>
      </c>
      <c r="H1638" s="2">
        <v>46203</v>
      </c>
      <c r="I1638">
        <v>144.22999999999999</v>
      </c>
      <c r="J1638">
        <v>73.08</v>
      </c>
      <c r="K1638">
        <v>58.46</v>
      </c>
      <c r="L1638">
        <v>14.62</v>
      </c>
      <c r="M1638" s="1" t="s">
        <v>21</v>
      </c>
      <c r="N1638" s="1" t="s">
        <v>22</v>
      </c>
      <c r="O1638" s="2">
        <v>46226</v>
      </c>
      <c r="P1638" s="2">
        <v>46226</v>
      </c>
      <c r="Q1638">
        <f>_xlfn.XLOOKUP(E1638,CPT!$A$2:$A$13,CPT!$D$2:$D$13)</f>
        <v>145</v>
      </c>
      <c r="R1638" s="1">
        <f>_xlfn.XLOOKUP(C1638,Contract!$A$2:$A$9,Contract!$B$2:$B$9)</f>
        <v>0.45</v>
      </c>
      <c r="S1638" s="1">
        <f t="shared" si="100"/>
        <v>65.25</v>
      </c>
      <c r="T1638" s="1">
        <f t="shared" si="101"/>
        <v>-7.8299999999999983</v>
      </c>
      <c r="U1638" s="1" t="str">
        <f t="shared" si="102"/>
        <v>OK</v>
      </c>
      <c r="V1638" s="1" t="str">
        <f>_xlfn.XLOOKUP(C1638,Payers!$A$2:$A$9,Payers!$B$2:$B$9)</f>
        <v>Blue Horizon Commercial</v>
      </c>
      <c r="W1638" s="1" t="str">
        <f t="shared" si="103"/>
        <v>2026-06</v>
      </c>
    </row>
    <row r="1639" spans="1:23">
      <c r="A1639" s="1" t="s">
        <v>2999</v>
      </c>
      <c r="B1639" s="1" t="s">
        <v>3000</v>
      </c>
      <c r="C1639" s="1" t="s">
        <v>60</v>
      </c>
      <c r="D1639" s="1" t="s">
        <v>37</v>
      </c>
      <c r="E1639" s="1" t="s">
        <v>48</v>
      </c>
      <c r="F1639">
        <v>1</v>
      </c>
      <c r="G1639" s="2">
        <v>46170</v>
      </c>
      <c r="H1639" s="2">
        <v>46172</v>
      </c>
      <c r="I1639">
        <v>407.49</v>
      </c>
      <c r="M1639" s="1" t="s">
        <v>32</v>
      </c>
      <c r="N1639" s="1" t="s">
        <v>168</v>
      </c>
      <c r="O1639" s="2">
        <v>46201</v>
      </c>
      <c r="P1639" s="2"/>
      <c r="Q1639">
        <f>_xlfn.XLOOKUP(E1639,CPT!$A$2:$A$13,CPT!$D$2:$D$13)</f>
        <v>420</v>
      </c>
      <c r="R1639" s="1">
        <f>_xlfn.XLOOKUP(C1639,Contract!$A$2:$A$9,Contract!$B$2:$B$9)</f>
        <v>0.45</v>
      </c>
      <c r="S1639" s="1">
        <f t="shared" si="100"/>
        <v>189</v>
      </c>
      <c r="T1639" s="1" t="str">
        <f t="shared" si="101"/>
        <v/>
      </c>
      <c r="U1639" s="1" t="str">
        <f t="shared" si="102"/>
        <v/>
      </c>
      <c r="V1639" s="1" t="str">
        <f>_xlfn.XLOOKUP(C1639,Payers!$A$2:$A$9,Payers!$B$2:$B$9)</f>
        <v>Blue Horizon Commercial</v>
      </c>
      <c r="W1639" s="1" t="str">
        <f t="shared" si="103"/>
        <v>2026-05</v>
      </c>
    </row>
    <row r="1640" spans="1:23">
      <c r="A1640" s="1" t="s">
        <v>3001</v>
      </c>
      <c r="B1640" s="1" t="s">
        <v>3002</v>
      </c>
      <c r="C1640" s="1" t="s">
        <v>47</v>
      </c>
      <c r="D1640" s="1" t="s">
        <v>30</v>
      </c>
      <c r="E1640" s="1" t="s">
        <v>91</v>
      </c>
      <c r="F1640">
        <v>1</v>
      </c>
      <c r="G1640" s="2">
        <v>45963</v>
      </c>
      <c r="H1640" s="2">
        <v>45965</v>
      </c>
      <c r="I1640">
        <v>59.49</v>
      </c>
      <c r="J1640">
        <v>14.25</v>
      </c>
      <c r="K1640">
        <v>14.25</v>
      </c>
      <c r="L1640">
        <v>0</v>
      </c>
      <c r="M1640" s="1" t="s">
        <v>21</v>
      </c>
      <c r="N1640" s="1" t="s">
        <v>22</v>
      </c>
      <c r="O1640" s="2">
        <v>46036</v>
      </c>
      <c r="P1640" s="2">
        <v>46036</v>
      </c>
      <c r="Q1640">
        <f>_xlfn.XLOOKUP(E1640,CPT!$A$2:$A$13,CPT!$D$2:$D$13)</f>
        <v>58</v>
      </c>
      <c r="R1640" s="1">
        <f>_xlfn.XLOOKUP(C1640,Contract!$A$2:$A$9,Contract!$B$2:$B$9)</f>
        <v>0.28000000000000003</v>
      </c>
      <c r="S1640" s="1">
        <f t="shared" si="100"/>
        <v>16.239999999999998</v>
      </c>
      <c r="T1640" s="1">
        <f t="shared" si="101"/>
        <v>1.9899999999999984</v>
      </c>
      <c r="U1640" s="1" t="str">
        <f t="shared" si="102"/>
        <v>Underpaid</v>
      </c>
      <c r="V1640" s="1" t="str">
        <f>_xlfn.XLOOKUP(C1640,Payers!$A$2:$A$9,Payers!$B$2:$B$9)</f>
        <v>Coastal Medicaid MCO</v>
      </c>
      <c r="W1640" s="1" t="str">
        <f t="shared" si="103"/>
        <v>2025-11</v>
      </c>
    </row>
    <row r="1641" spans="1:23">
      <c r="A1641" s="1" t="s">
        <v>3003</v>
      </c>
      <c r="B1641" s="1" t="s">
        <v>809</v>
      </c>
      <c r="C1641" s="1" t="s">
        <v>60</v>
      </c>
      <c r="D1641" s="1" t="s">
        <v>26</v>
      </c>
      <c r="E1641" s="1" t="s">
        <v>185</v>
      </c>
      <c r="F1641">
        <v>1</v>
      </c>
      <c r="G1641" s="2">
        <v>46168</v>
      </c>
      <c r="H1641" s="2">
        <v>46180</v>
      </c>
      <c r="I1641">
        <v>1161.22</v>
      </c>
      <c r="M1641" s="1" t="s">
        <v>32</v>
      </c>
      <c r="N1641" s="1" t="s">
        <v>315</v>
      </c>
      <c r="O1641" s="2">
        <v>46208</v>
      </c>
      <c r="P1641" s="2"/>
      <c r="Q1641">
        <f>_xlfn.XLOOKUP(E1641,CPT!$A$2:$A$13,CPT!$D$2:$D$13)</f>
        <v>1150</v>
      </c>
      <c r="R1641" s="1">
        <f>_xlfn.XLOOKUP(C1641,Contract!$A$2:$A$9,Contract!$B$2:$B$9)</f>
        <v>0.45</v>
      </c>
      <c r="S1641" s="1">
        <f t="shared" si="100"/>
        <v>517.5</v>
      </c>
      <c r="T1641" s="1" t="str">
        <f t="shared" si="101"/>
        <v/>
      </c>
      <c r="U1641" s="1" t="str">
        <f t="shared" si="102"/>
        <v/>
      </c>
      <c r="V1641" s="1" t="str">
        <f>_xlfn.XLOOKUP(C1641,Payers!$A$2:$A$9,Payers!$B$2:$B$9)</f>
        <v>Blue Horizon Commercial</v>
      </c>
      <c r="W1641" s="1" t="str">
        <f t="shared" si="103"/>
        <v>2026-05</v>
      </c>
    </row>
    <row r="1642" spans="1:23">
      <c r="A1642" s="1" t="s">
        <v>3004</v>
      </c>
      <c r="B1642" s="1" t="s">
        <v>3005</v>
      </c>
      <c r="C1642" s="1" t="s">
        <v>18</v>
      </c>
      <c r="D1642" s="1" t="s">
        <v>26</v>
      </c>
      <c r="E1642" s="1" t="s">
        <v>57</v>
      </c>
      <c r="F1642">
        <v>1</v>
      </c>
      <c r="G1642" s="2">
        <v>46201</v>
      </c>
      <c r="H1642" s="2">
        <v>46206</v>
      </c>
      <c r="I1642">
        <v>213.86</v>
      </c>
      <c r="J1642">
        <v>73.260000000000005</v>
      </c>
      <c r="K1642">
        <v>58.61</v>
      </c>
      <c r="L1642">
        <v>14.65</v>
      </c>
      <c r="M1642" s="1" t="s">
        <v>21</v>
      </c>
      <c r="N1642" s="1" t="s">
        <v>22</v>
      </c>
      <c r="O1642" s="2">
        <v>46265</v>
      </c>
      <c r="P1642" s="2">
        <v>46265</v>
      </c>
      <c r="Q1642">
        <f>_xlfn.XLOOKUP(E1642,CPT!$A$2:$A$13,CPT!$D$2:$D$13)</f>
        <v>210</v>
      </c>
      <c r="R1642" s="1">
        <f>_xlfn.XLOOKUP(C1642,Contract!$A$2:$A$9,Contract!$B$2:$B$9)</f>
        <v>0.38</v>
      </c>
      <c r="S1642" s="1">
        <f t="shared" si="100"/>
        <v>79.8</v>
      </c>
      <c r="T1642" s="1">
        <f t="shared" si="101"/>
        <v>6.539999999999992</v>
      </c>
      <c r="U1642" s="1" t="str">
        <f t="shared" si="102"/>
        <v>Underpaid</v>
      </c>
      <c r="V1642" s="1" t="str">
        <f>_xlfn.XLOOKUP(C1642,Payers!$A$2:$A$9,Payers!$B$2:$B$9)</f>
        <v>Sunshine Medicare Advantage</v>
      </c>
      <c r="W1642" s="1" t="str">
        <f t="shared" si="103"/>
        <v>2026-06</v>
      </c>
    </row>
    <row r="1643" spans="1:23">
      <c r="A1643" s="1" t="s">
        <v>3006</v>
      </c>
      <c r="B1643" s="1" t="s">
        <v>2882</v>
      </c>
      <c r="C1643" s="1" t="s">
        <v>52</v>
      </c>
      <c r="D1643" s="1" t="s">
        <v>19</v>
      </c>
      <c r="E1643" s="1" t="s">
        <v>57</v>
      </c>
      <c r="F1643">
        <v>1</v>
      </c>
      <c r="G1643" s="2">
        <v>46131</v>
      </c>
      <c r="H1643" s="2">
        <v>46137</v>
      </c>
      <c r="I1643">
        <v>205.92</v>
      </c>
      <c r="J1643">
        <v>87.81</v>
      </c>
      <c r="K1643">
        <v>70.25</v>
      </c>
      <c r="L1643">
        <v>17.559999999999999</v>
      </c>
      <c r="M1643" s="1" t="s">
        <v>21</v>
      </c>
      <c r="N1643" s="1" t="s">
        <v>22</v>
      </c>
      <c r="O1643" s="2">
        <v>46183</v>
      </c>
      <c r="P1643" s="2">
        <v>46183</v>
      </c>
      <c r="Q1643">
        <f>_xlfn.XLOOKUP(E1643,CPT!$A$2:$A$13,CPT!$D$2:$D$13)</f>
        <v>210</v>
      </c>
      <c r="R1643" s="1">
        <f>_xlfn.XLOOKUP(C1643,Contract!$A$2:$A$9,Contract!$B$2:$B$9)</f>
        <v>0.47</v>
      </c>
      <c r="S1643" s="1">
        <f t="shared" si="100"/>
        <v>98.7</v>
      </c>
      <c r="T1643" s="1">
        <f t="shared" si="101"/>
        <v>10.89</v>
      </c>
      <c r="U1643" s="1" t="str">
        <f t="shared" si="102"/>
        <v>Underpaid</v>
      </c>
      <c r="V1643" s="1" t="str">
        <f>_xlfn.XLOOKUP(C1643,Payers!$A$2:$A$9,Payers!$B$2:$B$9)</f>
        <v>Keystone Commercial PPO</v>
      </c>
      <c r="W1643" s="1" t="str">
        <f t="shared" si="103"/>
        <v>2026-04</v>
      </c>
    </row>
    <row r="1644" spans="1:23">
      <c r="A1644" s="1" t="s">
        <v>3007</v>
      </c>
      <c r="B1644" s="1" t="s">
        <v>3008</v>
      </c>
      <c r="C1644" s="1" t="s">
        <v>18</v>
      </c>
      <c r="D1644" s="1" t="s">
        <v>26</v>
      </c>
      <c r="E1644" s="1" t="s">
        <v>57</v>
      </c>
      <c r="F1644">
        <v>1</v>
      </c>
      <c r="G1644" s="2">
        <v>46246</v>
      </c>
      <c r="H1644" s="2">
        <v>46255</v>
      </c>
      <c r="I1644">
        <v>208.14</v>
      </c>
      <c r="M1644" s="1" t="s">
        <v>69</v>
      </c>
      <c r="N1644" s="1" t="s">
        <v>22</v>
      </c>
      <c r="O1644" s="2"/>
      <c r="P1644" s="2"/>
      <c r="Q1644">
        <f>_xlfn.XLOOKUP(E1644,CPT!$A$2:$A$13,CPT!$D$2:$D$13)</f>
        <v>210</v>
      </c>
      <c r="R1644" s="1">
        <f>_xlfn.XLOOKUP(C1644,Contract!$A$2:$A$9,Contract!$B$2:$B$9)</f>
        <v>0.38</v>
      </c>
      <c r="S1644" s="1">
        <f t="shared" si="100"/>
        <v>79.8</v>
      </c>
      <c r="T1644" s="1" t="str">
        <f t="shared" si="101"/>
        <v/>
      </c>
      <c r="U1644" s="1" t="str">
        <f t="shared" si="102"/>
        <v/>
      </c>
      <c r="V1644" s="1" t="str">
        <f>_xlfn.XLOOKUP(C1644,Payers!$A$2:$A$9,Payers!$B$2:$B$9)</f>
        <v>Sunshine Medicare Advantage</v>
      </c>
      <c r="W1644" s="1" t="str">
        <f t="shared" si="103"/>
        <v>2026-08</v>
      </c>
    </row>
    <row r="1645" spans="1:23">
      <c r="A1645" s="1" t="s">
        <v>3009</v>
      </c>
      <c r="B1645" s="1" t="s">
        <v>3010</v>
      </c>
      <c r="C1645" s="1" t="s">
        <v>60</v>
      </c>
      <c r="D1645" s="1" t="s">
        <v>37</v>
      </c>
      <c r="E1645" s="1" t="s">
        <v>48</v>
      </c>
      <c r="F1645">
        <v>1</v>
      </c>
      <c r="G1645" s="2">
        <v>46246</v>
      </c>
      <c r="H1645" s="2">
        <v>46249</v>
      </c>
      <c r="I1645">
        <v>412.19</v>
      </c>
      <c r="J1645">
        <v>156.71</v>
      </c>
      <c r="K1645">
        <v>141.04</v>
      </c>
      <c r="L1645">
        <v>15.67</v>
      </c>
      <c r="M1645" s="1" t="s">
        <v>21</v>
      </c>
      <c r="N1645" s="1" t="s">
        <v>22</v>
      </c>
      <c r="O1645" s="2">
        <v>46282</v>
      </c>
      <c r="P1645" s="2">
        <v>46282</v>
      </c>
      <c r="Q1645">
        <f>_xlfn.XLOOKUP(E1645,CPT!$A$2:$A$13,CPT!$D$2:$D$13)</f>
        <v>420</v>
      </c>
      <c r="R1645" s="1">
        <f>_xlfn.XLOOKUP(C1645,Contract!$A$2:$A$9,Contract!$B$2:$B$9)</f>
        <v>0.45</v>
      </c>
      <c r="S1645" s="1">
        <f t="shared" si="100"/>
        <v>189</v>
      </c>
      <c r="T1645" s="1">
        <f t="shared" si="101"/>
        <v>32.289999999999992</v>
      </c>
      <c r="U1645" s="1" t="str">
        <f t="shared" si="102"/>
        <v>Underpaid</v>
      </c>
      <c r="V1645" s="1" t="str">
        <f>_xlfn.XLOOKUP(C1645,Payers!$A$2:$A$9,Payers!$B$2:$B$9)</f>
        <v>Blue Horizon Commercial</v>
      </c>
      <c r="W1645" s="1" t="str">
        <f t="shared" si="103"/>
        <v>2026-08</v>
      </c>
    </row>
    <row r="1646" spans="1:23">
      <c r="A1646" s="1" t="s">
        <v>3011</v>
      </c>
      <c r="B1646" s="1" t="s">
        <v>3012</v>
      </c>
      <c r="C1646" s="1" t="s">
        <v>36</v>
      </c>
      <c r="D1646" s="1" t="s">
        <v>19</v>
      </c>
      <c r="E1646" s="1" t="s">
        <v>57</v>
      </c>
      <c r="F1646">
        <v>1</v>
      </c>
      <c r="G1646" s="2">
        <v>46046</v>
      </c>
      <c r="H1646" s="2">
        <v>46049</v>
      </c>
      <c r="I1646">
        <v>205.33</v>
      </c>
      <c r="M1646" s="1" t="s">
        <v>32</v>
      </c>
      <c r="N1646" s="1" t="s">
        <v>124</v>
      </c>
      <c r="O1646" s="2">
        <v>46068</v>
      </c>
      <c r="P1646" s="2"/>
      <c r="Q1646">
        <f>_xlfn.XLOOKUP(E1646,CPT!$A$2:$A$13,CPT!$D$2:$D$13)</f>
        <v>210</v>
      </c>
      <c r="R1646" s="1">
        <f>_xlfn.XLOOKUP(C1646,Contract!$A$2:$A$9,Contract!$B$2:$B$9)</f>
        <v>0.27</v>
      </c>
      <c r="S1646" s="1">
        <f t="shared" si="100"/>
        <v>56.7</v>
      </c>
      <c r="T1646" s="1" t="str">
        <f t="shared" si="101"/>
        <v/>
      </c>
      <c r="U1646" s="1" t="str">
        <f t="shared" si="102"/>
        <v/>
      </c>
      <c r="V1646" s="1" t="str">
        <f>_xlfn.XLOOKUP(C1646,Payers!$A$2:$A$9,Payers!$B$2:$B$9)</f>
        <v>Florida Medicaid</v>
      </c>
      <c r="W1646" s="1" t="str">
        <f t="shared" si="103"/>
        <v>2026-01</v>
      </c>
    </row>
    <row r="1647" spans="1:23">
      <c r="A1647" s="1" t="s">
        <v>3013</v>
      </c>
      <c r="B1647" s="1" t="s">
        <v>1416</v>
      </c>
      <c r="C1647" s="1" t="s">
        <v>76</v>
      </c>
      <c r="D1647" s="1" t="s">
        <v>26</v>
      </c>
      <c r="E1647" s="1" t="s">
        <v>57</v>
      </c>
      <c r="F1647">
        <v>1</v>
      </c>
      <c r="G1647" s="2">
        <v>46185</v>
      </c>
      <c r="H1647" s="2">
        <v>46186</v>
      </c>
      <c r="I1647">
        <v>213.63</v>
      </c>
      <c r="J1647">
        <v>81.62</v>
      </c>
      <c r="K1647">
        <v>81.62</v>
      </c>
      <c r="L1647">
        <v>0</v>
      </c>
      <c r="M1647" s="1" t="s">
        <v>21</v>
      </c>
      <c r="N1647" s="1" t="s">
        <v>22</v>
      </c>
      <c r="O1647" s="2">
        <v>46230</v>
      </c>
      <c r="P1647" s="2">
        <v>46230</v>
      </c>
      <c r="Q1647">
        <f>_xlfn.XLOOKUP(E1647,CPT!$A$2:$A$13,CPT!$D$2:$D$13)</f>
        <v>210</v>
      </c>
      <c r="R1647" s="1">
        <f>_xlfn.XLOOKUP(C1647,Contract!$A$2:$A$9,Contract!$B$2:$B$9)</f>
        <v>0.43</v>
      </c>
      <c r="S1647" s="1">
        <f t="shared" si="100"/>
        <v>90.3</v>
      </c>
      <c r="T1647" s="1">
        <f t="shared" si="101"/>
        <v>8.6799999999999926</v>
      </c>
      <c r="U1647" s="1" t="str">
        <f t="shared" si="102"/>
        <v>Underpaid</v>
      </c>
      <c r="V1647" s="1" t="str">
        <f>_xlfn.XLOOKUP(C1647,Payers!$A$2:$A$9,Payers!$B$2:$B$9)</f>
        <v>Summit Health Commercial</v>
      </c>
      <c r="W1647" s="1" t="str">
        <f t="shared" si="103"/>
        <v>2026-06</v>
      </c>
    </row>
    <row r="1648" spans="1:23">
      <c r="A1648" s="1" t="s">
        <v>3014</v>
      </c>
      <c r="B1648" s="1" t="s">
        <v>943</v>
      </c>
      <c r="C1648" s="1" t="s">
        <v>52</v>
      </c>
      <c r="D1648" s="1" t="s">
        <v>26</v>
      </c>
      <c r="E1648" s="1" t="s">
        <v>88</v>
      </c>
      <c r="F1648">
        <v>1</v>
      </c>
      <c r="G1648" s="2">
        <v>46010</v>
      </c>
      <c r="H1648" s="2">
        <v>46012</v>
      </c>
      <c r="I1648">
        <v>258.38</v>
      </c>
      <c r="J1648">
        <v>134.38</v>
      </c>
      <c r="K1648">
        <v>134.38</v>
      </c>
      <c r="L1648">
        <v>0</v>
      </c>
      <c r="M1648" s="1" t="s">
        <v>21</v>
      </c>
      <c r="N1648" s="1" t="s">
        <v>22</v>
      </c>
      <c r="O1648" s="2">
        <v>46030</v>
      </c>
      <c r="P1648" s="2">
        <v>46030</v>
      </c>
      <c r="Q1648">
        <f>_xlfn.XLOOKUP(E1648,CPT!$A$2:$A$13,CPT!$D$2:$D$13)</f>
        <v>260</v>
      </c>
      <c r="R1648" s="1">
        <f>_xlfn.XLOOKUP(C1648,Contract!$A$2:$A$9,Contract!$B$2:$B$9)</f>
        <v>0.47</v>
      </c>
      <c r="S1648" s="1">
        <f t="shared" si="100"/>
        <v>122.2</v>
      </c>
      <c r="T1648" s="1">
        <f t="shared" si="101"/>
        <v>-12.179999999999993</v>
      </c>
      <c r="U1648" s="1" t="str">
        <f t="shared" si="102"/>
        <v>OK</v>
      </c>
      <c r="V1648" s="1" t="str">
        <f>_xlfn.XLOOKUP(C1648,Payers!$A$2:$A$9,Payers!$B$2:$B$9)</f>
        <v>Keystone Commercial PPO</v>
      </c>
      <c r="W1648" s="1" t="str">
        <f t="shared" si="103"/>
        <v>2025-12</v>
      </c>
    </row>
    <row r="1649" spans="1:23">
      <c r="A1649" s="1" t="s">
        <v>3015</v>
      </c>
      <c r="B1649" s="1" t="s">
        <v>3016</v>
      </c>
      <c r="C1649" s="1" t="s">
        <v>52</v>
      </c>
      <c r="D1649" s="1" t="s">
        <v>26</v>
      </c>
      <c r="E1649" s="1" t="s">
        <v>44</v>
      </c>
      <c r="F1649">
        <v>1</v>
      </c>
      <c r="G1649" s="2">
        <v>46253</v>
      </c>
      <c r="H1649" s="2">
        <v>46258</v>
      </c>
      <c r="I1649">
        <v>4781.21</v>
      </c>
      <c r="M1649" s="1" t="s">
        <v>32</v>
      </c>
      <c r="N1649" s="1" t="s">
        <v>168</v>
      </c>
      <c r="O1649" s="2">
        <v>46293</v>
      </c>
      <c r="P1649" s="2"/>
      <c r="Q1649">
        <f>_xlfn.XLOOKUP(E1649,CPT!$A$2:$A$13,CPT!$D$2:$D$13)</f>
        <v>4800</v>
      </c>
      <c r="R1649" s="1">
        <f>_xlfn.XLOOKUP(C1649,Contract!$A$2:$A$9,Contract!$B$2:$B$9)</f>
        <v>0.47</v>
      </c>
      <c r="S1649" s="1">
        <f t="shared" si="100"/>
        <v>2256</v>
      </c>
      <c r="T1649" s="1" t="str">
        <f t="shared" si="101"/>
        <v/>
      </c>
      <c r="U1649" s="1" t="str">
        <f t="shared" si="102"/>
        <v/>
      </c>
      <c r="V1649" s="1" t="str">
        <f>_xlfn.XLOOKUP(C1649,Payers!$A$2:$A$9,Payers!$B$2:$B$9)</f>
        <v>Keystone Commercial PPO</v>
      </c>
      <c r="W1649" s="1" t="str">
        <f t="shared" si="103"/>
        <v>2026-08</v>
      </c>
    </row>
    <row r="1650" spans="1:23">
      <c r="A1650" s="1" t="s">
        <v>3017</v>
      </c>
      <c r="B1650" s="1" t="s">
        <v>3018</v>
      </c>
      <c r="C1650" s="1" t="s">
        <v>60</v>
      </c>
      <c r="D1650" s="1" t="s">
        <v>19</v>
      </c>
      <c r="E1650" s="1" t="s">
        <v>88</v>
      </c>
      <c r="F1650">
        <v>1</v>
      </c>
      <c r="G1650" s="2">
        <v>46038</v>
      </c>
      <c r="H1650" s="2">
        <v>46052</v>
      </c>
      <c r="I1650">
        <v>267.48</v>
      </c>
      <c r="J1650">
        <v>138.43</v>
      </c>
      <c r="K1650">
        <v>138.43</v>
      </c>
      <c r="L1650">
        <v>0</v>
      </c>
      <c r="M1650" s="1" t="s">
        <v>21</v>
      </c>
      <c r="N1650" s="1" t="s">
        <v>22</v>
      </c>
      <c r="O1650" s="2">
        <v>46083</v>
      </c>
      <c r="P1650" s="2">
        <v>46083</v>
      </c>
      <c r="Q1650">
        <f>_xlfn.XLOOKUP(E1650,CPT!$A$2:$A$13,CPT!$D$2:$D$13)</f>
        <v>260</v>
      </c>
      <c r="R1650" s="1">
        <f>_xlfn.XLOOKUP(C1650,Contract!$A$2:$A$9,Contract!$B$2:$B$9)</f>
        <v>0.45</v>
      </c>
      <c r="S1650" s="1">
        <f t="shared" si="100"/>
        <v>117</v>
      </c>
      <c r="T1650" s="1">
        <f t="shared" si="101"/>
        <v>-21.430000000000007</v>
      </c>
      <c r="U1650" s="1" t="str">
        <f t="shared" si="102"/>
        <v>OK</v>
      </c>
      <c r="V1650" s="1" t="str">
        <f>_xlfn.XLOOKUP(C1650,Payers!$A$2:$A$9,Payers!$B$2:$B$9)</f>
        <v>Blue Horizon Commercial</v>
      </c>
      <c r="W1650" s="1" t="str">
        <f t="shared" si="103"/>
        <v>2026-01</v>
      </c>
    </row>
    <row r="1651" spans="1:23">
      <c r="A1651" s="1" t="s">
        <v>3019</v>
      </c>
      <c r="B1651" s="1" t="s">
        <v>3020</v>
      </c>
      <c r="C1651" s="1" t="s">
        <v>76</v>
      </c>
      <c r="D1651" s="1" t="s">
        <v>26</v>
      </c>
      <c r="E1651" s="1" t="s">
        <v>27</v>
      </c>
      <c r="F1651">
        <v>1</v>
      </c>
      <c r="G1651" s="2">
        <v>46009</v>
      </c>
      <c r="H1651" s="2">
        <v>46028</v>
      </c>
      <c r="I1651">
        <v>237.78</v>
      </c>
      <c r="J1651">
        <v>103.74</v>
      </c>
      <c r="K1651">
        <v>103.74</v>
      </c>
      <c r="L1651">
        <v>0</v>
      </c>
      <c r="M1651" s="1" t="s">
        <v>21</v>
      </c>
      <c r="N1651" s="1" t="s">
        <v>22</v>
      </c>
      <c r="O1651" s="2">
        <v>46064</v>
      </c>
      <c r="P1651" s="2">
        <v>46064</v>
      </c>
      <c r="Q1651">
        <f>_xlfn.XLOOKUP(E1651,CPT!$A$2:$A$13,CPT!$D$2:$D$13)</f>
        <v>240</v>
      </c>
      <c r="R1651" s="1">
        <f>_xlfn.XLOOKUP(C1651,Contract!$A$2:$A$9,Contract!$B$2:$B$9)</f>
        <v>0.43</v>
      </c>
      <c r="S1651" s="1">
        <f t="shared" si="100"/>
        <v>103.2</v>
      </c>
      <c r="T1651" s="1">
        <f t="shared" si="101"/>
        <v>-0.53999999999999204</v>
      </c>
      <c r="U1651" s="1" t="str">
        <f t="shared" si="102"/>
        <v>OK</v>
      </c>
      <c r="V1651" s="1" t="str">
        <f>_xlfn.XLOOKUP(C1651,Payers!$A$2:$A$9,Payers!$B$2:$B$9)</f>
        <v>Summit Health Commercial</v>
      </c>
      <c r="W1651" s="1" t="str">
        <f t="shared" si="103"/>
        <v>2025-12</v>
      </c>
    </row>
    <row r="1652" spans="1:23">
      <c r="A1652" s="1" t="s">
        <v>3021</v>
      </c>
      <c r="B1652" s="1" t="s">
        <v>902</v>
      </c>
      <c r="C1652" s="1" t="s">
        <v>76</v>
      </c>
      <c r="D1652" s="1" t="s">
        <v>37</v>
      </c>
      <c r="E1652" s="1" t="s">
        <v>48</v>
      </c>
      <c r="F1652">
        <v>1</v>
      </c>
      <c r="G1652" s="2">
        <v>46124</v>
      </c>
      <c r="H1652" s="2">
        <v>46133</v>
      </c>
      <c r="I1652">
        <v>412.01</v>
      </c>
      <c r="J1652">
        <v>167.23</v>
      </c>
      <c r="K1652">
        <v>133.78</v>
      </c>
      <c r="L1652">
        <v>33.450000000000003</v>
      </c>
      <c r="M1652" s="1" t="s">
        <v>21</v>
      </c>
      <c r="N1652" s="1" t="s">
        <v>22</v>
      </c>
      <c r="O1652" s="2">
        <v>46162</v>
      </c>
      <c r="P1652" s="2">
        <v>46162</v>
      </c>
      <c r="Q1652">
        <f>_xlfn.XLOOKUP(E1652,CPT!$A$2:$A$13,CPT!$D$2:$D$13)</f>
        <v>420</v>
      </c>
      <c r="R1652" s="1">
        <f>_xlfn.XLOOKUP(C1652,Contract!$A$2:$A$9,Contract!$B$2:$B$9)</f>
        <v>0.43</v>
      </c>
      <c r="S1652" s="1">
        <f t="shared" si="100"/>
        <v>180.6</v>
      </c>
      <c r="T1652" s="1">
        <f t="shared" si="101"/>
        <v>13.370000000000005</v>
      </c>
      <c r="U1652" s="1" t="str">
        <f t="shared" si="102"/>
        <v>Underpaid</v>
      </c>
      <c r="V1652" s="1" t="str">
        <f>_xlfn.XLOOKUP(C1652,Payers!$A$2:$A$9,Payers!$B$2:$B$9)</f>
        <v>Summit Health Commercial</v>
      </c>
      <c r="W1652" s="1" t="str">
        <f t="shared" si="103"/>
        <v>2026-04</v>
      </c>
    </row>
    <row r="1653" spans="1:23">
      <c r="A1653" s="1" t="s">
        <v>3022</v>
      </c>
      <c r="B1653" s="1" t="s">
        <v>3023</v>
      </c>
      <c r="C1653" s="1" t="s">
        <v>36</v>
      </c>
      <c r="D1653" s="1" t="s">
        <v>30</v>
      </c>
      <c r="E1653" s="1" t="s">
        <v>20</v>
      </c>
      <c r="F1653">
        <v>1</v>
      </c>
      <c r="G1653" s="2">
        <v>46176</v>
      </c>
      <c r="H1653" s="2">
        <v>46178</v>
      </c>
      <c r="I1653">
        <v>148.16999999999999</v>
      </c>
      <c r="M1653" s="1" t="s">
        <v>32</v>
      </c>
      <c r="N1653" s="1" t="s">
        <v>33</v>
      </c>
      <c r="O1653" s="2">
        <v>46220</v>
      </c>
      <c r="P1653" s="2"/>
      <c r="Q1653">
        <f>_xlfn.XLOOKUP(E1653,CPT!$A$2:$A$13,CPT!$D$2:$D$13)</f>
        <v>145</v>
      </c>
      <c r="R1653" s="1">
        <f>_xlfn.XLOOKUP(C1653,Contract!$A$2:$A$9,Contract!$B$2:$B$9)</f>
        <v>0.27</v>
      </c>
      <c r="S1653" s="1">
        <f t="shared" si="100"/>
        <v>39.15</v>
      </c>
      <c r="T1653" s="1" t="str">
        <f t="shared" si="101"/>
        <v/>
      </c>
      <c r="U1653" s="1" t="str">
        <f t="shared" si="102"/>
        <v/>
      </c>
      <c r="V1653" s="1" t="str">
        <f>_xlfn.XLOOKUP(C1653,Payers!$A$2:$A$9,Payers!$B$2:$B$9)</f>
        <v>Florida Medicaid</v>
      </c>
      <c r="W1653" s="1" t="str">
        <f t="shared" si="103"/>
        <v>2026-06</v>
      </c>
    </row>
    <row r="1654" spans="1:23">
      <c r="A1654" s="1" t="s">
        <v>3024</v>
      </c>
      <c r="B1654" s="1" t="s">
        <v>3025</v>
      </c>
      <c r="C1654" s="1" t="s">
        <v>47</v>
      </c>
      <c r="D1654" s="1" t="s">
        <v>26</v>
      </c>
      <c r="E1654" s="1" t="s">
        <v>27</v>
      </c>
      <c r="F1654">
        <v>1</v>
      </c>
      <c r="G1654" s="2">
        <v>45993</v>
      </c>
      <c r="H1654" s="2">
        <v>45995</v>
      </c>
      <c r="I1654">
        <v>242.21</v>
      </c>
      <c r="M1654" s="1" t="s">
        <v>32</v>
      </c>
      <c r="N1654" s="1" t="s">
        <v>98</v>
      </c>
      <c r="O1654" s="2">
        <v>46042</v>
      </c>
      <c r="P1654" s="2"/>
      <c r="Q1654">
        <f>_xlfn.XLOOKUP(E1654,CPT!$A$2:$A$13,CPT!$D$2:$D$13)</f>
        <v>240</v>
      </c>
      <c r="R1654" s="1">
        <f>_xlfn.XLOOKUP(C1654,Contract!$A$2:$A$9,Contract!$B$2:$B$9)</f>
        <v>0.28000000000000003</v>
      </c>
      <c r="S1654" s="1">
        <f t="shared" si="100"/>
        <v>67.2</v>
      </c>
      <c r="T1654" s="1" t="str">
        <f t="shared" si="101"/>
        <v/>
      </c>
      <c r="U1654" s="1" t="str">
        <f t="shared" si="102"/>
        <v/>
      </c>
      <c r="V1654" s="1" t="str">
        <f>_xlfn.XLOOKUP(C1654,Payers!$A$2:$A$9,Payers!$B$2:$B$9)</f>
        <v>Coastal Medicaid MCO</v>
      </c>
      <c r="W1654" s="1" t="str">
        <f t="shared" si="103"/>
        <v>2025-12</v>
      </c>
    </row>
    <row r="1655" spans="1:23">
      <c r="A1655" s="1" t="s">
        <v>3026</v>
      </c>
      <c r="B1655" s="1" t="s">
        <v>3027</v>
      </c>
      <c r="C1655" s="1" t="s">
        <v>76</v>
      </c>
      <c r="D1655" s="1" t="s">
        <v>19</v>
      </c>
      <c r="E1655" s="1" t="s">
        <v>88</v>
      </c>
      <c r="F1655">
        <v>1</v>
      </c>
      <c r="G1655" s="2">
        <v>46091</v>
      </c>
      <c r="H1655" s="2">
        <v>46098</v>
      </c>
      <c r="I1655">
        <v>263.60000000000002</v>
      </c>
      <c r="M1655" s="1" t="s">
        <v>32</v>
      </c>
      <c r="N1655" s="1" t="s">
        <v>33</v>
      </c>
      <c r="O1655" s="2">
        <v>46136</v>
      </c>
      <c r="P1655" s="2"/>
      <c r="Q1655">
        <f>_xlfn.XLOOKUP(E1655,CPT!$A$2:$A$13,CPT!$D$2:$D$13)</f>
        <v>260</v>
      </c>
      <c r="R1655" s="1">
        <f>_xlfn.XLOOKUP(C1655,Contract!$A$2:$A$9,Contract!$B$2:$B$9)</f>
        <v>0.43</v>
      </c>
      <c r="S1655" s="1">
        <f t="shared" si="100"/>
        <v>111.8</v>
      </c>
      <c r="T1655" s="1" t="str">
        <f t="shared" si="101"/>
        <v/>
      </c>
      <c r="U1655" s="1" t="str">
        <f t="shared" si="102"/>
        <v/>
      </c>
      <c r="V1655" s="1" t="str">
        <f>_xlfn.XLOOKUP(C1655,Payers!$A$2:$A$9,Payers!$B$2:$B$9)</f>
        <v>Summit Health Commercial</v>
      </c>
      <c r="W1655" s="1" t="str">
        <f t="shared" si="103"/>
        <v>2026-03</v>
      </c>
    </row>
    <row r="1656" spans="1:23">
      <c r="A1656" s="1" t="s">
        <v>3028</v>
      </c>
      <c r="B1656" s="1" t="s">
        <v>136</v>
      </c>
      <c r="C1656" s="1" t="s">
        <v>25</v>
      </c>
      <c r="D1656" s="1" t="s">
        <v>26</v>
      </c>
      <c r="E1656" s="1" t="s">
        <v>88</v>
      </c>
      <c r="F1656">
        <v>1</v>
      </c>
      <c r="G1656" s="2">
        <v>46275</v>
      </c>
      <c r="H1656" s="2">
        <v>46278</v>
      </c>
      <c r="I1656">
        <v>257.54000000000002</v>
      </c>
      <c r="M1656" s="1" t="s">
        <v>32</v>
      </c>
      <c r="N1656" s="1" t="s">
        <v>49</v>
      </c>
      <c r="O1656" s="2">
        <v>46294</v>
      </c>
      <c r="P1656" s="2"/>
      <c r="Q1656">
        <f>_xlfn.XLOOKUP(E1656,CPT!$A$2:$A$13,CPT!$D$2:$D$13)</f>
        <v>260</v>
      </c>
      <c r="R1656" s="1">
        <f>_xlfn.XLOOKUP(C1656,Contract!$A$2:$A$9,Contract!$B$2:$B$9)</f>
        <v>0.36</v>
      </c>
      <c r="S1656" s="1">
        <f t="shared" si="100"/>
        <v>93.6</v>
      </c>
      <c r="T1656" s="1" t="str">
        <f t="shared" si="101"/>
        <v/>
      </c>
      <c r="U1656" s="1" t="str">
        <f t="shared" si="102"/>
        <v/>
      </c>
      <c r="V1656" s="1" t="str">
        <f>_xlfn.XLOOKUP(C1656,Payers!$A$2:$A$9,Payers!$B$2:$B$9)</f>
        <v>Medicare Part B</v>
      </c>
      <c r="W1656" s="1" t="str">
        <f t="shared" si="103"/>
        <v>2026-09</v>
      </c>
    </row>
    <row r="1657" spans="1:23">
      <c r="A1657" s="1" t="s">
        <v>3029</v>
      </c>
      <c r="B1657" s="1" t="s">
        <v>1002</v>
      </c>
      <c r="C1657" s="1" t="s">
        <v>76</v>
      </c>
      <c r="D1657" s="1" t="s">
        <v>19</v>
      </c>
      <c r="E1657" s="1" t="s">
        <v>41</v>
      </c>
      <c r="F1657">
        <v>1</v>
      </c>
      <c r="G1657" s="2">
        <v>46025</v>
      </c>
      <c r="H1657" s="2">
        <v>46032</v>
      </c>
      <c r="I1657">
        <v>37</v>
      </c>
      <c r="J1657">
        <v>13.45</v>
      </c>
      <c r="K1657">
        <v>13.45</v>
      </c>
      <c r="L1657">
        <v>0</v>
      </c>
      <c r="M1657" s="1" t="s">
        <v>21</v>
      </c>
      <c r="N1657" s="1" t="s">
        <v>22</v>
      </c>
      <c r="O1657" s="2">
        <v>46051</v>
      </c>
      <c r="P1657" s="2">
        <v>46051</v>
      </c>
      <c r="Q1657">
        <f>_xlfn.XLOOKUP(E1657,CPT!$A$2:$A$13,CPT!$D$2:$D$13)</f>
        <v>38</v>
      </c>
      <c r="R1657" s="1">
        <f>_xlfn.XLOOKUP(C1657,Contract!$A$2:$A$9,Contract!$B$2:$B$9)</f>
        <v>0.43</v>
      </c>
      <c r="S1657" s="1">
        <f t="shared" si="100"/>
        <v>16.34</v>
      </c>
      <c r="T1657" s="1">
        <f t="shared" si="101"/>
        <v>2.8900000000000006</v>
      </c>
      <c r="U1657" s="1" t="str">
        <f t="shared" si="102"/>
        <v>Underpaid</v>
      </c>
      <c r="V1657" s="1" t="str">
        <f>_xlfn.XLOOKUP(C1657,Payers!$A$2:$A$9,Payers!$B$2:$B$9)</f>
        <v>Summit Health Commercial</v>
      </c>
      <c r="W1657" s="1" t="str">
        <f t="shared" si="103"/>
        <v>2026-01</v>
      </c>
    </row>
    <row r="1658" spans="1:23">
      <c r="A1658" s="1" t="s">
        <v>3030</v>
      </c>
      <c r="B1658" s="1" t="s">
        <v>1543</v>
      </c>
      <c r="C1658" s="1" t="s">
        <v>60</v>
      </c>
      <c r="D1658" s="1" t="s">
        <v>30</v>
      </c>
      <c r="E1658" s="1" t="s">
        <v>20</v>
      </c>
      <c r="F1658">
        <v>1</v>
      </c>
      <c r="G1658" s="2">
        <v>46249</v>
      </c>
      <c r="H1658" s="2">
        <v>46252</v>
      </c>
      <c r="I1658">
        <v>148.19</v>
      </c>
      <c r="J1658">
        <v>59.42</v>
      </c>
      <c r="K1658">
        <v>59.42</v>
      </c>
      <c r="L1658">
        <v>0</v>
      </c>
      <c r="M1658" s="1" t="s">
        <v>21</v>
      </c>
      <c r="N1658" s="1" t="s">
        <v>22</v>
      </c>
      <c r="O1658" s="2">
        <v>46285</v>
      </c>
      <c r="P1658" s="2">
        <v>46285</v>
      </c>
      <c r="Q1658">
        <f>_xlfn.XLOOKUP(E1658,CPT!$A$2:$A$13,CPT!$D$2:$D$13)</f>
        <v>145</v>
      </c>
      <c r="R1658" s="1">
        <f>_xlfn.XLOOKUP(C1658,Contract!$A$2:$A$9,Contract!$B$2:$B$9)</f>
        <v>0.45</v>
      </c>
      <c r="S1658" s="1">
        <f t="shared" si="100"/>
        <v>65.25</v>
      </c>
      <c r="T1658" s="1">
        <f t="shared" si="101"/>
        <v>5.8299999999999983</v>
      </c>
      <c r="U1658" s="1" t="str">
        <f t="shared" si="102"/>
        <v>Underpaid</v>
      </c>
      <c r="V1658" s="1" t="str">
        <f>_xlfn.XLOOKUP(C1658,Payers!$A$2:$A$9,Payers!$B$2:$B$9)</f>
        <v>Blue Horizon Commercial</v>
      </c>
      <c r="W1658" s="1" t="str">
        <f t="shared" si="103"/>
        <v>2026-08</v>
      </c>
    </row>
    <row r="1659" spans="1:23">
      <c r="A1659" s="1" t="s">
        <v>3031</v>
      </c>
      <c r="B1659" s="1" t="s">
        <v>3032</v>
      </c>
      <c r="C1659" s="1" t="s">
        <v>76</v>
      </c>
      <c r="D1659" s="1" t="s">
        <v>37</v>
      </c>
      <c r="E1659" s="1" t="s">
        <v>57</v>
      </c>
      <c r="F1659">
        <v>1</v>
      </c>
      <c r="G1659" s="2">
        <v>46203</v>
      </c>
      <c r="H1659" s="2">
        <v>46206</v>
      </c>
      <c r="I1659">
        <v>210.84</v>
      </c>
      <c r="M1659" s="1" t="s">
        <v>32</v>
      </c>
      <c r="N1659" s="1" t="s">
        <v>49</v>
      </c>
      <c r="O1659" s="2">
        <v>46240</v>
      </c>
      <c r="P1659" s="2"/>
      <c r="Q1659">
        <f>_xlfn.XLOOKUP(E1659,CPT!$A$2:$A$13,CPT!$D$2:$D$13)</f>
        <v>210</v>
      </c>
      <c r="R1659" s="1">
        <f>_xlfn.XLOOKUP(C1659,Contract!$A$2:$A$9,Contract!$B$2:$B$9)</f>
        <v>0.43</v>
      </c>
      <c r="S1659" s="1">
        <f t="shared" si="100"/>
        <v>90.3</v>
      </c>
      <c r="T1659" s="1" t="str">
        <f t="shared" si="101"/>
        <v/>
      </c>
      <c r="U1659" s="1" t="str">
        <f t="shared" si="102"/>
        <v/>
      </c>
      <c r="V1659" s="1" t="str">
        <f>_xlfn.XLOOKUP(C1659,Payers!$A$2:$A$9,Payers!$B$2:$B$9)</f>
        <v>Summit Health Commercial</v>
      </c>
      <c r="W1659" s="1" t="str">
        <f t="shared" si="103"/>
        <v>2026-06</v>
      </c>
    </row>
    <row r="1660" spans="1:23">
      <c r="A1660" s="1" t="s">
        <v>3033</v>
      </c>
      <c r="B1660" s="1" t="s">
        <v>3034</v>
      </c>
      <c r="C1660" s="1" t="s">
        <v>25</v>
      </c>
      <c r="D1660" s="1" t="s">
        <v>26</v>
      </c>
      <c r="E1660" s="1" t="s">
        <v>44</v>
      </c>
      <c r="F1660">
        <v>1</v>
      </c>
      <c r="G1660" s="2">
        <v>46025</v>
      </c>
      <c r="H1660" s="2">
        <v>46030</v>
      </c>
      <c r="I1660">
        <v>4693.97</v>
      </c>
      <c r="J1660">
        <v>1441.85</v>
      </c>
      <c r="K1660">
        <v>1153.48</v>
      </c>
      <c r="L1660">
        <v>288.37</v>
      </c>
      <c r="M1660" s="1" t="s">
        <v>21</v>
      </c>
      <c r="N1660" s="1" t="s">
        <v>22</v>
      </c>
      <c r="O1660" s="2">
        <v>46056</v>
      </c>
      <c r="P1660" s="2">
        <v>46056</v>
      </c>
      <c r="Q1660">
        <f>_xlfn.XLOOKUP(E1660,CPT!$A$2:$A$13,CPT!$D$2:$D$13)</f>
        <v>4800</v>
      </c>
      <c r="R1660" s="1">
        <f>_xlfn.XLOOKUP(C1660,Contract!$A$2:$A$9,Contract!$B$2:$B$9)</f>
        <v>0.36</v>
      </c>
      <c r="S1660" s="1">
        <f t="shared" si="100"/>
        <v>1728</v>
      </c>
      <c r="T1660" s="1">
        <f t="shared" si="101"/>
        <v>286.15000000000009</v>
      </c>
      <c r="U1660" s="1" t="str">
        <f t="shared" si="102"/>
        <v>Underpaid</v>
      </c>
      <c r="V1660" s="1" t="str">
        <f>_xlfn.XLOOKUP(C1660,Payers!$A$2:$A$9,Payers!$B$2:$B$9)</f>
        <v>Medicare Part B</v>
      </c>
      <c r="W1660" s="1" t="str">
        <f t="shared" si="103"/>
        <v>2026-01</v>
      </c>
    </row>
    <row r="1661" spans="1:23">
      <c r="A1661" s="1" t="s">
        <v>3035</v>
      </c>
      <c r="B1661" s="1" t="s">
        <v>1400</v>
      </c>
      <c r="C1661" s="1" t="s">
        <v>60</v>
      </c>
      <c r="D1661" s="1" t="s">
        <v>19</v>
      </c>
      <c r="E1661" s="1" t="s">
        <v>88</v>
      </c>
      <c r="F1661">
        <v>1</v>
      </c>
      <c r="G1661" s="2">
        <v>46257</v>
      </c>
      <c r="H1661" s="2">
        <v>46269</v>
      </c>
      <c r="I1661">
        <v>266.8</v>
      </c>
      <c r="J1661">
        <v>135</v>
      </c>
      <c r="K1661">
        <v>121.5</v>
      </c>
      <c r="L1661">
        <v>13.5</v>
      </c>
      <c r="M1661" s="1" t="s">
        <v>21</v>
      </c>
      <c r="N1661" s="1" t="s">
        <v>22</v>
      </c>
      <c r="O1661" s="2">
        <v>46293</v>
      </c>
      <c r="P1661" s="2">
        <v>46293</v>
      </c>
      <c r="Q1661">
        <f>_xlfn.XLOOKUP(E1661,CPT!$A$2:$A$13,CPT!$D$2:$D$13)</f>
        <v>260</v>
      </c>
      <c r="R1661" s="1">
        <f>_xlfn.XLOOKUP(C1661,Contract!$A$2:$A$9,Contract!$B$2:$B$9)</f>
        <v>0.45</v>
      </c>
      <c r="S1661" s="1">
        <f t="shared" si="100"/>
        <v>117</v>
      </c>
      <c r="T1661" s="1">
        <f t="shared" si="101"/>
        <v>-18</v>
      </c>
      <c r="U1661" s="1" t="str">
        <f t="shared" si="102"/>
        <v>OK</v>
      </c>
      <c r="V1661" s="1" t="str">
        <f>_xlfn.XLOOKUP(C1661,Payers!$A$2:$A$9,Payers!$B$2:$B$9)</f>
        <v>Blue Horizon Commercial</v>
      </c>
      <c r="W1661" s="1" t="str">
        <f t="shared" si="103"/>
        <v>2026-08</v>
      </c>
    </row>
    <row r="1662" spans="1:23">
      <c r="A1662" s="1" t="s">
        <v>3036</v>
      </c>
      <c r="B1662" s="1" t="s">
        <v>3037</v>
      </c>
      <c r="C1662" s="1" t="s">
        <v>25</v>
      </c>
      <c r="D1662" s="1" t="s">
        <v>26</v>
      </c>
      <c r="E1662" s="1" t="s">
        <v>88</v>
      </c>
      <c r="F1662">
        <v>1</v>
      </c>
      <c r="G1662" s="2">
        <v>46126</v>
      </c>
      <c r="H1662" s="2">
        <v>46127</v>
      </c>
      <c r="I1662">
        <v>257.33</v>
      </c>
      <c r="J1662">
        <v>97.6</v>
      </c>
      <c r="K1662">
        <v>97.6</v>
      </c>
      <c r="L1662">
        <v>0</v>
      </c>
      <c r="M1662" s="1" t="s">
        <v>21</v>
      </c>
      <c r="N1662" s="1" t="s">
        <v>22</v>
      </c>
      <c r="O1662" s="2">
        <v>46146</v>
      </c>
      <c r="P1662" s="2">
        <v>46146</v>
      </c>
      <c r="Q1662">
        <f>_xlfn.XLOOKUP(E1662,CPT!$A$2:$A$13,CPT!$D$2:$D$13)</f>
        <v>260</v>
      </c>
      <c r="R1662" s="1">
        <f>_xlfn.XLOOKUP(C1662,Contract!$A$2:$A$9,Contract!$B$2:$B$9)</f>
        <v>0.36</v>
      </c>
      <c r="S1662" s="1">
        <f t="shared" si="100"/>
        <v>93.6</v>
      </c>
      <c r="T1662" s="1">
        <f t="shared" si="101"/>
        <v>-4</v>
      </c>
      <c r="U1662" s="1" t="str">
        <f t="shared" si="102"/>
        <v>OK</v>
      </c>
      <c r="V1662" s="1" t="str">
        <f>_xlfn.XLOOKUP(C1662,Payers!$A$2:$A$9,Payers!$B$2:$B$9)</f>
        <v>Medicare Part B</v>
      </c>
      <c r="W1662" s="1" t="str">
        <f t="shared" si="103"/>
        <v>2026-04</v>
      </c>
    </row>
    <row r="1663" spans="1:23">
      <c r="A1663" s="1" t="s">
        <v>3038</v>
      </c>
      <c r="B1663" s="1" t="s">
        <v>3039</v>
      </c>
      <c r="C1663" s="1" t="s">
        <v>60</v>
      </c>
      <c r="D1663" s="1" t="s">
        <v>26</v>
      </c>
      <c r="E1663" s="1" t="s">
        <v>88</v>
      </c>
      <c r="F1663">
        <v>1</v>
      </c>
      <c r="G1663" s="2">
        <v>46231</v>
      </c>
      <c r="H1663" s="2">
        <v>46239</v>
      </c>
      <c r="I1663">
        <v>253.28</v>
      </c>
      <c r="J1663">
        <v>113.49</v>
      </c>
      <c r="K1663">
        <v>90.79</v>
      </c>
      <c r="L1663">
        <v>22.7</v>
      </c>
      <c r="M1663" s="1" t="s">
        <v>21</v>
      </c>
      <c r="N1663" s="1" t="s">
        <v>22</v>
      </c>
      <c r="O1663" s="2">
        <v>46255</v>
      </c>
      <c r="P1663" s="2">
        <v>46255</v>
      </c>
      <c r="Q1663">
        <f>_xlfn.XLOOKUP(E1663,CPT!$A$2:$A$13,CPT!$D$2:$D$13)</f>
        <v>260</v>
      </c>
      <c r="R1663" s="1">
        <f>_xlfn.XLOOKUP(C1663,Contract!$A$2:$A$9,Contract!$B$2:$B$9)</f>
        <v>0.45</v>
      </c>
      <c r="S1663" s="1">
        <f t="shared" si="100"/>
        <v>117</v>
      </c>
      <c r="T1663" s="1">
        <f t="shared" si="101"/>
        <v>3.5100000000000051</v>
      </c>
      <c r="U1663" s="1" t="str">
        <f t="shared" si="102"/>
        <v>OK</v>
      </c>
      <c r="V1663" s="1" t="str">
        <f>_xlfn.XLOOKUP(C1663,Payers!$A$2:$A$9,Payers!$B$2:$B$9)</f>
        <v>Blue Horizon Commercial</v>
      </c>
      <c r="W1663" s="1" t="str">
        <f t="shared" si="103"/>
        <v>2026-07</v>
      </c>
    </row>
    <row r="1664" spans="1:23">
      <c r="A1664" s="1" t="s">
        <v>3040</v>
      </c>
      <c r="B1664" s="1" t="s">
        <v>1347</v>
      </c>
      <c r="C1664" s="1" t="s">
        <v>25</v>
      </c>
      <c r="D1664" s="1" t="s">
        <v>30</v>
      </c>
      <c r="E1664" s="1" t="s">
        <v>20</v>
      </c>
      <c r="F1664">
        <v>1</v>
      </c>
      <c r="G1664" s="2">
        <v>46076</v>
      </c>
      <c r="H1664" s="2">
        <v>46197</v>
      </c>
      <c r="I1664">
        <v>144.83000000000001</v>
      </c>
      <c r="M1664" s="1" t="s">
        <v>32</v>
      </c>
      <c r="N1664" s="1" t="s">
        <v>137</v>
      </c>
      <c r="O1664" s="2">
        <v>46212</v>
      </c>
      <c r="P1664" s="2"/>
      <c r="Q1664">
        <f>_xlfn.XLOOKUP(E1664,CPT!$A$2:$A$13,CPT!$D$2:$D$13)</f>
        <v>145</v>
      </c>
      <c r="R1664" s="1">
        <f>_xlfn.XLOOKUP(C1664,Contract!$A$2:$A$9,Contract!$B$2:$B$9)</f>
        <v>0.36</v>
      </c>
      <c r="S1664" s="1">
        <f t="shared" si="100"/>
        <v>52.2</v>
      </c>
      <c r="T1664" s="1" t="str">
        <f t="shared" si="101"/>
        <v/>
      </c>
      <c r="U1664" s="1" t="str">
        <f t="shared" si="102"/>
        <v/>
      </c>
      <c r="V1664" s="1" t="str">
        <f>_xlfn.XLOOKUP(C1664,Payers!$A$2:$A$9,Payers!$B$2:$B$9)</f>
        <v>Medicare Part B</v>
      </c>
      <c r="W1664" s="1" t="str">
        <f t="shared" si="103"/>
        <v>2026-02</v>
      </c>
    </row>
    <row r="1665" spans="1:23">
      <c r="A1665" s="1" t="s">
        <v>3041</v>
      </c>
      <c r="B1665" s="1" t="s">
        <v>3042</v>
      </c>
      <c r="C1665" s="1" t="s">
        <v>76</v>
      </c>
      <c r="D1665" s="1" t="s">
        <v>19</v>
      </c>
      <c r="E1665" s="1" t="s">
        <v>41</v>
      </c>
      <c r="F1665">
        <v>1</v>
      </c>
      <c r="G1665" s="2">
        <v>46160</v>
      </c>
      <c r="H1665" s="2">
        <v>46171</v>
      </c>
      <c r="I1665">
        <v>38.21</v>
      </c>
      <c r="J1665">
        <v>14.25</v>
      </c>
      <c r="K1665">
        <v>14.25</v>
      </c>
      <c r="L1665">
        <v>0</v>
      </c>
      <c r="M1665" s="1" t="s">
        <v>21</v>
      </c>
      <c r="N1665" s="1" t="s">
        <v>22</v>
      </c>
      <c r="O1665" s="2">
        <v>46214</v>
      </c>
      <c r="P1665" s="2">
        <v>46214</v>
      </c>
      <c r="Q1665">
        <f>_xlfn.XLOOKUP(E1665,CPT!$A$2:$A$13,CPT!$D$2:$D$13)</f>
        <v>38</v>
      </c>
      <c r="R1665" s="1">
        <f>_xlfn.XLOOKUP(C1665,Contract!$A$2:$A$9,Contract!$B$2:$B$9)</f>
        <v>0.43</v>
      </c>
      <c r="S1665" s="1">
        <f t="shared" si="100"/>
        <v>16.34</v>
      </c>
      <c r="T1665" s="1">
        <f t="shared" si="101"/>
        <v>2.09</v>
      </c>
      <c r="U1665" s="1" t="str">
        <f t="shared" si="102"/>
        <v>Underpaid</v>
      </c>
      <c r="V1665" s="1" t="str">
        <f>_xlfn.XLOOKUP(C1665,Payers!$A$2:$A$9,Payers!$B$2:$B$9)</f>
        <v>Summit Health Commercial</v>
      </c>
      <c r="W1665" s="1" t="str">
        <f t="shared" si="103"/>
        <v>2026-05</v>
      </c>
    </row>
    <row r="1666" spans="1:23">
      <c r="A1666" s="1" t="s">
        <v>3043</v>
      </c>
      <c r="B1666" s="1" t="s">
        <v>3039</v>
      </c>
      <c r="C1666" s="1" t="s">
        <v>18</v>
      </c>
      <c r="D1666" s="1" t="s">
        <v>30</v>
      </c>
      <c r="E1666" s="1" t="s">
        <v>91</v>
      </c>
      <c r="F1666">
        <v>1</v>
      </c>
      <c r="G1666" s="2">
        <v>45948</v>
      </c>
      <c r="H1666" s="2">
        <v>45949</v>
      </c>
      <c r="I1666">
        <v>59.25</v>
      </c>
      <c r="J1666">
        <v>24.07</v>
      </c>
      <c r="K1666">
        <v>19.260000000000002</v>
      </c>
      <c r="L1666">
        <v>4.8099999999999996</v>
      </c>
      <c r="M1666" s="1" t="s">
        <v>21</v>
      </c>
      <c r="N1666" s="1" t="s">
        <v>22</v>
      </c>
      <c r="O1666" s="2">
        <v>45996</v>
      </c>
      <c r="P1666" s="2">
        <v>45996</v>
      </c>
      <c r="Q1666">
        <f>_xlfn.XLOOKUP(E1666,CPT!$A$2:$A$13,CPT!$D$2:$D$13)</f>
        <v>58</v>
      </c>
      <c r="R1666" s="1">
        <f>_xlfn.XLOOKUP(C1666,Contract!$A$2:$A$9,Contract!$B$2:$B$9)</f>
        <v>0.38</v>
      </c>
      <c r="S1666" s="1">
        <f t="shared" ref="S1666:S1729" si="104">ROUND(Q1666*F1666*R1666,2)</f>
        <v>22.04</v>
      </c>
      <c r="T1666" s="1">
        <f t="shared" ref="T1666:T1729" si="105">IF(M1666="Paid",S1666-J1666,"")</f>
        <v>-2.0300000000000011</v>
      </c>
      <c r="U1666" s="1" t="str">
        <f t="shared" ref="U1666:U1729" si="106">IF(M1666&lt;&gt;"Paid","",IF(T1666&gt;S1666*0.05,"Underpaid","OK"))</f>
        <v>OK</v>
      </c>
      <c r="V1666" s="1" t="str">
        <f>_xlfn.XLOOKUP(C1666,Payers!$A$2:$A$9,Payers!$B$2:$B$9)</f>
        <v>Sunshine Medicare Advantage</v>
      </c>
      <c r="W1666" s="1" t="str">
        <f t="shared" ref="W1666:W1729" si="107">TEXT(G1666,"yyyy-mm")</f>
        <v>2025-10</v>
      </c>
    </row>
    <row r="1667" spans="1:23">
      <c r="A1667" s="1" t="s">
        <v>3044</v>
      </c>
      <c r="B1667" s="1" t="s">
        <v>3045</v>
      </c>
      <c r="C1667" s="1" t="s">
        <v>79</v>
      </c>
      <c r="D1667" s="1" t="s">
        <v>19</v>
      </c>
      <c r="E1667" s="1" t="s">
        <v>57</v>
      </c>
      <c r="F1667">
        <v>1</v>
      </c>
      <c r="G1667" s="2">
        <v>46156</v>
      </c>
      <c r="H1667" s="2">
        <v>46165</v>
      </c>
      <c r="I1667">
        <v>204.7</v>
      </c>
      <c r="M1667" s="1" t="s">
        <v>69</v>
      </c>
      <c r="N1667" s="1" t="s">
        <v>22</v>
      </c>
      <c r="O1667" s="2"/>
      <c r="P1667" s="2"/>
      <c r="Q1667">
        <f>_xlfn.XLOOKUP(E1667,CPT!$A$2:$A$13,CPT!$D$2:$D$13)</f>
        <v>210</v>
      </c>
      <c r="R1667" s="1">
        <f>_xlfn.XLOOKUP(C1667,Contract!$A$2:$A$9,Contract!$B$2:$B$9)</f>
        <v>1</v>
      </c>
      <c r="S1667" s="1">
        <f t="shared" si="104"/>
        <v>210</v>
      </c>
      <c r="T1667" s="1" t="str">
        <f t="shared" si="105"/>
        <v/>
      </c>
      <c r="U1667" s="1" t="str">
        <f t="shared" si="106"/>
        <v/>
      </c>
      <c r="V1667" s="1" t="str">
        <f>_xlfn.XLOOKUP(C1667,Payers!$A$2:$A$9,Payers!$B$2:$B$9)</f>
        <v>Self-Pay</v>
      </c>
      <c r="W1667" s="1" t="str">
        <f t="shared" si="107"/>
        <v>2026-05</v>
      </c>
    </row>
    <row r="1668" spans="1:23">
      <c r="A1668" s="1" t="s">
        <v>3046</v>
      </c>
      <c r="B1668" s="1" t="s">
        <v>2311</v>
      </c>
      <c r="C1668" s="1" t="s">
        <v>76</v>
      </c>
      <c r="D1668" s="1" t="s">
        <v>37</v>
      </c>
      <c r="E1668" s="1" t="s">
        <v>38</v>
      </c>
      <c r="F1668">
        <v>20</v>
      </c>
      <c r="G1668" s="2">
        <v>45956</v>
      </c>
      <c r="H1668" s="2">
        <v>45962</v>
      </c>
      <c r="I1668">
        <v>29162.799999999999</v>
      </c>
      <c r="M1668" s="1" t="s">
        <v>32</v>
      </c>
      <c r="N1668" s="1" t="s">
        <v>315</v>
      </c>
      <c r="O1668" s="2">
        <v>45999</v>
      </c>
      <c r="P1668" s="2"/>
      <c r="Q1668">
        <f>_xlfn.XLOOKUP(E1668,CPT!$A$2:$A$13,CPT!$D$2:$D$13)</f>
        <v>1450</v>
      </c>
      <c r="R1668" s="1">
        <f>_xlfn.XLOOKUP(C1668,Contract!$A$2:$A$9,Contract!$B$2:$B$9)</f>
        <v>0.43</v>
      </c>
      <c r="S1668" s="1">
        <f t="shared" si="104"/>
        <v>12470</v>
      </c>
      <c r="T1668" s="1" t="str">
        <f t="shared" si="105"/>
        <v/>
      </c>
      <c r="U1668" s="1" t="str">
        <f t="shared" si="106"/>
        <v/>
      </c>
      <c r="V1668" s="1" t="str">
        <f>_xlfn.XLOOKUP(C1668,Payers!$A$2:$A$9,Payers!$B$2:$B$9)</f>
        <v>Summit Health Commercial</v>
      </c>
      <c r="W1668" s="1" t="str">
        <f t="shared" si="107"/>
        <v>2025-10</v>
      </c>
    </row>
    <row r="1669" spans="1:23">
      <c r="A1669" s="1" t="s">
        <v>3047</v>
      </c>
      <c r="B1669" s="1" t="s">
        <v>3048</v>
      </c>
      <c r="C1669" s="1" t="s">
        <v>25</v>
      </c>
      <c r="D1669" s="1" t="s">
        <v>19</v>
      </c>
      <c r="E1669" s="1" t="s">
        <v>88</v>
      </c>
      <c r="F1669">
        <v>1</v>
      </c>
      <c r="G1669" s="2">
        <v>46109</v>
      </c>
      <c r="H1669" s="2">
        <v>46112</v>
      </c>
      <c r="I1669">
        <v>266.58999999999997</v>
      </c>
      <c r="J1669">
        <v>89.96</v>
      </c>
      <c r="K1669">
        <v>80.959999999999994</v>
      </c>
      <c r="L1669">
        <v>9</v>
      </c>
      <c r="M1669" s="1" t="s">
        <v>21</v>
      </c>
      <c r="N1669" s="1" t="s">
        <v>22</v>
      </c>
      <c r="O1669" s="2">
        <v>46134</v>
      </c>
      <c r="P1669" s="2">
        <v>46134</v>
      </c>
      <c r="Q1669">
        <f>_xlfn.XLOOKUP(E1669,CPT!$A$2:$A$13,CPT!$D$2:$D$13)</f>
        <v>260</v>
      </c>
      <c r="R1669" s="1">
        <f>_xlfn.XLOOKUP(C1669,Contract!$A$2:$A$9,Contract!$B$2:$B$9)</f>
        <v>0.36</v>
      </c>
      <c r="S1669" s="1">
        <f t="shared" si="104"/>
        <v>93.6</v>
      </c>
      <c r="T1669" s="1">
        <f t="shared" si="105"/>
        <v>3.6400000000000006</v>
      </c>
      <c r="U1669" s="1" t="str">
        <f t="shared" si="106"/>
        <v>OK</v>
      </c>
      <c r="V1669" s="1" t="str">
        <f>_xlfn.XLOOKUP(C1669,Payers!$A$2:$A$9,Payers!$B$2:$B$9)</f>
        <v>Medicare Part B</v>
      </c>
      <c r="W1669" s="1" t="str">
        <f t="shared" si="107"/>
        <v>2026-03</v>
      </c>
    </row>
    <row r="1670" spans="1:23">
      <c r="A1670" s="1" t="s">
        <v>3049</v>
      </c>
      <c r="B1670" s="1" t="s">
        <v>3050</v>
      </c>
      <c r="C1670" s="1" t="s">
        <v>18</v>
      </c>
      <c r="D1670" s="1" t="s">
        <v>26</v>
      </c>
      <c r="E1670" s="1" t="s">
        <v>185</v>
      </c>
      <c r="F1670">
        <v>1</v>
      </c>
      <c r="G1670" s="2">
        <v>46088</v>
      </c>
      <c r="H1670" s="2">
        <v>46095</v>
      </c>
      <c r="I1670">
        <v>1164.42</v>
      </c>
      <c r="J1670">
        <v>418.42</v>
      </c>
      <c r="K1670">
        <v>418.42</v>
      </c>
      <c r="L1670">
        <v>0</v>
      </c>
      <c r="M1670" s="1" t="s">
        <v>21</v>
      </c>
      <c r="N1670" s="1" t="s">
        <v>22</v>
      </c>
      <c r="O1670" s="2">
        <v>46161</v>
      </c>
      <c r="P1670" s="2">
        <v>46161</v>
      </c>
      <c r="Q1670">
        <f>_xlfn.XLOOKUP(E1670,CPT!$A$2:$A$13,CPT!$D$2:$D$13)</f>
        <v>1150</v>
      </c>
      <c r="R1670" s="1">
        <f>_xlfn.XLOOKUP(C1670,Contract!$A$2:$A$9,Contract!$B$2:$B$9)</f>
        <v>0.38</v>
      </c>
      <c r="S1670" s="1">
        <f t="shared" si="104"/>
        <v>437</v>
      </c>
      <c r="T1670" s="1">
        <f t="shared" si="105"/>
        <v>18.579999999999984</v>
      </c>
      <c r="U1670" s="1" t="str">
        <f t="shared" si="106"/>
        <v>OK</v>
      </c>
      <c r="V1670" s="1" t="str">
        <f>_xlfn.XLOOKUP(C1670,Payers!$A$2:$A$9,Payers!$B$2:$B$9)</f>
        <v>Sunshine Medicare Advantage</v>
      </c>
      <c r="W1670" s="1" t="str">
        <f t="shared" si="107"/>
        <v>2026-03</v>
      </c>
    </row>
    <row r="1671" spans="1:23">
      <c r="A1671" s="1" t="s">
        <v>3051</v>
      </c>
      <c r="B1671" s="1" t="s">
        <v>3052</v>
      </c>
      <c r="C1671" s="1" t="s">
        <v>76</v>
      </c>
      <c r="D1671" s="1" t="s">
        <v>19</v>
      </c>
      <c r="E1671" s="1" t="s">
        <v>88</v>
      </c>
      <c r="F1671">
        <v>1</v>
      </c>
      <c r="G1671" s="2">
        <v>46161</v>
      </c>
      <c r="H1671" s="2">
        <v>46165</v>
      </c>
      <c r="I1671">
        <v>256.64999999999998</v>
      </c>
      <c r="J1671">
        <v>106.64</v>
      </c>
      <c r="K1671">
        <v>106.64</v>
      </c>
      <c r="L1671">
        <v>0</v>
      </c>
      <c r="M1671" s="1" t="s">
        <v>21</v>
      </c>
      <c r="N1671" s="1" t="s">
        <v>22</v>
      </c>
      <c r="O1671" s="2">
        <v>46205</v>
      </c>
      <c r="P1671" s="2">
        <v>46205</v>
      </c>
      <c r="Q1671">
        <f>_xlfn.XLOOKUP(E1671,CPT!$A$2:$A$13,CPT!$D$2:$D$13)</f>
        <v>260</v>
      </c>
      <c r="R1671" s="1">
        <f>_xlfn.XLOOKUP(C1671,Contract!$A$2:$A$9,Contract!$B$2:$B$9)</f>
        <v>0.43</v>
      </c>
      <c r="S1671" s="1">
        <f t="shared" si="104"/>
        <v>111.8</v>
      </c>
      <c r="T1671" s="1">
        <f t="shared" si="105"/>
        <v>5.1599999999999966</v>
      </c>
      <c r="U1671" s="1" t="str">
        <f t="shared" si="106"/>
        <v>OK</v>
      </c>
      <c r="V1671" s="1" t="str">
        <f>_xlfn.XLOOKUP(C1671,Payers!$A$2:$A$9,Payers!$B$2:$B$9)</f>
        <v>Summit Health Commercial</v>
      </c>
      <c r="W1671" s="1" t="str">
        <f t="shared" si="107"/>
        <v>2026-05</v>
      </c>
    </row>
    <row r="1672" spans="1:23">
      <c r="A1672" s="1" t="s">
        <v>3053</v>
      </c>
      <c r="B1672" s="1" t="s">
        <v>3054</v>
      </c>
      <c r="C1672" s="1" t="s">
        <v>18</v>
      </c>
      <c r="D1672" s="1" t="s">
        <v>37</v>
      </c>
      <c r="E1672" s="1" t="s">
        <v>57</v>
      </c>
      <c r="F1672">
        <v>1</v>
      </c>
      <c r="G1672" s="2">
        <v>46018</v>
      </c>
      <c r="H1672" s="2">
        <v>46019</v>
      </c>
      <c r="I1672">
        <v>205.54</v>
      </c>
      <c r="J1672">
        <v>76.67</v>
      </c>
      <c r="K1672">
        <v>76.67</v>
      </c>
      <c r="L1672">
        <v>0</v>
      </c>
      <c r="M1672" s="1" t="s">
        <v>21</v>
      </c>
      <c r="N1672" s="1" t="s">
        <v>22</v>
      </c>
      <c r="O1672" s="2">
        <v>46056</v>
      </c>
      <c r="P1672" s="2">
        <v>46056</v>
      </c>
      <c r="Q1672">
        <f>_xlfn.XLOOKUP(E1672,CPT!$A$2:$A$13,CPT!$D$2:$D$13)</f>
        <v>210</v>
      </c>
      <c r="R1672" s="1">
        <f>_xlfn.XLOOKUP(C1672,Contract!$A$2:$A$9,Contract!$B$2:$B$9)</f>
        <v>0.38</v>
      </c>
      <c r="S1672" s="1">
        <f t="shared" si="104"/>
        <v>79.8</v>
      </c>
      <c r="T1672" s="1">
        <f t="shared" si="105"/>
        <v>3.1299999999999955</v>
      </c>
      <c r="U1672" s="1" t="str">
        <f t="shared" si="106"/>
        <v>OK</v>
      </c>
      <c r="V1672" s="1" t="str">
        <f>_xlfn.XLOOKUP(C1672,Payers!$A$2:$A$9,Payers!$B$2:$B$9)</f>
        <v>Sunshine Medicare Advantage</v>
      </c>
      <c r="W1672" s="1" t="str">
        <f t="shared" si="107"/>
        <v>2025-12</v>
      </c>
    </row>
    <row r="1673" spans="1:23">
      <c r="A1673" s="1" t="s">
        <v>3055</v>
      </c>
      <c r="B1673" s="1" t="s">
        <v>2381</v>
      </c>
      <c r="C1673" s="1" t="s">
        <v>25</v>
      </c>
      <c r="D1673" s="1" t="s">
        <v>37</v>
      </c>
      <c r="E1673" s="1" t="s">
        <v>57</v>
      </c>
      <c r="F1673">
        <v>1</v>
      </c>
      <c r="G1673" s="2">
        <v>46198</v>
      </c>
      <c r="H1673" s="2">
        <v>46209</v>
      </c>
      <c r="I1673">
        <v>211.04</v>
      </c>
      <c r="J1673">
        <v>67.88</v>
      </c>
      <c r="K1673">
        <v>67.88</v>
      </c>
      <c r="L1673">
        <v>0</v>
      </c>
      <c r="M1673" s="1" t="s">
        <v>21</v>
      </c>
      <c r="N1673" s="1" t="s">
        <v>22</v>
      </c>
      <c r="O1673" s="2">
        <v>46223</v>
      </c>
      <c r="P1673" s="2">
        <v>46223</v>
      </c>
      <c r="Q1673">
        <f>_xlfn.XLOOKUP(E1673,CPT!$A$2:$A$13,CPT!$D$2:$D$13)</f>
        <v>210</v>
      </c>
      <c r="R1673" s="1">
        <f>_xlfn.XLOOKUP(C1673,Contract!$A$2:$A$9,Contract!$B$2:$B$9)</f>
        <v>0.36</v>
      </c>
      <c r="S1673" s="1">
        <f t="shared" si="104"/>
        <v>75.599999999999994</v>
      </c>
      <c r="T1673" s="1">
        <f t="shared" si="105"/>
        <v>7.7199999999999989</v>
      </c>
      <c r="U1673" s="1" t="str">
        <f t="shared" si="106"/>
        <v>Underpaid</v>
      </c>
      <c r="V1673" s="1" t="str">
        <f>_xlfn.XLOOKUP(C1673,Payers!$A$2:$A$9,Payers!$B$2:$B$9)</f>
        <v>Medicare Part B</v>
      </c>
      <c r="W1673" s="1" t="str">
        <f t="shared" si="107"/>
        <v>2026-06</v>
      </c>
    </row>
    <row r="1674" spans="1:23">
      <c r="A1674" s="1" t="s">
        <v>3056</v>
      </c>
      <c r="B1674" s="1" t="s">
        <v>3057</v>
      </c>
      <c r="C1674" s="1" t="s">
        <v>60</v>
      </c>
      <c r="D1674" s="1" t="s">
        <v>19</v>
      </c>
      <c r="E1674" s="1" t="s">
        <v>57</v>
      </c>
      <c r="F1674">
        <v>1</v>
      </c>
      <c r="G1674" s="2">
        <v>46019</v>
      </c>
      <c r="H1674" s="2">
        <v>46022</v>
      </c>
      <c r="I1674">
        <v>205.15</v>
      </c>
      <c r="M1674" s="1" t="s">
        <v>32</v>
      </c>
      <c r="N1674" s="1" t="s">
        <v>124</v>
      </c>
      <c r="O1674" s="2">
        <v>46044</v>
      </c>
      <c r="P1674" s="2"/>
      <c r="Q1674">
        <f>_xlfn.XLOOKUP(E1674,CPT!$A$2:$A$13,CPT!$D$2:$D$13)</f>
        <v>210</v>
      </c>
      <c r="R1674" s="1">
        <f>_xlfn.XLOOKUP(C1674,Contract!$A$2:$A$9,Contract!$B$2:$B$9)</f>
        <v>0.45</v>
      </c>
      <c r="S1674" s="1">
        <f t="shared" si="104"/>
        <v>94.5</v>
      </c>
      <c r="T1674" s="1" t="str">
        <f t="shared" si="105"/>
        <v/>
      </c>
      <c r="U1674" s="1" t="str">
        <f t="shared" si="106"/>
        <v/>
      </c>
      <c r="V1674" s="1" t="str">
        <f>_xlfn.XLOOKUP(C1674,Payers!$A$2:$A$9,Payers!$B$2:$B$9)</f>
        <v>Blue Horizon Commercial</v>
      </c>
      <c r="W1674" s="1" t="str">
        <f t="shared" si="107"/>
        <v>2025-12</v>
      </c>
    </row>
    <row r="1675" spans="1:23">
      <c r="A1675" s="1" t="s">
        <v>3058</v>
      </c>
      <c r="B1675" s="1" t="s">
        <v>869</v>
      </c>
      <c r="C1675" s="1" t="s">
        <v>52</v>
      </c>
      <c r="D1675" s="1" t="s">
        <v>19</v>
      </c>
      <c r="E1675" s="1" t="s">
        <v>88</v>
      </c>
      <c r="F1675">
        <v>1</v>
      </c>
      <c r="G1675" s="2">
        <v>46230</v>
      </c>
      <c r="H1675" s="2">
        <v>46237</v>
      </c>
      <c r="I1675">
        <v>254.26</v>
      </c>
      <c r="M1675" s="1" t="s">
        <v>32</v>
      </c>
      <c r="N1675" s="1" t="s">
        <v>33</v>
      </c>
      <c r="O1675" s="2">
        <v>46280</v>
      </c>
      <c r="P1675" s="2"/>
      <c r="Q1675">
        <f>_xlfn.XLOOKUP(E1675,CPT!$A$2:$A$13,CPT!$D$2:$D$13)</f>
        <v>260</v>
      </c>
      <c r="R1675" s="1">
        <f>_xlfn.XLOOKUP(C1675,Contract!$A$2:$A$9,Contract!$B$2:$B$9)</f>
        <v>0.47</v>
      </c>
      <c r="S1675" s="1">
        <f t="shared" si="104"/>
        <v>122.2</v>
      </c>
      <c r="T1675" s="1" t="str">
        <f t="shared" si="105"/>
        <v/>
      </c>
      <c r="U1675" s="1" t="str">
        <f t="shared" si="106"/>
        <v/>
      </c>
      <c r="V1675" s="1" t="str">
        <f>_xlfn.XLOOKUP(C1675,Payers!$A$2:$A$9,Payers!$B$2:$B$9)</f>
        <v>Keystone Commercial PPO</v>
      </c>
      <c r="W1675" s="1" t="str">
        <f t="shared" si="107"/>
        <v>2026-07</v>
      </c>
    </row>
    <row r="1676" spans="1:23">
      <c r="A1676" s="1" t="s">
        <v>3059</v>
      </c>
      <c r="B1676" s="1" t="s">
        <v>3060</v>
      </c>
      <c r="C1676" s="1" t="s">
        <v>60</v>
      </c>
      <c r="D1676" s="1" t="s">
        <v>19</v>
      </c>
      <c r="E1676" s="1" t="s">
        <v>20</v>
      </c>
      <c r="F1676">
        <v>1</v>
      </c>
      <c r="G1676" s="2">
        <v>46243</v>
      </c>
      <c r="H1676" s="2">
        <v>46244</v>
      </c>
      <c r="I1676">
        <v>142.59</v>
      </c>
      <c r="M1676" s="1" t="s">
        <v>32</v>
      </c>
      <c r="N1676" s="1" t="s">
        <v>281</v>
      </c>
      <c r="O1676" s="2">
        <v>46283</v>
      </c>
      <c r="P1676" s="2"/>
      <c r="Q1676">
        <f>_xlfn.XLOOKUP(E1676,CPT!$A$2:$A$13,CPT!$D$2:$D$13)</f>
        <v>145</v>
      </c>
      <c r="R1676" s="1">
        <f>_xlfn.XLOOKUP(C1676,Contract!$A$2:$A$9,Contract!$B$2:$B$9)</f>
        <v>0.45</v>
      </c>
      <c r="S1676" s="1">
        <f t="shared" si="104"/>
        <v>65.25</v>
      </c>
      <c r="T1676" s="1" t="str">
        <f t="shared" si="105"/>
        <v/>
      </c>
      <c r="U1676" s="1" t="str">
        <f t="shared" si="106"/>
        <v/>
      </c>
      <c r="V1676" s="1" t="str">
        <f>_xlfn.XLOOKUP(C1676,Payers!$A$2:$A$9,Payers!$B$2:$B$9)</f>
        <v>Blue Horizon Commercial</v>
      </c>
      <c r="W1676" s="1" t="str">
        <f t="shared" si="107"/>
        <v>2026-08</v>
      </c>
    </row>
    <row r="1677" spans="1:23">
      <c r="A1677" s="1" t="s">
        <v>3061</v>
      </c>
      <c r="B1677" s="1" t="s">
        <v>3062</v>
      </c>
      <c r="C1677" s="1" t="s">
        <v>47</v>
      </c>
      <c r="D1677" s="1" t="s">
        <v>19</v>
      </c>
      <c r="E1677" s="1" t="s">
        <v>41</v>
      </c>
      <c r="F1677">
        <v>1</v>
      </c>
      <c r="G1677" s="2">
        <v>46201</v>
      </c>
      <c r="H1677" s="2">
        <v>46203</v>
      </c>
      <c r="I1677">
        <v>38.47</v>
      </c>
      <c r="J1677">
        <v>10.19</v>
      </c>
      <c r="K1677">
        <v>8.15</v>
      </c>
      <c r="L1677">
        <v>2.04</v>
      </c>
      <c r="M1677" s="1" t="s">
        <v>21</v>
      </c>
      <c r="N1677" s="1" t="s">
        <v>22</v>
      </c>
      <c r="O1677" s="2">
        <v>46283</v>
      </c>
      <c r="P1677" s="2">
        <v>46283</v>
      </c>
      <c r="Q1677">
        <f>_xlfn.XLOOKUP(E1677,CPT!$A$2:$A$13,CPT!$D$2:$D$13)</f>
        <v>38</v>
      </c>
      <c r="R1677" s="1">
        <f>_xlfn.XLOOKUP(C1677,Contract!$A$2:$A$9,Contract!$B$2:$B$9)</f>
        <v>0.28000000000000003</v>
      </c>
      <c r="S1677" s="1">
        <f t="shared" si="104"/>
        <v>10.64</v>
      </c>
      <c r="T1677" s="1">
        <f t="shared" si="105"/>
        <v>0.45000000000000107</v>
      </c>
      <c r="U1677" s="1" t="str">
        <f t="shared" si="106"/>
        <v>OK</v>
      </c>
      <c r="V1677" s="1" t="str">
        <f>_xlfn.XLOOKUP(C1677,Payers!$A$2:$A$9,Payers!$B$2:$B$9)</f>
        <v>Coastal Medicaid MCO</v>
      </c>
      <c r="W1677" s="1" t="str">
        <f t="shared" si="107"/>
        <v>2026-06</v>
      </c>
    </row>
    <row r="1678" spans="1:23">
      <c r="A1678" s="1" t="s">
        <v>3063</v>
      </c>
      <c r="B1678" s="1" t="s">
        <v>3064</v>
      </c>
      <c r="C1678" s="1" t="s">
        <v>79</v>
      </c>
      <c r="D1678" s="1" t="s">
        <v>19</v>
      </c>
      <c r="E1678" s="1" t="s">
        <v>41</v>
      </c>
      <c r="F1678">
        <v>1</v>
      </c>
      <c r="G1678" s="2">
        <v>45971</v>
      </c>
      <c r="H1678" s="2">
        <v>45975</v>
      </c>
      <c r="I1678">
        <v>38.96</v>
      </c>
      <c r="M1678" s="1" t="s">
        <v>69</v>
      </c>
      <c r="N1678" s="1" t="s">
        <v>22</v>
      </c>
      <c r="O1678" s="2"/>
      <c r="P1678" s="2"/>
      <c r="Q1678">
        <f>_xlfn.XLOOKUP(E1678,CPT!$A$2:$A$13,CPT!$D$2:$D$13)</f>
        <v>38</v>
      </c>
      <c r="R1678" s="1">
        <f>_xlfn.XLOOKUP(C1678,Contract!$A$2:$A$9,Contract!$B$2:$B$9)</f>
        <v>1</v>
      </c>
      <c r="S1678" s="1">
        <f t="shared" si="104"/>
        <v>38</v>
      </c>
      <c r="T1678" s="1" t="str">
        <f t="shared" si="105"/>
        <v/>
      </c>
      <c r="U1678" s="1" t="str">
        <f t="shared" si="106"/>
        <v/>
      </c>
      <c r="V1678" s="1" t="str">
        <f>_xlfn.XLOOKUP(C1678,Payers!$A$2:$A$9,Payers!$B$2:$B$9)</f>
        <v>Self-Pay</v>
      </c>
      <c r="W1678" s="1" t="str">
        <f t="shared" si="107"/>
        <v>2025-11</v>
      </c>
    </row>
    <row r="1679" spans="1:23">
      <c r="A1679" s="1" t="s">
        <v>3065</v>
      </c>
      <c r="B1679" s="1" t="s">
        <v>3066</v>
      </c>
      <c r="C1679" s="1" t="s">
        <v>76</v>
      </c>
      <c r="D1679" s="1" t="s">
        <v>37</v>
      </c>
      <c r="E1679" s="1" t="s">
        <v>48</v>
      </c>
      <c r="F1679">
        <v>1</v>
      </c>
      <c r="G1679" s="2">
        <v>45974</v>
      </c>
      <c r="H1679" s="2">
        <v>45985</v>
      </c>
      <c r="I1679">
        <v>409.23</v>
      </c>
      <c r="J1679">
        <v>150.35</v>
      </c>
      <c r="K1679">
        <v>150.35</v>
      </c>
      <c r="L1679">
        <v>0</v>
      </c>
      <c r="M1679" s="1" t="s">
        <v>21</v>
      </c>
      <c r="N1679" s="1" t="s">
        <v>22</v>
      </c>
      <c r="O1679" s="2">
        <v>46026</v>
      </c>
      <c r="P1679" s="2">
        <v>46026</v>
      </c>
      <c r="Q1679">
        <f>_xlfn.XLOOKUP(E1679,CPT!$A$2:$A$13,CPT!$D$2:$D$13)</f>
        <v>420</v>
      </c>
      <c r="R1679" s="1">
        <f>_xlfn.XLOOKUP(C1679,Contract!$A$2:$A$9,Contract!$B$2:$B$9)</f>
        <v>0.43</v>
      </c>
      <c r="S1679" s="1">
        <f t="shared" si="104"/>
        <v>180.6</v>
      </c>
      <c r="T1679" s="1">
        <f t="shared" si="105"/>
        <v>30.25</v>
      </c>
      <c r="U1679" s="1" t="str">
        <f t="shared" si="106"/>
        <v>Underpaid</v>
      </c>
      <c r="V1679" s="1" t="str">
        <f>_xlfn.XLOOKUP(C1679,Payers!$A$2:$A$9,Payers!$B$2:$B$9)</f>
        <v>Summit Health Commercial</v>
      </c>
      <c r="W1679" s="1" t="str">
        <f t="shared" si="107"/>
        <v>2025-11</v>
      </c>
    </row>
    <row r="1680" spans="1:23">
      <c r="A1680" s="1" t="s">
        <v>3067</v>
      </c>
      <c r="B1680" s="1" t="s">
        <v>3068</v>
      </c>
      <c r="C1680" s="1" t="s">
        <v>36</v>
      </c>
      <c r="D1680" s="1" t="s">
        <v>30</v>
      </c>
      <c r="E1680" s="1" t="s">
        <v>31</v>
      </c>
      <c r="F1680">
        <v>4</v>
      </c>
      <c r="G1680" s="2">
        <v>46011</v>
      </c>
      <c r="H1680" s="2">
        <v>46012</v>
      </c>
      <c r="I1680">
        <v>251.58</v>
      </c>
      <c r="J1680">
        <v>63.55</v>
      </c>
      <c r="K1680">
        <v>63.55</v>
      </c>
      <c r="L1680">
        <v>0</v>
      </c>
      <c r="M1680" s="1" t="s">
        <v>21</v>
      </c>
      <c r="N1680" s="1" t="s">
        <v>22</v>
      </c>
      <c r="O1680" s="2">
        <v>46051</v>
      </c>
      <c r="P1680" s="2">
        <v>46051</v>
      </c>
      <c r="Q1680">
        <f>_xlfn.XLOOKUP(E1680,CPT!$A$2:$A$13,CPT!$D$2:$D$13)</f>
        <v>62</v>
      </c>
      <c r="R1680" s="1">
        <f>_xlfn.XLOOKUP(C1680,Contract!$A$2:$A$9,Contract!$B$2:$B$9)</f>
        <v>0.27</v>
      </c>
      <c r="S1680" s="1">
        <f t="shared" si="104"/>
        <v>66.959999999999994</v>
      </c>
      <c r="T1680" s="1">
        <f t="shared" si="105"/>
        <v>3.4099999999999966</v>
      </c>
      <c r="U1680" s="1" t="str">
        <f t="shared" si="106"/>
        <v>Underpaid</v>
      </c>
      <c r="V1680" s="1" t="str">
        <f>_xlfn.XLOOKUP(C1680,Payers!$A$2:$A$9,Payers!$B$2:$B$9)</f>
        <v>Florida Medicaid</v>
      </c>
      <c r="W1680" s="1" t="str">
        <f t="shared" si="107"/>
        <v>2025-12</v>
      </c>
    </row>
    <row r="1681" spans="1:23">
      <c r="A1681" s="1" t="s">
        <v>3069</v>
      </c>
      <c r="B1681" s="1" t="s">
        <v>3070</v>
      </c>
      <c r="C1681" s="1" t="s">
        <v>52</v>
      </c>
      <c r="D1681" s="1" t="s">
        <v>26</v>
      </c>
      <c r="E1681" s="1" t="s">
        <v>41</v>
      </c>
      <c r="F1681">
        <v>1</v>
      </c>
      <c r="G1681" s="2">
        <v>46227</v>
      </c>
      <c r="H1681" s="2">
        <v>46233</v>
      </c>
      <c r="I1681">
        <v>37.81</v>
      </c>
      <c r="J1681">
        <v>18.739999999999998</v>
      </c>
      <c r="K1681">
        <v>18.739999999999998</v>
      </c>
      <c r="L1681">
        <v>0</v>
      </c>
      <c r="M1681" s="1" t="s">
        <v>21</v>
      </c>
      <c r="N1681" s="1" t="s">
        <v>22</v>
      </c>
      <c r="O1681" s="2">
        <v>46287</v>
      </c>
      <c r="P1681" s="2">
        <v>46287</v>
      </c>
      <c r="Q1681">
        <f>_xlfn.XLOOKUP(E1681,CPT!$A$2:$A$13,CPT!$D$2:$D$13)</f>
        <v>38</v>
      </c>
      <c r="R1681" s="1">
        <f>_xlfn.XLOOKUP(C1681,Contract!$A$2:$A$9,Contract!$B$2:$B$9)</f>
        <v>0.47</v>
      </c>
      <c r="S1681" s="1">
        <f t="shared" si="104"/>
        <v>17.86</v>
      </c>
      <c r="T1681" s="1">
        <f t="shared" si="105"/>
        <v>-0.87999999999999901</v>
      </c>
      <c r="U1681" s="1" t="str">
        <f t="shared" si="106"/>
        <v>OK</v>
      </c>
      <c r="V1681" s="1" t="str">
        <f>_xlfn.XLOOKUP(C1681,Payers!$A$2:$A$9,Payers!$B$2:$B$9)</f>
        <v>Keystone Commercial PPO</v>
      </c>
      <c r="W1681" s="1" t="str">
        <f t="shared" si="107"/>
        <v>2026-07</v>
      </c>
    </row>
    <row r="1682" spans="1:23">
      <c r="A1682" s="1" t="s">
        <v>3071</v>
      </c>
      <c r="B1682" s="1" t="s">
        <v>734</v>
      </c>
      <c r="C1682" s="1" t="s">
        <v>18</v>
      </c>
      <c r="D1682" s="1" t="s">
        <v>19</v>
      </c>
      <c r="E1682" s="1" t="s">
        <v>88</v>
      </c>
      <c r="F1682">
        <v>1</v>
      </c>
      <c r="G1682" s="2">
        <v>46003</v>
      </c>
      <c r="H1682" s="2">
        <v>46005</v>
      </c>
      <c r="I1682">
        <v>261.08</v>
      </c>
      <c r="J1682">
        <v>114.13</v>
      </c>
      <c r="K1682">
        <v>114.13</v>
      </c>
      <c r="L1682">
        <v>0</v>
      </c>
      <c r="M1682" s="1" t="s">
        <v>21</v>
      </c>
      <c r="N1682" s="1" t="s">
        <v>22</v>
      </c>
      <c r="O1682" s="2">
        <v>46073</v>
      </c>
      <c r="P1682" s="2">
        <v>46073</v>
      </c>
      <c r="Q1682">
        <f>_xlfn.XLOOKUP(E1682,CPT!$A$2:$A$13,CPT!$D$2:$D$13)</f>
        <v>260</v>
      </c>
      <c r="R1682" s="1">
        <f>_xlfn.XLOOKUP(C1682,Contract!$A$2:$A$9,Contract!$B$2:$B$9)</f>
        <v>0.38</v>
      </c>
      <c r="S1682" s="1">
        <f t="shared" si="104"/>
        <v>98.8</v>
      </c>
      <c r="T1682" s="1">
        <f t="shared" si="105"/>
        <v>-15.329999999999998</v>
      </c>
      <c r="U1682" s="1" t="str">
        <f t="shared" si="106"/>
        <v>OK</v>
      </c>
      <c r="V1682" s="1" t="str">
        <f>_xlfn.XLOOKUP(C1682,Payers!$A$2:$A$9,Payers!$B$2:$B$9)</f>
        <v>Sunshine Medicare Advantage</v>
      </c>
      <c r="W1682" s="1" t="str">
        <f t="shared" si="107"/>
        <v>2025-12</v>
      </c>
    </row>
    <row r="1683" spans="1:23">
      <c r="A1683" s="1" t="s">
        <v>3072</v>
      </c>
      <c r="B1683" s="1" t="s">
        <v>2212</v>
      </c>
      <c r="C1683" s="1" t="s">
        <v>52</v>
      </c>
      <c r="D1683" s="1" t="s">
        <v>37</v>
      </c>
      <c r="E1683" s="1" t="s">
        <v>48</v>
      </c>
      <c r="F1683">
        <v>1</v>
      </c>
      <c r="G1683" s="2">
        <v>46077</v>
      </c>
      <c r="H1683" s="2">
        <v>46079</v>
      </c>
      <c r="I1683">
        <v>409.02</v>
      </c>
      <c r="J1683">
        <v>181.36</v>
      </c>
      <c r="K1683">
        <v>163.22</v>
      </c>
      <c r="L1683">
        <v>18.14</v>
      </c>
      <c r="M1683" s="1" t="s">
        <v>21</v>
      </c>
      <c r="N1683" s="1" t="s">
        <v>22</v>
      </c>
      <c r="O1683" s="2">
        <v>46144</v>
      </c>
      <c r="P1683" s="2">
        <v>46144</v>
      </c>
      <c r="Q1683">
        <f>_xlfn.XLOOKUP(E1683,CPT!$A$2:$A$13,CPT!$D$2:$D$13)</f>
        <v>420</v>
      </c>
      <c r="R1683" s="1">
        <f>_xlfn.XLOOKUP(C1683,Contract!$A$2:$A$9,Contract!$B$2:$B$9)</f>
        <v>0.47</v>
      </c>
      <c r="S1683" s="1">
        <f t="shared" si="104"/>
        <v>197.4</v>
      </c>
      <c r="T1683" s="1">
        <f t="shared" si="105"/>
        <v>16.039999999999992</v>
      </c>
      <c r="U1683" s="1" t="str">
        <f t="shared" si="106"/>
        <v>Underpaid</v>
      </c>
      <c r="V1683" s="1" t="str">
        <f>_xlfn.XLOOKUP(C1683,Payers!$A$2:$A$9,Payers!$B$2:$B$9)</f>
        <v>Keystone Commercial PPO</v>
      </c>
      <c r="W1683" s="1" t="str">
        <f t="shared" si="107"/>
        <v>2026-02</v>
      </c>
    </row>
    <row r="1684" spans="1:23">
      <c r="A1684" s="1" t="s">
        <v>3073</v>
      </c>
      <c r="B1684" s="1" t="s">
        <v>1108</v>
      </c>
      <c r="C1684" s="1" t="s">
        <v>36</v>
      </c>
      <c r="D1684" s="1" t="s">
        <v>26</v>
      </c>
      <c r="E1684" s="1" t="s">
        <v>27</v>
      </c>
      <c r="F1684">
        <v>1</v>
      </c>
      <c r="G1684" s="2">
        <v>46118</v>
      </c>
      <c r="H1684" s="2">
        <v>46119</v>
      </c>
      <c r="I1684">
        <v>246.44</v>
      </c>
      <c r="J1684">
        <v>68.81</v>
      </c>
      <c r="K1684">
        <v>68.81</v>
      </c>
      <c r="L1684">
        <v>0</v>
      </c>
      <c r="M1684" s="1" t="s">
        <v>21</v>
      </c>
      <c r="N1684" s="1" t="s">
        <v>22</v>
      </c>
      <c r="O1684" s="2">
        <v>46156</v>
      </c>
      <c r="P1684" s="2">
        <v>46156</v>
      </c>
      <c r="Q1684">
        <f>_xlfn.XLOOKUP(E1684,CPT!$A$2:$A$13,CPT!$D$2:$D$13)</f>
        <v>240</v>
      </c>
      <c r="R1684" s="1">
        <f>_xlfn.XLOOKUP(C1684,Contract!$A$2:$A$9,Contract!$B$2:$B$9)</f>
        <v>0.27</v>
      </c>
      <c r="S1684" s="1">
        <f t="shared" si="104"/>
        <v>64.8</v>
      </c>
      <c r="T1684" s="1">
        <f t="shared" si="105"/>
        <v>-4.0100000000000051</v>
      </c>
      <c r="U1684" s="1" t="str">
        <f t="shared" si="106"/>
        <v>OK</v>
      </c>
      <c r="V1684" s="1" t="str">
        <f>_xlfn.XLOOKUP(C1684,Payers!$A$2:$A$9,Payers!$B$2:$B$9)</f>
        <v>Florida Medicaid</v>
      </c>
      <c r="W1684" s="1" t="str">
        <f t="shared" si="107"/>
        <v>2026-04</v>
      </c>
    </row>
    <row r="1685" spans="1:23">
      <c r="A1685" s="1" t="s">
        <v>3074</v>
      </c>
      <c r="B1685" s="1" t="s">
        <v>1351</v>
      </c>
      <c r="C1685" s="1" t="s">
        <v>47</v>
      </c>
      <c r="D1685" s="1" t="s">
        <v>37</v>
      </c>
      <c r="E1685" s="1" t="s">
        <v>57</v>
      </c>
      <c r="F1685">
        <v>1</v>
      </c>
      <c r="G1685" s="2">
        <v>46012</v>
      </c>
      <c r="H1685" s="2">
        <v>46013</v>
      </c>
      <c r="I1685">
        <v>206.21</v>
      </c>
      <c r="J1685">
        <v>59.75</v>
      </c>
      <c r="K1685">
        <v>59.75</v>
      </c>
      <c r="L1685">
        <v>0</v>
      </c>
      <c r="M1685" s="1" t="s">
        <v>21</v>
      </c>
      <c r="N1685" s="1" t="s">
        <v>22</v>
      </c>
      <c r="O1685" s="2">
        <v>46091</v>
      </c>
      <c r="P1685" s="2">
        <v>46091</v>
      </c>
      <c r="Q1685">
        <f>_xlfn.XLOOKUP(E1685,CPT!$A$2:$A$13,CPT!$D$2:$D$13)</f>
        <v>210</v>
      </c>
      <c r="R1685" s="1">
        <f>_xlfn.XLOOKUP(C1685,Contract!$A$2:$A$9,Contract!$B$2:$B$9)</f>
        <v>0.28000000000000003</v>
      </c>
      <c r="S1685" s="1">
        <f t="shared" si="104"/>
        <v>58.8</v>
      </c>
      <c r="T1685" s="1">
        <f t="shared" si="105"/>
        <v>-0.95000000000000284</v>
      </c>
      <c r="U1685" s="1" t="str">
        <f t="shared" si="106"/>
        <v>OK</v>
      </c>
      <c r="V1685" s="1" t="str">
        <f>_xlfn.XLOOKUP(C1685,Payers!$A$2:$A$9,Payers!$B$2:$B$9)</f>
        <v>Coastal Medicaid MCO</v>
      </c>
      <c r="W1685" s="1" t="str">
        <f t="shared" si="107"/>
        <v>2025-12</v>
      </c>
    </row>
    <row r="1686" spans="1:23">
      <c r="A1686" s="1" t="s">
        <v>3075</v>
      </c>
      <c r="B1686" s="1" t="s">
        <v>3076</v>
      </c>
      <c r="C1686" s="1" t="s">
        <v>76</v>
      </c>
      <c r="D1686" s="1" t="s">
        <v>26</v>
      </c>
      <c r="E1686" s="1" t="s">
        <v>57</v>
      </c>
      <c r="F1686">
        <v>1</v>
      </c>
      <c r="G1686" s="2">
        <v>46224</v>
      </c>
      <c r="H1686" s="2">
        <v>46225</v>
      </c>
      <c r="I1686">
        <v>216.19</v>
      </c>
      <c r="J1686">
        <v>84.65</v>
      </c>
      <c r="K1686">
        <v>67.72</v>
      </c>
      <c r="L1686">
        <v>16.93</v>
      </c>
      <c r="M1686" s="1" t="s">
        <v>21</v>
      </c>
      <c r="N1686" s="1" t="s">
        <v>22</v>
      </c>
      <c r="O1686" s="2">
        <v>46258</v>
      </c>
      <c r="P1686" s="2">
        <v>46258</v>
      </c>
      <c r="Q1686">
        <f>_xlfn.XLOOKUP(E1686,CPT!$A$2:$A$13,CPT!$D$2:$D$13)</f>
        <v>210</v>
      </c>
      <c r="R1686" s="1">
        <f>_xlfn.XLOOKUP(C1686,Contract!$A$2:$A$9,Contract!$B$2:$B$9)</f>
        <v>0.43</v>
      </c>
      <c r="S1686" s="1">
        <f t="shared" si="104"/>
        <v>90.3</v>
      </c>
      <c r="T1686" s="1">
        <f t="shared" si="105"/>
        <v>5.6499999999999915</v>
      </c>
      <c r="U1686" s="1" t="str">
        <f t="shared" si="106"/>
        <v>Underpaid</v>
      </c>
      <c r="V1686" s="1" t="str">
        <f>_xlfn.XLOOKUP(C1686,Payers!$A$2:$A$9,Payers!$B$2:$B$9)</f>
        <v>Summit Health Commercial</v>
      </c>
      <c r="W1686" s="1" t="str">
        <f t="shared" si="107"/>
        <v>2026-07</v>
      </c>
    </row>
    <row r="1687" spans="1:23">
      <c r="A1687" s="1" t="s">
        <v>3077</v>
      </c>
      <c r="B1687" s="1" t="s">
        <v>3078</v>
      </c>
      <c r="C1687" s="1" t="s">
        <v>60</v>
      </c>
      <c r="D1687" s="1" t="s">
        <v>26</v>
      </c>
      <c r="E1687" s="1" t="s">
        <v>41</v>
      </c>
      <c r="F1687">
        <v>1</v>
      </c>
      <c r="G1687" s="2">
        <v>46150</v>
      </c>
      <c r="H1687" s="2">
        <v>46152</v>
      </c>
      <c r="I1687">
        <v>38.65</v>
      </c>
      <c r="J1687">
        <v>17.05</v>
      </c>
      <c r="K1687">
        <v>13.64</v>
      </c>
      <c r="L1687">
        <v>3.41</v>
      </c>
      <c r="M1687" s="1" t="s">
        <v>21</v>
      </c>
      <c r="N1687" s="1" t="s">
        <v>22</v>
      </c>
      <c r="O1687" s="2">
        <v>46186</v>
      </c>
      <c r="P1687" s="2">
        <v>46186</v>
      </c>
      <c r="Q1687">
        <f>_xlfn.XLOOKUP(E1687,CPT!$A$2:$A$13,CPT!$D$2:$D$13)</f>
        <v>38</v>
      </c>
      <c r="R1687" s="1">
        <f>_xlfn.XLOOKUP(C1687,Contract!$A$2:$A$9,Contract!$B$2:$B$9)</f>
        <v>0.45</v>
      </c>
      <c r="S1687" s="1">
        <f t="shared" si="104"/>
        <v>17.100000000000001</v>
      </c>
      <c r="T1687" s="1">
        <f t="shared" si="105"/>
        <v>5.0000000000000711E-2</v>
      </c>
      <c r="U1687" s="1" t="str">
        <f t="shared" si="106"/>
        <v>OK</v>
      </c>
      <c r="V1687" s="1" t="str">
        <f>_xlfn.XLOOKUP(C1687,Payers!$A$2:$A$9,Payers!$B$2:$B$9)</f>
        <v>Blue Horizon Commercial</v>
      </c>
      <c r="W1687" s="1" t="str">
        <f t="shared" si="107"/>
        <v>2026-05</v>
      </c>
    </row>
    <row r="1688" spans="1:23">
      <c r="A1688" s="1" t="s">
        <v>3079</v>
      </c>
      <c r="B1688" s="1" t="s">
        <v>3080</v>
      </c>
      <c r="C1688" s="1" t="s">
        <v>25</v>
      </c>
      <c r="D1688" s="1" t="s">
        <v>37</v>
      </c>
      <c r="E1688" s="1" t="s">
        <v>57</v>
      </c>
      <c r="F1688">
        <v>1</v>
      </c>
      <c r="G1688" s="2">
        <v>46092</v>
      </c>
      <c r="H1688" s="2">
        <v>46098</v>
      </c>
      <c r="I1688">
        <v>206.84</v>
      </c>
      <c r="J1688">
        <v>77.75</v>
      </c>
      <c r="K1688">
        <v>77.75</v>
      </c>
      <c r="L1688">
        <v>0</v>
      </c>
      <c r="M1688" s="1" t="s">
        <v>21</v>
      </c>
      <c r="N1688" s="1" t="s">
        <v>22</v>
      </c>
      <c r="O1688" s="2">
        <v>46116</v>
      </c>
      <c r="P1688" s="2">
        <v>46116</v>
      </c>
      <c r="Q1688">
        <f>_xlfn.XLOOKUP(E1688,CPT!$A$2:$A$13,CPT!$D$2:$D$13)</f>
        <v>210</v>
      </c>
      <c r="R1688" s="1">
        <f>_xlfn.XLOOKUP(C1688,Contract!$A$2:$A$9,Contract!$B$2:$B$9)</f>
        <v>0.36</v>
      </c>
      <c r="S1688" s="1">
        <f t="shared" si="104"/>
        <v>75.599999999999994</v>
      </c>
      <c r="T1688" s="1">
        <f t="shared" si="105"/>
        <v>-2.1500000000000057</v>
      </c>
      <c r="U1688" s="1" t="str">
        <f t="shared" si="106"/>
        <v>OK</v>
      </c>
      <c r="V1688" s="1" t="str">
        <f>_xlfn.XLOOKUP(C1688,Payers!$A$2:$A$9,Payers!$B$2:$B$9)</f>
        <v>Medicare Part B</v>
      </c>
      <c r="W1688" s="1" t="str">
        <f t="shared" si="107"/>
        <v>2026-03</v>
      </c>
    </row>
    <row r="1689" spans="1:23">
      <c r="A1689" s="1" t="s">
        <v>3081</v>
      </c>
      <c r="B1689" s="1" t="s">
        <v>3082</v>
      </c>
      <c r="C1689" s="1" t="s">
        <v>18</v>
      </c>
      <c r="D1689" s="1" t="s">
        <v>37</v>
      </c>
      <c r="E1689" s="1" t="s">
        <v>57</v>
      </c>
      <c r="F1689">
        <v>1</v>
      </c>
      <c r="G1689" s="2">
        <v>46180</v>
      </c>
      <c r="H1689" s="2">
        <v>46181</v>
      </c>
      <c r="I1689">
        <v>205.85</v>
      </c>
      <c r="J1689">
        <v>88.97</v>
      </c>
      <c r="K1689">
        <v>88.97</v>
      </c>
      <c r="L1689">
        <v>0</v>
      </c>
      <c r="M1689" s="1" t="s">
        <v>21</v>
      </c>
      <c r="N1689" s="1" t="s">
        <v>22</v>
      </c>
      <c r="O1689" s="2">
        <v>46239</v>
      </c>
      <c r="P1689" s="2">
        <v>46239</v>
      </c>
      <c r="Q1689">
        <f>_xlfn.XLOOKUP(E1689,CPT!$A$2:$A$13,CPT!$D$2:$D$13)</f>
        <v>210</v>
      </c>
      <c r="R1689" s="1">
        <f>_xlfn.XLOOKUP(C1689,Contract!$A$2:$A$9,Contract!$B$2:$B$9)</f>
        <v>0.38</v>
      </c>
      <c r="S1689" s="1">
        <f t="shared" si="104"/>
        <v>79.8</v>
      </c>
      <c r="T1689" s="1">
        <f t="shared" si="105"/>
        <v>-9.1700000000000017</v>
      </c>
      <c r="U1689" s="1" t="str">
        <f t="shared" si="106"/>
        <v>OK</v>
      </c>
      <c r="V1689" s="1" t="str">
        <f>_xlfn.XLOOKUP(C1689,Payers!$A$2:$A$9,Payers!$B$2:$B$9)</f>
        <v>Sunshine Medicare Advantage</v>
      </c>
      <c r="W1689" s="1" t="str">
        <f t="shared" si="107"/>
        <v>2026-06</v>
      </c>
    </row>
    <row r="1690" spans="1:23">
      <c r="A1690" s="1" t="s">
        <v>3083</v>
      </c>
      <c r="B1690" s="1" t="s">
        <v>2058</v>
      </c>
      <c r="C1690" s="1" t="s">
        <v>52</v>
      </c>
      <c r="D1690" s="1" t="s">
        <v>26</v>
      </c>
      <c r="E1690" s="1" t="s">
        <v>185</v>
      </c>
      <c r="F1690">
        <v>1</v>
      </c>
      <c r="G1690" s="2">
        <v>46228</v>
      </c>
      <c r="H1690" s="2">
        <v>46235</v>
      </c>
      <c r="I1690">
        <v>1171.3599999999999</v>
      </c>
      <c r="J1690">
        <v>470.19</v>
      </c>
      <c r="K1690">
        <v>470.19</v>
      </c>
      <c r="L1690">
        <v>0</v>
      </c>
      <c r="M1690" s="1" t="s">
        <v>21</v>
      </c>
      <c r="N1690" s="1" t="s">
        <v>22</v>
      </c>
      <c r="O1690" s="2">
        <v>46272</v>
      </c>
      <c r="P1690" s="2">
        <v>46272</v>
      </c>
      <c r="Q1690">
        <f>_xlfn.XLOOKUP(E1690,CPT!$A$2:$A$13,CPT!$D$2:$D$13)</f>
        <v>1150</v>
      </c>
      <c r="R1690" s="1">
        <f>_xlfn.XLOOKUP(C1690,Contract!$A$2:$A$9,Contract!$B$2:$B$9)</f>
        <v>0.47</v>
      </c>
      <c r="S1690" s="1">
        <f t="shared" si="104"/>
        <v>540.5</v>
      </c>
      <c r="T1690" s="1">
        <f t="shared" si="105"/>
        <v>70.31</v>
      </c>
      <c r="U1690" s="1" t="str">
        <f t="shared" si="106"/>
        <v>Underpaid</v>
      </c>
      <c r="V1690" s="1" t="str">
        <f>_xlfn.XLOOKUP(C1690,Payers!$A$2:$A$9,Payers!$B$2:$B$9)</f>
        <v>Keystone Commercial PPO</v>
      </c>
      <c r="W1690" s="1" t="str">
        <f t="shared" si="107"/>
        <v>2026-07</v>
      </c>
    </row>
    <row r="1691" spans="1:23">
      <c r="A1691" s="1" t="s">
        <v>3084</v>
      </c>
      <c r="B1691" s="1" t="s">
        <v>3085</v>
      </c>
      <c r="C1691" s="1" t="s">
        <v>60</v>
      </c>
      <c r="D1691" s="1" t="s">
        <v>37</v>
      </c>
      <c r="E1691" s="1" t="s">
        <v>48</v>
      </c>
      <c r="F1691">
        <v>1</v>
      </c>
      <c r="G1691" s="2">
        <v>46122</v>
      </c>
      <c r="H1691" s="2">
        <v>46129</v>
      </c>
      <c r="I1691">
        <v>408.87</v>
      </c>
      <c r="J1691">
        <v>207.82</v>
      </c>
      <c r="K1691">
        <v>187.04</v>
      </c>
      <c r="L1691">
        <v>20.78</v>
      </c>
      <c r="M1691" s="1" t="s">
        <v>21</v>
      </c>
      <c r="N1691" s="1" t="s">
        <v>22</v>
      </c>
      <c r="O1691" s="2">
        <v>46158</v>
      </c>
      <c r="P1691" s="2">
        <v>46158</v>
      </c>
      <c r="Q1691">
        <f>_xlfn.XLOOKUP(E1691,CPT!$A$2:$A$13,CPT!$D$2:$D$13)</f>
        <v>420</v>
      </c>
      <c r="R1691" s="1">
        <f>_xlfn.XLOOKUP(C1691,Contract!$A$2:$A$9,Contract!$B$2:$B$9)</f>
        <v>0.45</v>
      </c>
      <c r="S1691" s="1">
        <f t="shared" si="104"/>
        <v>189</v>
      </c>
      <c r="T1691" s="1">
        <f t="shared" si="105"/>
        <v>-18.819999999999993</v>
      </c>
      <c r="U1691" s="1" t="str">
        <f t="shared" si="106"/>
        <v>OK</v>
      </c>
      <c r="V1691" s="1" t="str">
        <f>_xlfn.XLOOKUP(C1691,Payers!$A$2:$A$9,Payers!$B$2:$B$9)</f>
        <v>Blue Horizon Commercial</v>
      </c>
      <c r="W1691" s="1" t="str">
        <f t="shared" si="107"/>
        <v>2026-04</v>
      </c>
    </row>
    <row r="1692" spans="1:23">
      <c r="A1692" s="1" t="s">
        <v>3086</v>
      </c>
      <c r="B1692" s="1" t="s">
        <v>1727</v>
      </c>
      <c r="C1692" s="1" t="s">
        <v>18</v>
      </c>
      <c r="D1692" s="1" t="s">
        <v>30</v>
      </c>
      <c r="E1692" s="1" t="s">
        <v>91</v>
      </c>
      <c r="F1692">
        <v>2</v>
      </c>
      <c r="G1692" s="2">
        <v>45983</v>
      </c>
      <c r="H1692" s="2">
        <v>45988</v>
      </c>
      <c r="I1692">
        <v>116.99</v>
      </c>
      <c r="J1692">
        <v>39.26</v>
      </c>
      <c r="K1692">
        <v>39.26</v>
      </c>
      <c r="L1692">
        <v>0</v>
      </c>
      <c r="M1692" s="1" t="s">
        <v>21</v>
      </c>
      <c r="N1692" s="1" t="s">
        <v>22</v>
      </c>
      <c r="O1692" s="2">
        <v>46044</v>
      </c>
      <c r="P1692" s="2">
        <v>46044</v>
      </c>
      <c r="Q1692">
        <f>_xlfn.XLOOKUP(E1692,CPT!$A$2:$A$13,CPT!$D$2:$D$13)</f>
        <v>58</v>
      </c>
      <c r="R1692" s="1">
        <f>_xlfn.XLOOKUP(C1692,Contract!$A$2:$A$9,Contract!$B$2:$B$9)</f>
        <v>0.38</v>
      </c>
      <c r="S1692" s="1">
        <f t="shared" si="104"/>
        <v>44.08</v>
      </c>
      <c r="T1692" s="1">
        <f t="shared" si="105"/>
        <v>4.82</v>
      </c>
      <c r="U1692" s="1" t="str">
        <f t="shared" si="106"/>
        <v>Underpaid</v>
      </c>
      <c r="V1692" s="1" t="str">
        <f>_xlfn.XLOOKUP(C1692,Payers!$A$2:$A$9,Payers!$B$2:$B$9)</f>
        <v>Sunshine Medicare Advantage</v>
      </c>
      <c r="W1692" s="1" t="str">
        <f t="shared" si="107"/>
        <v>2025-11</v>
      </c>
    </row>
    <row r="1693" spans="1:23">
      <c r="A1693" s="1" t="s">
        <v>3087</v>
      </c>
      <c r="B1693" s="1" t="s">
        <v>3088</v>
      </c>
      <c r="C1693" s="1" t="s">
        <v>25</v>
      </c>
      <c r="D1693" s="1" t="s">
        <v>26</v>
      </c>
      <c r="E1693" s="1" t="s">
        <v>185</v>
      </c>
      <c r="F1693">
        <v>1</v>
      </c>
      <c r="G1693" s="2">
        <v>46047</v>
      </c>
      <c r="H1693" s="2">
        <v>46058</v>
      </c>
      <c r="I1693">
        <v>1152.54</v>
      </c>
      <c r="M1693" s="1" t="s">
        <v>32</v>
      </c>
      <c r="N1693" s="1" t="s">
        <v>33</v>
      </c>
      <c r="O1693" s="2">
        <v>46068</v>
      </c>
      <c r="P1693" s="2"/>
      <c r="Q1693">
        <f>_xlfn.XLOOKUP(E1693,CPT!$A$2:$A$13,CPT!$D$2:$D$13)</f>
        <v>1150</v>
      </c>
      <c r="R1693" s="1">
        <f>_xlfn.XLOOKUP(C1693,Contract!$A$2:$A$9,Contract!$B$2:$B$9)</f>
        <v>0.36</v>
      </c>
      <c r="S1693" s="1">
        <f t="shared" si="104"/>
        <v>414</v>
      </c>
      <c r="T1693" s="1" t="str">
        <f t="shared" si="105"/>
        <v/>
      </c>
      <c r="U1693" s="1" t="str">
        <f t="shared" si="106"/>
        <v/>
      </c>
      <c r="V1693" s="1" t="str">
        <f>_xlfn.XLOOKUP(C1693,Payers!$A$2:$A$9,Payers!$B$2:$B$9)</f>
        <v>Medicare Part B</v>
      </c>
      <c r="W1693" s="1" t="str">
        <f t="shared" si="107"/>
        <v>2026-01</v>
      </c>
    </row>
    <row r="1694" spans="1:23">
      <c r="A1694" s="1" t="s">
        <v>3089</v>
      </c>
      <c r="B1694" s="1" t="s">
        <v>3090</v>
      </c>
      <c r="C1694" s="1" t="s">
        <v>36</v>
      </c>
      <c r="D1694" s="1" t="s">
        <v>30</v>
      </c>
      <c r="E1694" s="1" t="s">
        <v>20</v>
      </c>
      <c r="F1694">
        <v>1</v>
      </c>
      <c r="G1694" s="2">
        <v>46106</v>
      </c>
      <c r="H1694" s="2">
        <v>46112</v>
      </c>
      <c r="I1694">
        <v>144</v>
      </c>
      <c r="J1694">
        <v>38.97</v>
      </c>
      <c r="K1694">
        <v>31.18</v>
      </c>
      <c r="L1694">
        <v>7.79</v>
      </c>
      <c r="M1694" s="1" t="s">
        <v>21</v>
      </c>
      <c r="N1694" s="1" t="s">
        <v>22</v>
      </c>
      <c r="O1694" s="2">
        <v>46150</v>
      </c>
      <c r="P1694" s="2">
        <v>46150</v>
      </c>
      <c r="Q1694">
        <f>_xlfn.XLOOKUP(E1694,CPT!$A$2:$A$13,CPT!$D$2:$D$13)</f>
        <v>145</v>
      </c>
      <c r="R1694" s="1">
        <f>_xlfn.XLOOKUP(C1694,Contract!$A$2:$A$9,Contract!$B$2:$B$9)</f>
        <v>0.27</v>
      </c>
      <c r="S1694" s="1">
        <f t="shared" si="104"/>
        <v>39.15</v>
      </c>
      <c r="T1694" s="1">
        <f t="shared" si="105"/>
        <v>0.17999999999999972</v>
      </c>
      <c r="U1694" s="1" t="str">
        <f t="shared" si="106"/>
        <v>OK</v>
      </c>
      <c r="V1694" s="1" t="str">
        <f>_xlfn.XLOOKUP(C1694,Payers!$A$2:$A$9,Payers!$B$2:$B$9)</f>
        <v>Florida Medicaid</v>
      </c>
      <c r="W1694" s="1" t="str">
        <f t="shared" si="107"/>
        <v>2026-03</v>
      </c>
    </row>
    <row r="1695" spans="1:23">
      <c r="A1695" s="1" t="s">
        <v>3091</v>
      </c>
      <c r="B1695" s="1" t="s">
        <v>219</v>
      </c>
      <c r="C1695" s="1" t="s">
        <v>25</v>
      </c>
      <c r="D1695" s="1" t="s">
        <v>19</v>
      </c>
      <c r="E1695" s="1" t="s">
        <v>41</v>
      </c>
      <c r="F1695">
        <v>1</v>
      </c>
      <c r="G1695" s="2">
        <v>45970</v>
      </c>
      <c r="H1695" s="2">
        <v>45971</v>
      </c>
      <c r="I1695">
        <v>38.67</v>
      </c>
      <c r="J1695">
        <v>16</v>
      </c>
      <c r="K1695">
        <v>16</v>
      </c>
      <c r="L1695">
        <v>0</v>
      </c>
      <c r="M1695" s="1" t="s">
        <v>21</v>
      </c>
      <c r="N1695" s="1" t="s">
        <v>22</v>
      </c>
      <c r="O1695" s="2">
        <v>45976</v>
      </c>
      <c r="P1695" s="2">
        <v>45976</v>
      </c>
      <c r="Q1695">
        <f>_xlfn.XLOOKUP(E1695,CPT!$A$2:$A$13,CPT!$D$2:$D$13)</f>
        <v>38</v>
      </c>
      <c r="R1695" s="1">
        <f>_xlfn.XLOOKUP(C1695,Contract!$A$2:$A$9,Contract!$B$2:$B$9)</f>
        <v>0.36</v>
      </c>
      <c r="S1695" s="1">
        <f t="shared" si="104"/>
        <v>13.68</v>
      </c>
      <c r="T1695" s="1">
        <f t="shared" si="105"/>
        <v>-2.3200000000000003</v>
      </c>
      <c r="U1695" s="1" t="str">
        <f t="shared" si="106"/>
        <v>OK</v>
      </c>
      <c r="V1695" s="1" t="str">
        <f>_xlfn.XLOOKUP(C1695,Payers!$A$2:$A$9,Payers!$B$2:$B$9)</f>
        <v>Medicare Part B</v>
      </c>
      <c r="W1695" s="1" t="str">
        <f t="shared" si="107"/>
        <v>2025-11</v>
      </c>
    </row>
    <row r="1696" spans="1:23">
      <c r="A1696" s="1" t="s">
        <v>3092</v>
      </c>
      <c r="B1696" s="1" t="s">
        <v>3093</v>
      </c>
      <c r="C1696" s="1" t="s">
        <v>60</v>
      </c>
      <c r="D1696" s="1" t="s">
        <v>19</v>
      </c>
      <c r="E1696" s="1" t="s">
        <v>20</v>
      </c>
      <c r="F1696">
        <v>1</v>
      </c>
      <c r="G1696" s="2">
        <v>46108</v>
      </c>
      <c r="H1696" s="2">
        <v>46112</v>
      </c>
      <c r="I1696">
        <v>149.19999999999999</v>
      </c>
      <c r="J1696">
        <v>72.209999999999994</v>
      </c>
      <c r="K1696">
        <v>72.209999999999994</v>
      </c>
      <c r="L1696">
        <v>0</v>
      </c>
      <c r="M1696" s="1" t="s">
        <v>21</v>
      </c>
      <c r="N1696" s="1" t="s">
        <v>22</v>
      </c>
      <c r="O1696" s="2">
        <v>46157</v>
      </c>
      <c r="P1696" s="2">
        <v>46157</v>
      </c>
      <c r="Q1696">
        <f>_xlfn.XLOOKUP(E1696,CPT!$A$2:$A$13,CPT!$D$2:$D$13)</f>
        <v>145</v>
      </c>
      <c r="R1696" s="1">
        <f>_xlfn.XLOOKUP(C1696,Contract!$A$2:$A$9,Contract!$B$2:$B$9)</f>
        <v>0.45</v>
      </c>
      <c r="S1696" s="1">
        <f t="shared" si="104"/>
        <v>65.25</v>
      </c>
      <c r="T1696" s="1">
        <f t="shared" si="105"/>
        <v>-6.9599999999999937</v>
      </c>
      <c r="U1696" s="1" t="str">
        <f t="shared" si="106"/>
        <v>OK</v>
      </c>
      <c r="V1696" s="1" t="str">
        <f>_xlfn.XLOOKUP(C1696,Payers!$A$2:$A$9,Payers!$B$2:$B$9)</f>
        <v>Blue Horizon Commercial</v>
      </c>
      <c r="W1696" s="1" t="str">
        <f t="shared" si="107"/>
        <v>2026-03</v>
      </c>
    </row>
    <row r="1697" spans="1:23">
      <c r="A1697" s="1" t="s">
        <v>3094</v>
      </c>
      <c r="B1697" s="1" t="s">
        <v>3095</v>
      </c>
      <c r="C1697" s="1" t="s">
        <v>76</v>
      </c>
      <c r="D1697" s="1" t="s">
        <v>30</v>
      </c>
      <c r="E1697" s="1" t="s">
        <v>91</v>
      </c>
      <c r="F1697">
        <v>4</v>
      </c>
      <c r="G1697" s="2">
        <v>45949</v>
      </c>
      <c r="H1697" s="2">
        <v>45953</v>
      </c>
      <c r="I1697">
        <v>238.02</v>
      </c>
      <c r="J1697">
        <v>105.53</v>
      </c>
      <c r="K1697">
        <v>94.98</v>
      </c>
      <c r="L1697">
        <v>10.55</v>
      </c>
      <c r="M1697" s="1" t="s">
        <v>21</v>
      </c>
      <c r="N1697" s="1" t="s">
        <v>22</v>
      </c>
      <c r="O1697" s="2">
        <v>45991</v>
      </c>
      <c r="P1697" s="2">
        <v>45991</v>
      </c>
      <c r="Q1697">
        <f>_xlfn.XLOOKUP(E1697,CPT!$A$2:$A$13,CPT!$D$2:$D$13)</f>
        <v>58</v>
      </c>
      <c r="R1697" s="1">
        <f>_xlfn.XLOOKUP(C1697,Contract!$A$2:$A$9,Contract!$B$2:$B$9)</f>
        <v>0.43</v>
      </c>
      <c r="S1697" s="1">
        <f t="shared" si="104"/>
        <v>99.76</v>
      </c>
      <c r="T1697" s="1">
        <f t="shared" si="105"/>
        <v>-5.769999999999996</v>
      </c>
      <c r="U1697" s="1" t="str">
        <f t="shared" si="106"/>
        <v>OK</v>
      </c>
      <c r="V1697" s="1" t="str">
        <f>_xlfn.XLOOKUP(C1697,Payers!$A$2:$A$9,Payers!$B$2:$B$9)</f>
        <v>Summit Health Commercial</v>
      </c>
      <c r="W1697" s="1" t="str">
        <f t="shared" si="107"/>
        <v>2025-10</v>
      </c>
    </row>
    <row r="1698" spans="1:23">
      <c r="A1698" s="1" t="s">
        <v>3096</v>
      </c>
      <c r="B1698" s="1" t="s">
        <v>3093</v>
      </c>
      <c r="C1698" s="1" t="s">
        <v>18</v>
      </c>
      <c r="D1698" s="1" t="s">
        <v>19</v>
      </c>
      <c r="E1698" s="1" t="s">
        <v>88</v>
      </c>
      <c r="F1698">
        <v>1</v>
      </c>
      <c r="G1698" s="2">
        <v>45987</v>
      </c>
      <c r="H1698" s="2">
        <v>45988</v>
      </c>
      <c r="I1698">
        <v>259.91000000000003</v>
      </c>
      <c r="M1698" s="1" t="s">
        <v>32</v>
      </c>
      <c r="N1698" s="1" t="s">
        <v>124</v>
      </c>
      <c r="O1698" s="2">
        <v>46039</v>
      </c>
      <c r="P1698" s="2"/>
      <c r="Q1698">
        <f>_xlfn.XLOOKUP(E1698,CPT!$A$2:$A$13,CPT!$D$2:$D$13)</f>
        <v>260</v>
      </c>
      <c r="R1698" s="1">
        <f>_xlfn.XLOOKUP(C1698,Contract!$A$2:$A$9,Contract!$B$2:$B$9)</f>
        <v>0.38</v>
      </c>
      <c r="S1698" s="1">
        <f t="shared" si="104"/>
        <v>98.8</v>
      </c>
      <c r="T1698" s="1" t="str">
        <f t="shared" si="105"/>
        <v/>
      </c>
      <c r="U1698" s="1" t="str">
        <f t="shared" si="106"/>
        <v/>
      </c>
      <c r="V1698" s="1" t="str">
        <f>_xlfn.XLOOKUP(C1698,Payers!$A$2:$A$9,Payers!$B$2:$B$9)</f>
        <v>Sunshine Medicare Advantage</v>
      </c>
      <c r="W1698" s="1" t="str">
        <f t="shared" si="107"/>
        <v>2025-11</v>
      </c>
    </row>
    <row r="1699" spans="1:23">
      <c r="A1699" s="1" t="s">
        <v>3097</v>
      </c>
      <c r="B1699" s="1" t="s">
        <v>3098</v>
      </c>
      <c r="C1699" s="1" t="s">
        <v>76</v>
      </c>
      <c r="D1699" s="1" t="s">
        <v>26</v>
      </c>
      <c r="E1699" s="1" t="s">
        <v>88</v>
      </c>
      <c r="F1699">
        <v>1</v>
      </c>
      <c r="G1699" s="2">
        <v>46123</v>
      </c>
      <c r="H1699" s="2">
        <v>46128</v>
      </c>
      <c r="I1699">
        <v>262.79000000000002</v>
      </c>
      <c r="J1699">
        <v>125.59</v>
      </c>
      <c r="K1699">
        <v>100.47</v>
      </c>
      <c r="L1699">
        <v>25.12</v>
      </c>
      <c r="M1699" s="1" t="s">
        <v>21</v>
      </c>
      <c r="N1699" s="1" t="s">
        <v>22</v>
      </c>
      <c r="O1699" s="2">
        <v>46166</v>
      </c>
      <c r="P1699" s="2">
        <v>46166</v>
      </c>
      <c r="Q1699">
        <f>_xlfn.XLOOKUP(E1699,CPT!$A$2:$A$13,CPT!$D$2:$D$13)</f>
        <v>260</v>
      </c>
      <c r="R1699" s="1">
        <f>_xlfn.XLOOKUP(C1699,Contract!$A$2:$A$9,Contract!$B$2:$B$9)</f>
        <v>0.43</v>
      </c>
      <c r="S1699" s="1">
        <f t="shared" si="104"/>
        <v>111.8</v>
      </c>
      <c r="T1699" s="1">
        <f t="shared" si="105"/>
        <v>-13.790000000000006</v>
      </c>
      <c r="U1699" s="1" t="str">
        <f t="shared" si="106"/>
        <v>OK</v>
      </c>
      <c r="V1699" s="1" t="str">
        <f>_xlfn.XLOOKUP(C1699,Payers!$A$2:$A$9,Payers!$B$2:$B$9)</f>
        <v>Summit Health Commercial</v>
      </c>
      <c r="W1699" s="1" t="str">
        <f t="shared" si="107"/>
        <v>2026-04</v>
      </c>
    </row>
    <row r="1700" spans="1:23">
      <c r="A1700" s="1" t="s">
        <v>3099</v>
      </c>
      <c r="B1700" s="1" t="s">
        <v>3100</v>
      </c>
      <c r="C1700" s="1" t="s">
        <v>18</v>
      </c>
      <c r="D1700" s="1" t="s">
        <v>30</v>
      </c>
      <c r="E1700" s="1" t="s">
        <v>31</v>
      </c>
      <c r="F1700">
        <v>4</v>
      </c>
      <c r="G1700" s="2">
        <v>45931</v>
      </c>
      <c r="H1700" s="2">
        <v>45932</v>
      </c>
      <c r="I1700">
        <v>248.59</v>
      </c>
      <c r="J1700">
        <v>93.39</v>
      </c>
      <c r="K1700">
        <v>74.709999999999994</v>
      </c>
      <c r="L1700">
        <v>18.68</v>
      </c>
      <c r="M1700" s="1" t="s">
        <v>21</v>
      </c>
      <c r="N1700" s="1" t="s">
        <v>22</v>
      </c>
      <c r="O1700" s="2">
        <v>45986</v>
      </c>
      <c r="P1700" s="2">
        <v>45986</v>
      </c>
      <c r="Q1700">
        <f>_xlfn.XLOOKUP(E1700,CPT!$A$2:$A$13,CPT!$D$2:$D$13)</f>
        <v>62</v>
      </c>
      <c r="R1700" s="1">
        <f>_xlfn.XLOOKUP(C1700,Contract!$A$2:$A$9,Contract!$B$2:$B$9)</f>
        <v>0.38</v>
      </c>
      <c r="S1700" s="1">
        <f t="shared" si="104"/>
        <v>94.24</v>
      </c>
      <c r="T1700" s="1">
        <f t="shared" si="105"/>
        <v>0.84999999999999432</v>
      </c>
      <c r="U1700" s="1" t="str">
        <f t="shared" si="106"/>
        <v>OK</v>
      </c>
      <c r="V1700" s="1" t="str">
        <f>_xlfn.XLOOKUP(C1700,Payers!$A$2:$A$9,Payers!$B$2:$B$9)</f>
        <v>Sunshine Medicare Advantage</v>
      </c>
      <c r="W1700" s="1" t="str">
        <f t="shared" si="107"/>
        <v>2025-10</v>
      </c>
    </row>
    <row r="1701" spans="1:23">
      <c r="A1701" s="1" t="s">
        <v>3101</v>
      </c>
      <c r="B1701" s="1" t="s">
        <v>3102</v>
      </c>
      <c r="C1701" s="1" t="s">
        <v>60</v>
      </c>
      <c r="D1701" s="1" t="s">
        <v>19</v>
      </c>
      <c r="E1701" s="1" t="s">
        <v>88</v>
      </c>
      <c r="F1701">
        <v>1</v>
      </c>
      <c r="G1701" s="2">
        <v>46168</v>
      </c>
      <c r="H1701" s="2">
        <v>46169</v>
      </c>
      <c r="I1701">
        <v>252.52</v>
      </c>
      <c r="J1701">
        <v>117.66</v>
      </c>
      <c r="K1701">
        <v>94.13</v>
      </c>
      <c r="L1701">
        <v>23.53</v>
      </c>
      <c r="M1701" s="1" t="s">
        <v>21</v>
      </c>
      <c r="N1701" s="1" t="s">
        <v>22</v>
      </c>
      <c r="O1701" s="2">
        <v>46196</v>
      </c>
      <c r="P1701" s="2">
        <v>46196</v>
      </c>
      <c r="Q1701">
        <f>_xlfn.XLOOKUP(E1701,CPT!$A$2:$A$13,CPT!$D$2:$D$13)</f>
        <v>260</v>
      </c>
      <c r="R1701" s="1">
        <f>_xlfn.XLOOKUP(C1701,Contract!$A$2:$A$9,Contract!$B$2:$B$9)</f>
        <v>0.45</v>
      </c>
      <c r="S1701" s="1">
        <f t="shared" si="104"/>
        <v>117</v>
      </c>
      <c r="T1701" s="1">
        <f t="shared" si="105"/>
        <v>-0.65999999999999659</v>
      </c>
      <c r="U1701" s="1" t="str">
        <f t="shared" si="106"/>
        <v>OK</v>
      </c>
      <c r="V1701" s="1" t="str">
        <f>_xlfn.XLOOKUP(C1701,Payers!$A$2:$A$9,Payers!$B$2:$B$9)</f>
        <v>Blue Horizon Commercial</v>
      </c>
      <c r="W1701" s="1" t="str">
        <f t="shared" si="107"/>
        <v>2026-05</v>
      </c>
    </row>
    <row r="1702" spans="1:23">
      <c r="A1702" s="1" t="s">
        <v>3103</v>
      </c>
      <c r="B1702" s="1" t="s">
        <v>3104</v>
      </c>
      <c r="C1702" s="1" t="s">
        <v>60</v>
      </c>
      <c r="D1702" s="1" t="s">
        <v>19</v>
      </c>
      <c r="E1702" s="1" t="s">
        <v>88</v>
      </c>
      <c r="F1702">
        <v>1</v>
      </c>
      <c r="G1702" s="2">
        <v>46091</v>
      </c>
      <c r="H1702" s="2">
        <v>46096</v>
      </c>
      <c r="I1702">
        <v>255.16</v>
      </c>
      <c r="J1702">
        <v>119.25</v>
      </c>
      <c r="K1702">
        <v>119.25</v>
      </c>
      <c r="L1702">
        <v>0</v>
      </c>
      <c r="M1702" s="1" t="s">
        <v>21</v>
      </c>
      <c r="N1702" s="1" t="s">
        <v>22</v>
      </c>
      <c r="O1702" s="2">
        <v>46130</v>
      </c>
      <c r="P1702" s="2">
        <v>46130</v>
      </c>
      <c r="Q1702">
        <f>_xlfn.XLOOKUP(E1702,CPT!$A$2:$A$13,CPT!$D$2:$D$13)</f>
        <v>260</v>
      </c>
      <c r="R1702" s="1">
        <f>_xlfn.XLOOKUP(C1702,Contract!$A$2:$A$9,Contract!$B$2:$B$9)</f>
        <v>0.45</v>
      </c>
      <c r="S1702" s="1">
        <f t="shared" si="104"/>
        <v>117</v>
      </c>
      <c r="T1702" s="1">
        <f t="shared" si="105"/>
        <v>-2.25</v>
      </c>
      <c r="U1702" s="1" t="str">
        <f t="shared" si="106"/>
        <v>OK</v>
      </c>
      <c r="V1702" s="1" t="str">
        <f>_xlfn.XLOOKUP(C1702,Payers!$A$2:$A$9,Payers!$B$2:$B$9)</f>
        <v>Blue Horizon Commercial</v>
      </c>
      <c r="W1702" s="1" t="str">
        <f t="shared" si="107"/>
        <v>2026-03</v>
      </c>
    </row>
    <row r="1703" spans="1:23">
      <c r="A1703" s="1" t="s">
        <v>3105</v>
      </c>
      <c r="B1703" s="1" t="s">
        <v>3106</v>
      </c>
      <c r="C1703" s="1" t="s">
        <v>18</v>
      </c>
      <c r="D1703" s="1" t="s">
        <v>30</v>
      </c>
      <c r="E1703" s="1" t="s">
        <v>20</v>
      </c>
      <c r="F1703">
        <v>1</v>
      </c>
      <c r="G1703" s="2">
        <v>46143</v>
      </c>
      <c r="H1703" s="2">
        <v>46144</v>
      </c>
      <c r="I1703">
        <v>142.68</v>
      </c>
      <c r="J1703">
        <v>59.58</v>
      </c>
      <c r="K1703">
        <v>59.58</v>
      </c>
      <c r="L1703">
        <v>0</v>
      </c>
      <c r="M1703" s="1" t="s">
        <v>21</v>
      </c>
      <c r="N1703" s="1" t="s">
        <v>22</v>
      </c>
      <c r="O1703" s="2">
        <v>46187</v>
      </c>
      <c r="P1703" s="2">
        <v>46187</v>
      </c>
      <c r="Q1703">
        <f>_xlfn.XLOOKUP(E1703,CPT!$A$2:$A$13,CPT!$D$2:$D$13)</f>
        <v>145</v>
      </c>
      <c r="R1703" s="1">
        <f>_xlfn.XLOOKUP(C1703,Contract!$A$2:$A$9,Contract!$B$2:$B$9)</f>
        <v>0.38</v>
      </c>
      <c r="S1703" s="1">
        <f t="shared" si="104"/>
        <v>55.1</v>
      </c>
      <c r="T1703" s="1">
        <f t="shared" si="105"/>
        <v>-4.4799999999999969</v>
      </c>
      <c r="U1703" s="1" t="str">
        <f t="shared" si="106"/>
        <v>OK</v>
      </c>
      <c r="V1703" s="1" t="str">
        <f>_xlfn.XLOOKUP(C1703,Payers!$A$2:$A$9,Payers!$B$2:$B$9)</f>
        <v>Sunshine Medicare Advantage</v>
      </c>
      <c r="W1703" s="1" t="str">
        <f t="shared" si="107"/>
        <v>2026-05</v>
      </c>
    </row>
    <row r="1704" spans="1:23">
      <c r="A1704" s="1" t="s">
        <v>3107</v>
      </c>
      <c r="B1704" s="1" t="s">
        <v>2858</v>
      </c>
      <c r="C1704" s="1" t="s">
        <v>52</v>
      </c>
      <c r="D1704" s="1" t="s">
        <v>19</v>
      </c>
      <c r="E1704" s="1" t="s">
        <v>20</v>
      </c>
      <c r="F1704">
        <v>1</v>
      </c>
      <c r="G1704" s="2">
        <v>46135</v>
      </c>
      <c r="H1704" s="2">
        <v>46136</v>
      </c>
      <c r="I1704">
        <v>143.69</v>
      </c>
      <c r="J1704">
        <v>60.16</v>
      </c>
      <c r="K1704">
        <v>60.16</v>
      </c>
      <c r="L1704">
        <v>0</v>
      </c>
      <c r="M1704" s="1" t="s">
        <v>21</v>
      </c>
      <c r="N1704" s="1" t="s">
        <v>22</v>
      </c>
      <c r="O1704" s="2">
        <v>46171</v>
      </c>
      <c r="P1704" s="2">
        <v>46171</v>
      </c>
      <c r="Q1704">
        <f>_xlfn.XLOOKUP(E1704,CPT!$A$2:$A$13,CPT!$D$2:$D$13)</f>
        <v>145</v>
      </c>
      <c r="R1704" s="1">
        <f>_xlfn.XLOOKUP(C1704,Contract!$A$2:$A$9,Contract!$B$2:$B$9)</f>
        <v>0.47</v>
      </c>
      <c r="S1704" s="1">
        <f t="shared" si="104"/>
        <v>68.150000000000006</v>
      </c>
      <c r="T1704" s="1">
        <f t="shared" si="105"/>
        <v>7.9900000000000091</v>
      </c>
      <c r="U1704" s="1" t="str">
        <f t="shared" si="106"/>
        <v>Underpaid</v>
      </c>
      <c r="V1704" s="1" t="str">
        <f>_xlfn.XLOOKUP(C1704,Payers!$A$2:$A$9,Payers!$B$2:$B$9)</f>
        <v>Keystone Commercial PPO</v>
      </c>
      <c r="W1704" s="1" t="str">
        <f t="shared" si="107"/>
        <v>2026-04</v>
      </c>
    </row>
    <row r="1705" spans="1:23">
      <c r="A1705" s="1" t="s">
        <v>3108</v>
      </c>
      <c r="B1705" s="1" t="s">
        <v>1449</v>
      </c>
      <c r="C1705" s="1" t="s">
        <v>60</v>
      </c>
      <c r="D1705" s="1" t="s">
        <v>19</v>
      </c>
      <c r="E1705" s="1" t="s">
        <v>20</v>
      </c>
      <c r="F1705">
        <v>1</v>
      </c>
      <c r="G1705" s="2">
        <v>46141</v>
      </c>
      <c r="H1705" s="2">
        <v>46142</v>
      </c>
      <c r="I1705">
        <v>142.55000000000001</v>
      </c>
      <c r="J1705">
        <v>69.290000000000006</v>
      </c>
      <c r="K1705">
        <v>55.43</v>
      </c>
      <c r="L1705">
        <v>13.86</v>
      </c>
      <c r="M1705" s="1" t="s">
        <v>21</v>
      </c>
      <c r="N1705" s="1" t="s">
        <v>22</v>
      </c>
      <c r="O1705" s="2">
        <v>46160</v>
      </c>
      <c r="P1705" s="2">
        <v>46160</v>
      </c>
      <c r="Q1705">
        <f>_xlfn.XLOOKUP(E1705,CPT!$A$2:$A$13,CPT!$D$2:$D$13)</f>
        <v>145</v>
      </c>
      <c r="R1705" s="1">
        <f>_xlfn.XLOOKUP(C1705,Contract!$A$2:$A$9,Contract!$B$2:$B$9)</f>
        <v>0.45</v>
      </c>
      <c r="S1705" s="1">
        <f t="shared" si="104"/>
        <v>65.25</v>
      </c>
      <c r="T1705" s="1">
        <f t="shared" si="105"/>
        <v>-4.0400000000000063</v>
      </c>
      <c r="U1705" s="1" t="str">
        <f t="shared" si="106"/>
        <v>OK</v>
      </c>
      <c r="V1705" s="1" t="str">
        <f>_xlfn.XLOOKUP(C1705,Payers!$A$2:$A$9,Payers!$B$2:$B$9)</f>
        <v>Blue Horizon Commercial</v>
      </c>
      <c r="W1705" s="1" t="str">
        <f t="shared" si="107"/>
        <v>2026-04</v>
      </c>
    </row>
    <row r="1706" spans="1:23">
      <c r="A1706" s="1" t="s">
        <v>3109</v>
      </c>
      <c r="B1706" s="1" t="s">
        <v>449</v>
      </c>
      <c r="C1706" s="1" t="s">
        <v>18</v>
      </c>
      <c r="D1706" s="1" t="s">
        <v>19</v>
      </c>
      <c r="E1706" s="1" t="s">
        <v>41</v>
      </c>
      <c r="F1706">
        <v>1</v>
      </c>
      <c r="G1706" s="2">
        <v>46009</v>
      </c>
      <c r="H1706" s="2">
        <v>46010</v>
      </c>
      <c r="I1706">
        <v>38.33</v>
      </c>
      <c r="J1706">
        <v>13.73</v>
      </c>
      <c r="K1706">
        <v>10.98</v>
      </c>
      <c r="L1706">
        <v>2.75</v>
      </c>
      <c r="M1706" s="1" t="s">
        <v>21</v>
      </c>
      <c r="N1706" s="1" t="s">
        <v>22</v>
      </c>
      <c r="O1706" s="2">
        <v>46062</v>
      </c>
      <c r="P1706" s="2">
        <v>46062</v>
      </c>
      <c r="Q1706">
        <f>_xlfn.XLOOKUP(E1706,CPT!$A$2:$A$13,CPT!$D$2:$D$13)</f>
        <v>38</v>
      </c>
      <c r="R1706" s="1">
        <f>_xlfn.XLOOKUP(C1706,Contract!$A$2:$A$9,Contract!$B$2:$B$9)</f>
        <v>0.38</v>
      </c>
      <c r="S1706" s="1">
        <f t="shared" si="104"/>
        <v>14.44</v>
      </c>
      <c r="T1706" s="1">
        <f t="shared" si="105"/>
        <v>0.70999999999999908</v>
      </c>
      <c r="U1706" s="1" t="str">
        <f t="shared" si="106"/>
        <v>OK</v>
      </c>
      <c r="V1706" s="1" t="str">
        <f>_xlfn.XLOOKUP(C1706,Payers!$A$2:$A$9,Payers!$B$2:$B$9)</f>
        <v>Sunshine Medicare Advantage</v>
      </c>
      <c r="W1706" s="1" t="str">
        <f t="shared" si="107"/>
        <v>2025-12</v>
      </c>
    </row>
    <row r="1707" spans="1:23">
      <c r="A1707" s="1" t="s">
        <v>3110</v>
      </c>
      <c r="B1707" s="1" t="s">
        <v>102</v>
      </c>
      <c r="C1707" s="1" t="s">
        <v>76</v>
      </c>
      <c r="D1707" s="1" t="s">
        <v>26</v>
      </c>
      <c r="E1707" s="1" t="s">
        <v>41</v>
      </c>
      <c r="F1707">
        <v>1</v>
      </c>
      <c r="G1707" s="2">
        <v>46194</v>
      </c>
      <c r="H1707" s="2">
        <v>46199</v>
      </c>
      <c r="I1707">
        <v>36.92</v>
      </c>
      <c r="J1707">
        <v>14.28</v>
      </c>
      <c r="K1707">
        <v>14.28</v>
      </c>
      <c r="L1707">
        <v>0</v>
      </c>
      <c r="M1707" s="1" t="s">
        <v>21</v>
      </c>
      <c r="N1707" s="1" t="s">
        <v>22</v>
      </c>
      <c r="O1707" s="2">
        <v>46224</v>
      </c>
      <c r="P1707" s="2">
        <v>46224</v>
      </c>
      <c r="Q1707">
        <f>_xlfn.XLOOKUP(E1707,CPT!$A$2:$A$13,CPT!$D$2:$D$13)</f>
        <v>38</v>
      </c>
      <c r="R1707" s="1">
        <f>_xlfn.XLOOKUP(C1707,Contract!$A$2:$A$9,Contract!$B$2:$B$9)</f>
        <v>0.43</v>
      </c>
      <c r="S1707" s="1">
        <f t="shared" si="104"/>
        <v>16.34</v>
      </c>
      <c r="T1707" s="1">
        <f t="shared" si="105"/>
        <v>2.0600000000000005</v>
      </c>
      <c r="U1707" s="1" t="str">
        <f t="shared" si="106"/>
        <v>Underpaid</v>
      </c>
      <c r="V1707" s="1" t="str">
        <f>_xlfn.XLOOKUP(C1707,Payers!$A$2:$A$9,Payers!$B$2:$B$9)</f>
        <v>Summit Health Commercial</v>
      </c>
      <c r="W1707" s="1" t="str">
        <f t="shared" si="107"/>
        <v>2026-06</v>
      </c>
    </row>
    <row r="1708" spans="1:23">
      <c r="A1708" s="1" t="s">
        <v>3111</v>
      </c>
      <c r="B1708" s="1" t="s">
        <v>3112</v>
      </c>
      <c r="C1708" s="1" t="s">
        <v>60</v>
      </c>
      <c r="D1708" s="1" t="s">
        <v>37</v>
      </c>
      <c r="E1708" s="1" t="s">
        <v>38</v>
      </c>
      <c r="F1708">
        <v>10</v>
      </c>
      <c r="G1708" s="2">
        <v>46224</v>
      </c>
      <c r="H1708" s="2">
        <v>46225</v>
      </c>
      <c r="I1708">
        <v>14677.8</v>
      </c>
      <c r="J1708">
        <v>5749.57</v>
      </c>
      <c r="K1708">
        <v>5749.57</v>
      </c>
      <c r="L1708">
        <v>0</v>
      </c>
      <c r="M1708" s="1" t="s">
        <v>21</v>
      </c>
      <c r="N1708" s="1" t="s">
        <v>22</v>
      </c>
      <c r="O1708" s="2">
        <v>46255</v>
      </c>
      <c r="P1708" s="2">
        <v>46255</v>
      </c>
      <c r="Q1708">
        <f>_xlfn.XLOOKUP(E1708,CPT!$A$2:$A$13,CPT!$D$2:$D$13)</f>
        <v>1450</v>
      </c>
      <c r="R1708" s="1">
        <f>_xlfn.XLOOKUP(C1708,Contract!$A$2:$A$9,Contract!$B$2:$B$9)</f>
        <v>0.45</v>
      </c>
      <c r="S1708" s="1">
        <f t="shared" si="104"/>
        <v>6525</v>
      </c>
      <c r="T1708" s="1">
        <f t="shared" si="105"/>
        <v>775.43000000000029</v>
      </c>
      <c r="U1708" s="1" t="str">
        <f t="shared" si="106"/>
        <v>Underpaid</v>
      </c>
      <c r="V1708" s="1" t="str">
        <f>_xlfn.XLOOKUP(C1708,Payers!$A$2:$A$9,Payers!$B$2:$B$9)</f>
        <v>Blue Horizon Commercial</v>
      </c>
      <c r="W1708" s="1" t="str">
        <f t="shared" si="107"/>
        <v>2026-07</v>
      </c>
    </row>
    <row r="1709" spans="1:23">
      <c r="A1709" s="1" t="s">
        <v>3113</v>
      </c>
      <c r="B1709" s="1" t="s">
        <v>3114</v>
      </c>
      <c r="C1709" s="1" t="s">
        <v>76</v>
      </c>
      <c r="D1709" s="1" t="s">
        <v>26</v>
      </c>
      <c r="E1709" s="1" t="s">
        <v>41</v>
      </c>
      <c r="F1709">
        <v>1</v>
      </c>
      <c r="G1709" s="2">
        <v>46270</v>
      </c>
      <c r="H1709" s="2">
        <v>46271</v>
      </c>
      <c r="I1709">
        <v>38.94</v>
      </c>
      <c r="M1709" s="1" t="s">
        <v>69</v>
      </c>
      <c r="N1709" s="1" t="s">
        <v>22</v>
      </c>
      <c r="O1709" s="2"/>
      <c r="P1709" s="2"/>
      <c r="Q1709">
        <f>_xlfn.XLOOKUP(E1709,CPT!$A$2:$A$13,CPT!$D$2:$D$13)</f>
        <v>38</v>
      </c>
      <c r="R1709" s="1">
        <f>_xlfn.XLOOKUP(C1709,Contract!$A$2:$A$9,Contract!$B$2:$B$9)</f>
        <v>0.43</v>
      </c>
      <c r="S1709" s="1">
        <f t="shared" si="104"/>
        <v>16.34</v>
      </c>
      <c r="T1709" s="1" t="str">
        <f t="shared" si="105"/>
        <v/>
      </c>
      <c r="U1709" s="1" t="str">
        <f t="shared" si="106"/>
        <v/>
      </c>
      <c r="V1709" s="1" t="str">
        <f>_xlfn.XLOOKUP(C1709,Payers!$A$2:$A$9,Payers!$B$2:$B$9)</f>
        <v>Summit Health Commercial</v>
      </c>
      <c r="W1709" s="1" t="str">
        <f t="shared" si="107"/>
        <v>2026-09</v>
      </c>
    </row>
    <row r="1710" spans="1:23">
      <c r="A1710" s="1" t="s">
        <v>3115</v>
      </c>
      <c r="B1710" s="1" t="s">
        <v>130</v>
      </c>
      <c r="C1710" s="1" t="s">
        <v>79</v>
      </c>
      <c r="D1710" s="1" t="s">
        <v>19</v>
      </c>
      <c r="E1710" s="1" t="s">
        <v>41</v>
      </c>
      <c r="F1710">
        <v>1</v>
      </c>
      <c r="G1710" s="2">
        <v>46083</v>
      </c>
      <c r="H1710" s="2">
        <v>46084</v>
      </c>
      <c r="I1710">
        <v>38.9</v>
      </c>
      <c r="M1710" s="1" t="s">
        <v>69</v>
      </c>
      <c r="N1710" s="1" t="s">
        <v>22</v>
      </c>
      <c r="O1710" s="2"/>
      <c r="P1710" s="2"/>
      <c r="Q1710">
        <f>_xlfn.XLOOKUP(E1710,CPT!$A$2:$A$13,CPT!$D$2:$D$13)</f>
        <v>38</v>
      </c>
      <c r="R1710" s="1">
        <f>_xlfn.XLOOKUP(C1710,Contract!$A$2:$A$9,Contract!$B$2:$B$9)</f>
        <v>1</v>
      </c>
      <c r="S1710" s="1">
        <f t="shared" si="104"/>
        <v>38</v>
      </c>
      <c r="T1710" s="1" t="str">
        <f t="shared" si="105"/>
        <v/>
      </c>
      <c r="U1710" s="1" t="str">
        <f t="shared" si="106"/>
        <v/>
      </c>
      <c r="V1710" s="1" t="str">
        <f>_xlfn.XLOOKUP(C1710,Payers!$A$2:$A$9,Payers!$B$2:$B$9)</f>
        <v>Self-Pay</v>
      </c>
      <c r="W1710" s="1" t="str">
        <f t="shared" si="107"/>
        <v>2026-03</v>
      </c>
    </row>
    <row r="1711" spans="1:23">
      <c r="A1711" s="1" t="s">
        <v>3116</v>
      </c>
      <c r="B1711" s="1" t="s">
        <v>3117</v>
      </c>
      <c r="C1711" s="1" t="s">
        <v>18</v>
      </c>
      <c r="D1711" s="1" t="s">
        <v>26</v>
      </c>
      <c r="E1711" s="1" t="s">
        <v>185</v>
      </c>
      <c r="F1711">
        <v>1</v>
      </c>
      <c r="G1711" s="2">
        <v>46275</v>
      </c>
      <c r="H1711" s="2">
        <v>46282</v>
      </c>
      <c r="I1711">
        <v>1115.57</v>
      </c>
      <c r="M1711" s="1" t="s">
        <v>69</v>
      </c>
      <c r="N1711" s="1" t="s">
        <v>22</v>
      </c>
      <c r="O1711" s="2"/>
      <c r="P1711" s="2"/>
      <c r="Q1711">
        <f>_xlfn.XLOOKUP(E1711,CPT!$A$2:$A$13,CPT!$D$2:$D$13)</f>
        <v>1150</v>
      </c>
      <c r="R1711" s="1">
        <f>_xlfn.XLOOKUP(C1711,Contract!$A$2:$A$9,Contract!$B$2:$B$9)</f>
        <v>0.38</v>
      </c>
      <c r="S1711" s="1">
        <f t="shared" si="104"/>
        <v>437</v>
      </c>
      <c r="T1711" s="1" t="str">
        <f t="shared" si="105"/>
        <v/>
      </c>
      <c r="U1711" s="1" t="str">
        <f t="shared" si="106"/>
        <v/>
      </c>
      <c r="V1711" s="1" t="str">
        <f>_xlfn.XLOOKUP(C1711,Payers!$A$2:$A$9,Payers!$B$2:$B$9)</f>
        <v>Sunshine Medicare Advantage</v>
      </c>
      <c r="W1711" s="1" t="str">
        <f t="shared" si="107"/>
        <v>2026-09</v>
      </c>
    </row>
    <row r="1712" spans="1:23">
      <c r="A1712" s="1" t="s">
        <v>3118</v>
      </c>
      <c r="B1712" s="1" t="s">
        <v>2439</v>
      </c>
      <c r="C1712" s="1" t="s">
        <v>76</v>
      </c>
      <c r="D1712" s="1" t="s">
        <v>19</v>
      </c>
      <c r="E1712" s="1" t="s">
        <v>41</v>
      </c>
      <c r="F1712">
        <v>1</v>
      </c>
      <c r="G1712" s="2">
        <v>46091</v>
      </c>
      <c r="H1712" s="2">
        <v>46097</v>
      </c>
      <c r="I1712">
        <v>38.049999999999997</v>
      </c>
      <c r="J1712">
        <v>16.96</v>
      </c>
      <c r="K1712">
        <v>15.26</v>
      </c>
      <c r="L1712">
        <v>1.7</v>
      </c>
      <c r="M1712" s="1" t="s">
        <v>21</v>
      </c>
      <c r="N1712" s="1" t="s">
        <v>22</v>
      </c>
      <c r="O1712" s="2">
        <v>46125</v>
      </c>
      <c r="P1712" s="2">
        <v>46125</v>
      </c>
      <c r="Q1712">
        <f>_xlfn.XLOOKUP(E1712,CPT!$A$2:$A$13,CPT!$D$2:$D$13)</f>
        <v>38</v>
      </c>
      <c r="R1712" s="1">
        <f>_xlfn.XLOOKUP(C1712,Contract!$A$2:$A$9,Contract!$B$2:$B$9)</f>
        <v>0.43</v>
      </c>
      <c r="S1712" s="1">
        <f t="shared" si="104"/>
        <v>16.34</v>
      </c>
      <c r="T1712" s="1">
        <f t="shared" si="105"/>
        <v>-0.62000000000000099</v>
      </c>
      <c r="U1712" s="1" t="str">
        <f t="shared" si="106"/>
        <v>OK</v>
      </c>
      <c r="V1712" s="1" t="str">
        <f>_xlfn.XLOOKUP(C1712,Payers!$A$2:$A$9,Payers!$B$2:$B$9)</f>
        <v>Summit Health Commercial</v>
      </c>
      <c r="W1712" s="1" t="str">
        <f t="shared" si="107"/>
        <v>2026-03</v>
      </c>
    </row>
    <row r="1713" spans="1:23">
      <c r="A1713" s="1" t="s">
        <v>3119</v>
      </c>
      <c r="B1713" s="1" t="s">
        <v>299</v>
      </c>
      <c r="C1713" s="1" t="s">
        <v>52</v>
      </c>
      <c r="D1713" s="1" t="s">
        <v>37</v>
      </c>
      <c r="E1713" s="1" t="s">
        <v>57</v>
      </c>
      <c r="F1713">
        <v>1</v>
      </c>
      <c r="G1713" s="2">
        <v>45997</v>
      </c>
      <c r="H1713" s="2">
        <v>46002</v>
      </c>
      <c r="I1713">
        <v>206.44</v>
      </c>
      <c r="M1713" s="1" t="s">
        <v>32</v>
      </c>
      <c r="N1713" s="1" t="s">
        <v>33</v>
      </c>
      <c r="O1713" s="2">
        <v>46073</v>
      </c>
      <c r="P1713" s="2"/>
      <c r="Q1713">
        <f>_xlfn.XLOOKUP(E1713,CPT!$A$2:$A$13,CPT!$D$2:$D$13)</f>
        <v>210</v>
      </c>
      <c r="R1713" s="1">
        <f>_xlfn.XLOOKUP(C1713,Contract!$A$2:$A$9,Contract!$B$2:$B$9)</f>
        <v>0.47</v>
      </c>
      <c r="S1713" s="1">
        <f t="shared" si="104"/>
        <v>98.7</v>
      </c>
      <c r="T1713" s="1" t="str">
        <f t="shared" si="105"/>
        <v/>
      </c>
      <c r="U1713" s="1" t="str">
        <f t="shared" si="106"/>
        <v/>
      </c>
      <c r="V1713" s="1" t="str">
        <f>_xlfn.XLOOKUP(C1713,Payers!$A$2:$A$9,Payers!$B$2:$B$9)</f>
        <v>Keystone Commercial PPO</v>
      </c>
      <c r="W1713" s="1" t="str">
        <f t="shared" si="107"/>
        <v>2025-12</v>
      </c>
    </row>
    <row r="1714" spans="1:23">
      <c r="A1714" s="1" t="s">
        <v>3120</v>
      </c>
      <c r="B1714" s="1" t="s">
        <v>3121</v>
      </c>
      <c r="C1714" s="1" t="s">
        <v>60</v>
      </c>
      <c r="D1714" s="1" t="s">
        <v>26</v>
      </c>
      <c r="E1714" s="1" t="s">
        <v>185</v>
      </c>
      <c r="F1714">
        <v>1</v>
      </c>
      <c r="G1714" s="2">
        <v>46060</v>
      </c>
      <c r="H1714" s="2">
        <v>46067</v>
      </c>
      <c r="I1714">
        <v>1152.2</v>
      </c>
      <c r="M1714" s="1" t="s">
        <v>32</v>
      </c>
      <c r="N1714" s="1" t="s">
        <v>33</v>
      </c>
      <c r="O1714" s="2">
        <v>46104</v>
      </c>
      <c r="P1714" s="2"/>
      <c r="Q1714">
        <f>_xlfn.XLOOKUP(E1714,CPT!$A$2:$A$13,CPT!$D$2:$D$13)</f>
        <v>1150</v>
      </c>
      <c r="R1714" s="1">
        <f>_xlfn.XLOOKUP(C1714,Contract!$A$2:$A$9,Contract!$B$2:$B$9)</f>
        <v>0.45</v>
      </c>
      <c r="S1714" s="1">
        <f t="shared" si="104"/>
        <v>517.5</v>
      </c>
      <c r="T1714" s="1" t="str">
        <f t="shared" si="105"/>
        <v/>
      </c>
      <c r="U1714" s="1" t="str">
        <f t="shared" si="106"/>
        <v/>
      </c>
      <c r="V1714" s="1" t="str">
        <f>_xlfn.XLOOKUP(C1714,Payers!$A$2:$A$9,Payers!$B$2:$B$9)</f>
        <v>Blue Horizon Commercial</v>
      </c>
      <c r="W1714" s="1" t="str">
        <f t="shared" si="107"/>
        <v>2026-02</v>
      </c>
    </row>
    <row r="1715" spans="1:23">
      <c r="A1715" s="1" t="s">
        <v>3122</v>
      </c>
      <c r="B1715" s="1" t="s">
        <v>3123</v>
      </c>
      <c r="C1715" s="1" t="s">
        <v>25</v>
      </c>
      <c r="D1715" s="1" t="s">
        <v>26</v>
      </c>
      <c r="E1715" s="1" t="s">
        <v>44</v>
      </c>
      <c r="F1715">
        <v>1</v>
      </c>
      <c r="G1715" s="2">
        <v>46009</v>
      </c>
      <c r="H1715" s="2">
        <v>46012</v>
      </c>
      <c r="I1715">
        <v>4893.71</v>
      </c>
      <c r="J1715">
        <v>2023.05</v>
      </c>
      <c r="K1715">
        <v>1820.74</v>
      </c>
      <c r="L1715">
        <v>202.31</v>
      </c>
      <c r="M1715" s="1" t="s">
        <v>21</v>
      </c>
      <c r="N1715" s="1" t="s">
        <v>22</v>
      </c>
      <c r="O1715" s="2">
        <v>46026</v>
      </c>
      <c r="P1715" s="2">
        <v>46026</v>
      </c>
      <c r="Q1715">
        <f>_xlfn.XLOOKUP(E1715,CPT!$A$2:$A$13,CPT!$D$2:$D$13)</f>
        <v>4800</v>
      </c>
      <c r="R1715" s="1">
        <f>_xlfn.XLOOKUP(C1715,Contract!$A$2:$A$9,Contract!$B$2:$B$9)</f>
        <v>0.36</v>
      </c>
      <c r="S1715" s="1">
        <f t="shared" si="104"/>
        <v>1728</v>
      </c>
      <c r="T1715" s="1">
        <f t="shared" si="105"/>
        <v>-295.04999999999995</v>
      </c>
      <c r="U1715" s="1" t="str">
        <f t="shared" si="106"/>
        <v>OK</v>
      </c>
      <c r="V1715" s="1" t="str">
        <f>_xlfn.XLOOKUP(C1715,Payers!$A$2:$A$9,Payers!$B$2:$B$9)</f>
        <v>Medicare Part B</v>
      </c>
      <c r="W1715" s="1" t="str">
        <f t="shared" si="107"/>
        <v>2025-12</v>
      </c>
    </row>
    <row r="1716" spans="1:23">
      <c r="A1716" s="1" t="s">
        <v>3124</v>
      </c>
      <c r="B1716" s="1" t="s">
        <v>502</v>
      </c>
      <c r="C1716" s="1" t="s">
        <v>25</v>
      </c>
      <c r="D1716" s="1" t="s">
        <v>37</v>
      </c>
      <c r="E1716" s="1" t="s">
        <v>38</v>
      </c>
      <c r="F1716">
        <v>10</v>
      </c>
      <c r="G1716" s="2">
        <v>46194</v>
      </c>
      <c r="H1716" s="2">
        <v>46198</v>
      </c>
      <c r="I1716">
        <v>14161.48</v>
      </c>
      <c r="M1716" s="1" t="s">
        <v>32</v>
      </c>
      <c r="N1716" s="1" t="s">
        <v>168</v>
      </c>
      <c r="O1716" s="2">
        <v>46224</v>
      </c>
      <c r="P1716" s="2"/>
      <c r="Q1716">
        <f>_xlfn.XLOOKUP(E1716,CPT!$A$2:$A$13,CPT!$D$2:$D$13)</f>
        <v>1450</v>
      </c>
      <c r="R1716" s="1">
        <f>_xlfn.XLOOKUP(C1716,Contract!$A$2:$A$9,Contract!$B$2:$B$9)</f>
        <v>0.36</v>
      </c>
      <c r="S1716" s="1">
        <f t="shared" si="104"/>
        <v>5220</v>
      </c>
      <c r="T1716" s="1" t="str">
        <f t="shared" si="105"/>
        <v/>
      </c>
      <c r="U1716" s="1" t="str">
        <f t="shared" si="106"/>
        <v/>
      </c>
      <c r="V1716" s="1" t="str">
        <f>_xlfn.XLOOKUP(C1716,Payers!$A$2:$A$9,Payers!$B$2:$B$9)</f>
        <v>Medicare Part B</v>
      </c>
      <c r="W1716" s="1" t="str">
        <f t="shared" si="107"/>
        <v>2026-06</v>
      </c>
    </row>
    <row r="1717" spans="1:23">
      <c r="A1717" s="1" t="s">
        <v>3125</v>
      </c>
      <c r="B1717" s="1" t="s">
        <v>3126</v>
      </c>
      <c r="C1717" s="1" t="s">
        <v>47</v>
      </c>
      <c r="D1717" s="1" t="s">
        <v>26</v>
      </c>
      <c r="E1717" s="1" t="s">
        <v>185</v>
      </c>
      <c r="F1717">
        <v>1</v>
      </c>
      <c r="G1717" s="2">
        <v>46013</v>
      </c>
      <c r="H1717" s="2">
        <v>46014</v>
      </c>
      <c r="I1717">
        <v>1152.71</v>
      </c>
      <c r="J1717">
        <v>358.92</v>
      </c>
      <c r="K1717">
        <v>358.92</v>
      </c>
      <c r="L1717">
        <v>0</v>
      </c>
      <c r="M1717" s="1" t="s">
        <v>21</v>
      </c>
      <c r="N1717" s="1" t="s">
        <v>22</v>
      </c>
      <c r="O1717" s="2">
        <v>46078</v>
      </c>
      <c r="P1717" s="2">
        <v>46078</v>
      </c>
      <c r="Q1717">
        <f>_xlfn.XLOOKUP(E1717,CPT!$A$2:$A$13,CPT!$D$2:$D$13)</f>
        <v>1150</v>
      </c>
      <c r="R1717" s="1">
        <f>_xlfn.XLOOKUP(C1717,Contract!$A$2:$A$9,Contract!$B$2:$B$9)</f>
        <v>0.28000000000000003</v>
      </c>
      <c r="S1717" s="1">
        <f t="shared" si="104"/>
        <v>322</v>
      </c>
      <c r="T1717" s="1">
        <f t="shared" si="105"/>
        <v>-36.920000000000016</v>
      </c>
      <c r="U1717" s="1" t="str">
        <f t="shared" si="106"/>
        <v>OK</v>
      </c>
      <c r="V1717" s="1" t="str">
        <f>_xlfn.XLOOKUP(C1717,Payers!$A$2:$A$9,Payers!$B$2:$B$9)</f>
        <v>Coastal Medicaid MCO</v>
      </c>
      <c r="W1717" s="1" t="str">
        <f t="shared" si="107"/>
        <v>2025-12</v>
      </c>
    </row>
    <row r="1718" spans="1:23">
      <c r="A1718" s="1" t="s">
        <v>3127</v>
      </c>
      <c r="B1718" s="1" t="s">
        <v>3128</v>
      </c>
      <c r="C1718" s="1" t="s">
        <v>36</v>
      </c>
      <c r="D1718" s="1" t="s">
        <v>19</v>
      </c>
      <c r="E1718" s="1" t="s">
        <v>88</v>
      </c>
      <c r="F1718">
        <v>1</v>
      </c>
      <c r="G1718" s="2">
        <v>46069</v>
      </c>
      <c r="H1718" s="2">
        <v>46073</v>
      </c>
      <c r="I1718">
        <v>256.01</v>
      </c>
      <c r="J1718">
        <v>73.63</v>
      </c>
      <c r="K1718">
        <v>73.63</v>
      </c>
      <c r="L1718">
        <v>0</v>
      </c>
      <c r="M1718" s="1" t="s">
        <v>21</v>
      </c>
      <c r="N1718" s="1" t="s">
        <v>22</v>
      </c>
      <c r="O1718" s="2">
        <v>46126</v>
      </c>
      <c r="P1718" s="2">
        <v>46126</v>
      </c>
      <c r="Q1718">
        <f>_xlfn.XLOOKUP(E1718,CPT!$A$2:$A$13,CPT!$D$2:$D$13)</f>
        <v>260</v>
      </c>
      <c r="R1718" s="1">
        <f>_xlfn.XLOOKUP(C1718,Contract!$A$2:$A$9,Contract!$B$2:$B$9)</f>
        <v>0.27</v>
      </c>
      <c r="S1718" s="1">
        <f t="shared" si="104"/>
        <v>70.2</v>
      </c>
      <c r="T1718" s="1">
        <f t="shared" si="105"/>
        <v>-3.4299999999999926</v>
      </c>
      <c r="U1718" s="1" t="str">
        <f t="shared" si="106"/>
        <v>OK</v>
      </c>
      <c r="V1718" s="1" t="str">
        <f>_xlfn.XLOOKUP(C1718,Payers!$A$2:$A$9,Payers!$B$2:$B$9)</f>
        <v>Florida Medicaid</v>
      </c>
      <c r="W1718" s="1" t="str">
        <f t="shared" si="107"/>
        <v>2026-02</v>
      </c>
    </row>
    <row r="1719" spans="1:23">
      <c r="A1719" s="1" t="s">
        <v>3129</v>
      </c>
      <c r="B1719" s="1" t="s">
        <v>1161</v>
      </c>
      <c r="C1719" s="1" t="s">
        <v>60</v>
      </c>
      <c r="D1719" s="1" t="s">
        <v>30</v>
      </c>
      <c r="E1719" s="1" t="s">
        <v>20</v>
      </c>
      <c r="F1719">
        <v>1</v>
      </c>
      <c r="G1719" s="2">
        <v>46220</v>
      </c>
      <c r="H1719" s="2">
        <v>46221</v>
      </c>
      <c r="I1719">
        <v>147.33000000000001</v>
      </c>
      <c r="J1719">
        <v>64.900000000000006</v>
      </c>
      <c r="K1719">
        <v>51.92</v>
      </c>
      <c r="L1719">
        <v>12.98</v>
      </c>
      <c r="M1719" s="1" t="s">
        <v>21</v>
      </c>
      <c r="N1719" s="1" t="s">
        <v>22</v>
      </c>
      <c r="O1719" s="2">
        <v>46244</v>
      </c>
      <c r="P1719" s="2">
        <v>46244</v>
      </c>
      <c r="Q1719">
        <f>_xlfn.XLOOKUP(E1719,CPT!$A$2:$A$13,CPT!$D$2:$D$13)</f>
        <v>145</v>
      </c>
      <c r="R1719" s="1">
        <f>_xlfn.XLOOKUP(C1719,Contract!$A$2:$A$9,Contract!$B$2:$B$9)</f>
        <v>0.45</v>
      </c>
      <c r="S1719" s="1">
        <f t="shared" si="104"/>
        <v>65.25</v>
      </c>
      <c r="T1719" s="1">
        <f t="shared" si="105"/>
        <v>0.34999999999999432</v>
      </c>
      <c r="U1719" s="1" t="str">
        <f t="shared" si="106"/>
        <v>OK</v>
      </c>
      <c r="V1719" s="1" t="str">
        <f>_xlfn.XLOOKUP(C1719,Payers!$A$2:$A$9,Payers!$B$2:$B$9)</f>
        <v>Blue Horizon Commercial</v>
      </c>
      <c r="W1719" s="1" t="str">
        <f t="shared" si="107"/>
        <v>2026-07</v>
      </c>
    </row>
    <row r="1720" spans="1:23">
      <c r="A1720" s="1" t="s">
        <v>3130</v>
      </c>
      <c r="B1720" s="1" t="s">
        <v>3131</v>
      </c>
      <c r="C1720" s="1" t="s">
        <v>47</v>
      </c>
      <c r="D1720" s="1" t="s">
        <v>19</v>
      </c>
      <c r="E1720" s="1" t="s">
        <v>57</v>
      </c>
      <c r="F1720">
        <v>1</v>
      </c>
      <c r="G1720" s="2">
        <v>46021</v>
      </c>
      <c r="H1720" s="2">
        <v>46041</v>
      </c>
      <c r="I1720">
        <v>214.33</v>
      </c>
      <c r="M1720" s="1" t="s">
        <v>32</v>
      </c>
      <c r="N1720" s="1" t="s">
        <v>281</v>
      </c>
      <c r="O1720" s="2">
        <v>46077</v>
      </c>
      <c r="P1720" s="2"/>
      <c r="Q1720">
        <f>_xlfn.XLOOKUP(E1720,CPT!$A$2:$A$13,CPT!$D$2:$D$13)</f>
        <v>210</v>
      </c>
      <c r="R1720" s="1">
        <f>_xlfn.XLOOKUP(C1720,Contract!$A$2:$A$9,Contract!$B$2:$B$9)</f>
        <v>0.28000000000000003</v>
      </c>
      <c r="S1720" s="1">
        <f t="shared" si="104"/>
        <v>58.8</v>
      </c>
      <c r="T1720" s="1" t="str">
        <f t="shared" si="105"/>
        <v/>
      </c>
      <c r="U1720" s="1" t="str">
        <f t="shared" si="106"/>
        <v/>
      </c>
      <c r="V1720" s="1" t="str">
        <f>_xlfn.XLOOKUP(C1720,Payers!$A$2:$A$9,Payers!$B$2:$B$9)</f>
        <v>Coastal Medicaid MCO</v>
      </c>
      <c r="W1720" s="1" t="str">
        <f t="shared" si="107"/>
        <v>2025-12</v>
      </c>
    </row>
    <row r="1721" spans="1:23">
      <c r="A1721" s="1" t="s">
        <v>3132</v>
      </c>
      <c r="B1721" s="1" t="s">
        <v>3133</v>
      </c>
      <c r="C1721" s="1" t="s">
        <v>25</v>
      </c>
      <c r="D1721" s="1" t="s">
        <v>26</v>
      </c>
      <c r="E1721" s="1" t="s">
        <v>185</v>
      </c>
      <c r="F1721">
        <v>1</v>
      </c>
      <c r="G1721" s="2">
        <v>46254</v>
      </c>
      <c r="H1721" s="2">
        <v>46264</v>
      </c>
      <c r="I1721">
        <v>1181.98</v>
      </c>
      <c r="J1721">
        <v>460.99</v>
      </c>
      <c r="K1721">
        <v>460.99</v>
      </c>
      <c r="L1721">
        <v>0</v>
      </c>
      <c r="M1721" s="1" t="s">
        <v>21</v>
      </c>
      <c r="N1721" s="1" t="s">
        <v>22</v>
      </c>
      <c r="O1721" s="2">
        <v>46288</v>
      </c>
      <c r="P1721" s="2">
        <v>46288</v>
      </c>
      <c r="Q1721">
        <f>_xlfn.XLOOKUP(E1721,CPT!$A$2:$A$13,CPT!$D$2:$D$13)</f>
        <v>1150</v>
      </c>
      <c r="R1721" s="1">
        <f>_xlfn.XLOOKUP(C1721,Contract!$A$2:$A$9,Contract!$B$2:$B$9)</f>
        <v>0.36</v>
      </c>
      <c r="S1721" s="1">
        <f t="shared" si="104"/>
        <v>414</v>
      </c>
      <c r="T1721" s="1">
        <f t="shared" si="105"/>
        <v>-46.990000000000009</v>
      </c>
      <c r="U1721" s="1" t="str">
        <f t="shared" si="106"/>
        <v>OK</v>
      </c>
      <c r="V1721" s="1" t="str">
        <f>_xlfn.XLOOKUP(C1721,Payers!$A$2:$A$9,Payers!$B$2:$B$9)</f>
        <v>Medicare Part B</v>
      </c>
      <c r="W1721" s="1" t="str">
        <f t="shared" si="107"/>
        <v>2026-08</v>
      </c>
    </row>
    <row r="1722" spans="1:23">
      <c r="A1722" s="1" t="s">
        <v>3134</v>
      </c>
      <c r="B1722" s="1" t="s">
        <v>3135</v>
      </c>
      <c r="C1722" s="1" t="s">
        <v>52</v>
      </c>
      <c r="D1722" s="1" t="s">
        <v>19</v>
      </c>
      <c r="E1722" s="1" t="s">
        <v>57</v>
      </c>
      <c r="F1722">
        <v>1</v>
      </c>
      <c r="G1722" s="2">
        <v>46087</v>
      </c>
      <c r="H1722" s="2">
        <v>46088</v>
      </c>
      <c r="I1722">
        <v>215.86</v>
      </c>
      <c r="J1722">
        <v>92.15</v>
      </c>
      <c r="K1722">
        <v>92.15</v>
      </c>
      <c r="L1722">
        <v>0</v>
      </c>
      <c r="M1722" s="1" t="s">
        <v>21</v>
      </c>
      <c r="N1722" s="1" t="s">
        <v>22</v>
      </c>
      <c r="O1722" s="2">
        <v>46120</v>
      </c>
      <c r="P1722" s="2">
        <v>46120</v>
      </c>
      <c r="Q1722">
        <f>_xlfn.XLOOKUP(E1722,CPT!$A$2:$A$13,CPT!$D$2:$D$13)</f>
        <v>210</v>
      </c>
      <c r="R1722" s="1">
        <f>_xlfn.XLOOKUP(C1722,Contract!$A$2:$A$9,Contract!$B$2:$B$9)</f>
        <v>0.47</v>
      </c>
      <c r="S1722" s="1">
        <f t="shared" si="104"/>
        <v>98.7</v>
      </c>
      <c r="T1722" s="1">
        <f t="shared" si="105"/>
        <v>6.5499999999999972</v>
      </c>
      <c r="U1722" s="1" t="str">
        <f t="shared" si="106"/>
        <v>Underpaid</v>
      </c>
      <c r="V1722" s="1" t="str">
        <f>_xlfn.XLOOKUP(C1722,Payers!$A$2:$A$9,Payers!$B$2:$B$9)</f>
        <v>Keystone Commercial PPO</v>
      </c>
      <c r="W1722" s="1" t="str">
        <f t="shared" si="107"/>
        <v>2026-03</v>
      </c>
    </row>
    <row r="1723" spans="1:23">
      <c r="A1723" s="1" t="s">
        <v>3136</v>
      </c>
      <c r="B1723" s="1" t="s">
        <v>2563</v>
      </c>
      <c r="C1723" s="1" t="s">
        <v>60</v>
      </c>
      <c r="D1723" s="1" t="s">
        <v>37</v>
      </c>
      <c r="E1723" s="1" t="s">
        <v>38</v>
      </c>
      <c r="F1723">
        <v>10</v>
      </c>
      <c r="G1723" s="2">
        <v>46207</v>
      </c>
      <c r="H1723" s="2">
        <v>46208</v>
      </c>
      <c r="I1723">
        <v>14368.92</v>
      </c>
      <c r="J1723">
        <v>6925.32</v>
      </c>
      <c r="K1723">
        <v>6925.32</v>
      </c>
      <c r="L1723">
        <v>0</v>
      </c>
      <c r="M1723" s="1" t="s">
        <v>21</v>
      </c>
      <c r="N1723" s="1" t="s">
        <v>22</v>
      </c>
      <c r="O1723" s="2">
        <v>46223</v>
      </c>
      <c r="P1723" s="2">
        <v>46223</v>
      </c>
      <c r="Q1723">
        <f>_xlfn.XLOOKUP(E1723,CPT!$A$2:$A$13,CPT!$D$2:$D$13)</f>
        <v>1450</v>
      </c>
      <c r="R1723" s="1">
        <f>_xlfn.XLOOKUP(C1723,Contract!$A$2:$A$9,Contract!$B$2:$B$9)</f>
        <v>0.45</v>
      </c>
      <c r="S1723" s="1">
        <f t="shared" si="104"/>
        <v>6525</v>
      </c>
      <c r="T1723" s="1">
        <f t="shared" si="105"/>
        <v>-400.31999999999971</v>
      </c>
      <c r="U1723" s="1" t="str">
        <f t="shared" si="106"/>
        <v>OK</v>
      </c>
      <c r="V1723" s="1" t="str">
        <f>_xlfn.XLOOKUP(C1723,Payers!$A$2:$A$9,Payers!$B$2:$B$9)</f>
        <v>Blue Horizon Commercial</v>
      </c>
      <c r="W1723" s="1" t="str">
        <f t="shared" si="107"/>
        <v>2026-07</v>
      </c>
    </row>
    <row r="1724" spans="1:23">
      <c r="A1724" s="1" t="s">
        <v>3137</v>
      </c>
      <c r="B1724" s="1" t="s">
        <v>3138</v>
      </c>
      <c r="C1724" s="1" t="s">
        <v>76</v>
      </c>
      <c r="D1724" s="1" t="s">
        <v>19</v>
      </c>
      <c r="E1724" s="1" t="s">
        <v>20</v>
      </c>
      <c r="F1724">
        <v>1</v>
      </c>
      <c r="G1724" s="2">
        <v>46177</v>
      </c>
      <c r="H1724" s="2">
        <v>46178</v>
      </c>
      <c r="I1724">
        <v>144.94</v>
      </c>
      <c r="M1724" s="1" t="s">
        <v>32</v>
      </c>
      <c r="N1724" s="1" t="s">
        <v>168</v>
      </c>
      <c r="O1724" s="2">
        <v>46212</v>
      </c>
      <c r="P1724" s="2"/>
      <c r="Q1724">
        <f>_xlfn.XLOOKUP(E1724,CPT!$A$2:$A$13,CPT!$D$2:$D$13)</f>
        <v>145</v>
      </c>
      <c r="R1724" s="1">
        <f>_xlfn.XLOOKUP(C1724,Contract!$A$2:$A$9,Contract!$B$2:$B$9)</f>
        <v>0.43</v>
      </c>
      <c r="S1724" s="1">
        <f t="shared" si="104"/>
        <v>62.35</v>
      </c>
      <c r="T1724" s="1" t="str">
        <f t="shared" si="105"/>
        <v/>
      </c>
      <c r="U1724" s="1" t="str">
        <f t="shared" si="106"/>
        <v/>
      </c>
      <c r="V1724" s="1" t="str">
        <f>_xlfn.XLOOKUP(C1724,Payers!$A$2:$A$9,Payers!$B$2:$B$9)</f>
        <v>Summit Health Commercial</v>
      </c>
      <c r="W1724" s="1" t="str">
        <f t="shared" si="107"/>
        <v>2026-06</v>
      </c>
    </row>
    <row r="1725" spans="1:23">
      <c r="A1725" s="1" t="s">
        <v>3139</v>
      </c>
      <c r="B1725" s="1" t="s">
        <v>1106</v>
      </c>
      <c r="C1725" s="1" t="s">
        <v>36</v>
      </c>
      <c r="D1725" s="1" t="s">
        <v>19</v>
      </c>
      <c r="E1725" s="1" t="s">
        <v>20</v>
      </c>
      <c r="F1725">
        <v>1</v>
      </c>
      <c r="G1725" s="2">
        <v>46067</v>
      </c>
      <c r="H1725" s="2">
        <v>46068</v>
      </c>
      <c r="I1725">
        <v>142.80000000000001</v>
      </c>
      <c r="M1725" s="1" t="s">
        <v>32</v>
      </c>
      <c r="N1725" s="1" t="s">
        <v>98</v>
      </c>
      <c r="O1725" s="2">
        <v>46101</v>
      </c>
      <c r="P1725" s="2"/>
      <c r="Q1725">
        <f>_xlfn.XLOOKUP(E1725,CPT!$A$2:$A$13,CPT!$D$2:$D$13)</f>
        <v>145</v>
      </c>
      <c r="R1725" s="1">
        <f>_xlfn.XLOOKUP(C1725,Contract!$A$2:$A$9,Contract!$B$2:$B$9)</f>
        <v>0.27</v>
      </c>
      <c r="S1725" s="1">
        <f t="shared" si="104"/>
        <v>39.15</v>
      </c>
      <c r="T1725" s="1" t="str">
        <f t="shared" si="105"/>
        <v/>
      </c>
      <c r="U1725" s="1" t="str">
        <f t="shared" si="106"/>
        <v/>
      </c>
      <c r="V1725" s="1" t="str">
        <f>_xlfn.XLOOKUP(C1725,Payers!$A$2:$A$9,Payers!$B$2:$B$9)</f>
        <v>Florida Medicaid</v>
      </c>
      <c r="W1725" s="1" t="str">
        <f t="shared" si="107"/>
        <v>2026-02</v>
      </c>
    </row>
    <row r="1726" spans="1:23">
      <c r="A1726" s="1" t="s">
        <v>3140</v>
      </c>
      <c r="B1726" s="1" t="s">
        <v>3141</v>
      </c>
      <c r="C1726" s="1" t="s">
        <v>25</v>
      </c>
      <c r="D1726" s="1" t="s">
        <v>19</v>
      </c>
      <c r="E1726" s="1" t="s">
        <v>57</v>
      </c>
      <c r="F1726">
        <v>1</v>
      </c>
      <c r="G1726" s="2">
        <v>46084</v>
      </c>
      <c r="H1726" s="2">
        <v>46087</v>
      </c>
      <c r="I1726">
        <v>208.11</v>
      </c>
      <c r="J1726">
        <v>63.65</v>
      </c>
      <c r="K1726">
        <v>50.92</v>
      </c>
      <c r="L1726">
        <v>12.73</v>
      </c>
      <c r="M1726" s="1" t="s">
        <v>21</v>
      </c>
      <c r="N1726" s="1" t="s">
        <v>22</v>
      </c>
      <c r="O1726" s="2">
        <v>46103</v>
      </c>
      <c r="P1726" s="2">
        <v>46103</v>
      </c>
      <c r="Q1726">
        <f>_xlfn.XLOOKUP(E1726,CPT!$A$2:$A$13,CPT!$D$2:$D$13)</f>
        <v>210</v>
      </c>
      <c r="R1726" s="1">
        <f>_xlfn.XLOOKUP(C1726,Contract!$A$2:$A$9,Contract!$B$2:$B$9)</f>
        <v>0.36</v>
      </c>
      <c r="S1726" s="1">
        <f t="shared" si="104"/>
        <v>75.599999999999994</v>
      </c>
      <c r="T1726" s="1">
        <f t="shared" si="105"/>
        <v>11.949999999999996</v>
      </c>
      <c r="U1726" s="1" t="str">
        <f t="shared" si="106"/>
        <v>Underpaid</v>
      </c>
      <c r="V1726" s="1" t="str">
        <f>_xlfn.XLOOKUP(C1726,Payers!$A$2:$A$9,Payers!$B$2:$B$9)</f>
        <v>Medicare Part B</v>
      </c>
      <c r="W1726" s="1" t="str">
        <f t="shared" si="107"/>
        <v>2026-03</v>
      </c>
    </row>
    <row r="1727" spans="1:23">
      <c r="A1727" s="1" t="s">
        <v>3142</v>
      </c>
      <c r="B1727" s="1" t="s">
        <v>1457</v>
      </c>
      <c r="C1727" s="1" t="s">
        <v>25</v>
      </c>
      <c r="D1727" s="1" t="s">
        <v>19</v>
      </c>
      <c r="E1727" s="1" t="s">
        <v>41</v>
      </c>
      <c r="F1727">
        <v>1</v>
      </c>
      <c r="G1727" s="2">
        <v>46018</v>
      </c>
      <c r="H1727" s="2">
        <v>46020</v>
      </c>
      <c r="I1727">
        <v>38.25</v>
      </c>
      <c r="J1727">
        <v>12.22</v>
      </c>
      <c r="K1727">
        <v>9.7799999999999994</v>
      </c>
      <c r="L1727">
        <v>2.44</v>
      </c>
      <c r="M1727" s="1" t="s">
        <v>21</v>
      </c>
      <c r="N1727" s="1" t="s">
        <v>22</v>
      </c>
      <c r="O1727" s="2">
        <v>46029</v>
      </c>
      <c r="P1727" s="2">
        <v>46029</v>
      </c>
      <c r="Q1727">
        <f>_xlfn.XLOOKUP(E1727,CPT!$A$2:$A$13,CPT!$D$2:$D$13)</f>
        <v>38</v>
      </c>
      <c r="R1727" s="1">
        <f>_xlfn.XLOOKUP(C1727,Contract!$A$2:$A$9,Contract!$B$2:$B$9)</f>
        <v>0.36</v>
      </c>
      <c r="S1727" s="1">
        <f t="shared" si="104"/>
        <v>13.68</v>
      </c>
      <c r="T1727" s="1">
        <f t="shared" si="105"/>
        <v>1.4599999999999991</v>
      </c>
      <c r="U1727" s="1" t="str">
        <f t="shared" si="106"/>
        <v>Underpaid</v>
      </c>
      <c r="V1727" s="1" t="str">
        <f>_xlfn.XLOOKUP(C1727,Payers!$A$2:$A$9,Payers!$B$2:$B$9)</f>
        <v>Medicare Part B</v>
      </c>
      <c r="W1727" s="1" t="str">
        <f t="shared" si="107"/>
        <v>2025-12</v>
      </c>
    </row>
    <row r="1728" spans="1:23">
      <c r="A1728" s="1" t="s">
        <v>3143</v>
      </c>
      <c r="B1728" s="1" t="s">
        <v>3144</v>
      </c>
      <c r="C1728" s="1" t="s">
        <v>25</v>
      </c>
      <c r="D1728" s="1" t="s">
        <v>26</v>
      </c>
      <c r="E1728" s="1" t="s">
        <v>27</v>
      </c>
      <c r="F1728">
        <v>1</v>
      </c>
      <c r="G1728" s="2">
        <v>46014</v>
      </c>
      <c r="H1728" s="2">
        <v>46016</v>
      </c>
      <c r="I1728">
        <v>237.75</v>
      </c>
      <c r="J1728">
        <v>83.86</v>
      </c>
      <c r="K1728">
        <v>75.47</v>
      </c>
      <c r="L1728">
        <v>8.39</v>
      </c>
      <c r="M1728" s="1" t="s">
        <v>21</v>
      </c>
      <c r="N1728" s="1" t="s">
        <v>22</v>
      </c>
      <c r="O1728" s="2">
        <v>46027</v>
      </c>
      <c r="P1728" s="2">
        <v>46027</v>
      </c>
      <c r="Q1728">
        <f>_xlfn.XLOOKUP(E1728,CPT!$A$2:$A$13,CPT!$D$2:$D$13)</f>
        <v>240</v>
      </c>
      <c r="R1728" s="1">
        <f>_xlfn.XLOOKUP(C1728,Contract!$A$2:$A$9,Contract!$B$2:$B$9)</f>
        <v>0.36</v>
      </c>
      <c r="S1728" s="1">
        <f t="shared" si="104"/>
        <v>86.4</v>
      </c>
      <c r="T1728" s="1">
        <f t="shared" si="105"/>
        <v>2.5400000000000063</v>
      </c>
      <c r="U1728" s="1" t="str">
        <f t="shared" si="106"/>
        <v>OK</v>
      </c>
      <c r="V1728" s="1" t="str">
        <f>_xlfn.XLOOKUP(C1728,Payers!$A$2:$A$9,Payers!$B$2:$B$9)</f>
        <v>Medicare Part B</v>
      </c>
      <c r="W1728" s="1" t="str">
        <f t="shared" si="107"/>
        <v>2025-12</v>
      </c>
    </row>
    <row r="1729" spans="1:23">
      <c r="A1729" s="1" t="s">
        <v>3145</v>
      </c>
      <c r="B1729" s="1" t="s">
        <v>3146</v>
      </c>
      <c r="C1729" s="1" t="s">
        <v>52</v>
      </c>
      <c r="D1729" s="1" t="s">
        <v>19</v>
      </c>
      <c r="E1729" s="1" t="s">
        <v>20</v>
      </c>
      <c r="F1729">
        <v>1</v>
      </c>
      <c r="G1729" s="2">
        <v>46252</v>
      </c>
      <c r="H1729" s="2">
        <v>46258</v>
      </c>
      <c r="I1729">
        <v>144.78</v>
      </c>
      <c r="J1729">
        <v>70.33</v>
      </c>
      <c r="K1729">
        <v>63.3</v>
      </c>
      <c r="L1729">
        <v>7.03</v>
      </c>
      <c r="M1729" s="1" t="s">
        <v>21</v>
      </c>
      <c r="N1729" s="1" t="s">
        <v>22</v>
      </c>
      <c r="O1729" s="2">
        <v>46285</v>
      </c>
      <c r="P1729" s="2">
        <v>46285</v>
      </c>
      <c r="Q1729">
        <f>_xlfn.XLOOKUP(E1729,CPT!$A$2:$A$13,CPT!$D$2:$D$13)</f>
        <v>145</v>
      </c>
      <c r="R1729" s="1">
        <f>_xlfn.XLOOKUP(C1729,Contract!$A$2:$A$9,Contract!$B$2:$B$9)</f>
        <v>0.47</v>
      </c>
      <c r="S1729" s="1">
        <f t="shared" si="104"/>
        <v>68.150000000000006</v>
      </c>
      <c r="T1729" s="1">
        <f t="shared" si="105"/>
        <v>-2.1799999999999926</v>
      </c>
      <c r="U1729" s="1" t="str">
        <f t="shared" si="106"/>
        <v>OK</v>
      </c>
      <c r="V1729" s="1" t="str">
        <f>_xlfn.XLOOKUP(C1729,Payers!$A$2:$A$9,Payers!$B$2:$B$9)</f>
        <v>Keystone Commercial PPO</v>
      </c>
      <c r="W1729" s="1" t="str">
        <f t="shared" si="107"/>
        <v>2026-08</v>
      </c>
    </row>
    <row r="1730" spans="1:23">
      <c r="A1730" s="1" t="s">
        <v>3147</v>
      </c>
      <c r="B1730" s="1" t="s">
        <v>3148</v>
      </c>
      <c r="C1730" s="1" t="s">
        <v>25</v>
      </c>
      <c r="D1730" s="1" t="s">
        <v>37</v>
      </c>
      <c r="E1730" s="1" t="s">
        <v>57</v>
      </c>
      <c r="F1730">
        <v>1</v>
      </c>
      <c r="G1730" s="2">
        <v>46179</v>
      </c>
      <c r="H1730" s="2">
        <v>46180</v>
      </c>
      <c r="I1730">
        <v>203.97</v>
      </c>
      <c r="J1730">
        <v>72.45</v>
      </c>
      <c r="K1730">
        <v>65.2</v>
      </c>
      <c r="L1730">
        <v>7.25</v>
      </c>
      <c r="M1730" s="1" t="s">
        <v>21</v>
      </c>
      <c r="N1730" s="1" t="s">
        <v>22</v>
      </c>
      <c r="O1730" s="2">
        <v>46195</v>
      </c>
      <c r="P1730" s="2">
        <v>46195</v>
      </c>
      <c r="Q1730">
        <f>_xlfn.XLOOKUP(E1730,CPT!$A$2:$A$13,CPT!$D$2:$D$13)</f>
        <v>210</v>
      </c>
      <c r="R1730" s="1">
        <f>_xlfn.XLOOKUP(C1730,Contract!$A$2:$A$9,Contract!$B$2:$B$9)</f>
        <v>0.36</v>
      </c>
      <c r="S1730" s="1">
        <f t="shared" ref="S1730:S1793" si="108">ROUND(Q1730*F1730*R1730,2)</f>
        <v>75.599999999999994</v>
      </c>
      <c r="T1730" s="1">
        <f t="shared" ref="T1730:T1793" si="109">IF(M1730="Paid",S1730-J1730,"")</f>
        <v>3.1499999999999915</v>
      </c>
      <c r="U1730" s="1" t="str">
        <f t="shared" ref="U1730:U1793" si="110">IF(M1730&lt;&gt;"Paid","",IF(T1730&gt;S1730*0.05,"Underpaid","OK"))</f>
        <v>OK</v>
      </c>
      <c r="V1730" s="1" t="str">
        <f>_xlfn.XLOOKUP(C1730,Payers!$A$2:$A$9,Payers!$B$2:$B$9)</f>
        <v>Medicare Part B</v>
      </c>
      <c r="W1730" s="1" t="str">
        <f t="shared" ref="W1730:W1793" si="111">TEXT(G1730,"yyyy-mm")</f>
        <v>2026-06</v>
      </c>
    </row>
    <row r="1731" spans="1:23">
      <c r="A1731" s="1" t="s">
        <v>3149</v>
      </c>
      <c r="B1731" s="1" t="s">
        <v>623</v>
      </c>
      <c r="C1731" s="1" t="s">
        <v>76</v>
      </c>
      <c r="D1731" s="1" t="s">
        <v>19</v>
      </c>
      <c r="E1731" s="1" t="s">
        <v>88</v>
      </c>
      <c r="F1731">
        <v>1</v>
      </c>
      <c r="G1731" s="2">
        <v>45969</v>
      </c>
      <c r="H1731" s="2">
        <v>45970</v>
      </c>
      <c r="I1731">
        <v>267.08</v>
      </c>
      <c r="J1731">
        <v>114.32</v>
      </c>
      <c r="K1731">
        <v>102.89</v>
      </c>
      <c r="L1731">
        <v>11.43</v>
      </c>
      <c r="M1731" s="1" t="s">
        <v>21</v>
      </c>
      <c r="N1731" s="1" t="s">
        <v>22</v>
      </c>
      <c r="O1731" s="2">
        <v>45991</v>
      </c>
      <c r="P1731" s="2">
        <v>45991</v>
      </c>
      <c r="Q1731">
        <f>_xlfn.XLOOKUP(E1731,CPT!$A$2:$A$13,CPT!$D$2:$D$13)</f>
        <v>260</v>
      </c>
      <c r="R1731" s="1">
        <f>_xlfn.XLOOKUP(C1731,Contract!$A$2:$A$9,Contract!$B$2:$B$9)</f>
        <v>0.43</v>
      </c>
      <c r="S1731" s="1">
        <f t="shared" si="108"/>
        <v>111.8</v>
      </c>
      <c r="T1731" s="1">
        <f t="shared" si="109"/>
        <v>-2.519999999999996</v>
      </c>
      <c r="U1731" s="1" t="str">
        <f t="shared" si="110"/>
        <v>OK</v>
      </c>
      <c r="V1731" s="1" t="str">
        <f>_xlfn.XLOOKUP(C1731,Payers!$A$2:$A$9,Payers!$B$2:$B$9)</f>
        <v>Summit Health Commercial</v>
      </c>
      <c r="W1731" s="1" t="str">
        <f t="shared" si="111"/>
        <v>2025-11</v>
      </c>
    </row>
    <row r="1732" spans="1:23">
      <c r="A1732" s="1" t="s">
        <v>3150</v>
      </c>
      <c r="B1732" s="1" t="s">
        <v>3151</v>
      </c>
      <c r="C1732" s="1" t="s">
        <v>76</v>
      </c>
      <c r="D1732" s="1" t="s">
        <v>19</v>
      </c>
      <c r="E1732" s="1" t="s">
        <v>57</v>
      </c>
      <c r="F1732">
        <v>1</v>
      </c>
      <c r="G1732" s="2">
        <v>46165</v>
      </c>
      <c r="H1732" s="2">
        <v>46169</v>
      </c>
      <c r="I1732">
        <v>210.24</v>
      </c>
      <c r="J1732">
        <v>96.39</v>
      </c>
      <c r="K1732">
        <v>77.11</v>
      </c>
      <c r="L1732">
        <v>19.28</v>
      </c>
      <c r="M1732" s="1" t="s">
        <v>21</v>
      </c>
      <c r="N1732" s="1" t="s">
        <v>22</v>
      </c>
      <c r="O1732" s="2">
        <v>46189</v>
      </c>
      <c r="P1732" s="2">
        <v>46189</v>
      </c>
      <c r="Q1732">
        <f>_xlfn.XLOOKUP(E1732,CPT!$A$2:$A$13,CPT!$D$2:$D$13)</f>
        <v>210</v>
      </c>
      <c r="R1732" s="1">
        <f>_xlfn.XLOOKUP(C1732,Contract!$A$2:$A$9,Contract!$B$2:$B$9)</f>
        <v>0.43</v>
      </c>
      <c r="S1732" s="1">
        <f t="shared" si="108"/>
        <v>90.3</v>
      </c>
      <c r="T1732" s="1">
        <f t="shared" si="109"/>
        <v>-6.0900000000000034</v>
      </c>
      <c r="U1732" s="1" t="str">
        <f t="shared" si="110"/>
        <v>OK</v>
      </c>
      <c r="V1732" s="1" t="str">
        <f>_xlfn.XLOOKUP(C1732,Payers!$A$2:$A$9,Payers!$B$2:$B$9)</f>
        <v>Summit Health Commercial</v>
      </c>
      <c r="W1732" s="1" t="str">
        <f t="shared" si="111"/>
        <v>2026-05</v>
      </c>
    </row>
    <row r="1733" spans="1:23">
      <c r="A1733" s="1" t="s">
        <v>3152</v>
      </c>
      <c r="B1733" s="1" t="s">
        <v>3153</v>
      </c>
      <c r="C1733" s="1" t="s">
        <v>60</v>
      </c>
      <c r="D1733" s="1" t="s">
        <v>37</v>
      </c>
      <c r="E1733" s="1" t="s">
        <v>57</v>
      </c>
      <c r="F1733">
        <v>1</v>
      </c>
      <c r="G1733" s="2">
        <v>46079</v>
      </c>
      <c r="H1733" s="2">
        <v>46086</v>
      </c>
      <c r="I1733">
        <v>207.68</v>
      </c>
      <c r="J1733">
        <v>97.53</v>
      </c>
      <c r="K1733">
        <v>78.02</v>
      </c>
      <c r="L1733">
        <v>19.510000000000002</v>
      </c>
      <c r="M1733" s="1" t="s">
        <v>21</v>
      </c>
      <c r="N1733" s="1" t="s">
        <v>22</v>
      </c>
      <c r="O1733" s="2">
        <v>46111</v>
      </c>
      <c r="P1733" s="2">
        <v>46111</v>
      </c>
      <c r="Q1733">
        <f>_xlfn.XLOOKUP(E1733,CPT!$A$2:$A$13,CPT!$D$2:$D$13)</f>
        <v>210</v>
      </c>
      <c r="R1733" s="1">
        <f>_xlfn.XLOOKUP(C1733,Contract!$A$2:$A$9,Contract!$B$2:$B$9)</f>
        <v>0.45</v>
      </c>
      <c r="S1733" s="1">
        <f t="shared" si="108"/>
        <v>94.5</v>
      </c>
      <c r="T1733" s="1">
        <f t="shared" si="109"/>
        <v>-3.0300000000000011</v>
      </c>
      <c r="U1733" s="1" t="str">
        <f t="shared" si="110"/>
        <v>OK</v>
      </c>
      <c r="V1733" s="1" t="str">
        <f>_xlfn.XLOOKUP(C1733,Payers!$A$2:$A$9,Payers!$B$2:$B$9)</f>
        <v>Blue Horizon Commercial</v>
      </c>
      <c r="W1733" s="1" t="str">
        <f t="shared" si="111"/>
        <v>2026-02</v>
      </c>
    </row>
    <row r="1734" spans="1:23">
      <c r="A1734" s="1" t="s">
        <v>3154</v>
      </c>
      <c r="B1734" s="1" t="s">
        <v>3155</v>
      </c>
      <c r="C1734" s="1" t="s">
        <v>60</v>
      </c>
      <c r="D1734" s="1" t="s">
        <v>26</v>
      </c>
      <c r="E1734" s="1" t="s">
        <v>57</v>
      </c>
      <c r="F1734">
        <v>1</v>
      </c>
      <c r="G1734" s="2">
        <v>45947</v>
      </c>
      <c r="H1734" s="2">
        <v>45948</v>
      </c>
      <c r="I1734">
        <v>205.77</v>
      </c>
      <c r="J1734">
        <v>89.62</v>
      </c>
      <c r="K1734">
        <v>89.62</v>
      </c>
      <c r="L1734">
        <v>0</v>
      </c>
      <c r="M1734" s="1" t="s">
        <v>21</v>
      </c>
      <c r="N1734" s="1" t="s">
        <v>22</v>
      </c>
      <c r="O1734" s="2">
        <v>45973</v>
      </c>
      <c r="P1734" s="2">
        <v>45973</v>
      </c>
      <c r="Q1734">
        <f>_xlfn.XLOOKUP(E1734,CPT!$A$2:$A$13,CPT!$D$2:$D$13)</f>
        <v>210</v>
      </c>
      <c r="R1734" s="1">
        <f>_xlfn.XLOOKUP(C1734,Contract!$A$2:$A$9,Contract!$B$2:$B$9)</f>
        <v>0.45</v>
      </c>
      <c r="S1734" s="1">
        <f t="shared" si="108"/>
        <v>94.5</v>
      </c>
      <c r="T1734" s="1">
        <f t="shared" si="109"/>
        <v>4.8799999999999955</v>
      </c>
      <c r="U1734" s="1" t="str">
        <f t="shared" si="110"/>
        <v>Underpaid</v>
      </c>
      <c r="V1734" s="1" t="str">
        <f>_xlfn.XLOOKUP(C1734,Payers!$A$2:$A$9,Payers!$B$2:$B$9)</f>
        <v>Blue Horizon Commercial</v>
      </c>
      <c r="W1734" s="1" t="str">
        <f t="shared" si="111"/>
        <v>2025-10</v>
      </c>
    </row>
    <row r="1735" spans="1:23">
      <c r="A1735" s="1" t="s">
        <v>3156</v>
      </c>
      <c r="B1735" s="1" t="s">
        <v>3157</v>
      </c>
      <c r="C1735" s="1" t="s">
        <v>76</v>
      </c>
      <c r="D1735" s="1" t="s">
        <v>30</v>
      </c>
      <c r="E1735" s="1" t="s">
        <v>31</v>
      </c>
      <c r="F1735">
        <v>1</v>
      </c>
      <c r="G1735" s="2">
        <v>46060</v>
      </c>
      <c r="H1735" s="2">
        <v>46189</v>
      </c>
      <c r="I1735">
        <v>62.07</v>
      </c>
      <c r="M1735" s="1" t="s">
        <v>32</v>
      </c>
      <c r="N1735" s="1" t="s">
        <v>137</v>
      </c>
      <c r="O1735" s="2">
        <v>46233</v>
      </c>
      <c r="P1735" s="2"/>
      <c r="Q1735">
        <f>_xlfn.XLOOKUP(E1735,CPT!$A$2:$A$13,CPT!$D$2:$D$13)</f>
        <v>62</v>
      </c>
      <c r="R1735" s="1">
        <f>_xlfn.XLOOKUP(C1735,Contract!$A$2:$A$9,Contract!$B$2:$B$9)</f>
        <v>0.43</v>
      </c>
      <c r="S1735" s="1">
        <f t="shared" si="108"/>
        <v>26.66</v>
      </c>
      <c r="T1735" s="1" t="str">
        <f t="shared" si="109"/>
        <v/>
      </c>
      <c r="U1735" s="1" t="str">
        <f t="shared" si="110"/>
        <v/>
      </c>
      <c r="V1735" s="1" t="str">
        <f>_xlfn.XLOOKUP(C1735,Payers!$A$2:$A$9,Payers!$B$2:$B$9)</f>
        <v>Summit Health Commercial</v>
      </c>
      <c r="W1735" s="1" t="str">
        <f t="shared" si="111"/>
        <v>2026-02</v>
      </c>
    </row>
    <row r="1736" spans="1:23">
      <c r="A1736" s="1" t="s">
        <v>3158</v>
      </c>
      <c r="B1736" s="1" t="s">
        <v>3159</v>
      </c>
      <c r="C1736" s="1" t="s">
        <v>52</v>
      </c>
      <c r="D1736" s="1" t="s">
        <v>30</v>
      </c>
      <c r="E1736" s="1" t="s">
        <v>91</v>
      </c>
      <c r="F1736">
        <v>3</v>
      </c>
      <c r="G1736" s="2">
        <v>46272</v>
      </c>
      <c r="H1736" s="2">
        <v>46276</v>
      </c>
      <c r="I1736">
        <v>174.53</v>
      </c>
      <c r="M1736" s="1" t="s">
        <v>69</v>
      </c>
      <c r="N1736" s="1" t="s">
        <v>22</v>
      </c>
      <c r="O1736" s="2"/>
      <c r="P1736" s="2"/>
      <c r="Q1736">
        <f>_xlfn.XLOOKUP(E1736,CPT!$A$2:$A$13,CPT!$D$2:$D$13)</f>
        <v>58</v>
      </c>
      <c r="R1736" s="1">
        <f>_xlfn.XLOOKUP(C1736,Contract!$A$2:$A$9,Contract!$B$2:$B$9)</f>
        <v>0.47</v>
      </c>
      <c r="S1736" s="1">
        <f t="shared" si="108"/>
        <v>81.78</v>
      </c>
      <c r="T1736" s="1" t="str">
        <f t="shared" si="109"/>
        <v/>
      </c>
      <c r="U1736" s="1" t="str">
        <f t="shared" si="110"/>
        <v/>
      </c>
      <c r="V1736" s="1" t="str">
        <f>_xlfn.XLOOKUP(C1736,Payers!$A$2:$A$9,Payers!$B$2:$B$9)</f>
        <v>Keystone Commercial PPO</v>
      </c>
      <c r="W1736" s="1" t="str">
        <f t="shared" si="111"/>
        <v>2026-09</v>
      </c>
    </row>
    <row r="1737" spans="1:23">
      <c r="A1737" s="1" t="s">
        <v>3160</v>
      </c>
      <c r="B1737" s="1" t="s">
        <v>1369</v>
      </c>
      <c r="C1737" s="1" t="s">
        <v>60</v>
      </c>
      <c r="D1737" s="1" t="s">
        <v>30</v>
      </c>
      <c r="E1737" s="1" t="s">
        <v>31</v>
      </c>
      <c r="F1737">
        <v>1</v>
      </c>
      <c r="G1737" s="2">
        <v>46159</v>
      </c>
      <c r="H1737" s="2">
        <v>46160</v>
      </c>
      <c r="I1737">
        <v>63.54</v>
      </c>
      <c r="J1737">
        <v>30.55</v>
      </c>
      <c r="K1737">
        <v>24.44</v>
      </c>
      <c r="L1737">
        <v>6.11</v>
      </c>
      <c r="M1737" s="1" t="s">
        <v>21</v>
      </c>
      <c r="N1737" s="1" t="s">
        <v>22</v>
      </c>
      <c r="O1737" s="2">
        <v>46187</v>
      </c>
      <c r="P1737" s="2">
        <v>46187</v>
      </c>
      <c r="Q1737">
        <f>_xlfn.XLOOKUP(E1737,CPT!$A$2:$A$13,CPT!$D$2:$D$13)</f>
        <v>62</v>
      </c>
      <c r="R1737" s="1">
        <f>_xlfn.XLOOKUP(C1737,Contract!$A$2:$A$9,Contract!$B$2:$B$9)</f>
        <v>0.45</v>
      </c>
      <c r="S1737" s="1">
        <f t="shared" si="108"/>
        <v>27.9</v>
      </c>
      <c r="T1737" s="1">
        <f t="shared" si="109"/>
        <v>-2.6500000000000021</v>
      </c>
      <c r="U1737" s="1" t="str">
        <f t="shared" si="110"/>
        <v>OK</v>
      </c>
      <c r="V1737" s="1" t="str">
        <f>_xlfn.XLOOKUP(C1737,Payers!$A$2:$A$9,Payers!$B$2:$B$9)</f>
        <v>Blue Horizon Commercial</v>
      </c>
      <c r="W1737" s="1" t="str">
        <f t="shared" si="111"/>
        <v>2026-05</v>
      </c>
    </row>
    <row r="1738" spans="1:23">
      <c r="A1738" s="1" t="s">
        <v>3161</v>
      </c>
      <c r="B1738" s="1" t="s">
        <v>1997</v>
      </c>
      <c r="C1738" s="1" t="s">
        <v>25</v>
      </c>
      <c r="D1738" s="1" t="s">
        <v>19</v>
      </c>
      <c r="E1738" s="1" t="s">
        <v>88</v>
      </c>
      <c r="F1738">
        <v>1</v>
      </c>
      <c r="G1738" s="2">
        <v>45939</v>
      </c>
      <c r="H1738" s="2">
        <v>45952</v>
      </c>
      <c r="I1738">
        <v>266.41000000000003</v>
      </c>
      <c r="J1738">
        <v>83.89</v>
      </c>
      <c r="K1738">
        <v>67.11</v>
      </c>
      <c r="L1738">
        <v>16.78</v>
      </c>
      <c r="M1738" s="1" t="s">
        <v>21</v>
      </c>
      <c r="N1738" s="1" t="s">
        <v>22</v>
      </c>
      <c r="O1738" s="2">
        <v>45969</v>
      </c>
      <c r="P1738" s="2">
        <v>45969</v>
      </c>
      <c r="Q1738">
        <f>_xlfn.XLOOKUP(E1738,CPT!$A$2:$A$13,CPT!$D$2:$D$13)</f>
        <v>260</v>
      </c>
      <c r="R1738" s="1">
        <f>_xlfn.XLOOKUP(C1738,Contract!$A$2:$A$9,Contract!$B$2:$B$9)</f>
        <v>0.36</v>
      </c>
      <c r="S1738" s="1">
        <f t="shared" si="108"/>
        <v>93.6</v>
      </c>
      <c r="T1738" s="1">
        <f t="shared" si="109"/>
        <v>9.7099999999999937</v>
      </c>
      <c r="U1738" s="1" t="str">
        <f t="shared" si="110"/>
        <v>Underpaid</v>
      </c>
      <c r="V1738" s="1" t="str">
        <f>_xlfn.XLOOKUP(C1738,Payers!$A$2:$A$9,Payers!$B$2:$B$9)</f>
        <v>Medicare Part B</v>
      </c>
      <c r="W1738" s="1" t="str">
        <f t="shared" si="111"/>
        <v>2025-10</v>
      </c>
    </row>
    <row r="1739" spans="1:23">
      <c r="A1739" s="1" t="s">
        <v>3162</v>
      </c>
      <c r="B1739" s="1" t="s">
        <v>219</v>
      </c>
      <c r="C1739" s="1" t="s">
        <v>52</v>
      </c>
      <c r="D1739" s="1" t="s">
        <v>37</v>
      </c>
      <c r="E1739" s="1" t="s">
        <v>48</v>
      </c>
      <c r="F1739">
        <v>1</v>
      </c>
      <c r="G1739" s="2">
        <v>46222</v>
      </c>
      <c r="H1739" s="2">
        <v>46228</v>
      </c>
      <c r="I1739">
        <v>408.71</v>
      </c>
      <c r="J1739">
        <v>217.88</v>
      </c>
      <c r="K1739">
        <v>217.88</v>
      </c>
      <c r="L1739">
        <v>0</v>
      </c>
      <c r="M1739" s="1" t="s">
        <v>21</v>
      </c>
      <c r="N1739" s="1" t="s">
        <v>22</v>
      </c>
      <c r="O1739" s="2">
        <v>46290</v>
      </c>
      <c r="P1739" s="2">
        <v>46290</v>
      </c>
      <c r="Q1739">
        <f>_xlfn.XLOOKUP(E1739,CPT!$A$2:$A$13,CPT!$D$2:$D$13)</f>
        <v>420</v>
      </c>
      <c r="R1739" s="1">
        <f>_xlfn.XLOOKUP(C1739,Contract!$A$2:$A$9,Contract!$B$2:$B$9)</f>
        <v>0.47</v>
      </c>
      <c r="S1739" s="1">
        <f t="shared" si="108"/>
        <v>197.4</v>
      </c>
      <c r="T1739" s="1">
        <f t="shared" si="109"/>
        <v>-20.47999999999999</v>
      </c>
      <c r="U1739" s="1" t="str">
        <f t="shared" si="110"/>
        <v>OK</v>
      </c>
      <c r="V1739" s="1" t="str">
        <f>_xlfn.XLOOKUP(C1739,Payers!$A$2:$A$9,Payers!$B$2:$B$9)</f>
        <v>Keystone Commercial PPO</v>
      </c>
      <c r="W1739" s="1" t="str">
        <f t="shared" si="111"/>
        <v>2026-07</v>
      </c>
    </row>
    <row r="1740" spans="1:23">
      <c r="A1740" s="1" t="s">
        <v>3163</v>
      </c>
      <c r="B1740" s="1" t="s">
        <v>3164</v>
      </c>
      <c r="C1740" s="1" t="s">
        <v>47</v>
      </c>
      <c r="D1740" s="1" t="s">
        <v>19</v>
      </c>
      <c r="E1740" s="1" t="s">
        <v>41</v>
      </c>
      <c r="F1740">
        <v>1</v>
      </c>
      <c r="G1740" s="2">
        <v>45948</v>
      </c>
      <c r="H1740" s="2">
        <v>45952</v>
      </c>
      <c r="I1740">
        <v>36.93</v>
      </c>
      <c r="M1740" s="1" t="s">
        <v>32</v>
      </c>
      <c r="N1740" s="1" t="s">
        <v>124</v>
      </c>
      <c r="O1740" s="2">
        <v>46026</v>
      </c>
      <c r="P1740" s="2"/>
      <c r="Q1740">
        <f>_xlfn.XLOOKUP(E1740,CPT!$A$2:$A$13,CPT!$D$2:$D$13)</f>
        <v>38</v>
      </c>
      <c r="R1740" s="1">
        <f>_xlfn.XLOOKUP(C1740,Contract!$A$2:$A$9,Contract!$B$2:$B$9)</f>
        <v>0.28000000000000003</v>
      </c>
      <c r="S1740" s="1">
        <f t="shared" si="108"/>
        <v>10.64</v>
      </c>
      <c r="T1740" s="1" t="str">
        <f t="shared" si="109"/>
        <v/>
      </c>
      <c r="U1740" s="1" t="str">
        <f t="shared" si="110"/>
        <v/>
      </c>
      <c r="V1740" s="1" t="str">
        <f>_xlfn.XLOOKUP(C1740,Payers!$A$2:$A$9,Payers!$B$2:$B$9)</f>
        <v>Coastal Medicaid MCO</v>
      </c>
      <c r="W1740" s="1" t="str">
        <f t="shared" si="111"/>
        <v>2025-10</v>
      </c>
    </row>
    <row r="1741" spans="1:23">
      <c r="A1741" s="1" t="s">
        <v>3165</v>
      </c>
      <c r="B1741" s="1" t="s">
        <v>3166</v>
      </c>
      <c r="C1741" s="1" t="s">
        <v>52</v>
      </c>
      <c r="D1741" s="1" t="s">
        <v>30</v>
      </c>
      <c r="E1741" s="1" t="s">
        <v>91</v>
      </c>
      <c r="F1741">
        <v>1</v>
      </c>
      <c r="G1741" s="2">
        <v>46271</v>
      </c>
      <c r="H1741" s="2">
        <v>46275</v>
      </c>
      <c r="I1741">
        <v>59.58</v>
      </c>
      <c r="M1741" s="1" t="s">
        <v>69</v>
      </c>
      <c r="N1741" s="1" t="s">
        <v>22</v>
      </c>
      <c r="O1741" s="2"/>
      <c r="P1741" s="2"/>
      <c r="Q1741">
        <f>_xlfn.XLOOKUP(E1741,CPT!$A$2:$A$13,CPT!$D$2:$D$13)</f>
        <v>58</v>
      </c>
      <c r="R1741" s="1">
        <f>_xlfn.XLOOKUP(C1741,Contract!$A$2:$A$9,Contract!$B$2:$B$9)</f>
        <v>0.47</v>
      </c>
      <c r="S1741" s="1">
        <f t="shared" si="108"/>
        <v>27.26</v>
      </c>
      <c r="T1741" s="1" t="str">
        <f t="shared" si="109"/>
        <v/>
      </c>
      <c r="U1741" s="1" t="str">
        <f t="shared" si="110"/>
        <v/>
      </c>
      <c r="V1741" s="1" t="str">
        <f>_xlfn.XLOOKUP(C1741,Payers!$A$2:$A$9,Payers!$B$2:$B$9)</f>
        <v>Keystone Commercial PPO</v>
      </c>
      <c r="W1741" s="1" t="str">
        <f t="shared" si="111"/>
        <v>2026-09</v>
      </c>
    </row>
    <row r="1742" spans="1:23">
      <c r="A1742" s="1" t="s">
        <v>3167</v>
      </c>
      <c r="B1742" s="1" t="s">
        <v>1020</v>
      </c>
      <c r="C1742" s="1" t="s">
        <v>60</v>
      </c>
      <c r="D1742" s="1" t="s">
        <v>30</v>
      </c>
      <c r="E1742" s="1" t="s">
        <v>91</v>
      </c>
      <c r="F1742">
        <v>1</v>
      </c>
      <c r="G1742" s="2">
        <v>45995</v>
      </c>
      <c r="H1742" s="2">
        <v>45997</v>
      </c>
      <c r="I1742">
        <v>57.39</v>
      </c>
      <c r="J1742">
        <v>22.91</v>
      </c>
      <c r="K1742">
        <v>22.91</v>
      </c>
      <c r="L1742">
        <v>0</v>
      </c>
      <c r="M1742" s="1" t="s">
        <v>21</v>
      </c>
      <c r="N1742" s="1" t="s">
        <v>22</v>
      </c>
      <c r="O1742" s="2">
        <v>46038</v>
      </c>
      <c r="P1742" s="2">
        <v>46038</v>
      </c>
      <c r="Q1742">
        <f>_xlfn.XLOOKUP(E1742,CPT!$A$2:$A$13,CPT!$D$2:$D$13)</f>
        <v>58</v>
      </c>
      <c r="R1742" s="1">
        <f>_xlfn.XLOOKUP(C1742,Contract!$A$2:$A$9,Contract!$B$2:$B$9)</f>
        <v>0.45</v>
      </c>
      <c r="S1742" s="1">
        <f t="shared" si="108"/>
        <v>26.1</v>
      </c>
      <c r="T1742" s="1">
        <f t="shared" si="109"/>
        <v>3.1900000000000013</v>
      </c>
      <c r="U1742" s="1" t="str">
        <f t="shared" si="110"/>
        <v>Underpaid</v>
      </c>
      <c r="V1742" s="1" t="str">
        <f>_xlfn.XLOOKUP(C1742,Payers!$A$2:$A$9,Payers!$B$2:$B$9)</f>
        <v>Blue Horizon Commercial</v>
      </c>
      <c r="W1742" s="1" t="str">
        <f t="shared" si="111"/>
        <v>2025-12</v>
      </c>
    </row>
    <row r="1743" spans="1:23">
      <c r="A1743" s="1" t="s">
        <v>3168</v>
      </c>
      <c r="B1743" s="1" t="s">
        <v>1654</v>
      </c>
      <c r="C1743" s="1" t="s">
        <v>76</v>
      </c>
      <c r="D1743" s="1" t="s">
        <v>26</v>
      </c>
      <c r="E1743" s="1" t="s">
        <v>88</v>
      </c>
      <c r="F1743">
        <v>1</v>
      </c>
      <c r="G1743" s="2">
        <v>46041</v>
      </c>
      <c r="H1743" s="2">
        <v>46046</v>
      </c>
      <c r="I1743">
        <v>266.74</v>
      </c>
      <c r="J1743">
        <v>124.43</v>
      </c>
      <c r="K1743">
        <v>111.99</v>
      </c>
      <c r="L1743">
        <v>12.44</v>
      </c>
      <c r="M1743" s="1" t="s">
        <v>21</v>
      </c>
      <c r="N1743" s="1" t="s">
        <v>22</v>
      </c>
      <c r="O1743" s="2">
        <v>46071</v>
      </c>
      <c r="P1743" s="2">
        <v>46071</v>
      </c>
      <c r="Q1743">
        <f>_xlfn.XLOOKUP(E1743,CPT!$A$2:$A$13,CPT!$D$2:$D$13)</f>
        <v>260</v>
      </c>
      <c r="R1743" s="1">
        <f>_xlfn.XLOOKUP(C1743,Contract!$A$2:$A$9,Contract!$B$2:$B$9)</f>
        <v>0.43</v>
      </c>
      <c r="S1743" s="1">
        <f t="shared" si="108"/>
        <v>111.8</v>
      </c>
      <c r="T1743" s="1">
        <f t="shared" si="109"/>
        <v>-12.63000000000001</v>
      </c>
      <c r="U1743" s="1" t="str">
        <f t="shared" si="110"/>
        <v>OK</v>
      </c>
      <c r="V1743" s="1" t="str">
        <f>_xlfn.XLOOKUP(C1743,Payers!$A$2:$A$9,Payers!$B$2:$B$9)</f>
        <v>Summit Health Commercial</v>
      </c>
      <c r="W1743" s="1" t="str">
        <f t="shared" si="111"/>
        <v>2026-01</v>
      </c>
    </row>
    <row r="1744" spans="1:23">
      <c r="A1744" s="1" t="s">
        <v>3169</v>
      </c>
      <c r="B1744" s="1" t="s">
        <v>3170</v>
      </c>
      <c r="C1744" s="1" t="s">
        <v>76</v>
      </c>
      <c r="D1744" s="1" t="s">
        <v>26</v>
      </c>
      <c r="E1744" s="1" t="s">
        <v>113</v>
      </c>
      <c r="F1744">
        <v>1</v>
      </c>
      <c r="G1744" s="2">
        <v>46078</v>
      </c>
      <c r="H1744" s="2">
        <v>46080</v>
      </c>
      <c r="I1744">
        <v>1061.6400000000001</v>
      </c>
      <c r="J1744">
        <v>468.08</v>
      </c>
      <c r="K1744">
        <v>468.08</v>
      </c>
      <c r="L1744">
        <v>0</v>
      </c>
      <c r="M1744" s="1" t="s">
        <v>21</v>
      </c>
      <c r="N1744" s="1" t="s">
        <v>22</v>
      </c>
      <c r="O1744" s="2">
        <v>46110</v>
      </c>
      <c r="P1744" s="2">
        <v>46110</v>
      </c>
      <c r="Q1744">
        <f>_xlfn.XLOOKUP(E1744,CPT!$A$2:$A$13,CPT!$D$2:$D$13)</f>
        <v>1050</v>
      </c>
      <c r="R1744" s="1">
        <f>_xlfn.XLOOKUP(C1744,Contract!$A$2:$A$9,Contract!$B$2:$B$9)</f>
        <v>0.43</v>
      </c>
      <c r="S1744" s="1">
        <f t="shared" si="108"/>
        <v>451.5</v>
      </c>
      <c r="T1744" s="1">
        <f t="shared" si="109"/>
        <v>-16.579999999999984</v>
      </c>
      <c r="U1744" s="1" t="str">
        <f t="shared" si="110"/>
        <v>OK</v>
      </c>
      <c r="V1744" s="1" t="str">
        <f>_xlfn.XLOOKUP(C1744,Payers!$A$2:$A$9,Payers!$B$2:$B$9)</f>
        <v>Summit Health Commercial</v>
      </c>
      <c r="W1744" s="1" t="str">
        <f t="shared" si="111"/>
        <v>2026-02</v>
      </c>
    </row>
    <row r="1745" spans="1:23">
      <c r="A1745" s="1" t="s">
        <v>3171</v>
      </c>
      <c r="B1745" s="1" t="s">
        <v>1776</v>
      </c>
      <c r="C1745" s="1" t="s">
        <v>52</v>
      </c>
      <c r="D1745" s="1" t="s">
        <v>26</v>
      </c>
      <c r="E1745" s="1" t="s">
        <v>88</v>
      </c>
      <c r="F1745">
        <v>1</v>
      </c>
      <c r="G1745" s="2">
        <v>45972</v>
      </c>
      <c r="H1745" s="2">
        <v>45974</v>
      </c>
      <c r="I1745">
        <v>267.32</v>
      </c>
      <c r="J1745">
        <v>115.23</v>
      </c>
      <c r="K1745">
        <v>115.23</v>
      </c>
      <c r="L1745">
        <v>0</v>
      </c>
      <c r="M1745" s="1" t="s">
        <v>21</v>
      </c>
      <c r="N1745" s="1" t="s">
        <v>22</v>
      </c>
      <c r="O1745" s="2">
        <v>46024</v>
      </c>
      <c r="P1745" s="2">
        <v>46024</v>
      </c>
      <c r="Q1745">
        <f>_xlfn.XLOOKUP(E1745,CPT!$A$2:$A$13,CPT!$D$2:$D$13)</f>
        <v>260</v>
      </c>
      <c r="R1745" s="1">
        <f>_xlfn.XLOOKUP(C1745,Contract!$A$2:$A$9,Contract!$B$2:$B$9)</f>
        <v>0.47</v>
      </c>
      <c r="S1745" s="1">
        <f t="shared" si="108"/>
        <v>122.2</v>
      </c>
      <c r="T1745" s="1">
        <f t="shared" si="109"/>
        <v>6.9699999999999989</v>
      </c>
      <c r="U1745" s="1" t="str">
        <f t="shared" si="110"/>
        <v>Underpaid</v>
      </c>
      <c r="V1745" s="1" t="str">
        <f>_xlfn.XLOOKUP(C1745,Payers!$A$2:$A$9,Payers!$B$2:$B$9)</f>
        <v>Keystone Commercial PPO</v>
      </c>
      <c r="W1745" s="1" t="str">
        <f t="shared" si="111"/>
        <v>2025-11</v>
      </c>
    </row>
    <row r="1746" spans="1:23">
      <c r="A1746" s="1" t="s">
        <v>3172</v>
      </c>
      <c r="B1746" s="1" t="s">
        <v>3173</v>
      </c>
      <c r="C1746" s="1" t="s">
        <v>60</v>
      </c>
      <c r="D1746" s="1" t="s">
        <v>30</v>
      </c>
      <c r="E1746" s="1" t="s">
        <v>20</v>
      </c>
      <c r="F1746">
        <v>1</v>
      </c>
      <c r="G1746" s="2">
        <v>46058</v>
      </c>
      <c r="H1746" s="2">
        <v>46063</v>
      </c>
      <c r="I1746">
        <v>144.08000000000001</v>
      </c>
      <c r="J1746">
        <v>56.12</v>
      </c>
      <c r="K1746">
        <v>56.12</v>
      </c>
      <c r="L1746">
        <v>0</v>
      </c>
      <c r="M1746" s="1" t="s">
        <v>21</v>
      </c>
      <c r="N1746" s="1" t="s">
        <v>22</v>
      </c>
      <c r="O1746" s="2">
        <v>46089</v>
      </c>
      <c r="P1746" s="2">
        <v>46089</v>
      </c>
      <c r="Q1746">
        <f>_xlfn.XLOOKUP(E1746,CPT!$A$2:$A$13,CPT!$D$2:$D$13)</f>
        <v>145</v>
      </c>
      <c r="R1746" s="1">
        <f>_xlfn.XLOOKUP(C1746,Contract!$A$2:$A$9,Contract!$B$2:$B$9)</f>
        <v>0.45</v>
      </c>
      <c r="S1746" s="1">
        <f t="shared" si="108"/>
        <v>65.25</v>
      </c>
      <c r="T1746" s="1">
        <f t="shared" si="109"/>
        <v>9.1300000000000026</v>
      </c>
      <c r="U1746" s="1" t="str">
        <f t="shared" si="110"/>
        <v>Underpaid</v>
      </c>
      <c r="V1746" s="1" t="str">
        <f>_xlfn.XLOOKUP(C1746,Payers!$A$2:$A$9,Payers!$B$2:$B$9)</f>
        <v>Blue Horizon Commercial</v>
      </c>
      <c r="W1746" s="1" t="str">
        <f t="shared" si="111"/>
        <v>2026-02</v>
      </c>
    </row>
    <row r="1747" spans="1:23">
      <c r="A1747" s="1" t="s">
        <v>3174</v>
      </c>
      <c r="B1747" s="1" t="s">
        <v>2154</v>
      </c>
      <c r="C1747" s="1" t="s">
        <v>60</v>
      </c>
      <c r="D1747" s="1" t="s">
        <v>30</v>
      </c>
      <c r="E1747" s="1" t="s">
        <v>91</v>
      </c>
      <c r="F1747">
        <v>3</v>
      </c>
      <c r="G1747" s="2">
        <v>46069</v>
      </c>
      <c r="H1747" s="2">
        <v>46075</v>
      </c>
      <c r="I1747">
        <v>175.49</v>
      </c>
      <c r="J1747">
        <v>84.19</v>
      </c>
      <c r="K1747">
        <v>75.77</v>
      </c>
      <c r="L1747">
        <v>8.42</v>
      </c>
      <c r="M1747" s="1" t="s">
        <v>21</v>
      </c>
      <c r="N1747" s="1" t="s">
        <v>22</v>
      </c>
      <c r="O1747" s="2">
        <v>46093</v>
      </c>
      <c r="P1747" s="2">
        <v>46093</v>
      </c>
      <c r="Q1747">
        <f>_xlfn.XLOOKUP(E1747,CPT!$A$2:$A$13,CPT!$D$2:$D$13)</f>
        <v>58</v>
      </c>
      <c r="R1747" s="1">
        <f>_xlfn.XLOOKUP(C1747,Contract!$A$2:$A$9,Contract!$B$2:$B$9)</f>
        <v>0.45</v>
      </c>
      <c r="S1747" s="1">
        <f t="shared" si="108"/>
        <v>78.3</v>
      </c>
      <c r="T1747" s="1">
        <f t="shared" si="109"/>
        <v>-5.8900000000000006</v>
      </c>
      <c r="U1747" s="1" t="str">
        <f t="shared" si="110"/>
        <v>OK</v>
      </c>
      <c r="V1747" s="1" t="str">
        <f>_xlfn.XLOOKUP(C1747,Payers!$A$2:$A$9,Payers!$B$2:$B$9)</f>
        <v>Blue Horizon Commercial</v>
      </c>
      <c r="W1747" s="1" t="str">
        <f t="shared" si="111"/>
        <v>2026-02</v>
      </c>
    </row>
    <row r="1748" spans="1:23">
      <c r="A1748" s="1" t="s">
        <v>3175</v>
      </c>
      <c r="B1748" s="1" t="s">
        <v>3176</v>
      </c>
      <c r="C1748" s="1" t="s">
        <v>25</v>
      </c>
      <c r="D1748" s="1" t="s">
        <v>26</v>
      </c>
      <c r="E1748" s="1" t="s">
        <v>57</v>
      </c>
      <c r="F1748">
        <v>1</v>
      </c>
      <c r="G1748" s="2">
        <v>46087</v>
      </c>
      <c r="H1748" s="2">
        <v>46095</v>
      </c>
      <c r="I1748">
        <v>205.85</v>
      </c>
      <c r="J1748">
        <v>82.39</v>
      </c>
      <c r="K1748">
        <v>74.150000000000006</v>
      </c>
      <c r="L1748">
        <v>8.24</v>
      </c>
      <c r="M1748" s="1" t="s">
        <v>21</v>
      </c>
      <c r="N1748" s="1" t="s">
        <v>22</v>
      </c>
      <c r="O1748" s="2">
        <v>46115</v>
      </c>
      <c r="P1748" s="2">
        <v>46115</v>
      </c>
      <c r="Q1748">
        <f>_xlfn.XLOOKUP(E1748,CPT!$A$2:$A$13,CPT!$D$2:$D$13)</f>
        <v>210</v>
      </c>
      <c r="R1748" s="1">
        <f>_xlfn.XLOOKUP(C1748,Contract!$A$2:$A$9,Contract!$B$2:$B$9)</f>
        <v>0.36</v>
      </c>
      <c r="S1748" s="1">
        <f t="shared" si="108"/>
        <v>75.599999999999994</v>
      </c>
      <c r="T1748" s="1">
        <f t="shared" si="109"/>
        <v>-6.7900000000000063</v>
      </c>
      <c r="U1748" s="1" t="str">
        <f t="shared" si="110"/>
        <v>OK</v>
      </c>
      <c r="V1748" s="1" t="str">
        <f>_xlfn.XLOOKUP(C1748,Payers!$A$2:$A$9,Payers!$B$2:$B$9)</f>
        <v>Medicare Part B</v>
      </c>
      <c r="W1748" s="1" t="str">
        <f t="shared" si="111"/>
        <v>2026-03</v>
      </c>
    </row>
    <row r="1749" spans="1:23">
      <c r="A1749" s="1" t="s">
        <v>3177</v>
      </c>
      <c r="B1749" s="1" t="s">
        <v>3178</v>
      </c>
      <c r="C1749" s="1" t="s">
        <v>52</v>
      </c>
      <c r="D1749" s="1" t="s">
        <v>19</v>
      </c>
      <c r="E1749" s="1" t="s">
        <v>20</v>
      </c>
      <c r="F1749">
        <v>1</v>
      </c>
      <c r="G1749" s="2">
        <v>45959</v>
      </c>
      <c r="H1749" s="2">
        <v>45960</v>
      </c>
      <c r="I1749">
        <v>143.57</v>
      </c>
      <c r="J1749">
        <v>58.28</v>
      </c>
      <c r="K1749">
        <v>52.45</v>
      </c>
      <c r="L1749">
        <v>5.83</v>
      </c>
      <c r="M1749" s="1" t="s">
        <v>21</v>
      </c>
      <c r="N1749" s="1" t="s">
        <v>22</v>
      </c>
      <c r="O1749" s="2">
        <v>46008</v>
      </c>
      <c r="P1749" s="2">
        <v>46008</v>
      </c>
      <c r="Q1749">
        <f>_xlfn.XLOOKUP(E1749,CPT!$A$2:$A$13,CPT!$D$2:$D$13)</f>
        <v>145</v>
      </c>
      <c r="R1749" s="1">
        <f>_xlfn.XLOOKUP(C1749,Contract!$A$2:$A$9,Contract!$B$2:$B$9)</f>
        <v>0.47</v>
      </c>
      <c r="S1749" s="1">
        <f t="shared" si="108"/>
        <v>68.150000000000006</v>
      </c>
      <c r="T1749" s="1">
        <f t="shared" si="109"/>
        <v>9.8700000000000045</v>
      </c>
      <c r="U1749" s="1" t="str">
        <f t="shared" si="110"/>
        <v>Underpaid</v>
      </c>
      <c r="V1749" s="1" t="str">
        <f>_xlfn.XLOOKUP(C1749,Payers!$A$2:$A$9,Payers!$B$2:$B$9)</f>
        <v>Keystone Commercial PPO</v>
      </c>
      <c r="W1749" s="1" t="str">
        <f t="shared" si="111"/>
        <v>2025-10</v>
      </c>
    </row>
    <row r="1750" spans="1:23">
      <c r="A1750" s="1" t="s">
        <v>3179</v>
      </c>
      <c r="B1750" s="1" t="s">
        <v>3180</v>
      </c>
      <c r="C1750" s="1" t="s">
        <v>52</v>
      </c>
      <c r="D1750" s="1" t="s">
        <v>26</v>
      </c>
      <c r="E1750" s="1" t="s">
        <v>113</v>
      </c>
      <c r="F1750">
        <v>1</v>
      </c>
      <c r="G1750" s="2">
        <v>46068</v>
      </c>
      <c r="H1750" s="2">
        <v>46074</v>
      </c>
      <c r="I1750">
        <v>1048.21</v>
      </c>
      <c r="J1750">
        <v>473.19</v>
      </c>
      <c r="K1750">
        <v>425.87</v>
      </c>
      <c r="L1750">
        <v>47.32</v>
      </c>
      <c r="M1750" s="1" t="s">
        <v>21</v>
      </c>
      <c r="N1750" s="1" t="s">
        <v>22</v>
      </c>
      <c r="O1750" s="2">
        <v>46128</v>
      </c>
      <c r="P1750" s="2">
        <v>46128</v>
      </c>
      <c r="Q1750">
        <f>_xlfn.XLOOKUP(E1750,CPT!$A$2:$A$13,CPT!$D$2:$D$13)</f>
        <v>1050</v>
      </c>
      <c r="R1750" s="1">
        <f>_xlfn.XLOOKUP(C1750,Contract!$A$2:$A$9,Contract!$B$2:$B$9)</f>
        <v>0.47</v>
      </c>
      <c r="S1750" s="1">
        <f t="shared" si="108"/>
        <v>493.5</v>
      </c>
      <c r="T1750" s="1">
        <f t="shared" si="109"/>
        <v>20.310000000000002</v>
      </c>
      <c r="U1750" s="1" t="str">
        <f t="shared" si="110"/>
        <v>OK</v>
      </c>
      <c r="V1750" s="1" t="str">
        <f>_xlfn.XLOOKUP(C1750,Payers!$A$2:$A$9,Payers!$B$2:$B$9)</f>
        <v>Keystone Commercial PPO</v>
      </c>
      <c r="W1750" s="1" t="str">
        <f t="shared" si="111"/>
        <v>2026-02</v>
      </c>
    </row>
    <row r="1751" spans="1:23">
      <c r="A1751" s="1" t="s">
        <v>3181</v>
      </c>
      <c r="B1751" s="1" t="s">
        <v>3182</v>
      </c>
      <c r="C1751" s="1" t="s">
        <v>60</v>
      </c>
      <c r="D1751" s="1" t="s">
        <v>30</v>
      </c>
      <c r="E1751" s="1" t="s">
        <v>91</v>
      </c>
      <c r="F1751">
        <v>1</v>
      </c>
      <c r="G1751" s="2">
        <v>46228</v>
      </c>
      <c r="H1751" s="2">
        <v>46244</v>
      </c>
      <c r="I1751">
        <v>58.7</v>
      </c>
      <c r="J1751">
        <v>29.27</v>
      </c>
      <c r="K1751">
        <v>29.27</v>
      </c>
      <c r="L1751">
        <v>0</v>
      </c>
      <c r="M1751" s="1" t="s">
        <v>21</v>
      </c>
      <c r="N1751" s="1" t="s">
        <v>22</v>
      </c>
      <c r="O1751" s="2">
        <v>46278</v>
      </c>
      <c r="P1751" s="2">
        <v>46278</v>
      </c>
      <c r="Q1751">
        <f>_xlfn.XLOOKUP(E1751,CPT!$A$2:$A$13,CPT!$D$2:$D$13)</f>
        <v>58</v>
      </c>
      <c r="R1751" s="1">
        <f>_xlfn.XLOOKUP(C1751,Contract!$A$2:$A$9,Contract!$B$2:$B$9)</f>
        <v>0.45</v>
      </c>
      <c r="S1751" s="1">
        <f t="shared" si="108"/>
        <v>26.1</v>
      </c>
      <c r="T1751" s="1">
        <f t="shared" si="109"/>
        <v>-3.1699999999999982</v>
      </c>
      <c r="U1751" s="1" t="str">
        <f t="shared" si="110"/>
        <v>OK</v>
      </c>
      <c r="V1751" s="1" t="str">
        <f>_xlfn.XLOOKUP(C1751,Payers!$A$2:$A$9,Payers!$B$2:$B$9)</f>
        <v>Blue Horizon Commercial</v>
      </c>
      <c r="W1751" s="1" t="str">
        <f t="shared" si="111"/>
        <v>2026-07</v>
      </c>
    </row>
    <row r="1752" spans="1:23">
      <c r="A1752" s="1" t="s">
        <v>3183</v>
      </c>
      <c r="B1752" s="1" t="s">
        <v>3184</v>
      </c>
      <c r="C1752" s="1" t="s">
        <v>52</v>
      </c>
      <c r="D1752" s="1" t="s">
        <v>26</v>
      </c>
      <c r="E1752" s="1" t="s">
        <v>113</v>
      </c>
      <c r="F1752">
        <v>1</v>
      </c>
      <c r="G1752" s="2">
        <v>45946</v>
      </c>
      <c r="H1752" s="2">
        <v>45947</v>
      </c>
      <c r="I1752">
        <v>1032.5</v>
      </c>
      <c r="M1752" s="1" t="s">
        <v>32</v>
      </c>
      <c r="N1752" s="1" t="s">
        <v>315</v>
      </c>
      <c r="O1752" s="2">
        <v>45988</v>
      </c>
      <c r="P1752" s="2"/>
      <c r="Q1752">
        <f>_xlfn.XLOOKUP(E1752,CPT!$A$2:$A$13,CPT!$D$2:$D$13)</f>
        <v>1050</v>
      </c>
      <c r="R1752" s="1">
        <f>_xlfn.XLOOKUP(C1752,Contract!$A$2:$A$9,Contract!$B$2:$B$9)</f>
        <v>0.47</v>
      </c>
      <c r="S1752" s="1">
        <f t="shared" si="108"/>
        <v>493.5</v>
      </c>
      <c r="T1752" s="1" t="str">
        <f t="shared" si="109"/>
        <v/>
      </c>
      <c r="U1752" s="1" t="str">
        <f t="shared" si="110"/>
        <v/>
      </c>
      <c r="V1752" s="1" t="str">
        <f>_xlfn.XLOOKUP(C1752,Payers!$A$2:$A$9,Payers!$B$2:$B$9)</f>
        <v>Keystone Commercial PPO</v>
      </c>
      <c r="W1752" s="1" t="str">
        <f t="shared" si="111"/>
        <v>2025-10</v>
      </c>
    </row>
    <row r="1753" spans="1:23">
      <c r="A1753" s="1" t="s">
        <v>3185</v>
      </c>
      <c r="B1753" s="1" t="s">
        <v>3186</v>
      </c>
      <c r="C1753" s="1" t="s">
        <v>36</v>
      </c>
      <c r="D1753" s="1" t="s">
        <v>19</v>
      </c>
      <c r="E1753" s="1" t="s">
        <v>57</v>
      </c>
      <c r="F1753">
        <v>1</v>
      </c>
      <c r="G1753" s="2">
        <v>46216</v>
      </c>
      <c r="H1753" s="2">
        <v>46223</v>
      </c>
      <c r="I1753">
        <v>204.56</v>
      </c>
      <c r="J1753">
        <v>54.81</v>
      </c>
      <c r="K1753">
        <v>54.81</v>
      </c>
      <c r="L1753">
        <v>0</v>
      </c>
      <c r="M1753" s="1" t="s">
        <v>21</v>
      </c>
      <c r="N1753" s="1" t="s">
        <v>22</v>
      </c>
      <c r="O1753" s="2">
        <v>46254</v>
      </c>
      <c r="P1753" s="2">
        <v>46254</v>
      </c>
      <c r="Q1753">
        <f>_xlfn.XLOOKUP(E1753,CPT!$A$2:$A$13,CPT!$D$2:$D$13)</f>
        <v>210</v>
      </c>
      <c r="R1753" s="1">
        <f>_xlfn.XLOOKUP(C1753,Contract!$A$2:$A$9,Contract!$B$2:$B$9)</f>
        <v>0.27</v>
      </c>
      <c r="S1753" s="1">
        <f t="shared" si="108"/>
        <v>56.7</v>
      </c>
      <c r="T1753" s="1">
        <f t="shared" si="109"/>
        <v>1.8900000000000006</v>
      </c>
      <c r="U1753" s="1" t="str">
        <f t="shared" si="110"/>
        <v>OK</v>
      </c>
      <c r="V1753" s="1" t="str">
        <f>_xlfn.XLOOKUP(C1753,Payers!$A$2:$A$9,Payers!$B$2:$B$9)</f>
        <v>Florida Medicaid</v>
      </c>
      <c r="W1753" s="1" t="str">
        <f t="shared" si="111"/>
        <v>2026-07</v>
      </c>
    </row>
    <row r="1754" spans="1:23">
      <c r="A1754" s="1" t="s">
        <v>3187</v>
      </c>
      <c r="B1754" s="1" t="s">
        <v>3188</v>
      </c>
      <c r="C1754" s="1" t="s">
        <v>60</v>
      </c>
      <c r="D1754" s="1" t="s">
        <v>30</v>
      </c>
      <c r="E1754" s="1" t="s">
        <v>91</v>
      </c>
      <c r="F1754">
        <v>1</v>
      </c>
      <c r="G1754" s="2">
        <v>46281</v>
      </c>
      <c r="H1754" s="2">
        <v>46282</v>
      </c>
      <c r="I1754">
        <v>57.35</v>
      </c>
      <c r="M1754" s="1" t="s">
        <v>69</v>
      </c>
      <c r="N1754" s="1" t="s">
        <v>22</v>
      </c>
      <c r="O1754" s="2"/>
      <c r="P1754" s="2"/>
      <c r="Q1754">
        <f>_xlfn.XLOOKUP(E1754,CPT!$A$2:$A$13,CPT!$D$2:$D$13)</f>
        <v>58</v>
      </c>
      <c r="R1754" s="1">
        <f>_xlfn.XLOOKUP(C1754,Contract!$A$2:$A$9,Contract!$B$2:$B$9)</f>
        <v>0.45</v>
      </c>
      <c r="S1754" s="1">
        <f t="shared" si="108"/>
        <v>26.1</v>
      </c>
      <c r="T1754" s="1" t="str">
        <f t="shared" si="109"/>
        <v/>
      </c>
      <c r="U1754" s="1" t="str">
        <f t="shared" si="110"/>
        <v/>
      </c>
      <c r="V1754" s="1" t="str">
        <f>_xlfn.XLOOKUP(C1754,Payers!$A$2:$A$9,Payers!$B$2:$B$9)</f>
        <v>Blue Horizon Commercial</v>
      </c>
      <c r="W1754" s="1" t="str">
        <f t="shared" si="111"/>
        <v>2026-09</v>
      </c>
    </row>
    <row r="1755" spans="1:23">
      <c r="A1755" s="1" t="s">
        <v>3189</v>
      </c>
      <c r="B1755" s="1" t="s">
        <v>740</v>
      </c>
      <c r="C1755" s="1" t="s">
        <v>60</v>
      </c>
      <c r="D1755" s="1" t="s">
        <v>19</v>
      </c>
      <c r="E1755" s="1" t="s">
        <v>20</v>
      </c>
      <c r="F1755">
        <v>1</v>
      </c>
      <c r="G1755" s="2">
        <v>46220</v>
      </c>
      <c r="H1755" s="2">
        <v>46222</v>
      </c>
      <c r="I1755">
        <v>148.16</v>
      </c>
      <c r="J1755">
        <v>60.2</v>
      </c>
      <c r="K1755">
        <v>54.18</v>
      </c>
      <c r="L1755">
        <v>6.02</v>
      </c>
      <c r="M1755" s="1" t="s">
        <v>21</v>
      </c>
      <c r="N1755" s="1" t="s">
        <v>22</v>
      </c>
      <c r="O1755" s="2">
        <v>46257</v>
      </c>
      <c r="P1755" s="2">
        <v>46257</v>
      </c>
      <c r="Q1755">
        <f>_xlfn.XLOOKUP(E1755,CPT!$A$2:$A$13,CPT!$D$2:$D$13)</f>
        <v>145</v>
      </c>
      <c r="R1755" s="1">
        <f>_xlfn.XLOOKUP(C1755,Contract!$A$2:$A$9,Contract!$B$2:$B$9)</f>
        <v>0.45</v>
      </c>
      <c r="S1755" s="1">
        <f t="shared" si="108"/>
        <v>65.25</v>
      </c>
      <c r="T1755" s="1">
        <f t="shared" si="109"/>
        <v>5.0499999999999972</v>
      </c>
      <c r="U1755" s="1" t="str">
        <f t="shared" si="110"/>
        <v>Underpaid</v>
      </c>
      <c r="V1755" s="1" t="str">
        <f>_xlfn.XLOOKUP(C1755,Payers!$A$2:$A$9,Payers!$B$2:$B$9)</f>
        <v>Blue Horizon Commercial</v>
      </c>
      <c r="W1755" s="1" t="str">
        <f t="shared" si="111"/>
        <v>2026-07</v>
      </c>
    </row>
    <row r="1756" spans="1:23">
      <c r="A1756" s="1" t="s">
        <v>3190</v>
      </c>
      <c r="B1756" s="1" t="s">
        <v>3144</v>
      </c>
      <c r="C1756" s="1" t="s">
        <v>52</v>
      </c>
      <c r="D1756" s="1" t="s">
        <v>19</v>
      </c>
      <c r="E1756" s="1" t="s">
        <v>41</v>
      </c>
      <c r="F1756">
        <v>1</v>
      </c>
      <c r="G1756" s="2">
        <v>46124</v>
      </c>
      <c r="H1756" s="2">
        <v>46128</v>
      </c>
      <c r="I1756">
        <v>38.99</v>
      </c>
      <c r="J1756">
        <v>20.9</v>
      </c>
      <c r="K1756">
        <v>16.72</v>
      </c>
      <c r="L1756">
        <v>4.18</v>
      </c>
      <c r="M1756" s="1" t="s">
        <v>21</v>
      </c>
      <c r="N1756" s="1" t="s">
        <v>22</v>
      </c>
      <c r="O1756" s="2">
        <v>46182</v>
      </c>
      <c r="P1756" s="2">
        <v>46182</v>
      </c>
      <c r="Q1756">
        <f>_xlfn.XLOOKUP(E1756,CPT!$A$2:$A$13,CPT!$D$2:$D$13)</f>
        <v>38</v>
      </c>
      <c r="R1756" s="1">
        <f>_xlfn.XLOOKUP(C1756,Contract!$A$2:$A$9,Contract!$B$2:$B$9)</f>
        <v>0.47</v>
      </c>
      <c r="S1756" s="1">
        <f t="shared" si="108"/>
        <v>17.86</v>
      </c>
      <c r="T1756" s="1">
        <f t="shared" si="109"/>
        <v>-3.0399999999999991</v>
      </c>
      <c r="U1756" s="1" t="str">
        <f t="shared" si="110"/>
        <v>OK</v>
      </c>
      <c r="V1756" s="1" t="str">
        <f>_xlfn.XLOOKUP(C1756,Payers!$A$2:$A$9,Payers!$B$2:$B$9)</f>
        <v>Keystone Commercial PPO</v>
      </c>
      <c r="W1756" s="1" t="str">
        <f t="shared" si="111"/>
        <v>2026-04</v>
      </c>
    </row>
    <row r="1757" spans="1:23">
      <c r="A1757" s="1" t="s">
        <v>3191</v>
      </c>
      <c r="B1757" s="1" t="s">
        <v>2162</v>
      </c>
      <c r="C1757" s="1" t="s">
        <v>47</v>
      </c>
      <c r="D1757" s="1" t="s">
        <v>19</v>
      </c>
      <c r="E1757" s="1" t="s">
        <v>88</v>
      </c>
      <c r="F1757">
        <v>1</v>
      </c>
      <c r="G1757" s="2">
        <v>46253</v>
      </c>
      <c r="H1757" s="2">
        <v>46255</v>
      </c>
      <c r="I1757">
        <v>264.58</v>
      </c>
      <c r="M1757" s="1" t="s">
        <v>69</v>
      </c>
      <c r="N1757" s="1" t="s">
        <v>22</v>
      </c>
      <c r="O1757" s="2"/>
      <c r="P1757" s="2"/>
      <c r="Q1757">
        <f>_xlfn.XLOOKUP(E1757,CPT!$A$2:$A$13,CPT!$D$2:$D$13)</f>
        <v>260</v>
      </c>
      <c r="R1757" s="1">
        <f>_xlfn.XLOOKUP(C1757,Contract!$A$2:$A$9,Contract!$B$2:$B$9)</f>
        <v>0.28000000000000003</v>
      </c>
      <c r="S1757" s="1">
        <f t="shared" si="108"/>
        <v>72.8</v>
      </c>
      <c r="T1757" s="1" t="str">
        <f t="shared" si="109"/>
        <v/>
      </c>
      <c r="U1757" s="1" t="str">
        <f t="shared" si="110"/>
        <v/>
      </c>
      <c r="V1757" s="1" t="str">
        <f>_xlfn.XLOOKUP(C1757,Payers!$A$2:$A$9,Payers!$B$2:$B$9)</f>
        <v>Coastal Medicaid MCO</v>
      </c>
      <c r="W1757" s="1" t="str">
        <f t="shared" si="111"/>
        <v>2026-08</v>
      </c>
    </row>
    <row r="1758" spans="1:23">
      <c r="A1758" s="1" t="s">
        <v>3192</v>
      </c>
      <c r="B1758" s="1" t="s">
        <v>2997</v>
      </c>
      <c r="C1758" s="1" t="s">
        <v>18</v>
      </c>
      <c r="D1758" s="1" t="s">
        <v>19</v>
      </c>
      <c r="E1758" s="1" t="s">
        <v>20</v>
      </c>
      <c r="F1758">
        <v>1</v>
      </c>
      <c r="G1758" s="2">
        <v>45988</v>
      </c>
      <c r="H1758" s="2">
        <v>45992</v>
      </c>
      <c r="I1758">
        <v>141.07</v>
      </c>
      <c r="J1758">
        <v>49.39</v>
      </c>
      <c r="K1758">
        <v>44.45</v>
      </c>
      <c r="L1758">
        <v>4.9400000000000004</v>
      </c>
      <c r="M1758" s="1" t="s">
        <v>21</v>
      </c>
      <c r="N1758" s="1" t="s">
        <v>22</v>
      </c>
      <c r="O1758" s="2">
        <v>46077</v>
      </c>
      <c r="P1758" s="2">
        <v>46077</v>
      </c>
      <c r="Q1758">
        <f>_xlfn.XLOOKUP(E1758,CPT!$A$2:$A$13,CPT!$D$2:$D$13)</f>
        <v>145</v>
      </c>
      <c r="R1758" s="1">
        <f>_xlfn.XLOOKUP(C1758,Contract!$A$2:$A$9,Contract!$B$2:$B$9)</f>
        <v>0.38</v>
      </c>
      <c r="S1758" s="1">
        <f t="shared" si="108"/>
        <v>55.1</v>
      </c>
      <c r="T1758" s="1">
        <f t="shared" si="109"/>
        <v>5.7100000000000009</v>
      </c>
      <c r="U1758" s="1" t="str">
        <f t="shared" si="110"/>
        <v>Underpaid</v>
      </c>
      <c r="V1758" s="1" t="str">
        <f>_xlfn.XLOOKUP(C1758,Payers!$A$2:$A$9,Payers!$B$2:$B$9)</f>
        <v>Sunshine Medicare Advantage</v>
      </c>
      <c r="W1758" s="1" t="str">
        <f t="shared" si="111"/>
        <v>2025-11</v>
      </c>
    </row>
    <row r="1759" spans="1:23">
      <c r="A1759" s="1" t="s">
        <v>3193</v>
      </c>
      <c r="B1759" s="1" t="s">
        <v>3194</v>
      </c>
      <c r="C1759" s="1" t="s">
        <v>25</v>
      </c>
      <c r="D1759" s="1" t="s">
        <v>26</v>
      </c>
      <c r="E1759" s="1" t="s">
        <v>88</v>
      </c>
      <c r="F1759">
        <v>1</v>
      </c>
      <c r="G1759" s="2">
        <v>46140</v>
      </c>
      <c r="H1759" s="2">
        <v>46142</v>
      </c>
      <c r="I1759">
        <v>262.55</v>
      </c>
      <c r="J1759">
        <v>98.95</v>
      </c>
      <c r="K1759">
        <v>79.16</v>
      </c>
      <c r="L1759">
        <v>19.79</v>
      </c>
      <c r="M1759" s="1" t="s">
        <v>21</v>
      </c>
      <c r="N1759" s="1" t="s">
        <v>22</v>
      </c>
      <c r="O1759" s="2">
        <v>46161</v>
      </c>
      <c r="P1759" s="2">
        <v>46161</v>
      </c>
      <c r="Q1759">
        <f>_xlfn.XLOOKUP(E1759,CPT!$A$2:$A$13,CPT!$D$2:$D$13)</f>
        <v>260</v>
      </c>
      <c r="R1759" s="1">
        <f>_xlfn.XLOOKUP(C1759,Contract!$A$2:$A$9,Contract!$B$2:$B$9)</f>
        <v>0.36</v>
      </c>
      <c r="S1759" s="1">
        <f t="shared" si="108"/>
        <v>93.6</v>
      </c>
      <c r="T1759" s="1">
        <f t="shared" si="109"/>
        <v>-5.3500000000000085</v>
      </c>
      <c r="U1759" s="1" t="str">
        <f t="shared" si="110"/>
        <v>OK</v>
      </c>
      <c r="V1759" s="1" t="str">
        <f>_xlfn.XLOOKUP(C1759,Payers!$A$2:$A$9,Payers!$B$2:$B$9)</f>
        <v>Medicare Part B</v>
      </c>
      <c r="W1759" s="1" t="str">
        <f t="shared" si="111"/>
        <v>2026-04</v>
      </c>
    </row>
    <row r="1760" spans="1:23">
      <c r="A1760" s="1" t="s">
        <v>3195</v>
      </c>
      <c r="B1760" s="1" t="s">
        <v>1324</v>
      </c>
      <c r="C1760" s="1" t="s">
        <v>18</v>
      </c>
      <c r="D1760" s="1" t="s">
        <v>37</v>
      </c>
      <c r="E1760" s="1" t="s">
        <v>57</v>
      </c>
      <c r="F1760">
        <v>1</v>
      </c>
      <c r="G1760" s="2">
        <v>46083</v>
      </c>
      <c r="H1760" s="2">
        <v>46095</v>
      </c>
      <c r="I1760">
        <v>211.5</v>
      </c>
      <c r="J1760">
        <v>83.79</v>
      </c>
      <c r="K1760">
        <v>83.79</v>
      </c>
      <c r="L1760">
        <v>0</v>
      </c>
      <c r="M1760" s="1" t="s">
        <v>21</v>
      </c>
      <c r="N1760" s="1" t="s">
        <v>22</v>
      </c>
      <c r="O1760" s="2">
        <v>46132</v>
      </c>
      <c r="P1760" s="2">
        <v>46132</v>
      </c>
      <c r="Q1760">
        <f>_xlfn.XLOOKUP(E1760,CPT!$A$2:$A$13,CPT!$D$2:$D$13)</f>
        <v>210</v>
      </c>
      <c r="R1760" s="1">
        <f>_xlfn.XLOOKUP(C1760,Contract!$A$2:$A$9,Contract!$B$2:$B$9)</f>
        <v>0.38</v>
      </c>
      <c r="S1760" s="1">
        <f t="shared" si="108"/>
        <v>79.8</v>
      </c>
      <c r="T1760" s="1">
        <f t="shared" si="109"/>
        <v>-3.9900000000000091</v>
      </c>
      <c r="U1760" s="1" t="str">
        <f t="shared" si="110"/>
        <v>OK</v>
      </c>
      <c r="V1760" s="1" t="str">
        <f>_xlfn.XLOOKUP(C1760,Payers!$A$2:$A$9,Payers!$B$2:$B$9)</f>
        <v>Sunshine Medicare Advantage</v>
      </c>
      <c r="W1760" s="1" t="str">
        <f t="shared" si="111"/>
        <v>2026-03</v>
      </c>
    </row>
    <row r="1761" spans="1:23">
      <c r="A1761" s="1" t="s">
        <v>3196</v>
      </c>
      <c r="B1761" s="1" t="s">
        <v>3197</v>
      </c>
      <c r="C1761" s="1" t="s">
        <v>36</v>
      </c>
      <c r="D1761" s="1" t="s">
        <v>30</v>
      </c>
      <c r="E1761" s="1" t="s">
        <v>91</v>
      </c>
      <c r="F1761">
        <v>1</v>
      </c>
      <c r="G1761" s="2">
        <v>46182</v>
      </c>
      <c r="H1761" s="2">
        <v>46186</v>
      </c>
      <c r="I1761">
        <v>58.47</v>
      </c>
      <c r="M1761" s="1" t="s">
        <v>32</v>
      </c>
      <c r="N1761" s="1" t="s">
        <v>124</v>
      </c>
      <c r="O1761" s="2">
        <v>46229</v>
      </c>
      <c r="P1761" s="2"/>
      <c r="Q1761">
        <f>_xlfn.XLOOKUP(E1761,CPT!$A$2:$A$13,CPT!$D$2:$D$13)</f>
        <v>58</v>
      </c>
      <c r="R1761" s="1">
        <f>_xlfn.XLOOKUP(C1761,Contract!$A$2:$A$9,Contract!$B$2:$B$9)</f>
        <v>0.27</v>
      </c>
      <c r="S1761" s="1">
        <f t="shared" si="108"/>
        <v>15.66</v>
      </c>
      <c r="T1761" s="1" t="str">
        <f t="shared" si="109"/>
        <v/>
      </c>
      <c r="U1761" s="1" t="str">
        <f t="shared" si="110"/>
        <v/>
      </c>
      <c r="V1761" s="1" t="str">
        <f>_xlfn.XLOOKUP(C1761,Payers!$A$2:$A$9,Payers!$B$2:$B$9)</f>
        <v>Florida Medicaid</v>
      </c>
      <c r="W1761" s="1" t="str">
        <f t="shared" si="111"/>
        <v>2026-06</v>
      </c>
    </row>
    <row r="1762" spans="1:23">
      <c r="A1762" s="1" t="s">
        <v>3198</v>
      </c>
      <c r="B1762" s="1" t="s">
        <v>3199</v>
      </c>
      <c r="C1762" s="1" t="s">
        <v>36</v>
      </c>
      <c r="D1762" s="1" t="s">
        <v>19</v>
      </c>
      <c r="E1762" s="1" t="s">
        <v>20</v>
      </c>
      <c r="F1762">
        <v>1</v>
      </c>
      <c r="G1762" s="2">
        <v>46084</v>
      </c>
      <c r="H1762" s="2">
        <v>46085</v>
      </c>
      <c r="I1762">
        <v>145.25</v>
      </c>
      <c r="J1762">
        <v>43.61</v>
      </c>
      <c r="K1762">
        <v>39.25</v>
      </c>
      <c r="L1762">
        <v>4.3600000000000003</v>
      </c>
      <c r="M1762" s="1" t="s">
        <v>21</v>
      </c>
      <c r="N1762" s="1" t="s">
        <v>22</v>
      </c>
      <c r="O1762" s="2">
        <v>46135</v>
      </c>
      <c r="P1762" s="2">
        <v>46135</v>
      </c>
      <c r="Q1762">
        <f>_xlfn.XLOOKUP(E1762,CPT!$A$2:$A$13,CPT!$D$2:$D$13)</f>
        <v>145</v>
      </c>
      <c r="R1762" s="1">
        <f>_xlfn.XLOOKUP(C1762,Contract!$A$2:$A$9,Contract!$B$2:$B$9)</f>
        <v>0.27</v>
      </c>
      <c r="S1762" s="1">
        <f t="shared" si="108"/>
        <v>39.15</v>
      </c>
      <c r="T1762" s="1">
        <f t="shared" si="109"/>
        <v>-4.4600000000000009</v>
      </c>
      <c r="U1762" s="1" t="str">
        <f t="shared" si="110"/>
        <v>OK</v>
      </c>
      <c r="V1762" s="1" t="str">
        <f>_xlfn.XLOOKUP(C1762,Payers!$A$2:$A$9,Payers!$B$2:$B$9)</f>
        <v>Florida Medicaid</v>
      </c>
      <c r="W1762" s="1" t="str">
        <f t="shared" si="111"/>
        <v>2026-03</v>
      </c>
    </row>
    <row r="1763" spans="1:23">
      <c r="A1763" s="1" t="s">
        <v>3200</v>
      </c>
      <c r="B1763" s="1" t="s">
        <v>3201</v>
      </c>
      <c r="C1763" s="1" t="s">
        <v>47</v>
      </c>
      <c r="D1763" s="1" t="s">
        <v>19</v>
      </c>
      <c r="E1763" s="1" t="s">
        <v>88</v>
      </c>
      <c r="F1763">
        <v>1</v>
      </c>
      <c r="G1763" s="2">
        <v>46065</v>
      </c>
      <c r="H1763" s="2">
        <v>46072</v>
      </c>
      <c r="I1763">
        <v>266.64</v>
      </c>
      <c r="J1763">
        <v>81.22</v>
      </c>
      <c r="K1763">
        <v>81.22</v>
      </c>
      <c r="L1763">
        <v>0</v>
      </c>
      <c r="M1763" s="1" t="s">
        <v>21</v>
      </c>
      <c r="N1763" s="1" t="s">
        <v>22</v>
      </c>
      <c r="O1763" s="2">
        <v>46120</v>
      </c>
      <c r="P1763" s="2">
        <v>46120</v>
      </c>
      <c r="Q1763">
        <f>_xlfn.XLOOKUP(E1763,CPT!$A$2:$A$13,CPT!$D$2:$D$13)</f>
        <v>260</v>
      </c>
      <c r="R1763" s="1">
        <f>_xlfn.XLOOKUP(C1763,Contract!$A$2:$A$9,Contract!$B$2:$B$9)</f>
        <v>0.28000000000000003</v>
      </c>
      <c r="S1763" s="1">
        <f t="shared" si="108"/>
        <v>72.8</v>
      </c>
      <c r="T1763" s="1">
        <f t="shared" si="109"/>
        <v>-8.4200000000000017</v>
      </c>
      <c r="U1763" s="1" t="str">
        <f t="shared" si="110"/>
        <v>OK</v>
      </c>
      <c r="V1763" s="1" t="str">
        <f>_xlfn.XLOOKUP(C1763,Payers!$A$2:$A$9,Payers!$B$2:$B$9)</f>
        <v>Coastal Medicaid MCO</v>
      </c>
      <c r="W1763" s="1" t="str">
        <f t="shared" si="111"/>
        <v>2026-02</v>
      </c>
    </row>
    <row r="1764" spans="1:23">
      <c r="A1764" s="1" t="s">
        <v>3202</v>
      </c>
      <c r="B1764" s="1" t="s">
        <v>1569</v>
      </c>
      <c r="C1764" s="1" t="s">
        <v>52</v>
      </c>
      <c r="D1764" s="1" t="s">
        <v>19</v>
      </c>
      <c r="E1764" s="1" t="s">
        <v>57</v>
      </c>
      <c r="F1764">
        <v>1</v>
      </c>
      <c r="G1764" s="2">
        <v>46131</v>
      </c>
      <c r="H1764" s="2">
        <v>46132</v>
      </c>
      <c r="I1764">
        <v>216.07</v>
      </c>
      <c r="M1764" s="1" t="s">
        <v>32</v>
      </c>
      <c r="N1764" s="1" t="s">
        <v>33</v>
      </c>
      <c r="O1764" s="2">
        <v>46164</v>
      </c>
      <c r="P1764" s="2"/>
      <c r="Q1764">
        <f>_xlfn.XLOOKUP(E1764,CPT!$A$2:$A$13,CPT!$D$2:$D$13)</f>
        <v>210</v>
      </c>
      <c r="R1764" s="1">
        <f>_xlfn.XLOOKUP(C1764,Contract!$A$2:$A$9,Contract!$B$2:$B$9)</f>
        <v>0.47</v>
      </c>
      <c r="S1764" s="1">
        <f t="shared" si="108"/>
        <v>98.7</v>
      </c>
      <c r="T1764" s="1" t="str">
        <f t="shared" si="109"/>
        <v/>
      </c>
      <c r="U1764" s="1" t="str">
        <f t="shared" si="110"/>
        <v/>
      </c>
      <c r="V1764" s="1" t="str">
        <f>_xlfn.XLOOKUP(C1764,Payers!$A$2:$A$9,Payers!$B$2:$B$9)</f>
        <v>Keystone Commercial PPO</v>
      </c>
      <c r="W1764" s="1" t="str">
        <f t="shared" si="111"/>
        <v>2026-04</v>
      </c>
    </row>
    <row r="1765" spans="1:23">
      <c r="A1765" s="1" t="s">
        <v>3203</v>
      </c>
      <c r="B1765" s="1" t="s">
        <v>3204</v>
      </c>
      <c r="C1765" s="1" t="s">
        <v>25</v>
      </c>
      <c r="D1765" s="1" t="s">
        <v>26</v>
      </c>
      <c r="E1765" s="1" t="s">
        <v>88</v>
      </c>
      <c r="F1765">
        <v>1</v>
      </c>
      <c r="G1765" s="2">
        <v>46243</v>
      </c>
      <c r="H1765" s="2">
        <v>46246</v>
      </c>
      <c r="I1765">
        <v>267.58</v>
      </c>
      <c r="J1765">
        <v>89.59</v>
      </c>
      <c r="K1765">
        <v>80.63</v>
      </c>
      <c r="L1765">
        <v>8.9600000000000009</v>
      </c>
      <c r="M1765" s="1" t="s">
        <v>21</v>
      </c>
      <c r="N1765" s="1" t="s">
        <v>22</v>
      </c>
      <c r="O1765" s="2">
        <v>46263</v>
      </c>
      <c r="P1765" s="2">
        <v>46263</v>
      </c>
      <c r="Q1765">
        <f>_xlfn.XLOOKUP(E1765,CPT!$A$2:$A$13,CPT!$D$2:$D$13)</f>
        <v>260</v>
      </c>
      <c r="R1765" s="1">
        <f>_xlfn.XLOOKUP(C1765,Contract!$A$2:$A$9,Contract!$B$2:$B$9)</f>
        <v>0.36</v>
      </c>
      <c r="S1765" s="1">
        <f t="shared" si="108"/>
        <v>93.6</v>
      </c>
      <c r="T1765" s="1">
        <f t="shared" si="109"/>
        <v>4.0099999999999909</v>
      </c>
      <c r="U1765" s="1" t="str">
        <f t="shared" si="110"/>
        <v>OK</v>
      </c>
      <c r="V1765" s="1" t="str">
        <f>_xlfn.XLOOKUP(C1765,Payers!$A$2:$A$9,Payers!$B$2:$B$9)</f>
        <v>Medicare Part B</v>
      </c>
      <c r="W1765" s="1" t="str">
        <f t="shared" si="111"/>
        <v>2026-08</v>
      </c>
    </row>
    <row r="1766" spans="1:23">
      <c r="A1766" s="1" t="s">
        <v>3205</v>
      </c>
      <c r="B1766" s="1" t="s">
        <v>3206</v>
      </c>
      <c r="C1766" s="1" t="s">
        <v>60</v>
      </c>
      <c r="D1766" s="1" t="s">
        <v>26</v>
      </c>
      <c r="E1766" s="1" t="s">
        <v>44</v>
      </c>
      <c r="F1766">
        <v>1</v>
      </c>
      <c r="G1766" s="2">
        <v>46247</v>
      </c>
      <c r="H1766" s="2">
        <v>46256</v>
      </c>
      <c r="I1766">
        <v>4845.13</v>
      </c>
      <c r="J1766">
        <v>2229.73</v>
      </c>
      <c r="K1766">
        <v>1783.78</v>
      </c>
      <c r="L1766">
        <v>445.95</v>
      </c>
      <c r="M1766" s="1" t="s">
        <v>21</v>
      </c>
      <c r="N1766" s="1" t="s">
        <v>22</v>
      </c>
      <c r="O1766" s="2">
        <v>46293</v>
      </c>
      <c r="P1766" s="2">
        <v>46293</v>
      </c>
      <c r="Q1766">
        <f>_xlfn.XLOOKUP(E1766,CPT!$A$2:$A$13,CPT!$D$2:$D$13)</f>
        <v>4800</v>
      </c>
      <c r="R1766" s="1">
        <f>_xlfn.XLOOKUP(C1766,Contract!$A$2:$A$9,Contract!$B$2:$B$9)</f>
        <v>0.45</v>
      </c>
      <c r="S1766" s="1">
        <f t="shared" si="108"/>
        <v>2160</v>
      </c>
      <c r="T1766" s="1">
        <f t="shared" si="109"/>
        <v>-69.730000000000018</v>
      </c>
      <c r="U1766" s="1" t="str">
        <f t="shared" si="110"/>
        <v>OK</v>
      </c>
      <c r="V1766" s="1" t="str">
        <f>_xlfn.XLOOKUP(C1766,Payers!$A$2:$A$9,Payers!$B$2:$B$9)</f>
        <v>Blue Horizon Commercial</v>
      </c>
      <c r="W1766" s="1" t="str">
        <f t="shared" si="111"/>
        <v>2026-08</v>
      </c>
    </row>
    <row r="1767" spans="1:23">
      <c r="A1767" s="1" t="s">
        <v>3207</v>
      </c>
      <c r="B1767" s="1" t="s">
        <v>3208</v>
      </c>
      <c r="C1767" s="1" t="s">
        <v>76</v>
      </c>
      <c r="D1767" s="1" t="s">
        <v>19</v>
      </c>
      <c r="E1767" s="1" t="s">
        <v>88</v>
      </c>
      <c r="F1767">
        <v>1</v>
      </c>
      <c r="G1767" s="2">
        <v>46217</v>
      </c>
      <c r="H1767" s="2">
        <v>46228</v>
      </c>
      <c r="I1767">
        <v>265.64</v>
      </c>
      <c r="J1767">
        <v>103.7</v>
      </c>
      <c r="K1767">
        <v>93.33</v>
      </c>
      <c r="L1767">
        <v>10.37</v>
      </c>
      <c r="M1767" s="1" t="s">
        <v>21</v>
      </c>
      <c r="N1767" s="1" t="s">
        <v>22</v>
      </c>
      <c r="O1767" s="2">
        <v>46245</v>
      </c>
      <c r="P1767" s="2">
        <v>46245</v>
      </c>
      <c r="Q1767">
        <f>_xlfn.XLOOKUP(E1767,CPT!$A$2:$A$13,CPT!$D$2:$D$13)</f>
        <v>260</v>
      </c>
      <c r="R1767" s="1">
        <f>_xlfn.XLOOKUP(C1767,Contract!$A$2:$A$9,Contract!$B$2:$B$9)</f>
        <v>0.43</v>
      </c>
      <c r="S1767" s="1">
        <f t="shared" si="108"/>
        <v>111.8</v>
      </c>
      <c r="T1767" s="1">
        <f t="shared" si="109"/>
        <v>8.0999999999999943</v>
      </c>
      <c r="U1767" s="1" t="str">
        <f t="shared" si="110"/>
        <v>Underpaid</v>
      </c>
      <c r="V1767" s="1" t="str">
        <f>_xlfn.XLOOKUP(C1767,Payers!$A$2:$A$9,Payers!$B$2:$B$9)</f>
        <v>Summit Health Commercial</v>
      </c>
      <c r="W1767" s="1" t="str">
        <f t="shared" si="111"/>
        <v>2026-07</v>
      </c>
    </row>
    <row r="1768" spans="1:23">
      <c r="A1768" s="1" t="s">
        <v>3209</v>
      </c>
      <c r="B1768" s="1" t="s">
        <v>3210</v>
      </c>
      <c r="C1768" s="1" t="s">
        <v>18</v>
      </c>
      <c r="D1768" s="1" t="s">
        <v>19</v>
      </c>
      <c r="E1768" s="1" t="s">
        <v>88</v>
      </c>
      <c r="F1768">
        <v>1</v>
      </c>
      <c r="G1768" s="2">
        <v>46206</v>
      </c>
      <c r="H1768" s="2">
        <v>46212</v>
      </c>
      <c r="I1768">
        <v>263.91000000000003</v>
      </c>
      <c r="J1768">
        <v>108.77</v>
      </c>
      <c r="K1768">
        <v>108.77</v>
      </c>
      <c r="L1768">
        <v>0</v>
      </c>
      <c r="M1768" s="1" t="s">
        <v>21</v>
      </c>
      <c r="N1768" s="1" t="s">
        <v>22</v>
      </c>
      <c r="O1768" s="2">
        <v>46266</v>
      </c>
      <c r="P1768" s="2">
        <v>46266</v>
      </c>
      <c r="Q1768">
        <f>_xlfn.XLOOKUP(E1768,CPT!$A$2:$A$13,CPT!$D$2:$D$13)</f>
        <v>260</v>
      </c>
      <c r="R1768" s="1">
        <f>_xlfn.XLOOKUP(C1768,Contract!$A$2:$A$9,Contract!$B$2:$B$9)</f>
        <v>0.38</v>
      </c>
      <c r="S1768" s="1">
        <f t="shared" si="108"/>
        <v>98.8</v>
      </c>
      <c r="T1768" s="1">
        <f t="shared" si="109"/>
        <v>-9.9699999999999989</v>
      </c>
      <c r="U1768" s="1" t="str">
        <f t="shared" si="110"/>
        <v>OK</v>
      </c>
      <c r="V1768" s="1" t="str">
        <f>_xlfn.XLOOKUP(C1768,Payers!$A$2:$A$9,Payers!$B$2:$B$9)</f>
        <v>Sunshine Medicare Advantage</v>
      </c>
      <c r="W1768" s="1" t="str">
        <f t="shared" si="111"/>
        <v>2026-07</v>
      </c>
    </row>
    <row r="1769" spans="1:23">
      <c r="A1769" s="1" t="s">
        <v>3211</v>
      </c>
      <c r="B1769" s="1" t="s">
        <v>3212</v>
      </c>
      <c r="C1769" s="1" t="s">
        <v>18</v>
      </c>
      <c r="D1769" s="1" t="s">
        <v>37</v>
      </c>
      <c r="E1769" s="1" t="s">
        <v>38</v>
      </c>
      <c r="F1769">
        <v>5</v>
      </c>
      <c r="G1769" s="2">
        <v>45993</v>
      </c>
      <c r="H1769" s="2">
        <v>46000</v>
      </c>
      <c r="I1769">
        <v>7282.92</v>
      </c>
      <c r="M1769" s="1" t="s">
        <v>32</v>
      </c>
      <c r="N1769" s="1" t="s">
        <v>315</v>
      </c>
      <c r="O1769" s="2">
        <v>46028</v>
      </c>
      <c r="P1769" s="2"/>
      <c r="Q1769">
        <f>_xlfn.XLOOKUP(E1769,CPT!$A$2:$A$13,CPT!$D$2:$D$13)</f>
        <v>1450</v>
      </c>
      <c r="R1769" s="1">
        <f>_xlfn.XLOOKUP(C1769,Contract!$A$2:$A$9,Contract!$B$2:$B$9)</f>
        <v>0.38</v>
      </c>
      <c r="S1769" s="1">
        <f t="shared" si="108"/>
        <v>2755</v>
      </c>
      <c r="T1769" s="1" t="str">
        <f t="shared" si="109"/>
        <v/>
      </c>
      <c r="U1769" s="1" t="str">
        <f t="shared" si="110"/>
        <v/>
      </c>
      <c r="V1769" s="1" t="str">
        <f>_xlfn.XLOOKUP(C1769,Payers!$A$2:$A$9,Payers!$B$2:$B$9)</f>
        <v>Sunshine Medicare Advantage</v>
      </c>
      <c r="W1769" s="1" t="str">
        <f t="shared" si="111"/>
        <v>2025-12</v>
      </c>
    </row>
    <row r="1770" spans="1:23">
      <c r="A1770" s="1" t="s">
        <v>3213</v>
      </c>
      <c r="B1770" s="1" t="s">
        <v>3214</v>
      </c>
      <c r="C1770" s="1" t="s">
        <v>60</v>
      </c>
      <c r="D1770" s="1" t="s">
        <v>30</v>
      </c>
      <c r="E1770" s="1" t="s">
        <v>91</v>
      </c>
      <c r="F1770">
        <v>1</v>
      </c>
      <c r="G1770" s="2">
        <v>46092</v>
      </c>
      <c r="H1770" s="2">
        <v>46190</v>
      </c>
      <c r="I1770">
        <v>56.68</v>
      </c>
      <c r="M1770" s="1" t="s">
        <v>32</v>
      </c>
      <c r="N1770" s="1" t="s">
        <v>137</v>
      </c>
      <c r="O1770" s="2">
        <v>46214</v>
      </c>
      <c r="P1770" s="2"/>
      <c r="Q1770">
        <f>_xlfn.XLOOKUP(E1770,CPT!$A$2:$A$13,CPT!$D$2:$D$13)</f>
        <v>58</v>
      </c>
      <c r="R1770" s="1">
        <f>_xlfn.XLOOKUP(C1770,Contract!$A$2:$A$9,Contract!$B$2:$B$9)</f>
        <v>0.45</v>
      </c>
      <c r="S1770" s="1">
        <f t="shared" si="108"/>
        <v>26.1</v>
      </c>
      <c r="T1770" s="1" t="str">
        <f t="shared" si="109"/>
        <v/>
      </c>
      <c r="U1770" s="1" t="str">
        <f t="shared" si="110"/>
        <v/>
      </c>
      <c r="V1770" s="1" t="str">
        <f>_xlfn.XLOOKUP(C1770,Payers!$A$2:$A$9,Payers!$B$2:$B$9)</f>
        <v>Blue Horizon Commercial</v>
      </c>
      <c r="W1770" s="1" t="str">
        <f t="shared" si="111"/>
        <v>2026-03</v>
      </c>
    </row>
    <row r="1771" spans="1:23">
      <c r="A1771" s="1" t="s">
        <v>3215</v>
      </c>
      <c r="B1771" s="1" t="s">
        <v>3216</v>
      </c>
      <c r="C1771" s="1" t="s">
        <v>76</v>
      </c>
      <c r="D1771" s="1" t="s">
        <v>37</v>
      </c>
      <c r="E1771" s="1" t="s">
        <v>38</v>
      </c>
      <c r="F1771">
        <v>10</v>
      </c>
      <c r="G1771" s="2">
        <v>45962</v>
      </c>
      <c r="H1771" s="2">
        <v>45968</v>
      </c>
      <c r="I1771">
        <v>14325.42</v>
      </c>
      <c r="M1771" s="1" t="s">
        <v>32</v>
      </c>
      <c r="N1771" s="1" t="s">
        <v>315</v>
      </c>
      <c r="O1771" s="2">
        <v>45999</v>
      </c>
      <c r="P1771" s="2"/>
      <c r="Q1771">
        <f>_xlfn.XLOOKUP(E1771,CPT!$A$2:$A$13,CPT!$D$2:$D$13)</f>
        <v>1450</v>
      </c>
      <c r="R1771" s="1">
        <f>_xlfn.XLOOKUP(C1771,Contract!$A$2:$A$9,Contract!$B$2:$B$9)</f>
        <v>0.43</v>
      </c>
      <c r="S1771" s="1">
        <f t="shared" si="108"/>
        <v>6235</v>
      </c>
      <c r="T1771" s="1" t="str">
        <f t="shared" si="109"/>
        <v/>
      </c>
      <c r="U1771" s="1" t="str">
        <f t="shared" si="110"/>
        <v/>
      </c>
      <c r="V1771" s="1" t="str">
        <f>_xlfn.XLOOKUP(C1771,Payers!$A$2:$A$9,Payers!$B$2:$B$9)</f>
        <v>Summit Health Commercial</v>
      </c>
      <c r="W1771" s="1" t="str">
        <f t="shared" si="111"/>
        <v>2025-11</v>
      </c>
    </row>
    <row r="1772" spans="1:23">
      <c r="A1772" s="1" t="s">
        <v>3217</v>
      </c>
      <c r="B1772" s="1" t="s">
        <v>3218</v>
      </c>
      <c r="C1772" s="1" t="s">
        <v>76</v>
      </c>
      <c r="D1772" s="1" t="s">
        <v>19</v>
      </c>
      <c r="E1772" s="1" t="s">
        <v>57</v>
      </c>
      <c r="F1772">
        <v>1</v>
      </c>
      <c r="G1772" s="2">
        <v>46136</v>
      </c>
      <c r="H1772" s="2">
        <v>46139</v>
      </c>
      <c r="I1772">
        <v>205.46</v>
      </c>
      <c r="J1772">
        <v>83.7</v>
      </c>
      <c r="K1772">
        <v>83.7</v>
      </c>
      <c r="L1772">
        <v>0</v>
      </c>
      <c r="M1772" s="1" t="s">
        <v>21</v>
      </c>
      <c r="N1772" s="1" t="s">
        <v>22</v>
      </c>
      <c r="O1772" s="2">
        <v>46169</v>
      </c>
      <c r="P1772" s="2">
        <v>46169</v>
      </c>
      <c r="Q1772">
        <f>_xlfn.XLOOKUP(E1772,CPT!$A$2:$A$13,CPT!$D$2:$D$13)</f>
        <v>210</v>
      </c>
      <c r="R1772" s="1">
        <f>_xlfn.XLOOKUP(C1772,Contract!$A$2:$A$9,Contract!$B$2:$B$9)</f>
        <v>0.43</v>
      </c>
      <c r="S1772" s="1">
        <f t="shared" si="108"/>
        <v>90.3</v>
      </c>
      <c r="T1772" s="1">
        <f t="shared" si="109"/>
        <v>6.5999999999999943</v>
      </c>
      <c r="U1772" s="1" t="str">
        <f t="shared" si="110"/>
        <v>Underpaid</v>
      </c>
      <c r="V1772" s="1" t="str">
        <f>_xlfn.XLOOKUP(C1772,Payers!$A$2:$A$9,Payers!$B$2:$B$9)</f>
        <v>Summit Health Commercial</v>
      </c>
      <c r="W1772" s="1" t="str">
        <f t="shared" si="111"/>
        <v>2026-04</v>
      </c>
    </row>
    <row r="1773" spans="1:23">
      <c r="A1773" s="1" t="s">
        <v>3219</v>
      </c>
      <c r="B1773" s="1" t="s">
        <v>1947</v>
      </c>
      <c r="C1773" s="1" t="s">
        <v>18</v>
      </c>
      <c r="D1773" s="1" t="s">
        <v>19</v>
      </c>
      <c r="E1773" s="1" t="s">
        <v>20</v>
      </c>
      <c r="F1773">
        <v>1</v>
      </c>
      <c r="G1773" s="2">
        <v>46251</v>
      </c>
      <c r="H1773" s="2">
        <v>46253</v>
      </c>
      <c r="I1773">
        <v>143.55000000000001</v>
      </c>
      <c r="J1773">
        <v>59.2</v>
      </c>
      <c r="K1773">
        <v>47.36</v>
      </c>
      <c r="L1773">
        <v>11.84</v>
      </c>
      <c r="M1773" s="1" t="s">
        <v>21</v>
      </c>
      <c r="N1773" s="1" t="s">
        <v>22</v>
      </c>
      <c r="O1773" s="2">
        <v>46289</v>
      </c>
      <c r="P1773" s="2">
        <v>46289</v>
      </c>
      <c r="Q1773">
        <f>_xlfn.XLOOKUP(E1773,CPT!$A$2:$A$13,CPT!$D$2:$D$13)</f>
        <v>145</v>
      </c>
      <c r="R1773" s="1">
        <f>_xlfn.XLOOKUP(C1773,Contract!$A$2:$A$9,Contract!$B$2:$B$9)</f>
        <v>0.38</v>
      </c>
      <c r="S1773" s="1">
        <f t="shared" si="108"/>
        <v>55.1</v>
      </c>
      <c r="T1773" s="1">
        <f t="shared" si="109"/>
        <v>-4.1000000000000014</v>
      </c>
      <c r="U1773" s="1" t="str">
        <f t="shared" si="110"/>
        <v>OK</v>
      </c>
      <c r="V1773" s="1" t="str">
        <f>_xlfn.XLOOKUP(C1773,Payers!$A$2:$A$9,Payers!$B$2:$B$9)</f>
        <v>Sunshine Medicare Advantage</v>
      </c>
      <c r="W1773" s="1" t="str">
        <f t="shared" si="111"/>
        <v>2026-08</v>
      </c>
    </row>
    <row r="1774" spans="1:23">
      <c r="A1774" s="1" t="s">
        <v>3220</v>
      </c>
      <c r="B1774" s="1" t="s">
        <v>1425</v>
      </c>
      <c r="C1774" s="1" t="s">
        <v>52</v>
      </c>
      <c r="D1774" s="1" t="s">
        <v>19</v>
      </c>
      <c r="E1774" s="1" t="s">
        <v>88</v>
      </c>
      <c r="F1774">
        <v>1</v>
      </c>
      <c r="G1774" s="2">
        <v>46057</v>
      </c>
      <c r="H1774" s="2">
        <v>46059</v>
      </c>
      <c r="I1774">
        <v>253.54</v>
      </c>
      <c r="J1774">
        <v>115.16</v>
      </c>
      <c r="K1774">
        <v>103.64</v>
      </c>
      <c r="L1774">
        <v>11.52</v>
      </c>
      <c r="M1774" s="1" t="s">
        <v>21</v>
      </c>
      <c r="N1774" s="1" t="s">
        <v>22</v>
      </c>
      <c r="O1774" s="2">
        <v>46088</v>
      </c>
      <c r="P1774" s="2">
        <v>46088</v>
      </c>
      <c r="Q1774">
        <f>_xlfn.XLOOKUP(E1774,CPT!$A$2:$A$13,CPT!$D$2:$D$13)</f>
        <v>260</v>
      </c>
      <c r="R1774" s="1">
        <f>_xlfn.XLOOKUP(C1774,Contract!$A$2:$A$9,Contract!$B$2:$B$9)</f>
        <v>0.47</v>
      </c>
      <c r="S1774" s="1">
        <f t="shared" si="108"/>
        <v>122.2</v>
      </c>
      <c r="T1774" s="1">
        <f t="shared" si="109"/>
        <v>7.0400000000000063</v>
      </c>
      <c r="U1774" s="1" t="str">
        <f t="shared" si="110"/>
        <v>Underpaid</v>
      </c>
      <c r="V1774" s="1" t="str">
        <f>_xlfn.XLOOKUP(C1774,Payers!$A$2:$A$9,Payers!$B$2:$B$9)</f>
        <v>Keystone Commercial PPO</v>
      </c>
      <c r="W1774" s="1" t="str">
        <f t="shared" si="111"/>
        <v>2026-02</v>
      </c>
    </row>
    <row r="1775" spans="1:23">
      <c r="A1775" s="1" t="s">
        <v>3221</v>
      </c>
      <c r="B1775" s="1" t="s">
        <v>3222</v>
      </c>
      <c r="C1775" s="1" t="s">
        <v>60</v>
      </c>
      <c r="D1775" s="1" t="s">
        <v>37</v>
      </c>
      <c r="E1775" s="1" t="s">
        <v>38</v>
      </c>
      <c r="F1775">
        <v>10</v>
      </c>
      <c r="G1775" s="2">
        <v>46079</v>
      </c>
      <c r="H1775" s="2">
        <v>46084</v>
      </c>
      <c r="I1775">
        <v>14406.81</v>
      </c>
      <c r="M1775" s="1" t="s">
        <v>32</v>
      </c>
      <c r="N1775" s="1" t="s">
        <v>315</v>
      </c>
      <c r="O1775" s="2">
        <v>46106</v>
      </c>
      <c r="P1775" s="2"/>
      <c r="Q1775">
        <f>_xlfn.XLOOKUP(E1775,CPT!$A$2:$A$13,CPT!$D$2:$D$13)</f>
        <v>1450</v>
      </c>
      <c r="R1775" s="1">
        <f>_xlfn.XLOOKUP(C1775,Contract!$A$2:$A$9,Contract!$B$2:$B$9)</f>
        <v>0.45</v>
      </c>
      <c r="S1775" s="1">
        <f t="shared" si="108"/>
        <v>6525</v>
      </c>
      <c r="T1775" s="1" t="str">
        <f t="shared" si="109"/>
        <v/>
      </c>
      <c r="U1775" s="1" t="str">
        <f t="shared" si="110"/>
        <v/>
      </c>
      <c r="V1775" s="1" t="str">
        <f>_xlfn.XLOOKUP(C1775,Payers!$A$2:$A$9,Payers!$B$2:$B$9)</f>
        <v>Blue Horizon Commercial</v>
      </c>
      <c r="W1775" s="1" t="str">
        <f t="shared" si="111"/>
        <v>2026-02</v>
      </c>
    </row>
    <row r="1776" spans="1:23">
      <c r="A1776" s="1" t="s">
        <v>3223</v>
      </c>
      <c r="B1776" s="1" t="s">
        <v>3224</v>
      </c>
      <c r="C1776" s="1" t="s">
        <v>76</v>
      </c>
      <c r="D1776" s="1" t="s">
        <v>19</v>
      </c>
      <c r="E1776" s="1" t="s">
        <v>41</v>
      </c>
      <c r="F1776">
        <v>1</v>
      </c>
      <c r="G1776" s="2">
        <v>46106</v>
      </c>
      <c r="H1776" s="2">
        <v>46108</v>
      </c>
      <c r="I1776">
        <v>38.94</v>
      </c>
      <c r="J1776">
        <v>16.010000000000002</v>
      </c>
      <c r="K1776">
        <v>12.81</v>
      </c>
      <c r="L1776">
        <v>3.2</v>
      </c>
      <c r="M1776" s="1" t="s">
        <v>21</v>
      </c>
      <c r="N1776" s="1" t="s">
        <v>22</v>
      </c>
      <c r="O1776" s="2">
        <v>46139</v>
      </c>
      <c r="P1776" s="2">
        <v>46139</v>
      </c>
      <c r="Q1776">
        <f>_xlfn.XLOOKUP(E1776,CPT!$A$2:$A$13,CPT!$D$2:$D$13)</f>
        <v>38</v>
      </c>
      <c r="R1776" s="1">
        <f>_xlfn.XLOOKUP(C1776,Contract!$A$2:$A$9,Contract!$B$2:$B$9)</f>
        <v>0.43</v>
      </c>
      <c r="S1776" s="1">
        <f t="shared" si="108"/>
        <v>16.34</v>
      </c>
      <c r="T1776" s="1">
        <f t="shared" si="109"/>
        <v>0.32999999999999829</v>
      </c>
      <c r="U1776" s="1" t="str">
        <f t="shared" si="110"/>
        <v>OK</v>
      </c>
      <c r="V1776" s="1" t="str">
        <f>_xlfn.XLOOKUP(C1776,Payers!$A$2:$A$9,Payers!$B$2:$B$9)</f>
        <v>Summit Health Commercial</v>
      </c>
      <c r="W1776" s="1" t="str">
        <f t="shared" si="111"/>
        <v>2026-03</v>
      </c>
    </row>
    <row r="1777" spans="1:23">
      <c r="A1777" s="1" t="s">
        <v>3225</v>
      </c>
      <c r="B1777" s="1" t="s">
        <v>3226</v>
      </c>
      <c r="C1777" s="1" t="s">
        <v>76</v>
      </c>
      <c r="D1777" s="1" t="s">
        <v>19</v>
      </c>
      <c r="E1777" s="1" t="s">
        <v>57</v>
      </c>
      <c r="F1777">
        <v>1</v>
      </c>
      <c r="G1777" s="2">
        <v>46256</v>
      </c>
      <c r="H1777" s="2">
        <v>46259</v>
      </c>
      <c r="I1777">
        <v>215.28</v>
      </c>
      <c r="J1777">
        <v>105.64</v>
      </c>
      <c r="K1777">
        <v>105.64</v>
      </c>
      <c r="L1777">
        <v>0</v>
      </c>
      <c r="M1777" s="1" t="s">
        <v>21</v>
      </c>
      <c r="N1777" s="1" t="s">
        <v>22</v>
      </c>
      <c r="O1777" s="2">
        <v>46294</v>
      </c>
      <c r="P1777" s="2">
        <v>46294</v>
      </c>
      <c r="Q1777">
        <f>_xlfn.XLOOKUP(E1777,CPT!$A$2:$A$13,CPT!$D$2:$D$13)</f>
        <v>210</v>
      </c>
      <c r="R1777" s="1">
        <f>_xlfn.XLOOKUP(C1777,Contract!$A$2:$A$9,Contract!$B$2:$B$9)</f>
        <v>0.43</v>
      </c>
      <c r="S1777" s="1">
        <f t="shared" si="108"/>
        <v>90.3</v>
      </c>
      <c r="T1777" s="1">
        <f t="shared" si="109"/>
        <v>-15.340000000000003</v>
      </c>
      <c r="U1777" s="1" t="str">
        <f t="shared" si="110"/>
        <v>OK</v>
      </c>
      <c r="V1777" s="1" t="str">
        <f>_xlfn.XLOOKUP(C1777,Payers!$A$2:$A$9,Payers!$B$2:$B$9)</f>
        <v>Summit Health Commercial</v>
      </c>
      <c r="W1777" s="1" t="str">
        <f t="shared" si="111"/>
        <v>2026-08</v>
      </c>
    </row>
    <row r="1778" spans="1:23">
      <c r="A1778" s="1" t="s">
        <v>3227</v>
      </c>
      <c r="B1778" s="1" t="s">
        <v>1173</v>
      </c>
      <c r="C1778" s="1" t="s">
        <v>25</v>
      </c>
      <c r="D1778" s="1" t="s">
        <v>26</v>
      </c>
      <c r="E1778" s="1" t="s">
        <v>27</v>
      </c>
      <c r="F1778">
        <v>1</v>
      </c>
      <c r="G1778" s="2">
        <v>46000</v>
      </c>
      <c r="H1778" s="2">
        <v>46001</v>
      </c>
      <c r="I1778">
        <v>239.86</v>
      </c>
      <c r="J1778">
        <v>85.99</v>
      </c>
      <c r="K1778">
        <v>85.99</v>
      </c>
      <c r="L1778">
        <v>0</v>
      </c>
      <c r="M1778" s="1" t="s">
        <v>21</v>
      </c>
      <c r="N1778" s="1" t="s">
        <v>22</v>
      </c>
      <c r="O1778" s="2">
        <v>46019</v>
      </c>
      <c r="P1778" s="2">
        <v>46019</v>
      </c>
      <c r="Q1778">
        <f>_xlfn.XLOOKUP(E1778,CPT!$A$2:$A$13,CPT!$D$2:$D$13)</f>
        <v>240</v>
      </c>
      <c r="R1778" s="1">
        <f>_xlfn.XLOOKUP(C1778,Contract!$A$2:$A$9,Contract!$B$2:$B$9)</f>
        <v>0.36</v>
      </c>
      <c r="S1778" s="1">
        <f t="shared" si="108"/>
        <v>86.4</v>
      </c>
      <c r="T1778" s="1">
        <f t="shared" si="109"/>
        <v>0.4100000000000108</v>
      </c>
      <c r="U1778" s="1" t="str">
        <f t="shared" si="110"/>
        <v>OK</v>
      </c>
      <c r="V1778" s="1" t="str">
        <f>_xlfn.XLOOKUP(C1778,Payers!$A$2:$A$9,Payers!$B$2:$B$9)</f>
        <v>Medicare Part B</v>
      </c>
      <c r="W1778" s="1" t="str">
        <f t="shared" si="111"/>
        <v>2025-12</v>
      </c>
    </row>
    <row r="1779" spans="1:23">
      <c r="A1779" s="1" t="s">
        <v>3228</v>
      </c>
      <c r="B1779" s="1" t="s">
        <v>3123</v>
      </c>
      <c r="C1779" s="1" t="s">
        <v>52</v>
      </c>
      <c r="D1779" s="1" t="s">
        <v>19</v>
      </c>
      <c r="E1779" s="1" t="s">
        <v>88</v>
      </c>
      <c r="F1779">
        <v>1</v>
      </c>
      <c r="G1779" s="2">
        <v>46201</v>
      </c>
      <c r="H1779" s="2">
        <v>46203</v>
      </c>
      <c r="I1779">
        <v>263.98</v>
      </c>
      <c r="J1779">
        <v>113.53</v>
      </c>
      <c r="K1779">
        <v>113.53</v>
      </c>
      <c r="L1779">
        <v>0</v>
      </c>
      <c r="M1779" s="1" t="s">
        <v>21</v>
      </c>
      <c r="N1779" s="1" t="s">
        <v>22</v>
      </c>
      <c r="O1779" s="2">
        <v>46255</v>
      </c>
      <c r="P1779" s="2">
        <v>46255</v>
      </c>
      <c r="Q1779">
        <f>_xlfn.XLOOKUP(E1779,CPT!$A$2:$A$13,CPT!$D$2:$D$13)</f>
        <v>260</v>
      </c>
      <c r="R1779" s="1">
        <f>_xlfn.XLOOKUP(C1779,Contract!$A$2:$A$9,Contract!$B$2:$B$9)</f>
        <v>0.47</v>
      </c>
      <c r="S1779" s="1">
        <f t="shared" si="108"/>
        <v>122.2</v>
      </c>
      <c r="T1779" s="1">
        <f t="shared" si="109"/>
        <v>8.6700000000000017</v>
      </c>
      <c r="U1779" s="1" t="str">
        <f t="shared" si="110"/>
        <v>Underpaid</v>
      </c>
      <c r="V1779" s="1" t="str">
        <f>_xlfn.XLOOKUP(C1779,Payers!$A$2:$A$9,Payers!$B$2:$B$9)</f>
        <v>Keystone Commercial PPO</v>
      </c>
      <c r="W1779" s="1" t="str">
        <f t="shared" si="111"/>
        <v>2026-06</v>
      </c>
    </row>
    <row r="1780" spans="1:23">
      <c r="A1780" s="1" t="s">
        <v>3229</v>
      </c>
      <c r="B1780" s="1" t="s">
        <v>3230</v>
      </c>
      <c r="C1780" s="1" t="s">
        <v>52</v>
      </c>
      <c r="D1780" s="1" t="s">
        <v>19</v>
      </c>
      <c r="E1780" s="1" t="s">
        <v>20</v>
      </c>
      <c r="F1780">
        <v>1</v>
      </c>
      <c r="G1780" s="2">
        <v>46136</v>
      </c>
      <c r="H1780" s="2">
        <v>46142</v>
      </c>
      <c r="I1780">
        <v>142.91</v>
      </c>
      <c r="J1780">
        <v>75.09</v>
      </c>
      <c r="K1780">
        <v>75.09</v>
      </c>
      <c r="L1780">
        <v>0</v>
      </c>
      <c r="M1780" s="1" t="s">
        <v>21</v>
      </c>
      <c r="N1780" s="1" t="s">
        <v>22</v>
      </c>
      <c r="O1780" s="2">
        <v>46172</v>
      </c>
      <c r="P1780" s="2">
        <v>46172</v>
      </c>
      <c r="Q1780">
        <f>_xlfn.XLOOKUP(E1780,CPT!$A$2:$A$13,CPT!$D$2:$D$13)</f>
        <v>145</v>
      </c>
      <c r="R1780" s="1">
        <f>_xlfn.XLOOKUP(C1780,Contract!$A$2:$A$9,Contract!$B$2:$B$9)</f>
        <v>0.47</v>
      </c>
      <c r="S1780" s="1">
        <f t="shared" si="108"/>
        <v>68.150000000000006</v>
      </c>
      <c r="T1780" s="1">
        <f t="shared" si="109"/>
        <v>-6.9399999999999977</v>
      </c>
      <c r="U1780" s="1" t="str">
        <f t="shared" si="110"/>
        <v>OK</v>
      </c>
      <c r="V1780" s="1" t="str">
        <f>_xlfn.XLOOKUP(C1780,Payers!$A$2:$A$9,Payers!$B$2:$B$9)</f>
        <v>Keystone Commercial PPO</v>
      </c>
      <c r="W1780" s="1" t="str">
        <f t="shared" si="111"/>
        <v>2026-04</v>
      </c>
    </row>
    <row r="1781" spans="1:23">
      <c r="A1781" s="1" t="s">
        <v>3231</v>
      </c>
      <c r="B1781" s="1" t="s">
        <v>93</v>
      </c>
      <c r="C1781" s="1" t="s">
        <v>25</v>
      </c>
      <c r="D1781" s="1" t="s">
        <v>26</v>
      </c>
      <c r="E1781" s="1" t="s">
        <v>27</v>
      </c>
      <c r="F1781">
        <v>1</v>
      </c>
      <c r="G1781" s="2">
        <v>46073</v>
      </c>
      <c r="H1781" s="2">
        <v>46076</v>
      </c>
      <c r="I1781">
        <v>246.31</v>
      </c>
      <c r="J1781">
        <v>98.91</v>
      </c>
      <c r="K1781">
        <v>89.02</v>
      </c>
      <c r="L1781">
        <v>9.89</v>
      </c>
      <c r="M1781" s="1" t="s">
        <v>21</v>
      </c>
      <c r="N1781" s="1" t="s">
        <v>22</v>
      </c>
      <c r="O1781" s="2">
        <v>46088</v>
      </c>
      <c r="P1781" s="2">
        <v>46088</v>
      </c>
      <c r="Q1781">
        <f>_xlfn.XLOOKUP(E1781,CPT!$A$2:$A$13,CPT!$D$2:$D$13)</f>
        <v>240</v>
      </c>
      <c r="R1781" s="1">
        <f>_xlfn.XLOOKUP(C1781,Contract!$A$2:$A$9,Contract!$B$2:$B$9)</f>
        <v>0.36</v>
      </c>
      <c r="S1781" s="1">
        <f t="shared" si="108"/>
        <v>86.4</v>
      </c>
      <c r="T1781" s="1">
        <f t="shared" si="109"/>
        <v>-12.509999999999991</v>
      </c>
      <c r="U1781" s="1" t="str">
        <f t="shared" si="110"/>
        <v>OK</v>
      </c>
      <c r="V1781" s="1" t="str">
        <f>_xlfn.XLOOKUP(C1781,Payers!$A$2:$A$9,Payers!$B$2:$B$9)</f>
        <v>Medicare Part B</v>
      </c>
      <c r="W1781" s="1" t="str">
        <f t="shared" si="111"/>
        <v>2026-02</v>
      </c>
    </row>
    <row r="1782" spans="1:23">
      <c r="A1782" s="1" t="s">
        <v>3232</v>
      </c>
      <c r="B1782" s="1" t="s">
        <v>3233</v>
      </c>
      <c r="C1782" s="1" t="s">
        <v>36</v>
      </c>
      <c r="D1782" s="1" t="s">
        <v>30</v>
      </c>
      <c r="E1782" s="1" t="s">
        <v>31</v>
      </c>
      <c r="F1782">
        <v>3</v>
      </c>
      <c r="G1782" s="2">
        <v>46099</v>
      </c>
      <c r="H1782" s="2">
        <v>46102</v>
      </c>
      <c r="I1782">
        <v>188.77</v>
      </c>
      <c r="M1782" s="1" t="s">
        <v>32</v>
      </c>
      <c r="N1782" s="1" t="s">
        <v>33</v>
      </c>
      <c r="O1782" s="2">
        <v>46134</v>
      </c>
      <c r="P1782" s="2"/>
      <c r="Q1782">
        <f>_xlfn.XLOOKUP(E1782,CPT!$A$2:$A$13,CPT!$D$2:$D$13)</f>
        <v>62</v>
      </c>
      <c r="R1782" s="1">
        <f>_xlfn.XLOOKUP(C1782,Contract!$A$2:$A$9,Contract!$B$2:$B$9)</f>
        <v>0.27</v>
      </c>
      <c r="S1782" s="1">
        <f t="shared" si="108"/>
        <v>50.22</v>
      </c>
      <c r="T1782" s="1" t="str">
        <f t="shared" si="109"/>
        <v/>
      </c>
      <c r="U1782" s="1" t="str">
        <f t="shared" si="110"/>
        <v/>
      </c>
      <c r="V1782" s="1" t="str">
        <f>_xlfn.XLOOKUP(C1782,Payers!$A$2:$A$9,Payers!$B$2:$B$9)</f>
        <v>Florida Medicaid</v>
      </c>
      <c r="W1782" s="1" t="str">
        <f t="shared" si="111"/>
        <v>2026-03</v>
      </c>
    </row>
    <row r="1783" spans="1:23">
      <c r="A1783" s="1" t="s">
        <v>3234</v>
      </c>
      <c r="B1783" s="1" t="s">
        <v>1944</v>
      </c>
      <c r="C1783" s="1" t="s">
        <v>18</v>
      </c>
      <c r="D1783" s="1" t="s">
        <v>30</v>
      </c>
      <c r="E1783" s="1" t="s">
        <v>31</v>
      </c>
      <c r="F1783">
        <v>4</v>
      </c>
      <c r="G1783" s="2">
        <v>46069</v>
      </c>
      <c r="H1783" s="2">
        <v>46070</v>
      </c>
      <c r="I1783">
        <v>251.95</v>
      </c>
      <c r="M1783" s="1" t="s">
        <v>32</v>
      </c>
      <c r="N1783" s="1" t="s">
        <v>124</v>
      </c>
      <c r="O1783" s="2">
        <v>46109</v>
      </c>
      <c r="P1783" s="2"/>
      <c r="Q1783">
        <f>_xlfn.XLOOKUP(E1783,CPT!$A$2:$A$13,CPT!$D$2:$D$13)</f>
        <v>62</v>
      </c>
      <c r="R1783" s="1">
        <f>_xlfn.XLOOKUP(C1783,Contract!$A$2:$A$9,Contract!$B$2:$B$9)</f>
        <v>0.38</v>
      </c>
      <c r="S1783" s="1">
        <f t="shared" si="108"/>
        <v>94.24</v>
      </c>
      <c r="T1783" s="1" t="str">
        <f t="shared" si="109"/>
        <v/>
      </c>
      <c r="U1783" s="1" t="str">
        <f t="shared" si="110"/>
        <v/>
      </c>
      <c r="V1783" s="1" t="str">
        <f>_xlfn.XLOOKUP(C1783,Payers!$A$2:$A$9,Payers!$B$2:$B$9)</f>
        <v>Sunshine Medicare Advantage</v>
      </c>
      <c r="W1783" s="1" t="str">
        <f t="shared" si="111"/>
        <v>2026-02</v>
      </c>
    </row>
    <row r="1784" spans="1:23">
      <c r="A1784" s="1" t="s">
        <v>3235</v>
      </c>
      <c r="B1784" s="1" t="s">
        <v>3236</v>
      </c>
      <c r="C1784" s="1" t="s">
        <v>60</v>
      </c>
      <c r="D1784" s="1" t="s">
        <v>37</v>
      </c>
      <c r="E1784" s="1" t="s">
        <v>48</v>
      </c>
      <c r="F1784">
        <v>1</v>
      </c>
      <c r="G1784" s="2">
        <v>46044</v>
      </c>
      <c r="H1784" s="2">
        <v>46045</v>
      </c>
      <c r="I1784">
        <v>425.85</v>
      </c>
      <c r="J1784">
        <v>190.14</v>
      </c>
      <c r="K1784">
        <v>190.14</v>
      </c>
      <c r="L1784">
        <v>0</v>
      </c>
      <c r="M1784" s="1" t="s">
        <v>21</v>
      </c>
      <c r="N1784" s="1" t="s">
        <v>22</v>
      </c>
      <c r="O1784" s="2">
        <v>46079</v>
      </c>
      <c r="P1784" s="2">
        <v>46079</v>
      </c>
      <c r="Q1784">
        <f>_xlfn.XLOOKUP(E1784,CPT!$A$2:$A$13,CPT!$D$2:$D$13)</f>
        <v>420</v>
      </c>
      <c r="R1784" s="1">
        <f>_xlfn.XLOOKUP(C1784,Contract!$A$2:$A$9,Contract!$B$2:$B$9)</f>
        <v>0.45</v>
      </c>
      <c r="S1784" s="1">
        <f t="shared" si="108"/>
        <v>189</v>
      </c>
      <c r="T1784" s="1">
        <f t="shared" si="109"/>
        <v>-1.1399999999999864</v>
      </c>
      <c r="U1784" s="1" t="str">
        <f t="shared" si="110"/>
        <v>OK</v>
      </c>
      <c r="V1784" s="1" t="str">
        <f>_xlfn.XLOOKUP(C1784,Payers!$A$2:$A$9,Payers!$B$2:$B$9)</f>
        <v>Blue Horizon Commercial</v>
      </c>
      <c r="W1784" s="1" t="str">
        <f t="shared" si="111"/>
        <v>2026-01</v>
      </c>
    </row>
    <row r="1785" spans="1:23">
      <c r="A1785" s="1" t="s">
        <v>3237</v>
      </c>
      <c r="B1785" s="1" t="s">
        <v>3238</v>
      </c>
      <c r="C1785" s="1" t="s">
        <v>25</v>
      </c>
      <c r="D1785" s="1" t="s">
        <v>26</v>
      </c>
      <c r="E1785" s="1" t="s">
        <v>88</v>
      </c>
      <c r="F1785">
        <v>1</v>
      </c>
      <c r="G1785" s="2">
        <v>45988</v>
      </c>
      <c r="H1785" s="2">
        <v>45990</v>
      </c>
      <c r="I1785">
        <v>266.89999999999998</v>
      </c>
      <c r="J1785">
        <v>100.18</v>
      </c>
      <c r="K1785">
        <v>80.14</v>
      </c>
      <c r="L1785">
        <v>20.04</v>
      </c>
      <c r="M1785" s="1" t="s">
        <v>21</v>
      </c>
      <c r="N1785" s="1" t="s">
        <v>22</v>
      </c>
      <c r="O1785" s="2">
        <v>46008</v>
      </c>
      <c r="P1785" s="2">
        <v>46008</v>
      </c>
      <c r="Q1785">
        <f>_xlfn.XLOOKUP(E1785,CPT!$A$2:$A$13,CPT!$D$2:$D$13)</f>
        <v>260</v>
      </c>
      <c r="R1785" s="1">
        <f>_xlfn.XLOOKUP(C1785,Contract!$A$2:$A$9,Contract!$B$2:$B$9)</f>
        <v>0.36</v>
      </c>
      <c r="S1785" s="1">
        <f t="shared" si="108"/>
        <v>93.6</v>
      </c>
      <c r="T1785" s="1">
        <f t="shared" si="109"/>
        <v>-6.5800000000000125</v>
      </c>
      <c r="U1785" s="1" t="str">
        <f t="shared" si="110"/>
        <v>OK</v>
      </c>
      <c r="V1785" s="1" t="str">
        <f>_xlfn.XLOOKUP(C1785,Payers!$A$2:$A$9,Payers!$B$2:$B$9)</f>
        <v>Medicare Part B</v>
      </c>
      <c r="W1785" s="1" t="str">
        <f t="shared" si="111"/>
        <v>2025-11</v>
      </c>
    </row>
    <row r="1786" spans="1:23">
      <c r="A1786" s="1" t="s">
        <v>3239</v>
      </c>
      <c r="B1786" s="1" t="s">
        <v>478</v>
      </c>
      <c r="C1786" s="1" t="s">
        <v>76</v>
      </c>
      <c r="D1786" s="1" t="s">
        <v>26</v>
      </c>
      <c r="E1786" s="1" t="s">
        <v>57</v>
      </c>
      <c r="F1786">
        <v>1</v>
      </c>
      <c r="G1786" s="2">
        <v>46109</v>
      </c>
      <c r="H1786" s="2">
        <v>46110</v>
      </c>
      <c r="I1786">
        <v>207.03</v>
      </c>
      <c r="M1786" s="1" t="s">
        <v>32</v>
      </c>
      <c r="N1786" s="1" t="s">
        <v>33</v>
      </c>
      <c r="O1786" s="2">
        <v>46151</v>
      </c>
      <c r="P1786" s="2"/>
      <c r="Q1786">
        <f>_xlfn.XLOOKUP(E1786,CPT!$A$2:$A$13,CPT!$D$2:$D$13)</f>
        <v>210</v>
      </c>
      <c r="R1786" s="1">
        <f>_xlfn.XLOOKUP(C1786,Contract!$A$2:$A$9,Contract!$B$2:$B$9)</f>
        <v>0.43</v>
      </c>
      <c r="S1786" s="1">
        <f t="shared" si="108"/>
        <v>90.3</v>
      </c>
      <c r="T1786" s="1" t="str">
        <f t="shared" si="109"/>
        <v/>
      </c>
      <c r="U1786" s="1" t="str">
        <f t="shared" si="110"/>
        <v/>
      </c>
      <c r="V1786" s="1" t="str">
        <f>_xlfn.XLOOKUP(C1786,Payers!$A$2:$A$9,Payers!$B$2:$B$9)</f>
        <v>Summit Health Commercial</v>
      </c>
      <c r="W1786" s="1" t="str">
        <f t="shared" si="111"/>
        <v>2026-03</v>
      </c>
    </row>
    <row r="1787" spans="1:23">
      <c r="A1787" s="1" t="s">
        <v>3240</v>
      </c>
      <c r="B1787" s="1" t="s">
        <v>3241</v>
      </c>
      <c r="C1787" s="1" t="s">
        <v>52</v>
      </c>
      <c r="D1787" s="1" t="s">
        <v>37</v>
      </c>
      <c r="E1787" s="1" t="s">
        <v>48</v>
      </c>
      <c r="F1787">
        <v>1</v>
      </c>
      <c r="G1787" s="2">
        <v>45999</v>
      </c>
      <c r="H1787" s="2">
        <v>46005</v>
      </c>
      <c r="I1787">
        <v>407.58</v>
      </c>
      <c r="M1787" s="1" t="s">
        <v>32</v>
      </c>
      <c r="N1787" s="1" t="s">
        <v>315</v>
      </c>
      <c r="O1787" s="2">
        <v>46073</v>
      </c>
      <c r="P1787" s="2"/>
      <c r="Q1787">
        <f>_xlfn.XLOOKUP(E1787,CPT!$A$2:$A$13,CPT!$D$2:$D$13)</f>
        <v>420</v>
      </c>
      <c r="R1787" s="1">
        <f>_xlfn.XLOOKUP(C1787,Contract!$A$2:$A$9,Contract!$B$2:$B$9)</f>
        <v>0.47</v>
      </c>
      <c r="S1787" s="1">
        <f t="shared" si="108"/>
        <v>197.4</v>
      </c>
      <c r="T1787" s="1" t="str">
        <f t="shared" si="109"/>
        <v/>
      </c>
      <c r="U1787" s="1" t="str">
        <f t="shared" si="110"/>
        <v/>
      </c>
      <c r="V1787" s="1" t="str">
        <f>_xlfn.XLOOKUP(C1787,Payers!$A$2:$A$9,Payers!$B$2:$B$9)</f>
        <v>Keystone Commercial PPO</v>
      </c>
      <c r="W1787" s="1" t="str">
        <f t="shared" si="111"/>
        <v>2025-12</v>
      </c>
    </row>
    <row r="1788" spans="1:23">
      <c r="A1788" s="1" t="s">
        <v>3242</v>
      </c>
      <c r="B1788" s="1" t="s">
        <v>3243</v>
      </c>
      <c r="C1788" s="1" t="s">
        <v>25</v>
      </c>
      <c r="D1788" s="1" t="s">
        <v>37</v>
      </c>
      <c r="E1788" s="1" t="s">
        <v>38</v>
      </c>
      <c r="F1788">
        <v>20</v>
      </c>
      <c r="G1788" s="2">
        <v>46012</v>
      </c>
      <c r="H1788" s="2">
        <v>46019</v>
      </c>
      <c r="I1788">
        <v>28775.94</v>
      </c>
      <c r="J1788">
        <v>10821.01</v>
      </c>
      <c r="K1788">
        <v>9738.91</v>
      </c>
      <c r="L1788">
        <v>1082.0999999999999</v>
      </c>
      <c r="M1788" s="1" t="s">
        <v>21</v>
      </c>
      <c r="N1788" s="1" t="s">
        <v>22</v>
      </c>
      <c r="O1788" s="2">
        <v>46042</v>
      </c>
      <c r="P1788" s="2">
        <v>46042</v>
      </c>
      <c r="Q1788">
        <f>_xlfn.XLOOKUP(E1788,CPT!$A$2:$A$13,CPT!$D$2:$D$13)</f>
        <v>1450</v>
      </c>
      <c r="R1788" s="1">
        <f>_xlfn.XLOOKUP(C1788,Contract!$A$2:$A$9,Contract!$B$2:$B$9)</f>
        <v>0.36</v>
      </c>
      <c r="S1788" s="1">
        <f t="shared" si="108"/>
        <v>10440</v>
      </c>
      <c r="T1788" s="1">
        <f t="shared" si="109"/>
        <v>-381.01000000000022</v>
      </c>
      <c r="U1788" s="1" t="str">
        <f t="shared" si="110"/>
        <v>OK</v>
      </c>
      <c r="V1788" s="1" t="str">
        <f>_xlfn.XLOOKUP(C1788,Payers!$A$2:$A$9,Payers!$B$2:$B$9)</f>
        <v>Medicare Part B</v>
      </c>
      <c r="W1788" s="1" t="str">
        <f t="shared" si="111"/>
        <v>2025-12</v>
      </c>
    </row>
    <row r="1789" spans="1:23">
      <c r="A1789" s="1" t="s">
        <v>3244</v>
      </c>
      <c r="B1789" s="1" t="s">
        <v>3245</v>
      </c>
      <c r="C1789" s="1" t="s">
        <v>60</v>
      </c>
      <c r="D1789" s="1" t="s">
        <v>30</v>
      </c>
      <c r="E1789" s="1" t="s">
        <v>31</v>
      </c>
      <c r="F1789">
        <v>3</v>
      </c>
      <c r="G1789" s="2">
        <v>46072</v>
      </c>
      <c r="H1789" s="2">
        <v>46073</v>
      </c>
      <c r="I1789">
        <v>191.05</v>
      </c>
      <c r="J1789">
        <v>76.64</v>
      </c>
      <c r="K1789">
        <v>61.31</v>
      </c>
      <c r="L1789">
        <v>15.33</v>
      </c>
      <c r="M1789" s="1" t="s">
        <v>21</v>
      </c>
      <c r="N1789" s="1" t="s">
        <v>22</v>
      </c>
      <c r="O1789" s="2">
        <v>46104</v>
      </c>
      <c r="P1789" s="2">
        <v>46104</v>
      </c>
      <c r="Q1789">
        <f>_xlfn.XLOOKUP(E1789,CPT!$A$2:$A$13,CPT!$D$2:$D$13)</f>
        <v>62</v>
      </c>
      <c r="R1789" s="1">
        <f>_xlfn.XLOOKUP(C1789,Contract!$A$2:$A$9,Contract!$B$2:$B$9)</f>
        <v>0.45</v>
      </c>
      <c r="S1789" s="1">
        <f t="shared" si="108"/>
        <v>83.7</v>
      </c>
      <c r="T1789" s="1">
        <f t="shared" si="109"/>
        <v>7.0600000000000023</v>
      </c>
      <c r="U1789" s="1" t="str">
        <f t="shared" si="110"/>
        <v>Underpaid</v>
      </c>
      <c r="V1789" s="1" t="str">
        <f>_xlfn.XLOOKUP(C1789,Payers!$A$2:$A$9,Payers!$B$2:$B$9)</f>
        <v>Blue Horizon Commercial</v>
      </c>
      <c r="W1789" s="1" t="str">
        <f t="shared" si="111"/>
        <v>2026-02</v>
      </c>
    </row>
    <row r="1790" spans="1:23">
      <c r="A1790" s="1" t="s">
        <v>3246</v>
      </c>
      <c r="B1790" s="1" t="s">
        <v>3247</v>
      </c>
      <c r="C1790" s="1" t="s">
        <v>76</v>
      </c>
      <c r="D1790" s="1" t="s">
        <v>30</v>
      </c>
      <c r="E1790" s="1" t="s">
        <v>20</v>
      </c>
      <c r="F1790">
        <v>1</v>
      </c>
      <c r="G1790" s="2">
        <v>46024</v>
      </c>
      <c r="H1790" s="2">
        <v>46025</v>
      </c>
      <c r="I1790">
        <v>142.19</v>
      </c>
      <c r="J1790">
        <v>54.06</v>
      </c>
      <c r="K1790">
        <v>54.06</v>
      </c>
      <c r="L1790">
        <v>0</v>
      </c>
      <c r="M1790" s="1" t="s">
        <v>21</v>
      </c>
      <c r="N1790" s="1" t="s">
        <v>22</v>
      </c>
      <c r="O1790" s="2">
        <v>46055</v>
      </c>
      <c r="P1790" s="2">
        <v>46055</v>
      </c>
      <c r="Q1790">
        <f>_xlfn.XLOOKUP(E1790,CPT!$A$2:$A$13,CPT!$D$2:$D$13)</f>
        <v>145</v>
      </c>
      <c r="R1790" s="1">
        <f>_xlfn.XLOOKUP(C1790,Contract!$A$2:$A$9,Contract!$B$2:$B$9)</f>
        <v>0.43</v>
      </c>
      <c r="S1790" s="1">
        <f t="shared" si="108"/>
        <v>62.35</v>
      </c>
      <c r="T1790" s="1">
        <f t="shared" si="109"/>
        <v>8.2899999999999991</v>
      </c>
      <c r="U1790" s="1" t="str">
        <f t="shared" si="110"/>
        <v>Underpaid</v>
      </c>
      <c r="V1790" s="1" t="str">
        <f>_xlfn.XLOOKUP(C1790,Payers!$A$2:$A$9,Payers!$B$2:$B$9)</f>
        <v>Summit Health Commercial</v>
      </c>
      <c r="W1790" s="1" t="str">
        <f t="shared" si="111"/>
        <v>2026-01</v>
      </c>
    </row>
    <row r="1791" spans="1:23">
      <c r="A1791" s="1" t="s">
        <v>3248</v>
      </c>
      <c r="B1791" s="1" t="s">
        <v>1992</v>
      </c>
      <c r="C1791" s="1" t="s">
        <v>25</v>
      </c>
      <c r="D1791" s="1" t="s">
        <v>19</v>
      </c>
      <c r="E1791" s="1" t="s">
        <v>20</v>
      </c>
      <c r="F1791">
        <v>1</v>
      </c>
      <c r="G1791" s="2">
        <v>46249</v>
      </c>
      <c r="H1791" s="2">
        <v>46250</v>
      </c>
      <c r="I1791">
        <v>141.1</v>
      </c>
      <c r="J1791">
        <v>49.72</v>
      </c>
      <c r="K1791">
        <v>39.78</v>
      </c>
      <c r="L1791">
        <v>9.94</v>
      </c>
      <c r="M1791" s="1" t="s">
        <v>21</v>
      </c>
      <c r="N1791" s="1" t="s">
        <v>22</v>
      </c>
      <c r="O1791" s="2">
        <v>46272</v>
      </c>
      <c r="P1791" s="2">
        <v>46272</v>
      </c>
      <c r="Q1791">
        <f>_xlfn.XLOOKUP(E1791,CPT!$A$2:$A$13,CPT!$D$2:$D$13)</f>
        <v>145</v>
      </c>
      <c r="R1791" s="1">
        <f>_xlfn.XLOOKUP(C1791,Contract!$A$2:$A$9,Contract!$B$2:$B$9)</f>
        <v>0.36</v>
      </c>
      <c r="S1791" s="1">
        <f t="shared" si="108"/>
        <v>52.2</v>
      </c>
      <c r="T1791" s="1">
        <f t="shared" si="109"/>
        <v>2.480000000000004</v>
      </c>
      <c r="U1791" s="1" t="str">
        <f t="shared" si="110"/>
        <v>OK</v>
      </c>
      <c r="V1791" s="1" t="str">
        <f>_xlfn.XLOOKUP(C1791,Payers!$A$2:$A$9,Payers!$B$2:$B$9)</f>
        <v>Medicare Part B</v>
      </c>
      <c r="W1791" s="1" t="str">
        <f t="shared" si="111"/>
        <v>2026-08</v>
      </c>
    </row>
    <row r="1792" spans="1:23">
      <c r="A1792" s="1" t="s">
        <v>3249</v>
      </c>
      <c r="B1792" s="1" t="s">
        <v>3250</v>
      </c>
      <c r="C1792" s="1" t="s">
        <v>60</v>
      </c>
      <c r="D1792" s="1" t="s">
        <v>26</v>
      </c>
      <c r="E1792" s="1" t="s">
        <v>88</v>
      </c>
      <c r="F1792">
        <v>1</v>
      </c>
      <c r="G1792" s="2">
        <v>46135</v>
      </c>
      <c r="H1792" s="2">
        <v>46140</v>
      </c>
      <c r="I1792">
        <v>259.2</v>
      </c>
      <c r="M1792" s="1" t="s">
        <v>32</v>
      </c>
      <c r="N1792" s="1" t="s">
        <v>49</v>
      </c>
      <c r="O1792" s="2">
        <v>46175</v>
      </c>
      <c r="P1792" s="2"/>
      <c r="Q1792">
        <f>_xlfn.XLOOKUP(E1792,CPT!$A$2:$A$13,CPT!$D$2:$D$13)</f>
        <v>260</v>
      </c>
      <c r="R1792" s="1">
        <f>_xlfn.XLOOKUP(C1792,Contract!$A$2:$A$9,Contract!$B$2:$B$9)</f>
        <v>0.45</v>
      </c>
      <c r="S1792" s="1">
        <f t="shared" si="108"/>
        <v>117</v>
      </c>
      <c r="T1792" s="1" t="str">
        <f t="shared" si="109"/>
        <v/>
      </c>
      <c r="U1792" s="1" t="str">
        <f t="shared" si="110"/>
        <v/>
      </c>
      <c r="V1792" s="1" t="str">
        <f>_xlfn.XLOOKUP(C1792,Payers!$A$2:$A$9,Payers!$B$2:$B$9)</f>
        <v>Blue Horizon Commercial</v>
      </c>
      <c r="W1792" s="1" t="str">
        <f t="shared" si="111"/>
        <v>2026-04</v>
      </c>
    </row>
    <row r="1793" spans="1:23">
      <c r="A1793" s="1" t="s">
        <v>3251</v>
      </c>
      <c r="B1793" s="1" t="s">
        <v>2037</v>
      </c>
      <c r="C1793" s="1" t="s">
        <v>60</v>
      </c>
      <c r="D1793" s="1" t="s">
        <v>19</v>
      </c>
      <c r="E1793" s="1" t="s">
        <v>20</v>
      </c>
      <c r="F1793">
        <v>1</v>
      </c>
      <c r="G1793" s="2">
        <v>46169</v>
      </c>
      <c r="H1793" s="2">
        <v>46171</v>
      </c>
      <c r="I1793">
        <v>144.79</v>
      </c>
      <c r="M1793" s="1" t="s">
        <v>32</v>
      </c>
      <c r="N1793" s="1" t="s">
        <v>124</v>
      </c>
      <c r="O1793" s="2">
        <v>46200</v>
      </c>
      <c r="P1793" s="2"/>
      <c r="Q1793">
        <f>_xlfn.XLOOKUP(E1793,CPT!$A$2:$A$13,CPT!$D$2:$D$13)</f>
        <v>145</v>
      </c>
      <c r="R1793" s="1">
        <f>_xlfn.XLOOKUP(C1793,Contract!$A$2:$A$9,Contract!$B$2:$B$9)</f>
        <v>0.45</v>
      </c>
      <c r="S1793" s="1">
        <f t="shared" si="108"/>
        <v>65.25</v>
      </c>
      <c r="T1793" s="1" t="str">
        <f t="shared" si="109"/>
        <v/>
      </c>
      <c r="U1793" s="1" t="str">
        <f t="shared" si="110"/>
        <v/>
      </c>
      <c r="V1793" s="1" t="str">
        <f>_xlfn.XLOOKUP(C1793,Payers!$A$2:$A$9,Payers!$B$2:$B$9)</f>
        <v>Blue Horizon Commercial</v>
      </c>
      <c r="W1793" s="1" t="str">
        <f t="shared" si="111"/>
        <v>2026-05</v>
      </c>
    </row>
    <row r="1794" spans="1:23">
      <c r="A1794" s="1" t="s">
        <v>3252</v>
      </c>
      <c r="B1794" s="1" t="s">
        <v>3253</v>
      </c>
      <c r="C1794" s="1" t="s">
        <v>52</v>
      </c>
      <c r="D1794" s="1" t="s">
        <v>26</v>
      </c>
      <c r="E1794" s="1" t="s">
        <v>44</v>
      </c>
      <c r="F1794">
        <v>1</v>
      </c>
      <c r="G1794" s="2">
        <v>46246</v>
      </c>
      <c r="H1794" s="2">
        <v>46247</v>
      </c>
      <c r="I1794">
        <v>4788.91</v>
      </c>
      <c r="J1794">
        <v>2371.42</v>
      </c>
      <c r="K1794">
        <v>2371.42</v>
      </c>
      <c r="L1794">
        <v>0</v>
      </c>
      <c r="M1794" s="1" t="s">
        <v>21</v>
      </c>
      <c r="N1794" s="1" t="s">
        <v>22</v>
      </c>
      <c r="O1794" s="2">
        <v>46294</v>
      </c>
      <c r="P1794" s="2">
        <v>46294</v>
      </c>
      <c r="Q1794">
        <f>_xlfn.XLOOKUP(E1794,CPT!$A$2:$A$13,CPT!$D$2:$D$13)</f>
        <v>4800</v>
      </c>
      <c r="R1794" s="1">
        <f>_xlfn.XLOOKUP(C1794,Contract!$A$2:$A$9,Contract!$B$2:$B$9)</f>
        <v>0.47</v>
      </c>
      <c r="S1794" s="1">
        <f t="shared" ref="S1794:S1857" si="112">ROUND(Q1794*F1794*R1794,2)</f>
        <v>2256</v>
      </c>
      <c r="T1794" s="1">
        <f t="shared" ref="T1794:T1857" si="113">IF(M1794="Paid",S1794-J1794,"")</f>
        <v>-115.42000000000007</v>
      </c>
      <c r="U1794" s="1" t="str">
        <f t="shared" ref="U1794:U1857" si="114">IF(M1794&lt;&gt;"Paid","",IF(T1794&gt;S1794*0.05,"Underpaid","OK"))</f>
        <v>OK</v>
      </c>
      <c r="V1794" s="1" t="str">
        <f>_xlfn.XLOOKUP(C1794,Payers!$A$2:$A$9,Payers!$B$2:$B$9)</f>
        <v>Keystone Commercial PPO</v>
      </c>
      <c r="W1794" s="1" t="str">
        <f t="shared" ref="W1794:W1857" si="115">TEXT(G1794,"yyyy-mm")</f>
        <v>2026-08</v>
      </c>
    </row>
    <row r="1795" spans="1:23">
      <c r="A1795" s="1" t="s">
        <v>3254</v>
      </c>
      <c r="B1795" s="1" t="s">
        <v>3255</v>
      </c>
      <c r="C1795" s="1" t="s">
        <v>60</v>
      </c>
      <c r="D1795" s="1" t="s">
        <v>30</v>
      </c>
      <c r="E1795" s="1" t="s">
        <v>20</v>
      </c>
      <c r="F1795">
        <v>1</v>
      </c>
      <c r="G1795" s="2">
        <v>46191</v>
      </c>
      <c r="H1795" s="2">
        <v>46192</v>
      </c>
      <c r="I1795">
        <v>144.76</v>
      </c>
      <c r="J1795">
        <v>57.44</v>
      </c>
      <c r="K1795">
        <v>51.7</v>
      </c>
      <c r="L1795">
        <v>5.74</v>
      </c>
      <c r="M1795" s="1" t="s">
        <v>21</v>
      </c>
      <c r="N1795" s="1" t="s">
        <v>22</v>
      </c>
      <c r="O1795" s="2">
        <v>46223</v>
      </c>
      <c r="P1795" s="2">
        <v>46223</v>
      </c>
      <c r="Q1795">
        <f>_xlfn.XLOOKUP(E1795,CPT!$A$2:$A$13,CPT!$D$2:$D$13)</f>
        <v>145</v>
      </c>
      <c r="R1795" s="1">
        <f>_xlfn.XLOOKUP(C1795,Contract!$A$2:$A$9,Contract!$B$2:$B$9)</f>
        <v>0.45</v>
      </c>
      <c r="S1795" s="1">
        <f t="shared" si="112"/>
        <v>65.25</v>
      </c>
      <c r="T1795" s="1">
        <f t="shared" si="113"/>
        <v>7.8100000000000023</v>
      </c>
      <c r="U1795" s="1" t="str">
        <f t="shared" si="114"/>
        <v>Underpaid</v>
      </c>
      <c r="V1795" s="1" t="str">
        <f>_xlfn.XLOOKUP(C1795,Payers!$A$2:$A$9,Payers!$B$2:$B$9)</f>
        <v>Blue Horizon Commercial</v>
      </c>
      <c r="W1795" s="1" t="str">
        <f t="shared" si="115"/>
        <v>2026-06</v>
      </c>
    </row>
    <row r="1796" spans="1:23">
      <c r="A1796" s="1" t="s">
        <v>3256</v>
      </c>
      <c r="B1796" s="1" t="s">
        <v>3257</v>
      </c>
      <c r="C1796" s="1" t="s">
        <v>18</v>
      </c>
      <c r="D1796" s="1" t="s">
        <v>30</v>
      </c>
      <c r="E1796" s="1" t="s">
        <v>20</v>
      </c>
      <c r="F1796">
        <v>1</v>
      </c>
      <c r="G1796" s="2">
        <v>46139</v>
      </c>
      <c r="H1796" s="2">
        <v>46166</v>
      </c>
      <c r="I1796">
        <v>147.54</v>
      </c>
      <c r="M1796" s="1" t="s">
        <v>32</v>
      </c>
      <c r="N1796" s="1" t="s">
        <v>168</v>
      </c>
      <c r="O1796" s="2">
        <v>46216</v>
      </c>
      <c r="P1796" s="2"/>
      <c r="Q1796">
        <f>_xlfn.XLOOKUP(E1796,CPT!$A$2:$A$13,CPT!$D$2:$D$13)</f>
        <v>145</v>
      </c>
      <c r="R1796" s="1">
        <f>_xlfn.XLOOKUP(C1796,Contract!$A$2:$A$9,Contract!$B$2:$B$9)</f>
        <v>0.38</v>
      </c>
      <c r="S1796" s="1">
        <f t="shared" si="112"/>
        <v>55.1</v>
      </c>
      <c r="T1796" s="1" t="str">
        <f t="shared" si="113"/>
        <v/>
      </c>
      <c r="U1796" s="1" t="str">
        <f t="shared" si="114"/>
        <v/>
      </c>
      <c r="V1796" s="1" t="str">
        <f>_xlfn.XLOOKUP(C1796,Payers!$A$2:$A$9,Payers!$B$2:$B$9)</f>
        <v>Sunshine Medicare Advantage</v>
      </c>
      <c r="W1796" s="1" t="str">
        <f t="shared" si="115"/>
        <v>2026-04</v>
      </c>
    </row>
    <row r="1797" spans="1:23">
      <c r="A1797" s="1" t="s">
        <v>3258</v>
      </c>
      <c r="B1797" s="1" t="s">
        <v>3259</v>
      </c>
      <c r="C1797" s="1" t="s">
        <v>18</v>
      </c>
      <c r="D1797" s="1" t="s">
        <v>26</v>
      </c>
      <c r="E1797" s="1" t="s">
        <v>57</v>
      </c>
      <c r="F1797">
        <v>1</v>
      </c>
      <c r="G1797" s="2">
        <v>46081</v>
      </c>
      <c r="H1797" s="2">
        <v>46092</v>
      </c>
      <c r="I1797">
        <v>214.5</v>
      </c>
      <c r="M1797" s="1" t="s">
        <v>32</v>
      </c>
      <c r="N1797" s="1" t="s">
        <v>124</v>
      </c>
      <c r="O1797" s="2">
        <v>46144</v>
      </c>
      <c r="P1797" s="2"/>
      <c r="Q1797">
        <f>_xlfn.XLOOKUP(E1797,CPT!$A$2:$A$13,CPT!$D$2:$D$13)</f>
        <v>210</v>
      </c>
      <c r="R1797" s="1">
        <f>_xlfn.XLOOKUP(C1797,Contract!$A$2:$A$9,Contract!$B$2:$B$9)</f>
        <v>0.38</v>
      </c>
      <c r="S1797" s="1">
        <f t="shared" si="112"/>
        <v>79.8</v>
      </c>
      <c r="T1797" s="1" t="str">
        <f t="shared" si="113"/>
        <v/>
      </c>
      <c r="U1797" s="1" t="str">
        <f t="shared" si="114"/>
        <v/>
      </c>
      <c r="V1797" s="1" t="str">
        <f>_xlfn.XLOOKUP(C1797,Payers!$A$2:$A$9,Payers!$B$2:$B$9)</f>
        <v>Sunshine Medicare Advantage</v>
      </c>
      <c r="W1797" s="1" t="str">
        <f t="shared" si="115"/>
        <v>2026-02</v>
      </c>
    </row>
    <row r="1798" spans="1:23">
      <c r="A1798" s="1" t="s">
        <v>3260</v>
      </c>
      <c r="B1798" s="1" t="s">
        <v>2220</v>
      </c>
      <c r="C1798" s="1" t="s">
        <v>60</v>
      </c>
      <c r="D1798" s="1" t="s">
        <v>37</v>
      </c>
      <c r="E1798" s="1" t="s">
        <v>38</v>
      </c>
      <c r="F1798">
        <v>5</v>
      </c>
      <c r="G1798" s="2">
        <v>46271</v>
      </c>
      <c r="H1798" s="2">
        <v>46273</v>
      </c>
      <c r="I1798">
        <v>7286.25</v>
      </c>
      <c r="J1798">
        <v>3582.63</v>
      </c>
      <c r="K1798">
        <v>3582.63</v>
      </c>
      <c r="L1798">
        <v>0</v>
      </c>
      <c r="M1798" s="1" t="s">
        <v>21</v>
      </c>
      <c r="N1798" s="1" t="s">
        <v>22</v>
      </c>
      <c r="O1798" s="2">
        <v>46295</v>
      </c>
      <c r="P1798" s="2">
        <v>46295</v>
      </c>
      <c r="Q1798">
        <f>_xlfn.XLOOKUP(E1798,CPT!$A$2:$A$13,CPT!$D$2:$D$13)</f>
        <v>1450</v>
      </c>
      <c r="R1798" s="1">
        <f>_xlfn.XLOOKUP(C1798,Contract!$A$2:$A$9,Contract!$B$2:$B$9)</f>
        <v>0.45</v>
      </c>
      <c r="S1798" s="1">
        <f t="shared" si="112"/>
        <v>3262.5</v>
      </c>
      <c r="T1798" s="1">
        <f t="shared" si="113"/>
        <v>-320.13000000000011</v>
      </c>
      <c r="U1798" s="1" t="str">
        <f t="shared" si="114"/>
        <v>OK</v>
      </c>
      <c r="V1798" s="1" t="str">
        <f>_xlfn.XLOOKUP(C1798,Payers!$A$2:$A$9,Payers!$B$2:$B$9)</f>
        <v>Blue Horizon Commercial</v>
      </c>
      <c r="W1798" s="1" t="str">
        <f t="shared" si="115"/>
        <v>2026-09</v>
      </c>
    </row>
    <row r="1799" spans="1:23">
      <c r="A1799" s="1" t="s">
        <v>3261</v>
      </c>
      <c r="B1799" s="1" t="s">
        <v>3262</v>
      </c>
      <c r="C1799" s="1" t="s">
        <v>25</v>
      </c>
      <c r="D1799" s="1" t="s">
        <v>37</v>
      </c>
      <c r="E1799" s="1" t="s">
        <v>48</v>
      </c>
      <c r="F1799">
        <v>1</v>
      </c>
      <c r="G1799" s="2">
        <v>46111</v>
      </c>
      <c r="H1799" s="2">
        <v>46113</v>
      </c>
      <c r="I1799">
        <v>415.36</v>
      </c>
      <c r="J1799">
        <v>145.30000000000001</v>
      </c>
      <c r="K1799">
        <v>116.24</v>
      </c>
      <c r="L1799">
        <v>29.06</v>
      </c>
      <c r="M1799" s="1" t="s">
        <v>21</v>
      </c>
      <c r="N1799" s="1" t="s">
        <v>22</v>
      </c>
      <c r="O1799" s="2">
        <v>46131</v>
      </c>
      <c r="P1799" s="2">
        <v>46131</v>
      </c>
      <c r="Q1799">
        <f>_xlfn.XLOOKUP(E1799,CPT!$A$2:$A$13,CPT!$D$2:$D$13)</f>
        <v>420</v>
      </c>
      <c r="R1799" s="1">
        <f>_xlfn.XLOOKUP(C1799,Contract!$A$2:$A$9,Contract!$B$2:$B$9)</f>
        <v>0.36</v>
      </c>
      <c r="S1799" s="1">
        <f t="shared" si="112"/>
        <v>151.19999999999999</v>
      </c>
      <c r="T1799" s="1">
        <f t="shared" si="113"/>
        <v>5.8999999999999773</v>
      </c>
      <c r="U1799" s="1" t="str">
        <f t="shared" si="114"/>
        <v>OK</v>
      </c>
      <c r="V1799" s="1" t="str">
        <f>_xlfn.XLOOKUP(C1799,Payers!$A$2:$A$9,Payers!$B$2:$B$9)</f>
        <v>Medicare Part B</v>
      </c>
      <c r="W1799" s="1" t="str">
        <f t="shared" si="115"/>
        <v>2026-03</v>
      </c>
    </row>
    <row r="1800" spans="1:23">
      <c r="A1800" s="1" t="s">
        <v>3263</v>
      </c>
      <c r="B1800" s="1" t="s">
        <v>2934</v>
      </c>
      <c r="C1800" s="1" t="s">
        <v>25</v>
      </c>
      <c r="D1800" s="1" t="s">
        <v>30</v>
      </c>
      <c r="E1800" s="1" t="s">
        <v>20</v>
      </c>
      <c r="F1800">
        <v>1</v>
      </c>
      <c r="G1800" s="2">
        <v>46277</v>
      </c>
      <c r="H1800" s="2">
        <v>46289</v>
      </c>
      <c r="I1800">
        <v>141.82</v>
      </c>
      <c r="M1800" s="1" t="s">
        <v>69</v>
      </c>
      <c r="N1800" s="1" t="s">
        <v>22</v>
      </c>
      <c r="O1800" s="2"/>
      <c r="P1800" s="2"/>
      <c r="Q1800">
        <f>_xlfn.XLOOKUP(E1800,CPT!$A$2:$A$13,CPT!$D$2:$D$13)</f>
        <v>145</v>
      </c>
      <c r="R1800" s="1">
        <f>_xlfn.XLOOKUP(C1800,Contract!$A$2:$A$9,Contract!$B$2:$B$9)</f>
        <v>0.36</v>
      </c>
      <c r="S1800" s="1">
        <f t="shared" si="112"/>
        <v>52.2</v>
      </c>
      <c r="T1800" s="1" t="str">
        <f t="shared" si="113"/>
        <v/>
      </c>
      <c r="U1800" s="1" t="str">
        <f t="shared" si="114"/>
        <v/>
      </c>
      <c r="V1800" s="1" t="str">
        <f>_xlfn.XLOOKUP(C1800,Payers!$A$2:$A$9,Payers!$B$2:$B$9)</f>
        <v>Medicare Part B</v>
      </c>
      <c r="W1800" s="1" t="str">
        <f t="shared" si="115"/>
        <v>2026-09</v>
      </c>
    </row>
    <row r="1801" spans="1:23">
      <c r="A1801" s="1" t="s">
        <v>3264</v>
      </c>
      <c r="B1801" s="1" t="s">
        <v>404</v>
      </c>
      <c r="C1801" s="1" t="s">
        <v>60</v>
      </c>
      <c r="D1801" s="1" t="s">
        <v>26</v>
      </c>
      <c r="E1801" s="1" t="s">
        <v>41</v>
      </c>
      <c r="F1801">
        <v>1</v>
      </c>
      <c r="G1801" s="2">
        <v>46205</v>
      </c>
      <c r="H1801" s="2">
        <v>46213</v>
      </c>
      <c r="I1801">
        <v>38.19</v>
      </c>
      <c r="J1801">
        <v>16.809999999999999</v>
      </c>
      <c r="K1801">
        <v>13.45</v>
      </c>
      <c r="L1801">
        <v>3.36</v>
      </c>
      <c r="M1801" s="1" t="s">
        <v>21</v>
      </c>
      <c r="N1801" s="1" t="s">
        <v>22</v>
      </c>
      <c r="O1801" s="2">
        <v>46242</v>
      </c>
      <c r="P1801" s="2">
        <v>46242</v>
      </c>
      <c r="Q1801">
        <f>_xlfn.XLOOKUP(E1801,CPT!$A$2:$A$13,CPT!$D$2:$D$13)</f>
        <v>38</v>
      </c>
      <c r="R1801" s="1">
        <f>_xlfn.XLOOKUP(C1801,Contract!$A$2:$A$9,Contract!$B$2:$B$9)</f>
        <v>0.45</v>
      </c>
      <c r="S1801" s="1">
        <f t="shared" si="112"/>
        <v>17.100000000000001</v>
      </c>
      <c r="T1801" s="1">
        <f t="shared" si="113"/>
        <v>0.2900000000000027</v>
      </c>
      <c r="U1801" s="1" t="str">
        <f t="shared" si="114"/>
        <v>OK</v>
      </c>
      <c r="V1801" s="1" t="str">
        <f>_xlfn.XLOOKUP(C1801,Payers!$A$2:$A$9,Payers!$B$2:$B$9)</f>
        <v>Blue Horizon Commercial</v>
      </c>
      <c r="W1801" s="1" t="str">
        <f t="shared" si="115"/>
        <v>2026-07</v>
      </c>
    </row>
    <row r="1802" spans="1:23">
      <c r="A1802" s="1" t="s">
        <v>3265</v>
      </c>
      <c r="B1802" s="1" t="s">
        <v>3266</v>
      </c>
      <c r="C1802" s="1" t="s">
        <v>25</v>
      </c>
      <c r="D1802" s="1" t="s">
        <v>37</v>
      </c>
      <c r="E1802" s="1" t="s">
        <v>57</v>
      </c>
      <c r="F1802">
        <v>1</v>
      </c>
      <c r="G1802" s="2">
        <v>46205</v>
      </c>
      <c r="H1802" s="2">
        <v>46207</v>
      </c>
      <c r="I1802">
        <v>214.85</v>
      </c>
      <c r="J1802">
        <v>84.35</v>
      </c>
      <c r="K1802">
        <v>67.48</v>
      </c>
      <c r="L1802">
        <v>16.87</v>
      </c>
      <c r="M1802" s="1" t="s">
        <v>21</v>
      </c>
      <c r="N1802" s="1" t="s">
        <v>22</v>
      </c>
      <c r="O1802" s="2">
        <v>46230</v>
      </c>
      <c r="P1802" s="2">
        <v>46230</v>
      </c>
      <c r="Q1802">
        <f>_xlfn.XLOOKUP(E1802,CPT!$A$2:$A$13,CPT!$D$2:$D$13)</f>
        <v>210</v>
      </c>
      <c r="R1802" s="1">
        <f>_xlfn.XLOOKUP(C1802,Contract!$A$2:$A$9,Contract!$B$2:$B$9)</f>
        <v>0.36</v>
      </c>
      <c r="S1802" s="1">
        <f t="shared" si="112"/>
        <v>75.599999999999994</v>
      </c>
      <c r="T1802" s="1">
        <f t="shared" si="113"/>
        <v>-8.75</v>
      </c>
      <c r="U1802" s="1" t="str">
        <f t="shared" si="114"/>
        <v>OK</v>
      </c>
      <c r="V1802" s="1" t="str">
        <f>_xlfn.XLOOKUP(C1802,Payers!$A$2:$A$9,Payers!$B$2:$B$9)</f>
        <v>Medicare Part B</v>
      </c>
      <c r="W1802" s="1" t="str">
        <f t="shared" si="115"/>
        <v>2026-07</v>
      </c>
    </row>
    <row r="1803" spans="1:23">
      <c r="A1803" s="1" t="s">
        <v>3267</v>
      </c>
      <c r="B1803" s="1" t="s">
        <v>3268</v>
      </c>
      <c r="C1803" s="1" t="s">
        <v>79</v>
      </c>
      <c r="D1803" s="1" t="s">
        <v>26</v>
      </c>
      <c r="E1803" s="1" t="s">
        <v>113</v>
      </c>
      <c r="F1803">
        <v>1</v>
      </c>
      <c r="G1803" s="2">
        <v>45935</v>
      </c>
      <c r="H1803" s="2">
        <v>45937</v>
      </c>
      <c r="I1803">
        <v>1050.01</v>
      </c>
      <c r="M1803" s="1" t="s">
        <v>69</v>
      </c>
      <c r="N1803" s="1" t="s">
        <v>22</v>
      </c>
      <c r="O1803" s="2"/>
      <c r="P1803" s="2"/>
      <c r="Q1803">
        <f>_xlfn.XLOOKUP(E1803,CPT!$A$2:$A$13,CPT!$D$2:$D$13)</f>
        <v>1050</v>
      </c>
      <c r="R1803" s="1">
        <f>_xlfn.XLOOKUP(C1803,Contract!$A$2:$A$9,Contract!$B$2:$B$9)</f>
        <v>1</v>
      </c>
      <c r="S1803" s="1">
        <f t="shared" si="112"/>
        <v>1050</v>
      </c>
      <c r="T1803" s="1" t="str">
        <f t="shared" si="113"/>
        <v/>
      </c>
      <c r="U1803" s="1" t="str">
        <f t="shared" si="114"/>
        <v/>
      </c>
      <c r="V1803" s="1" t="str">
        <f>_xlfn.XLOOKUP(C1803,Payers!$A$2:$A$9,Payers!$B$2:$B$9)</f>
        <v>Self-Pay</v>
      </c>
      <c r="W1803" s="1" t="str">
        <f t="shared" si="115"/>
        <v>2025-10</v>
      </c>
    </row>
    <row r="1804" spans="1:23">
      <c r="A1804" s="1" t="s">
        <v>3269</v>
      </c>
      <c r="B1804" s="1" t="s">
        <v>3270</v>
      </c>
      <c r="C1804" s="1" t="s">
        <v>25</v>
      </c>
      <c r="D1804" s="1" t="s">
        <v>26</v>
      </c>
      <c r="E1804" s="1" t="s">
        <v>44</v>
      </c>
      <c r="F1804">
        <v>1</v>
      </c>
      <c r="G1804" s="2">
        <v>45976</v>
      </c>
      <c r="H1804" s="2">
        <v>45977</v>
      </c>
      <c r="I1804">
        <v>4937.3</v>
      </c>
      <c r="M1804" s="1" t="s">
        <v>32</v>
      </c>
      <c r="N1804" s="1" t="s">
        <v>315</v>
      </c>
      <c r="O1804" s="2">
        <v>45998</v>
      </c>
      <c r="P1804" s="2"/>
      <c r="Q1804">
        <f>_xlfn.XLOOKUP(E1804,CPT!$A$2:$A$13,CPT!$D$2:$D$13)</f>
        <v>4800</v>
      </c>
      <c r="R1804" s="1">
        <f>_xlfn.XLOOKUP(C1804,Contract!$A$2:$A$9,Contract!$B$2:$B$9)</f>
        <v>0.36</v>
      </c>
      <c r="S1804" s="1">
        <f t="shared" si="112"/>
        <v>1728</v>
      </c>
      <c r="T1804" s="1" t="str">
        <f t="shared" si="113"/>
        <v/>
      </c>
      <c r="U1804" s="1" t="str">
        <f t="shared" si="114"/>
        <v/>
      </c>
      <c r="V1804" s="1" t="str">
        <f>_xlfn.XLOOKUP(C1804,Payers!$A$2:$A$9,Payers!$B$2:$B$9)</f>
        <v>Medicare Part B</v>
      </c>
      <c r="W1804" s="1" t="str">
        <f t="shared" si="115"/>
        <v>2025-11</v>
      </c>
    </row>
    <row r="1805" spans="1:23">
      <c r="A1805" s="1" t="s">
        <v>3271</v>
      </c>
      <c r="B1805" s="1" t="s">
        <v>2579</v>
      </c>
      <c r="C1805" s="1" t="s">
        <v>60</v>
      </c>
      <c r="D1805" s="1" t="s">
        <v>30</v>
      </c>
      <c r="E1805" s="1" t="s">
        <v>20</v>
      </c>
      <c r="F1805">
        <v>1</v>
      </c>
      <c r="G1805" s="2">
        <v>46032</v>
      </c>
      <c r="H1805" s="2">
        <v>46048</v>
      </c>
      <c r="I1805">
        <v>147.47999999999999</v>
      </c>
      <c r="J1805">
        <v>65.069999999999993</v>
      </c>
      <c r="K1805">
        <v>52.06</v>
      </c>
      <c r="L1805">
        <v>13.01</v>
      </c>
      <c r="M1805" s="1" t="s">
        <v>21</v>
      </c>
      <c r="N1805" s="1" t="s">
        <v>22</v>
      </c>
      <c r="O1805" s="2">
        <v>46082</v>
      </c>
      <c r="P1805" s="2">
        <v>46082</v>
      </c>
      <c r="Q1805">
        <f>_xlfn.XLOOKUP(E1805,CPT!$A$2:$A$13,CPT!$D$2:$D$13)</f>
        <v>145</v>
      </c>
      <c r="R1805" s="1">
        <f>_xlfn.XLOOKUP(C1805,Contract!$A$2:$A$9,Contract!$B$2:$B$9)</f>
        <v>0.45</v>
      </c>
      <c r="S1805" s="1">
        <f t="shared" si="112"/>
        <v>65.25</v>
      </c>
      <c r="T1805" s="1">
        <f t="shared" si="113"/>
        <v>0.18000000000000682</v>
      </c>
      <c r="U1805" s="1" t="str">
        <f t="shared" si="114"/>
        <v>OK</v>
      </c>
      <c r="V1805" s="1" t="str">
        <f>_xlfn.XLOOKUP(C1805,Payers!$A$2:$A$9,Payers!$B$2:$B$9)</f>
        <v>Blue Horizon Commercial</v>
      </c>
      <c r="W1805" s="1" t="str">
        <f t="shared" si="115"/>
        <v>2026-01</v>
      </c>
    </row>
    <row r="1806" spans="1:23">
      <c r="A1806" s="1" t="s">
        <v>3272</v>
      </c>
      <c r="B1806" s="1" t="s">
        <v>3273</v>
      </c>
      <c r="C1806" s="1" t="s">
        <v>60</v>
      </c>
      <c r="D1806" s="1" t="s">
        <v>19</v>
      </c>
      <c r="E1806" s="1" t="s">
        <v>20</v>
      </c>
      <c r="F1806">
        <v>1</v>
      </c>
      <c r="G1806" s="2">
        <v>46201</v>
      </c>
      <c r="H1806" s="2">
        <v>46203</v>
      </c>
      <c r="I1806">
        <v>144.22</v>
      </c>
      <c r="J1806">
        <v>69.23</v>
      </c>
      <c r="K1806">
        <v>69.23</v>
      </c>
      <c r="L1806">
        <v>0</v>
      </c>
      <c r="M1806" s="1" t="s">
        <v>21</v>
      </c>
      <c r="N1806" s="1" t="s">
        <v>22</v>
      </c>
      <c r="O1806" s="2">
        <v>46234</v>
      </c>
      <c r="P1806" s="2">
        <v>46234</v>
      </c>
      <c r="Q1806">
        <f>_xlfn.XLOOKUP(E1806,CPT!$A$2:$A$13,CPT!$D$2:$D$13)</f>
        <v>145</v>
      </c>
      <c r="R1806" s="1">
        <f>_xlfn.XLOOKUP(C1806,Contract!$A$2:$A$9,Contract!$B$2:$B$9)</f>
        <v>0.45</v>
      </c>
      <c r="S1806" s="1">
        <f t="shared" si="112"/>
        <v>65.25</v>
      </c>
      <c r="T1806" s="1">
        <f t="shared" si="113"/>
        <v>-3.980000000000004</v>
      </c>
      <c r="U1806" s="1" t="str">
        <f t="shared" si="114"/>
        <v>OK</v>
      </c>
      <c r="V1806" s="1" t="str">
        <f>_xlfn.XLOOKUP(C1806,Payers!$A$2:$A$9,Payers!$B$2:$B$9)</f>
        <v>Blue Horizon Commercial</v>
      </c>
      <c r="W1806" s="1" t="str">
        <f t="shared" si="115"/>
        <v>2026-06</v>
      </c>
    </row>
    <row r="1807" spans="1:23">
      <c r="A1807" s="1" t="s">
        <v>3274</v>
      </c>
      <c r="B1807" s="1" t="s">
        <v>2444</v>
      </c>
      <c r="C1807" s="1" t="s">
        <v>18</v>
      </c>
      <c r="D1807" s="1" t="s">
        <v>37</v>
      </c>
      <c r="E1807" s="1" t="s">
        <v>48</v>
      </c>
      <c r="F1807">
        <v>1</v>
      </c>
      <c r="G1807" s="2">
        <v>46006</v>
      </c>
      <c r="H1807" s="2">
        <v>46008</v>
      </c>
      <c r="I1807">
        <v>429.23</v>
      </c>
      <c r="J1807">
        <v>183.52</v>
      </c>
      <c r="K1807">
        <v>183.52</v>
      </c>
      <c r="L1807">
        <v>0</v>
      </c>
      <c r="M1807" s="1" t="s">
        <v>21</v>
      </c>
      <c r="N1807" s="1" t="s">
        <v>22</v>
      </c>
      <c r="O1807" s="2">
        <v>46060</v>
      </c>
      <c r="P1807" s="2">
        <v>46060</v>
      </c>
      <c r="Q1807">
        <f>_xlfn.XLOOKUP(E1807,CPT!$A$2:$A$13,CPT!$D$2:$D$13)</f>
        <v>420</v>
      </c>
      <c r="R1807" s="1">
        <f>_xlfn.XLOOKUP(C1807,Contract!$A$2:$A$9,Contract!$B$2:$B$9)</f>
        <v>0.38</v>
      </c>
      <c r="S1807" s="1">
        <f t="shared" si="112"/>
        <v>159.6</v>
      </c>
      <c r="T1807" s="1">
        <f t="shared" si="113"/>
        <v>-23.920000000000016</v>
      </c>
      <c r="U1807" s="1" t="str">
        <f t="shared" si="114"/>
        <v>OK</v>
      </c>
      <c r="V1807" s="1" t="str">
        <f>_xlfn.XLOOKUP(C1807,Payers!$A$2:$A$9,Payers!$B$2:$B$9)</f>
        <v>Sunshine Medicare Advantage</v>
      </c>
      <c r="W1807" s="1" t="str">
        <f t="shared" si="115"/>
        <v>2025-12</v>
      </c>
    </row>
    <row r="1808" spans="1:23">
      <c r="A1808" s="1" t="s">
        <v>3275</v>
      </c>
      <c r="B1808" s="1" t="s">
        <v>1882</v>
      </c>
      <c r="C1808" s="1" t="s">
        <v>25</v>
      </c>
      <c r="D1808" s="1" t="s">
        <v>26</v>
      </c>
      <c r="E1808" s="1" t="s">
        <v>88</v>
      </c>
      <c r="F1808">
        <v>1</v>
      </c>
      <c r="G1808" s="2">
        <v>46123</v>
      </c>
      <c r="H1808" s="2">
        <v>46125</v>
      </c>
      <c r="I1808">
        <v>256.08</v>
      </c>
      <c r="J1808">
        <v>89.42</v>
      </c>
      <c r="K1808">
        <v>89.42</v>
      </c>
      <c r="L1808">
        <v>0</v>
      </c>
      <c r="M1808" s="1" t="s">
        <v>21</v>
      </c>
      <c r="N1808" s="1" t="s">
        <v>22</v>
      </c>
      <c r="O1808" s="2">
        <v>46143</v>
      </c>
      <c r="P1808" s="2">
        <v>46143</v>
      </c>
      <c r="Q1808">
        <f>_xlfn.XLOOKUP(E1808,CPT!$A$2:$A$13,CPT!$D$2:$D$13)</f>
        <v>260</v>
      </c>
      <c r="R1808" s="1">
        <f>_xlfn.XLOOKUP(C1808,Contract!$A$2:$A$9,Contract!$B$2:$B$9)</f>
        <v>0.36</v>
      </c>
      <c r="S1808" s="1">
        <f t="shared" si="112"/>
        <v>93.6</v>
      </c>
      <c r="T1808" s="1">
        <f t="shared" si="113"/>
        <v>4.1799999999999926</v>
      </c>
      <c r="U1808" s="1" t="str">
        <f t="shared" si="114"/>
        <v>OK</v>
      </c>
      <c r="V1808" s="1" t="str">
        <f>_xlfn.XLOOKUP(C1808,Payers!$A$2:$A$9,Payers!$B$2:$B$9)</f>
        <v>Medicare Part B</v>
      </c>
      <c r="W1808" s="1" t="str">
        <f t="shared" si="115"/>
        <v>2026-04</v>
      </c>
    </row>
    <row r="1809" spans="1:23">
      <c r="A1809" s="1" t="s">
        <v>3276</v>
      </c>
      <c r="B1809" s="1" t="s">
        <v>3277</v>
      </c>
      <c r="C1809" s="1" t="s">
        <v>60</v>
      </c>
      <c r="D1809" s="1" t="s">
        <v>19</v>
      </c>
      <c r="E1809" s="1" t="s">
        <v>20</v>
      </c>
      <c r="F1809">
        <v>1</v>
      </c>
      <c r="G1809" s="2">
        <v>45991</v>
      </c>
      <c r="H1809" s="2">
        <v>45992</v>
      </c>
      <c r="I1809">
        <v>144.18</v>
      </c>
      <c r="J1809">
        <v>72.06</v>
      </c>
      <c r="K1809">
        <v>72.06</v>
      </c>
      <c r="L1809">
        <v>0</v>
      </c>
      <c r="M1809" s="1" t="s">
        <v>21</v>
      </c>
      <c r="N1809" s="1" t="s">
        <v>22</v>
      </c>
      <c r="O1809" s="2">
        <v>46024</v>
      </c>
      <c r="P1809" s="2">
        <v>46024</v>
      </c>
      <c r="Q1809">
        <f>_xlfn.XLOOKUP(E1809,CPT!$A$2:$A$13,CPT!$D$2:$D$13)</f>
        <v>145</v>
      </c>
      <c r="R1809" s="1">
        <f>_xlfn.XLOOKUP(C1809,Contract!$A$2:$A$9,Contract!$B$2:$B$9)</f>
        <v>0.45</v>
      </c>
      <c r="S1809" s="1">
        <f t="shared" si="112"/>
        <v>65.25</v>
      </c>
      <c r="T1809" s="1">
        <f t="shared" si="113"/>
        <v>-6.8100000000000023</v>
      </c>
      <c r="U1809" s="1" t="str">
        <f t="shared" si="114"/>
        <v>OK</v>
      </c>
      <c r="V1809" s="1" t="str">
        <f>_xlfn.XLOOKUP(C1809,Payers!$A$2:$A$9,Payers!$B$2:$B$9)</f>
        <v>Blue Horizon Commercial</v>
      </c>
      <c r="W1809" s="1" t="str">
        <f t="shared" si="115"/>
        <v>2025-11</v>
      </c>
    </row>
    <row r="1810" spans="1:23">
      <c r="A1810" s="1" t="s">
        <v>3278</v>
      </c>
      <c r="B1810" s="1" t="s">
        <v>3279</v>
      </c>
      <c r="C1810" s="1" t="s">
        <v>36</v>
      </c>
      <c r="D1810" s="1" t="s">
        <v>19</v>
      </c>
      <c r="E1810" s="1" t="s">
        <v>57</v>
      </c>
      <c r="F1810">
        <v>1</v>
      </c>
      <c r="G1810" s="2">
        <v>46002</v>
      </c>
      <c r="H1810" s="2">
        <v>46003</v>
      </c>
      <c r="I1810">
        <v>212.34</v>
      </c>
      <c r="J1810">
        <v>63.25</v>
      </c>
      <c r="K1810">
        <v>50.6</v>
      </c>
      <c r="L1810">
        <v>12.65</v>
      </c>
      <c r="M1810" s="1" t="s">
        <v>21</v>
      </c>
      <c r="N1810" s="1" t="s">
        <v>22</v>
      </c>
      <c r="O1810" s="2">
        <v>46029</v>
      </c>
      <c r="P1810" s="2">
        <v>46029</v>
      </c>
      <c r="Q1810">
        <f>_xlfn.XLOOKUP(E1810,CPT!$A$2:$A$13,CPT!$D$2:$D$13)</f>
        <v>210</v>
      </c>
      <c r="R1810" s="1">
        <f>_xlfn.XLOOKUP(C1810,Contract!$A$2:$A$9,Contract!$B$2:$B$9)</f>
        <v>0.27</v>
      </c>
      <c r="S1810" s="1">
        <f t="shared" si="112"/>
        <v>56.7</v>
      </c>
      <c r="T1810" s="1">
        <f t="shared" si="113"/>
        <v>-6.5499999999999972</v>
      </c>
      <c r="U1810" s="1" t="str">
        <f t="shared" si="114"/>
        <v>OK</v>
      </c>
      <c r="V1810" s="1" t="str">
        <f>_xlfn.XLOOKUP(C1810,Payers!$A$2:$A$9,Payers!$B$2:$B$9)</f>
        <v>Florida Medicaid</v>
      </c>
      <c r="W1810" s="1" t="str">
        <f t="shared" si="115"/>
        <v>2025-12</v>
      </c>
    </row>
    <row r="1811" spans="1:23">
      <c r="A1811" s="1" t="s">
        <v>3280</v>
      </c>
      <c r="B1811" s="1" t="s">
        <v>3281</v>
      </c>
      <c r="C1811" s="1" t="s">
        <v>76</v>
      </c>
      <c r="D1811" s="1" t="s">
        <v>37</v>
      </c>
      <c r="E1811" s="1" t="s">
        <v>38</v>
      </c>
      <c r="F1811">
        <v>20</v>
      </c>
      <c r="G1811" s="2">
        <v>46208</v>
      </c>
      <c r="H1811" s="2">
        <v>46227</v>
      </c>
      <c r="I1811">
        <v>28652.35</v>
      </c>
      <c r="J1811">
        <v>13936.3</v>
      </c>
      <c r="K1811">
        <v>11149.04</v>
      </c>
      <c r="L1811">
        <v>2787.26</v>
      </c>
      <c r="M1811" s="1" t="s">
        <v>21</v>
      </c>
      <c r="N1811" s="1" t="s">
        <v>22</v>
      </c>
      <c r="O1811" s="2">
        <v>46238</v>
      </c>
      <c r="P1811" s="2">
        <v>46238</v>
      </c>
      <c r="Q1811">
        <f>_xlfn.XLOOKUP(E1811,CPT!$A$2:$A$13,CPT!$D$2:$D$13)</f>
        <v>1450</v>
      </c>
      <c r="R1811" s="1">
        <f>_xlfn.XLOOKUP(C1811,Contract!$A$2:$A$9,Contract!$B$2:$B$9)</f>
        <v>0.43</v>
      </c>
      <c r="S1811" s="1">
        <f t="shared" si="112"/>
        <v>12470</v>
      </c>
      <c r="T1811" s="1">
        <f t="shared" si="113"/>
        <v>-1466.2999999999993</v>
      </c>
      <c r="U1811" s="1" t="str">
        <f t="shared" si="114"/>
        <v>OK</v>
      </c>
      <c r="V1811" s="1" t="str">
        <f>_xlfn.XLOOKUP(C1811,Payers!$A$2:$A$9,Payers!$B$2:$B$9)</f>
        <v>Summit Health Commercial</v>
      </c>
      <c r="W1811" s="1" t="str">
        <f t="shared" si="115"/>
        <v>2026-07</v>
      </c>
    </row>
    <row r="1812" spans="1:23">
      <c r="A1812" s="1" t="s">
        <v>3282</v>
      </c>
      <c r="B1812" s="1" t="s">
        <v>3283</v>
      </c>
      <c r="C1812" s="1" t="s">
        <v>76</v>
      </c>
      <c r="D1812" s="1" t="s">
        <v>30</v>
      </c>
      <c r="E1812" s="1" t="s">
        <v>91</v>
      </c>
      <c r="F1812">
        <v>1</v>
      </c>
      <c r="G1812" s="2">
        <v>45956</v>
      </c>
      <c r="H1812" s="2">
        <v>45963</v>
      </c>
      <c r="I1812">
        <v>59.47</v>
      </c>
      <c r="J1812">
        <v>26.88</v>
      </c>
      <c r="K1812">
        <v>26.88</v>
      </c>
      <c r="L1812">
        <v>0</v>
      </c>
      <c r="M1812" s="1" t="s">
        <v>21</v>
      </c>
      <c r="N1812" s="1" t="s">
        <v>22</v>
      </c>
      <c r="O1812" s="2">
        <v>45995</v>
      </c>
      <c r="P1812" s="2">
        <v>45995</v>
      </c>
      <c r="Q1812">
        <f>_xlfn.XLOOKUP(E1812,CPT!$A$2:$A$13,CPT!$D$2:$D$13)</f>
        <v>58</v>
      </c>
      <c r="R1812" s="1">
        <f>_xlfn.XLOOKUP(C1812,Contract!$A$2:$A$9,Contract!$B$2:$B$9)</f>
        <v>0.43</v>
      </c>
      <c r="S1812" s="1">
        <f t="shared" si="112"/>
        <v>24.94</v>
      </c>
      <c r="T1812" s="1">
        <f t="shared" si="113"/>
        <v>-1.9399999999999977</v>
      </c>
      <c r="U1812" s="1" t="str">
        <f t="shared" si="114"/>
        <v>OK</v>
      </c>
      <c r="V1812" s="1" t="str">
        <f>_xlfn.XLOOKUP(C1812,Payers!$A$2:$A$9,Payers!$B$2:$B$9)</f>
        <v>Summit Health Commercial</v>
      </c>
      <c r="W1812" s="1" t="str">
        <f t="shared" si="115"/>
        <v>2025-10</v>
      </c>
    </row>
    <row r="1813" spans="1:23">
      <c r="A1813" s="1" t="s">
        <v>3284</v>
      </c>
      <c r="B1813" s="1" t="s">
        <v>3285</v>
      </c>
      <c r="C1813" s="1" t="s">
        <v>60</v>
      </c>
      <c r="D1813" s="1" t="s">
        <v>30</v>
      </c>
      <c r="E1813" s="1" t="s">
        <v>91</v>
      </c>
      <c r="F1813">
        <v>3</v>
      </c>
      <c r="G1813" s="2">
        <v>45980</v>
      </c>
      <c r="H1813" s="2">
        <v>45982</v>
      </c>
      <c r="I1813">
        <v>177.99</v>
      </c>
      <c r="J1813">
        <v>76.84</v>
      </c>
      <c r="K1813">
        <v>69.16</v>
      </c>
      <c r="L1813">
        <v>7.68</v>
      </c>
      <c r="M1813" s="1" t="s">
        <v>21</v>
      </c>
      <c r="N1813" s="1" t="s">
        <v>22</v>
      </c>
      <c r="O1813" s="2">
        <v>46014</v>
      </c>
      <c r="P1813" s="2">
        <v>46014</v>
      </c>
      <c r="Q1813">
        <f>_xlfn.XLOOKUP(E1813,CPT!$A$2:$A$13,CPT!$D$2:$D$13)</f>
        <v>58</v>
      </c>
      <c r="R1813" s="1">
        <f>_xlfn.XLOOKUP(C1813,Contract!$A$2:$A$9,Contract!$B$2:$B$9)</f>
        <v>0.45</v>
      </c>
      <c r="S1813" s="1">
        <f t="shared" si="112"/>
        <v>78.3</v>
      </c>
      <c r="T1813" s="1">
        <f t="shared" si="113"/>
        <v>1.4599999999999937</v>
      </c>
      <c r="U1813" s="1" t="str">
        <f t="shared" si="114"/>
        <v>OK</v>
      </c>
      <c r="V1813" s="1" t="str">
        <f>_xlfn.XLOOKUP(C1813,Payers!$A$2:$A$9,Payers!$B$2:$B$9)</f>
        <v>Blue Horizon Commercial</v>
      </c>
      <c r="W1813" s="1" t="str">
        <f t="shared" si="115"/>
        <v>2025-11</v>
      </c>
    </row>
    <row r="1814" spans="1:23">
      <c r="A1814" s="1" t="s">
        <v>3286</v>
      </c>
      <c r="B1814" s="1" t="s">
        <v>3287</v>
      </c>
      <c r="C1814" s="1" t="s">
        <v>60</v>
      </c>
      <c r="D1814" s="1" t="s">
        <v>19</v>
      </c>
      <c r="E1814" s="1" t="s">
        <v>88</v>
      </c>
      <c r="F1814">
        <v>1</v>
      </c>
      <c r="G1814" s="2">
        <v>45940</v>
      </c>
      <c r="H1814" s="2">
        <v>45942</v>
      </c>
      <c r="I1814">
        <v>255.15</v>
      </c>
      <c r="J1814">
        <v>97.39</v>
      </c>
      <c r="K1814">
        <v>97.39</v>
      </c>
      <c r="L1814">
        <v>0</v>
      </c>
      <c r="M1814" s="1" t="s">
        <v>21</v>
      </c>
      <c r="N1814" s="1" t="s">
        <v>22</v>
      </c>
      <c r="O1814" s="2">
        <v>45965</v>
      </c>
      <c r="P1814" s="2">
        <v>45965</v>
      </c>
      <c r="Q1814">
        <f>_xlfn.XLOOKUP(E1814,CPT!$A$2:$A$13,CPT!$D$2:$D$13)</f>
        <v>260</v>
      </c>
      <c r="R1814" s="1">
        <f>_xlfn.XLOOKUP(C1814,Contract!$A$2:$A$9,Contract!$B$2:$B$9)</f>
        <v>0.45</v>
      </c>
      <c r="S1814" s="1">
        <f t="shared" si="112"/>
        <v>117</v>
      </c>
      <c r="T1814" s="1">
        <f t="shared" si="113"/>
        <v>19.61</v>
      </c>
      <c r="U1814" s="1" t="str">
        <f t="shared" si="114"/>
        <v>Underpaid</v>
      </c>
      <c r="V1814" s="1" t="str">
        <f>_xlfn.XLOOKUP(C1814,Payers!$A$2:$A$9,Payers!$B$2:$B$9)</f>
        <v>Blue Horizon Commercial</v>
      </c>
      <c r="W1814" s="1" t="str">
        <f t="shared" si="115"/>
        <v>2025-10</v>
      </c>
    </row>
    <row r="1815" spans="1:23">
      <c r="A1815" s="1" t="s">
        <v>3288</v>
      </c>
      <c r="B1815" s="1" t="s">
        <v>269</v>
      </c>
      <c r="C1815" s="1" t="s">
        <v>52</v>
      </c>
      <c r="D1815" s="1" t="s">
        <v>19</v>
      </c>
      <c r="E1815" s="1" t="s">
        <v>20</v>
      </c>
      <c r="F1815">
        <v>1</v>
      </c>
      <c r="G1815" s="2">
        <v>46123</v>
      </c>
      <c r="H1815" s="2">
        <v>46127</v>
      </c>
      <c r="I1815">
        <v>148.86000000000001</v>
      </c>
      <c r="J1815">
        <v>72.13</v>
      </c>
      <c r="K1815">
        <v>64.92</v>
      </c>
      <c r="L1815">
        <v>7.21</v>
      </c>
      <c r="M1815" s="1" t="s">
        <v>21</v>
      </c>
      <c r="N1815" s="1" t="s">
        <v>22</v>
      </c>
      <c r="O1815" s="2">
        <v>46181</v>
      </c>
      <c r="P1815" s="2">
        <v>46181</v>
      </c>
      <c r="Q1815">
        <f>_xlfn.XLOOKUP(E1815,CPT!$A$2:$A$13,CPT!$D$2:$D$13)</f>
        <v>145</v>
      </c>
      <c r="R1815" s="1">
        <f>_xlfn.XLOOKUP(C1815,Contract!$A$2:$A$9,Contract!$B$2:$B$9)</f>
        <v>0.47</v>
      </c>
      <c r="S1815" s="1">
        <f t="shared" si="112"/>
        <v>68.150000000000006</v>
      </c>
      <c r="T1815" s="1">
        <f t="shared" si="113"/>
        <v>-3.9799999999999898</v>
      </c>
      <c r="U1815" s="1" t="str">
        <f t="shared" si="114"/>
        <v>OK</v>
      </c>
      <c r="V1815" s="1" t="str">
        <f>_xlfn.XLOOKUP(C1815,Payers!$A$2:$A$9,Payers!$B$2:$B$9)</f>
        <v>Keystone Commercial PPO</v>
      </c>
      <c r="W1815" s="1" t="str">
        <f t="shared" si="115"/>
        <v>2026-04</v>
      </c>
    </row>
    <row r="1816" spans="1:23">
      <c r="A1816" s="1" t="s">
        <v>3289</v>
      </c>
      <c r="B1816" s="1" t="s">
        <v>174</v>
      </c>
      <c r="C1816" s="1" t="s">
        <v>18</v>
      </c>
      <c r="D1816" s="1" t="s">
        <v>19</v>
      </c>
      <c r="E1816" s="1" t="s">
        <v>57</v>
      </c>
      <c r="F1816">
        <v>1</v>
      </c>
      <c r="G1816" s="2">
        <v>45979</v>
      </c>
      <c r="H1816" s="2">
        <v>45980</v>
      </c>
      <c r="I1816">
        <v>204.44</v>
      </c>
      <c r="J1816">
        <v>83.58</v>
      </c>
      <c r="K1816">
        <v>83.58</v>
      </c>
      <c r="L1816">
        <v>0</v>
      </c>
      <c r="M1816" s="1" t="s">
        <v>21</v>
      </c>
      <c r="N1816" s="1" t="s">
        <v>22</v>
      </c>
      <c r="O1816" s="2">
        <v>46041</v>
      </c>
      <c r="P1816" s="2">
        <v>46041</v>
      </c>
      <c r="Q1816">
        <f>_xlfn.XLOOKUP(E1816,CPT!$A$2:$A$13,CPT!$D$2:$D$13)</f>
        <v>210</v>
      </c>
      <c r="R1816" s="1">
        <f>_xlfn.XLOOKUP(C1816,Contract!$A$2:$A$9,Contract!$B$2:$B$9)</f>
        <v>0.38</v>
      </c>
      <c r="S1816" s="1">
        <f t="shared" si="112"/>
        <v>79.8</v>
      </c>
      <c r="T1816" s="1">
        <f t="shared" si="113"/>
        <v>-3.7800000000000011</v>
      </c>
      <c r="U1816" s="1" t="str">
        <f t="shared" si="114"/>
        <v>OK</v>
      </c>
      <c r="V1816" s="1" t="str">
        <f>_xlfn.XLOOKUP(C1816,Payers!$A$2:$A$9,Payers!$B$2:$B$9)</f>
        <v>Sunshine Medicare Advantage</v>
      </c>
      <c r="W1816" s="1" t="str">
        <f t="shared" si="115"/>
        <v>2025-11</v>
      </c>
    </row>
    <row r="1817" spans="1:23">
      <c r="A1817" s="1" t="s">
        <v>3290</v>
      </c>
      <c r="B1817" s="1" t="s">
        <v>3291</v>
      </c>
      <c r="C1817" s="1" t="s">
        <v>25</v>
      </c>
      <c r="D1817" s="1" t="s">
        <v>19</v>
      </c>
      <c r="E1817" s="1" t="s">
        <v>57</v>
      </c>
      <c r="F1817">
        <v>1</v>
      </c>
      <c r="G1817" s="2">
        <v>46193</v>
      </c>
      <c r="H1817" s="2">
        <v>46204</v>
      </c>
      <c r="I1817">
        <v>209.33</v>
      </c>
      <c r="J1817">
        <v>63.66</v>
      </c>
      <c r="K1817">
        <v>50.93</v>
      </c>
      <c r="L1817">
        <v>12.73</v>
      </c>
      <c r="M1817" s="1" t="s">
        <v>21</v>
      </c>
      <c r="N1817" s="1" t="s">
        <v>22</v>
      </c>
      <c r="O1817" s="2">
        <v>46214</v>
      </c>
      <c r="P1817" s="2">
        <v>46214</v>
      </c>
      <c r="Q1817">
        <f>_xlfn.XLOOKUP(E1817,CPT!$A$2:$A$13,CPT!$D$2:$D$13)</f>
        <v>210</v>
      </c>
      <c r="R1817" s="1">
        <f>_xlfn.XLOOKUP(C1817,Contract!$A$2:$A$9,Contract!$B$2:$B$9)</f>
        <v>0.36</v>
      </c>
      <c r="S1817" s="1">
        <f t="shared" si="112"/>
        <v>75.599999999999994</v>
      </c>
      <c r="T1817" s="1">
        <f t="shared" si="113"/>
        <v>11.939999999999998</v>
      </c>
      <c r="U1817" s="1" t="str">
        <f t="shared" si="114"/>
        <v>Underpaid</v>
      </c>
      <c r="V1817" s="1" t="str">
        <f>_xlfn.XLOOKUP(C1817,Payers!$A$2:$A$9,Payers!$B$2:$B$9)</f>
        <v>Medicare Part B</v>
      </c>
      <c r="W1817" s="1" t="str">
        <f t="shared" si="115"/>
        <v>2026-06</v>
      </c>
    </row>
    <row r="1818" spans="1:23">
      <c r="A1818" s="1" t="s">
        <v>3292</v>
      </c>
      <c r="B1818" s="1" t="s">
        <v>3293</v>
      </c>
      <c r="C1818" s="1" t="s">
        <v>52</v>
      </c>
      <c r="D1818" s="1" t="s">
        <v>26</v>
      </c>
      <c r="E1818" s="1" t="s">
        <v>185</v>
      </c>
      <c r="F1818">
        <v>1</v>
      </c>
      <c r="G1818" s="2">
        <v>45966</v>
      </c>
      <c r="H1818" s="2">
        <v>45971</v>
      </c>
      <c r="I1818">
        <v>1149.78</v>
      </c>
      <c r="J1818">
        <v>537.79</v>
      </c>
      <c r="K1818">
        <v>537.79</v>
      </c>
      <c r="L1818">
        <v>0</v>
      </c>
      <c r="M1818" s="1" t="s">
        <v>21</v>
      </c>
      <c r="N1818" s="1" t="s">
        <v>22</v>
      </c>
      <c r="O1818" s="2">
        <v>46019</v>
      </c>
      <c r="P1818" s="2">
        <v>46019</v>
      </c>
      <c r="Q1818">
        <f>_xlfn.XLOOKUP(E1818,CPT!$A$2:$A$13,CPT!$D$2:$D$13)</f>
        <v>1150</v>
      </c>
      <c r="R1818" s="1">
        <f>_xlfn.XLOOKUP(C1818,Contract!$A$2:$A$9,Contract!$B$2:$B$9)</f>
        <v>0.47</v>
      </c>
      <c r="S1818" s="1">
        <f t="shared" si="112"/>
        <v>540.5</v>
      </c>
      <c r="T1818" s="1">
        <f t="shared" si="113"/>
        <v>2.7100000000000364</v>
      </c>
      <c r="U1818" s="1" t="str">
        <f t="shared" si="114"/>
        <v>OK</v>
      </c>
      <c r="V1818" s="1" t="str">
        <f>_xlfn.XLOOKUP(C1818,Payers!$A$2:$A$9,Payers!$B$2:$B$9)</f>
        <v>Keystone Commercial PPO</v>
      </c>
      <c r="W1818" s="1" t="str">
        <f t="shared" si="115"/>
        <v>2025-11</v>
      </c>
    </row>
    <row r="1819" spans="1:23">
      <c r="A1819" s="1" t="s">
        <v>3294</v>
      </c>
      <c r="B1819" s="1" t="s">
        <v>758</v>
      </c>
      <c r="C1819" s="1" t="s">
        <v>76</v>
      </c>
      <c r="D1819" s="1" t="s">
        <v>26</v>
      </c>
      <c r="E1819" s="1" t="s">
        <v>57</v>
      </c>
      <c r="F1819">
        <v>1</v>
      </c>
      <c r="G1819" s="2">
        <v>46163</v>
      </c>
      <c r="H1819" s="2">
        <v>46165</v>
      </c>
      <c r="I1819">
        <v>203.92</v>
      </c>
      <c r="J1819">
        <v>76.180000000000007</v>
      </c>
      <c r="K1819">
        <v>76.180000000000007</v>
      </c>
      <c r="L1819">
        <v>0</v>
      </c>
      <c r="M1819" s="1" t="s">
        <v>21</v>
      </c>
      <c r="N1819" s="1" t="s">
        <v>22</v>
      </c>
      <c r="O1819" s="2">
        <v>46188</v>
      </c>
      <c r="P1819" s="2">
        <v>46188</v>
      </c>
      <c r="Q1819">
        <f>_xlfn.XLOOKUP(E1819,CPT!$A$2:$A$13,CPT!$D$2:$D$13)</f>
        <v>210</v>
      </c>
      <c r="R1819" s="1">
        <f>_xlfn.XLOOKUP(C1819,Contract!$A$2:$A$9,Contract!$B$2:$B$9)</f>
        <v>0.43</v>
      </c>
      <c r="S1819" s="1">
        <f t="shared" si="112"/>
        <v>90.3</v>
      </c>
      <c r="T1819" s="1">
        <f t="shared" si="113"/>
        <v>14.11999999999999</v>
      </c>
      <c r="U1819" s="1" t="str">
        <f t="shared" si="114"/>
        <v>Underpaid</v>
      </c>
      <c r="V1819" s="1" t="str">
        <f>_xlfn.XLOOKUP(C1819,Payers!$A$2:$A$9,Payers!$B$2:$B$9)</f>
        <v>Summit Health Commercial</v>
      </c>
      <c r="W1819" s="1" t="str">
        <f t="shared" si="115"/>
        <v>2026-05</v>
      </c>
    </row>
    <row r="1820" spans="1:23">
      <c r="A1820" s="1" t="s">
        <v>3295</v>
      </c>
      <c r="B1820" s="1" t="s">
        <v>3157</v>
      </c>
      <c r="C1820" s="1" t="s">
        <v>25</v>
      </c>
      <c r="D1820" s="1" t="s">
        <v>37</v>
      </c>
      <c r="E1820" s="1" t="s">
        <v>38</v>
      </c>
      <c r="F1820">
        <v>30</v>
      </c>
      <c r="G1820" s="2">
        <v>46282</v>
      </c>
      <c r="H1820" s="2">
        <v>46286</v>
      </c>
      <c r="I1820">
        <v>44643.88</v>
      </c>
      <c r="M1820" s="1" t="s">
        <v>69</v>
      </c>
      <c r="N1820" s="1" t="s">
        <v>22</v>
      </c>
      <c r="O1820" s="2"/>
      <c r="P1820" s="2"/>
      <c r="Q1820">
        <f>_xlfn.XLOOKUP(E1820,CPT!$A$2:$A$13,CPT!$D$2:$D$13)</f>
        <v>1450</v>
      </c>
      <c r="R1820" s="1">
        <f>_xlfn.XLOOKUP(C1820,Contract!$A$2:$A$9,Contract!$B$2:$B$9)</f>
        <v>0.36</v>
      </c>
      <c r="S1820" s="1">
        <f t="shared" si="112"/>
        <v>15660</v>
      </c>
      <c r="T1820" s="1" t="str">
        <f t="shared" si="113"/>
        <v/>
      </c>
      <c r="U1820" s="1" t="str">
        <f t="shared" si="114"/>
        <v/>
      </c>
      <c r="V1820" s="1" t="str">
        <f>_xlfn.XLOOKUP(C1820,Payers!$A$2:$A$9,Payers!$B$2:$B$9)</f>
        <v>Medicare Part B</v>
      </c>
      <c r="W1820" s="1" t="str">
        <f t="shared" si="115"/>
        <v>2026-09</v>
      </c>
    </row>
    <row r="1821" spans="1:23">
      <c r="A1821" s="1" t="s">
        <v>3296</v>
      </c>
      <c r="B1821" s="1" t="s">
        <v>3297</v>
      </c>
      <c r="C1821" s="1" t="s">
        <v>60</v>
      </c>
      <c r="D1821" s="1" t="s">
        <v>30</v>
      </c>
      <c r="E1821" s="1" t="s">
        <v>91</v>
      </c>
      <c r="F1821">
        <v>1</v>
      </c>
      <c r="G1821" s="2">
        <v>45947</v>
      </c>
      <c r="H1821" s="2">
        <v>46069</v>
      </c>
      <c r="I1821">
        <v>57.88</v>
      </c>
      <c r="M1821" s="1" t="s">
        <v>32</v>
      </c>
      <c r="N1821" s="1" t="s">
        <v>137</v>
      </c>
      <c r="O1821" s="2">
        <v>46098</v>
      </c>
      <c r="P1821" s="2"/>
      <c r="Q1821">
        <f>_xlfn.XLOOKUP(E1821,CPT!$A$2:$A$13,CPT!$D$2:$D$13)</f>
        <v>58</v>
      </c>
      <c r="R1821" s="1">
        <f>_xlfn.XLOOKUP(C1821,Contract!$A$2:$A$9,Contract!$B$2:$B$9)</f>
        <v>0.45</v>
      </c>
      <c r="S1821" s="1">
        <f t="shared" si="112"/>
        <v>26.1</v>
      </c>
      <c r="T1821" s="1" t="str">
        <f t="shared" si="113"/>
        <v/>
      </c>
      <c r="U1821" s="1" t="str">
        <f t="shared" si="114"/>
        <v/>
      </c>
      <c r="V1821" s="1" t="str">
        <f>_xlfn.XLOOKUP(C1821,Payers!$A$2:$A$9,Payers!$B$2:$B$9)</f>
        <v>Blue Horizon Commercial</v>
      </c>
      <c r="W1821" s="1" t="str">
        <f t="shared" si="115"/>
        <v>2025-10</v>
      </c>
    </row>
    <row r="1822" spans="1:23">
      <c r="A1822" s="1" t="s">
        <v>3298</v>
      </c>
      <c r="B1822" s="1" t="s">
        <v>3299</v>
      </c>
      <c r="C1822" s="1" t="s">
        <v>52</v>
      </c>
      <c r="D1822" s="1" t="s">
        <v>19</v>
      </c>
      <c r="E1822" s="1" t="s">
        <v>57</v>
      </c>
      <c r="F1822">
        <v>1</v>
      </c>
      <c r="G1822" s="2">
        <v>45946</v>
      </c>
      <c r="H1822" s="2">
        <v>45955</v>
      </c>
      <c r="I1822">
        <v>204.83</v>
      </c>
      <c r="J1822">
        <v>87.76</v>
      </c>
      <c r="K1822">
        <v>70.209999999999994</v>
      </c>
      <c r="L1822">
        <v>17.55</v>
      </c>
      <c r="M1822" s="1" t="s">
        <v>21</v>
      </c>
      <c r="N1822" s="1" t="s">
        <v>22</v>
      </c>
      <c r="O1822" s="2">
        <v>46014</v>
      </c>
      <c r="P1822" s="2">
        <v>46014</v>
      </c>
      <c r="Q1822">
        <f>_xlfn.XLOOKUP(E1822,CPT!$A$2:$A$13,CPT!$D$2:$D$13)</f>
        <v>210</v>
      </c>
      <c r="R1822" s="1">
        <f>_xlfn.XLOOKUP(C1822,Contract!$A$2:$A$9,Contract!$B$2:$B$9)</f>
        <v>0.47</v>
      </c>
      <c r="S1822" s="1">
        <f t="shared" si="112"/>
        <v>98.7</v>
      </c>
      <c r="T1822" s="1">
        <f t="shared" si="113"/>
        <v>10.939999999999998</v>
      </c>
      <c r="U1822" s="1" t="str">
        <f t="shared" si="114"/>
        <v>Underpaid</v>
      </c>
      <c r="V1822" s="1" t="str">
        <f>_xlfn.XLOOKUP(C1822,Payers!$A$2:$A$9,Payers!$B$2:$B$9)</f>
        <v>Keystone Commercial PPO</v>
      </c>
      <c r="W1822" s="1" t="str">
        <f t="shared" si="115"/>
        <v>2025-10</v>
      </c>
    </row>
    <row r="1823" spans="1:23">
      <c r="A1823" s="1" t="s">
        <v>3300</v>
      </c>
      <c r="B1823" s="1" t="s">
        <v>2505</v>
      </c>
      <c r="C1823" s="1" t="s">
        <v>60</v>
      </c>
      <c r="D1823" s="1" t="s">
        <v>19</v>
      </c>
      <c r="E1823" s="1" t="s">
        <v>57</v>
      </c>
      <c r="F1823">
        <v>1</v>
      </c>
      <c r="G1823" s="2">
        <v>46066</v>
      </c>
      <c r="H1823" s="2">
        <v>46072</v>
      </c>
      <c r="I1823">
        <v>215.63</v>
      </c>
      <c r="M1823" s="1" t="s">
        <v>32</v>
      </c>
      <c r="N1823" s="1" t="s">
        <v>168</v>
      </c>
      <c r="O1823" s="2">
        <v>46093</v>
      </c>
      <c r="P1823" s="2"/>
      <c r="Q1823">
        <f>_xlfn.XLOOKUP(E1823,CPT!$A$2:$A$13,CPT!$D$2:$D$13)</f>
        <v>210</v>
      </c>
      <c r="R1823" s="1">
        <f>_xlfn.XLOOKUP(C1823,Contract!$A$2:$A$9,Contract!$B$2:$B$9)</f>
        <v>0.45</v>
      </c>
      <c r="S1823" s="1">
        <f t="shared" si="112"/>
        <v>94.5</v>
      </c>
      <c r="T1823" s="1" t="str">
        <f t="shared" si="113"/>
        <v/>
      </c>
      <c r="U1823" s="1" t="str">
        <f t="shared" si="114"/>
        <v/>
      </c>
      <c r="V1823" s="1" t="str">
        <f>_xlfn.XLOOKUP(C1823,Payers!$A$2:$A$9,Payers!$B$2:$B$9)</f>
        <v>Blue Horizon Commercial</v>
      </c>
      <c r="W1823" s="1" t="str">
        <f t="shared" si="115"/>
        <v>2026-02</v>
      </c>
    </row>
    <row r="1824" spans="1:23">
      <c r="A1824" s="1" t="s">
        <v>3301</v>
      </c>
      <c r="B1824" s="1" t="s">
        <v>3302</v>
      </c>
      <c r="C1824" s="1" t="s">
        <v>60</v>
      </c>
      <c r="D1824" s="1" t="s">
        <v>30</v>
      </c>
      <c r="E1824" s="1" t="s">
        <v>20</v>
      </c>
      <c r="F1824">
        <v>1</v>
      </c>
      <c r="G1824" s="2">
        <v>46004</v>
      </c>
      <c r="H1824" s="2">
        <v>46007</v>
      </c>
      <c r="I1824">
        <v>149.16</v>
      </c>
      <c r="J1824">
        <v>64.67</v>
      </c>
      <c r="K1824">
        <v>64.67</v>
      </c>
      <c r="L1824">
        <v>0</v>
      </c>
      <c r="M1824" s="1" t="s">
        <v>21</v>
      </c>
      <c r="N1824" s="1" t="s">
        <v>22</v>
      </c>
      <c r="O1824" s="2">
        <v>46038</v>
      </c>
      <c r="P1824" s="2">
        <v>46038</v>
      </c>
      <c r="Q1824">
        <f>_xlfn.XLOOKUP(E1824,CPT!$A$2:$A$13,CPT!$D$2:$D$13)</f>
        <v>145</v>
      </c>
      <c r="R1824" s="1">
        <f>_xlfn.XLOOKUP(C1824,Contract!$A$2:$A$9,Contract!$B$2:$B$9)</f>
        <v>0.45</v>
      </c>
      <c r="S1824" s="1">
        <f t="shared" si="112"/>
        <v>65.25</v>
      </c>
      <c r="T1824" s="1">
        <f t="shared" si="113"/>
        <v>0.57999999999999829</v>
      </c>
      <c r="U1824" s="1" t="str">
        <f t="shared" si="114"/>
        <v>OK</v>
      </c>
      <c r="V1824" s="1" t="str">
        <f>_xlfn.XLOOKUP(C1824,Payers!$A$2:$A$9,Payers!$B$2:$B$9)</f>
        <v>Blue Horizon Commercial</v>
      </c>
      <c r="W1824" s="1" t="str">
        <f t="shared" si="115"/>
        <v>2025-12</v>
      </c>
    </row>
    <row r="1825" spans="1:23">
      <c r="A1825" s="1" t="s">
        <v>3303</v>
      </c>
      <c r="B1825" s="1" t="s">
        <v>3064</v>
      </c>
      <c r="C1825" s="1" t="s">
        <v>52</v>
      </c>
      <c r="D1825" s="1" t="s">
        <v>26</v>
      </c>
      <c r="E1825" s="1" t="s">
        <v>185</v>
      </c>
      <c r="F1825">
        <v>1</v>
      </c>
      <c r="G1825" s="2">
        <v>46251</v>
      </c>
      <c r="H1825" s="2">
        <v>46265</v>
      </c>
      <c r="I1825">
        <v>1183.33</v>
      </c>
      <c r="M1825" s="1" t="s">
        <v>69</v>
      </c>
      <c r="N1825" s="1" t="s">
        <v>22</v>
      </c>
      <c r="O1825" s="2"/>
      <c r="P1825" s="2"/>
      <c r="Q1825">
        <f>_xlfn.XLOOKUP(E1825,CPT!$A$2:$A$13,CPT!$D$2:$D$13)</f>
        <v>1150</v>
      </c>
      <c r="R1825" s="1">
        <f>_xlfn.XLOOKUP(C1825,Contract!$A$2:$A$9,Contract!$B$2:$B$9)</f>
        <v>0.47</v>
      </c>
      <c r="S1825" s="1">
        <f t="shared" si="112"/>
        <v>540.5</v>
      </c>
      <c r="T1825" s="1" t="str">
        <f t="shared" si="113"/>
        <v/>
      </c>
      <c r="U1825" s="1" t="str">
        <f t="shared" si="114"/>
        <v/>
      </c>
      <c r="V1825" s="1" t="str">
        <f>_xlfn.XLOOKUP(C1825,Payers!$A$2:$A$9,Payers!$B$2:$B$9)</f>
        <v>Keystone Commercial PPO</v>
      </c>
      <c r="W1825" s="1" t="str">
        <f t="shared" si="115"/>
        <v>2026-08</v>
      </c>
    </row>
    <row r="1826" spans="1:23">
      <c r="A1826" s="1" t="s">
        <v>3304</v>
      </c>
      <c r="B1826" s="1" t="s">
        <v>3305</v>
      </c>
      <c r="C1826" s="1" t="s">
        <v>79</v>
      </c>
      <c r="D1826" s="1" t="s">
        <v>26</v>
      </c>
      <c r="E1826" s="1" t="s">
        <v>27</v>
      </c>
      <c r="F1826">
        <v>1</v>
      </c>
      <c r="G1826" s="2">
        <v>45973</v>
      </c>
      <c r="H1826" s="2">
        <v>45976</v>
      </c>
      <c r="I1826">
        <v>239.87</v>
      </c>
      <c r="J1826">
        <v>239.87</v>
      </c>
      <c r="K1826">
        <v>239.87</v>
      </c>
      <c r="L1826">
        <v>0</v>
      </c>
      <c r="M1826" s="1" t="s">
        <v>21</v>
      </c>
      <c r="N1826" s="1" t="s">
        <v>22</v>
      </c>
      <c r="O1826" s="2">
        <v>46086</v>
      </c>
      <c r="P1826" s="2">
        <v>46086</v>
      </c>
      <c r="Q1826">
        <f>_xlfn.XLOOKUP(E1826,CPT!$A$2:$A$13,CPT!$D$2:$D$13)</f>
        <v>240</v>
      </c>
      <c r="R1826" s="1">
        <f>_xlfn.XLOOKUP(C1826,Contract!$A$2:$A$9,Contract!$B$2:$B$9)</f>
        <v>1</v>
      </c>
      <c r="S1826" s="1">
        <f t="shared" si="112"/>
        <v>240</v>
      </c>
      <c r="T1826" s="1">
        <f t="shared" si="113"/>
        <v>0.12999999999999545</v>
      </c>
      <c r="U1826" s="1" t="str">
        <f t="shared" si="114"/>
        <v>OK</v>
      </c>
      <c r="V1826" s="1" t="str">
        <f>_xlfn.XLOOKUP(C1826,Payers!$A$2:$A$9,Payers!$B$2:$B$9)</f>
        <v>Self-Pay</v>
      </c>
      <c r="W1826" s="1" t="str">
        <f t="shared" si="115"/>
        <v>2025-11</v>
      </c>
    </row>
    <row r="1827" spans="1:23">
      <c r="A1827" s="1" t="s">
        <v>3306</v>
      </c>
      <c r="B1827" s="1" t="s">
        <v>526</v>
      </c>
      <c r="C1827" s="1" t="s">
        <v>79</v>
      </c>
      <c r="D1827" s="1" t="s">
        <v>30</v>
      </c>
      <c r="E1827" s="1" t="s">
        <v>20</v>
      </c>
      <c r="F1827">
        <v>1</v>
      </c>
      <c r="G1827" s="2">
        <v>46132</v>
      </c>
      <c r="H1827" s="2">
        <v>46133</v>
      </c>
      <c r="I1827">
        <v>144.59</v>
      </c>
      <c r="J1827">
        <v>144.59</v>
      </c>
      <c r="K1827">
        <v>144.59</v>
      </c>
      <c r="L1827">
        <v>0</v>
      </c>
      <c r="M1827" s="1" t="s">
        <v>21</v>
      </c>
      <c r="N1827" s="1" t="s">
        <v>22</v>
      </c>
      <c r="O1827" s="2">
        <v>46194</v>
      </c>
      <c r="P1827" s="2">
        <v>46194</v>
      </c>
      <c r="Q1827">
        <f>_xlfn.XLOOKUP(E1827,CPT!$A$2:$A$13,CPT!$D$2:$D$13)</f>
        <v>145</v>
      </c>
      <c r="R1827" s="1">
        <f>_xlfn.XLOOKUP(C1827,Contract!$A$2:$A$9,Contract!$B$2:$B$9)</f>
        <v>1</v>
      </c>
      <c r="S1827" s="1">
        <f t="shared" si="112"/>
        <v>145</v>
      </c>
      <c r="T1827" s="1">
        <f t="shared" si="113"/>
        <v>0.40999999999999659</v>
      </c>
      <c r="U1827" s="1" t="str">
        <f t="shared" si="114"/>
        <v>OK</v>
      </c>
      <c r="V1827" s="1" t="str">
        <f>_xlfn.XLOOKUP(C1827,Payers!$A$2:$A$9,Payers!$B$2:$B$9)</f>
        <v>Self-Pay</v>
      </c>
      <c r="W1827" s="1" t="str">
        <f t="shared" si="115"/>
        <v>2026-04</v>
      </c>
    </row>
    <row r="1828" spans="1:23">
      <c r="A1828" s="1" t="s">
        <v>3307</v>
      </c>
      <c r="B1828" s="1" t="s">
        <v>1027</v>
      </c>
      <c r="C1828" s="1" t="s">
        <v>79</v>
      </c>
      <c r="D1828" s="1" t="s">
        <v>30</v>
      </c>
      <c r="E1828" s="1" t="s">
        <v>91</v>
      </c>
      <c r="F1828">
        <v>1</v>
      </c>
      <c r="G1828" s="2">
        <v>45997</v>
      </c>
      <c r="H1828" s="2">
        <v>46010</v>
      </c>
      <c r="I1828">
        <v>59.68</v>
      </c>
      <c r="M1828" s="1" t="s">
        <v>69</v>
      </c>
      <c r="N1828" s="1" t="s">
        <v>22</v>
      </c>
      <c r="O1828" s="2"/>
      <c r="P1828" s="2"/>
      <c r="Q1828">
        <f>_xlfn.XLOOKUP(E1828,CPT!$A$2:$A$13,CPT!$D$2:$D$13)</f>
        <v>58</v>
      </c>
      <c r="R1828" s="1">
        <f>_xlfn.XLOOKUP(C1828,Contract!$A$2:$A$9,Contract!$B$2:$B$9)</f>
        <v>1</v>
      </c>
      <c r="S1828" s="1">
        <f t="shared" si="112"/>
        <v>58</v>
      </c>
      <c r="T1828" s="1" t="str">
        <f t="shared" si="113"/>
        <v/>
      </c>
      <c r="U1828" s="1" t="str">
        <f t="shared" si="114"/>
        <v/>
      </c>
      <c r="V1828" s="1" t="str">
        <f>_xlfn.XLOOKUP(C1828,Payers!$A$2:$A$9,Payers!$B$2:$B$9)</f>
        <v>Self-Pay</v>
      </c>
      <c r="W1828" s="1" t="str">
        <f t="shared" si="115"/>
        <v>2025-12</v>
      </c>
    </row>
    <row r="1829" spans="1:23">
      <c r="A1829" s="1" t="s">
        <v>3308</v>
      </c>
      <c r="B1829" s="1" t="s">
        <v>3309</v>
      </c>
      <c r="C1829" s="1" t="s">
        <v>76</v>
      </c>
      <c r="D1829" s="1" t="s">
        <v>26</v>
      </c>
      <c r="E1829" s="1" t="s">
        <v>27</v>
      </c>
      <c r="F1829">
        <v>1</v>
      </c>
      <c r="G1829" s="2">
        <v>46170</v>
      </c>
      <c r="H1829" s="2">
        <v>46175</v>
      </c>
      <c r="I1829">
        <v>244.75</v>
      </c>
      <c r="J1829">
        <v>109.16</v>
      </c>
      <c r="K1829">
        <v>98.24</v>
      </c>
      <c r="L1829">
        <v>10.92</v>
      </c>
      <c r="M1829" s="1" t="s">
        <v>21</v>
      </c>
      <c r="N1829" s="1" t="s">
        <v>22</v>
      </c>
      <c r="O1829" s="2">
        <v>46206</v>
      </c>
      <c r="P1829" s="2">
        <v>46206</v>
      </c>
      <c r="Q1829">
        <f>_xlfn.XLOOKUP(E1829,CPT!$A$2:$A$13,CPT!$D$2:$D$13)</f>
        <v>240</v>
      </c>
      <c r="R1829" s="1">
        <f>_xlfn.XLOOKUP(C1829,Contract!$A$2:$A$9,Contract!$B$2:$B$9)</f>
        <v>0.43</v>
      </c>
      <c r="S1829" s="1">
        <f t="shared" si="112"/>
        <v>103.2</v>
      </c>
      <c r="T1829" s="1">
        <f t="shared" si="113"/>
        <v>-5.9599999999999937</v>
      </c>
      <c r="U1829" s="1" t="str">
        <f t="shared" si="114"/>
        <v>OK</v>
      </c>
      <c r="V1829" s="1" t="str">
        <f>_xlfn.XLOOKUP(C1829,Payers!$A$2:$A$9,Payers!$B$2:$B$9)</f>
        <v>Summit Health Commercial</v>
      </c>
      <c r="W1829" s="1" t="str">
        <f t="shared" si="115"/>
        <v>2026-05</v>
      </c>
    </row>
    <row r="1830" spans="1:23">
      <c r="A1830" s="1" t="s">
        <v>3310</v>
      </c>
      <c r="B1830" s="1" t="s">
        <v>3311</v>
      </c>
      <c r="C1830" s="1" t="s">
        <v>36</v>
      </c>
      <c r="D1830" s="1" t="s">
        <v>26</v>
      </c>
      <c r="E1830" s="1" t="s">
        <v>88</v>
      </c>
      <c r="F1830">
        <v>1</v>
      </c>
      <c r="G1830" s="2">
        <v>46086</v>
      </c>
      <c r="H1830" s="2">
        <v>46089</v>
      </c>
      <c r="I1830">
        <v>260.01</v>
      </c>
      <c r="J1830">
        <v>62.46</v>
      </c>
      <c r="K1830">
        <v>62.46</v>
      </c>
      <c r="L1830">
        <v>0</v>
      </c>
      <c r="M1830" s="1" t="s">
        <v>21</v>
      </c>
      <c r="N1830" s="1" t="s">
        <v>22</v>
      </c>
      <c r="O1830" s="2">
        <v>46131</v>
      </c>
      <c r="P1830" s="2">
        <v>46131</v>
      </c>
      <c r="Q1830">
        <f>_xlfn.XLOOKUP(E1830,CPT!$A$2:$A$13,CPT!$D$2:$D$13)</f>
        <v>260</v>
      </c>
      <c r="R1830" s="1">
        <f>_xlfn.XLOOKUP(C1830,Contract!$A$2:$A$9,Contract!$B$2:$B$9)</f>
        <v>0.27</v>
      </c>
      <c r="S1830" s="1">
        <f t="shared" si="112"/>
        <v>70.2</v>
      </c>
      <c r="T1830" s="1">
        <f t="shared" si="113"/>
        <v>7.740000000000002</v>
      </c>
      <c r="U1830" s="1" t="str">
        <f t="shared" si="114"/>
        <v>Underpaid</v>
      </c>
      <c r="V1830" s="1" t="str">
        <f>_xlfn.XLOOKUP(C1830,Payers!$A$2:$A$9,Payers!$B$2:$B$9)</f>
        <v>Florida Medicaid</v>
      </c>
      <c r="W1830" s="1" t="str">
        <f t="shared" si="115"/>
        <v>2026-03</v>
      </c>
    </row>
    <row r="1831" spans="1:23">
      <c r="A1831" s="1" t="s">
        <v>3312</v>
      </c>
      <c r="B1831" s="1" t="s">
        <v>3313</v>
      </c>
      <c r="C1831" s="1" t="s">
        <v>52</v>
      </c>
      <c r="D1831" s="1" t="s">
        <v>26</v>
      </c>
      <c r="E1831" s="1" t="s">
        <v>41</v>
      </c>
      <c r="F1831">
        <v>1</v>
      </c>
      <c r="G1831" s="2">
        <v>46124</v>
      </c>
      <c r="H1831" s="2">
        <v>46136</v>
      </c>
      <c r="I1831">
        <v>38.11</v>
      </c>
      <c r="M1831" s="1" t="s">
        <v>32</v>
      </c>
      <c r="N1831" s="1" t="s">
        <v>124</v>
      </c>
      <c r="O1831" s="2">
        <v>46207</v>
      </c>
      <c r="P1831" s="2"/>
      <c r="Q1831">
        <f>_xlfn.XLOOKUP(E1831,CPT!$A$2:$A$13,CPT!$D$2:$D$13)</f>
        <v>38</v>
      </c>
      <c r="R1831" s="1">
        <f>_xlfn.XLOOKUP(C1831,Contract!$A$2:$A$9,Contract!$B$2:$B$9)</f>
        <v>0.47</v>
      </c>
      <c r="S1831" s="1">
        <f t="shared" si="112"/>
        <v>17.86</v>
      </c>
      <c r="T1831" s="1" t="str">
        <f t="shared" si="113"/>
        <v/>
      </c>
      <c r="U1831" s="1" t="str">
        <f t="shared" si="114"/>
        <v/>
      </c>
      <c r="V1831" s="1" t="str">
        <f>_xlfn.XLOOKUP(C1831,Payers!$A$2:$A$9,Payers!$B$2:$B$9)</f>
        <v>Keystone Commercial PPO</v>
      </c>
      <c r="W1831" s="1" t="str">
        <f t="shared" si="115"/>
        <v>2026-04</v>
      </c>
    </row>
    <row r="1832" spans="1:23">
      <c r="A1832" s="1" t="s">
        <v>3314</v>
      </c>
      <c r="B1832" s="1" t="s">
        <v>3315</v>
      </c>
      <c r="C1832" s="1" t="s">
        <v>60</v>
      </c>
      <c r="D1832" s="1" t="s">
        <v>19</v>
      </c>
      <c r="E1832" s="1" t="s">
        <v>57</v>
      </c>
      <c r="F1832">
        <v>1</v>
      </c>
      <c r="G1832" s="2">
        <v>46135</v>
      </c>
      <c r="H1832" s="2">
        <v>46137</v>
      </c>
      <c r="I1832">
        <v>212.02</v>
      </c>
      <c r="J1832">
        <v>104.86</v>
      </c>
      <c r="K1832">
        <v>83.89</v>
      </c>
      <c r="L1832">
        <v>20.97</v>
      </c>
      <c r="M1832" s="1" t="s">
        <v>21</v>
      </c>
      <c r="N1832" s="1" t="s">
        <v>22</v>
      </c>
      <c r="O1832" s="2">
        <v>46165</v>
      </c>
      <c r="P1832" s="2">
        <v>46165</v>
      </c>
      <c r="Q1832">
        <f>_xlfn.XLOOKUP(E1832,CPT!$A$2:$A$13,CPT!$D$2:$D$13)</f>
        <v>210</v>
      </c>
      <c r="R1832" s="1">
        <f>_xlfn.XLOOKUP(C1832,Contract!$A$2:$A$9,Contract!$B$2:$B$9)</f>
        <v>0.45</v>
      </c>
      <c r="S1832" s="1">
        <f t="shared" si="112"/>
        <v>94.5</v>
      </c>
      <c r="T1832" s="1">
        <f t="shared" si="113"/>
        <v>-10.36</v>
      </c>
      <c r="U1832" s="1" t="str">
        <f t="shared" si="114"/>
        <v>OK</v>
      </c>
      <c r="V1832" s="1" t="str">
        <f>_xlfn.XLOOKUP(C1832,Payers!$A$2:$A$9,Payers!$B$2:$B$9)</f>
        <v>Blue Horizon Commercial</v>
      </c>
      <c r="W1832" s="1" t="str">
        <f t="shared" si="115"/>
        <v>2026-04</v>
      </c>
    </row>
    <row r="1833" spans="1:23">
      <c r="A1833" s="1" t="s">
        <v>3316</v>
      </c>
      <c r="B1833" s="1" t="s">
        <v>3317</v>
      </c>
      <c r="C1833" s="1" t="s">
        <v>60</v>
      </c>
      <c r="D1833" s="1" t="s">
        <v>26</v>
      </c>
      <c r="E1833" s="1" t="s">
        <v>27</v>
      </c>
      <c r="F1833">
        <v>1</v>
      </c>
      <c r="G1833" s="2">
        <v>46006</v>
      </c>
      <c r="H1833" s="2">
        <v>46007</v>
      </c>
      <c r="I1833">
        <v>239.48</v>
      </c>
      <c r="J1833">
        <v>98.83</v>
      </c>
      <c r="K1833">
        <v>98.83</v>
      </c>
      <c r="L1833">
        <v>0</v>
      </c>
      <c r="M1833" s="1" t="s">
        <v>21</v>
      </c>
      <c r="N1833" s="1" t="s">
        <v>22</v>
      </c>
      <c r="O1833" s="2">
        <v>46031</v>
      </c>
      <c r="P1833" s="2">
        <v>46031</v>
      </c>
      <c r="Q1833">
        <f>_xlfn.XLOOKUP(E1833,CPT!$A$2:$A$13,CPT!$D$2:$D$13)</f>
        <v>240</v>
      </c>
      <c r="R1833" s="1">
        <f>_xlfn.XLOOKUP(C1833,Contract!$A$2:$A$9,Contract!$B$2:$B$9)</f>
        <v>0.45</v>
      </c>
      <c r="S1833" s="1">
        <f t="shared" si="112"/>
        <v>108</v>
      </c>
      <c r="T1833" s="1">
        <f t="shared" si="113"/>
        <v>9.1700000000000017</v>
      </c>
      <c r="U1833" s="1" t="str">
        <f t="shared" si="114"/>
        <v>Underpaid</v>
      </c>
      <c r="V1833" s="1" t="str">
        <f>_xlfn.XLOOKUP(C1833,Payers!$A$2:$A$9,Payers!$B$2:$B$9)</f>
        <v>Blue Horizon Commercial</v>
      </c>
      <c r="W1833" s="1" t="str">
        <f t="shared" si="115"/>
        <v>2025-12</v>
      </c>
    </row>
    <row r="1834" spans="1:23">
      <c r="A1834" s="1" t="s">
        <v>3318</v>
      </c>
      <c r="B1834" s="1" t="s">
        <v>3319</v>
      </c>
      <c r="C1834" s="1" t="s">
        <v>52</v>
      </c>
      <c r="D1834" s="1" t="s">
        <v>37</v>
      </c>
      <c r="E1834" s="1" t="s">
        <v>48</v>
      </c>
      <c r="F1834">
        <v>1</v>
      </c>
      <c r="G1834" s="2">
        <v>46188</v>
      </c>
      <c r="H1834" s="2">
        <v>46194</v>
      </c>
      <c r="I1834">
        <v>427.72</v>
      </c>
      <c r="J1834">
        <v>188.09</v>
      </c>
      <c r="K1834">
        <v>150.47</v>
      </c>
      <c r="L1834">
        <v>37.619999999999997</v>
      </c>
      <c r="M1834" s="1" t="s">
        <v>21</v>
      </c>
      <c r="N1834" s="1" t="s">
        <v>22</v>
      </c>
      <c r="O1834" s="2">
        <v>46244</v>
      </c>
      <c r="P1834" s="2">
        <v>46244</v>
      </c>
      <c r="Q1834">
        <f>_xlfn.XLOOKUP(E1834,CPT!$A$2:$A$13,CPT!$D$2:$D$13)</f>
        <v>420</v>
      </c>
      <c r="R1834" s="1">
        <f>_xlfn.XLOOKUP(C1834,Contract!$A$2:$A$9,Contract!$B$2:$B$9)</f>
        <v>0.47</v>
      </c>
      <c r="S1834" s="1">
        <f t="shared" si="112"/>
        <v>197.4</v>
      </c>
      <c r="T1834" s="1">
        <f t="shared" si="113"/>
        <v>9.3100000000000023</v>
      </c>
      <c r="U1834" s="1" t="str">
        <f t="shared" si="114"/>
        <v>OK</v>
      </c>
      <c r="V1834" s="1" t="str">
        <f>_xlfn.XLOOKUP(C1834,Payers!$A$2:$A$9,Payers!$B$2:$B$9)</f>
        <v>Keystone Commercial PPO</v>
      </c>
      <c r="W1834" s="1" t="str">
        <f t="shared" si="115"/>
        <v>2026-06</v>
      </c>
    </row>
    <row r="1835" spans="1:23">
      <c r="A1835" s="1" t="s">
        <v>3320</v>
      </c>
      <c r="B1835" s="1" t="s">
        <v>1501</v>
      </c>
      <c r="C1835" s="1" t="s">
        <v>60</v>
      </c>
      <c r="D1835" s="1" t="s">
        <v>26</v>
      </c>
      <c r="E1835" s="1" t="s">
        <v>44</v>
      </c>
      <c r="F1835">
        <v>1</v>
      </c>
      <c r="G1835" s="2">
        <v>45981</v>
      </c>
      <c r="H1835" s="2">
        <v>46001</v>
      </c>
      <c r="I1835">
        <v>4891.17</v>
      </c>
      <c r="M1835" s="1" t="s">
        <v>32</v>
      </c>
      <c r="N1835" s="1" t="s">
        <v>315</v>
      </c>
      <c r="O1835" s="2">
        <v>46019</v>
      </c>
      <c r="P1835" s="2"/>
      <c r="Q1835">
        <f>_xlfn.XLOOKUP(E1835,CPT!$A$2:$A$13,CPT!$D$2:$D$13)</f>
        <v>4800</v>
      </c>
      <c r="R1835" s="1">
        <f>_xlfn.XLOOKUP(C1835,Contract!$A$2:$A$9,Contract!$B$2:$B$9)</f>
        <v>0.45</v>
      </c>
      <c r="S1835" s="1">
        <f t="shared" si="112"/>
        <v>2160</v>
      </c>
      <c r="T1835" s="1" t="str">
        <f t="shared" si="113"/>
        <v/>
      </c>
      <c r="U1835" s="1" t="str">
        <f t="shared" si="114"/>
        <v/>
      </c>
      <c r="V1835" s="1" t="str">
        <f>_xlfn.XLOOKUP(C1835,Payers!$A$2:$A$9,Payers!$B$2:$B$9)</f>
        <v>Blue Horizon Commercial</v>
      </c>
      <c r="W1835" s="1" t="str">
        <f t="shared" si="115"/>
        <v>2025-11</v>
      </c>
    </row>
    <row r="1836" spans="1:23">
      <c r="A1836" s="1" t="s">
        <v>3321</v>
      </c>
      <c r="B1836" s="1" t="s">
        <v>1181</v>
      </c>
      <c r="C1836" s="1" t="s">
        <v>60</v>
      </c>
      <c r="D1836" s="1" t="s">
        <v>26</v>
      </c>
      <c r="E1836" s="1" t="s">
        <v>44</v>
      </c>
      <c r="F1836">
        <v>1</v>
      </c>
      <c r="G1836" s="2">
        <v>46293</v>
      </c>
      <c r="H1836" s="2">
        <v>46295</v>
      </c>
      <c r="I1836">
        <v>4771.62</v>
      </c>
      <c r="M1836" s="1" t="s">
        <v>69</v>
      </c>
      <c r="N1836" s="1" t="s">
        <v>22</v>
      </c>
      <c r="O1836" s="2"/>
      <c r="P1836" s="2"/>
      <c r="Q1836">
        <f>_xlfn.XLOOKUP(E1836,CPT!$A$2:$A$13,CPT!$D$2:$D$13)</f>
        <v>4800</v>
      </c>
      <c r="R1836" s="1">
        <f>_xlfn.XLOOKUP(C1836,Contract!$A$2:$A$9,Contract!$B$2:$B$9)</f>
        <v>0.45</v>
      </c>
      <c r="S1836" s="1">
        <f t="shared" si="112"/>
        <v>2160</v>
      </c>
      <c r="T1836" s="1" t="str">
        <f t="shared" si="113"/>
        <v/>
      </c>
      <c r="U1836" s="1" t="str">
        <f t="shared" si="114"/>
        <v/>
      </c>
      <c r="V1836" s="1" t="str">
        <f>_xlfn.XLOOKUP(C1836,Payers!$A$2:$A$9,Payers!$B$2:$B$9)</f>
        <v>Blue Horizon Commercial</v>
      </c>
      <c r="W1836" s="1" t="str">
        <f t="shared" si="115"/>
        <v>2026-09</v>
      </c>
    </row>
    <row r="1837" spans="1:23">
      <c r="A1837" s="1" t="s">
        <v>3322</v>
      </c>
      <c r="B1837" s="1" t="s">
        <v>3323</v>
      </c>
      <c r="C1837" s="1" t="s">
        <v>18</v>
      </c>
      <c r="D1837" s="1" t="s">
        <v>26</v>
      </c>
      <c r="E1837" s="1" t="s">
        <v>41</v>
      </c>
      <c r="F1837">
        <v>1</v>
      </c>
      <c r="G1837" s="2">
        <v>46189</v>
      </c>
      <c r="H1837" s="2">
        <v>46207</v>
      </c>
      <c r="I1837">
        <v>37.74</v>
      </c>
      <c r="M1837" s="1" t="s">
        <v>32</v>
      </c>
      <c r="N1837" s="1" t="s">
        <v>33</v>
      </c>
      <c r="O1837" s="2">
        <v>46259</v>
      </c>
      <c r="P1837" s="2"/>
      <c r="Q1837">
        <f>_xlfn.XLOOKUP(E1837,CPT!$A$2:$A$13,CPT!$D$2:$D$13)</f>
        <v>38</v>
      </c>
      <c r="R1837" s="1">
        <f>_xlfn.XLOOKUP(C1837,Contract!$A$2:$A$9,Contract!$B$2:$B$9)</f>
        <v>0.38</v>
      </c>
      <c r="S1837" s="1">
        <f t="shared" si="112"/>
        <v>14.44</v>
      </c>
      <c r="T1837" s="1" t="str">
        <f t="shared" si="113"/>
        <v/>
      </c>
      <c r="U1837" s="1" t="str">
        <f t="shared" si="114"/>
        <v/>
      </c>
      <c r="V1837" s="1" t="str">
        <f>_xlfn.XLOOKUP(C1837,Payers!$A$2:$A$9,Payers!$B$2:$B$9)</f>
        <v>Sunshine Medicare Advantage</v>
      </c>
      <c r="W1837" s="1" t="str">
        <f t="shared" si="115"/>
        <v>2026-06</v>
      </c>
    </row>
    <row r="1838" spans="1:23">
      <c r="A1838" s="1" t="s">
        <v>3324</v>
      </c>
      <c r="B1838" s="1" t="s">
        <v>1949</v>
      </c>
      <c r="C1838" s="1" t="s">
        <v>60</v>
      </c>
      <c r="D1838" s="1" t="s">
        <v>19</v>
      </c>
      <c r="E1838" s="1" t="s">
        <v>20</v>
      </c>
      <c r="F1838">
        <v>1</v>
      </c>
      <c r="G1838" s="2">
        <v>46072</v>
      </c>
      <c r="H1838" s="2">
        <v>46073</v>
      </c>
      <c r="I1838">
        <v>140.93</v>
      </c>
      <c r="J1838">
        <v>72.040000000000006</v>
      </c>
      <c r="K1838">
        <v>57.63</v>
      </c>
      <c r="L1838">
        <v>14.41</v>
      </c>
      <c r="M1838" s="1" t="s">
        <v>21</v>
      </c>
      <c r="N1838" s="1" t="s">
        <v>22</v>
      </c>
      <c r="O1838" s="2">
        <v>46103</v>
      </c>
      <c r="P1838" s="2">
        <v>46103</v>
      </c>
      <c r="Q1838">
        <f>_xlfn.XLOOKUP(E1838,CPT!$A$2:$A$13,CPT!$D$2:$D$13)</f>
        <v>145</v>
      </c>
      <c r="R1838" s="1">
        <f>_xlfn.XLOOKUP(C1838,Contract!$A$2:$A$9,Contract!$B$2:$B$9)</f>
        <v>0.45</v>
      </c>
      <c r="S1838" s="1">
        <f t="shared" si="112"/>
        <v>65.25</v>
      </c>
      <c r="T1838" s="1">
        <f t="shared" si="113"/>
        <v>-6.7900000000000063</v>
      </c>
      <c r="U1838" s="1" t="str">
        <f t="shared" si="114"/>
        <v>OK</v>
      </c>
      <c r="V1838" s="1" t="str">
        <f>_xlfn.XLOOKUP(C1838,Payers!$A$2:$A$9,Payers!$B$2:$B$9)</f>
        <v>Blue Horizon Commercial</v>
      </c>
      <c r="W1838" s="1" t="str">
        <f t="shared" si="115"/>
        <v>2026-02</v>
      </c>
    </row>
    <row r="1839" spans="1:23">
      <c r="A1839" s="1" t="s">
        <v>3325</v>
      </c>
      <c r="B1839" s="1" t="s">
        <v>933</v>
      </c>
      <c r="C1839" s="1" t="s">
        <v>52</v>
      </c>
      <c r="D1839" s="1" t="s">
        <v>26</v>
      </c>
      <c r="E1839" s="1" t="s">
        <v>44</v>
      </c>
      <c r="F1839">
        <v>1</v>
      </c>
      <c r="G1839" s="2">
        <v>46264</v>
      </c>
      <c r="H1839" s="2">
        <v>46265</v>
      </c>
      <c r="I1839">
        <v>4815.78</v>
      </c>
      <c r="M1839" s="1" t="s">
        <v>69</v>
      </c>
      <c r="N1839" s="1" t="s">
        <v>22</v>
      </c>
      <c r="O1839" s="2"/>
      <c r="P1839" s="2"/>
      <c r="Q1839">
        <f>_xlfn.XLOOKUP(E1839,CPT!$A$2:$A$13,CPT!$D$2:$D$13)</f>
        <v>4800</v>
      </c>
      <c r="R1839" s="1">
        <f>_xlfn.XLOOKUP(C1839,Contract!$A$2:$A$9,Contract!$B$2:$B$9)</f>
        <v>0.47</v>
      </c>
      <c r="S1839" s="1">
        <f t="shared" si="112"/>
        <v>2256</v>
      </c>
      <c r="T1839" s="1" t="str">
        <f t="shared" si="113"/>
        <v/>
      </c>
      <c r="U1839" s="1" t="str">
        <f t="shared" si="114"/>
        <v/>
      </c>
      <c r="V1839" s="1" t="str">
        <f>_xlfn.XLOOKUP(C1839,Payers!$A$2:$A$9,Payers!$B$2:$B$9)</f>
        <v>Keystone Commercial PPO</v>
      </c>
      <c r="W1839" s="1" t="str">
        <f t="shared" si="115"/>
        <v>2026-08</v>
      </c>
    </row>
    <row r="1840" spans="1:23">
      <c r="A1840" s="1" t="s">
        <v>3326</v>
      </c>
      <c r="B1840" s="1" t="s">
        <v>211</v>
      </c>
      <c r="C1840" s="1" t="s">
        <v>18</v>
      </c>
      <c r="D1840" s="1" t="s">
        <v>19</v>
      </c>
      <c r="E1840" s="1" t="s">
        <v>57</v>
      </c>
      <c r="F1840">
        <v>1</v>
      </c>
      <c r="G1840" s="2">
        <v>46112</v>
      </c>
      <c r="H1840" s="2">
        <v>46116</v>
      </c>
      <c r="I1840">
        <v>212.32</v>
      </c>
      <c r="J1840">
        <v>69.87</v>
      </c>
      <c r="K1840">
        <v>62.88</v>
      </c>
      <c r="L1840">
        <v>6.99</v>
      </c>
      <c r="M1840" s="1" t="s">
        <v>21</v>
      </c>
      <c r="N1840" s="1" t="s">
        <v>22</v>
      </c>
      <c r="O1840" s="2">
        <v>46160</v>
      </c>
      <c r="P1840" s="2">
        <v>46160</v>
      </c>
      <c r="Q1840">
        <f>_xlfn.XLOOKUP(E1840,CPT!$A$2:$A$13,CPT!$D$2:$D$13)</f>
        <v>210</v>
      </c>
      <c r="R1840" s="1">
        <f>_xlfn.XLOOKUP(C1840,Contract!$A$2:$A$9,Contract!$B$2:$B$9)</f>
        <v>0.38</v>
      </c>
      <c r="S1840" s="1">
        <f t="shared" si="112"/>
        <v>79.8</v>
      </c>
      <c r="T1840" s="1">
        <f t="shared" si="113"/>
        <v>9.9299999999999926</v>
      </c>
      <c r="U1840" s="1" t="str">
        <f t="shared" si="114"/>
        <v>Underpaid</v>
      </c>
      <c r="V1840" s="1" t="str">
        <f>_xlfn.XLOOKUP(C1840,Payers!$A$2:$A$9,Payers!$B$2:$B$9)</f>
        <v>Sunshine Medicare Advantage</v>
      </c>
      <c r="W1840" s="1" t="str">
        <f t="shared" si="115"/>
        <v>2026-03</v>
      </c>
    </row>
    <row r="1841" spans="1:23">
      <c r="A1841" s="1" t="s">
        <v>3327</v>
      </c>
      <c r="B1841" s="1" t="s">
        <v>3328</v>
      </c>
      <c r="C1841" s="1" t="s">
        <v>36</v>
      </c>
      <c r="D1841" s="1" t="s">
        <v>30</v>
      </c>
      <c r="E1841" s="1" t="s">
        <v>91</v>
      </c>
      <c r="F1841">
        <v>1</v>
      </c>
      <c r="G1841" s="2">
        <v>46099</v>
      </c>
      <c r="H1841" s="2">
        <v>46222</v>
      </c>
      <c r="I1841">
        <v>59.47</v>
      </c>
      <c r="M1841" s="1" t="s">
        <v>32</v>
      </c>
      <c r="N1841" s="1" t="s">
        <v>137</v>
      </c>
      <c r="O1841" s="2">
        <v>46261</v>
      </c>
      <c r="P1841" s="2"/>
      <c r="Q1841">
        <f>_xlfn.XLOOKUP(E1841,CPT!$A$2:$A$13,CPT!$D$2:$D$13)</f>
        <v>58</v>
      </c>
      <c r="R1841" s="1">
        <f>_xlfn.XLOOKUP(C1841,Contract!$A$2:$A$9,Contract!$B$2:$B$9)</f>
        <v>0.27</v>
      </c>
      <c r="S1841" s="1">
        <f t="shared" si="112"/>
        <v>15.66</v>
      </c>
      <c r="T1841" s="1" t="str">
        <f t="shared" si="113"/>
        <v/>
      </c>
      <c r="U1841" s="1" t="str">
        <f t="shared" si="114"/>
        <v/>
      </c>
      <c r="V1841" s="1" t="str">
        <f>_xlfn.XLOOKUP(C1841,Payers!$A$2:$A$9,Payers!$B$2:$B$9)</f>
        <v>Florida Medicaid</v>
      </c>
      <c r="W1841" s="1" t="str">
        <f t="shared" si="115"/>
        <v>2026-03</v>
      </c>
    </row>
    <row r="1842" spans="1:23">
      <c r="A1842" s="1" t="s">
        <v>3329</v>
      </c>
      <c r="B1842" s="1" t="s">
        <v>2003</v>
      </c>
      <c r="C1842" s="1" t="s">
        <v>52</v>
      </c>
      <c r="D1842" s="1" t="s">
        <v>37</v>
      </c>
      <c r="E1842" s="1" t="s">
        <v>38</v>
      </c>
      <c r="F1842">
        <v>30</v>
      </c>
      <c r="G1842" s="2">
        <v>46016</v>
      </c>
      <c r="H1842" s="2">
        <v>46017</v>
      </c>
      <c r="I1842">
        <v>43558.95</v>
      </c>
      <c r="M1842" s="1" t="s">
        <v>32</v>
      </c>
      <c r="N1842" s="1" t="s">
        <v>49</v>
      </c>
      <c r="O1842" s="2">
        <v>46058</v>
      </c>
      <c r="P1842" s="2"/>
      <c r="Q1842">
        <f>_xlfn.XLOOKUP(E1842,CPT!$A$2:$A$13,CPT!$D$2:$D$13)</f>
        <v>1450</v>
      </c>
      <c r="R1842" s="1">
        <f>_xlfn.XLOOKUP(C1842,Contract!$A$2:$A$9,Contract!$B$2:$B$9)</f>
        <v>0.47</v>
      </c>
      <c r="S1842" s="1">
        <f t="shared" si="112"/>
        <v>20445</v>
      </c>
      <c r="T1842" s="1" t="str">
        <f t="shared" si="113"/>
        <v/>
      </c>
      <c r="U1842" s="1" t="str">
        <f t="shared" si="114"/>
        <v/>
      </c>
      <c r="V1842" s="1" t="str">
        <f>_xlfn.XLOOKUP(C1842,Payers!$A$2:$A$9,Payers!$B$2:$B$9)</f>
        <v>Keystone Commercial PPO</v>
      </c>
      <c r="W1842" s="1" t="str">
        <f t="shared" si="115"/>
        <v>2025-12</v>
      </c>
    </row>
    <row r="1843" spans="1:23">
      <c r="A1843" s="1" t="s">
        <v>3330</v>
      </c>
      <c r="B1843" s="1" t="s">
        <v>3331</v>
      </c>
      <c r="C1843" s="1" t="s">
        <v>52</v>
      </c>
      <c r="D1843" s="1" t="s">
        <v>26</v>
      </c>
      <c r="E1843" s="1" t="s">
        <v>27</v>
      </c>
      <c r="F1843">
        <v>1</v>
      </c>
      <c r="G1843" s="2">
        <v>46010</v>
      </c>
      <c r="H1843" s="2">
        <v>46011</v>
      </c>
      <c r="I1843">
        <v>234.67</v>
      </c>
      <c r="J1843">
        <v>119.79</v>
      </c>
      <c r="K1843">
        <v>95.83</v>
      </c>
      <c r="L1843">
        <v>23.96</v>
      </c>
      <c r="M1843" s="1" t="s">
        <v>21</v>
      </c>
      <c r="N1843" s="1" t="s">
        <v>22</v>
      </c>
      <c r="O1843" s="2">
        <v>46041</v>
      </c>
      <c r="P1843" s="2">
        <v>46041</v>
      </c>
      <c r="Q1843">
        <f>_xlfn.XLOOKUP(E1843,CPT!$A$2:$A$13,CPT!$D$2:$D$13)</f>
        <v>240</v>
      </c>
      <c r="R1843" s="1">
        <f>_xlfn.XLOOKUP(C1843,Contract!$A$2:$A$9,Contract!$B$2:$B$9)</f>
        <v>0.47</v>
      </c>
      <c r="S1843" s="1">
        <f t="shared" si="112"/>
        <v>112.8</v>
      </c>
      <c r="T1843" s="1">
        <f t="shared" si="113"/>
        <v>-6.9900000000000091</v>
      </c>
      <c r="U1843" s="1" t="str">
        <f t="shared" si="114"/>
        <v>OK</v>
      </c>
      <c r="V1843" s="1" t="str">
        <f>_xlfn.XLOOKUP(C1843,Payers!$A$2:$A$9,Payers!$B$2:$B$9)</f>
        <v>Keystone Commercial PPO</v>
      </c>
      <c r="W1843" s="1" t="str">
        <f t="shared" si="115"/>
        <v>2025-12</v>
      </c>
    </row>
    <row r="1844" spans="1:23">
      <c r="A1844" s="1" t="s">
        <v>3332</v>
      </c>
      <c r="B1844" s="1" t="s">
        <v>3333</v>
      </c>
      <c r="C1844" s="1" t="s">
        <v>25</v>
      </c>
      <c r="D1844" s="1" t="s">
        <v>19</v>
      </c>
      <c r="E1844" s="1" t="s">
        <v>20</v>
      </c>
      <c r="F1844">
        <v>1</v>
      </c>
      <c r="G1844" s="2">
        <v>46179</v>
      </c>
      <c r="H1844" s="2">
        <v>46181</v>
      </c>
      <c r="I1844">
        <v>143.6</v>
      </c>
      <c r="J1844">
        <v>50.4</v>
      </c>
      <c r="K1844">
        <v>50.4</v>
      </c>
      <c r="L1844">
        <v>0</v>
      </c>
      <c r="M1844" s="1" t="s">
        <v>21</v>
      </c>
      <c r="N1844" s="1" t="s">
        <v>22</v>
      </c>
      <c r="O1844" s="2">
        <v>46206</v>
      </c>
      <c r="P1844" s="2">
        <v>46206</v>
      </c>
      <c r="Q1844">
        <f>_xlfn.XLOOKUP(E1844,CPT!$A$2:$A$13,CPT!$D$2:$D$13)</f>
        <v>145</v>
      </c>
      <c r="R1844" s="1">
        <f>_xlfn.XLOOKUP(C1844,Contract!$A$2:$A$9,Contract!$B$2:$B$9)</f>
        <v>0.36</v>
      </c>
      <c r="S1844" s="1">
        <f t="shared" si="112"/>
        <v>52.2</v>
      </c>
      <c r="T1844" s="1">
        <f t="shared" si="113"/>
        <v>1.8000000000000043</v>
      </c>
      <c r="U1844" s="1" t="str">
        <f t="shared" si="114"/>
        <v>OK</v>
      </c>
      <c r="V1844" s="1" t="str">
        <f>_xlfn.XLOOKUP(C1844,Payers!$A$2:$A$9,Payers!$B$2:$B$9)</f>
        <v>Medicare Part B</v>
      </c>
      <c r="W1844" s="1" t="str">
        <f t="shared" si="115"/>
        <v>2026-06</v>
      </c>
    </row>
    <row r="1845" spans="1:23">
      <c r="A1845" s="1" t="s">
        <v>3334</v>
      </c>
      <c r="B1845" s="1" t="s">
        <v>3335</v>
      </c>
      <c r="C1845" s="1" t="s">
        <v>60</v>
      </c>
      <c r="D1845" s="1" t="s">
        <v>37</v>
      </c>
      <c r="E1845" s="1" t="s">
        <v>57</v>
      </c>
      <c r="F1845">
        <v>1</v>
      </c>
      <c r="G1845" s="2">
        <v>46212</v>
      </c>
      <c r="H1845" s="2">
        <v>46214</v>
      </c>
      <c r="I1845">
        <v>208.32</v>
      </c>
      <c r="J1845">
        <v>93.76</v>
      </c>
      <c r="K1845">
        <v>93.76</v>
      </c>
      <c r="L1845">
        <v>0</v>
      </c>
      <c r="M1845" s="1" t="s">
        <v>21</v>
      </c>
      <c r="N1845" s="1" t="s">
        <v>22</v>
      </c>
      <c r="O1845" s="2">
        <v>46228</v>
      </c>
      <c r="P1845" s="2">
        <v>46228</v>
      </c>
      <c r="Q1845">
        <f>_xlfn.XLOOKUP(E1845,CPT!$A$2:$A$13,CPT!$D$2:$D$13)</f>
        <v>210</v>
      </c>
      <c r="R1845" s="1">
        <f>_xlfn.XLOOKUP(C1845,Contract!$A$2:$A$9,Contract!$B$2:$B$9)</f>
        <v>0.45</v>
      </c>
      <c r="S1845" s="1">
        <f t="shared" si="112"/>
        <v>94.5</v>
      </c>
      <c r="T1845" s="1">
        <f t="shared" si="113"/>
        <v>0.73999999999999488</v>
      </c>
      <c r="U1845" s="1" t="str">
        <f t="shared" si="114"/>
        <v>OK</v>
      </c>
      <c r="V1845" s="1" t="str">
        <f>_xlfn.XLOOKUP(C1845,Payers!$A$2:$A$9,Payers!$B$2:$B$9)</f>
        <v>Blue Horizon Commercial</v>
      </c>
      <c r="W1845" s="1" t="str">
        <f t="shared" si="115"/>
        <v>2026-07</v>
      </c>
    </row>
    <row r="1846" spans="1:23">
      <c r="A1846" s="1" t="s">
        <v>3336</v>
      </c>
      <c r="B1846" s="1" t="s">
        <v>1075</v>
      </c>
      <c r="C1846" s="1" t="s">
        <v>47</v>
      </c>
      <c r="D1846" s="1" t="s">
        <v>37</v>
      </c>
      <c r="E1846" s="1" t="s">
        <v>57</v>
      </c>
      <c r="F1846">
        <v>1</v>
      </c>
      <c r="G1846" s="2">
        <v>46030</v>
      </c>
      <c r="H1846" s="2">
        <v>46031</v>
      </c>
      <c r="I1846">
        <v>213.76</v>
      </c>
      <c r="J1846">
        <v>68.25</v>
      </c>
      <c r="K1846">
        <v>54.6</v>
      </c>
      <c r="L1846">
        <v>13.65</v>
      </c>
      <c r="M1846" s="1" t="s">
        <v>21</v>
      </c>
      <c r="N1846" s="1" t="s">
        <v>22</v>
      </c>
      <c r="O1846" s="2">
        <v>46109</v>
      </c>
      <c r="P1846" s="2">
        <v>46109</v>
      </c>
      <c r="Q1846">
        <f>_xlfn.XLOOKUP(E1846,CPT!$A$2:$A$13,CPT!$D$2:$D$13)</f>
        <v>210</v>
      </c>
      <c r="R1846" s="1">
        <f>_xlfn.XLOOKUP(C1846,Contract!$A$2:$A$9,Contract!$B$2:$B$9)</f>
        <v>0.28000000000000003</v>
      </c>
      <c r="S1846" s="1">
        <f t="shared" si="112"/>
        <v>58.8</v>
      </c>
      <c r="T1846" s="1">
        <f t="shared" si="113"/>
        <v>-9.4500000000000028</v>
      </c>
      <c r="U1846" s="1" t="str">
        <f t="shared" si="114"/>
        <v>OK</v>
      </c>
      <c r="V1846" s="1" t="str">
        <f>_xlfn.XLOOKUP(C1846,Payers!$A$2:$A$9,Payers!$B$2:$B$9)</f>
        <v>Coastal Medicaid MCO</v>
      </c>
      <c r="W1846" s="1" t="str">
        <f t="shared" si="115"/>
        <v>2026-01</v>
      </c>
    </row>
    <row r="1847" spans="1:23">
      <c r="A1847" s="1" t="s">
        <v>3337</v>
      </c>
      <c r="B1847" s="1" t="s">
        <v>859</v>
      </c>
      <c r="C1847" s="1" t="s">
        <v>25</v>
      </c>
      <c r="D1847" s="1" t="s">
        <v>26</v>
      </c>
      <c r="E1847" s="1" t="s">
        <v>113</v>
      </c>
      <c r="F1847">
        <v>1</v>
      </c>
      <c r="G1847" s="2">
        <v>46126</v>
      </c>
      <c r="H1847" s="2">
        <v>46134</v>
      </c>
      <c r="I1847">
        <v>1053.24</v>
      </c>
      <c r="J1847">
        <v>398.79</v>
      </c>
      <c r="K1847">
        <v>398.79</v>
      </c>
      <c r="L1847">
        <v>0</v>
      </c>
      <c r="M1847" s="1" t="s">
        <v>21</v>
      </c>
      <c r="N1847" s="1" t="s">
        <v>22</v>
      </c>
      <c r="O1847" s="2">
        <v>46160</v>
      </c>
      <c r="P1847" s="2">
        <v>46160</v>
      </c>
      <c r="Q1847">
        <f>_xlfn.XLOOKUP(E1847,CPT!$A$2:$A$13,CPT!$D$2:$D$13)</f>
        <v>1050</v>
      </c>
      <c r="R1847" s="1">
        <f>_xlfn.XLOOKUP(C1847,Contract!$A$2:$A$9,Contract!$B$2:$B$9)</f>
        <v>0.36</v>
      </c>
      <c r="S1847" s="1">
        <f t="shared" si="112"/>
        <v>378</v>
      </c>
      <c r="T1847" s="1">
        <f t="shared" si="113"/>
        <v>-20.79000000000002</v>
      </c>
      <c r="U1847" s="1" t="str">
        <f t="shared" si="114"/>
        <v>OK</v>
      </c>
      <c r="V1847" s="1" t="str">
        <f>_xlfn.XLOOKUP(C1847,Payers!$A$2:$A$9,Payers!$B$2:$B$9)</f>
        <v>Medicare Part B</v>
      </c>
      <c r="W1847" s="1" t="str">
        <f t="shared" si="115"/>
        <v>2026-04</v>
      </c>
    </row>
    <row r="1848" spans="1:23">
      <c r="A1848" s="1" t="s">
        <v>3338</v>
      </c>
      <c r="B1848" s="1" t="s">
        <v>3208</v>
      </c>
      <c r="C1848" s="1" t="s">
        <v>18</v>
      </c>
      <c r="D1848" s="1" t="s">
        <v>30</v>
      </c>
      <c r="E1848" s="1" t="s">
        <v>20</v>
      </c>
      <c r="F1848">
        <v>1</v>
      </c>
      <c r="G1848" s="2">
        <v>45964</v>
      </c>
      <c r="H1848" s="2">
        <v>45969</v>
      </c>
      <c r="I1848">
        <v>144.44999999999999</v>
      </c>
      <c r="J1848">
        <v>62.38</v>
      </c>
      <c r="K1848">
        <v>62.38</v>
      </c>
      <c r="L1848">
        <v>0</v>
      </c>
      <c r="M1848" s="1" t="s">
        <v>21</v>
      </c>
      <c r="N1848" s="1" t="s">
        <v>22</v>
      </c>
      <c r="O1848" s="2">
        <v>46003</v>
      </c>
      <c r="P1848" s="2">
        <v>46003</v>
      </c>
      <c r="Q1848">
        <f>_xlfn.XLOOKUP(E1848,CPT!$A$2:$A$13,CPT!$D$2:$D$13)</f>
        <v>145</v>
      </c>
      <c r="R1848" s="1">
        <f>_xlfn.XLOOKUP(C1848,Contract!$A$2:$A$9,Contract!$B$2:$B$9)</f>
        <v>0.38</v>
      </c>
      <c r="S1848" s="1">
        <f t="shared" si="112"/>
        <v>55.1</v>
      </c>
      <c r="T1848" s="1">
        <f t="shared" si="113"/>
        <v>-7.2800000000000011</v>
      </c>
      <c r="U1848" s="1" t="str">
        <f t="shared" si="114"/>
        <v>OK</v>
      </c>
      <c r="V1848" s="1" t="str">
        <f>_xlfn.XLOOKUP(C1848,Payers!$A$2:$A$9,Payers!$B$2:$B$9)</f>
        <v>Sunshine Medicare Advantage</v>
      </c>
      <c r="W1848" s="1" t="str">
        <f t="shared" si="115"/>
        <v>2025-11</v>
      </c>
    </row>
    <row r="1849" spans="1:23">
      <c r="A1849" s="1" t="s">
        <v>3339</v>
      </c>
      <c r="B1849" s="1" t="s">
        <v>3340</v>
      </c>
      <c r="C1849" s="1" t="s">
        <v>60</v>
      </c>
      <c r="D1849" s="1" t="s">
        <v>26</v>
      </c>
      <c r="E1849" s="1" t="s">
        <v>41</v>
      </c>
      <c r="F1849">
        <v>1</v>
      </c>
      <c r="G1849" s="2">
        <v>46139</v>
      </c>
      <c r="H1849" s="2">
        <v>46146</v>
      </c>
      <c r="I1849">
        <v>38.9</v>
      </c>
      <c r="J1849">
        <v>14.81</v>
      </c>
      <c r="K1849">
        <v>14.81</v>
      </c>
      <c r="L1849">
        <v>0</v>
      </c>
      <c r="M1849" s="1" t="s">
        <v>21</v>
      </c>
      <c r="N1849" s="1" t="s">
        <v>22</v>
      </c>
      <c r="O1849" s="2">
        <v>46184</v>
      </c>
      <c r="P1849" s="2">
        <v>46184</v>
      </c>
      <c r="Q1849">
        <f>_xlfn.XLOOKUP(E1849,CPT!$A$2:$A$13,CPT!$D$2:$D$13)</f>
        <v>38</v>
      </c>
      <c r="R1849" s="1">
        <f>_xlfn.XLOOKUP(C1849,Contract!$A$2:$A$9,Contract!$B$2:$B$9)</f>
        <v>0.45</v>
      </c>
      <c r="S1849" s="1">
        <f t="shared" si="112"/>
        <v>17.100000000000001</v>
      </c>
      <c r="T1849" s="1">
        <f t="shared" si="113"/>
        <v>2.2900000000000009</v>
      </c>
      <c r="U1849" s="1" t="str">
        <f t="shared" si="114"/>
        <v>Underpaid</v>
      </c>
      <c r="V1849" s="1" t="str">
        <f>_xlfn.XLOOKUP(C1849,Payers!$A$2:$A$9,Payers!$B$2:$B$9)</f>
        <v>Blue Horizon Commercial</v>
      </c>
      <c r="W1849" s="1" t="str">
        <f t="shared" si="115"/>
        <v>2026-04</v>
      </c>
    </row>
    <row r="1850" spans="1:23">
      <c r="A1850" s="1" t="s">
        <v>3341</v>
      </c>
      <c r="B1850" s="1" t="s">
        <v>3342</v>
      </c>
      <c r="C1850" s="1" t="s">
        <v>79</v>
      </c>
      <c r="D1850" s="1" t="s">
        <v>26</v>
      </c>
      <c r="E1850" s="1" t="s">
        <v>88</v>
      </c>
      <c r="F1850">
        <v>1</v>
      </c>
      <c r="G1850" s="2">
        <v>46263</v>
      </c>
      <c r="H1850" s="2">
        <v>46265</v>
      </c>
      <c r="I1850">
        <v>260.35000000000002</v>
      </c>
      <c r="M1850" s="1" t="s">
        <v>69</v>
      </c>
      <c r="N1850" s="1" t="s">
        <v>22</v>
      </c>
      <c r="O1850" s="2"/>
      <c r="P1850" s="2"/>
      <c r="Q1850">
        <f>_xlfn.XLOOKUP(E1850,CPT!$A$2:$A$13,CPT!$D$2:$D$13)</f>
        <v>260</v>
      </c>
      <c r="R1850" s="1">
        <f>_xlfn.XLOOKUP(C1850,Contract!$A$2:$A$9,Contract!$B$2:$B$9)</f>
        <v>1</v>
      </c>
      <c r="S1850" s="1">
        <f t="shared" si="112"/>
        <v>260</v>
      </c>
      <c r="T1850" s="1" t="str">
        <f t="shared" si="113"/>
        <v/>
      </c>
      <c r="U1850" s="1" t="str">
        <f t="shared" si="114"/>
        <v/>
      </c>
      <c r="V1850" s="1" t="str">
        <f>_xlfn.XLOOKUP(C1850,Payers!$A$2:$A$9,Payers!$B$2:$B$9)</f>
        <v>Self-Pay</v>
      </c>
      <c r="W1850" s="1" t="str">
        <f t="shared" si="115"/>
        <v>2026-08</v>
      </c>
    </row>
    <row r="1851" spans="1:23">
      <c r="A1851" s="1" t="s">
        <v>3343</v>
      </c>
      <c r="B1851" s="1" t="s">
        <v>3344</v>
      </c>
      <c r="C1851" s="1" t="s">
        <v>25</v>
      </c>
      <c r="D1851" s="1" t="s">
        <v>37</v>
      </c>
      <c r="E1851" s="1" t="s">
        <v>57</v>
      </c>
      <c r="F1851">
        <v>1</v>
      </c>
      <c r="G1851" s="2">
        <v>46044</v>
      </c>
      <c r="H1851" s="2">
        <v>46046</v>
      </c>
      <c r="I1851">
        <v>210.98</v>
      </c>
      <c r="J1851">
        <v>76.03</v>
      </c>
      <c r="K1851">
        <v>76.03</v>
      </c>
      <c r="L1851">
        <v>0</v>
      </c>
      <c r="M1851" s="1" t="s">
        <v>21</v>
      </c>
      <c r="N1851" s="1" t="s">
        <v>22</v>
      </c>
      <c r="O1851" s="2">
        <v>46067</v>
      </c>
      <c r="P1851" s="2">
        <v>46067</v>
      </c>
      <c r="Q1851">
        <f>_xlfn.XLOOKUP(E1851,CPT!$A$2:$A$13,CPT!$D$2:$D$13)</f>
        <v>210</v>
      </c>
      <c r="R1851" s="1">
        <f>_xlfn.XLOOKUP(C1851,Contract!$A$2:$A$9,Contract!$B$2:$B$9)</f>
        <v>0.36</v>
      </c>
      <c r="S1851" s="1">
        <f t="shared" si="112"/>
        <v>75.599999999999994</v>
      </c>
      <c r="T1851" s="1">
        <f t="shared" si="113"/>
        <v>-0.43000000000000682</v>
      </c>
      <c r="U1851" s="1" t="str">
        <f t="shared" si="114"/>
        <v>OK</v>
      </c>
      <c r="V1851" s="1" t="str">
        <f>_xlfn.XLOOKUP(C1851,Payers!$A$2:$A$9,Payers!$B$2:$B$9)</f>
        <v>Medicare Part B</v>
      </c>
      <c r="W1851" s="1" t="str">
        <f t="shared" si="115"/>
        <v>2026-01</v>
      </c>
    </row>
    <row r="1852" spans="1:23">
      <c r="A1852" s="1" t="s">
        <v>3345</v>
      </c>
      <c r="B1852" s="1" t="s">
        <v>449</v>
      </c>
      <c r="C1852" s="1" t="s">
        <v>18</v>
      </c>
      <c r="D1852" s="1" t="s">
        <v>26</v>
      </c>
      <c r="E1852" s="1" t="s">
        <v>88</v>
      </c>
      <c r="F1852">
        <v>1</v>
      </c>
      <c r="G1852" s="2">
        <v>46238</v>
      </c>
      <c r="H1852" s="2">
        <v>46239</v>
      </c>
      <c r="I1852">
        <v>264.83</v>
      </c>
      <c r="M1852" s="1" t="s">
        <v>69</v>
      </c>
      <c r="N1852" s="1" t="s">
        <v>22</v>
      </c>
      <c r="O1852" s="2"/>
      <c r="P1852" s="2"/>
      <c r="Q1852">
        <f>_xlfn.XLOOKUP(E1852,CPT!$A$2:$A$13,CPT!$D$2:$D$13)</f>
        <v>260</v>
      </c>
      <c r="R1852" s="1">
        <f>_xlfn.XLOOKUP(C1852,Contract!$A$2:$A$9,Contract!$B$2:$B$9)</f>
        <v>0.38</v>
      </c>
      <c r="S1852" s="1">
        <f t="shared" si="112"/>
        <v>98.8</v>
      </c>
      <c r="T1852" s="1" t="str">
        <f t="shared" si="113"/>
        <v/>
      </c>
      <c r="U1852" s="1" t="str">
        <f t="shared" si="114"/>
        <v/>
      </c>
      <c r="V1852" s="1" t="str">
        <f>_xlfn.XLOOKUP(C1852,Payers!$A$2:$A$9,Payers!$B$2:$B$9)</f>
        <v>Sunshine Medicare Advantage</v>
      </c>
      <c r="W1852" s="1" t="str">
        <f t="shared" si="115"/>
        <v>2026-08</v>
      </c>
    </row>
    <row r="1853" spans="1:23">
      <c r="A1853" s="1" t="s">
        <v>3346</v>
      </c>
      <c r="B1853" s="1" t="s">
        <v>87</v>
      </c>
      <c r="C1853" s="1" t="s">
        <v>18</v>
      </c>
      <c r="D1853" s="1" t="s">
        <v>19</v>
      </c>
      <c r="E1853" s="1" t="s">
        <v>88</v>
      </c>
      <c r="F1853">
        <v>1</v>
      </c>
      <c r="G1853" s="2">
        <v>46212</v>
      </c>
      <c r="H1853" s="2">
        <v>46217</v>
      </c>
      <c r="I1853">
        <v>267.63</v>
      </c>
      <c r="J1853">
        <v>111.74</v>
      </c>
      <c r="K1853">
        <v>111.74</v>
      </c>
      <c r="L1853">
        <v>0</v>
      </c>
      <c r="M1853" s="1" t="s">
        <v>21</v>
      </c>
      <c r="N1853" s="1" t="s">
        <v>22</v>
      </c>
      <c r="O1853" s="2">
        <v>46289</v>
      </c>
      <c r="P1853" s="2">
        <v>46289</v>
      </c>
      <c r="Q1853">
        <f>_xlfn.XLOOKUP(E1853,CPT!$A$2:$A$13,CPT!$D$2:$D$13)</f>
        <v>260</v>
      </c>
      <c r="R1853" s="1">
        <f>_xlfn.XLOOKUP(C1853,Contract!$A$2:$A$9,Contract!$B$2:$B$9)</f>
        <v>0.38</v>
      </c>
      <c r="S1853" s="1">
        <f t="shared" si="112"/>
        <v>98.8</v>
      </c>
      <c r="T1853" s="1">
        <f t="shared" si="113"/>
        <v>-12.939999999999998</v>
      </c>
      <c r="U1853" s="1" t="str">
        <f t="shared" si="114"/>
        <v>OK</v>
      </c>
      <c r="V1853" s="1" t="str">
        <f>_xlfn.XLOOKUP(C1853,Payers!$A$2:$A$9,Payers!$B$2:$B$9)</f>
        <v>Sunshine Medicare Advantage</v>
      </c>
      <c r="W1853" s="1" t="str">
        <f t="shared" si="115"/>
        <v>2026-07</v>
      </c>
    </row>
    <row r="1854" spans="1:23">
      <c r="A1854" s="1" t="s">
        <v>3347</v>
      </c>
      <c r="B1854" s="1" t="s">
        <v>2545</v>
      </c>
      <c r="C1854" s="1" t="s">
        <v>47</v>
      </c>
      <c r="D1854" s="1" t="s">
        <v>30</v>
      </c>
      <c r="E1854" s="1" t="s">
        <v>20</v>
      </c>
      <c r="F1854">
        <v>1</v>
      </c>
      <c r="G1854" s="2">
        <v>46050</v>
      </c>
      <c r="H1854" s="2">
        <v>46146</v>
      </c>
      <c r="I1854">
        <v>143.35</v>
      </c>
      <c r="M1854" s="1" t="s">
        <v>32</v>
      </c>
      <c r="N1854" s="1" t="s">
        <v>137</v>
      </c>
      <c r="O1854" s="2">
        <v>46203</v>
      </c>
      <c r="P1854" s="2"/>
      <c r="Q1854">
        <f>_xlfn.XLOOKUP(E1854,CPT!$A$2:$A$13,CPT!$D$2:$D$13)</f>
        <v>145</v>
      </c>
      <c r="R1854" s="1">
        <f>_xlfn.XLOOKUP(C1854,Contract!$A$2:$A$9,Contract!$B$2:$B$9)</f>
        <v>0.28000000000000003</v>
      </c>
      <c r="S1854" s="1">
        <f t="shared" si="112"/>
        <v>40.6</v>
      </c>
      <c r="T1854" s="1" t="str">
        <f t="shared" si="113"/>
        <v/>
      </c>
      <c r="U1854" s="1" t="str">
        <f t="shared" si="114"/>
        <v/>
      </c>
      <c r="V1854" s="1" t="str">
        <f>_xlfn.XLOOKUP(C1854,Payers!$A$2:$A$9,Payers!$B$2:$B$9)</f>
        <v>Coastal Medicaid MCO</v>
      </c>
      <c r="W1854" s="1" t="str">
        <f t="shared" si="115"/>
        <v>2026-01</v>
      </c>
    </row>
    <row r="1855" spans="1:23">
      <c r="A1855" s="1" t="s">
        <v>3348</v>
      </c>
      <c r="B1855" s="1" t="s">
        <v>3349</v>
      </c>
      <c r="C1855" s="1" t="s">
        <v>52</v>
      </c>
      <c r="D1855" s="1" t="s">
        <v>37</v>
      </c>
      <c r="E1855" s="1" t="s">
        <v>38</v>
      </c>
      <c r="F1855">
        <v>30</v>
      </c>
      <c r="G1855" s="2">
        <v>46230</v>
      </c>
      <c r="H1855" s="2">
        <v>46231</v>
      </c>
      <c r="I1855">
        <v>44427.91</v>
      </c>
      <c r="J1855">
        <v>21330.55</v>
      </c>
      <c r="K1855">
        <v>19197.5</v>
      </c>
      <c r="L1855">
        <v>2133.0500000000002</v>
      </c>
      <c r="M1855" s="1" t="s">
        <v>21</v>
      </c>
      <c r="N1855" s="1" t="s">
        <v>22</v>
      </c>
      <c r="O1855" s="2">
        <v>46291</v>
      </c>
      <c r="P1855" s="2">
        <v>46291</v>
      </c>
      <c r="Q1855">
        <f>_xlfn.XLOOKUP(E1855,CPT!$A$2:$A$13,CPT!$D$2:$D$13)</f>
        <v>1450</v>
      </c>
      <c r="R1855" s="1">
        <f>_xlfn.XLOOKUP(C1855,Contract!$A$2:$A$9,Contract!$B$2:$B$9)</f>
        <v>0.47</v>
      </c>
      <c r="S1855" s="1">
        <f t="shared" si="112"/>
        <v>20445</v>
      </c>
      <c r="T1855" s="1">
        <f t="shared" si="113"/>
        <v>-885.54999999999927</v>
      </c>
      <c r="U1855" s="1" t="str">
        <f t="shared" si="114"/>
        <v>OK</v>
      </c>
      <c r="V1855" s="1" t="str">
        <f>_xlfn.XLOOKUP(C1855,Payers!$A$2:$A$9,Payers!$B$2:$B$9)</f>
        <v>Keystone Commercial PPO</v>
      </c>
      <c r="W1855" s="1" t="str">
        <f t="shared" si="115"/>
        <v>2026-07</v>
      </c>
    </row>
    <row r="1856" spans="1:23">
      <c r="A1856" s="1" t="s">
        <v>3350</v>
      </c>
      <c r="B1856" s="1" t="s">
        <v>2122</v>
      </c>
      <c r="C1856" s="1" t="s">
        <v>60</v>
      </c>
      <c r="D1856" s="1" t="s">
        <v>37</v>
      </c>
      <c r="E1856" s="1" t="s">
        <v>38</v>
      </c>
      <c r="F1856">
        <v>30</v>
      </c>
      <c r="G1856" s="2">
        <v>45970</v>
      </c>
      <c r="H1856" s="2">
        <v>45972</v>
      </c>
      <c r="I1856">
        <v>44563.86</v>
      </c>
      <c r="M1856" s="1" t="s">
        <v>32</v>
      </c>
      <c r="N1856" s="1" t="s">
        <v>315</v>
      </c>
      <c r="O1856" s="2">
        <v>45990</v>
      </c>
      <c r="P1856" s="2"/>
      <c r="Q1856">
        <f>_xlfn.XLOOKUP(E1856,CPT!$A$2:$A$13,CPT!$D$2:$D$13)</f>
        <v>1450</v>
      </c>
      <c r="R1856" s="1">
        <f>_xlfn.XLOOKUP(C1856,Contract!$A$2:$A$9,Contract!$B$2:$B$9)</f>
        <v>0.45</v>
      </c>
      <c r="S1856" s="1">
        <f t="shared" si="112"/>
        <v>19575</v>
      </c>
      <c r="T1856" s="1" t="str">
        <f t="shared" si="113"/>
        <v/>
      </c>
      <c r="U1856" s="1" t="str">
        <f t="shared" si="114"/>
        <v/>
      </c>
      <c r="V1856" s="1" t="str">
        <f>_xlfn.XLOOKUP(C1856,Payers!$A$2:$A$9,Payers!$B$2:$B$9)</f>
        <v>Blue Horizon Commercial</v>
      </c>
      <c r="W1856" s="1" t="str">
        <f t="shared" si="115"/>
        <v>2025-11</v>
      </c>
    </row>
    <row r="1857" spans="1:23">
      <c r="A1857" s="1" t="s">
        <v>3351</v>
      </c>
      <c r="B1857" s="1" t="s">
        <v>3352</v>
      </c>
      <c r="C1857" s="1" t="s">
        <v>60</v>
      </c>
      <c r="D1857" s="1" t="s">
        <v>19</v>
      </c>
      <c r="E1857" s="1" t="s">
        <v>41</v>
      </c>
      <c r="F1857">
        <v>1</v>
      </c>
      <c r="G1857" s="2">
        <v>46127</v>
      </c>
      <c r="H1857" s="2">
        <v>46129</v>
      </c>
      <c r="I1857">
        <v>36.9</v>
      </c>
      <c r="J1857">
        <v>17.940000000000001</v>
      </c>
      <c r="K1857">
        <v>16.149999999999999</v>
      </c>
      <c r="L1857">
        <v>1.79</v>
      </c>
      <c r="M1857" s="1" t="s">
        <v>21</v>
      </c>
      <c r="N1857" s="1" t="s">
        <v>22</v>
      </c>
      <c r="O1857" s="2">
        <v>46153</v>
      </c>
      <c r="P1857" s="2">
        <v>46153</v>
      </c>
      <c r="Q1857">
        <f>_xlfn.XLOOKUP(E1857,CPT!$A$2:$A$13,CPT!$D$2:$D$13)</f>
        <v>38</v>
      </c>
      <c r="R1857" s="1">
        <f>_xlfn.XLOOKUP(C1857,Contract!$A$2:$A$9,Contract!$B$2:$B$9)</f>
        <v>0.45</v>
      </c>
      <c r="S1857" s="1">
        <f t="shared" si="112"/>
        <v>17.100000000000001</v>
      </c>
      <c r="T1857" s="1">
        <f t="shared" si="113"/>
        <v>-0.83999999999999986</v>
      </c>
      <c r="U1857" s="1" t="str">
        <f t="shared" si="114"/>
        <v>OK</v>
      </c>
      <c r="V1857" s="1" t="str">
        <f>_xlfn.XLOOKUP(C1857,Payers!$A$2:$A$9,Payers!$B$2:$B$9)</f>
        <v>Blue Horizon Commercial</v>
      </c>
      <c r="W1857" s="1" t="str">
        <f t="shared" si="115"/>
        <v>2026-04</v>
      </c>
    </row>
    <row r="1858" spans="1:23">
      <c r="A1858" s="1" t="s">
        <v>3353</v>
      </c>
      <c r="B1858" s="1" t="s">
        <v>2029</v>
      </c>
      <c r="C1858" s="1" t="s">
        <v>52</v>
      </c>
      <c r="D1858" s="1" t="s">
        <v>26</v>
      </c>
      <c r="E1858" s="1" t="s">
        <v>44</v>
      </c>
      <c r="F1858">
        <v>1</v>
      </c>
      <c r="G1858" s="2">
        <v>46003</v>
      </c>
      <c r="H1858" s="2">
        <v>46004</v>
      </c>
      <c r="I1858">
        <v>4666.5600000000004</v>
      </c>
      <c r="M1858" s="1" t="s">
        <v>32</v>
      </c>
      <c r="N1858" s="1" t="s">
        <v>49</v>
      </c>
      <c r="O1858" s="2">
        <v>46042</v>
      </c>
      <c r="P1858" s="2"/>
      <c r="Q1858">
        <f>_xlfn.XLOOKUP(E1858,CPT!$A$2:$A$13,CPT!$D$2:$D$13)</f>
        <v>4800</v>
      </c>
      <c r="R1858" s="1">
        <f>_xlfn.XLOOKUP(C1858,Contract!$A$2:$A$9,Contract!$B$2:$B$9)</f>
        <v>0.47</v>
      </c>
      <c r="S1858" s="1">
        <f t="shared" ref="S1858:S1921" si="116">ROUND(Q1858*F1858*R1858,2)</f>
        <v>2256</v>
      </c>
      <c r="T1858" s="1" t="str">
        <f t="shared" ref="T1858:T1921" si="117">IF(M1858="Paid",S1858-J1858,"")</f>
        <v/>
      </c>
      <c r="U1858" s="1" t="str">
        <f t="shared" ref="U1858:U1921" si="118">IF(M1858&lt;&gt;"Paid","",IF(T1858&gt;S1858*0.05,"Underpaid","OK"))</f>
        <v/>
      </c>
      <c r="V1858" s="1" t="str">
        <f>_xlfn.XLOOKUP(C1858,Payers!$A$2:$A$9,Payers!$B$2:$B$9)</f>
        <v>Keystone Commercial PPO</v>
      </c>
      <c r="W1858" s="1" t="str">
        <f t="shared" ref="W1858:W1921" si="119">TEXT(G1858,"yyyy-mm")</f>
        <v>2025-12</v>
      </c>
    </row>
    <row r="1859" spans="1:23">
      <c r="A1859" s="1" t="s">
        <v>3354</v>
      </c>
      <c r="B1859" s="1" t="s">
        <v>3355</v>
      </c>
      <c r="C1859" s="1" t="s">
        <v>25</v>
      </c>
      <c r="D1859" s="1" t="s">
        <v>37</v>
      </c>
      <c r="E1859" s="1" t="s">
        <v>48</v>
      </c>
      <c r="F1859">
        <v>1</v>
      </c>
      <c r="G1859" s="2">
        <v>46259</v>
      </c>
      <c r="H1859" s="2">
        <v>46262</v>
      </c>
      <c r="I1859">
        <v>426.37</v>
      </c>
      <c r="J1859">
        <v>139.96</v>
      </c>
      <c r="K1859">
        <v>111.97</v>
      </c>
      <c r="L1859">
        <v>27.99</v>
      </c>
      <c r="M1859" s="1" t="s">
        <v>21</v>
      </c>
      <c r="N1859" s="1" t="s">
        <v>22</v>
      </c>
      <c r="O1859" s="2">
        <v>46279</v>
      </c>
      <c r="P1859" s="2">
        <v>46279</v>
      </c>
      <c r="Q1859">
        <f>_xlfn.XLOOKUP(E1859,CPT!$A$2:$A$13,CPT!$D$2:$D$13)</f>
        <v>420</v>
      </c>
      <c r="R1859" s="1">
        <f>_xlfn.XLOOKUP(C1859,Contract!$A$2:$A$9,Contract!$B$2:$B$9)</f>
        <v>0.36</v>
      </c>
      <c r="S1859" s="1">
        <f t="shared" si="116"/>
        <v>151.19999999999999</v>
      </c>
      <c r="T1859" s="1">
        <f t="shared" si="117"/>
        <v>11.239999999999981</v>
      </c>
      <c r="U1859" s="1" t="str">
        <f t="shared" si="118"/>
        <v>Underpaid</v>
      </c>
      <c r="V1859" s="1" t="str">
        <f>_xlfn.XLOOKUP(C1859,Payers!$A$2:$A$9,Payers!$B$2:$B$9)</f>
        <v>Medicare Part B</v>
      </c>
      <c r="W1859" s="1" t="str">
        <f t="shared" si="119"/>
        <v>2026-08</v>
      </c>
    </row>
    <row r="1860" spans="1:23">
      <c r="A1860" s="1" t="s">
        <v>3356</v>
      </c>
      <c r="B1860" s="1" t="s">
        <v>2010</v>
      </c>
      <c r="C1860" s="1" t="s">
        <v>25</v>
      </c>
      <c r="D1860" s="1" t="s">
        <v>26</v>
      </c>
      <c r="E1860" s="1" t="s">
        <v>57</v>
      </c>
      <c r="F1860">
        <v>1</v>
      </c>
      <c r="G1860" s="2">
        <v>46026</v>
      </c>
      <c r="H1860" s="2">
        <v>46028</v>
      </c>
      <c r="I1860">
        <v>214.9</v>
      </c>
      <c r="M1860" s="1" t="s">
        <v>32</v>
      </c>
      <c r="N1860" s="1" t="s">
        <v>33</v>
      </c>
      <c r="O1860" s="2">
        <v>46043</v>
      </c>
      <c r="P1860" s="2"/>
      <c r="Q1860">
        <f>_xlfn.XLOOKUP(E1860,CPT!$A$2:$A$13,CPT!$D$2:$D$13)</f>
        <v>210</v>
      </c>
      <c r="R1860" s="1">
        <f>_xlfn.XLOOKUP(C1860,Contract!$A$2:$A$9,Contract!$B$2:$B$9)</f>
        <v>0.36</v>
      </c>
      <c r="S1860" s="1">
        <f t="shared" si="116"/>
        <v>75.599999999999994</v>
      </c>
      <c r="T1860" s="1" t="str">
        <f t="shared" si="117"/>
        <v/>
      </c>
      <c r="U1860" s="1" t="str">
        <f t="shared" si="118"/>
        <v/>
      </c>
      <c r="V1860" s="1" t="str">
        <f>_xlfn.XLOOKUP(C1860,Payers!$A$2:$A$9,Payers!$B$2:$B$9)</f>
        <v>Medicare Part B</v>
      </c>
      <c r="W1860" s="1" t="str">
        <f t="shared" si="119"/>
        <v>2026-01</v>
      </c>
    </row>
    <row r="1861" spans="1:23">
      <c r="A1861" s="1" t="s">
        <v>3357</v>
      </c>
      <c r="B1861" s="1" t="s">
        <v>1616</v>
      </c>
      <c r="C1861" s="1" t="s">
        <v>60</v>
      </c>
      <c r="D1861" s="1" t="s">
        <v>37</v>
      </c>
      <c r="E1861" s="1" t="s">
        <v>48</v>
      </c>
      <c r="F1861">
        <v>1</v>
      </c>
      <c r="G1861" s="2">
        <v>46161</v>
      </c>
      <c r="H1861" s="2">
        <v>46164</v>
      </c>
      <c r="I1861">
        <v>412.09</v>
      </c>
      <c r="J1861">
        <v>159.22999999999999</v>
      </c>
      <c r="K1861">
        <v>127.38</v>
      </c>
      <c r="L1861">
        <v>31.85</v>
      </c>
      <c r="M1861" s="1" t="s">
        <v>21</v>
      </c>
      <c r="N1861" s="1" t="s">
        <v>22</v>
      </c>
      <c r="O1861" s="2">
        <v>46179</v>
      </c>
      <c r="P1861" s="2">
        <v>46179</v>
      </c>
      <c r="Q1861">
        <f>_xlfn.XLOOKUP(E1861,CPT!$A$2:$A$13,CPT!$D$2:$D$13)</f>
        <v>420</v>
      </c>
      <c r="R1861" s="1">
        <f>_xlfn.XLOOKUP(C1861,Contract!$A$2:$A$9,Contract!$B$2:$B$9)</f>
        <v>0.45</v>
      </c>
      <c r="S1861" s="1">
        <f t="shared" si="116"/>
        <v>189</v>
      </c>
      <c r="T1861" s="1">
        <f t="shared" si="117"/>
        <v>29.77000000000001</v>
      </c>
      <c r="U1861" s="1" t="str">
        <f t="shared" si="118"/>
        <v>Underpaid</v>
      </c>
      <c r="V1861" s="1" t="str">
        <f>_xlfn.XLOOKUP(C1861,Payers!$A$2:$A$9,Payers!$B$2:$B$9)</f>
        <v>Blue Horizon Commercial</v>
      </c>
      <c r="W1861" s="1" t="str">
        <f t="shared" si="119"/>
        <v>2026-05</v>
      </c>
    </row>
    <row r="1862" spans="1:23">
      <c r="A1862" s="1" t="s">
        <v>3358</v>
      </c>
      <c r="B1862" s="1" t="s">
        <v>3359</v>
      </c>
      <c r="C1862" s="1" t="s">
        <v>52</v>
      </c>
      <c r="D1862" s="1" t="s">
        <v>26</v>
      </c>
      <c r="E1862" s="1" t="s">
        <v>88</v>
      </c>
      <c r="F1862">
        <v>1</v>
      </c>
      <c r="G1862" s="2">
        <v>46124</v>
      </c>
      <c r="H1862" s="2">
        <v>46125</v>
      </c>
      <c r="I1862">
        <v>262.86</v>
      </c>
      <c r="J1862">
        <v>138.1</v>
      </c>
      <c r="K1862">
        <v>138.1</v>
      </c>
      <c r="L1862">
        <v>0</v>
      </c>
      <c r="M1862" s="1" t="s">
        <v>21</v>
      </c>
      <c r="N1862" s="1" t="s">
        <v>22</v>
      </c>
      <c r="O1862" s="2">
        <v>46161</v>
      </c>
      <c r="P1862" s="2">
        <v>46161</v>
      </c>
      <c r="Q1862">
        <f>_xlfn.XLOOKUP(E1862,CPT!$A$2:$A$13,CPT!$D$2:$D$13)</f>
        <v>260</v>
      </c>
      <c r="R1862" s="1">
        <f>_xlfn.XLOOKUP(C1862,Contract!$A$2:$A$9,Contract!$B$2:$B$9)</f>
        <v>0.47</v>
      </c>
      <c r="S1862" s="1">
        <f t="shared" si="116"/>
        <v>122.2</v>
      </c>
      <c r="T1862" s="1">
        <f t="shared" si="117"/>
        <v>-15.899999999999991</v>
      </c>
      <c r="U1862" s="1" t="str">
        <f t="shared" si="118"/>
        <v>OK</v>
      </c>
      <c r="V1862" s="1" t="str">
        <f>_xlfn.XLOOKUP(C1862,Payers!$A$2:$A$9,Payers!$B$2:$B$9)</f>
        <v>Keystone Commercial PPO</v>
      </c>
      <c r="W1862" s="1" t="str">
        <f t="shared" si="119"/>
        <v>2026-04</v>
      </c>
    </row>
    <row r="1863" spans="1:23">
      <c r="A1863" s="1" t="s">
        <v>3360</v>
      </c>
      <c r="B1863" s="1" t="s">
        <v>3361</v>
      </c>
      <c r="C1863" s="1" t="s">
        <v>52</v>
      </c>
      <c r="D1863" s="1" t="s">
        <v>19</v>
      </c>
      <c r="E1863" s="1" t="s">
        <v>41</v>
      </c>
      <c r="F1863">
        <v>1</v>
      </c>
      <c r="G1863" s="2">
        <v>46285</v>
      </c>
      <c r="H1863" s="2">
        <v>46289</v>
      </c>
      <c r="I1863">
        <v>37.18</v>
      </c>
      <c r="M1863" s="1" t="s">
        <v>69</v>
      </c>
      <c r="N1863" s="1" t="s">
        <v>22</v>
      </c>
      <c r="O1863" s="2"/>
      <c r="P1863" s="2"/>
      <c r="Q1863">
        <f>_xlfn.XLOOKUP(E1863,CPT!$A$2:$A$13,CPT!$D$2:$D$13)</f>
        <v>38</v>
      </c>
      <c r="R1863" s="1">
        <f>_xlfn.XLOOKUP(C1863,Contract!$A$2:$A$9,Contract!$B$2:$B$9)</f>
        <v>0.47</v>
      </c>
      <c r="S1863" s="1">
        <f t="shared" si="116"/>
        <v>17.86</v>
      </c>
      <c r="T1863" s="1" t="str">
        <f t="shared" si="117"/>
        <v/>
      </c>
      <c r="U1863" s="1" t="str">
        <f t="shared" si="118"/>
        <v/>
      </c>
      <c r="V1863" s="1" t="str">
        <f>_xlfn.XLOOKUP(C1863,Payers!$A$2:$A$9,Payers!$B$2:$B$9)</f>
        <v>Keystone Commercial PPO</v>
      </c>
      <c r="W1863" s="1" t="str">
        <f t="shared" si="119"/>
        <v>2026-09</v>
      </c>
    </row>
    <row r="1864" spans="1:23">
      <c r="A1864" s="1" t="s">
        <v>3362</v>
      </c>
      <c r="B1864" s="1" t="s">
        <v>3363</v>
      </c>
      <c r="C1864" s="1" t="s">
        <v>25</v>
      </c>
      <c r="D1864" s="1" t="s">
        <v>19</v>
      </c>
      <c r="E1864" s="1" t="s">
        <v>41</v>
      </c>
      <c r="F1864">
        <v>1</v>
      </c>
      <c r="G1864" s="2">
        <v>46139</v>
      </c>
      <c r="H1864" s="2">
        <v>46144</v>
      </c>
      <c r="I1864">
        <v>38.9</v>
      </c>
      <c r="J1864">
        <v>14.08</v>
      </c>
      <c r="K1864">
        <v>14.08</v>
      </c>
      <c r="L1864">
        <v>0</v>
      </c>
      <c r="M1864" s="1" t="s">
        <v>21</v>
      </c>
      <c r="N1864" s="1" t="s">
        <v>22</v>
      </c>
      <c r="O1864" s="2">
        <v>46177</v>
      </c>
      <c r="P1864" s="2">
        <v>46177</v>
      </c>
      <c r="Q1864">
        <f>_xlfn.XLOOKUP(E1864,CPT!$A$2:$A$13,CPT!$D$2:$D$13)</f>
        <v>38</v>
      </c>
      <c r="R1864" s="1">
        <f>_xlfn.XLOOKUP(C1864,Contract!$A$2:$A$9,Contract!$B$2:$B$9)</f>
        <v>0.36</v>
      </c>
      <c r="S1864" s="1">
        <f t="shared" si="116"/>
        <v>13.68</v>
      </c>
      <c r="T1864" s="1">
        <f t="shared" si="117"/>
        <v>-0.40000000000000036</v>
      </c>
      <c r="U1864" s="1" t="str">
        <f t="shared" si="118"/>
        <v>OK</v>
      </c>
      <c r="V1864" s="1" t="str">
        <f>_xlfn.XLOOKUP(C1864,Payers!$A$2:$A$9,Payers!$B$2:$B$9)</f>
        <v>Medicare Part B</v>
      </c>
      <c r="W1864" s="1" t="str">
        <f t="shared" si="119"/>
        <v>2026-04</v>
      </c>
    </row>
    <row r="1865" spans="1:23">
      <c r="A1865" s="1" t="s">
        <v>3364</v>
      </c>
      <c r="B1865" s="1" t="s">
        <v>379</v>
      </c>
      <c r="C1865" s="1" t="s">
        <v>36</v>
      </c>
      <c r="D1865" s="1" t="s">
        <v>26</v>
      </c>
      <c r="E1865" s="1" t="s">
        <v>185</v>
      </c>
      <c r="F1865">
        <v>1</v>
      </c>
      <c r="G1865" s="2">
        <v>46051</v>
      </c>
      <c r="H1865" s="2">
        <v>46053</v>
      </c>
      <c r="I1865">
        <v>1133.42</v>
      </c>
      <c r="M1865" s="1" t="s">
        <v>32</v>
      </c>
      <c r="N1865" s="1" t="s">
        <v>49</v>
      </c>
      <c r="O1865" s="2">
        <v>46078</v>
      </c>
      <c r="P1865" s="2"/>
      <c r="Q1865">
        <f>_xlfn.XLOOKUP(E1865,CPT!$A$2:$A$13,CPT!$D$2:$D$13)</f>
        <v>1150</v>
      </c>
      <c r="R1865" s="1">
        <f>_xlfn.XLOOKUP(C1865,Contract!$A$2:$A$9,Contract!$B$2:$B$9)</f>
        <v>0.27</v>
      </c>
      <c r="S1865" s="1">
        <f t="shared" si="116"/>
        <v>310.5</v>
      </c>
      <c r="T1865" s="1" t="str">
        <f t="shared" si="117"/>
        <v/>
      </c>
      <c r="U1865" s="1" t="str">
        <f t="shared" si="118"/>
        <v/>
      </c>
      <c r="V1865" s="1" t="str">
        <f>_xlfn.XLOOKUP(C1865,Payers!$A$2:$A$9,Payers!$B$2:$B$9)</f>
        <v>Florida Medicaid</v>
      </c>
      <c r="W1865" s="1" t="str">
        <f t="shared" si="119"/>
        <v>2026-01</v>
      </c>
    </row>
    <row r="1866" spans="1:23">
      <c r="A1866" s="1" t="s">
        <v>3365</v>
      </c>
      <c r="B1866" s="1" t="s">
        <v>3366</v>
      </c>
      <c r="C1866" s="1" t="s">
        <v>25</v>
      </c>
      <c r="D1866" s="1" t="s">
        <v>26</v>
      </c>
      <c r="E1866" s="1" t="s">
        <v>185</v>
      </c>
      <c r="F1866">
        <v>1</v>
      </c>
      <c r="G1866" s="2">
        <v>46161</v>
      </c>
      <c r="H1866" s="2">
        <v>46163</v>
      </c>
      <c r="I1866">
        <v>1145.1099999999999</v>
      </c>
      <c r="M1866" s="1" t="s">
        <v>32</v>
      </c>
      <c r="N1866" s="1" t="s">
        <v>315</v>
      </c>
      <c r="O1866" s="2">
        <v>46178</v>
      </c>
      <c r="P1866" s="2"/>
      <c r="Q1866">
        <f>_xlfn.XLOOKUP(E1866,CPT!$A$2:$A$13,CPT!$D$2:$D$13)</f>
        <v>1150</v>
      </c>
      <c r="R1866" s="1">
        <f>_xlfn.XLOOKUP(C1866,Contract!$A$2:$A$9,Contract!$B$2:$B$9)</f>
        <v>0.36</v>
      </c>
      <c r="S1866" s="1">
        <f t="shared" si="116"/>
        <v>414</v>
      </c>
      <c r="T1866" s="1" t="str">
        <f t="shared" si="117"/>
        <v/>
      </c>
      <c r="U1866" s="1" t="str">
        <f t="shared" si="118"/>
        <v/>
      </c>
      <c r="V1866" s="1" t="str">
        <f>_xlfn.XLOOKUP(C1866,Payers!$A$2:$A$9,Payers!$B$2:$B$9)</f>
        <v>Medicare Part B</v>
      </c>
      <c r="W1866" s="1" t="str">
        <f t="shared" si="119"/>
        <v>2026-05</v>
      </c>
    </row>
    <row r="1867" spans="1:23">
      <c r="A1867" s="1" t="s">
        <v>3367</v>
      </c>
      <c r="B1867" s="1" t="s">
        <v>3368</v>
      </c>
      <c r="C1867" s="1" t="s">
        <v>52</v>
      </c>
      <c r="D1867" s="1" t="s">
        <v>19</v>
      </c>
      <c r="E1867" s="1" t="s">
        <v>57</v>
      </c>
      <c r="F1867">
        <v>1</v>
      </c>
      <c r="G1867" s="2">
        <v>45970</v>
      </c>
      <c r="H1867" s="2">
        <v>45978</v>
      </c>
      <c r="I1867">
        <v>211.09</v>
      </c>
      <c r="J1867">
        <v>108.47</v>
      </c>
      <c r="K1867">
        <v>97.62</v>
      </c>
      <c r="L1867">
        <v>10.85</v>
      </c>
      <c r="M1867" s="1" t="s">
        <v>21</v>
      </c>
      <c r="N1867" s="1" t="s">
        <v>22</v>
      </c>
      <c r="O1867" s="2">
        <v>46036</v>
      </c>
      <c r="P1867" s="2">
        <v>46036</v>
      </c>
      <c r="Q1867">
        <f>_xlfn.XLOOKUP(E1867,CPT!$A$2:$A$13,CPT!$D$2:$D$13)</f>
        <v>210</v>
      </c>
      <c r="R1867" s="1">
        <f>_xlfn.XLOOKUP(C1867,Contract!$A$2:$A$9,Contract!$B$2:$B$9)</f>
        <v>0.47</v>
      </c>
      <c r="S1867" s="1">
        <f t="shared" si="116"/>
        <v>98.7</v>
      </c>
      <c r="T1867" s="1">
        <f t="shared" si="117"/>
        <v>-9.769999999999996</v>
      </c>
      <c r="U1867" s="1" t="str">
        <f t="shared" si="118"/>
        <v>OK</v>
      </c>
      <c r="V1867" s="1" t="str">
        <f>_xlfn.XLOOKUP(C1867,Payers!$A$2:$A$9,Payers!$B$2:$B$9)</f>
        <v>Keystone Commercial PPO</v>
      </c>
      <c r="W1867" s="1" t="str">
        <f t="shared" si="119"/>
        <v>2025-11</v>
      </c>
    </row>
    <row r="1868" spans="1:23">
      <c r="A1868" s="1" t="s">
        <v>3369</v>
      </c>
      <c r="B1868" s="1" t="s">
        <v>3370</v>
      </c>
      <c r="C1868" s="1" t="s">
        <v>60</v>
      </c>
      <c r="D1868" s="1" t="s">
        <v>30</v>
      </c>
      <c r="E1868" s="1" t="s">
        <v>91</v>
      </c>
      <c r="F1868">
        <v>4</v>
      </c>
      <c r="G1868" s="2">
        <v>46137</v>
      </c>
      <c r="H1868" s="2">
        <v>46140</v>
      </c>
      <c r="I1868">
        <v>236.7</v>
      </c>
      <c r="M1868" s="1" t="s">
        <v>32</v>
      </c>
      <c r="N1868" s="1" t="s">
        <v>33</v>
      </c>
      <c r="O1868" s="2">
        <v>46170</v>
      </c>
      <c r="P1868" s="2"/>
      <c r="Q1868">
        <f>_xlfn.XLOOKUP(E1868,CPT!$A$2:$A$13,CPT!$D$2:$D$13)</f>
        <v>58</v>
      </c>
      <c r="R1868" s="1">
        <f>_xlfn.XLOOKUP(C1868,Contract!$A$2:$A$9,Contract!$B$2:$B$9)</f>
        <v>0.45</v>
      </c>
      <c r="S1868" s="1">
        <f t="shared" si="116"/>
        <v>104.4</v>
      </c>
      <c r="T1868" s="1" t="str">
        <f t="shared" si="117"/>
        <v/>
      </c>
      <c r="U1868" s="1" t="str">
        <f t="shared" si="118"/>
        <v/>
      </c>
      <c r="V1868" s="1" t="str">
        <f>_xlfn.XLOOKUP(C1868,Payers!$A$2:$A$9,Payers!$B$2:$B$9)</f>
        <v>Blue Horizon Commercial</v>
      </c>
      <c r="W1868" s="1" t="str">
        <f t="shared" si="119"/>
        <v>2026-04</v>
      </c>
    </row>
    <row r="1869" spans="1:23">
      <c r="A1869" s="1" t="s">
        <v>3371</v>
      </c>
      <c r="B1869" s="1" t="s">
        <v>3372</v>
      </c>
      <c r="C1869" s="1" t="s">
        <v>60</v>
      </c>
      <c r="D1869" s="1" t="s">
        <v>19</v>
      </c>
      <c r="E1869" s="1" t="s">
        <v>41</v>
      </c>
      <c r="F1869">
        <v>1</v>
      </c>
      <c r="G1869" s="2">
        <v>46015</v>
      </c>
      <c r="H1869" s="2">
        <v>46017</v>
      </c>
      <c r="I1869">
        <v>36.99</v>
      </c>
      <c r="J1869">
        <v>16.87</v>
      </c>
      <c r="K1869">
        <v>16.87</v>
      </c>
      <c r="L1869">
        <v>0</v>
      </c>
      <c r="M1869" s="1" t="s">
        <v>21</v>
      </c>
      <c r="N1869" s="1" t="s">
        <v>22</v>
      </c>
      <c r="O1869" s="2">
        <v>46048</v>
      </c>
      <c r="P1869" s="2">
        <v>46048</v>
      </c>
      <c r="Q1869">
        <f>_xlfn.XLOOKUP(E1869,CPT!$A$2:$A$13,CPT!$D$2:$D$13)</f>
        <v>38</v>
      </c>
      <c r="R1869" s="1">
        <f>_xlfn.XLOOKUP(C1869,Contract!$A$2:$A$9,Contract!$B$2:$B$9)</f>
        <v>0.45</v>
      </c>
      <c r="S1869" s="1">
        <f t="shared" si="116"/>
        <v>17.100000000000001</v>
      </c>
      <c r="T1869" s="1">
        <f t="shared" si="117"/>
        <v>0.23000000000000043</v>
      </c>
      <c r="U1869" s="1" t="str">
        <f t="shared" si="118"/>
        <v>OK</v>
      </c>
      <c r="V1869" s="1" t="str">
        <f>_xlfn.XLOOKUP(C1869,Payers!$A$2:$A$9,Payers!$B$2:$B$9)</f>
        <v>Blue Horizon Commercial</v>
      </c>
      <c r="W1869" s="1" t="str">
        <f t="shared" si="119"/>
        <v>2025-12</v>
      </c>
    </row>
    <row r="1870" spans="1:23">
      <c r="A1870" s="1" t="s">
        <v>3373</v>
      </c>
      <c r="B1870" s="1" t="s">
        <v>819</v>
      </c>
      <c r="C1870" s="1" t="s">
        <v>76</v>
      </c>
      <c r="D1870" s="1" t="s">
        <v>26</v>
      </c>
      <c r="E1870" s="1" t="s">
        <v>27</v>
      </c>
      <c r="F1870">
        <v>1</v>
      </c>
      <c r="G1870" s="2">
        <v>46214</v>
      </c>
      <c r="H1870" s="2">
        <v>46216</v>
      </c>
      <c r="I1870">
        <v>236.15</v>
      </c>
      <c r="J1870">
        <v>111.49</v>
      </c>
      <c r="K1870">
        <v>111.49</v>
      </c>
      <c r="L1870">
        <v>0</v>
      </c>
      <c r="M1870" s="1" t="s">
        <v>21</v>
      </c>
      <c r="N1870" s="1" t="s">
        <v>22</v>
      </c>
      <c r="O1870" s="2">
        <v>46249</v>
      </c>
      <c r="P1870" s="2">
        <v>46249</v>
      </c>
      <c r="Q1870">
        <f>_xlfn.XLOOKUP(E1870,CPT!$A$2:$A$13,CPT!$D$2:$D$13)</f>
        <v>240</v>
      </c>
      <c r="R1870" s="1">
        <f>_xlfn.XLOOKUP(C1870,Contract!$A$2:$A$9,Contract!$B$2:$B$9)</f>
        <v>0.43</v>
      </c>
      <c r="S1870" s="1">
        <f t="shared" si="116"/>
        <v>103.2</v>
      </c>
      <c r="T1870" s="1">
        <f t="shared" si="117"/>
        <v>-8.289999999999992</v>
      </c>
      <c r="U1870" s="1" t="str">
        <f t="shared" si="118"/>
        <v>OK</v>
      </c>
      <c r="V1870" s="1" t="str">
        <f>_xlfn.XLOOKUP(C1870,Payers!$A$2:$A$9,Payers!$B$2:$B$9)</f>
        <v>Summit Health Commercial</v>
      </c>
      <c r="W1870" s="1" t="str">
        <f t="shared" si="119"/>
        <v>2026-07</v>
      </c>
    </row>
    <row r="1871" spans="1:23">
      <c r="A1871" s="1" t="s">
        <v>3374</v>
      </c>
      <c r="B1871" s="1" t="s">
        <v>3375</v>
      </c>
      <c r="C1871" s="1" t="s">
        <v>18</v>
      </c>
      <c r="D1871" s="1" t="s">
        <v>26</v>
      </c>
      <c r="E1871" s="1" t="s">
        <v>57</v>
      </c>
      <c r="F1871">
        <v>1</v>
      </c>
      <c r="G1871" s="2">
        <v>46222</v>
      </c>
      <c r="H1871" s="2">
        <v>46223</v>
      </c>
      <c r="I1871">
        <v>213.71</v>
      </c>
      <c r="J1871">
        <v>91.67</v>
      </c>
      <c r="K1871">
        <v>91.67</v>
      </c>
      <c r="L1871">
        <v>0</v>
      </c>
      <c r="M1871" s="1" t="s">
        <v>21</v>
      </c>
      <c r="N1871" s="1" t="s">
        <v>22</v>
      </c>
      <c r="O1871" s="2">
        <v>46274</v>
      </c>
      <c r="P1871" s="2">
        <v>46274</v>
      </c>
      <c r="Q1871">
        <f>_xlfn.XLOOKUP(E1871,CPT!$A$2:$A$13,CPT!$D$2:$D$13)</f>
        <v>210</v>
      </c>
      <c r="R1871" s="1">
        <f>_xlfn.XLOOKUP(C1871,Contract!$A$2:$A$9,Contract!$B$2:$B$9)</f>
        <v>0.38</v>
      </c>
      <c r="S1871" s="1">
        <f t="shared" si="116"/>
        <v>79.8</v>
      </c>
      <c r="T1871" s="1">
        <f t="shared" si="117"/>
        <v>-11.870000000000005</v>
      </c>
      <c r="U1871" s="1" t="str">
        <f t="shared" si="118"/>
        <v>OK</v>
      </c>
      <c r="V1871" s="1" t="str">
        <f>_xlfn.XLOOKUP(C1871,Payers!$A$2:$A$9,Payers!$B$2:$B$9)</f>
        <v>Sunshine Medicare Advantage</v>
      </c>
      <c r="W1871" s="1" t="str">
        <f t="shared" si="119"/>
        <v>2026-07</v>
      </c>
    </row>
    <row r="1872" spans="1:23">
      <c r="A1872" s="1" t="s">
        <v>3376</v>
      </c>
      <c r="B1872" s="1" t="s">
        <v>3377</v>
      </c>
      <c r="C1872" s="1" t="s">
        <v>36</v>
      </c>
      <c r="D1872" s="1" t="s">
        <v>19</v>
      </c>
      <c r="E1872" s="1" t="s">
        <v>41</v>
      </c>
      <c r="F1872">
        <v>1</v>
      </c>
      <c r="G1872" s="2">
        <v>45962</v>
      </c>
      <c r="H1872" s="2">
        <v>45963</v>
      </c>
      <c r="I1872">
        <v>37.82</v>
      </c>
      <c r="M1872" s="1" t="s">
        <v>32</v>
      </c>
      <c r="N1872" s="1" t="s">
        <v>124</v>
      </c>
      <c r="O1872" s="2">
        <v>46011</v>
      </c>
      <c r="P1872" s="2"/>
      <c r="Q1872">
        <f>_xlfn.XLOOKUP(E1872,CPT!$A$2:$A$13,CPT!$D$2:$D$13)</f>
        <v>38</v>
      </c>
      <c r="R1872" s="1">
        <f>_xlfn.XLOOKUP(C1872,Contract!$A$2:$A$9,Contract!$B$2:$B$9)</f>
        <v>0.27</v>
      </c>
      <c r="S1872" s="1">
        <f t="shared" si="116"/>
        <v>10.26</v>
      </c>
      <c r="T1872" s="1" t="str">
        <f t="shared" si="117"/>
        <v/>
      </c>
      <c r="U1872" s="1" t="str">
        <f t="shared" si="118"/>
        <v/>
      </c>
      <c r="V1872" s="1" t="str">
        <f>_xlfn.XLOOKUP(C1872,Payers!$A$2:$A$9,Payers!$B$2:$B$9)</f>
        <v>Florida Medicaid</v>
      </c>
      <c r="W1872" s="1" t="str">
        <f t="shared" si="119"/>
        <v>2025-11</v>
      </c>
    </row>
    <row r="1873" spans="1:23">
      <c r="A1873" s="1" t="s">
        <v>3378</v>
      </c>
      <c r="B1873" s="1" t="s">
        <v>821</v>
      </c>
      <c r="C1873" s="1" t="s">
        <v>18</v>
      </c>
      <c r="D1873" s="1" t="s">
        <v>26</v>
      </c>
      <c r="E1873" s="1" t="s">
        <v>185</v>
      </c>
      <c r="F1873">
        <v>1</v>
      </c>
      <c r="G1873" s="2">
        <v>45947</v>
      </c>
      <c r="H1873" s="2">
        <v>45948</v>
      </c>
      <c r="I1873">
        <v>1135.5899999999999</v>
      </c>
      <c r="M1873" s="1" t="s">
        <v>32</v>
      </c>
      <c r="N1873" s="1" t="s">
        <v>168</v>
      </c>
      <c r="O1873" s="2">
        <v>46001</v>
      </c>
      <c r="P1873" s="2"/>
      <c r="Q1873">
        <f>_xlfn.XLOOKUP(E1873,CPT!$A$2:$A$13,CPT!$D$2:$D$13)</f>
        <v>1150</v>
      </c>
      <c r="R1873" s="1">
        <f>_xlfn.XLOOKUP(C1873,Contract!$A$2:$A$9,Contract!$B$2:$B$9)</f>
        <v>0.38</v>
      </c>
      <c r="S1873" s="1">
        <f t="shared" si="116"/>
        <v>437</v>
      </c>
      <c r="T1873" s="1" t="str">
        <f t="shared" si="117"/>
        <v/>
      </c>
      <c r="U1873" s="1" t="str">
        <f t="shared" si="118"/>
        <v/>
      </c>
      <c r="V1873" s="1" t="str">
        <f>_xlfn.XLOOKUP(C1873,Payers!$A$2:$A$9,Payers!$B$2:$B$9)</f>
        <v>Sunshine Medicare Advantage</v>
      </c>
      <c r="W1873" s="1" t="str">
        <f t="shared" si="119"/>
        <v>2025-10</v>
      </c>
    </row>
    <row r="1874" spans="1:23">
      <c r="A1874" s="1" t="s">
        <v>3379</v>
      </c>
      <c r="B1874" s="1" t="s">
        <v>2505</v>
      </c>
      <c r="C1874" s="1" t="s">
        <v>36</v>
      </c>
      <c r="D1874" s="1" t="s">
        <v>19</v>
      </c>
      <c r="E1874" s="1" t="s">
        <v>88</v>
      </c>
      <c r="F1874">
        <v>1</v>
      </c>
      <c r="G1874" s="2">
        <v>46152</v>
      </c>
      <c r="H1874" s="2">
        <v>46162</v>
      </c>
      <c r="I1874">
        <v>267.47000000000003</v>
      </c>
      <c r="M1874" s="1" t="s">
        <v>32</v>
      </c>
      <c r="N1874" s="1" t="s">
        <v>33</v>
      </c>
      <c r="O1874" s="2">
        <v>46200</v>
      </c>
      <c r="P1874" s="2"/>
      <c r="Q1874">
        <f>_xlfn.XLOOKUP(E1874,CPT!$A$2:$A$13,CPT!$D$2:$D$13)</f>
        <v>260</v>
      </c>
      <c r="R1874" s="1">
        <f>_xlfn.XLOOKUP(C1874,Contract!$A$2:$A$9,Contract!$B$2:$B$9)</f>
        <v>0.27</v>
      </c>
      <c r="S1874" s="1">
        <f t="shared" si="116"/>
        <v>70.2</v>
      </c>
      <c r="T1874" s="1" t="str">
        <f t="shared" si="117"/>
        <v/>
      </c>
      <c r="U1874" s="1" t="str">
        <f t="shared" si="118"/>
        <v/>
      </c>
      <c r="V1874" s="1" t="str">
        <f>_xlfn.XLOOKUP(C1874,Payers!$A$2:$A$9,Payers!$B$2:$B$9)</f>
        <v>Florida Medicaid</v>
      </c>
      <c r="W1874" s="1" t="str">
        <f t="shared" si="119"/>
        <v>2026-05</v>
      </c>
    </row>
    <row r="1875" spans="1:23">
      <c r="A1875" s="1" t="s">
        <v>3380</v>
      </c>
      <c r="B1875" s="1" t="s">
        <v>3381</v>
      </c>
      <c r="C1875" s="1" t="s">
        <v>60</v>
      </c>
      <c r="D1875" s="1" t="s">
        <v>30</v>
      </c>
      <c r="E1875" s="1" t="s">
        <v>91</v>
      </c>
      <c r="F1875">
        <v>1</v>
      </c>
      <c r="G1875" s="2">
        <v>46240</v>
      </c>
      <c r="H1875" s="2">
        <v>46242</v>
      </c>
      <c r="I1875">
        <v>58.83</v>
      </c>
      <c r="J1875">
        <v>28.6</v>
      </c>
      <c r="K1875">
        <v>28.6</v>
      </c>
      <c r="L1875">
        <v>0</v>
      </c>
      <c r="M1875" s="1" t="s">
        <v>21</v>
      </c>
      <c r="N1875" s="1" t="s">
        <v>22</v>
      </c>
      <c r="O1875" s="2">
        <v>46255</v>
      </c>
      <c r="P1875" s="2">
        <v>46255</v>
      </c>
      <c r="Q1875">
        <f>_xlfn.XLOOKUP(E1875,CPT!$A$2:$A$13,CPT!$D$2:$D$13)</f>
        <v>58</v>
      </c>
      <c r="R1875" s="1">
        <f>_xlfn.XLOOKUP(C1875,Contract!$A$2:$A$9,Contract!$B$2:$B$9)</f>
        <v>0.45</v>
      </c>
      <c r="S1875" s="1">
        <f t="shared" si="116"/>
        <v>26.1</v>
      </c>
      <c r="T1875" s="1">
        <f t="shared" si="117"/>
        <v>-2.5</v>
      </c>
      <c r="U1875" s="1" t="str">
        <f t="shared" si="118"/>
        <v>OK</v>
      </c>
      <c r="V1875" s="1" t="str">
        <f>_xlfn.XLOOKUP(C1875,Payers!$A$2:$A$9,Payers!$B$2:$B$9)</f>
        <v>Blue Horizon Commercial</v>
      </c>
      <c r="W1875" s="1" t="str">
        <f t="shared" si="119"/>
        <v>2026-08</v>
      </c>
    </row>
    <row r="1876" spans="1:23">
      <c r="A1876" s="1" t="s">
        <v>3382</v>
      </c>
      <c r="B1876" s="1" t="s">
        <v>3383</v>
      </c>
      <c r="C1876" s="1" t="s">
        <v>47</v>
      </c>
      <c r="D1876" s="1" t="s">
        <v>30</v>
      </c>
      <c r="E1876" s="1" t="s">
        <v>31</v>
      </c>
      <c r="F1876">
        <v>2</v>
      </c>
      <c r="G1876" s="2">
        <v>45991</v>
      </c>
      <c r="H1876" s="2">
        <v>45996</v>
      </c>
      <c r="I1876">
        <v>121.93</v>
      </c>
      <c r="J1876">
        <v>37.369999999999997</v>
      </c>
      <c r="K1876">
        <v>29.9</v>
      </c>
      <c r="L1876">
        <v>7.47</v>
      </c>
      <c r="M1876" s="1" t="s">
        <v>21</v>
      </c>
      <c r="N1876" s="1" t="s">
        <v>22</v>
      </c>
      <c r="O1876" s="2">
        <v>46089</v>
      </c>
      <c r="P1876" s="2">
        <v>46089</v>
      </c>
      <c r="Q1876">
        <f>_xlfn.XLOOKUP(E1876,CPT!$A$2:$A$13,CPT!$D$2:$D$13)</f>
        <v>62</v>
      </c>
      <c r="R1876" s="1">
        <f>_xlfn.XLOOKUP(C1876,Contract!$A$2:$A$9,Contract!$B$2:$B$9)</f>
        <v>0.28000000000000003</v>
      </c>
      <c r="S1876" s="1">
        <f t="shared" si="116"/>
        <v>34.72</v>
      </c>
      <c r="T1876" s="1">
        <f t="shared" si="117"/>
        <v>-2.6499999999999986</v>
      </c>
      <c r="U1876" s="1" t="str">
        <f t="shared" si="118"/>
        <v>OK</v>
      </c>
      <c r="V1876" s="1" t="str">
        <f>_xlfn.XLOOKUP(C1876,Payers!$A$2:$A$9,Payers!$B$2:$B$9)</f>
        <v>Coastal Medicaid MCO</v>
      </c>
      <c r="W1876" s="1" t="str">
        <f t="shared" si="119"/>
        <v>2025-11</v>
      </c>
    </row>
    <row r="1877" spans="1:23">
      <c r="A1877" s="1" t="s">
        <v>3384</v>
      </c>
      <c r="B1877" s="1" t="s">
        <v>3385</v>
      </c>
      <c r="C1877" s="1" t="s">
        <v>36</v>
      </c>
      <c r="D1877" s="1" t="s">
        <v>19</v>
      </c>
      <c r="E1877" s="1" t="s">
        <v>88</v>
      </c>
      <c r="F1877">
        <v>1</v>
      </c>
      <c r="G1877" s="2">
        <v>46163</v>
      </c>
      <c r="H1877" s="2">
        <v>46167</v>
      </c>
      <c r="I1877">
        <v>265.66000000000003</v>
      </c>
      <c r="J1877">
        <v>82.38</v>
      </c>
      <c r="K1877">
        <v>65.900000000000006</v>
      </c>
      <c r="L1877">
        <v>16.48</v>
      </c>
      <c r="M1877" s="1" t="s">
        <v>21</v>
      </c>
      <c r="N1877" s="1" t="s">
        <v>22</v>
      </c>
      <c r="O1877" s="2">
        <v>46215</v>
      </c>
      <c r="P1877" s="2">
        <v>46215</v>
      </c>
      <c r="Q1877">
        <f>_xlfn.XLOOKUP(E1877,CPT!$A$2:$A$13,CPT!$D$2:$D$13)</f>
        <v>260</v>
      </c>
      <c r="R1877" s="1">
        <f>_xlfn.XLOOKUP(C1877,Contract!$A$2:$A$9,Contract!$B$2:$B$9)</f>
        <v>0.27</v>
      </c>
      <c r="S1877" s="1">
        <f t="shared" si="116"/>
        <v>70.2</v>
      </c>
      <c r="T1877" s="1">
        <f t="shared" si="117"/>
        <v>-12.179999999999993</v>
      </c>
      <c r="U1877" s="1" t="str">
        <f t="shared" si="118"/>
        <v>OK</v>
      </c>
      <c r="V1877" s="1" t="str">
        <f>_xlfn.XLOOKUP(C1877,Payers!$A$2:$A$9,Payers!$B$2:$B$9)</f>
        <v>Florida Medicaid</v>
      </c>
      <c r="W1877" s="1" t="str">
        <f t="shared" si="119"/>
        <v>2026-05</v>
      </c>
    </row>
    <row r="1878" spans="1:23">
      <c r="A1878" s="1" t="s">
        <v>3386</v>
      </c>
      <c r="B1878" s="1" t="s">
        <v>3387</v>
      </c>
      <c r="C1878" s="1" t="s">
        <v>60</v>
      </c>
      <c r="D1878" s="1" t="s">
        <v>19</v>
      </c>
      <c r="E1878" s="1" t="s">
        <v>88</v>
      </c>
      <c r="F1878">
        <v>1</v>
      </c>
      <c r="G1878" s="2">
        <v>45931</v>
      </c>
      <c r="H1878" s="2">
        <v>45935</v>
      </c>
      <c r="I1878">
        <v>260.08999999999997</v>
      </c>
      <c r="J1878">
        <v>98.94</v>
      </c>
      <c r="K1878">
        <v>79.150000000000006</v>
      </c>
      <c r="L1878">
        <v>19.79</v>
      </c>
      <c r="M1878" s="1" t="s">
        <v>21</v>
      </c>
      <c r="N1878" s="1" t="s">
        <v>22</v>
      </c>
      <c r="O1878" s="2">
        <v>45962</v>
      </c>
      <c r="P1878" s="2">
        <v>45962</v>
      </c>
      <c r="Q1878">
        <f>_xlfn.XLOOKUP(E1878,CPT!$A$2:$A$13,CPT!$D$2:$D$13)</f>
        <v>260</v>
      </c>
      <c r="R1878" s="1">
        <f>_xlfn.XLOOKUP(C1878,Contract!$A$2:$A$9,Contract!$B$2:$B$9)</f>
        <v>0.45</v>
      </c>
      <c r="S1878" s="1">
        <f t="shared" si="116"/>
        <v>117</v>
      </c>
      <c r="T1878" s="1">
        <f t="shared" si="117"/>
        <v>18.060000000000002</v>
      </c>
      <c r="U1878" s="1" t="str">
        <f t="shared" si="118"/>
        <v>Underpaid</v>
      </c>
      <c r="V1878" s="1" t="str">
        <f>_xlfn.XLOOKUP(C1878,Payers!$A$2:$A$9,Payers!$B$2:$B$9)</f>
        <v>Blue Horizon Commercial</v>
      </c>
      <c r="W1878" s="1" t="str">
        <f t="shared" si="119"/>
        <v>2025-10</v>
      </c>
    </row>
    <row r="1879" spans="1:23">
      <c r="A1879" s="1" t="s">
        <v>3388</v>
      </c>
      <c r="B1879" s="1" t="s">
        <v>3389</v>
      </c>
      <c r="C1879" s="1" t="s">
        <v>60</v>
      </c>
      <c r="D1879" s="1" t="s">
        <v>30</v>
      </c>
      <c r="E1879" s="1" t="s">
        <v>31</v>
      </c>
      <c r="F1879">
        <v>4</v>
      </c>
      <c r="G1879" s="2">
        <v>45936</v>
      </c>
      <c r="H1879" s="2">
        <v>45937</v>
      </c>
      <c r="I1879">
        <v>251.2</v>
      </c>
      <c r="J1879">
        <v>116.38</v>
      </c>
      <c r="K1879">
        <v>116.38</v>
      </c>
      <c r="L1879">
        <v>0</v>
      </c>
      <c r="M1879" s="1" t="s">
        <v>21</v>
      </c>
      <c r="N1879" s="1" t="s">
        <v>22</v>
      </c>
      <c r="O1879" s="2">
        <v>45942</v>
      </c>
      <c r="P1879" s="2">
        <v>45942</v>
      </c>
      <c r="Q1879">
        <f>_xlfn.XLOOKUP(E1879,CPT!$A$2:$A$13,CPT!$D$2:$D$13)</f>
        <v>62</v>
      </c>
      <c r="R1879" s="1">
        <f>_xlfn.XLOOKUP(C1879,Contract!$A$2:$A$9,Contract!$B$2:$B$9)</f>
        <v>0.45</v>
      </c>
      <c r="S1879" s="1">
        <f t="shared" si="116"/>
        <v>111.6</v>
      </c>
      <c r="T1879" s="1">
        <f t="shared" si="117"/>
        <v>-4.7800000000000011</v>
      </c>
      <c r="U1879" s="1" t="str">
        <f t="shared" si="118"/>
        <v>OK</v>
      </c>
      <c r="V1879" s="1" t="str">
        <f>_xlfn.XLOOKUP(C1879,Payers!$A$2:$A$9,Payers!$B$2:$B$9)</f>
        <v>Blue Horizon Commercial</v>
      </c>
      <c r="W1879" s="1" t="str">
        <f t="shared" si="119"/>
        <v>2025-10</v>
      </c>
    </row>
    <row r="1880" spans="1:23">
      <c r="A1880" s="1" t="s">
        <v>3390</v>
      </c>
      <c r="B1880" s="1" t="s">
        <v>3391</v>
      </c>
      <c r="C1880" s="1" t="s">
        <v>18</v>
      </c>
      <c r="D1880" s="1" t="s">
        <v>37</v>
      </c>
      <c r="E1880" s="1" t="s">
        <v>48</v>
      </c>
      <c r="F1880">
        <v>1</v>
      </c>
      <c r="G1880" s="2">
        <v>46084</v>
      </c>
      <c r="H1880" s="2">
        <v>46086</v>
      </c>
      <c r="I1880">
        <v>429.63</v>
      </c>
      <c r="M1880" s="1" t="s">
        <v>32</v>
      </c>
      <c r="N1880" s="1" t="s">
        <v>315</v>
      </c>
      <c r="O1880" s="2">
        <v>46148</v>
      </c>
      <c r="P1880" s="2"/>
      <c r="Q1880">
        <f>_xlfn.XLOOKUP(E1880,CPT!$A$2:$A$13,CPT!$D$2:$D$13)</f>
        <v>420</v>
      </c>
      <c r="R1880" s="1">
        <f>_xlfn.XLOOKUP(C1880,Contract!$A$2:$A$9,Contract!$B$2:$B$9)</f>
        <v>0.38</v>
      </c>
      <c r="S1880" s="1">
        <f t="shared" si="116"/>
        <v>159.6</v>
      </c>
      <c r="T1880" s="1" t="str">
        <f t="shared" si="117"/>
        <v/>
      </c>
      <c r="U1880" s="1" t="str">
        <f t="shared" si="118"/>
        <v/>
      </c>
      <c r="V1880" s="1" t="str">
        <f>_xlfn.XLOOKUP(C1880,Payers!$A$2:$A$9,Payers!$B$2:$B$9)</f>
        <v>Sunshine Medicare Advantage</v>
      </c>
      <c r="W1880" s="1" t="str">
        <f t="shared" si="119"/>
        <v>2026-03</v>
      </c>
    </row>
    <row r="1881" spans="1:23">
      <c r="A1881" s="1" t="s">
        <v>3392</v>
      </c>
      <c r="B1881" s="1" t="s">
        <v>3393</v>
      </c>
      <c r="C1881" s="1" t="s">
        <v>60</v>
      </c>
      <c r="D1881" s="1" t="s">
        <v>26</v>
      </c>
      <c r="E1881" s="1" t="s">
        <v>185</v>
      </c>
      <c r="F1881">
        <v>1</v>
      </c>
      <c r="G1881" s="2">
        <v>46009</v>
      </c>
      <c r="H1881" s="2">
        <v>46019</v>
      </c>
      <c r="I1881">
        <v>1171.3599999999999</v>
      </c>
      <c r="J1881">
        <v>501.54</v>
      </c>
      <c r="K1881">
        <v>501.54</v>
      </c>
      <c r="L1881">
        <v>0</v>
      </c>
      <c r="M1881" s="1" t="s">
        <v>21</v>
      </c>
      <c r="N1881" s="1" t="s">
        <v>22</v>
      </c>
      <c r="O1881" s="2">
        <v>46048</v>
      </c>
      <c r="P1881" s="2">
        <v>46048</v>
      </c>
      <c r="Q1881">
        <f>_xlfn.XLOOKUP(E1881,CPT!$A$2:$A$13,CPT!$D$2:$D$13)</f>
        <v>1150</v>
      </c>
      <c r="R1881" s="1">
        <f>_xlfn.XLOOKUP(C1881,Contract!$A$2:$A$9,Contract!$B$2:$B$9)</f>
        <v>0.45</v>
      </c>
      <c r="S1881" s="1">
        <f t="shared" si="116"/>
        <v>517.5</v>
      </c>
      <c r="T1881" s="1">
        <f t="shared" si="117"/>
        <v>15.95999999999998</v>
      </c>
      <c r="U1881" s="1" t="str">
        <f t="shared" si="118"/>
        <v>OK</v>
      </c>
      <c r="V1881" s="1" t="str">
        <f>_xlfn.XLOOKUP(C1881,Payers!$A$2:$A$9,Payers!$B$2:$B$9)</f>
        <v>Blue Horizon Commercial</v>
      </c>
      <c r="W1881" s="1" t="str">
        <f t="shared" si="119"/>
        <v>2025-12</v>
      </c>
    </row>
    <row r="1882" spans="1:23">
      <c r="A1882" s="1" t="s">
        <v>3394</v>
      </c>
      <c r="B1882" s="1" t="s">
        <v>110</v>
      </c>
      <c r="C1882" s="1" t="s">
        <v>79</v>
      </c>
      <c r="D1882" s="1" t="s">
        <v>19</v>
      </c>
      <c r="E1882" s="1" t="s">
        <v>57</v>
      </c>
      <c r="F1882">
        <v>1</v>
      </c>
      <c r="G1882" s="2">
        <v>46076</v>
      </c>
      <c r="H1882" s="2">
        <v>46082</v>
      </c>
      <c r="I1882">
        <v>207.84</v>
      </c>
      <c r="M1882" s="1" t="s">
        <v>69</v>
      </c>
      <c r="N1882" s="1" t="s">
        <v>22</v>
      </c>
      <c r="O1882" s="2"/>
      <c r="P1882" s="2"/>
      <c r="Q1882">
        <f>_xlfn.XLOOKUP(E1882,CPT!$A$2:$A$13,CPT!$D$2:$D$13)</f>
        <v>210</v>
      </c>
      <c r="R1882" s="1">
        <f>_xlfn.XLOOKUP(C1882,Contract!$A$2:$A$9,Contract!$B$2:$B$9)</f>
        <v>1</v>
      </c>
      <c r="S1882" s="1">
        <f t="shared" si="116"/>
        <v>210</v>
      </c>
      <c r="T1882" s="1" t="str">
        <f t="shared" si="117"/>
        <v/>
      </c>
      <c r="U1882" s="1" t="str">
        <f t="shared" si="118"/>
        <v/>
      </c>
      <c r="V1882" s="1" t="str">
        <f>_xlfn.XLOOKUP(C1882,Payers!$A$2:$A$9,Payers!$B$2:$B$9)</f>
        <v>Self-Pay</v>
      </c>
      <c r="W1882" s="1" t="str">
        <f t="shared" si="119"/>
        <v>2026-02</v>
      </c>
    </row>
    <row r="1883" spans="1:23">
      <c r="A1883" s="1" t="s">
        <v>3395</v>
      </c>
      <c r="B1883" s="1" t="s">
        <v>3396</v>
      </c>
      <c r="C1883" s="1" t="s">
        <v>18</v>
      </c>
      <c r="D1883" s="1" t="s">
        <v>30</v>
      </c>
      <c r="E1883" s="1" t="s">
        <v>91</v>
      </c>
      <c r="F1883">
        <v>3</v>
      </c>
      <c r="G1883" s="2">
        <v>46037</v>
      </c>
      <c r="H1883" s="2">
        <v>46043</v>
      </c>
      <c r="I1883">
        <v>170.8</v>
      </c>
      <c r="M1883" s="1" t="s">
        <v>32</v>
      </c>
      <c r="N1883" s="1" t="s">
        <v>281</v>
      </c>
      <c r="O1883" s="2">
        <v>46110</v>
      </c>
      <c r="P1883" s="2"/>
      <c r="Q1883">
        <f>_xlfn.XLOOKUP(E1883,CPT!$A$2:$A$13,CPT!$D$2:$D$13)</f>
        <v>58</v>
      </c>
      <c r="R1883" s="1">
        <f>_xlfn.XLOOKUP(C1883,Contract!$A$2:$A$9,Contract!$B$2:$B$9)</f>
        <v>0.38</v>
      </c>
      <c r="S1883" s="1">
        <f t="shared" si="116"/>
        <v>66.12</v>
      </c>
      <c r="T1883" s="1" t="str">
        <f t="shared" si="117"/>
        <v/>
      </c>
      <c r="U1883" s="1" t="str">
        <f t="shared" si="118"/>
        <v/>
      </c>
      <c r="V1883" s="1" t="str">
        <f>_xlfn.XLOOKUP(C1883,Payers!$A$2:$A$9,Payers!$B$2:$B$9)</f>
        <v>Sunshine Medicare Advantage</v>
      </c>
      <c r="W1883" s="1" t="str">
        <f t="shared" si="119"/>
        <v>2026-01</v>
      </c>
    </row>
    <row r="1884" spans="1:23">
      <c r="A1884" s="1" t="s">
        <v>3397</v>
      </c>
      <c r="B1884" s="1" t="s">
        <v>480</v>
      </c>
      <c r="C1884" s="1" t="s">
        <v>25</v>
      </c>
      <c r="D1884" s="1" t="s">
        <v>26</v>
      </c>
      <c r="E1884" s="1" t="s">
        <v>44</v>
      </c>
      <c r="F1884">
        <v>1</v>
      </c>
      <c r="G1884" s="2">
        <v>46108</v>
      </c>
      <c r="H1884" s="2">
        <v>46114</v>
      </c>
      <c r="I1884">
        <v>4818.53</v>
      </c>
      <c r="J1884">
        <v>1589.22</v>
      </c>
      <c r="K1884">
        <v>1430.3</v>
      </c>
      <c r="L1884">
        <v>158.91999999999999</v>
      </c>
      <c r="M1884" s="1" t="s">
        <v>21</v>
      </c>
      <c r="N1884" s="1" t="s">
        <v>22</v>
      </c>
      <c r="O1884" s="2">
        <v>46141</v>
      </c>
      <c r="P1884" s="2">
        <v>46141</v>
      </c>
      <c r="Q1884">
        <f>_xlfn.XLOOKUP(E1884,CPT!$A$2:$A$13,CPT!$D$2:$D$13)</f>
        <v>4800</v>
      </c>
      <c r="R1884" s="1">
        <f>_xlfn.XLOOKUP(C1884,Contract!$A$2:$A$9,Contract!$B$2:$B$9)</f>
        <v>0.36</v>
      </c>
      <c r="S1884" s="1">
        <f t="shared" si="116"/>
        <v>1728</v>
      </c>
      <c r="T1884" s="1">
        <f t="shared" si="117"/>
        <v>138.77999999999997</v>
      </c>
      <c r="U1884" s="1" t="str">
        <f t="shared" si="118"/>
        <v>Underpaid</v>
      </c>
      <c r="V1884" s="1" t="str">
        <f>_xlfn.XLOOKUP(C1884,Payers!$A$2:$A$9,Payers!$B$2:$B$9)</f>
        <v>Medicare Part B</v>
      </c>
      <c r="W1884" s="1" t="str">
        <f t="shared" si="119"/>
        <v>2026-03</v>
      </c>
    </row>
    <row r="1885" spans="1:23">
      <c r="A1885" s="1" t="s">
        <v>3398</v>
      </c>
      <c r="B1885" s="1" t="s">
        <v>3399</v>
      </c>
      <c r="C1885" s="1" t="s">
        <v>47</v>
      </c>
      <c r="D1885" s="1" t="s">
        <v>26</v>
      </c>
      <c r="E1885" s="1" t="s">
        <v>57</v>
      </c>
      <c r="F1885">
        <v>1</v>
      </c>
      <c r="G1885" s="2">
        <v>45960</v>
      </c>
      <c r="H1885" s="2">
        <v>45962</v>
      </c>
      <c r="I1885">
        <v>209.3</v>
      </c>
      <c r="J1885">
        <v>55</v>
      </c>
      <c r="K1885">
        <v>55</v>
      </c>
      <c r="L1885">
        <v>0</v>
      </c>
      <c r="M1885" s="1" t="s">
        <v>21</v>
      </c>
      <c r="N1885" s="1" t="s">
        <v>22</v>
      </c>
      <c r="O1885" s="2">
        <v>46056</v>
      </c>
      <c r="P1885" s="2">
        <v>46056</v>
      </c>
      <c r="Q1885">
        <f>_xlfn.XLOOKUP(E1885,CPT!$A$2:$A$13,CPT!$D$2:$D$13)</f>
        <v>210</v>
      </c>
      <c r="R1885" s="1">
        <f>_xlfn.XLOOKUP(C1885,Contract!$A$2:$A$9,Contract!$B$2:$B$9)</f>
        <v>0.28000000000000003</v>
      </c>
      <c r="S1885" s="1">
        <f t="shared" si="116"/>
        <v>58.8</v>
      </c>
      <c r="T1885" s="1">
        <f t="shared" si="117"/>
        <v>3.7999999999999972</v>
      </c>
      <c r="U1885" s="1" t="str">
        <f t="shared" si="118"/>
        <v>Underpaid</v>
      </c>
      <c r="V1885" s="1" t="str">
        <f>_xlfn.XLOOKUP(C1885,Payers!$A$2:$A$9,Payers!$B$2:$B$9)</f>
        <v>Coastal Medicaid MCO</v>
      </c>
      <c r="W1885" s="1" t="str">
        <f t="shared" si="119"/>
        <v>2025-10</v>
      </c>
    </row>
    <row r="1886" spans="1:23">
      <c r="A1886" s="1" t="s">
        <v>3400</v>
      </c>
      <c r="B1886" s="1" t="s">
        <v>1371</v>
      </c>
      <c r="C1886" s="1" t="s">
        <v>79</v>
      </c>
      <c r="D1886" s="1" t="s">
        <v>26</v>
      </c>
      <c r="E1886" s="1" t="s">
        <v>57</v>
      </c>
      <c r="F1886">
        <v>1</v>
      </c>
      <c r="G1886" s="2">
        <v>46136</v>
      </c>
      <c r="H1886" s="2">
        <v>46139</v>
      </c>
      <c r="I1886">
        <v>206.2</v>
      </c>
      <c r="J1886">
        <v>206.2</v>
      </c>
      <c r="K1886">
        <v>206.2</v>
      </c>
      <c r="L1886">
        <v>0</v>
      </c>
      <c r="M1886" s="1" t="s">
        <v>21</v>
      </c>
      <c r="N1886" s="1" t="s">
        <v>22</v>
      </c>
      <c r="O1886" s="2">
        <v>46204</v>
      </c>
      <c r="P1886" s="2">
        <v>46204</v>
      </c>
      <c r="Q1886">
        <f>_xlfn.XLOOKUP(E1886,CPT!$A$2:$A$13,CPT!$D$2:$D$13)</f>
        <v>210</v>
      </c>
      <c r="R1886" s="1">
        <f>_xlfn.XLOOKUP(C1886,Contract!$A$2:$A$9,Contract!$B$2:$B$9)</f>
        <v>1</v>
      </c>
      <c r="S1886" s="1">
        <f t="shared" si="116"/>
        <v>210</v>
      </c>
      <c r="T1886" s="1">
        <f t="shared" si="117"/>
        <v>3.8000000000000114</v>
      </c>
      <c r="U1886" s="1" t="str">
        <f t="shared" si="118"/>
        <v>OK</v>
      </c>
      <c r="V1886" s="1" t="str">
        <f>_xlfn.XLOOKUP(C1886,Payers!$A$2:$A$9,Payers!$B$2:$B$9)</f>
        <v>Self-Pay</v>
      </c>
      <c r="W1886" s="1" t="str">
        <f t="shared" si="119"/>
        <v>2026-04</v>
      </c>
    </row>
    <row r="1887" spans="1:23">
      <c r="A1887" s="1" t="s">
        <v>3401</v>
      </c>
      <c r="B1887" s="1" t="s">
        <v>371</v>
      </c>
      <c r="C1887" s="1" t="s">
        <v>47</v>
      </c>
      <c r="D1887" s="1" t="s">
        <v>26</v>
      </c>
      <c r="E1887" s="1" t="s">
        <v>44</v>
      </c>
      <c r="F1887">
        <v>1</v>
      </c>
      <c r="G1887" s="2">
        <v>46259</v>
      </c>
      <c r="H1887" s="2">
        <v>46260</v>
      </c>
      <c r="I1887">
        <v>4682.76</v>
      </c>
      <c r="M1887" s="1" t="s">
        <v>69</v>
      </c>
      <c r="N1887" s="1" t="s">
        <v>22</v>
      </c>
      <c r="O1887" s="2"/>
      <c r="P1887" s="2"/>
      <c r="Q1887">
        <f>_xlfn.XLOOKUP(E1887,CPT!$A$2:$A$13,CPT!$D$2:$D$13)</f>
        <v>4800</v>
      </c>
      <c r="R1887" s="1">
        <f>_xlfn.XLOOKUP(C1887,Contract!$A$2:$A$9,Contract!$B$2:$B$9)</f>
        <v>0.28000000000000003</v>
      </c>
      <c r="S1887" s="1">
        <f t="shared" si="116"/>
        <v>1344</v>
      </c>
      <c r="T1887" s="1" t="str">
        <f t="shared" si="117"/>
        <v/>
      </c>
      <c r="U1887" s="1" t="str">
        <f t="shared" si="118"/>
        <v/>
      </c>
      <c r="V1887" s="1" t="str">
        <f>_xlfn.XLOOKUP(C1887,Payers!$A$2:$A$9,Payers!$B$2:$B$9)</f>
        <v>Coastal Medicaid MCO</v>
      </c>
      <c r="W1887" s="1" t="str">
        <f t="shared" si="119"/>
        <v>2026-08</v>
      </c>
    </row>
    <row r="1888" spans="1:23">
      <c r="A1888" s="1" t="s">
        <v>3402</v>
      </c>
      <c r="B1888" s="1" t="s">
        <v>3403</v>
      </c>
      <c r="C1888" s="1" t="s">
        <v>60</v>
      </c>
      <c r="D1888" s="1" t="s">
        <v>26</v>
      </c>
      <c r="E1888" s="1" t="s">
        <v>57</v>
      </c>
      <c r="F1888">
        <v>1</v>
      </c>
      <c r="G1888" s="2">
        <v>46159</v>
      </c>
      <c r="H1888" s="2">
        <v>46161</v>
      </c>
      <c r="I1888">
        <v>204.66</v>
      </c>
      <c r="J1888">
        <v>84.42</v>
      </c>
      <c r="K1888">
        <v>75.98</v>
      </c>
      <c r="L1888">
        <v>8.44</v>
      </c>
      <c r="M1888" s="1" t="s">
        <v>21</v>
      </c>
      <c r="N1888" s="1" t="s">
        <v>22</v>
      </c>
      <c r="O1888" s="2">
        <v>46172</v>
      </c>
      <c r="P1888" s="2">
        <v>46172</v>
      </c>
      <c r="Q1888">
        <f>_xlfn.XLOOKUP(E1888,CPT!$A$2:$A$13,CPT!$D$2:$D$13)</f>
        <v>210</v>
      </c>
      <c r="R1888" s="1">
        <f>_xlfn.XLOOKUP(C1888,Contract!$A$2:$A$9,Contract!$B$2:$B$9)</f>
        <v>0.45</v>
      </c>
      <c r="S1888" s="1">
        <f t="shared" si="116"/>
        <v>94.5</v>
      </c>
      <c r="T1888" s="1">
        <f t="shared" si="117"/>
        <v>10.079999999999998</v>
      </c>
      <c r="U1888" s="1" t="str">
        <f t="shared" si="118"/>
        <v>Underpaid</v>
      </c>
      <c r="V1888" s="1" t="str">
        <f>_xlfn.XLOOKUP(C1888,Payers!$A$2:$A$9,Payers!$B$2:$B$9)</f>
        <v>Blue Horizon Commercial</v>
      </c>
      <c r="W1888" s="1" t="str">
        <f t="shared" si="119"/>
        <v>2026-05</v>
      </c>
    </row>
    <row r="1889" spans="1:23">
      <c r="A1889" s="1" t="s">
        <v>3404</v>
      </c>
      <c r="B1889" s="1" t="s">
        <v>3405</v>
      </c>
      <c r="C1889" s="1" t="s">
        <v>36</v>
      </c>
      <c r="D1889" s="1" t="s">
        <v>26</v>
      </c>
      <c r="E1889" s="1" t="s">
        <v>41</v>
      </c>
      <c r="F1889">
        <v>1</v>
      </c>
      <c r="G1889" s="2">
        <v>46253</v>
      </c>
      <c r="H1889" s="2">
        <v>46255</v>
      </c>
      <c r="I1889">
        <v>38.950000000000003</v>
      </c>
      <c r="M1889" s="1" t="s">
        <v>69</v>
      </c>
      <c r="N1889" s="1" t="s">
        <v>22</v>
      </c>
      <c r="O1889" s="2"/>
      <c r="P1889" s="2"/>
      <c r="Q1889">
        <f>_xlfn.XLOOKUP(E1889,CPT!$A$2:$A$13,CPT!$D$2:$D$13)</f>
        <v>38</v>
      </c>
      <c r="R1889" s="1">
        <f>_xlfn.XLOOKUP(C1889,Contract!$A$2:$A$9,Contract!$B$2:$B$9)</f>
        <v>0.27</v>
      </c>
      <c r="S1889" s="1">
        <f t="shared" si="116"/>
        <v>10.26</v>
      </c>
      <c r="T1889" s="1" t="str">
        <f t="shared" si="117"/>
        <v/>
      </c>
      <c r="U1889" s="1" t="str">
        <f t="shared" si="118"/>
        <v/>
      </c>
      <c r="V1889" s="1" t="str">
        <f>_xlfn.XLOOKUP(C1889,Payers!$A$2:$A$9,Payers!$B$2:$B$9)</f>
        <v>Florida Medicaid</v>
      </c>
      <c r="W1889" s="1" t="str">
        <f t="shared" si="119"/>
        <v>2026-08</v>
      </c>
    </row>
    <row r="1890" spans="1:23">
      <c r="A1890" s="1" t="s">
        <v>3406</v>
      </c>
      <c r="B1890" s="1" t="s">
        <v>3407</v>
      </c>
      <c r="C1890" s="1" t="s">
        <v>36</v>
      </c>
      <c r="D1890" s="1" t="s">
        <v>19</v>
      </c>
      <c r="E1890" s="1" t="s">
        <v>41</v>
      </c>
      <c r="F1890">
        <v>1</v>
      </c>
      <c r="G1890" s="2">
        <v>46048</v>
      </c>
      <c r="H1890" s="2">
        <v>46052</v>
      </c>
      <c r="I1890">
        <v>36.92</v>
      </c>
      <c r="M1890" s="1" t="s">
        <v>32</v>
      </c>
      <c r="N1890" s="1" t="s">
        <v>168</v>
      </c>
      <c r="O1890" s="2">
        <v>46089</v>
      </c>
      <c r="P1890" s="2"/>
      <c r="Q1890">
        <f>_xlfn.XLOOKUP(E1890,CPT!$A$2:$A$13,CPT!$D$2:$D$13)</f>
        <v>38</v>
      </c>
      <c r="R1890" s="1">
        <f>_xlfn.XLOOKUP(C1890,Contract!$A$2:$A$9,Contract!$B$2:$B$9)</f>
        <v>0.27</v>
      </c>
      <c r="S1890" s="1">
        <f t="shared" si="116"/>
        <v>10.26</v>
      </c>
      <c r="T1890" s="1" t="str">
        <f t="shared" si="117"/>
        <v/>
      </c>
      <c r="U1890" s="1" t="str">
        <f t="shared" si="118"/>
        <v/>
      </c>
      <c r="V1890" s="1" t="str">
        <f>_xlfn.XLOOKUP(C1890,Payers!$A$2:$A$9,Payers!$B$2:$B$9)</f>
        <v>Florida Medicaid</v>
      </c>
      <c r="W1890" s="1" t="str">
        <f t="shared" si="119"/>
        <v>2026-01</v>
      </c>
    </row>
    <row r="1891" spans="1:23">
      <c r="A1891" s="1" t="s">
        <v>3408</v>
      </c>
      <c r="B1891" s="1" t="s">
        <v>3409</v>
      </c>
      <c r="C1891" s="1" t="s">
        <v>60</v>
      </c>
      <c r="D1891" s="1" t="s">
        <v>30</v>
      </c>
      <c r="E1891" s="1" t="s">
        <v>91</v>
      </c>
      <c r="F1891">
        <v>1</v>
      </c>
      <c r="G1891" s="2">
        <v>45979</v>
      </c>
      <c r="H1891" s="2">
        <v>45985</v>
      </c>
      <c r="I1891">
        <v>56.99</v>
      </c>
      <c r="J1891">
        <v>24.05</v>
      </c>
      <c r="K1891">
        <v>24.05</v>
      </c>
      <c r="L1891">
        <v>0</v>
      </c>
      <c r="M1891" s="1" t="s">
        <v>21</v>
      </c>
      <c r="N1891" s="1" t="s">
        <v>22</v>
      </c>
      <c r="O1891" s="2">
        <v>46029</v>
      </c>
      <c r="P1891" s="2">
        <v>46029</v>
      </c>
      <c r="Q1891">
        <f>_xlfn.XLOOKUP(E1891,CPT!$A$2:$A$13,CPT!$D$2:$D$13)</f>
        <v>58</v>
      </c>
      <c r="R1891" s="1">
        <f>_xlfn.XLOOKUP(C1891,Contract!$A$2:$A$9,Contract!$B$2:$B$9)</f>
        <v>0.45</v>
      </c>
      <c r="S1891" s="1">
        <f t="shared" si="116"/>
        <v>26.1</v>
      </c>
      <c r="T1891" s="1">
        <f t="shared" si="117"/>
        <v>2.0500000000000007</v>
      </c>
      <c r="U1891" s="1" t="str">
        <f t="shared" si="118"/>
        <v>Underpaid</v>
      </c>
      <c r="V1891" s="1" t="str">
        <f>_xlfn.XLOOKUP(C1891,Payers!$A$2:$A$9,Payers!$B$2:$B$9)</f>
        <v>Blue Horizon Commercial</v>
      </c>
      <c r="W1891" s="1" t="str">
        <f t="shared" si="119"/>
        <v>2025-11</v>
      </c>
    </row>
    <row r="1892" spans="1:23">
      <c r="A1892" s="1" t="s">
        <v>3410</v>
      </c>
      <c r="B1892" s="1" t="s">
        <v>3411</v>
      </c>
      <c r="C1892" s="1" t="s">
        <v>47</v>
      </c>
      <c r="D1892" s="1" t="s">
        <v>30</v>
      </c>
      <c r="E1892" s="1" t="s">
        <v>91</v>
      </c>
      <c r="F1892">
        <v>4</v>
      </c>
      <c r="G1892" s="2">
        <v>46167</v>
      </c>
      <c r="H1892" s="2">
        <v>46170</v>
      </c>
      <c r="I1892">
        <v>226.98</v>
      </c>
      <c r="J1892">
        <v>68.08</v>
      </c>
      <c r="K1892">
        <v>68.08</v>
      </c>
      <c r="L1892">
        <v>0</v>
      </c>
      <c r="M1892" s="1" t="s">
        <v>21</v>
      </c>
      <c r="N1892" s="1" t="s">
        <v>22</v>
      </c>
      <c r="O1892" s="2">
        <v>46237</v>
      </c>
      <c r="P1892" s="2">
        <v>46237</v>
      </c>
      <c r="Q1892">
        <f>_xlfn.XLOOKUP(E1892,CPT!$A$2:$A$13,CPT!$D$2:$D$13)</f>
        <v>58</v>
      </c>
      <c r="R1892" s="1">
        <f>_xlfn.XLOOKUP(C1892,Contract!$A$2:$A$9,Contract!$B$2:$B$9)</f>
        <v>0.28000000000000003</v>
      </c>
      <c r="S1892" s="1">
        <f t="shared" si="116"/>
        <v>64.959999999999994</v>
      </c>
      <c r="T1892" s="1">
        <f t="shared" si="117"/>
        <v>-3.1200000000000045</v>
      </c>
      <c r="U1892" s="1" t="str">
        <f t="shared" si="118"/>
        <v>OK</v>
      </c>
      <c r="V1892" s="1" t="str">
        <f>_xlfn.XLOOKUP(C1892,Payers!$A$2:$A$9,Payers!$B$2:$B$9)</f>
        <v>Coastal Medicaid MCO</v>
      </c>
      <c r="W1892" s="1" t="str">
        <f t="shared" si="119"/>
        <v>2026-05</v>
      </c>
    </row>
    <row r="1893" spans="1:23">
      <c r="A1893" s="1" t="s">
        <v>3412</v>
      </c>
      <c r="B1893" s="1" t="s">
        <v>762</v>
      </c>
      <c r="C1893" s="1" t="s">
        <v>25</v>
      </c>
      <c r="D1893" s="1" t="s">
        <v>19</v>
      </c>
      <c r="E1893" s="1" t="s">
        <v>88</v>
      </c>
      <c r="F1893">
        <v>1</v>
      </c>
      <c r="G1893" s="2">
        <v>46276</v>
      </c>
      <c r="H1893" s="2">
        <v>46287</v>
      </c>
      <c r="I1893">
        <v>257.20999999999998</v>
      </c>
      <c r="M1893" s="1" t="s">
        <v>69</v>
      </c>
      <c r="N1893" s="1" t="s">
        <v>22</v>
      </c>
      <c r="O1893" s="2"/>
      <c r="P1893" s="2"/>
      <c r="Q1893">
        <f>_xlfn.XLOOKUP(E1893,CPT!$A$2:$A$13,CPT!$D$2:$D$13)</f>
        <v>260</v>
      </c>
      <c r="R1893" s="1">
        <f>_xlfn.XLOOKUP(C1893,Contract!$A$2:$A$9,Contract!$B$2:$B$9)</f>
        <v>0.36</v>
      </c>
      <c r="S1893" s="1">
        <f t="shared" si="116"/>
        <v>93.6</v>
      </c>
      <c r="T1893" s="1" t="str">
        <f t="shared" si="117"/>
        <v/>
      </c>
      <c r="U1893" s="1" t="str">
        <f t="shared" si="118"/>
        <v/>
      </c>
      <c r="V1893" s="1" t="str">
        <f>_xlfn.XLOOKUP(C1893,Payers!$A$2:$A$9,Payers!$B$2:$B$9)</f>
        <v>Medicare Part B</v>
      </c>
      <c r="W1893" s="1" t="str">
        <f t="shared" si="119"/>
        <v>2026-09</v>
      </c>
    </row>
    <row r="1894" spans="1:23">
      <c r="A1894" s="1" t="s">
        <v>3413</v>
      </c>
      <c r="B1894" s="1" t="s">
        <v>3414</v>
      </c>
      <c r="C1894" s="1" t="s">
        <v>76</v>
      </c>
      <c r="D1894" s="1" t="s">
        <v>30</v>
      </c>
      <c r="E1894" s="1" t="s">
        <v>31</v>
      </c>
      <c r="F1894">
        <v>2</v>
      </c>
      <c r="G1894" s="2">
        <v>46208</v>
      </c>
      <c r="H1894" s="2">
        <v>46211</v>
      </c>
      <c r="I1894">
        <v>123.95</v>
      </c>
      <c r="J1894">
        <v>48.01</v>
      </c>
      <c r="K1894">
        <v>48.01</v>
      </c>
      <c r="L1894">
        <v>0</v>
      </c>
      <c r="M1894" s="1" t="s">
        <v>21</v>
      </c>
      <c r="N1894" s="1" t="s">
        <v>22</v>
      </c>
      <c r="O1894" s="2">
        <v>46244</v>
      </c>
      <c r="P1894" s="2">
        <v>46244</v>
      </c>
      <c r="Q1894">
        <f>_xlfn.XLOOKUP(E1894,CPT!$A$2:$A$13,CPT!$D$2:$D$13)</f>
        <v>62</v>
      </c>
      <c r="R1894" s="1">
        <f>_xlfn.XLOOKUP(C1894,Contract!$A$2:$A$9,Contract!$B$2:$B$9)</f>
        <v>0.43</v>
      </c>
      <c r="S1894" s="1">
        <f t="shared" si="116"/>
        <v>53.32</v>
      </c>
      <c r="T1894" s="1">
        <f t="shared" si="117"/>
        <v>5.3100000000000023</v>
      </c>
      <c r="U1894" s="1" t="str">
        <f t="shared" si="118"/>
        <v>Underpaid</v>
      </c>
      <c r="V1894" s="1" t="str">
        <f>_xlfn.XLOOKUP(C1894,Payers!$A$2:$A$9,Payers!$B$2:$B$9)</f>
        <v>Summit Health Commercial</v>
      </c>
      <c r="W1894" s="1" t="str">
        <f t="shared" si="119"/>
        <v>2026-07</v>
      </c>
    </row>
    <row r="1895" spans="1:23">
      <c r="A1895" s="1" t="s">
        <v>3415</v>
      </c>
      <c r="B1895" s="1" t="s">
        <v>3416</v>
      </c>
      <c r="C1895" s="1" t="s">
        <v>76</v>
      </c>
      <c r="D1895" s="1" t="s">
        <v>19</v>
      </c>
      <c r="E1895" s="1" t="s">
        <v>41</v>
      </c>
      <c r="F1895">
        <v>1</v>
      </c>
      <c r="G1895" s="2">
        <v>46114</v>
      </c>
      <c r="H1895" s="2">
        <v>46126</v>
      </c>
      <c r="I1895">
        <v>38.85</v>
      </c>
      <c r="J1895">
        <v>16.440000000000001</v>
      </c>
      <c r="K1895">
        <v>14.8</v>
      </c>
      <c r="L1895">
        <v>1.64</v>
      </c>
      <c r="M1895" s="1" t="s">
        <v>21</v>
      </c>
      <c r="N1895" s="1" t="s">
        <v>22</v>
      </c>
      <c r="O1895" s="2">
        <v>46164</v>
      </c>
      <c r="P1895" s="2">
        <v>46164</v>
      </c>
      <c r="Q1895">
        <f>_xlfn.XLOOKUP(E1895,CPT!$A$2:$A$13,CPT!$D$2:$D$13)</f>
        <v>38</v>
      </c>
      <c r="R1895" s="1">
        <f>_xlfn.XLOOKUP(C1895,Contract!$A$2:$A$9,Contract!$B$2:$B$9)</f>
        <v>0.43</v>
      </c>
      <c r="S1895" s="1">
        <f t="shared" si="116"/>
        <v>16.34</v>
      </c>
      <c r="T1895" s="1">
        <f t="shared" si="117"/>
        <v>-0.10000000000000142</v>
      </c>
      <c r="U1895" s="1" t="str">
        <f t="shared" si="118"/>
        <v>OK</v>
      </c>
      <c r="V1895" s="1" t="str">
        <f>_xlfn.XLOOKUP(C1895,Payers!$A$2:$A$9,Payers!$B$2:$B$9)</f>
        <v>Summit Health Commercial</v>
      </c>
      <c r="W1895" s="1" t="str">
        <f t="shared" si="119"/>
        <v>2026-04</v>
      </c>
    </row>
    <row r="1896" spans="1:23">
      <c r="A1896" s="1" t="s">
        <v>3417</v>
      </c>
      <c r="B1896" s="1" t="s">
        <v>1203</v>
      </c>
      <c r="C1896" s="1" t="s">
        <v>76</v>
      </c>
      <c r="D1896" s="1" t="s">
        <v>26</v>
      </c>
      <c r="E1896" s="1" t="s">
        <v>27</v>
      </c>
      <c r="F1896">
        <v>1</v>
      </c>
      <c r="G1896" s="2">
        <v>46188</v>
      </c>
      <c r="H1896" s="2">
        <v>46190</v>
      </c>
      <c r="I1896">
        <v>244.11</v>
      </c>
      <c r="J1896">
        <v>94.36</v>
      </c>
      <c r="K1896">
        <v>84.92</v>
      </c>
      <c r="L1896">
        <v>9.44</v>
      </c>
      <c r="M1896" s="1" t="s">
        <v>21</v>
      </c>
      <c r="N1896" s="1" t="s">
        <v>22</v>
      </c>
      <c r="O1896" s="2">
        <v>46221</v>
      </c>
      <c r="P1896" s="2">
        <v>46221</v>
      </c>
      <c r="Q1896">
        <f>_xlfn.XLOOKUP(E1896,CPT!$A$2:$A$13,CPT!$D$2:$D$13)</f>
        <v>240</v>
      </c>
      <c r="R1896" s="1">
        <f>_xlfn.XLOOKUP(C1896,Contract!$A$2:$A$9,Contract!$B$2:$B$9)</f>
        <v>0.43</v>
      </c>
      <c r="S1896" s="1">
        <f t="shared" si="116"/>
        <v>103.2</v>
      </c>
      <c r="T1896" s="1">
        <f t="shared" si="117"/>
        <v>8.8400000000000034</v>
      </c>
      <c r="U1896" s="1" t="str">
        <f t="shared" si="118"/>
        <v>Underpaid</v>
      </c>
      <c r="V1896" s="1" t="str">
        <f>_xlfn.XLOOKUP(C1896,Payers!$A$2:$A$9,Payers!$B$2:$B$9)</f>
        <v>Summit Health Commercial</v>
      </c>
      <c r="W1896" s="1" t="str">
        <f t="shared" si="119"/>
        <v>2026-06</v>
      </c>
    </row>
    <row r="1897" spans="1:23">
      <c r="A1897" s="1" t="s">
        <v>3418</v>
      </c>
      <c r="B1897" s="1" t="s">
        <v>3419</v>
      </c>
      <c r="C1897" s="1" t="s">
        <v>60</v>
      </c>
      <c r="D1897" s="1" t="s">
        <v>19</v>
      </c>
      <c r="E1897" s="1" t="s">
        <v>41</v>
      </c>
      <c r="F1897">
        <v>1</v>
      </c>
      <c r="G1897" s="2">
        <v>46019</v>
      </c>
      <c r="H1897" s="2">
        <v>46022</v>
      </c>
      <c r="I1897">
        <v>36.9</v>
      </c>
      <c r="J1897">
        <v>14.67</v>
      </c>
      <c r="K1897">
        <v>14.67</v>
      </c>
      <c r="L1897">
        <v>0</v>
      </c>
      <c r="M1897" s="1" t="s">
        <v>21</v>
      </c>
      <c r="N1897" s="1" t="s">
        <v>22</v>
      </c>
      <c r="O1897" s="2">
        <v>46044</v>
      </c>
      <c r="P1897" s="2">
        <v>46044</v>
      </c>
      <c r="Q1897">
        <f>_xlfn.XLOOKUP(E1897,CPT!$A$2:$A$13,CPT!$D$2:$D$13)</f>
        <v>38</v>
      </c>
      <c r="R1897" s="1">
        <f>_xlfn.XLOOKUP(C1897,Contract!$A$2:$A$9,Contract!$B$2:$B$9)</f>
        <v>0.45</v>
      </c>
      <c r="S1897" s="1">
        <f t="shared" si="116"/>
        <v>17.100000000000001</v>
      </c>
      <c r="T1897" s="1">
        <f t="shared" si="117"/>
        <v>2.4300000000000015</v>
      </c>
      <c r="U1897" s="1" t="str">
        <f t="shared" si="118"/>
        <v>Underpaid</v>
      </c>
      <c r="V1897" s="1" t="str">
        <f>_xlfn.XLOOKUP(C1897,Payers!$A$2:$A$9,Payers!$B$2:$B$9)</f>
        <v>Blue Horizon Commercial</v>
      </c>
      <c r="W1897" s="1" t="str">
        <f t="shared" si="119"/>
        <v>2025-12</v>
      </c>
    </row>
    <row r="1898" spans="1:23">
      <c r="A1898" s="1" t="s">
        <v>3420</v>
      </c>
      <c r="B1898" s="1" t="s">
        <v>1918</v>
      </c>
      <c r="C1898" s="1" t="s">
        <v>47</v>
      </c>
      <c r="D1898" s="1" t="s">
        <v>26</v>
      </c>
      <c r="E1898" s="1" t="s">
        <v>57</v>
      </c>
      <c r="F1898">
        <v>1</v>
      </c>
      <c r="G1898" s="2">
        <v>46257</v>
      </c>
      <c r="H1898" s="2">
        <v>46263</v>
      </c>
      <c r="I1898">
        <v>214.72</v>
      </c>
      <c r="M1898" s="1" t="s">
        <v>69</v>
      </c>
      <c r="N1898" s="1" t="s">
        <v>22</v>
      </c>
      <c r="O1898" s="2"/>
      <c r="P1898" s="2"/>
      <c r="Q1898">
        <f>_xlfn.XLOOKUP(E1898,CPT!$A$2:$A$13,CPT!$D$2:$D$13)</f>
        <v>210</v>
      </c>
      <c r="R1898" s="1">
        <f>_xlfn.XLOOKUP(C1898,Contract!$A$2:$A$9,Contract!$B$2:$B$9)</f>
        <v>0.28000000000000003</v>
      </c>
      <c r="S1898" s="1">
        <f t="shared" si="116"/>
        <v>58.8</v>
      </c>
      <c r="T1898" s="1" t="str">
        <f t="shared" si="117"/>
        <v/>
      </c>
      <c r="U1898" s="1" t="str">
        <f t="shared" si="118"/>
        <v/>
      </c>
      <c r="V1898" s="1" t="str">
        <f>_xlfn.XLOOKUP(C1898,Payers!$A$2:$A$9,Payers!$B$2:$B$9)</f>
        <v>Coastal Medicaid MCO</v>
      </c>
      <c r="W1898" s="1" t="str">
        <f t="shared" si="119"/>
        <v>2026-08</v>
      </c>
    </row>
    <row r="1899" spans="1:23">
      <c r="A1899" s="1" t="s">
        <v>3421</v>
      </c>
      <c r="B1899" s="1" t="s">
        <v>2277</v>
      </c>
      <c r="C1899" s="1" t="s">
        <v>25</v>
      </c>
      <c r="D1899" s="1" t="s">
        <v>26</v>
      </c>
      <c r="E1899" s="1" t="s">
        <v>88</v>
      </c>
      <c r="F1899">
        <v>1</v>
      </c>
      <c r="G1899" s="2">
        <v>46111</v>
      </c>
      <c r="H1899" s="2">
        <v>46116</v>
      </c>
      <c r="I1899">
        <v>263.58</v>
      </c>
      <c r="J1899">
        <v>85.09</v>
      </c>
      <c r="K1899">
        <v>76.58</v>
      </c>
      <c r="L1899">
        <v>8.51</v>
      </c>
      <c r="M1899" s="1" t="s">
        <v>21</v>
      </c>
      <c r="N1899" s="1" t="s">
        <v>22</v>
      </c>
      <c r="O1899" s="2">
        <v>46136</v>
      </c>
      <c r="P1899" s="2">
        <v>46136</v>
      </c>
      <c r="Q1899">
        <f>_xlfn.XLOOKUP(E1899,CPT!$A$2:$A$13,CPT!$D$2:$D$13)</f>
        <v>260</v>
      </c>
      <c r="R1899" s="1">
        <f>_xlfn.XLOOKUP(C1899,Contract!$A$2:$A$9,Contract!$B$2:$B$9)</f>
        <v>0.36</v>
      </c>
      <c r="S1899" s="1">
        <f t="shared" si="116"/>
        <v>93.6</v>
      </c>
      <c r="T1899" s="1">
        <f t="shared" si="117"/>
        <v>8.5099999999999909</v>
      </c>
      <c r="U1899" s="1" t="str">
        <f t="shared" si="118"/>
        <v>Underpaid</v>
      </c>
      <c r="V1899" s="1" t="str">
        <f>_xlfn.XLOOKUP(C1899,Payers!$A$2:$A$9,Payers!$B$2:$B$9)</f>
        <v>Medicare Part B</v>
      </c>
      <c r="W1899" s="1" t="str">
        <f t="shared" si="119"/>
        <v>2026-03</v>
      </c>
    </row>
    <row r="1900" spans="1:23">
      <c r="A1900" s="1" t="s">
        <v>3422</v>
      </c>
      <c r="B1900" s="1" t="s">
        <v>3423</v>
      </c>
      <c r="C1900" s="1" t="s">
        <v>60</v>
      </c>
      <c r="D1900" s="1" t="s">
        <v>26</v>
      </c>
      <c r="E1900" s="1" t="s">
        <v>113</v>
      </c>
      <c r="F1900">
        <v>1</v>
      </c>
      <c r="G1900" s="2">
        <v>46059</v>
      </c>
      <c r="H1900" s="2">
        <v>46064</v>
      </c>
      <c r="I1900">
        <v>1073.99</v>
      </c>
      <c r="M1900" s="1" t="s">
        <v>32</v>
      </c>
      <c r="N1900" s="1" t="s">
        <v>124</v>
      </c>
      <c r="O1900" s="2">
        <v>46092</v>
      </c>
      <c r="P1900" s="2"/>
      <c r="Q1900">
        <f>_xlfn.XLOOKUP(E1900,CPT!$A$2:$A$13,CPT!$D$2:$D$13)</f>
        <v>1050</v>
      </c>
      <c r="R1900" s="1">
        <f>_xlfn.XLOOKUP(C1900,Contract!$A$2:$A$9,Contract!$B$2:$B$9)</f>
        <v>0.45</v>
      </c>
      <c r="S1900" s="1">
        <f t="shared" si="116"/>
        <v>472.5</v>
      </c>
      <c r="T1900" s="1" t="str">
        <f t="shared" si="117"/>
        <v/>
      </c>
      <c r="U1900" s="1" t="str">
        <f t="shared" si="118"/>
        <v/>
      </c>
      <c r="V1900" s="1" t="str">
        <f>_xlfn.XLOOKUP(C1900,Payers!$A$2:$A$9,Payers!$B$2:$B$9)</f>
        <v>Blue Horizon Commercial</v>
      </c>
      <c r="W1900" s="1" t="str">
        <f t="shared" si="119"/>
        <v>2026-02</v>
      </c>
    </row>
    <row r="1901" spans="1:23">
      <c r="A1901" s="1" t="s">
        <v>3424</v>
      </c>
      <c r="B1901" s="1" t="s">
        <v>3425</v>
      </c>
      <c r="C1901" s="1" t="s">
        <v>36</v>
      </c>
      <c r="D1901" s="1" t="s">
        <v>26</v>
      </c>
      <c r="E1901" s="1" t="s">
        <v>88</v>
      </c>
      <c r="F1901">
        <v>1</v>
      </c>
      <c r="G1901" s="2">
        <v>46241</v>
      </c>
      <c r="H1901" s="2">
        <v>46244</v>
      </c>
      <c r="I1901">
        <v>263.14999999999998</v>
      </c>
      <c r="J1901">
        <v>75.33</v>
      </c>
      <c r="K1901">
        <v>75.33</v>
      </c>
      <c r="L1901">
        <v>0</v>
      </c>
      <c r="M1901" s="1" t="s">
        <v>21</v>
      </c>
      <c r="N1901" s="1" t="s">
        <v>22</v>
      </c>
      <c r="O1901" s="2">
        <v>46293</v>
      </c>
      <c r="P1901" s="2">
        <v>46293</v>
      </c>
      <c r="Q1901">
        <f>_xlfn.XLOOKUP(E1901,CPT!$A$2:$A$13,CPT!$D$2:$D$13)</f>
        <v>260</v>
      </c>
      <c r="R1901" s="1">
        <f>_xlfn.XLOOKUP(C1901,Contract!$A$2:$A$9,Contract!$B$2:$B$9)</f>
        <v>0.27</v>
      </c>
      <c r="S1901" s="1">
        <f t="shared" si="116"/>
        <v>70.2</v>
      </c>
      <c r="T1901" s="1">
        <f t="shared" si="117"/>
        <v>-5.1299999999999955</v>
      </c>
      <c r="U1901" s="1" t="str">
        <f t="shared" si="118"/>
        <v>OK</v>
      </c>
      <c r="V1901" s="1" t="str">
        <f>_xlfn.XLOOKUP(C1901,Payers!$A$2:$A$9,Payers!$B$2:$B$9)</f>
        <v>Florida Medicaid</v>
      </c>
      <c r="W1901" s="1" t="str">
        <f t="shared" si="119"/>
        <v>2026-08</v>
      </c>
    </row>
    <row r="1902" spans="1:23">
      <c r="A1902" s="1" t="s">
        <v>3426</v>
      </c>
      <c r="B1902" s="1" t="s">
        <v>3427</v>
      </c>
      <c r="C1902" s="1" t="s">
        <v>76</v>
      </c>
      <c r="D1902" s="1" t="s">
        <v>19</v>
      </c>
      <c r="E1902" s="1" t="s">
        <v>20</v>
      </c>
      <c r="F1902">
        <v>1</v>
      </c>
      <c r="G1902" s="2">
        <v>46106</v>
      </c>
      <c r="H1902" s="2">
        <v>46107</v>
      </c>
      <c r="I1902">
        <v>147.85</v>
      </c>
      <c r="J1902">
        <v>61.84</v>
      </c>
      <c r="K1902">
        <v>55.66</v>
      </c>
      <c r="L1902">
        <v>6.18</v>
      </c>
      <c r="M1902" s="1" t="s">
        <v>21</v>
      </c>
      <c r="N1902" s="1" t="s">
        <v>22</v>
      </c>
      <c r="O1902" s="2">
        <v>46143</v>
      </c>
      <c r="P1902" s="2">
        <v>46143</v>
      </c>
      <c r="Q1902">
        <f>_xlfn.XLOOKUP(E1902,CPT!$A$2:$A$13,CPT!$D$2:$D$13)</f>
        <v>145</v>
      </c>
      <c r="R1902" s="1">
        <f>_xlfn.XLOOKUP(C1902,Contract!$A$2:$A$9,Contract!$B$2:$B$9)</f>
        <v>0.43</v>
      </c>
      <c r="S1902" s="1">
        <f t="shared" si="116"/>
        <v>62.35</v>
      </c>
      <c r="T1902" s="1">
        <f t="shared" si="117"/>
        <v>0.50999999999999801</v>
      </c>
      <c r="U1902" s="1" t="str">
        <f t="shared" si="118"/>
        <v>OK</v>
      </c>
      <c r="V1902" s="1" t="str">
        <f>_xlfn.XLOOKUP(C1902,Payers!$A$2:$A$9,Payers!$B$2:$B$9)</f>
        <v>Summit Health Commercial</v>
      </c>
      <c r="W1902" s="1" t="str">
        <f t="shared" si="119"/>
        <v>2026-03</v>
      </c>
    </row>
    <row r="1903" spans="1:23">
      <c r="A1903" s="1" t="s">
        <v>3428</v>
      </c>
      <c r="B1903" s="1" t="s">
        <v>3429</v>
      </c>
      <c r="C1903" s="1" t="s">
        <v>60</v>
      </c>
      <c r="D1903" s="1" t="s">
        <v>26</v>
      </c>
      <c r="E1903" s="1" t="s">
        <v>41</v>
      </c>
      <c r="F1903">
        <v>1</v>
      </c>
      <c r="G1903" s="2">
        <v>45969</v>
      </c>
      <c r="H1903" s="2">
        <v>45975</v>
      </c>
      <c r="I1903">
        <v>36.97</v>
      </c>
      <c r="J1903">
        <v>15.32</v>
      </c>
      <c r="K1903">
        <v>15.32</v>
      </c>
      <c r="L1903">
        <v>0</v>
      </c>
      <c r="M1903" s="1" t="s">
        <v>21</v>
      </c>
      <c r="N1903" s="1" t="s">
        <v>22</v>
      </c>
      <c r="O1903" s="2">
        <v>46011</v>
      </c>
      <c r="P1903" s="2">
        <v>46011</v>
      </c>
      <c r="Q1903">
        <f>_xlfn.XLOOKUP(E1903,CPT!$A$2:$A$13,CPT!$D$2:$D$13)</f>
        <v>38</v>
      </c>
      <c r="R1903" s="1">
        <f>_xlfn.XLOOKUP(C1903,Contract!$A$2:$A$9,Contract!$B$2:$B$9)</f>
        <v>0.45</v>
      </c>
      <c r="S1903" s="1">
        <f t="shared" si="116"/>
        <v>17.100000000000001</v>
      </c>
      <c r="T1903" s="1">
        <f t="shared" si="117"/>
        <v>1.7800000000000011</v>
      </c>
      <c r="U1903" s="1" t="str">
        <f t="shared" si="118"/>
        <v>Underpaid</v>
      </c>
      <c r="V1903" s="1" t="str">
        <f>_xlfn.XLOOKUP(C1903,Payers!$A$2:$A$9,Payers!$B$2:$B$9)</f>
        <v>Blue Horizon Commercial</v>
      </c>
      <c r="W1903" s="1" t="str">
        <f t="shared" si="119"/>
        <v>2025-11</v>
      </c>
    </row>
    <row r="1904" spans="1:23">
      <c r="A1904" s="1" t="s">
        <v>3430</v>
      </c>
      <c r="B1904" s="1" t="s">
        <v>881</v>
      </c>
      <c r="C1904" s="1" t="s">
        <v>60</v>
      </c>
      <c r="D1904" s="1" t="s">
        <v>19</v>
      </c>
      <c r="E1904" s="1" t="s">
        <v>57</v>
      </c>
      <c r="F1904">
        <v>1</v>
      </c>
      <c r="G1904" s="2">
        <v>46168</v>
      </c>
      <c r="H1904" s="2">
        <v>46180</v>
      </c>
      <c r="I1904">
        <v>204.88</v>
      </c>
      <c r="J1904">
        <v>102.3</v>
      </c>
      <c r="K1904">
        <v>102.3</v>
      </c>
      <c r="L1904">
        <v>0</v>
      </c>
      <c r="M1904" s="1" t="s">
        <v>21</v>
      </c>
      <c r="N1904" s="1" t="s">
        <v>22</v>
      </c>
      <c r="O1904" s="2">
        <v>46205</v>
      </c>
      <c r="P1904" s="2">
        <v>46205</v>
      </c>
      <c r="Q1904">
        <f>_xlfn.XLOOKUP(E1904,CPT!$A$2:$A$13,CPT!$D$2:$D$13)</f>
        <v>210</v>
      </c>
      <c r="R1904" s="1">
        <f>_xlfn.XLOOKUP(C1904,Contract!$A$2:$A$9,Contract!$B$2:$B$9)</f>
        <v>0.45</v>
      </c>
      <c r="S1904" s="1">
        <f t="shared" si="116"/>
        <v>94.5</v>
      </c>
      <c r="T1904" s="1">
        <f t="shared" si="117"/>
        <v>-7.7999999999999972</v>
      </c>
      <c r="U1904" s="1" t="str">
        <f t="shared" si="118"/>
        <v>OK</v>
      </c>
      <c r="V1904" s="1" t="str">
        <f>_xlfn.XLOOKUP(C1904,Payers!$A$2:$A$9,Payers!$B$2:$B$9)</f>
        <v>Blue Horizon Commercial</v>
      </c>
      <c r="W1904" s="1" t="str">
        <f t="shared" si="119"/>
        <v>2026-05</v>
      </c>
    </row>
    <row r="1905" spans="1:23">
      <c r="A1905" s="1" t="s">
        <v>3431</v>
      </c>
      <c r="B1905" s="1" t="s">
        <v>3432</v>
      </c>
      <c r="C1905" s="1" t="s">
        <v>25</v>
      </c>
      <c r="D1905" s="1" t="s">
        <v>26</v>
      </c>
      <c r="E1905" s="1" t="s">
        <v>113</v>
      </c>
      <c r="F1905">
        <v>1</v>
      </c>
      <c r="G1905" s="2">
        <v>46095</v>
      </c>
      <c r="H1905" s="2">
        <v>46098</v>
      </c>
      <c r="I1905">
        <v>1043.7</v>
      </c>
      <c r="J1905">
        <v>404.76</v>
      </c>
      <c r="K1905">
        <v>404.76</v>
      </c>
      <c r="L1905">
        <v>0</v>
      </c>
      <c r="M1905" s="1" t="s">
        <v>21</v>
      </c>
      <c r="N1905" s="1" t="s">
        <v>22</v>
      </c>
      <c r="O1905" s="2">
        <v>46110</v>
      </c>
      <c r="P1905" s="2">
        <v>46110</v>
      </c>
      <c r="Q1905">
        <f>_xlfn.XLOOKUP(E1905,CPT!$A$2:$A$13,CPT!$D$2:$D$13)</f>
        <v>1050</v>
      </c>
      <c r="R1905" s="1">
        <f>_xlfn.XLOOKUP(C1905,Contract!$A$2:$A$9,Contract!$B$2:$B$9)</f>
        <v>0.36</v>
      </c>
      <c r="S1905" s="1">
        <f t="shared" si="116"/>
        <v>378</v>
      </c>
      <c r="T1905" s="1">
        <f t="shared" si="117"/>
        <v>-26.759999999999991</v>
      </c>
      <c r="U1905" s="1" t="str">
        <f t="shared" si="118"/>
        <v>OK</v>
      </c>
      <c r="V1905" s="1" t="str">
        <f>_xlfn.XLOOKUP(C1905,Payers!$A$2:$A$9,Payers!$B$2:$B$9)</f>
        <v>Medicare Part B</v>
      </c>
      <c r="W1905" s="1" t="str">
        <f t="shared" si="119"/>
        <v>2026-03</v>
      </c>
    </row>
    <row r="1906" spans="1:23">
      <c r="A1906" s="1" t="s">
        <v>3433</v>
      </c>
      <c r="B1906" s="1" t="s">
        <v>3434</v>
      </c>
      <c r="C1906" s="1" t="s">
        <v>76</v>
      </c>
      <c r="D1906" s="1" t="s">
        <v>30</v>
      </c>
      <c r="E1906" s="1" t="s">
        <v>31</v>
      </c>
      <c r="F1906">
        <v>4</v>
      </c>
      <c r="G1906" s="2">
        <v>46042</v>
      </c>
      <c r="H1906" s="2">
        <v>46173</v>
      </c>
      <c r="I1906">
        <v>248.38</v>
      </c>
      <c r="M1906" s="1" t="s">
        <v>32</v>
      </c>
      <c r="N1906" s="1" t="s">
        <v>137</v>
      </c>
      <c r="O1906" s="2">
        <v>46208</v>
      </c>
      <c r="P1906" s="2"/>
      <c r="Q1906">
        <f>_xlfn.XLOOKUP(E1906,CPT!$A$2:$A$13,CPT!$D$2:$D$13)</f>
        <v>62</v>
      </c>
      <c r="R1906" s="1">
        <f>_xlfn.XLOOKUP(C1906,Contract!$A$2:$A$9,Contract!$B$2:$B$9)</f>
        <v>0.43</v>
      </c>
      <c r="S1906" s="1">
        <f t="shared" si="116"/>
        <v>106.64</v>
      </c>
      <c r="T1906" s="1" t="str">
        <f t="shared" si="117"/>
        <v/>
      </c>
      <c r="U1906" s="1" t="str">
        <f t="shared" si="118"/>
        <v/>
      </c>
      <c r="V1906" s="1" t="str">
        <f>_xlfn.XLOOKUP(C1906,Payers!$A$2:$A$9,Payers!$B$2:$B$9)</f>
        <v>Summit Health Commercial</v>
      </c>
      <c r="W1906" s="1" t="str">
        <f t="shared" si="119"/>
        <v>2026-01</v>
      </c>
    </row>
    <row r="1907" spans="1:23">
      <c r="A1907" s="1" t="s">
        <v>3435</v>
      </c>
      <c r="B1907" s="1" t="s">
        <v>3436</v>
      </c>
      <c r="C1907" s="1" t="s">
        <v>60</v>
      </c>
      <c r="D1907" s="1" t="s">
        <v>30</v>
      </c>
      <c r="E1907" s="1" t="s">
        <v>20</v>
      </c>
      <c r="F1907">
        <v>1</v>
      </c>
      <c r="G1907" s="2">
        <v>46045</v>
      </c>
      <c r="H1907" s="2">
        <v>46046</v>
      </c>
      <c r="I1907">
        <v>146.51</v>
      </c>
      <c r="J1907">
        <v>64.09</v>
      </c>
      <c r="K1907">
        <v>64.09</v>
      </c>
      <c r="L1907">
        <v>0</v>
      </c>
      <c r="M1907" s="1" t="s">
        <v>21</v>
      </c>
      <c r="N1907" s="1" t="s">
        <v>22</v>
      </c>
      <c r="O1907" s="2">
        <v>46082</v>
      </c>
      <c r="P1907" s="2">
        <v>46082</v>
      </c>
      <c r="Q1907">
        <f>_xlfn.XLOOKUP(E1907,CPT!$A$2:$A$13,CPT!$D$2:$D$13)</f>
        <v>145</v>
      </c>
      <c r="R1907" s="1">
        <f>_xlfn.XLOOKUP(C1907,Contract!$A$2:$A$9,Contract!$B$2:$B$9)</f>
        <v>0.45</v>
      </c>
      <c r="S1907" s="1">
        <f t="shared" si="116"/>
        <v>65.25</v>
      </c>
      <c r="T1907" s="1">
        <f t="shared" si="117"/>
        <v>1.1599999999999966</v>
      </c>
      <c r="U1907" s="1" t="str">
        <f t="shared" si="118"/>
        <v>OK</v>
      </c>
      <c r="V1907" s="1" t="str">
        <f>_xlfn.XLOOKUP(C1907,Payers!$A$2:$A$9,Payers!$B$2:$B$9)</f>
        <v>Blue Horizon Commercial</v>
      </c>
      <c r="W1907" s="1" t="str">
        <f t="shared" si="119"/>
        <v>2026-01</v>
      </c>
    </row>
    <row r="1908" spans="1:23">
      <c r="A1908" s="1" t="s">
        <v>3437</v>
      </c>
      <c r="B1908" s="1" t="s">
        <v>3438</v>
      </c>
      <c r="C1908" s="1" t="s">
        <v>76</v>
      </c>
      <c r="D1908" s="1" t="s">
        <v>26</v>
      </c>
      <c r="E1908" s="1" t="s">
        <v>88</v>
      </c>
      <c r="F1908">
        <v>1</v>
      </c>
      <c r="G1908" s="2">
        <v>46072</v>
      </c>
      <c r="H1908" s="2">
        <v>46074</v>
      </c>
      <c r="I1908">
        <v>266.24</v>
      </c>
      <c r="J1908">
        <v>103.08</v>
      </c>
      <c r="K1908">
        <v>82.46</v>
      </c>
      <c r="L1908">
        <v>20.62</v>
      </c>
      <c r="M1908" s="1" t="s">
        <v>21</v>
      </c>
      <c r="N1908" s="1" t="s">
        <v>22</v>
      </c>
      <c r="O1908" s="2">
        <v>46110</v>
      </c>
      <c r="P1908" s="2">
        <v>46110</v>
      </c>
      <c r="Q1908">
        <f>_xlfn.XLOOKUP(E1908,CPT!$A$2:$A$13,CPT!$D$2:$D$13)</f>
        <v>260</v>
      </c>
      <c r="R1908" s="1">
        <f>_xlfn.XLOOKUP(C1908,Contract!$A$2:$A$9,Contract!$B$2:$B$9)</f>
        <v>0.43</v>
      </c>
      <c r="S1908" s="1">
        <f t="shared" si="116"/>
        <v>111.8</v>
      </c>
      <c r="T1908" s="1">
        <f t="shared" si="117"/>
        <v>8.7199999999999989</v>
      </c>
      <c r="U1908" s="1" t="str">
        <f t="shared" si="118"/>
        <v>Underpaid</v>
      </c>
      <c r="V1908" s="1" t="str">
        <f>_xlfn.XLOOKUP(C1908,Payers!$A$2:$A$9,Payers!$B$2:$B$9)</f>
        <v>Summit Health Commercial</v>
      </c>
      <c r="W1908" s="1" t="str">
        <f t="shared" si="119"/>
        <v>2026-02</v>
      </c>
    </row>
    <row r="1909" spans="1:23">
      <c r="A1909" s="1" t="s">
        <v>3439</v>
      </c>
      <c r="B1909" s="1" t="s">
        <v>3440</v>
      </c>
      <c r="C1909" s="1" t="s">
        <v>47</v>
      </c>
      <c r="D1909" s="1" t="s">
        <v>19</v>
      </c>
      <c r="E1909" s="1" t="s">
        <v>41</v>
      </c>
      <c r="F1909">
        <v>1</v>
      </c>
      <c r="G1909" s="2">
        <v>45947</v>
      </c>
      <c r="H1909" s="2">
        <v>45952</v>
      </c>
      <c r="I1909">
        <v>37.82</v>
      </c>
      <c r="J1909">
        <v>10.89</v>
      </c>
      <c r="K1909">
        <v>10.89</v>
      </c>
      <c r="L1909">
        <v>0</v>
      </c>
      <c r="M1909" s="1" t="s">
        <v>21</v>
      </c>
      <c r="N1909" s="1" t="s">
        <v>22</v>
      </c>
      <c r="O1909" s="2">
        <v>46031</v>
      </c>
      <c r="P1909" s="2">
        <v>46031</v>
      </c>
      <c r="Q1909">
        <f>_xlfn.XLOOKUP(E1909,CPT!$A$2:$A$13,CPT!$D$2:$D$13)</f>
        <v>38</v>
      </c>
      <c r="R1909" s="1">
        <f>_xlfn.XLOOKUP(C1909,Contract!$A$2:$A$9,Contract!$B$2:$B$9)</f>
        <v>0.28000000000000003</v>
      </c>
      <c r="S1909" s="1">
        <f t="shared" si="116"/>
        <v>10.64</v>
      </c>
      <c r="T1909" s="1">
        <f t="shared" si="117"/>
        <v>-0.25</v>
      </c>
      <c r="U1909" s="1" t="str">
        <f t="shared" si="118"/>
        <v>OK</v>
      </c>
      <c r="V1909" s="1" t="str">
        <f>_xlfn.XLOOKUP(C1909,Payers!$A$2:$A$9,Payers!$B$2:$B$9)</f>
        <v>Coastal Medicaid MCO</v>
      </c>
      <c r="W1909" s="1" t="str">
        <f t="shared" si="119"/>
        <v>2025-10</v>
      </c>
    </row>
    <row r="1910" spans="1:23">
      <c r="A1910" s="1" t="s">
        <v>3441</v>
      </c>
      <c r="B1910" s="1" t="s">
        <v>3247</v>
      </c>
      <c r="C1910" s="1" t="s">
        <v>47</v>
      </c>
      <c r="D1910" s="1" t="s">
        <v>30</v>
      </c>
      <c r="E1910" s="1" t="s">
        <v>91</v>
      </c>
      <c r="F1910">
        <v>2</v>
      </c>
      <c r="G1910" s="2">
        <v>45966</v>
      </c>
      <c r="H1910" s="2">
        <v>45968</v>
      </c>
      <c r="I1910">
        <v>114.8</v>
      </c>
      <c r="J1910">
        <v>36.99</v>
      </c>
      <c r="K1910">
        <v>36.99</v>
      </c>
      <c r="L1910">
        <v>0</v>
      </c>
      <c r="M1910" s="1" t="s">
        <v>21</v>
      </c>
      <c r="N1910" s="1" t="s">
        <v>22</v>
      </c>
      <c r="O1910" s="2">
        <v>46039</v>
      </c>
      <c r="P1910" s="2">
        <v>46039</v>
      </c>
      <c r="Q1910">
        <f>_xlfn.XLOOKUP(E1910,CPT!$A$2:$A$13,CPT!$D$2:$D$13)</f>
        <v>58</v>
      </c>
      <c r="R1910" s="1">
        <f>_xlfn.XLOOKUP(C1910,Contract!$A$2:$A$9,Contract!$B$2:$B$9)</f>
        <v>0.28000000000000003</v>
      </c>
      <c r="S1910" s="1">
        <f t="shared" si="116"/>
        <v>32.479999999999997</v>
      </c>
      <c r="T1910" s="1">
        <f t="shared" si="117"/>
        <v>-4.5100000000000051</v>
      </c>
      <c r="U1910" s="1" t="str">
        <f t="shared" si="118"/>
        <v>OK</v>
      </c>
      <c r="V1910" s="1" t="str">
        <f>_xlfn.XLOOKUP(C1910,Payers!$A$2:$A$9,Payers!$B$2:$B$9)</f>
        <v>Coastal Medicaid MCO</v>
      </c>
      <c r="W1910" s="1" t="str">
        <f t="shared" si="119"/>
        <v>2025-11</v>
      </c>
    </row>
    <row r="1911" spans="1:23">
      <c r="A1911" s="1" t="s">
        <v>3442</v>
      </c>
      <c r="B1911" s="1" t="s">
        <v>3443</v>
      </c>
      <c r="C1911" s="1" t="s">
        <v>60</v>
      </c>
      <c r="D1911" s="1" t="s">
        <v>26</v>
      </c>
      <c r="E1911" s="1" t="s">
        <v>57</v>
      </c>
      <c r="F1911">
        <v>1</v>
      </c>
      <c r="G1911" s="2">
        <v>46017</v>
      </c>
      <c r="H1911" s="2">
        <v>46018</v>
      </c>
      <c r="I1911">
        <v>207.32</v>
      </c>
      <c r="J1911">
        <v>101.17</v>
      </c>
      <c r="K1911">
        <v>101.17</v>
      </c>
      <c r="L1911">
        <v>0</v>
      </c>
      <c r="M1911" s="1" t="s">
        <v>21</v>
      </c>
      <c r="N1911" s="1" t="s">
        <v>22</v>
      </c>
      <c r="O1911" s="2">
        <v>46037</v>
      </c>
      <c r="P1911" s="2">
        <v>46037</v>
      </c>
      <c r="Q1911">
        <f>_xlfn.XLOOKUP(E1911,CPT!$A$2:$A$13,CPT!$D$2:$D$13)</f>
        <v>210</v>
      </c>
      <c r="R1911" s="1">
        <f>_xlfn.XLOOKUP(C1911,Contract!$A$2:$A$9,Contract!$B$2:$B$9)</f>
        <v>0.45</v>
      </c>
      <c r="S1911" s="1">
        <f t="shared" si="116"/>
        <v>94.5</v>
      </c>
      <c r="T1911" s="1">
        <f t="shared" si="117"/>
        <v>-6.6700000000000017</v>
      </c>
      <c r="U1911" s="1" t="str">
        <f t="shared" si="118"/>
        <v>OK</v>
      </c>
      <c r="V1911" s="1" t="str">
        <f>_xlfn.XLOOKUP(C1911,Payers!$A$2:$A$9,Payers!$B$2:$B$9)</f>
        <v>Blue Horizon Commercial</v>
      </c>
      <c r="W1911" s="1" t="str">
        <f t="shared" si="119"/>
        <v>2025-12</v>
      </c>
    </row>
    <row r="1912" spans="1:23">
      <c r="A1912" s="1" t="s">
        <v>3444</v>
      </c>
      <c r="B1912" s="1" t="s">
        <v>3445</v>
      </c>
      <c r="C1912" s="1" t="s">
        <v>76</v>
      </c>
      <c r="D1912" s="1" t="s">
        <v>19</v>
      </c>
      <c r="E1912" s="1" t="s">
        <v>57</v>
      </c>
      <c r="F1912">
        <v>1</v>
      </c>
      <c r="G1912" s="2">
        <v>46150</v>
      </c>
      <c r="H1912" s="2">
        <v>46157</v>
      </c>
      <c r="I1912">
        <v>213.54</v>
      </c>
      <c r="J1912">
        <v>88.13</v>
      </c>
      <c r="K1912">
        <v>88.13</v>
      </c>
      <c r="L1912">
        <v>0</v>
      </c>
      <c r="M1912" s="1" t="s">
        <v>21</v>
      </c>
      <c r="N1912" s="1" t="s">
        <v>22</v>
      </c>
      <c r="O1912" s="2">
        <v>46188</v>
      </c>
      <c r="P1912" s="2">
        <v>46188</v>
      </c>
      <c r="Q1912">
        <f>_xlfn.XLOOKUP(E1912,CPT!$A$2:$A$13,CPT!$D$2:$D$13)</f>
        <v>210</v>
      </c>
      <c r="R1912" s="1">
        <f>_xlfn.XLOOKUP(C1912,Contract!$A$2:$A$9,Contract!$B$2:$B$9)</f>
        <v>0.43</v>
      </c>
      <c r="S1912" s="1">
        <f t="shared" si="116"/>
        <v>90.3</v>
      </c>
      <c r="T1912" s="1">
        <f t="shared" si="117"/>
        <v>2.1700000000000017</v>
      </c>
      <c r="U1912" s="1" t="str">
        <f t="shared" si="118"/>
        <v>OK</v>
      </c>
      <c r="V1912" s="1" t="str">
        <f>_xlfn.XLOOKUP(C1912,Payers!$A$2:$A$9,Payers!$B$2:$B$9)</f>
        <v>Summit Health Commercial</v>
      </c>
      <c r="W1912" s="1" t="str">
        <f t="shared" si="119"/>
        <v>2026-05</v>
      </c>
    </row>
    <row r="1913" spans="1:23">
      <c r="A1913" s="1" t="s">
        <v>3446</v>
      </c>
      <c r="B1913" s="1" t="s">
        <v>3447</v>
      </c>
      <c r="C1913" s="1" t="s">
        <v>18</v>
      </c>
      <c r="D1913" s="1" t="s">
        <v>19</v>
      </c>
      <c r="E1913" s="1" t="s">
        <v>88</v>
      </c>
      <c r="F1913">
        <v>1</v>
      </c>
      <c r="G1913" s="2">
        <v>46120</v>
      </c>
      <c r="H1913" s="2">
        <v>46122</v>
      </c>
      <c r="I1913">
        <v>263.83</v>
      </c>
      <c r="J1913">
        <v>98.34</v>
      </c>
      <c r="K1913">
        <v>98.34</v>
      </c>
      <c r="L1913">
        <v>0</v>
      </c>
      <c r="M1913" s="1" t="s">
        <v>21</v>
      </c>
      <c r="N1913" s="1" t="s">
        <v>22</v>
      </c>
      <c r="O1913" s="2">
        <v>46194</v>
      </c>
      <c r="P1913" s="2">
        <v>46194</v>
      </c>
      <c r="Q1913">
        <f>_xlfn.XLOOKUP(E1913,CPT!$A$2:$A$13,CPT!$D$2:$D$13)</f>
        <v>260</v>
      </c>
      <c r="R1913" s="1">
        <f>_xlfn.XLOOKUP(C1913,Contract!$A$2:$A$9,Contract!$B$2:$B$9)</f>
        <v>0.38</v>
      </c>
      <c r="S1913" s="1">
        <f t="shared" si="116"/>
        <v>98.8</v>
      </c>
      <c r="T1913" s="1">
        <f t="shared" si="117"/>
        <v>0.45999999999999375</v>
      </c>
      <c r="U1913" s="1" t="str">
        <f t="shared" si="118"/>
        <v>OK</v>
      </c>
      <c r="V1913" s="1" t="str">
        <f>_xlfn.XLOOKUP(C1913,Payers!$A$2:$A$9,Payers!$B$2:$B$9)</f>
        <v>Sunshine Medicare Advantage</v>
      </c>
      <c r="W1913" s="1" t="str">
        <f t="shared" si="119"/>
        <v>2026-04</v>
      </c>
    </row>
    <row r="1914" spans="1:23">
      <c r="A1914" s="1" t="s">
        <v>3448</v>
      </c>
      <c r="B1914" s="1" t="s">
        <v>3449</v>
      </c>
      <c r="C1914" s="1" t="s">
        <v>60</v>
      </c>
      <c r="D1914" s="1" t="s">
        <v>37</v>
      </c>
      <c r="E1914" s="1" t="s">
        <v>38</v>
      </c>
      <c r="F1914">
        <v>20</v>
      </c>
      <c r="G1914" s="2">
        <v>46153</v>
      </c>
      <c r="H1914" s="2">
        <v>46154</v>
      </c>
      <c r="I1914">
        <v>28240</v>
      </c>
      <c r="J1914">
        <v>13086.04</v>
      </c>
      <c r="K1914">
        <v>11777.44</v>
      </c>
      <c r="L1914">
        <v>1308.5999999999999</v>
      </c>
      <c r="M1914" s="1" t="s">
        <v>21</v>
      </c>
      <c r="N1914" s="1" t="s">
        <v>22</v>
      </c>
      <c r="O1914" s="2">
        <v>46184</v>
      </c>
      <c r="P1914" s="2">
        <v>46184</v>
      </c>
      <c r="Q1914">
        <f>_xlfn.XLOOKUP(E1914,CPT!$A$2:$A$13,CPT!$D$2:$D$13)</f>
        <v>1450</v>
      </c>
      <c r="R1914" s="1">
        <f>_xlfn.XLOOKUP(C1914,Contract!$A$2:$A$9,Contract!$B$2:$B$9)</f>
        <v>0.45</v>
      </c>
      <c r="S1914" s="1">
        <f t="shared" si="116"/>
        <v>13050</v>
      </c>
      <c r="T1914" s="1">
        <f t="shared" si="117"/>
        <v>-36.040000000000873</v>
      </c>
      <c r="U1914" s="1" t="str">
        <f t="shared" si="118"/>
        <v>OK</v>
      </c>
      <c r="V1914" s="1" t="str">
        <f>_xlfn.XLOOKUP(C1914,Payers!$A$2:$A$9,Payers!$B$2:$B$9)</f>
        <v>Blue Horizon Commercial</v>
      </c>
      <c r="W1914" s="1" t="str">
        <f t="shared" si="119"/>
        <v>2026-05</v>
      </c>
    </row>
    <row r="1915" spans="1:23">
      <c r="A1915" s="1" t="s">
        <v>3450</v>
      </c>
      <c r="B1915" s="1" t="s">
        <v>2375</v>
      </c>
      <c r="C1915" s="1" t="s">
        <v>60</v>
      </c>
      <c r="D1915" s="1" t="s">
        <v>37</v>
      </c>
      <c r="E1915" s="1" t="s">
        <v>48</v>
      </c>
      <c r="F1915">
        <v>1</v>
      </c>
      <c r="G1915" s="2">
        <v>46131</v>
      </c>
      <c r="H1915" s="2">
        <v>46133</v>
      </c>
      <c r="I1915">
        <v>425.7</v>
      </c>
      <c r="J1915">
        <v>197.73</v>
      </c>
      <c r="K1915">
        <v>197.73</v>
      </c>
      <c r="L1915">
        <v>0</v>
      </c>
      <c r="M1915" s="1" t="s">
        <v>21</v>
      </c>
      <c r="N1915" s="1" t="s">
        <v>22</v>
      </c>
      <c r="O1915" s="2">
        <v>46177</v>
      </c>
      <c r="P1915" s="2">
        <v>46177</v>
      </c>
      <c r="Q1915">
        <f>_xlfn.XLOOKUP(E1915,CPT!$A$2:$A$13,CPT!$D$2:$D$13)</f>
        <v>420</v>
      </c>
      <c r="R1915" s="1">
        <f>_xlfn.XLOOKUP(C1915,Contract!$A$2:$A$9,Contract!$B$2:$B$9)</f>
        <v>0.45</v>
      </c>
      <c r="S1915" s="1">
        <f t="shared" si="116"/>
        <v>189</v>
      </c>
      <c r="T1915" s="1">
        <f t="shared" si="117"/>
        <v>-8.7299999999999898</v>
      </c>
      <c r="U1915" s="1" t="str">
        <f t="shared" si="118"/>
        <v>OK</v>
      </c>
      <c r="V1915" s="1" t="str">
        <f>_xlfn.XLOOKUP(C1915,Payers!$A$2:$A$9,Payers!$B$2:$B$9)</f>
        <v>Blue Horizon Commercial</v>
      </c>
      <c r="W1915" s="1" t="str">
        <f t="shared" si="119"/>
        <v>2026-04</v>
      </c>
    </row>
    <row r="1916" spans="1:23">
      <c r="A1916" s="1" t="s">
        <v>3451</v>
      </c>
      <c r="B1916" s="1" t="s">
        <v>3452</v>
      </c>
      <c r="C1916" s="1" t="s">
        <v>25</v>
      </c>
      <c r="D1916" s="1" t="s">
        <v>37</v>
      </c>
      <c r="E1916" s="1" t="s">
        <v>48</v>
      </c>
      <c r="F1916">
        <v>1</v>
      </c>
      <c r="G1916" s="2">
        <v>46065</v>
      </c>
      <c r="H1916" s="2">
        <v>46066</v>
      </c>
      <c r="I1916">
        <v>424.33</v>
      </c>
      <c r="J1916">
        <v>159.77000000000001</v>
      </c>
      <c r="K1916">
        <v>159.77000000000001</v>
      </c>
      <c r="L1916">
        <v>0</v>
      </c>
      <c r="M1916" s="1" t="s">
        <v>21</v>
      </c>
      <c r="N1916" s="1" t="s">
        <v>22</v>
      </c>
      <c r="O1916" s="2">
        <v>46081</v>
      </c>
      <c r="P1916" s="2">
        <v>46081</v>
      </c>
      <c r="Q1916">
        <f>_xlfn.XLOOKUP(E1916,CPT!$A$2:$A$13,CPT!$D$2:$D$13)</f>
        <v>420</v>
      </c>
      <c r="R1916" s="1">
        <f>_xlfn.XLOOKUP(C1916,Contract!$A$2:$A$9,Contract!$B$2:$B$9)</f>
        <v>0.36</v>
      </c>
      <c r="S1916" s="1">
        <f t="shared" si="116"/>
        <v>151.19999999999999</v>
      </c>
      <c r="T1916" s="1">
        <f t="shared" si="117"/>
        <v>-8.5700000000000216</v>
      </c>
      <c r="U1916" s="1" t="str">
        <f t="shared" si="118"/>
        <v>OK</v>
      </c>
      <c r="V1916" s="1" t="str">
        <f>_xlfn.XLOOKUP(C1916,Payers!$A$2:$A$9,Payers!$B$2:$B$9)</f>
        <v>Medicare Part B</v>
      </c>
      <c r="W1916" s="1" t="str">
        <f t="shared" si="119"/>
        <v>2026-02</v>
      </c>
    </row>
    <row r="1917" spans="1:23">
      <c r="A1917" s="1" t="s">
        <v>3453</v>
      </c>
      <c r="B1917" s="1" t="s">
        <v>528</v>
      </c>
      <c r="C1917" s="1" t="s">
        <v>76</v>
      </c>
      <c r="D1917" s="1" t="s">
        <v>19</v>
      </c>
      <c r="E1917" s="1" t="s">
        <v>88</v>
      </c>
      <c r="F1917">
        <v>1</v>
      </c>
      <c r="G1917" s="2">
        <v>46165</v>
      </c>
      <c r="H1917" s="2">
        <v>46171</v>
      </c>
      <c r="I1917">
        <v>253</v>
      </c>
      <c r="M1917" s="1" t="s">
        <v>32</v>
      </c>
      <c r="N1917" s="1" t="s">
        <v>168</v>
      </c>
      <c r="O1917" s="2">
        <v>46205</v>
      </c>
      <c r="P1917" s="2"/>
      <c r="Q1917">
        <f>_xlfn.XLOOKUP(E1917,CPT!$A$2:$A$13,CPT!$D$2:$D$13)</f>
        <v>260</v>
      </c>
      <c r="R1917" s="1">
        <f>_xlfn.XLOOKUP(C1917,Contract!$A$2:$A$9,Contract!$B$2:$B$9)</f>
        <v>0.43</v>
      </c>
      <c r="S1917" s="1">
        <f t="shared" si="116"/>
        <v>111.8</v>
      </c>
      <c r="T1917" s="1" t="str">
        <f t="shared" si="117"/>
        <v/>
      </c>
      <c r="U1917" s="1" t="str">
        <f t="shared" si="118"/>
        <v/>
      </c>
      <c r="V1917" s="1" t="str">
        <f>_xlfn.XLOOKUP(C1917,Payers!$A$2:$A$9,Payers!$B$2:$B$9)</f>
        <v>Summit Health Commercial</v>
      </c>
      <c r="W1917" s="1" t="str">
        <f t="shared" si="119"/>
        <v>2026-05</v>
      </c>
    </row>
    <row r="1918" spans="1:23">
      <c r="A1918" s="1" t="s">
        <v>3454</v>
      </c>
      <c r="B1918" s="1" t="s">
        <v>3455</v>
      </c>
      <c r="C1918" s="1" t="s">
        <v>36</v>
      </c>
      <c r="D1918" s="1" t="s">
        <v>26</v>
      </c>
      <c r="E1918" s="1" t="s">
        <v>113</v>
      </c>
      <c r="F1918">
        <v>1</v>
      </c>
      <c r="G1918" s="2">
        <v>45998</v>
      </c>
      <c r="H1918" s="2">
        <v>46000</v>
      </c>
      <c r="I1918">
        <v>1061.3</v>
      </c>
      <c r="M1918" s="1" t="s">
        <v>32</v>
      </c>
      <c r="N1918" s="1" t="s">
        <v>49</v>
      </c>
      <c r="O1918" s="2">
        <v>46044</v>
      </c>
      <c r="P1918" s="2"/>
      <c r="Q1918">
        <f>_xlfn.XLOOKUP(E1918,CPT!$A$2:$A$13,CPT!$D$2:$D$13)</f>
        <v>1050</v>
      </c>
      <c r="R1918" s="1">
        <f>_xlfn.XLOOKUP(C1918,Contract!$A$2:$A$9,Contract!$B$2:$B$9)</f>
        <v>0.27</v>
      </c>
      <c r="S1918" s="1">
        <f t="shared" si="116"/>
        <v>283.5</v>
      </c>
      <c r="T1918" s="1" t="str">
        <f t="shared" si="117"/>
        <v/>
      </c>
      <c r="U1918" s="1" t="str">
        <f t="shared" si="118"/>
        <v/>
      </c>
      <c r="V1918" s="1" t="str">
        <f>_xlfn.XLOOKUP(C1918,Payers!$A$2:$A$9,Payers!$B$2:$B$9)</f>
        <v>Florida Medicaid</v>
      </c>
      <c r="W1918" s="1" t="str">
        <f t="shared" si="119"/>
        <v>2025-12</v>
      </c>
    </row>
    <row r="1919" spans="1:23">
      <c r="A1919" s="1" t="s">
        <v>3456</v>
      </c>
      <c r="B1919" s="1" t="s">
        <v>3457</v>
      </c>
      <c r="C1919" s="1" t="s">
        <v>47</v>
      </c>
      <c r="D1919" s="1" t="s">
        <v>19</v>
      </c>
      <c r="E1919" s="1" t="s">
        <v>20</v>
      </c>
      <c r="F1919">
        <v>1</v>
      </c>
      <c r="G1919" s="2">
        <v>46007</v>
      </c>
      <c r="H1919" s="2">
        <v>46018</v>
      </c>
      <c r="I1919">
        <v>144.59</v>
      </c>
      <c r="M1919" s="1" t="s">
        <v>32</v>
      </c>
      <c r="N1919" s="1" t="s">
        <v>281</v>
      </c>
      <c r="O1919" s="2">
        <v>46077</v>
      </c>
      <c r="P1919" s="2"/>
      <c r="Q1919">
        <f>_xlfn.XLOOKUP(E1919,CPT!$A$2:$A$13,CPT!$D$2:$D$13)</f>
        <v>145</v>
      </c>
      <c r="R1919" s="1">
        <f>_xlfn.XLOOKUP(C1919,Contract!$A$2:$A$9,Contract!$B$2:$B$9)</f>
        <v>0.28000000000000003</v>
      </c>
      <c r="S1919" s="1">
        <f t="shared" si="116"/>
        <v>40.6</v>
      </c>
      <c r="T1919" s="1" t="str">
        <f t="shared" si="117"/>
        <v/>
      </c>
      <c r="U1919" s="1" t="str">
        <f t="shared" si="118"/>
        <v/>
      </c>
      <c r="V1919" s="1" t="str">
        <f>_xlfn.XLOOKUP(C1919,Payers!$A$2:$A$9,Payers!$B$2:$B$9)</f>
        <v>Coastal Medicaid MCO</v>
      </c>
      <c r="W1919" s="1" t="str">
        <f t="shared" si="119"/>
        <v>2025-12</v>
      </c>
    </row>
    <row r="1920" spans="1:23">
      <c r="A1920" s="1" t="s">
        <v>3458</v>
      </c>
      <c r="B1920" s="1" t="s">
        <v>3459</v>
      </c>
      <c r="C1920" s="1" t="s">
        <v>60</v>
      </c>
      <c r="D1920" s="1" t="s">
        <v>30</v>
      </c>
      <c r="E1920" s="1" t="s">
        <v>91</v>
      </c>
      <c r="F1920">
        <v>1</v>
      </c>
      <c r="G1920" s="2">
        <v>46051</v>
      </c>
      <c r="H1920" s="2">
        <v>46148</v>
      </c>
      <c r="I1920">
        <v>57.69</v>
      </c>
      <c r="M1920" s="1" t="s">
        <v>32</v>
      </c>
      <c r="N1920" s="1" t="s">
        <v>137</v>
      </c>
      <c r="O1920" s="2">
        <v>46175</v>
      </c>
      <c r="P1920" s="2"/>
      <c r="Q1920">
        <f>_xlfn.XLOOKUP(E1920,CPT!$A$2:$A$13,CPT!$D$2:$D$13)</f>
        <v>58</v>
      </c>
      <c r="R1920" s="1">
        <f>_xlfn.XLOOKUP(C1920,Contract!$A$2:$A$9,Contract!$B$2:$B$9)</f>
        <v>0.45</v>
      </c>
      <c r="S1920" s="1">
        <f t="shared" si="116"/>
        <v>26.1</v>
      </c>
      <c r="T1920" s="1" t="str">
        <f t="shared" si="117"/>
        <v/>
      </c>
      <c r="U1920" s="1" t="str">
        <f t="shared" si="118"/>
        <v/>
      </c>
      <c r="V1920" s="1" t="str">
        <f>_xlfn.XLOOKUP(C1920,Payers!$A$2:$A$9,Payers!$B$2:$B$9)</f>
        <v>Blue Horizon Commercial</v>
      </c>
      <c r="W1920" s="1" t="str">
        <f t="shared" si="119"/>
        <v>2026-01</v>
      </c>
    </row>
    <row r="1921" spans="1:23">
      <c r="A1921" s="1" t="s">
        <v>3460</v>
      </c>
      <c r="B1921" s="1" t="s">
        <v>3461</v>
      </c>
      <c r="C1921" s="1" t="s">
        <v>76</v>
      </c>
      <c r="D1921" s="1" t="s">
        <v>26</v>
      </c>
      <c r="E1921" s="1" t="s">
        <v>88</v>
      </c>
      <c r="F1921">
        <v>1</v>
      </c>
      <c r="G1921" s="2">
        <v>46261</v>
      </c>
      <c r="H1921" s="2">
        <v>46262</v>
      </c>
      <c r="I1921">
        <v>259.06</v>
      </c>
      <c r="M1921" s="1" t="s">
        <v>69</v>
      </c>
      <c r="N1921" s="1" t="s">
        <v>22</v>
      </c>
      <c r="O1921" s="2"/>
      <c r="P1921" s="2"/>
      <c r="Q1921">
        <f>_xlfn.XLOOKUP(E1921,CPT!$A$2:$A$13,CPT!$D$2:$D$13)</f>
        <v>260</v>
      </c>
      <c r="R1921" s="1">
        <f>_xlfn.XLOOKUP(C1921,Contract!$A$2:$A$9,Contract!$B$2:$B$9)</f>
        <v>0.43</v>
      </c>
      <c r="S1921" s="1">
        <f t="shared" si="116"/>
        <v>111.8</v>
      </c>
      <c r="T1921" s="1" t="str">
        <f t="shared" si="117"/>
        <v/>
      </c>
      <c r="U1921" s="1" t="str">
        <f t="shared" si="118"/>
        <v/>
      </c>
      <c r="V1921" s="1" t="str">
        <f>_xlfn.XLOOKUP(C1921,Payers!$A$2:$A$9,Payers!$B$2:$B$9)</f>
        <v>Summit Health Commercial</v>
      </c>
      <c r="W1921" s="1" t="str">
        <f t="shared" si="119"/>
        <v>2026-08</v>
      </c>
    </row>
    <row r="1922" spans="1:23">
      <c r="A1922" s="1" t="s">
        <v>3462</v>
      </c>
      <c r="B1922" s="1" t="s">
        <v>3463</v>
      </c>
      <c r="C1922" s="1" t="s">
        <v>25</v>
      </c>
      <c r="D1922" s="1" t="s">
        <v>30</v>
      </c>
      <c r="E1922" s="1" t="s">
        <v>31</v>
      </c>
      <c r="F1922">
        <v>1</v>
      </c>
      <c r="G1922" s="2">
        <v>46000</v>
      </c>
      <c r="H1922" s="2">
        <v>46003</v>
      </c>
      <c r="I1922">
        <v>62.87</v>
      </c>
      <c r="J1922">
        <v>23.16</v>
      </c>
      <c r="K1922">
        <v>23.16</v>
      </c>
      <c r="L1922">
        <v>0</v>
      </c>
      <c r="M1922" s="1" t="s">
        <v>21</v>
      </c>
      <c r="N1922" s="1" t="s">
        <v>22</v>
      </c>
      <c r="O1922" s="2">
        <v>46020</v>
      </c>
      <c r="P1922" s="2">
        <v>46020</v>
      </c>
      <c r="Q1922">
        <f>_xlfn.XLOOKUP(E1922,CPT!$A$2:$A$13,CPT!$D$2:$D$13)</f>
        <v>62</v>
      </c>
      <c r="R1922" s="1">
        <f>_xlfn.XLOOKUP(C1922,Contract!$A$2:$A$9,Contract!$B$2:$B$9)</f>
        <v>0.36</v>
      </c>
      <c r="S1922" s="1">
        <f t="shared" ref="S1922:S1985" si="120">ROUND(Q1922*F1922*R1922,2)</f>
        <v>22.32</v>
      </c>
      <c r="T1922" s="1">
        <f t="shared" ref="T1922:T1985" si="121">IF(M1922="Paid",S1922-J1922,"")</f>
        <v>-0.83999999999999986</v>
      </c>
      <c r="U1922" s="1" t="str">
        <f t="shared" ref="U1922:U1985" si="122">IF(M1922&lt;&gt;"Paid","",IF(T1922&gt;S1922*0.05,"Underpaid","OK"))</f>
        <v>OK</v>
      </c>
      <c r="V1922" s="1" t="str">
        <f>_xlfn.XLOOKUP(C1922,Payers!$A$2:$A$9,Payers!$B$2:$B$9)</f>
        <v>Medicare Part B</v>
      </c>
      <c r="W1922" s="1" t="str">
        <f t="shared" ref="W1922:W1985" si="123">TEXT(G1922,"yyyy-mm")</f>
        <v>2025-12</v>
      </c>
    </row>
    <row r="1923" spans="1:23">
      <c r="A1923" s="1" t="s">
        <v>3464</v>
      </c>
      <c r="B1923" s="1" t="s">
        <v>3465</v>
      </c>
      <c r="C1923" s="1" t="s">
        <v>76</v>
      </c>
      <c r="D1923" s="1" t="s">
        <v>19</v>
      </c>
      <c r="E1923" s="1" t="s">
        <v>41</v>
      </c>
      <c r="F1923">
        <v>1</v>
      </c>
      <c r="G1923" s="2">
        <v>46188</v>
      </c>
      <c r="H1923" s="2">
        <v>46193</v>
      </c>
      <c r="I1923">
        <v>38.590000000000003</v>
      </c>
      <c r="J1923">
        <v>14.17</v>
      </c>
      <c r="K1923">
        <v>11.34</v>
      </c>
      <c r="L1923">
        <v>2.83</v>
      </c>
      <c r="M1923" s="1" t="s">
        <v>21</v>
      </c>
      <c r="N1923" s="1" t="s">
        <v>22</v>
      </c>
      <c r="O1923" s="2">
        <v>46228</v>
      </c>
      <c r="P1923" s="2">
        <v>46228</v>
      </c>
      <c r="Q1923">
        <f>_xlfn.XLOOKUP(E1923,CPT!$A$2:$A$13,CPT!$D$2:$D$13)</f>
        <v>38</v>
      </c>
      <c r="R1923" s="1">
        <f>_xlfn.XLOOKUP(C1923,Contract!$A$2:$A$9,Contract!$B$2:$B$9)</f>
        <v>0.43</v>
      </c>
      <c r="S1923" s="1">
        <f t="shared" si="120"/>
        <v>16.34</v>
      </c>
      <c r="T1923" s="1">
        <f t="shared" si="121"/>
        <v>2.17</v>
      </c>
      <c r="U1923" s="1" t="str">
        <f t="shared" si="122"/>
        <v>Underpaid</v>
      </c>
      <c r="V1923" s="1" t="str">
        <f>_xlfn.XLOOKUP(C1923,Payers!$A$2:$A$9,Payers!$B$2:$B$9)</f>
        <v>Summit Health Commercial</v>
      </c>
      <c r="W1923" s="1" t="str">
        <f t="shared" si="123"/>
        <v>2026-06</v>
      </c>
    </row>
    <row r="1924" spans="1:23">
      <c r="A1924" s="1" t="s">
        <v>3466</v>
      </c>
      <c r="B1924" s="1" t="s">
        <v>3467</v>
      </c>
      <c r="C1924" s="1" t="s">
        <v>60</v>
      </c>
      <c r="D1924" s="1" t="s">
        <v>26</v>
      </c>
      <c r="E1924" s="1" t="s">
        <v>113</v>
      </c>
      <c r="F1924">
        <v>1</v>
      </c>
      <c r="G1924" s="2">
        <v>46279</v>
      </c>
      <c r="H1924" s="2">
        <v>46284</v>
      </c>
      <c r="I1924">
        <v>1069.73</v>
      </c>
      <c r="M1924" s="1" t="s">
        <v>69</v>
      </c>
      <c r="N1924" s="1" t="s">
        <v>22</v>
      </c>
      <c r="O1924" s="2"/>
      <c r="P1924" s="2"/>
      <c r="Q1924">
        <f>_xlfn.XLOOKUP(E1924,CPT!$A$2:$A$13,CPT!$D$2:$D$13)</f>
        <v>1050</v>
      </c>
      <c r="R1924" s="1">
        <f>_xlfn.XLOOKUP(C1924,Contract!$A$2:$A$9,Contract!$B$2:$B$9)</f>
        <v>0.45</v>
      </c>
      <c r="S1924" s="1">
        <f t="shared" si="120"/>
        <v>472.5</v>
      </c>
      <c r="T1924" s="1" t="str">
        <f t="shared" si="121"/>
        <v/>
      </c>
      <c r="U1924" s="1" t="str">
        <f t="shared" si="122"/>
        <v/>
      </c>
      <c r="V1924" s="1" t="str">
        <f>_xlfn.XLOOKUP(C1924,Payers!$A$2:$A$9,Payers!$B$2:$B$9)</f>
        <v>Blue Horizon Commercial</v>
      </c>
      <c r="W1924" s="1" t="str">
        <f t="shared" si="123"/>
        <v>2026-09</v>
      </c>
    </row>
    <row r="1925" spans="1:23">
      <c r="A1925" s="1" t="s">
        <v>3468</v>
      </c>
      <c r="B1925" s="1" t="s">
        <v>3469</v>
      </c>
      <c r="C1925" s="1" t="s">
        <v>76</v>
      </c>
      <c r="D1925" s="1" t="s">
        <v>26</v>
      </c>
      <c r="E1925" s="1" t="s">
        <v>44</v>
      </c>
      <c r="F1925">
        <v>1</v>
      </c>
      <c r="G1925" s="2">
        <v>46257</v>
      </c>
      <c r="H1925" s="2">
        <v>46258</v>
      </c>
      <c r="I1925">
        <v>4748.92</v>
      </c>
      <c r="J1925">
        <v>1905.54</v>
      </c>
      <c r="K1925">
        <v>1905.54</v>
      </c>
      <c r="L1925">
        <v>0</v>
      </c>
      <c r="M1925" s="1" t="s">
        <v>21</v>
      </c>
      <c r="N1925" s="1" t="s">
        <v>22</v>
      </c>
      <c r="O1925" s="2">
        <v>46289</v>
      </c>
      <c r="P1925" s="2">
        <v>46289</v>
      </c>
      <c r="Q1925">
        <f>_xlfn.XLOOKUP(E1925,CPT!$A$2:$A$13,CPT!$D$2:$D$13)</f>
        <v>4800</v>
      </c>
      <c r="R1925" s="1">
        <f>_xlfn.XLOOKUP(C1925,Contract!$A$2:$A$9,Contract!$B$2:$B$9)</f>
        <v>0.43</v>
      </c>
      <c r="S1925" s="1">
        <f t="shared" si="120"/>
        <v>2064</v>
      </c>
      <c r="T1925" s="1">
        <f t="shared" si="121"/>
        <v>158.46000000000004</v>
      </c>
      <c r="U1925" s="1" t="str">
        <f t="shared" si="122"/>
        <v>Underpaid</v>
      </c>
      <c r="V1925" s="1" t="str">
        <f>_xlfn.XLOOKUP(C1925,Payers!$A$2:$A$9,Payers!$B$2:$B$9)</f>
        <v>Summit Health Commercial</v>
      </c>
      <c r="W1925" s="1" t="str">
        <f t="shared" si="123"/>
        <v>2026-08</v>
      </c>
    </row>
    <row r="1926" spans="1:23">
      <c r="A1926" s="1" t="s">
        <v>3470</v>
      </c>
      <c r="B1926" s="1" t="s">
        <v>3471</v>
      </c>
      <c r="C1926" s="1" t="s">
        <v>52</v>
      </c>
      <c r="D1926" s="1" t="s">
        <v>30</v>
      </c>
      <c r="E1926" s="1" t="s">
        <v>20</v>
      </c>
      <c r="F1926">
        <v>1</v>
      </c>
      <c r="G1926" s="2">
        <v>46065</v>
      </c>
      <c r="H1926" s="2">
        <v>46069</v>
      </c>
      <c r="I1926">
        <v>146.29</v>
      </c>
      <c r="J1926">
        <v>70.09</v>
      </c>
      <c r="K1926">
        <v>70.09</v>
      </c>
      <c r="L1926">
        <v>0</v>
      </c>
      <c r="M1926" s="1" t="s">
        <v>21</v>
      </c>
      <c r="N1926" s="1" t="s">
        <v>22</v>
      </c>
      <c r="O1926" s="2">
        <v>46096</v>
      </c>
      <c r="P1926" s="2">
        <v>46096</v>
      </c>
      <c r="Q1926">
        <f>_xlfn.XLOOKUP(E1926,CPT!$A$2:$A$13,CPT!$D$2:$D$13)</f>
        <v>145</v>
      </c>
      <c r="R1926" s="1">
        <f>_xlfn.XLOOKUP(C1926,Contract!$A$2:$A$9,Contract!$B$2:$B$9)</f>
        <v>0.47</v>
      </c>
      <c r="S1926" s="1">
        <f t="shared" si="120"/>
        <v>68.150000000000006</v>
      </c>
      <c r="T1926" s="1">
        <f t="shared" si="121"/>
        <v>-1.9399999999999977</v>
      </c>
      <c r="U1926" s="1" t="str">
        <f t="shared" si="122"/>
        <v>OK</v>
      </c>
      <c r="V1926" s="1" t="str">
        <f>_xlfn.XLOOKUP(C1926,Payers!$A$2:$A$9,Payers!$B$2:$B$9)</f>
        <v>Keystone Commercial PPO</v>
      </c>
      <c r="W1926" s="1" t="str">
        <f t="shared" si="123"/>
        <v>2026-02</v>
      </c>
    </row>
    <row r="1927" spans="1:23">
      <c r="A1927" s="1" t="s">
        <v>3472</v>
      </c>
      <c r="B1927" s="1" t="s">
        <v>3473</v>
      </c>
      <c r="C1927" s="1" t="s">
        <v>36</v>
      </c>
      <c r="D1927" s="1" t="s">
        <v>19</v>
      </c>
      <c r="E1927" s="1" t="s">
        <v>57</v>
      </c>
      <c r="F1927">
        <v>1</v>
      </c>
      <c r="G1927" s="2">
        <v>45966</v>
      </c>
      <c r="H1927" s="2">
        <v>45967</v>
      </c>
      <c r="I1927">
        <v>208.77</v>
      </c>
      <c r="J1927">
        <v>59.46</v>
      </c>
      <c r="K1927">
        <v>59.46</v>
      </c>
      <c r="L1927">
        <v>0</v>
      </c>
      <c r="M1927" s="1" t="s">
        <v>21</v>
      </c>
      <c r="N1927" s="1" t="s">
        <v>22</v>
      </c>
      <c r="O1927" s="2">
        <v>46018</v>
      </c>
      <c r="P1927" s="2">
        <v>46018</v>
      </c>
      <c r="Q1927">
        <f>_xlfn.XLOOKUP(E1927,CPT!$A$2:$A$13,CPT!$D$2:$D$13)</f>
        <v>210</v>
      </c>
      <c r="R1927" s="1">
        <f>_xlfn.XLOOKUP(C1927,Contract!$A$2:$A$9,Contract!$B$2:$B$9)</f>
        <v>0.27</v>
      </c>
      <c r="S1927" s="1">
        <f t="shared" si="120"/>
        <v>56.7</v>
      </c>
      <c r="T1927" s="1">
        <f t="shared" si="121"/>
        <v>-2.759999999999998</v>
      </c>
      <c r="U1927" s="1" t="str">
        <f t="shared" si="122"/>
        <v>OK</v>
      </c>
      <c r="V1927" s="1" t="str">
        <f>_xlfn.XLOOKUP(C1927,Payers!$A$2:$A$9,Payers!$B$2:$B$9)</f>
        <v>Florida Medicaid</v>
      </c>
      <c r="W1927" s="1" t="str">
        <f t="shared" si="123"/>
        <v>2025-11</v>
      </c>
    </row>
    <row r="1928" spans="1:23">
      <c r="A1928" s="1" t="s">
        <v>3474</v>
      </c>
      <c r="B1928" s="1" t="s">
        <v>3475</v>
      </c>
      <c r="C1928" s="1" t="s">
        <v>25</v>
      </c>
      <c r="D1928" s="1" t="s">
        <v>26</v>
      </c>
      <c r="E1928" s="1" t="s">
        <v>44</v>
      </c>
      <c r="F1928">
        <v>1</v>
      </c>
      <c r="G1928" s="2">
        <v>46021</v>
      </c>
      <c r="H1928" s="2">
        <v>46024</v>
      </c>
      <c r="I1928">
        <v>4876.82</v>
      </c>
      <c r="J1928">
        <v>1850.1</v>
      </c>
      <c r="K1928">
        <v>1850.1</v>
      </c>
      <c r="L1928">
        <v>0</v>
      </c>
      <c r="M1928" s="1" t="s">
        <v>21</v>
      </c>
      <c r="N1928" s="1" t="s">
        <v>22</v>
      </c>
      <c r="O1928" s="2">
        <v>46035</v>
      </c>
      <c r="P1928" s="2">
        <v>46035</v>
      </c>
      <c r="Q1928">
        <f>_xlfn.XLOOKUP(E1928,CPT!$A$2:$A$13,CPT!$D$2:$D$13)</f>
        <v>4800</v>
      </c>
      <c r="R1928" s="1">
        <f>_xlfn.XLOOKUP(C1928,Contract!$A$2:$A$9,Contract!$B$2:$B$9)</f>
        <v>0.36</v>
      </c>
      <c r="S1928" s="1">
        <f t="shared" si="120"/>
        <v>1728</v>
      </c>
      <c r="T1928" s="1">
        <f t="shared" si="121"/>
        <v>-122.09999999999991</v>
      </c>
      <c r="U1928" s="1" t="str">
        <f t="shared" si="122"/>
        <v>OK</v>
      </c>
      <c r="V1928" s="1" t="str">
        <f>_xlfn.XLOOKUP(C1928,Payers!$A$2:$A$9,Payers!$B$2:$B$9)</f>
        <v>Medicare Part B</v>
      </c>
      <c r="W1928" s="1" t="str">
        <f t="shared" si="123"/>
        <v>2025-12</v>
      </c>
    </row>
    <row r="1929" spans="1:23">
      <c r="A1929" s="1" t="s">
        <v>3476</v>
      </c>
      <c r="B1929" s="1" t="s">
        <v>2944</v>
      </c>
      <c r="C1929" s="1" t="s">
        <v>52</v>
      </c>
      <c r="D1929" s="1" t="s">
        <v>26</v>
      </c>
      <c r="E1929" s="1" t="s">
        <v>57</v>
      </c>
      <c r="F1929">
        <v>1</v>
      </c>
      <c r="G1929" s="2">
        <v>46096</v>
      </c>
      <c r="H1929" s="2">
        <v>46102</v>
      </c>
      <c r="I1929">
        <v>215.87</v>
      </c>
      <c r="J1929">
        <v>93.54</v>
      </c>
      <c r="K1929">
        <v>93.54</v>
      </c>
      <c r="L1929">
        <v>0</v>
      </c>
      <c r="M1929" s="1" t="s">
        <v>21</v>
      </c>
      <c r="N1929" s="1" t="s">
        <v>22</v>
      </c>
      <c r="O1929" s="2">
        <v>46140</v>
      </c>
      <c r="P1929" s="2">
        <v>46140</v>
      </c>
      <c r="Q1929">
        <f>_xlfn.XLOOKUP(E1929,CPT!$A$2:$A$13,CPT!$D$2:$D$13)</f>
        <v>210</v>
      </c>
      <c r="R1929" s="1">
        <f>_xlfn.XLOOKUP(C1929,Contract!$A$2:$A$9,Contract!$B$2:$B$9)</f>
        <v>0.47</v>
      </c>
      <c r="S1929" s="1">
        <f t="shared" si="120"/>
        <v>98.7</v>
      </c>
      <c r="T1929" s="1">
        <f t="shared" si="121"/>
        <v>5.1599999999999966</v>
      </c>
      <c r="U1929" s="1" t="str">
        <f t="shared" si="122"/>
        <v>Underpaid</v>
      </c>
      <c r="V1929" s="1" t="str">
        <f>_xlfn.XLOOKUP(C1929,Payers!$A$2:$A$9,Payers!$B$2:$B$9)</f>
        <v>Keystone Commercial PPO</v>
      </c>
      <c r="W1929" s="1" t="str">
        <f t="shared" si="123"/>
        <v>2026-03</v>
      </c>
    </row>
    <row r="1930" spans="1:23">
      <c r="A1930" s="1" t="s">
        <v>3477</v>
      </c>
      <c r="B1930" s="1" t="s">
        <v>3478</v>
      </c>
      <c r="C1930" s="1" t="s">
        <v>25</v>
      </c>
      <c r="D1930" s="1" t="s">
        <v>37</v>
      </c>
      <c r="E1930" s="1" t="s">
        <v>38</v>
      </c>
      <c r="F1930">
        <v>20</v>
      </c>
      <c r="G1930" s="2">
        <v>46088</v>
      </c>
      <c r="H1930" s="2">
        <v>46092</v>
      </c>
      <c r="I1930">
        <v>28428.61</v>
      </c>
      <c r="M1930" s="1" t="s">
        <v>32</v>
      </c>
      <c r="N1930" s="1" t="s">
        <v>315</v>
      </c>
      <c r="O1930" s="2">
        <v>46097</v>
      </c>
      <c r="P1930" s="2"/>
      <c r="Q1930">
        <f>_xlfn.XLOOKUP(E1930,CPT!$A$2:$A$13,CPT!$D$2:$D$13)</f>
        <v>1450</v>
      </c>
      <c r="R1930" s="1">
        <f>_xlfn.XLOOKUP(C1930,Contract!$A$2:$A$9,Contract!$B$2:$B$9)</f>
        <v>0.36</v>
      </c>
      <c r="S1930" s="1">
        <f t="shared" si="120"/>
        <v>10440</v>
      </c>
      <c r="T1930" s="1" t="str">
        <f t="shared" si="121"/>
        <v/>
      </c>
      <c r="U1930" s="1" t="str">
        <f t="shared" si="122"/>
        <v/>
      </c>
      <c r="V1930" s="1" t="str">
        <f>_xlfn.XLOOKUP(C1930,Payers!$A$2:$A$9,Payers!$B$2:$B$9)</f>
        <v>Medicare Part B</v>
      </c>
      <c r="W1930" s="1" t="str">
        <f t="shared" si="123"/>
        <v>2026-03</v>
      </c>
    </row>
    <row r="1931" spans="1:23">
      <c r="A1931" s="1" t="s">
        <v>3479</v>
      </c>
      <c r="B1931" s="1" t="s">
        <v>3106</v>
      </c>
      <c r="C1931" s="1" t="s">
        <v>60</v>
      </c>
      <c r="D1931" s="1" t="s">
        <v>26</v>
      </c>
      <c r="E1931" s="1" t="s">
        <v>44</v>
      </c>
      <c r="F1931">
        <v>1</v>
      </c>
      <c r="G1931" s="2">
        <v>46098</v>
      </c>
      <c r="H1931" s="2">
        <v>46117</v>
      </c>
      <c r="I1931">
        <v>4743.12</v>
      </c>
      <c r="J1931">
        <v>1815.19</v>
      </c>
      <c r="K1931">
        <v>1633.67</v>
      </c>
      <c r="L1931">
        <v>181.52</v>
      </c>
      <c r="M1931" s="1" t="s">
        <v>21</v>
      </c>
      <c r="N1931" s="1" t="s">
        <v>22</v>
      </c>
      <c r="O1931" s="2">
        <v>46140</v>
      </c>
      <c r="P1931" s="2">
        <v>46140</v>
      </c>
      <c r="Q1931">
        <f>_xlfn.XLOOKUP(E1931,CPT!$A$2:$A$13,CPT!$D$2:$D$13)</f>
        <v>4800</v>
      </c>
      <c r="R1931" s="1">
        <f>_xlfn.XLOOKUP(C1931,Contract!$A$2:$A$9,Contract!$B$2:$B$9)</f>
        <v>0.45</v>
      </c>
      <c r="S1931" s="1">
        <f t="shared" si="120"/>
        <v>2160</v>
      </c>
      <c r="T1931" s="1">
        <f t="shared" si="121"/>
        <v>344.80999999999995</v>
      </c>
      <c r="U1931" s="1" t="str">
        <f t="shared" si="122"/>
        <v>Underpaid</v>
      </c>
      <c r="V1931" s="1" t="str">
        <f>_xlfn.XLOOKUP(C1931,Payers!$A$2:$A$9,Payers!$B$2:$B$9)</f>
        <v>Blue Horizon Commercial</v>
      </c>
      <c r="W1931" s="1" t="str">
        <f t="shared" si="123"/>
        <v>2026-03</v>
      </c>
    </row>
    <row r="1932" spans="1:23">
      <c r="A1932" s="1" t="s">
        <v>3480</v>
      </c>
      <c r="B1932" s="1" t="s">
        <v>2444</v>
      </c>
      <c r="C1932" s="1" t="s">
        <v>79</v>
      </c>
      <c r="D1932" s="1" t="s">
        <v>37</v>
      </c>
      <c r="E1932" s="1" t="s">
        <v>57</v>
      </c>
      <c r="F1932">
        <v>1</v>
      </c>
      <c r="G1932" s="2">
        <v>46161</v>
      </c>
      <c r="H1932" s="2">
        <v>46163</v>
      </c>
      <c r="I1932">
        <v>204.04</v>
      </c>
      <c r="M1932" s="1" t="s">
        <v>69</v>
      </c>
      <c r="N1932" s="1" t="s">
        <v>22</v>
      </c>
      <c r="O1932" s="2"/>
      <c r="P1932" s="2"/>
      <c r="Q1932">
        <f>_xlfn.XLOOKUP(E1932,CPT!$A$2:$A$13,CPT!$D$2:$D$13)</f>
        <v>210</v>
      </c>
      <c r="R1932" s="1">
        <f>_xlfn.XLOOKUP(C1932,Contract!$A$2:$A$9,Contract!$B$2:$B$9)</f>
        <v>1</v>
      </c>
      <c r="S1932" s="1">
        <f t="shared" si="120"/>
        <v>210</v>
      </c>
      <c r="T1932" s="1" t="str">
        <f t="shared" si="121"/>
        <v/>
      </c>
      <c r="U1932" s="1" t="str">
        <f t="shared" si="122"/>
        <v/>
      </c>
      <c r="V1932" s="1" t="str">
        <f>_xlfn.XLOOKUP(C1932,Payers!$A$2:$A$9,Payers!$B$2:$B$9)</f>
        <v>Self-Pay</v>
      </c>
      <c r="W1932" s="1" t="str">
        <f t="shared" si="123"/>
        <v>2026-05</v>
      </c>
    </row>
    <row r="1933" spans="1:23">
      <c r="A1933" s="1" t="s">
        <v>3481</v>
      </c>
      <c r="B1933" s="1" t="s">
        <v>3482</v>
      </c>
      <c r="C1933" s="1" t="s">
        <v>79</v>
      </c>
      <c r="D1933" s="1" t="s">
        <v>19</v>
      </c>
      <c r="E1933" s="1" t="s">
        <v>57</v>
      </c>
      <c r="F1933">
        <v>1</v>
      </c>
      <c r="G1933" s="2">
        <v>46070</v>
      </c>
      <c r="H1933" s="2">
        <v>46080</v>
      </c>
      <c r="I1933">
        <v>206.62</v>
      </c>
      <c r="M1933" s="1" t="s">
        <v>69</v>
      </c>
      <c r="N1933" s="1" t="s">
        <v>22</v>
      </c>
      <c r="O1933" s="2"/>
      <c r="P1933" s="2"/>
      <c r="Q1933">
        <f>_xlfn.XLOOKUP(E1933,CPT!$A$2:$A$13,CPT!$D$2:$D$13)</f>
        <v>210</v>
      </c>
      <c r="R1933" s="1">
        <f>_xlfn.XLOOKUP(C1933,Contract!$A$2:$A$9,Contract!$B$2:$B$9)</f>
        <v>1</v>
      </c>
      <c r="S1933" s="1">
        <f t="shared" si="120"/>
        <v>210</v>
      </c>
      <c r="T1933" s="1" t="str">
        <f t="shared" si="121"/>
        <v/>
      </c>
      <c r="U1933" s="1" t="str">
        <f t="shared" si="122"/>
        <v/>
      </c>
      <c r="V1933" s="1" t="str">
        <f>_xlfn.XLOOKUP(C1933,Payers!$A$2:$A$9,Payers!$B$2:$B$9)</f>
        <v>Self-Pay</v>
      </c>
      <c r="W1933" s="1" t="str">
        <f t="shared" si="123"/>
        <v>2026-02</v>
      </c>
    </row>
    <row r="1934" spans="1:23">
      <c r="A1934" s="1" t="s">
        <v>3483</v>
      </c>
      <c r="B1934" s="1" t="s">
        <v>3484</v>
      </c>
      <c r="C1934" s="1" t="s">
        <v>18</v>
      </c>
      <c r="D1934" s="1" t="s">
        <v>26</v>
      </c>
      <c r="E1934" s="1" t="s">
        <v>88</v>
      </c>
      <c r="F1934">
        <v>1</v>
      </c>
      <c r="G1934" s="2">
        <v>46286</v>
      </c>
      <c r="H1934" s="2">
        <v>46292</v>
      </c>
      <c r="I1934">
        <v>262.77999999999997</v>
      </c>
      <c r="M1934" s="1" t="s">
        <v>69</v>
      </c>
      <c r="N1934" s="1" t="s">
        <v>22</v>
      </c>
      <c r="O1934" s="2"/>
      <c r="P1934" s="2"/>
      <c r="Q1934">
        <f>_xlfn.XLOOKUP(E1934,CPT!$A$2:$A$13,CPT!$D$2:$D$13)</f>
        <v>260</v>
      </c>
      <c r="R1934" s="1">
        <f>_xlfn.XLOOKUP(C1934,Contract!$A$2:$A$9,Contract!$B$2:$B$9)</f>
        <v>0.38</v>
      </c>
      <c r="S1934" s="1">
        <f t="shared" si="120"/>
        <v>98.8</v>
      </c>
      <c r="T1934" s="1" t="str">
        <f t="shared" si="121"/>
        <v/>
      </c>
      <c r="U1934" s="1" t="str">
        <f t="shared" si="122"/>
        <v/>
      </c>
      <c r="V1934" s="1" t="str">
        <f>_xlfn.XLOOKUP(C1934,Payers!$A$2:$A$9,Payers!$B$2:$B$9)</f>
        <v>Sunshine Medicare Advantage</v>
      </c>
      <c r="W1934" s="1" t="str">
        <f t="shared" si="123"/>
        <v>2026-09</v>
      </c>
    </row>
    <row r="1935" spans="1:23">
      <c r="A1935" s="1" t="s">
        <v>3485</v>
      </c>
      <c r="B1935" s="1" t="s">
        <v>3486</v>
      </c>
      <c r="C1935" s="1" t="s">
        <v>79</v>
      </c>
      <c r="D1935" s="1" t="s">
        <v>19</v>
      </c>
      <c r="E1935" s="1" t="s">
        <v>41</v>
      </c>
      <c r="F1935">
        <v>1</v>
      </c>
      <c r="G1935" s="2">
        <v>46069</v>
      </c>
      <c r="H1935" s="2">
        <v>46074</v>
      </c>
      <c r="I1935">
        <v>38.369999999999997</v>
      </c>
      <c r="J1935">
        <v>38.369999999999997</v>
      </c>
      <c r="K1935">
        <v>38.369999999999997</v>
      </c>
      <c r="L1935">
        <v>0</v>
      </c>
      <c r="M1935" s="1" t="s">
        <v>21</v>
      </c>
      <c r="N1935" s="1" t="s">
        <v>22</v>
      </c>
      <c r="O1935" s="2">
        <v>46162</v>
      </c>
      <c r="P1935" s="2">
        <v>46162</v>
      </c>
      <c r="Q1935">
        <f>_xlfn.XLOOKUP(E1935,CPT!$A$2:$A$13,CPT!$D$2:$D$13)</f>
        <v>38</v>
      </c>
      <c r="R1935" s="1">
        <f>_xlfn.XLOOKUP(C1935,Contract!$A$2:$A$9,Contract!$B$2:$B$9)</f>
        <v>1</v>
      </c>
      <c r="S1935" s="1">
        <f t="shared" si="120"/>
        <v>38</v>
      </c>
      <c r="T1935" s="1">
        <f t="shared" si="121"/>
        <v>-0.36999999999999744</v>
      </c>
      <c r="U1935" s="1" t="str">
        <f t="shared" si="122"/>
        <v>OK</v>
      </c>
      <c r="V1935" s="1" t="str">
        <f>_xlfn.XLOOKUP(C1935,Payers!$A$2:$A$9,Payers!$B$2:$B$9)</f>
        <v>Self-Pay</v>
      </c>
      <c r="W1935" s="1" t="str">
        <f t="shared" si="123"/>
        <v>2026-02</v>
      </c>
    </row>
    <row r="1936" spans="1:23">
      <c r="A1936" s="1" t="s">
        <v>3487</v>
      </c>
      <c r="B1936" s="1" t="s">
        <v>1858</v>
      </c>
      <c r="C1936" s="1" t="s">
        <v>60</v>
      </c>
      <c r="D1936" s="1" t="s">
        <v>30</v>
      </c>
      <c r="E1936" s="1" t="s">
        <v>31</v>
      </c>
      <c r="F1936">
        <v>1</v>
      </c>
      <c r="G1936" s="2">
        <v>46264</v>
      </c>
      <c r="H1936" s="2">
        <v>46268</v>
      </c>
      <c r="I1936">
        <v>63.42</v>
      </c>
      <c r="J1936">
        <v>31.65</v>
      </c>
      <c r="K1936">
        <v>31.65</v>
      </c>
      <c r="L1936">
        <v>0</v>
      </c>
      <c r="M1936" s="1" t="s">
        <v>21</v>
      </c>
      <c r="N1936" s="1" t="s">
        <v>22</v>
      </c>
      <c r="O1936" s="2">
        <v>46288</v>
      </c>
      <c r="P1936" s="2">
        <v>46288</v>
      </c>
      <c r="Q1936">
        <f>_xlfn.XLOOKUP(E1936,CPT!$A$2:$A$13,CPT!$D$2:$D$13)</f>
        <v>62</v>
      </c>
      <c r="R1936" s="1">
        <f>_xlfn.XLOOKUP(C1936,Contract!$A$2:$A$9,Contract!$B$2:$B$9)</f>
        <v>0.45</v>
      </c>
      <c r="S1936" s="1">
        <f t="shared" si="120"/>
        <v>27.9</v>
      </c>
      <c r="T1936" s="1">
        <f t="shared" si="121"/>
        <v>-3.75</v>
      </c>
      <c r="U1936" s="1" t="str">
        <f t="shared" si="122"/>
        <v>OK</v>
      </c>
      <c r="V1936" s="1" t="str">
        <f>_xlfn.XLOOKUP(C1936,Payers!$A$2:$A$9,Payers!$B$2:$B$9)</f>
        <v>Blue Horizon Commercial</v>
      </c>
      <c r="W1936" s="1" t="str">
        <f t="shared" si="123"/>
        <v>2026-08</v>
      </c>
    </row>
    <row r="1937" spans="1:23">
      <c r="A1937" s="1" t="s">
        <v>3488</v>
      </c>
      <c r="B1937" s="1" t="s">
        <v>3489</v>
      </c>
      <c r="C1937" s="1" t="s">
        <v>52</v>
      </c>
      <c r="D1937" s="1" t="s">
        <v>37</v>
      </c>
      <c r="E1937" s="1" t="s">
        <v>38</v>
      </c>
      <c r="F1937">
        <v>10</v>
      </c>
      <c r="G1937" s="2">
        <v>46237</v>
      </c>
      <c r="H1937" s="2">
        <v>46239</v>
      </c>
      <c r="I1937">
        <v>14423.67</v>
      </c>
      <c r="J1937">
        <v>5856.66</v>
      </c>
      <c r="K1937">
        <v>5856.66</v>
      </c>
      <c r="L1937">
        <v>0</v>
      </c>
      <c r="M1937" s="1" t="s">
        <v>21</v>
      </c>
      <c r="N1937" s="1" t="s">
        <v>22</v>
      </c>
      <c r="O1937" s="2">
        <v>46283</v>
      </c>
      <c r="P1937" s="2">
        <v>46283</v>
      </c>
      <c r="Q1937">
        <f>_xlfn.XLOOKUP(E1937,CPT!$A$2:$A$13,CPT!$D$2:$D$13)</f>
        <v>1450</v>
      </c>
      <c r="R1937" s="1">
        <f>_xlfn.XLOOKUP(C1937,Contract!$A$2:$A$9,Contract!$B$2:$B$9)</f>
        <v>0.47</v>
      </c>
      <c r="S1937" s="1">
        <f t="shared" si="120"/>
        <v>6815</v>
      </c>
      <c r="T1937" s="1">
        <f t="shared" si="121"/>
        <v>958.34000000000015</v>
      </c>
      <c r="U1937" s="1" t="str">
        <f t="shared" si="122"/>
        <v>Underpaid</v>
      </c>
      <c r="V1937" s="1" t="str">
        <f>_xlfn.XLOOKUP(C1937,Payers!$A$2:$A$9,Payers!$B$2:$B$9)</f>
        <v>Keystone Commercial PPO</v>
      </c>
      <c r="W1937" s="1" t="str">
        <f t="shared" si="123"/>
        <v>2026-08</v>
      </c>
    </row>
    <row r="1938" spans="1:23">
      <c r="A1938" s="1" t="s">
        <v>3490</v>
      </c>
      <c r="B1938" s="1" t="s">
        <v>635</v>
      </c>
      <c r="C1938" s="1" t="s">
        <v>52</v>
      </c>
      <c r="D1938" s="1" t="s">
        <v>19</v>
      </c>
      <c r="E1938" s="1" t="s">
        <v>20</v>
      </c>
      <c r="F1938">
        <v>1</v>
      </c>
      <c r="G1938" s="2">
        <v>45964</v>
      </c>
      <c r="H1938" s="2">
        <v>45967</v>
      </c>
      <c r="I1938">
        <v>144.6</v>
      </c>
      <c r="J1938">
        <v>70.459999999999994</v>
      </c>
      <c r="K1938">
        <v>63.41</v>
      </c>
      <c r="L1938">
        <v>7.05</v>
      </c>
      <c r="M1938" s="1" t="s">
        <v>21</v>
      </c>
      <c r="N1938" s="1" t="s">
        <v>22</v>
      </c>
      <c r="O1938" s="2">
        <v>46004</v>
      </c>
      <c r="P1938" s="2">
        <v>46004</v>
      </c>
      <c r="Q1938">
        <f>_xlfn.XLOOKUP(E1938,CPT!$A$2:$A$13,CPT!$D$2:$D$13)</f>
        <v>145</v>
      </c>
      <c r="R1938" s="1">
        <f>_xlfn.XLOOKUP(C1938,Contract!$A$2:$A$9,Contract!$B$2:$B$9)</f>
        <v>0.47</v>
      </c>
      <c r="S1938" s="1">
        <f t="shared" si="120"/>
        <v>68.150000000000006</v>
      </c>
      <c r="T1938" s="1">
        <f t="shared" si="121"/>
        <v>-2.3099999999999881</v>
      </c>
      <c r="U1938" s="1" t="str">
        <f t="shared" si="122"/>
        <v>OK</v>
      </c>
      <c r="V1938" s="1" t="str">
        <f>_xlfn.XLOOKUP(C1938,Payers!$A$2:$A$9,Payers!$B$2:$B$9)</f>
        <v>Keystone Commercial PPO</v>
      </c>
      <c r="W1938" s="1" t="str">
        <f t="shared" si="123"/>
        <v>2025-11</v>
      </c>
    </row>
    <row r="1939" spans="1:23">
      <c r="A1939" s="1" t="s">
        <v>3491</v>
      </c>
      <c r="B1939" s="1" t="s">
        <v>3492</v>
      </c>
      <c r="C1939" s="1" t="s">
        <v>76</v>
      </c>
      <c r="D1939" s="1" t="s">
        <v>26</v>
      </c>
      <c r="E1939" s="1" t="s">
        <v>27</v>
      </c>
      <c r="F1939">
        <v>1</v>
      </c>
      <c r="G1939" s="2">
        <v>45946</v>
      </c>
      <c r="H1939" s="2">
        <v>45947</v>
      </c>
      <c r="I1939">
        <v>242.31</v>
      </c>
      <c r="J1939">
        <v>103.83</v>
      </c>
      <c r="K1939">
        <v>93.45</v>
      </c>
      <c r="L1939">
        <v>10.38</v>
      </c>
      <c r="M1939" s="1" t="s">
        <v>21</v>
      </c>
      <c r="N1939" s="1" t="s">
        <v>22</v>
      </c>
      <c r="O1939" s="2">
        <v>45982</v>
      </c>
      <c r="P1939" s="2">
        <v>45982</v>
      </c>
      <c r="Q1939">
        <f>_xlfn.XLOOKUP(E1939,CPT!$A$2:$A$13,CPT!$D$2:$D$13)</f>
        <v>240</v>
      </c>
      <c r="R1939" s="1">
        <f>_xlfn.XLOOKUP(C1939,Contract!$A$2:$A$9,Contract!$B$2:$B$9)</f>
        <v>0.43</v>
      </c>
      <c r="S1939" s="1">
        <f t="shared" si="120"/>
        <v>103.2</v>
      </c>
      <c r="T1939" s="1">
        <f t="shared" si="121"/>
        <v>-0.62999999999999545</v>
      </c>
      <c r="U1939" s="1" t="str">
        <f t="shared" si="122"/>
        <v>OK</v>
      </c>
      <c r="V1939" s="1" t="str">
        <f>_xlfn.XLOOKUP(C1939,Payers!$A$2:$A$9,Payers!$B$2:$B$9)</f>
        <v>Summit Health Commercial</v>
      </c>
      <c r="W1939" s="1" t="str">
        <f t="shared" si="123"/>
        <v>2025-10</v>
      </c>
    </row>
    <row r="1940" spans="1:23">
      <c r="A1940" s="1" t="s">
        <v>3493</v>
      </c>
      <c r="B1940" s="1" t="s">
        <v>857</v>
      </c>
      <c r="C1940" s="1" t="s">
        <v>52</v>
      </c>
      <c r="D1940" s="1" t="s">
        <v>26</v>
      </c>
      <c r="E1940" s="1" t="s">
        <v>41</v>
      </c>
      <c r="F1940">
        <v>1</v>
      </c>
      <c r="G1940" s="2">
        <v>46072</v>
      </c>
      <c r="H1940" s="2">
        <v>46075</v>
      </c>
      <c r="I1940">
        <v>37.06</v>
      </c>
      <c r="M1940" s="1" t="s">
        <v>32</v>
      </c>
      <c r="N1940" s="1" t="s">
        <v>49</v>
      </c>
      <c r="O1940" s="2">
        <v>46114</v>
      </c>
      <c r="P1940" s="2"/>
      <c r="Q1940">
        <f>_xlfn.XLOOKUP(E1940,CPT!$A$2:$A$13,CPT!$D$2:$D$13)</f>
        <v>38</v>
      </c>
      <c r="R1940" s="1">
        <f>_xlfn.XLOOKUP(C1940,Contract!$A$2:$A$9,Contract!$B$2:$B$9)</f>
        <v>0.47</v>
      </c>
      <c r="S1940" s="1">
        <f t="shared" si="120"/>
        <v>17.86</v>
      </c>
      <c r="T1940" s="1" t="str">
        <f t="shared" si="121"/>
        <v/>
      </c>
      <c r="U1940" s="1" t="str">
        <f t="shared" si="122"/>
        <v/>
      </c>
      <c r="V1940" s="1" t="str">
        <f>_xlfn.XLOOKUP(C1940,Payers!$A$2:$A$9,Payers!$B$2:$B$9)</f>
        <v>Keystone Commercial PPO</v>
      </c>
      <c r="W1940" s="1" t="str">
        <f t="shared" si="123"/>
        <v>2026-02</v>
      </c>
    </row>
    <row r="1941" spans="1:23">
      <c r="A1941" s="1" t="s">
        <v>3494</v>
      </c>
      <c r="B1941" s="1" t="s">
        <v>3495</v>
      </c>
      <c r="C1941" s="1" t="s">
        <v>76</v>
      </c>
      <c r="D1941" s="1" t="s">
        <v>26</v>
      </c>
      <c r="E1941" s="1" t="s">
        <v>113</v>
      </c>
      <c r="F1941">
        <v>1</v>
      </c>
      <c r="G1941" s="2">
        <v>45998</v>
      </c>
      <c r="H1941" s="2">
        <v>45999</v>
      </c>
      <c r="I1941">
        <v>1019.48</v>
      </c>
      <c r="M1941" s="1" t="s">
        <v>32</v>
      </c>
      <c r="N1941" s="1" t="s">
        <v>315</v>
      </c>
      <c r="O1941" s="2">
        <v>46011</v>
      </c>
      <c r="P1941" s="2"/>
      <c r="Q1941">
        <f>_xlfn.XLOOKUP(E1941,CPT!$A$2:$A$13,CPT!$D$2:$D$13)</f>
        <v>1050</v>
      </c>
      <c r="R1941" s="1">
        <f>_xlfn.XLOOKUP(C1941,Contract!$A$2:$A$9,Contract!$B$2:$B$9)</f>
        <v>0.43</v>
      </c>
      <c r="S1941" s="1">
        <f t="shared" si="120"/>
        <v>451.5</v>
      </c>
      <c r="T1941" s="1" t="str">
        <f t="shared" si="121"/>
        <v/>
      </c>
      <c r="U1941" s="1" t="str">
        <f t="shared" si="122"/>
        <v/>
      </c>
      <c r="V1941" s="1" t="str">
        <f>_xlfn.XLOOKUP(C1941,Payers!$A$2:$A$9,Payers!$B$2:$B$9)</f>
        <v>Summit Health Commercial</v>
      </c>
      <c r="W1941" s="1" t="str">
        <f t="shared" si="123"/>
        <v>2025-12</v>
      </c>
    </row>
    <row r="1942" spans="1:23">
      <c r="A1942" s="1" t="s">
        <v>3496</v>
      </c>
      <c r="B1942" s="1" t="s">
        <v>3497</v>
      </c>
      <c r="C1942" s="1" t="s">
        <v>60</v>
      </c>
      <c r="D1942" s="1" t="s">
        <v>26</v>
      </c>
      <c r="E1942" s="1" t="s">
        <v>185</v>
      </c>
      <c r="F1942">
        <v>1</v>
      </c>
      <c r="G1942" s="2">
        <v>46235</v>
      </c>
      <c r="H1942" s="2">
        <v>46240</v>
      </c>
      <c r="I1942">
        <v>1141.82</v>
      </c>
      <c r="J1942">
        <v>487.28</v>
      </c>
      <c r="K1942">
        <v>389.82</v>
      </c>
      <c r="L1942">
        <v>97.46</v>
      </c>
      <c r="M1942" s="1" t="s">
        <v>21</v>
      </c>
      <c r="N1942" s="1" t="s">
        <v>22</v>
      </c>
      <c r="O1942" s="2">
        <v>46252</v>
      </c>
      <c r="P1942" s="2">
        <v>46252</v>
      </c>
      <c r="Q1942">
        <f>_xlfn.XLOOKUP(E1942,CPT!$A$2:$A$13,CPT!$D$2:$D$13)</f>
        <v>1150</v>
      </c>
      <c r="R1942" s="1">
        <f>_xlfn.XLOOKUP(C1942,Contract!$A$2:$A$9,Contract!$B$2:$B$9)</f>
        <v>0.45</v>
      </c>
      <c r="S1942" s="1">
        <f t="shared" si="120"/>
        <v>517.5</v>
      </c>
      <c r="T1942" s="1">
        <f t="shared" si="121"/>
        <v>30.220000000000027</v>
      </c>
      <c r="U1942" s="1" t="str">
        <f t="shared" si="122"/>
        <v>Underpaid</v>
      </c>
      <c r="V1942" s="1" t="str">
        <f>_xlfn.XLOOKUP(C1942,Payers!$A$2:$A$9,Payers!$B$2:$B$9)</f>
        <v>Blue Horizon Commercial</v>
      </c>
      <c r="W1942" s="1" t="str">
        <f t="shared" si="123"/>
        <v>2026-08</v>
      </c>
    </row>
    <row r="1943" spans="1:23">
      <c r="A1943" s="1" t="s">
        <v>3498</v>
      </c>
      <c r="B1943" s="1" t="s">
        <v>1851</v>
      </c>
      <c r="C1943" s="1" t="s">
        <v>18</v>
      </c>
      <c r="D1943" s="1" t="s">
        <v>26</v>
      </c>
      <c r="E1943" s="1" t="s">
        <v>88</v>
      </c>
      <c r="F1943">
        <v>1</v>
      </c>
      <c r="G1943" s="2">
        <v>46082</v>
      </c>
      <c r="H1943" s="2">
        <v>46093</v>
      </c>
      <c r="I1943">
        <v>264.83999999999997</v>
      </c>
      <c r="M1943" s="1" t="s">
        <v>32</v>
      </c>
      <c r="N1943" s="1" t="s">
        <v>33</v>
      </c>
      <c r="O1943" s="2">
        <v>46141</v>
      </c>
      <c r="P1943" s="2"/>
      <c r="Q1943">
        <f>_xlfn.XLOOKUP(E1943,CPT!$A$2:$A$13,CPT!$D$2:$D$13)</f>
        <v>260</v>
      </c>
      <c r="R1943" s="1">
        <f>_xlfn.XLOOKUP(C1943,Contract!$A$2:$A$9,Contract!$B$2:$B$9)</f>
        <v>0.38</v>
      </c>
      <c r="S1943" s="1">
        <f t="shared" si="120"/>
        <v>98.8</v>
      </c>
      <c r="T1943" s="1" t="str">
        <f t="shared" si="121"/>
        <v/>
      </c>
      <c r="U1943" s="1" t="str">
        <f t="shared" si="122"/>
        <v/>
      </c>
      <c r="V1943" s="1" t="str">
        <f>_xlfn.XLOOKUP(C1943,Payers!$A$2:$A$9,Payers!$B$2:$B$9)</f>
        <v>Sunshine Medicare Advantage</v>
      </c>
      <c r="W1943" s="1" t="str">
        <f t="shared" si="123"/>
        <v>2026-03</v>
      </c>
    </row>
    <row r="1944" spans="1:23">
      <c r="A1944" s="1" t="s">
        <v>3499</v>
      </c>
      <c r="B1944" s="1" t="s">
        <v>1004</v>
      </c>
      <c r="C1944" s="1" t="s">
        <v>76</v>
      </c>
      <c r="D1944" s="1" t="s">
        <v>30</v>
      </c>
      <c r="E1944" s="1" t="s">
        <v>91</v>
      </c>
      <c r="F1944">
        <v>1</v>
      </c>
      <c r="G1944" s="2">
        <v>45935</v>
      </c>
      <c r="H1944" s="2">
        <v>45937</v>
      </c>
      <c r="I1944">
        <v>58.18</v>
      </c>
      <c r="J1944">
        <v>28.17</v>
      </c>
      <c r="K1944">
        <v>22.54</v>
      </c>
      <c r="L1944">
        <v>5.63</v>
      </c>
      <c r="M1944" s="1" t="s">
        <v>21</v>
      </c>
      <c r="N1944" s="1" t="s">
        <v>22</v>
      </c>
      <c r="O1944" s="2">
        <v>45981</v>
      </c>
      <c r="P1944" s="2">
        <v>45981</v>
      </c>
      <c r="Q1944">
        <f>_xlfn.XLOOKUP(E1944,CPT!$A$2:$A$13,CPT!$D$2:$D$13)</f>
        <v>58</v>
      </c>
      <c r="R1944" s="1">
        <f>_xlfn.XLOOKUP(C1944,Contract!$A$2:$A$9,Contract!$B$2:$B$9)</f>
        <v>0.43</v>
      </c>
      <c r="S1944" s="1">
        <f t="shared" si="120"/>
        <v>24.94</v>
      </c>
      <c r="T1944" s="1">
        <f t="shared" si="121"/>
        <v>-3.2300000000000004</v>
      </c>
      <c r="U1944" s="1" t="str">
        <f t="shared" si="122"/>
        <v>OK</v>
      </c>
      <c r="V1944" s="1" t="str">
        <f>_xlfn.XLOOKUP(C1944,Payers!$A$2:$A$9,Payers!$B$2:$B$9)</f>
        <v>Summit Health Commercial</v>
      </c>
      <c r="W1944" s="1" t="str">
        <f t="shared" si="123"/>
        <v>2025-10</v>
      </c>
    </row>
    <row r="1945" spans="1:23">
      <c r="A1945" s="1" t="s">
        <v>3500</v>
      </c>
      <c r="B1945" s="1" t="s">
        <v>3501</v>
      </c>
      <c r="C1945" s="1" t="s">
        <v>76</v>
      </c>
      <c r="D1945" s="1" t="s">
        <v>26</v>
      </c>
      <c r="E1945" s="1" t="s">
        <v>44</v>
      </c>
      <c r="F1945">
        <v>1</v>
      </c>
      <c r="G1945" s="2">
        <v>46123</v>
      </c>
      <c r="H1945" s="2">
        <v>46131</v>
      </c>
      <c r="I1945">
        <v>4747.6499999999996</v>
      </c>
      <c r="J1945">
        <v>1908.6</v>
      </c>
      <c r="K1945">
        <v>1717.74</v>
      </c>
      <c r="L1945">
        <v>190.86</v>
      </c>
      <c r="M1945" s="1" t="s">
        <v>21</v>
      </c>
      <c r="N1945" s="1" t="s">
        <v>22</v>
      </c>
      <c r="O1945" s="2">
        <v>46167</v>
      </c>
      <c r="P1945" s="2">
        <v>46167</v>
      </c>
      <c r="Q1945">
        <f>_xlfn.XLOOKUP(E1945,CPT!$A$2:$A$13,CPT!$D$2:$D$13)</f>
        <v>4800</v>
      </c>
      <c r="R1945" s="1">
        <f>_xlfn.XLOOKUP(C1945,Contract!$A$2:$A$9,Contract!$B$2:$B$9)</f>
        <v>0.43</v>
      </c>
      <c r="S1945" s="1">
        <f t="shared" si="120"/>
        <v>2064</v>
      </c>
      <c r="T1945" s="1">
        <f t="shared" si="121"/>
        <v>155.40000000000009</v>
      </c>
      <c r="U1945" s="1" t="str">
        <f t="shared" si="122"/>
        <v>Underpaid</v>
      </c>
      <c r="V1945" s="1" t="str">
        <f>_xlfn.XLOOKUP(C1945,Payers!$A$2:$A$9,Payers!$B$2:$B$9)</f>
        <v>Summit Health Commercial</v>
      </c>
      <c r="W1945" s="1" t="str">
        <f t="shared" si="123"/>
        <v>2026-04</v>
      </c>
    </row>
    <row r="1946" spans="1:23">
      <c r="A1946" s="1" t="s">
        <v>3502</v>
      </c>
      <c r="B1946" s="1" t="s">
        <v>3503</v>
      </c>
      <c r="C1946" s="1" t="s">
        <v>52</v>
      </c>
      <c r="D1946" s="1" t="s">
        <v>26</v>
      </c>
      <c r="E1946" s="1" t="s">
        <v>44</v>
      </c>
      <c r="F1946">
        <v>1</v>
      </c>
      <c r="G1946" s="2">
        <v>46187</v>
      </c>
      <c r="H1946" s="2">
        <v>46192</v>
      </c>
      <c r="I1946">
        <v>4873.12</v>
      </c>
      <c r="J1946">
        <v>2510.13</v>
      </c>
      <c r="K1946">
        <v>2510.13</v>
      </c>
      <c r="L1946">
        <v>0</v>
      </c>
      <c r="M1946" s="1" t="s">
        <v>21</v>
      </c>
      <c r="N1946" s="1" t="s">
        <v>22</v>
      </c>
      <c r="O1946" s="2">
        <v>46238</v>
      </c>
      <c r="P1946" s="2">
        <v>46238</v>
      </c>
      <c r="Q1946">
        <f>_xlfn.XLOOKUP(E1946,CPT!$A$2:$A$13,CPT!$D$2:$D$13)</f>
        <v>4800</v>
      </c>
      <c r="R1946" s="1">
        <f>_xlfn.XLOOKUP(C1946,Contract!$A$2:$A$9,Contract!$B$2:$B$9)</f>
        <v>0.47</v>
      </c>
      <c r="S1946" s="1">
        <f t="shared" si="120"/>
        <v>2256</v>
      </c>
      <c r="T1946" s="1">
        <f t="shared" si="121"/>
        <v>-254.13000000000011</v>
      </c>
      <c r="U1946" s="1" t="str">
        <f t="shared" si="122"/>
        <v>OK</v>
      </c>
      <c r="V1946" s="1" t="str">
        <f>_xlfn.XLOOKUP(C1946,Payers!$A$2:$A$9,Payers!$B$2:$B$9)</f>
        <v>Keystone Commercial PPO</v>
      </c>
      <c r="W1946" s="1" t="str">
        <f t="shared" si="123"/>
        <v>2026-06</v>
      </c>
    </row>
    <row r="1947" spans="1:23">
      <c r="A1947" s="1" t="s">
        <v>3504</v>
      </c>
      <c r="B1947" s="1" t="s">
        <v>3505</v>
      </c>
      <c r="C1947" s="1" t="s">
        <v>76</v>
      </c>
      <c r="D1947" s="1" t="s">
        <v>30</v>
      </c>
      <c r="E1947" s="1" t="s">
        <v>20</v>
      </c>
      <c r="F1947">
        <v>1</v>
      </c>
      <c r="G1947" s="2">
        <v>46192</v>
      </c>
      <c r="H1947" s="2">
        <v>46193</v>
      </c>
      <c r="I1947">
        <v>145.41</v>
      </c>
      <c r="J1947">
        <v>71.8</v>
      </c>
      <c r="K1947">
        <v>71.8</v>
      </c>
      <c r="L1947">
        <v>0</v>
      </c>
      <c r="M1947" s="1" t="s">
        <v>21</v>
      </c>
      <c r="N1947" s="1" t="s">
        <v>22</v>
      </c>
      <c r="O1947" s="2">
        <v>46217</v>
      </c>
      <c r="P1947" s="2">
        <v>46217</v>
      </c>
      <c r="Q1947">
        <f>_xlfn.XLOOKUP(E1947,CPT!$A$2:$A$13,CPT!$D$2:$D$13)</f>
        <v>145</v>
      </c>
      <c r="R1947" s="1">
        <f>_xlfn.XLOOKUP(C1947,Contract!$A$2:$A$9,Contract!$B$2:$B$9)</f>
        <v>0.43</v>
      </c>
      <c r="S1947" s="1">
        <f t="shared" si="120"/>
        <v>62.35</v>
      </c>
      <c r="T1947" s="1">
        <f t="shared" si="121"/>
        <v>-9.4499999999999957</v>
      </c>
      <c r="U1947" s="1" t="str">
        <f t="shared" si="122"/>
        <v>OK</v>
      </c>
      <c r="V1947" s="1" t="str">
        <f>_xlfn.XLOOKUP(C1947,Payers!$A$2:$A$9,Payers!$B$2:$B$9)</f>
        <v>Summit Health Commercial</v>
      </c>
      <c r="W1947" s="1" t="str">
        <f t="shared" si="123"/>
        <v>2026-06</v>
      </c>
    </row>
    <row r="1948" spans="1:23">
      <c r="A1948" s="1" t="s">
        <v>3506</v>
      </c>
      <c r="B1948" s="1" t="s">
        <v>2626</v>
      </c>
      <c r="C1948" s="1" t="s">
        <v>76</v>
      </c>
      <c r="D1948" s="1" t="s">
        <v>19</v>
      </c>
      <c r="E1948" s="1" t="s">
        <v>41</v>
      </c>
      <c r="F1948">
        <v>1</v>
      </c>
      <c r="G1948" s="2">
        <v>46032</v>
      </c>
      <c r="H1948" s="2">
        <v>46034</v>
      </c>
      <c r="I1948">
        <v>39.049999999999997</v>
      </c>
      <c r="M1948" s="1" t="s">
        <v>32</v>
      </c>
      <c r="N1948" s="1" t="s">
        <v>124</v>
      </c>
      <c r="O1948" s="2">
        <v>46070</v>
      </c>
      <c r="P1948" s="2"/>
      <c r="Q1948">
        <f>_xlfn.XLOOKUP(E1948,CPT!$A$2:$A$13,CPT!$D$2:$D$13)</f>
        <v>38</v>
      </c>
      <c r="R1948" s="1">
        <f>_xlfn.XLOOKUP(C1948,Contract!$A$2:$A$9,Contract!$B$2:$B$9)</f>
        <v>0.43</v>
      </c>
      <c r="S1948" s="1">
        <f t="shared" si="120"/>
        <v>16.34</v>
      </c>
      <c r="T1948" s="1" t="str">
        <f t="shared" si="121"/>
        <v/>
      </c>
      <c r="U1948" s="1" t="str">
        <f t="shared" si="122"/>
        <v/>
      </c>
      <c r="V1948" s="1" t="str">
        <f>_xlfn.XLOOKUP(C1948,Payers!$A$2:$A$9,Payers!$B$2:$B$9)</f>
        <v>Summit Health Commercial</v>
      </c>
      <c r="W1948" s="1" t="str">
        <f t="shared" si="123"/>
        <v>2026-01</v>
      </c>
    </row>
    <row r="1949" spans="1:23">
      <c r="A1949" s="1" t="s">
        <v>3507</v>
      </c>
      <c r="B1949" s="1" t="s">
        <v>2255</v>
      </c>
      <c r="C1949" s="1" t="s">
        <v>52</v>
      </c>
      <c r="D1949" s="1" t="s">
        <v>26</v>
      </c>
      <c r="E1949" s="1" t="s">
        <v>44</v>
      </c>
      <c r="F1949">
        <v>1</v>
      </c>
      <c r="G1949" s="2">
        <v>46272</v>
      </c>
      <c r="H1949" s="2">
        <v>46273</v>
      </c>
      <c r="I1949">
        <v>4916.66</v>
      </c>
      <c r="M1949" s="1" t="s">
        <v>32</v>
      </c>
      <c r="N1949" s="1" t="s">
        <v>315</v>
      </c>
      <c r="O1949" s="2">
        <v>46282</v>
      </c>
      <c r="P1949" s="2"/>
      <c r="Q1949">
        <f>_xlfn.XLOOKUP(E1949,CPT!$A$2:$A$13,CPT!$D$2:$D$13)</f>
        <v>4800</v>
      </c>
      <c r="R1949" s="1">
        <f>_xlfn.XLOOKUP(C1949,Contract!$A$2:$A$9,Contract!$B$2:$B$9)</f>
        <v>0.47</v>
      </c>
      <c r="S1949" s="1">
        <f t="shared" si="120"/>
        <v>2256</v>
      </c>
      <c r="T1949" s="1" t="str">
        <f t="shared" si="121"/>
        <v/>
      </c>
      <c r="U1949" s="1" t="str">
        <f t="shared" si="122"/>
        <v/>
      </c>
      <c r="V1949" s="1" t="str">
        <f>_xlfn.XLOOKUP(C1949,Payers!$A$2:$A$9,Payers!$B$2:$B$9)</f>
        <v>Keystone Commercial PPO</v>
      </c>
      <c r="W1949" s="1" t="str">
        <f t="shared" si="123"/>
        <v>2026-09</v>
      </c>
    </row>
    <row r="1950" spans="1:23">
      <c r="A1950" s="1" t="s">
        <v>3508</v>
      </c>
      <c r="B1950" s="1" t="s">
        <v>449</v>
      </c>
      <c r="C1950" s="1" t="s">
        <v>60</v>
      </c>
      <c r="D1950" s="1" t="s">
        <v>19</v>
      </c>
      <c r="E1950" s="1" t="s">
        <v>57</v>
      </c>
      <c r="F1950">
        <v>1</v>
      </c>
      <c r="G1950" s="2">
        <v>46144</v>
      </c>
      <c r="H1950" s="2">
        <v>46158</v>
      </c>
      <c r="I1950">
        <v>208.72</v>
      </c>
      <c r="J1950">
        <v>95.95</v>
      </c>
      <c r="K1950">
        <v>86.35</v>
      </c>
      <c r="L1950">
        <v>9.6</v>
      </c>
      <c r="M1950" s="1" t="s">
        <v>21</v>
      </c>
      <c r="N1950" s="1" t="s">
        <v>22</v>
      </c>
      <c r="O1950" s="2">
        <v>46181</v>
      </c>
      <c r="P1950" s="2">
        <v>46181</v>
      </c>
      <c r="Q1950">
        <f>_xlfn.XLOOKUP(E1950,CPT!$A$2:$A$13,CPT!$D$2:$D$13)</f>
        <v>210</v>
      </c>
      <c r="R1950" s="1">
        <f>_xlfn.XLOOKUP(C1950,Contract!$A$2:$A$9,Contract!$B$2:$B$9)</f>
        <v>0.45</v>
      </c>
      <c r="S1950" s="1">
        <f t="shared" si="120"/>
        <v>94.5</v>
      </c>
      <c r="T1950" s="1">
        <f t="shared" si="121"/>
        <v>-1.4500000000000028</v>
      </c>
      <c r="U1950" s="1" t="str">
        <f t="shared" si="122"/>
        <v>OK</v>
      </c>
      <c r="V1950" s="1" t="str">
        <f>_xlfn.XLOOKUP(C1950,Payers!$A$2:$A$9,Payers!$B$2:$B$9)</f>
        <v>Blue Horizon Commercial</v>
      </c>
      <c r="W1950" s="1" t="str">
        <f t="shared" si="123"/>
        <v>2026-05</v>
      </c>
    </row>
    <row r="1951" spans="1:23">
      <c r="A1951" s="1" t="s">
        <v>3509</v>
      </c>
      <c r="B1951" s="1" t="s">
        <v>3467</v>
      </c>
      <c r="C1951" s="1" t="s">
        <v>25</v>
      </c>
      <c r="D1951" s="1" t="s">
        <v>19</v>
      </c>
      <c r="E1951" s="1" t="s">
        <v>57</v>
      </c>
      <c r="F1951">
        <v>1</v>
      </c>
      <c r="G1951" s="2">
        <v>46239</v>
      </c>
      <c r="H1951" s="2">
        <v>46245</v>
      </c>
      <c r="I1951">
        <v>213.67</v>
      </c>
      <c r="J1951">
        <v>72.63</v>
      </c>
      <c r="K1951">
        <v>58.1</v>
      </c>
      <c r="L1951">
        <v>14.53</v>
      </c>
      <c r="M1951" s="1" t="s">
        <v>21</v>
      </c>
      <c r="N1951" s="1" t="s">
        <v>22</v>
      </c>
      <c r="O1951" s="2">
        <v>46264</v>
      </c>
      <c r="P1951" s="2">
        <v>46264</v>
      </c>
      <c r="Q1951">
        <f>_xlfn.XLOOKUP(E1951,CPT!$A$2:$A$13,CPT!$D$2:$D$13)</f>
        <v>210</v>
      </c>
      <c r="R1951" s="1">
        <f>_xlfn.XLOOKUP(C1951,Contract!$A$2:$A$9,Contract!$B$2:$B$9)</f>
        <v>0.36</v>
      </c>
      <c r="S1951" s="1">
        <f t="shared" si="120"/>
        <v>75.599999999999994</v>
      </c>
      <c r="T1951" s="1">
        <f t="shared" si="121"/>
        <v>2.9699999999999989</v>
      </c>
      <c r="U1951" s="1" t="str">
        <f t="shared" si="122"/>
        <v>OK</v>
      </c>
      <c r="V1951" s="1" t="str">
        <f>_xlfn.XLOOKUP(C1951,Payers!$A$2:$A$9,Payers!$B$2:$B$9)</f>
        <v>Medicare Part B</v>
      </c>
      <c r="W1951" s="1" t="str">
        <f t="shared" si="123"/>
        <v>2026-08</v>
      </c>
    </row>
    <row r="1952" spans="1:23">
      <c r="A1952" s="1" t="s">
        <v>3510</v>
      </c>
      <c r="B1952" s="1" t="s">
        <v>951</v>
      </c>
      <c r="C1952" s="1" t="s">
        <v>18</v>
      </c>
      <c r="D1952" s="1" t="s">
        <v>19</v>
      </c>
      <c r="E1952" s="1" t="s">
        <v>41</v>
      </c>
      <c r="F1952">
        <v>1</v>
      </c>
      <c r="G1952" s="2">
        <v>46161</v>
      </c>
      <c r="H1952" s="2">
        <v>46163</v>
      </c>
      <c r="I1952">
        <v>38.25</v>
      </c>
      <c r="J1952">
        <v>12.41</v>
      </c>
      <c r="K1952">
        <v>12.41</v>
      </c>
      <c r="L1952">
        <v>0</v>
      </c>
      <c r="M1952" s="1" t="s">
        <v>21</v>
      </c>
      <c r="N1952" s="1" t="s">
        <v>22</v>
      </c>
      <c r="O1952" s="2">
        <v>46223</v>
      </c>
      <c r="P1952" s="2">
        <v>46223</v>
      </c>
      <c r="Q1952">
        <f>_xlfn.XLOOKUP(E1952,CPT!$A$2:$A$13,CPT!$D$2:$D$13)</f>
        <v>38</v>
      </c>
      <c r="R1952" s="1">
        <f>_xlfn.XLOOKUP(C1952,Contract!$A$2:$A$9,Contract!$B$2:$B$9)</f>
        <v>0.38</v>
      </c>
      <c r="S1952" s="1">
        <f t="shared" si="120"/>
        <v>14.44</v>
      </c>
      <c r="T1952" s="1">
        <f t="shared" si="121"/>
        <v>2.0299999999999994</v>
      </c>
      <c r="U1952" s="1" t="str">
        <f t="shared" si="122"/>
        <v>Underpaid</v>
      </c>
      <c r="V1952" s="1" t="str">
        <f>_xlfn.XLOOKUP(C1952,Payers!$A$2:$A$9,Payers!$B$2:$B$9)</f>
        <v>Sunshine Medicare Advantage</v>
      </c>
      <c r="W1952" s="1" t="str">
        <f t="shared" si="123"/>
        <v>2026-05</v>
      </c>
    </row>
    <row r="1953" spans="1:23">
      <c r="A1953" s="1" t="s">
        <v>3511</v>
      </c>
      <c r="B1953" s="1" t="s">
        <v>3512</v>
      </c>
      <c r="C1953" s="1" t="s">
        <v>47</v>
      </c>
      <c r="D1953" s="1" t="s">
        <v>19</v>
      </c>
      <c r="E1953" s="1" t="s">
        <v>88</v>
      </c>
      <c r="F1953">
        <v>1</v>
      </c>
      <c r="G1953" s="2">
        <v>46057</v>
      </c>
      <c r="H1953" s="2">
        <v>46058</v>
      </c>
      <c r="I1953">
        <v>253.69</v>
      </c>
      <c r="J1953">
        <v>63.94</v>
      </c>
      <c r="K1953">
        <v>63.94</v>
      </c>
      <c r="L1953">
        <v>0</v>
      </c>
      <c r="M1953" s="1" t="s">
        <v>21</v>
      </c>
      <c r="N1953" s="1" t="s">
        <v>22</v>
      </c>
      <c r="O1953" s="2">
        <v>46128</v>
      </c>
      <c r="P1953" s="2">
        <v>46128</v>
      </c>
      <c r="Q1953">
        <f>_xlfn.XLOOKUP(E1953,CPT!$A$2:$A$13,CPT!$D$2:$D$13)</f>
        <v>260</v>
      </c>
      <c r="R1953" s="1">
        <f>_xlfn.XLOOKUP(C1953,Contract!$A$2:$A$9,Contract!$B$2:$B$9)</f>
        <v>0.28000000000000003</v>
      </c>
      <c r="S1953" s="1">
        <f t="shared" si="120"/>
        <v>72.8</v>
      </c>
      <c r="T1953" s="1">
        <f t="shared" si="121"/>
        <v>8.86</v>
      </c>
      <c r="U1953" s="1" t="str">
        <f t="shared" si="122"/>
        <v>Underpaid</v>
      </c>
      <c r="V1953" s="1" t="str">
        <f>_xlfn.XLOOKUP(C1953,Payers!$A$2:$A$9,Payers!$B$2:$B$9)</f>
        <v>Coastal Medicaid MCO</v>
      </c>
      <c r="W1953" s="1" t="str">
        <f t="shared" si="123"/>
        <v>2026-02</v>
      </c>
    </row>
    <row r="1954" spans="1:23">
      <c r="A1954" s="1" t="s">
        <v>3513</v>
      </c>
      <c r="B1954" s="1" t="s">
        <v>3250</v>
      </c>
      <c r="C1954" s="1" t="s">
        <v>60</v>
      </c>
      <c r="D1954" s="1" t="s">
        <v>30</v>
      </c>
      <c r="E1954" s="1" t="s">
        <v>91</v>
      </c>
      <c r="F1954">
        <v>1</v>
      </c>
      <c r="G1954" s="2">
        <v>45933</v>
      </c>
      <c r="H1954" s="2">
        <v>45934</v>
      </c>
      <c r="I1954">
        <v>57.27</v>
      </c>
      <c r="J1954">
        <v>29.22</v>
      </c>
      <c r="K1954">
        <v>29.22</v>
      </c>
      <c r="L1954">
        <v>0</v>
      </c>
      <c r="M1954" s="1" t="s">
        <v>21</v>
      </c>
      <c r="N1954" s="1" t="s">
        <v>22</v>
      </c>
      <c r="O1954" s="2">
        <v>45969</v>
      </c>
      <c r="P1954" s="2">
        <v>45969</v>
      </c>
      <c r="Q1954">
        <f>_xlfn.XLOOKUP(E1954,CPT!$A$2:$A$13,CPT!$D$2:$D$13)</f>
        <v>58</v>
      </c>
      <c r="R1954" s="1">
        <f>_xlfn.XLOOKUP(C1954,Contract!$A$2:$A$9,Contract!$B$2:$B$9)</f>
        <v>0.45</v>
      </c>
      <c r="S1954" s="1">
        <f t="shared" si="120"/>
        <v>26.1</v>
      </c>
      <c r="T1954" s="1">
        <f t="shared" si="121"/>
        <v>-3.1199999999999974</v>
      </c>
      <c r="U1954" s="1" t="str">
        <f t="shared" si="122"/>
        <v>OK</v>
      </c>
      <c r="V1954" s="1" t="str">
        <f>_xlfn.XLOOKUP(C1954,Payers!$A$2:$A$9,Payers!$B$2:$B$9)</f>
        <v>Blue Horizon Commercial</v>
      </c>
      <c r="W1954" s="1" t="str">
        <f t="shared" si="123"/>
        <v>2025-10</v>
      </c>
    </row>
    <row r="1955" spans="1:23">
      <c r="A1955" s="1" t="s">
        <v>3514</v>
      </c>
      <c r="B1955" s="1" t="s">
        <v>3515</v>
      </c>
      <c r="C1955" s="1" t="s">
        <v>25</v>
      </c>
      <c r="D1955" s="1" t="s">
        <v>26</v>
      </c>
      <c r="E1955" s="1" t="s">
        <v>41</v>
      </c>
      <c r="F1955">
        <v>1</v>
      </c>
      <c r="G1955" s="2">
        <v>45948</v>
      </c>
      <c r="H1955" s="2">
        <v>45954</v>
      </c>
      <c r="I1955">
        <v>38.85</v>
      </c>
      <c r="J1955">
        <v>12.76</v>
      </c>
      <c r="K1955">
        <v>12.76</v>
      </c>
      <c r="L1955">
        <v>0</v>
      </c>
      <c r="M1955" s="1" t="s">
        <v>21</v>
      </c>
      <c r="N1955" s="1" t="s">
        <v>22</v>
      </c>
      <c r="O1955" s="2">
        <v>45977</v>
      </c>
      <c r="P1955" s="2">
        <v>45977</v>
      </c>
      <c r="Q1955">
        <f>_xlfn.XLOOKUP(E1955,CPT!$A$2:$A$13,CPT!$D$2:$D$13)</f>
        <v>38</v>
      </c>
      <c r="R1955" s="1">
        <f>_xlfn.XLOOKUP(C1955,Contract!$A$2:$A$9,Contract!$B$2:$B$9)</f>
        <v>0.36</v>
      </c>
      <c r="S1955" s="1">
        <f t="shared" si="120"/>
        <v>13.68</v>
      </c>
      <c r="T1955" s="1">
        <f t="shared" si="121"/>
        <v>0.91999999999999993</v>
      </c>
      <c r="U1955" s="1" t="str">
        <f t="shared" si="122"/>
        <v>Underpaid</v>
      </c>
      <c r="V1955" s="1" t="str">
        <f>_xlfn.XLOOKUP(C1955,Payers!$A$2:$A$9,Payers!$B$2:$B$9)</f>
        <v>Medicare Part B</v>
      </c>
      <c r="W1955" s="1" t="str">
        <f t="shared" si="123"/>
        <v>2025-10</v>
      </c>
    </row>
    <row r="1956" spans="1:23">
      <c r="A1956" s="1" t="s">
        <v>3516</v>
      </c>
      <c r="B1956" s="1" t="s">
        <v>635</v>
      </c>
      <c r="C1956" s="1" t="s">
        <v>25</v>
      </c>
      <c r="D1956" s="1" t="s">
        <v>26</v>
      </c>
      <c r="E1956" s="1" t="s">
        <v>44</v>
      </c>
      <c r="F1956">
        <v>1</v>
      </c>
      <c r="G1956" s="2">
        <v>46095</v>
      </c>
      <c r="H1956" s="2">
        <v>46100</v>
      </c>
      <c r="I1956">
        <v>4699.8599999999997</v>
      </c>
      <c r="J1956">
        <v>1498.45</v>
      </c>
      <c r="K1956">
        <v>1348.61</v>
      </c>
      <c r="L1956">
        <v>149.84</v>
      </c>
      <c r="M1956" s="1" t="s">
        <v>21</v>
      </c>
      <c r="N1956" s="1" t="s">
        <v>22</v>
      </c>
      <c r="O1956" s="2">
        <v>46112</v>
      </c>
      <c r="P1956" s="2">
        <v>46112</v>
      </c>
      <c r="Q1956">
        <f>_xlfn.XLOOKUP(E1956,CPT!$A$2:$A$13,CPT!$D$2:$D$13)</f>
        <v>4800</v>
      </c>
      <c r="R1956" s="1">
        <f>_xlfn.XLOOKUP(C1956,Contract!$A$2:$A$9,Contract!$B$2:$B$9)</f>
        <v>0.36</v>
      </c>
      <c r="S1956" s="1">
        <f t="shared" si="120"/>
        <v>1728</v>
      </c>
      <c r="T1956" s="1">
        <f t="shared" si="121"/>
        <v>229.54999999999995</v>
      </c>
      <c r="U1956" s="1" t="str">
        <f t="shared" si="122"/>
        <v>Underpaid</v>
      </c>
      <c r="V1956" s="1" t="str">
        <f>_xlfn.XLOOKUP(C1956,Payers!$A$2:$A$9,Payers!$B$2:$B$9)</f>
        <v>Medicare Part B</v>
      </c>
      <c r="W1956" s="1" t="str">
        <f t="shared" si="123"/>
        <v>2026-03</v>
      </c>
    </row>
    <row r="1957" spans="1:23">
      <c r="A1957" s="1" t="s">
        <v>3517</v>
      </c>
      <c r="B1957" s="1" t="s">
        <v>3518</v>
      </c>
      <c r="C1957" s="1" t="s">
        <v>60</v>
      </c>
      <c r="D1957" s="1" t="s">
        <v>37</v>
      </c>
      <c r="E1957" s="1" t="s">
        <v>48</v>
      </c>
      <c r="F1957">
        <v>1</v>
      </c>
      <c r="G1957" s="2">
        <v>46272</v>
      </c>
      <c r="H1957" s="2">
        <v>46273</v>
      </c>
      <c r="I1957">
        <v>431.08</v>
      </c>
      <c r="J1957">
        <v>183.7</v>
      </c>
      <c r="K1957">
        <v>183.7</v>
      </c>
      <c r="L1957">
        <v>0</v>
      </c>
      <c r="M1957" s="1" t="s">
        <v>21</v>
      </c>
      <c r="N1957" s="1" t="s">
        <v>22</v>
      </c>
      <c r="O1957" s="2">
        <v>46295</v>
      </c>
      <c r="P1957" s="2">
        <v>46295</v>
      </c>
      <c r="Q1957">
        <f>_xlfn.XLOOKUP(E1957,CPT!$A$2:$A$13,CPT!$D$2:$D$13)</f>
        <v>420</v>
      </c>
      <c r="R1957" s="1">
        <f>_xlfn.XLOOKUP(C1957,Contract!$A$2:$A$9,Contract!$B$2:$B$9)</f>
        <v>0.45</v>
      </c>
      <c r="S1957" s="1">
        <f t="shared" si="120"/>
        <v>189</v>
      </c>
      <c r="T1957" s="1">
        <f t="shared" si="121"/>
        <v>5.3000000000000114</v>
      </c>
      <c r="U1957" s="1" t="str">
        <f t="shared" si="122"/>
        <v>OK</v>
      </c>
      <c r="V1957" s="1" t="str">
        <f>_xlfn.XLOOKUP(C1957,Payers!$A$2:$A$9,Payers!$B$2:$B$9)</f>
        <v>Blue Horizon Commercial</v>
      </c>
      <c r="W1957" s="1" t="str">
        <f t="shared" si="123"/>
        <v>2026-09</v>
      </c>
    </row>
    <row r="1958" spans="1:23">
      <c r="A1958" s="1" t="s">
        <v>3519</v>
      </c>
      <c r="B1958" s="1" t="s">
        <v>3520</v>
      </c>
      <c r="C1958" s="1" t="s">
        <v>76</v>
      </c>
      <c r="D1958" s="1" t="s">
        <v>19</v>
      </c>
      <c r="E1958" s="1" t="s">
        <v>57</v>
      </c>
      <c r="F1958">
        <v>1</v>
      </c>
      <c r="G1958" s="2">
        <v>46049</v>
      </c>
      <c r="H1958" s="2">
        <v>46060</v>
      </c>
      <c r="I1958">
        <v>204.09</v>
      </c>
      <c r="J1958">
        <v>85.3</v>
      </c>
      <c r="K1958">
        <v>76.77</v>
      </c>
      <c r="L1958">
        <v>8.5299999999999994</v>
      </c>
      <c r="M1958" s="1" t="s">
        <v>21</v>
      </c>
      <c r="N1958" s="1" t="s">
        <v>22</v>
      </c>
      <c r="O1958" s="2">
        <v>46096</v>
      </c>
      <c r="P1958" s="2">
        <v>46096</v>
      </c>
      <c r="Q1958">
        <f>_xlfn.XLOOKUP(E1958,CPT!$A$2:$A$13,CPT!$D$2:$D$13)</f>
        <v>210</v>
      </c>
      <c r="R1958" s="1">
        <f>_xlfn.XLOOKUP(C1958,Contract!$A$2:$A$9,Contract!$B$2:$B$9)</f>
        <v>0.43</v>
      </c>
      <c r="S1958" s="1">
        <f t="shared" si="120"/>
        <v>90.3</v>
      </c>
      <c r="T1958" s="1">
        <f t="shared" si="121"/>
        <v>5</v>
      </c>
      <c r="U1958" s="1" t="str">
        <f t="shared" si="122"/>
        <v>Underpaid</v>
      </c>
      <c r="V1958" s="1" t="str">
        <f>_xlfn.XLOOKUP(C1958,Payers!$A$2:$A$9,Payers!$B$2:$B$9)</f>
        <v>Summit Health Commercial</v>
      </c>
      <c r="W1958" s="1" t="str">
        <f t="shared" si="123"/>
        <v>2026-01</v>
      </c>
    </row>
    <row r="1959" spans="1:23">
      <c r="A1959" s="1" t="s">
        <v>3521</v>
      </c>
      <c r="B1959" s="1" t="s">
        <v>500</v>
      </c>
      <c r="C1959" s="1" t="s">
        <v>47</v>
      </c>
      <c r="D1959" s="1" t="s">
        <v>19</v>
      </c>
      <c r="E1959" s="1" t="s">
        <v>57</v>
      </c>
      <c r="F1959">
        <v>1</v>
      </c>
      <c r="G1959" s="2">
        <v>45974</v>
      </c>
      <c r="H1959" s="2">
        <v>45976</v>
      </c>
      <c r="I1959">
        <v>209.67</v>
      </c>
      <c r="J1959">
        <v>49.45</v>
      </c>
      <c r="K1959">
        <v>39.56</v>
      </c>
      <c r="L1959">
        <v>9.89</v>
      </c>
      <c r="M1959" s="1" t="s">
        <v>21</v>
      </c>
      <c r="N1959" s="1" t="s">
        <v>22</v>
      </c>
      <c r="O1959" s="2">
        <v>46033</v>
      </c>
      <c r="P1959" s="2">
        <v>46033</v>
      </c>
      <c r="Q1959">
        <f>_xlfn.XLOOKUP(E1959,CPT!$A$2:$A$13,CPT!$D$2:$D$13)</f>
        <v>210</v>
      </c>
      <c r="R1959" s="1">
        <f>_xlfn.XLOOKUP(C1959,Contract!$A$2:$A$9,Contract!$B$2:$B$9)</f>
        <v>0.28000000000000003</v>
      </c>
      <c r="S1959" s="1">
        <f t="shared" si="120"/>
        <v>58.8</v>
      </c>
      <c r="T1959" s="1">
        <f t="shared" si="121"/>
        <v>9.3499999999999943</v>
      </c>
      <c r="U1959" s="1" t="str">
        <f t="shared" si="122"/>
        <v>Underpaid</v>
      </c>
      <c r="V1959" s="1" t="str">
        <f>_xlfn.XLOOKUP(C1959,Payers!$A$2:$A$9,Payers!$B$2:$B$9)</f>
        <v>Coastal Medicaid MCO</v>
      </c>
      <c r="W1959" s="1" t="str">
        <f t="shared" si="123"/>
        <v>2025-11</v>
      </c>
    </row>
    <row r="1960" spans="1:23">
      <c r="A1960" s="1" t="s">
        <v>3522</v>
      </c>
      <c r="B1960" s="1" t="s">
        <v>3523</v>
      </c>
      <c r="C1960" s="1" t="s">
        <v>52</v>
      </c>
      <c r="D1960" s="1" t="s">
        <v>26</v>
      </c>
      <c r="E1960" s="1" t="s">
        <v>27</v>
      </c>
      <c r="F1960">
        <v>1</v>
      </c>
      <c r="G1960" s="2">
        <v>46101</v>
      </c>
      <c r="H1960" s="2">
        <v>46102</v>
      </c>
      <c r="I1960">
        <v>246.89</v>
      </c>
      <c r="J1960">
        <v>131.72999999999999</v>
      </c>
      <c r="K1960">
        <v>131.72999999999999</v>
      </c>
      <c r="L1960">
        <v>0</v>
      </c>
      <c r="M1960" s="1" t="s">
        <v>21</v>
      </c>
      <c r="N1960" s="1" t="s">
        <v>22</v>
      </c>
      <c r="O1960" s="2">
        <v>46132</v>
      </c>
      <c r="P1960" s="2">
        <v>46132</v>
      </c>
      <c r="Q1960">
        <f>_xlfn.XLOOKUP(E1960,CPT!$A$2:$A$13,CPT!$D$2:$D$13)</f>
        <v>240</v>
      </c>
      <c r="R1960" s="1">
        <f>_xlfn.XLOOKUP(C1960,Contract!$A$2:$A$9,Contract!$B$2:$B$9)</f>
        <v>0.47</v>
      </c>
      <c r="S1960" s="1">
        <f t="shared" si="120"/>
        <v>112.8</v>
      </c>
      <c r="T1960" s="1">
        <f t="shared" si="121"/>
        <v>-18.929999999999993</v>
      </c>
      <c r="U1960" s="1" t="str">
        <f t="shared" si="122"/>
        <v>OK</v>
      </c>
      <c r="V1960" s="1" t="str">
        <f>_xlfn.XLOOKUP(C1960,Payers!$A$2:$A$9,Payers!$B$2:$B$9)</f>
        <v>Keystone Commercial PPO</v>
      </c>
      <c r="W1960" s="1" t="str">
        <f t="shared" si="123"/>
        <v>2026-03</v>
      </c>
    </row>
    <row r="1961" spans="1:23">
      <c r="A1961" s="1" t="s">
        <v>3524</v>
      </c>
      <c r="B1961" s="1" t="s">
        <v>3085</v>
      </c>
      <c r="C1961" s="1" t="s">
        <v>52</v>
      </c>
      <c r="D1961" s="1" t="s">
        <v>26</v>
      </c>
      <c r="E1961" s="1" t="s">
        <v>185</v>
      </c>
      <c r="F1961">
        <v>1</v>
      </c>
      <c r="G1961" s="2">
        <v>45992</v>
      </c>
      <c r="H1961" s="2">
        <v>45994</v>
      </c>
      <c r="I1961">
        <v>1164.55</v>
      </c>
      <c r="J1961">
        <v>577.07000000000005</v>
      </c>
      <c r="K1961">
        <v>461.66</v>
      </c>
      <c r="L1961">
        <v>115.41</v>
      </c>
      <c r="M1961" s="1" t="s">
        <v>21</v>
      </c>
      <c r="N1961" s="1" t="s">
        <v>22</v>
      </c>
      <c r="O1961" s="2">
        <v>46020</v>
      </c>
      <c r="P1961" s="2">
        <v>46020</v>
      </c>
      <c r="Q1961">
        <f>_xlfn.XLOOKUP(E1961,CPT!$A$2:$A$13,CPT!$D$2:$D$13)</f>
        <v>1150</v>
      </c>
      <c r="R1961" s="1">
        <f>_xlfn.XLOOKUP(C1961,Contract!$A$2:$A$9,Contract!$B$2:$B$9)</f>
        <v>0.47</v>
      </c>
      <c r="S1961" s="1">
        <f t="shared" si="120"/>
        <v>540.5</v>
      </c>
      <c r="T1961" s="1">
        <f t="shared" si="121"/>
        <v>-36.57000000000005</v>
      </c>
      <c r="U1961" s="1" t="str">
        <f t="shared" si="122"/>
        <v>OK</v>
      </c>
      <c r="V1961" s="1" t="str">
        <f>_xlfn.XLOOKUP(C1961,Payers!$A$2:$A$9,Payers!$B$2:$B$9)</f>
        <v>Keystone Commercial PPO</v>
      </c>
      <c r="W1961" s="1" t="str">
        <f t="shared" si="123"/>
        <v>2025-12</v>
      </c>
    </row>
    <row r="1962" spans="1:23">
      <c r="A1962" s="1" t="s">
        <v>3525</v>
      </c>
      <c r="B1962" s="1" t="s">
        <v>132</v>
      </c>
      <c r="C1962" s="1" t="s">
        <v>60</v>
      </c>
      <c r="D1962" s="1" t="s">
        <v>19</v>
      </c>
      <c r="E1962" s="1" t="s">
        <v>41</v>
      </c>
      <c r="F1962">
        <v>1</v>
      </c>
      <c r="G1962" s="2">
        <v>45957</v>
      </c>
      <c r="H1962" s="2">
        <v>45960</v>
      </c>
      <c r="I1962">
        <v>37.99</v>
      </c>
      <c r="J1962">
        <v>14.83</v>
      </c>
      <c r="K1962">
        <v>14.83</v>
      </c>
      <c r="L1962">
        <v>0</v>
      </c>
      <c r="M1962" s="1" t="s">
        <v>21</v>
      </c>
      <c r="N1962" s="1" t="s">
        <v>22</v>
      </c>
      <c r="O1962" s="2">
        <v>45995</v>
      </c>
      <c r="P1962" s="2">
        <v>45995</v>
      </c>
      <c r="Q1962">
        <f>_xlfn.XLOOKUP(E1962,CPT!$A$2:$A$13,CPT!$D$2:$D$13)</f>
        <v>38</v>
      </c>
      <c r="R1962" s="1">
        <f>_xlfn.XLOOKUP(C1962,Contract!$A$2:$A$9,Contract!$B$2:$B$9)</f>
        <v>0.45</v>
      </c>
      <c r="S1962" s="1">
        <f t="shared" si="120"/>
        <v>17.100000000000001</v>
      </c>
      <c r="T1962" s="1">
        <f t="shared" si="121"/>
        <v>2.2700000000000014</v>
      </c>
      <c r="U1962" s="1" t="str">
        <f t="shared" si="122"/>
        <v>Underpaid</v>
      </c>
      <c r="V1962" s="1" t="str">
        <f>_xlfn.XLOOKUP(C1962,Payers!$A$2:$A$9,Payers!$B$2:$B$9)</f>
        <v>Blue Horizon Commercial</v>
      </c>
      <c r="W1962" s="1" t="str">
        <f t="shared" si="123"/>
        <v>2025-10</v>
      </c>
    </row>
    <row r="1963" spans="1:23">
      <c r="A1963" s="1" t="s">
        <v>3526</v>
      </c>
      <c r="B1963" s="1" t="s">
        <v>3527</v>
      </c>
      <c r="C1963" s="1" t="s">
        <v>18</v>
      </c>
      <c r="D1963" s="1" t="s">
        <v>26</v>
      </c>
      <c r="E1963" s="1" t="s">
        <v>27</v>
      </c>
      <c r="F1963">
        <v>1</v>
      </c>
      <c r="G1963" s="2">
        <v>46022</v>
      </c>
      <c r="H1963" s="2">
        <v>46023</v>
      </c>
      <c r="I1963">
        <v>246.71</v>
      </c>
      <c r="J1963">
        <v>97.95</v>
      </c>
      <c r="K1963">
        <v>97.95</v>
      </c>
      <c r="L1963">
        <v>0</v>
      </c>
      <c r="M1963" s="1" t="s">
        <v>21</v>
      </c>
      <c r="N1963" s="1" t="s">
        <v>22</v>
      </c>
      <c r="O1963" s="2">
        <v>46074</v>
      </c>
      <c r="P1963" s="2">
        <v>46074</v>
      </c>
      <c r="Q1963">
        <f>_xlfn.XLOOKUP(E1963,CPT!$A$2:$A$13,CPT!$D$2:$D$13)</f>
        <v>240</v>
      </c>
      <c r="R1963" s="1">
        <f>_xlfn.XLOOKUP(C1963,Contract!$A$2:$A$9,Contract!$B$2:$B$9)</f>
        <v>0.38</v>
      </c>
      <c r="S1963" s="1">
        <f t="shared" si="120"/>
        <v>91.2</v>
      </c>
      <c r="T1963" s="1">
        <f t="shared" si="121"/>
        <v>-6.75</v>
      </c>
      <c r="U1963" s="1" t="str">
        <f t="shared" si="122"/>
        <v>OK</v>
      </c>
      <c r="V1963" s="1" t="str">
        <f>_xlfn.XLOOKUP(C1963,Payers!$A$2:$A$9,Payers!$B$2:$B$9)</f>
        <v>Sunshine Medicare Advantage</v>
      </c>
      <c r="W1963" s="1" t="str">
        <f t="shared" si="123"/>
        <v>2025-12</v>
      </c>
    </row>
    <row r="1964" spans="1:23">
      <c r="A1964" s="1" t="s">
        <v>3528</v>
      </c>
      <c r="B1964" s="1" t="s">
        <v>885</v>
      </c>
      <c r="C1964" s="1" t="s">
        <v>60</v>
      </c>
      <c r="D1964" s="1" t="s">
        <v>26</v>
      </c>
      <c r="E1964" s="1" t="s">
        <v>113</v>
      </c>
      <c r="F1964">
        <v>1</v>
      </c>
      <c r="G1964" s="2">
        <v>46166</v>
      </c>
      <c r="H1964" s="2">
        <v>46168</v>
      </c>
      <c r="I1964">
        <v>1021.04</v>
      </c>
      <c r="M1964" s="1" t="s">
        <v>32</v>
      </c>
      <c r="N1964" s="1" t="s">
        <v>315</v>
      </c>
      <c r="O1964" s="2">
        <v>46194</v>
      </c>
      <c r="P1964" s="2"/>
      <c r="Q1964">
        <f>_xlfn.XLOOKUP(E1964,CPT!$A$2:$A$13,CPT!$D$2:$D$13)</f>
        <v>1050</v>
      </c>
      <c r="R1964" s="1">
        <f>_xlfn.XLOOKUP(C1964,Contract!$A$2:$A$9,Contract!$B$2:$B$9)</f>
        <v>0.45</v>
      </c>
      <c r="S1964" s="1">
        <f t="shared" si="120"/>
        <v>472.5</v>
      </c>
      <c r="T1964" s="1" t="str">
        <f t="shared" si="121"/>
        <v/>
      </c>
      <c r="U1964" s="1" t="str">
        <f t="shared" si="122"/>
        <v/>
      </c>
      <c r="V1964" s="1" t="str">
        <f>_xlfn.XLOOKUP(C1964,Payers!$A$2:$A$9,Payers!$B$2:$B$9)</f>
        <v>Blue Horizon Commercial</v>
      </c>
      <c r="W1964" s="1" t="str">
        <f t="shared" si="123"/>
        <v>2026-05</v>
      </c>
    </row>
    <row r="1965" spans="1:23">
      <c r="A1965" s="1" t="s">
        <v>3529</v>
      </c>
      <c r="B1965" s="1" t="s">
        <v>341</v>
      </c>
      <c r="C1965" s="1" t="s">
        <v>52</v>
      </c>
      <c r="D1965" s="1" t="s">
        <v>37</v>
      </c>
      <c r="E1965" s="1" t="s">
        <v>48</v>
      </c>
      <c r="F1965">
        <v>1</v>
      </c>
      <c r="G1965" s="2">
        <v>46158</v>
      </c>
      <c r="H1965" s="2">
        <v>46162</v>
      </c>
      <c r="I1965">
        <v>426.29</v>
      </c>
      <c r="J1965">
        <v>218.62</v>
      </c>
      <c r="K1965">
        <v>196.76</v>
      </c>
      <c r="L1965">
        <v>21.86</v>
      </c>
      <c r="M1965" s="1" t="s">
        <v>21</v>
      </c>
      <c r="N1965" s="1" t="s">
        <v>22</v>
      </c>
      <c r="O1965" s="2">
        <v>46221</v>
      </c>
      <c r="P1965" s="2">
        <v>46221</v>
      </c>
      <c r="Q1965">
        <f>_xlfn.XLOOKUP(E1965,CPT!$A$2:$A$13,CPT!$D$2:$D$13)</f>
        <v>420</v>
      </c>
      <c r="R1965" s="1">
        <f>_xlfn.XLOOKUP(C1965,Contract!$A$2:$A$9,Contract!$B$2:$B$9)</f>
        <v>0.47</v>
      </c>
      <c r="S1965" s="1">
        <f t="shared" si="120"/>
        <v>197.4</v>
      </c>
      <c r="T1965" s="1">
        <f t="shared" si="121"/>
        <v>-21.22</v>
      </c>
      <c r="U1965" s="1" t="str">
        <f t="shared" si="122"/>
        <v>OK</v>
      </c>
      <c r="V1965" s="1" t="str">
        <f>_xlfn.XLOOKUP(C1965,Payers!$A$2:$A$9,Payers!$B$2:$B$9)</f>
        <v>Keystone Commercial PPO</v>
      </c>
      <c r="W1965" s="1" t="str">
        <f t="shared" si="123"/>
        <v>2026-05</v>
      </c>
    </row>
    <row r="1966" spans="1:23">
      <c r="A1966" s="1" t="s">
        <v>3530</v>
      </c>
      <c r="B1966" s="1" t="s">
        <v>3531</v>
      </c>
      <c r="C1966" s="1" t="s">
        <v>18</v>
      </c>
      <c r="D1966" s="1" t="s">
        <v>30</v>
      </c>
      <c r="E1966" s="1" t="s">
        <v>31</v>
      </c>
      <c r="F1966">
        <v>2</v>
      </c>
      <c r="G1966" s="2">
        <v>46171</v>
      </c>
      <c r="H1966" s="2">
        <v>46178</v>
      </c>
      <c r="I1966">
        <v>122.67</v>
      </c>
      <c r="J1966">
        <v>48.82</v>
      </c>
      <c r="K1966">
        <v>43.94</v>
      </c>
      <c r="L1966">
        <v>4.88</v>
      </c>
      <c r="M1966" s="1" t="s">
        <v>21</v>
      </c>
      <c r="N1966" s="1" t="s">
        <v>22</v>
      </c>
      <c r="O1966" s="2">
        <v>46253</v>
      </c>
      <c r="P1966" s="2">
        <v>46253</v>
      </c>
      <c r="Q1966">
        <f>_xlfn.XLOOKUP(E1966,CPT!$A$2:$A$13,CPT!$D$2:$D$13)</f>
        <v>62</v>
      </c>
      <c r="R1966" s="1">
        <f>_xlfn.XLOOKUP(C1966,Contract!$A$2:$A$9,Contract!$B$2:$B$9)</f>
        <v>0.38</v>
      </c>
      <c r="S1966" s="1">
        <f t="shared" si="120"/>
        <v>47.12</v>
      </c>
      <c r="T1966" s="1">
        <f t="shared" si="121"/>
        <v>-1.7000000000000028</v>
      </c>
      <c r="U1966" s="1" t="str">
        <f t="shared" si="122"/>
        <v>OK</v>
      </c>
      <c r="V1966" s="1" t="str">
        <f>_xlfn.XLOOKUP(C1966,Payers!$A$2:$A$9,Payers!$B$2:$B$9)</f>
        <v>Sunshine Medicare Advantage</v>
      </c>
      <c r="W1966" s="1" t="str">
        <f t="shared" si="123"/>
        <v>2026-05</v>
      </c>
    </row>
    <row r="1967" spans="1:23">
      <c r="A1967" s="1" t="s">
        <v>3532</v>
      </c>
      <c r="B1967" s="1" t="s">
        <v>3533</v>
      </c>
      <c r="C1967" s="1" t="s">
        <v>79</v>
      </c>
      <c r="D1967" s="1" t="s">
        <v>19</v>
      </c>
      <c r="E1967" s="1" t="s">
        <v>57</v>
      </c>
      <c r="F1967">
        <v>1</v>
      </c>
      <c r="G1967" s="2">
        <v>46016</v>
      </c>
      <c r="H1967" s="2">
        <v>46020</v>
      </c>
      <c r="I1967">
        <v>214.58</v>
      </c>
      <c r="M1967" s="1" t="s">
        <v>69</v>
      </c>
      <c r="N1967" s="1" t="s">
        <v>22</v>
      </c>
      <c r="O1967" s="2"/>
      <c r="P1967" s="2"/>
      <c r="Q1967">
        <f>_xlfn.XLOOKUP(E1967,CPT!$A$2:$A$13,CPT!$D$2:$D$13)</f>
        <v>210</v>
      </c>
      <c r="R1967" s="1">
        <f>_xlfn.XLOOKUP(C1967,Contract!$A$2:$A$9,Contract!$B$2:$B$9)</f>
        <v>1</v>
      </c>
      <c r="S1967" s="1">
        <f t="shared" si="120"/>
        <v>210</v>
      </c>
      <c r="T1967" s="1" t="str">
        <f t="shared" si="121"/>
        <v/>
      </c>
      <c r="U1967" s="1" t="str">
        <f t="shared" si="122"/>
        <v/>
      </c>
      <c r="V1967" s="1" t="str">
        <f>_xlfn.XLOOKUP(C1967,Payers!$A$2:$A$9,Payers!$B$2:$B$9)</f>
        <v>Self-Pay</v>
      </c>
      <c r="W1967" s="1" t="str">
        <f t="shared" si="123"/>
        <v>2025-12</v>
      </c>
    </row>
    <row r="1968" spans="1:23">
      <c r="A1968" s="1" t="s">
        <v>3534</v>
      </c>
      <c r="B1968" s="1" t="s">
        <v>2168</v>
      </c>
      <c r="C1968" s="1" t="s">
        <v>25</v>
      </c>
      <c r="D1968" s="1" t="s">
        <v>30</v>
      </c>
      <c r="E1968" s="1" t="s">
        <v>31</v>
      </c>
      <c r="F1968">
        <v>3</v>
      </c>
      <c r="G1968" s="2">
        <v>45968</v>
      </c>
      <c r="H1968" s="2">
        <v>45971</v>
      </c>
      <c r="I1968">
        <v>189.29</v>
      </c>
      <c r="J1968">
        <v>59.22</v>
      </c>
      <c r="K1968">
        <v>47.38</v>
      </c>
      <c r="L1968">
        <v>11.84</v>
      </c>
      <c r="M1968" s="1" t="s">
        <v>21</v>
      </c>
      <c r="N1968" s="1" t="s">
        <v>22</v>
      </c>
      <c r="O1968" s="2">
        <v>45988</v>
      </c>
      <c r="P1968" s="2">
        <v>45988</v>
      </c>
      <c r="Q1968">
        <f>_xlfn.XLOOKUP(E1968,CPT!$A$2:$A$13,CPT!$D$2:$D$13)</f>
        <v>62</v>
      </c>
      <c r="R1968" s="1">
        <f>_xlfn.XLOOKUP(C1968,Contract!$A$2:$A$9,Contract!$B$2:$B$9)</f>
        <v>0.36</v>
      </c>
      <c r="S1968" s="1">
        <f t="shared" si="120"/>
        <v>66.959999999999994</v>
      </c>
      <c r="T1968" s="1">
        <f t="shared" si="121"/>
        <v>7.7399999999999949</v>
      </c>
      <c r="U1968" s="1" t="str">
        <f t="shared" si="122"/>
        <v>Underpaid</v>
      </c>
      <c r="V1968" s="1" t="str">
        <f>_xlfn.XLOOKUP(C1968,Payers!$A$2:$A$9,Payers!$B$2:$B$9)</f>
        <v>Medicare Part B</v>
      </c>
      <c r="W1968" s="1" t="str">
        <f t="shared" si="123"/>
        <v>2025-11</v>
      </c>
    </row>
    <row r="1969" spans="1:23">
      <c r="A1969" s="1" t="s">
        <v>3535</v>
      </c>
      <c r="B1969" s="1" t="s">
        <v>3536</v>
      </c>
      <c r="C1969" s="1" t="s">
        <v>25</v>
      </c>
      <c r="D1969" s="1" t="s">
        <v>26</v>
      </c>
      <c r="E1969" s="1" t="s">
        <v>44</v>
      </c>
      <c r="F1969">
        <v>1</v>
      </c>
      <c r="G1969" s="2">
        <v>46273</v>
      </c>
      <c r="H1969" s="2">
        <v>46277</v>
      </c>
      <c r="I1969">
        <v>4761.33</v>
      </c>
      <c r="M1969" s="1" t="s">
        <v>32</v>
      </c>
      <c r="N1969" s="1" t="s">
        <v>49</v>
      </c>
      <c r="O1969" s="2">
        <v>46292</v>
      </c>
      <c r="P1969" s="2"/>
      <c r="Q1969">
        <f>_xlfn.XLOOKUP(E1969,CPT!$A$2:$A$13,CPT!$D$2:$D$13)</f>
        <v>4800</v>
      </c>
      <c r="R1969" s="1">
        <f>_xlfn.XLOOKUP(C1969,Contract!$A$2:$A$9,Contract!$B$2:$B$9)</f>
        <v>0.36</v>
      </c>
      <c r="S1969" s="1">
        <f t="shared" si="120"/>
        <v>1728</v>
      </c>
      <c r="T1969" s="1" t="str">
        <f t="shared" si="121"/>
        <v/>
      </c>
      <c r="U1969" s="1" t="str">
        <f t="shared" si="122"/>
        <v/>
      </c>
      <c r="V1969" s="1" t="str">
        <f>_xlfn.XLOOKUP(C1969,Payers!$A$2:$A$9,Payers!$B$2:$B$9)</f>
        <v>Medicare Part B</v>
      </c>
      <c r="W1969" s="1" t="str">
        <f t="shared" si="123"/>
        <v>2026-09</v>
      </c>
    </row>
    <row r="1970" spans="1:23">
      <c r="A1970" s="1" t="s">
        <v>3537</v>
      </c>
      <c r="B1970" s="1" t="s">
        <v>3538</v>
      </c>
      <c r="C1970" s="1" t="s">
        <v>25</v>
      </c>
      <c r="D1970" s="1" t="s">
        <v>26</v>
      </c>
      <c r="E1970" s="1" t="s">
        <v>88</v>
      </c>
      <c r="F1970">
        <v>1</v>
      </c>
      <c r="G1970" s="2">
        <v>45937</v>
      </c>
      <c r="H1970" s="2">
        <v>45939</v>
      </c>
      <c r="I1970">
        <v>263.38</v>
      </c>
      <c r="J1970">
        <v>95.98</v>
      </c>
      <c r="K1970">
        <v>95.98</v>
      </c>
      <c r="L1970">
        <v>0</v>
      </c>
      <c r="M1970" s="1" t="s">
        <v>21</v>
      </c>
      <c r="N1970" s="1" t="s">
        <v>22</v>
      </c>
      <c r="O1970" s="2">
        <v>45974</v>
      </c>
      <c r="P1970" s="2">
        <v>45974</v>
      </c>
      <c r="Q1970">
        <f>_xlfn.XLOOKUP(E1970,CPT!$A$2:$A$13,CPT!$D$2:$D$13)</f>
        <v>260</v>
      </c>
      <c r="R1970" s="1">
        <f>_xlfn.XLOOKUP(C1970,Contract!$A$2:$A$9,Contract!$B$2:$B$9)</f>
        <v>0.36</v>
      </c>
      <c r="S1970" s="1">
        <f t="shared" si="120"/>
        <v>93.6</v>
      </c>
      <c r="T1970" s="1">
        <f t="shared" si="121"/>
        <v>-2.3800000000000097</v>
      </c>
      <c r="U1970" s="1" t="str">
        <f t="shared" si="122"/>
        <v>OK</v>
      </c>
      <c r="V1970" s="1" t="str">
        <f>_xlfn.XLOOKUP(C1970,Payers!$A$2:$A$9,Payers!$B$2:$B$9)</f>
        <v>Medicare Part B</v>
      </c>
      <c r="W1970" s="1" t="str">
        <f t="shared" si="123"/>
        <v>2025-10</v>
      </c>
    </row>
    <row r="1971" spans="1:23">
      <c r="A1971" s="1" t="s">
        <v>3539</v>
      </c>
      <c r="B1971" s="1" t="s">
        <v>3540</v>
      </c>
      <c r="C1971" s="1" t="s">
        <v>25</v>
      </c>
      <c r="D1971" s="1" t="s">
        <v>30</v>
      </c>
      <c r="E1971" s="1" t="s">
        <v>20</v>
      </c>
      <c r="F1971">
        <v>1</v>
      </c>
      <c r="G1971" s="2">
        <v>46022</v>
      </c>
      <c r="H1971" s="2">
        <v>46026</v>
      </c>
      <c r="I1971">
        <v>141.36000000000001</v>
      </c>
      <c r="J1971">
        <v>49.21</v>
      </c>
      <c r="K1971">
        <v>49.21</v>
      </c>
      <c r="L1971">
        <v>0</v>
      </c>
      <c r="M1971" s="1" t="s">
        <v>21</v>
      </c>
      <c r="N1971" s="1" t="s">
        <v>22</v>
      </c>
      <c r="O1971" s="2">
        <v>46042</v>
      </c>
      <c r="P1971" s="2">
        <v>46042</v>
      </c>
      <c r="Q1971">
        <f>_xlfn.XLOOKUP(E1971,CPT!$A$2:$A$13,CPT!$D$2:$D$13)</f>
        <v>145</v>
      </c>
      <c r="R1971" s="1">
        <f>_xlfn.XLOOKUP(C1971,Contract!$A$2:$A$9,Contract!$B$2:$B$9)</f>
        <v>0.36</v>
      </c>
      <c r="S1971" s="1">
        <f t="shared" si="120"/>
        <v>52.2</v>
      </c>
      <c r="T1971" s="1">
        <f t="shared" si="121"/>
        <v>2.990000000000002</v>
      </c>
      <c r="U1971" s="1" t="str">
        <f t="shared" si="122"/>
        <v>Underpaid</v>
      </c>
      <c r="V1971" s="1" t="str">
        <f>_xlfn.XLOOKUP(C1971,Payers!$A$2:$A$9,Payers!$B$2:$B$9)</f>
        <v>Medicare Part B</v>
      </c>
      <c r="W1971" s="1" t="str">
        <f t="shared" si="123"/>
        <v>2025-12</v>
      </c>
    </row>
    <row r="1972" spans="1:23">
      <c r="A1972" s="1" t="s">
        <v>3541</v>
      </c>
      <c r="B1972" s="1" t="s">
        <v>1050</v>
      </c>
      <c r="C1972" s="1" t="s">
        <v>60</v>
      </c>
      <c r="D1972" s="1" t="s">
        <v>30</v>
      </c>
      <c r="E1972" s="1" t="s">
        <v>20</v>
      </c>
      <c r="F1972">
        <v>1</v>
      </c>
      <c r="G1972" s="2">
        <v>46194</v>
      </c>
      <c r="H1972" s="2">
        <v>46201</v>
      </c>
      <c r="I1972">
        <v>143.88</v>
      </c>
      <c r="J1972">
        <v>60.29</v>
      </c>
      <c r="K1972">
        <v>48.23</v>
      </c>
      <c r="L1972">
        <v>12.06</v>
      </c>
      <c r="M1972" s="1" t="s">
        <v>21</v>
      </c>
      <c r="N1972" s="1" t="s">
        <v>22</v>
      </c>
      <c r="O1972" s="2">
        <v>46242</v>
      </c>
      <c r="P1972" s="2">
        <v>46242</v>
      </c>
      <c r="Q1972">
        <f>_xlfn.XLOOKUP(E1972,CPT!$A$2:$A$13,CPT!$D$2:$D$13)</f>
        <v>145</v>
      </c>
      <c r="R1972" s="1">
        <f>_xlfn.XLOOKUP(C1972,Contract!$A$2:$A$9,Contract!$B$2:$B$9)</f>
        <v>0.45</v>
      </c>
      <c r="S1972" s="1">
        <f t="shared" si="120"/>
        <v>65.25</v>
      </c>
      <c r="T1972" s="1">
        <f t="shared" si="121"/>
        <v>4.9600000000000009</v>
      </c>
      <c r="U1972" s="1" t="str">
        <f t="shared" si="122"/>
        <v>Underpaid</v>
      </c>
      <c r="V1972" s="1" t="str">
        <f>_xlfn.XLOOKUP(C1972,Payers!$A$2:$A$9,Payers!$B$2:$B$9)</f>
        <v>Blue Horizon Commercial</v>
      </c>
      <c r="W1972" s="1" t="str">
        <f t="shared" si="123"/>
        <v>2026-06</v>
      </c>
    </row>
    <row r="1973" spans="1:23">
      <c r="A1973" s="1" t="s">
        <v>3542</v>
      </c>
      <c r="B1973" s="1" t="s">
        <v>1942</v>
      </c>
      <c r="C1973" s="1" t="s">
        <v>76</v>
      </c>
      <c r="D1973" s="1" t="s">
        <v>19</v>
      </c>
      <c r="E1973" s="1" t="s">
        <v>57</v>
      </c>
      <c r="F1973">
        <v>1</v>
      </c>
      <c r="G1973" s="2">
        <v>46011</v>
      </c>
      <c r="H1973" s="2">
        <v>46013</v>
      </c>
      <c r="I1973">
        <v>211.36</v>
      </c>
      <c r="J1973">
        <v>87.04</v>
      </c>
      <c r="K1973">
        <v>69.63</v>
      </c>
      <c r="L1973">
        <v>17.41</v>
      </c>
      <c r="M1973" s="1" t="s">
        <v>21</v>
      </c>
      <c r="N1973" s="1" t="s">
        <v>22</v>
      </c>
      <c r="O1973" s="2">
        <v>46042</v>
      </c>
      <c r="P1973" s="2">
        <v>46042</v>
      </c>
      <c r="Q1973">
        <f>_xlfn.XLOOKUP(E1973,CPT!$A$2:$A$13,CPT!$D$2:$D$13)</f>
        <v>210</v>
      </c>
      <c r="R1973" s="1">
        <f>_xlfn.XLOOKUP(C1973,Contract!$A$2:$A$9,Contract!$B$2:$B$9)</f>
        <v>0.43</v>
      </c>
      <c r="S1973" s="1">
        <f t="shared" si="120"/>
        <v>90.3</v>
      </c>
      <c r="T1973" s="1">
        <f t="shared" si="121"/>
        <v>3.2599999999999909</v>
      </c>
      <c r="U1973" s="1" t="str">
        <f t="shared" si="122"/>
        <v>OK</v>
      </c>
      <c r="V1973" s="1" t="str">
        <f>_xlfn.XLOOKUP(C1973,Payers!$A$2:$A$9,Payers!$B$2:$B$9)</f>
        <v>Summit Health Commercial</v>
      </c>
      <c r="W1973" s="1" t="str">
        <f t="shared" si="123"/>
        <v>2025-12</v>
      </c>
    </row>
    <row r="1974" spans="1:23">
      <c r="A1974" s="1" t="s">
        <v>3543</v>
      </c>
      <c r="B1974" s="1" t="s">
        <v>3544</v>
      </c>
      <c r="C1974" s="1" t="s">
        <v>18</v>
      </c>
      <c r="D1974" s="1" t="s">
        <v>19</v>
      </c>
      <c r="E1974" s="1" t="s">
        <v>57</v>
      </c>
      <c r="F1974">
        <v>1</v>
      </c>
      <c r="G1974" s="2">
        <v>46106</v>
      </c>
      <c r="H1974" s="2">
        <v>46107</v>
      </c>
      <c r="I1974">
        <v>212.78</v>
      </c>
      <c r="M1974" s="1" t="s">
        <v>32</v>
      </c>
      <c r="N1974" s="1" t="s">
        <v>33</v>
      </c>
      <c r="O1974" s="2">
        <v>46149</v>
      </c>
      <c r="P1974" s="2"/>
      <c r="Q1974">
        <f>_xlfn.XLOOKUP(E1974,CPT!$A$2:$A$13,CPT!$D$2:$D$13)</f>
        <v>210</v>
      </c>
      <c r="R1974" s="1">
        <f>_xlfn.XLOOKUP(C1974,Contract!$A$2:$A$9,Contract!$B$2:$B$9)</f>
        <v>0.38</v>
      </c>
      <c r="S1974" s="1">
        <f t="shared" si="120"/>
        <v>79.8</v>
      </c>
      <c r="T1974" s="1" t="str">
        <f t="shared" si="121"/>
        <v/>
      </c>
      <c r="U1974" s="1" t="str">
        <f t="shared" si="122"/>
        <v/>
      </c>
      <c r="V1974" s="1" t="str">
        <f>_xlfn.XLOOKUP(C1974,Payers!$A$2:$A$9,Payers!$B$2:$B$9)</f>
        <v>Sunshine Medicare Advantage</v>
      </c>
      <c r="W1974" s="1" t="str">
        <f t="shared" si="123"/>
        <v>2026-03</v>
      </c>
    </row>
    <row r="1975" spans="1:23">
      <c r="A1975" s="1" t="s">
        <v>3545</v>
      </c>
      <c r="B1975" s="1" t="s">
        <v>3546</v>
      </c>
      <c r="C1975" s="1" t="s">
        <v>52</v>
      </c>
      <c r="D1975" s="1" t="s">
        <v>30</v>
      </c>
      <c r="E1975" s="1" t="s">
        <v>91</v>
      </c>
      <c r="F1975">
        <v>4</v>
      </c>
      <c r="G1975" s="2">
        <v>46189</v>
      </c>
      <c r="H1975" s="2">
        <v>46193</v>
      </c>
      <c r="I1975">
        <v>238.47</v>
      </c>
      <c r="M1975" s="1" t="s">
        <v>32</v>
      </c>
      <c r="N1975" s="1" t="s">
        <v>33</v>
      </c>
      <c r="O1975" s="2">
        <v>46263</v>
      </c>
      <c r="P1975" s="2"/>
      <c r="Q1975">
        <f>_xlfn.XLOOKUP(E1975,CPT!$A$2:$A$13,CPT!$D$2:$D$13)</f>
        <v>58</v>
      </c>
      <c r="R1975" s="1">
        <f>_xlfn.XLOOKUP(C1975,Contract!$A$2:$A$9,Contract!$B$2:$B$9)</f>
        <v>0.47</v>
      </c>
      <c r="S1975" s="1">
        <f t="shared" si="120"/>
        <v>109.04</v>
      </c>
      <c r="T1975" s="1" t="str">
        <f t="shared" si="121"/>
        <v/>
      </c>
      <c r="U1975" s="1" t="str">
        <f t="shared" si="122"/>
        <v/>
      </c>
      <c r="V1975" s="1" t="str">
        <f>_xlfn.XLOOKUP(C1975,Payers!$A$2:$A$9,Payers!$B$2:$B$9)</f>
        <v>Keystone Commercial PPO</v>
      </c>
      <c r="W1975" s="1" t="str">
        <f t="shared" si="123"/>
        <v>2026-06</v>
      </c>
    </row>
    <row r="1976" spans="1:23">
      <c r="A1976" s="1" t="s">
        <v>3547</v>
      </c>
      <c r="B1976" s="1" t="s">
        <v>1151</v>
      </c>
      <c r="C1976" s="1" t="s">
        <v>25</v>
      </c>
      <c r="D1976" s="1" t="s">
        <v>30</v>
      </c>
      <c r="E1976" s="1" t="s">
        <v>20</v>
      </c>
      <c r="F1976">
        <v>1</v>
      </c>
      <c r="G1976" s="2">
        <v>46075</v>
      </c>
      <c r="H1976" s="2">
        <v>46076</v>
      </c>
      <c r="I1976">
        <v>148.18</v>
      </c>
      <c r="J1976">
        <v>47.46</v>
      </c>
      <c r="K1976">
        <v>42.71</v>
      </c>
      <c r="L1976">
        <v>4.75</v>
      </c>
      <c r="M1976" s="1" t="s">
        <v>21</v>
      </c>
      <c r="N1976" s="1" t="s">
        <v>22</v>
      </c>
      <c r="O1976" s="2">
        <v>46092</v>
      </c>
      <c r="P1976" s="2">
        <v>46092</v>
      </c>
      <c r="Q1976">
        <f>_xlfn.XLOOKUP(E1976,CPT!$A$2:$A$13,CPT!$D$2:$D$13)</f>
        <v>145</v>
      </c>
      <c r="R1976" s="1">
        <f>_xlfn.XLOOKUP(C1976,Contract!$A$2:$A$9,Contract!$B$2:$B$9)</f>
        <v>0.36</v>
      </c>
      <c r="S1976" s="1">
        <f t="shared" si="120"/>
        <v>52.2</v>
      </c>
      <c r="T1976" s="1">
        <f t="shared" si="121"/>
        <v>4.740000000000002</v>
      </c>
      <c r="U1976" s="1" t="str">
        <f t="shared" si="122"/>
        <v>Underpaid</v>
      </c>
      <c r="V1976" s="1" t="str">
        <f>_xlfn.XLOOKUP(C1976,Payers!$A$2:$A$9,Payers!$B$2:$B$9)</f>
        <v>Medicare Part B</v>
      </c>
      <c r="W1976" s="1" t="str">
        <f t="shared" si="123"/>
        <v>2026-02</v>
      </c>
    </row>
    <row r="1977" spans="1:23">
      <c r="A1977" s="1" t="s">
        <v>3548</v>
      </c>
      <c r="B1977" s="1" t="s">
        <v>3549</v>
      </c>
      <c r="C1977" s="1" t="s">
        <v>25</v>
      </c>
      <c r="D1977" s="1" t="s">
        <v>26</v>
      </c>
      <c r="E1977" s="1" t="s">
        <v>185</v>
      </c>
      <c r="F1977">
        <v>1</v>
      </c>
      <c r="G1977" s="2">
        <v>46106</v>
      </c>
      <c r="H1977" s="2">
        <v>46109</v>
      </c>
      <c r="I1977">
        <v>1126.75</v>
      </c>
      <c r="J1977">
        <v>357.59</v>
      </c>
      <c r="K1977">
        <v>286.07</v>
      </c>
      <c r="L1977">
        <v>71.52</v>
      </c>
      <c r="M1977" s="1" t="s">
        <v>21</v>
      </c>
      <c r="N1977" s="1" t="s">
        <v>22</v>
      </c>
      <c r="O1977" s="2">
        <v>46128</v>
      </c>
      <c r="P1977" s="2">
        <v>46128</v>
      </c>
      <c r="Q1977">
        <f>_xlfn.XLOOKUP(E1977,CPT!$A$2:$A$13,CPT!$D$2:$D$13)</f>
        <v>1150</v>
      </c>
      <c r="R1977" s="1">
        <f>_xlfn.XLOOKUP(C1977,Contract!$A$2:$A$9,Contract!$B$2:$B$9)</f>
        <v>0.36</v>
      </c>
      <c r="S1977" s="1">
        <f t="shared" si="120"/>
        <v>414</v>
      </c>
      <c r="T1977" s="1">
        <f t="shared" si="121"/>
        <v>56.410000000000025</v>
      </c>
      <c r="U1977" s="1" t="str">
        <f t="shared" si="122"/>
        <v>Underpaid</v>
      </c>
      <c r="V1977" s="1" t="str">
        <f>_xlfn.XLOOKUP(C1977,Payers!$A$2:$A$9,Payers!$B$2:$B$9)</f>
        <v>Medicare Part B</v>
      </c>
      <c r="W1977" s="1" t="str">
        <f t="shared" si="123"/>
        <v>2026-03</v>
      </c>
    </row>
    <row r="1978" spans="1:23">
      <c r="A1978" s="1" t="s">
        <v>3550</v>
      </c>
      <c r="B1978" s="1" t="s">
        <v>3551</v>
      </c>
      <c r="C1978" s="1" t="s">
        <v>36</v>
      </c>
      <c r="D1978" s="1" t="s">
        <v>26</v>
      </c>
      <c r="E1978" s="1" t="s">
        <v>113</v>
      </c>
      <c r="F1978">
        <v>1</v>
      </c>
      <c r="G1978" s="2">
        <v>46275</v>
      </c>
      <c r="H1978" s="2">
        <v>46276</v>
      </c>
      <c r="I1978">
        <v>1080.73</v>
      </c>
      <c r="M1978" s="1" t="s">
        <v>69</v>
      </c>
      <c r="N1978" s="1" t="s">
        <v>22</v>
      </c>
      <c r="O1978" s="2"/>
      <c r="P1978" s="2"/>
      <c r="Q1978">
        <f>_xlfn.XLOOKUP(E1978,CPT!$A$2:$A$13,CPT!$D$2:$D$13)</f>
        <v>1050</v>
      </c>
      <c r="R1978" s="1">
        <f>_xlfn.XLOOKUP(C1978,Contract!$A$2:$A$9,Contract!$B$2:$B$9)</f>
        <v>0.27</v>
      </c>
      <c r="S1978" s="1">
        <f t="shared" si="120"/>
        <v>283.5</v>
      </c>
      <c r="T1978" s="1" t="str">
        <f t="shared" si="121"/>
        <v/>
      </c>
      <c r="U1978" s="1" t="str">
        <f t="shared" si="122"/>
        <v/>
      </c>
      <c r="V1978" s="1" t="str">
        <f>_xlfn.XLOOKUP(C1978,Payers!$A$2:$A$9,Payers!$B$2:$B$9)</f>
        <v>Florida Medicaid</v>
      </c>
      <c r="W1978" s="1" t="str">
        <f t="shared" si="123"/>
        <v>2026-09</v>
      </c>
    </row>
    <row r="1979" spans="1:23">
      <c r="A1979" s="1" t="s">
        <v>3552</v>
      </c>
      <c r="B1979" s="1" t="s">
        <v>293</v>
      </c>
      <c r="C1979" s="1" t="s">
        <v>18</v>
      </c>
      <c r="D1979" s="1" t="s">
        <v>30</v>
      </c>
      <c r="E1979" s="1" t="s">
        <v>91</v>
      </c>
      <c r="F1979">
        <v>2</v>
      </c>
      <c r="G1979" s="2">
        <v>46082</v>
      </c>
      <c r="H1979" s="2">
        <v>46211</v>
      </c>
      <c r="I1979">
        <v>117.58</v>
      </c>
      <c r="M1979" s="1" t="s">
        <v>32</v>
      </c>
      <c r="N1979" s="1" t="s">
        <v>137</v>
      </c>
      <c r="O1979" s="2">
        <v>46263</v>
      </c>
      <c r="P1979" s="2"/>
      <c r="Q1979">
        <f>_xlfn.XLOOKUP(E1979,CPT!$A$2:$A$13,CPT!$D$2:$D$13)</f>
        <v>58</v>
      </c>
      <c r="R1979" s="1">
        <f>_xlfn.XLOOKUP(C1979,Contract!$A$2:$A$9,Contract!$B$2:$B$9)</f>
        <v>0.38</v>
      </c>
      <c r="S1979" s="1">
        <f t="shared" si="120"/>
        <v>44.08</v>
      </c>
      <c r="T1979" s="1" t="str">
        <f t="shared" si="121"/>
        <v/>
      </c>
      <c r="U1979" s="1" t="str">
        <f t="shared" si="122"/>
        <v/>
      </c>
      <c r="V1979" s="1" t="str">
        <f>_xlfn.XLOOKUP(C1979,Payers!$A$2:$A$9,Payers!$B$2:$B$9)</f>
        <v>Sunshine Medicare Advantage</v>
      </c>
      <c r="W1979" s="1" t="str">
        <f t="shared" si="123"/>
        <v>2026-03</v>
      </c>
    </row>
    <row r="1980" spans="1:23">
      <c r="A1980" s="1" t="s">
        <v>3553</v>
      </c>
      <c r="B1980" s="1" t="s">
        <v>3554</v>
      </c>
      <c r="C1980" s="1" t="s">
        <v>60</v>
      </c>
      <c r="D1980" s="1" t="s">
        <v>30</v>
      </c>
      <c r="E1980" s="1" t="s">
        <v>31</v>
      </c>
      <c r="F1980">
        <v>1</v>
      </c>
      <c r="G1980" s="2">
        <v>45963</v>
      </c>
      <c r="H1980" s="2">
        <v>45964</v>
      </c>
      <c r="I1980">
        <v>61.59</v>
      </c>
      <c r="J1980">
        <v>25.51</v>
      </c>
      <c r="K1980">
        <v>20.41</v>
      </c>
      <c r="L1980">
        <v>5.0999999999999996</v>
      </c>
      <c r="M1980" s="1" t="s">
        <v>21</v>
      </c>
      <c r="N1980" s="1" t="s">
        <v>22</v>
      </c>
      <c r="O1980" s="2">
        <v>45989</v>
      </c>
      <c r="P1980" s="2">
        <v>45989</v>
      </c>
      <c r="Q1980">
        <f>_xlfn.XLOOKUP(E1980,CPT!$A$2:$A$13,CPT!$D$2:$D$13)</f>
        <v>62</v>
      </c>
      <c r="R1980" s="1">
        <f>_xlfn.XLOOKUP(C1980,Contract!$A$2:$A$9,Contract!$B$2:$B$9)</f>
        <v>0.45</v>
      </c>
      <c r="S1980" s="1">
        <f t="shared" si="120"/>
        <v>27.9</v>
      </c>
      <c r="T1980" s="1">
        <f t="shared" si="121"/>
        <v>2.389999999999997</v>
      </c>
      <c r="U1980" s="1" t="str">
        <f t="shared" si="122"/>
        <v>Underpaid</v>
      </c>
      <c r="V1980" s="1" t="str">
        <f>_xlfn.XLOOKUP(C1980,Payers!$A$2:$A$9,Payers!$B$2:$B$9)</f>
        <v>Blue Horizon Commercial</v>
      </c>
      <c r="W1980" s="1" t="str">
        <f t="shared" si="123"/>
        <v>2025-11</v>
      </c>
    </row>
    <row r="1981" spans="1:23">
      <c r="A1981" s="1" t="s">
        <v>3555</v>
      </c>
      <c r="B1981" s="1" t="s">
        <v>3556</v>
      </c>
      <c r="C1981" s="1" t="s">
        <v>60</v>
      </c>
      <c r="D1981" s="1" t="s">
        <v>19</v>
      </c>
      <c r="E1981" s="1" t="s">
        <v>41</v>
      </c>
      <c r="F1981">
        <v>1</v>
      </c>
      <c r="G1981" s="2">
        <v>46139</v>
      </c>
      <c r="H1981" s="2">
        <v>46141</v>
      </c>
      <c r="I1981">
        <v>37.270000000000003</v>
      </c>
      <c r="J1981">
        <v>16.12</v>
      </c>
      <c r="K1981">
        <v>16.12</v>
      </c>
      <c r="L1981">
        <v>0</v>
      </c>
      <c r="M1981" s="1" t="s">
        <v>21</v>
      </c>
      <c r="N1981" s="1" t="s">
        <v>22</v>
      </c>
      <c r="O1981" s="2">
        <v>46186</v>
      </c>
      <c r="P1981" s="2">
        <v>46186</v>
      </c>
      <c r="Q1981">
        <f>_xlfn.XLOOKUP(E1981,CPT!$A$2:$A$13,CPT!$D$2:$D$13)</f>
        <v>38</v>
      </c>
      <c r="R1981" s="1">
        <f>_xlfn.XLOOKUP(C1981,Contract!$A$2:$A$9,Contract!$B$2:$B$9)</f>
        <v>0.45</v>
      </c>
      <c r="S1981" s="1">
        <f t="shared" si="120"/>
        <v>17.100000000000001</v>
      </c>
      <c r="T1981" s="1">
        <f t="shared" si="121"/>
        <v>0.98000000000000043</v>
      </c>
      <c r="U1981" s="1" t="str">
        <f t="shared" si="122"/>
        <v>Underpaid</v>
      </c>
      <c r="V1981" s="1" t="str">
        <f>_xlfn.XLOOKUP(C1981,Payers!$A$2:$A$9,Payers!$B$2:$B$9)</f>
        <v>Blue Horizon Commercial</v>
      </c>
      <c r="W1981" s="1" t="str">
        <f t="shared" si="123"/>
        <v>2026-04</v>
      </c>
    </row>
    <row r="1982" spans="1:23">
      <c r="A1982" s="1" t="s">
        <v>3557</v>
      </c>
      <c r="B1982" s="1" t="s">
        <v>3558</v>
      </c>
      <c r="C1982" s="1" t="s">
        <v>60</v>
      </c>
      <c r="D1982" s="1" t="s">
        <v>26</v>
      </c>
      <c r="E1982" s="1" t="s">
        <v>88</v>
      </c>
      <c r="F1982">
        <v>1</v>
      </c>
      <c r="G1982" s="2">
        <v>46127</v>
      </c>
      <c r="H1982" s="2">
        <v>46131</v>
      </c>
      <c r="I1982">
        <v>253.35</v>
      </c>
      <c r="M1982" s="1" t="s">
        <v>32</v>
      </c>
      <c r="N1982" s="1" t="s">
        <v>124</v>
      </c>
      <c r="O1982" s="2">
        <v>46159</v>
      </c>
      <c r="P1982" s="2"/>
      <c r="Q1982">
        <f>_xlfn.XLOOKUP(E1982,CPT!$A$2:$A$13,CPT!$D$2:$D$13)</f>
        <v>260</v>
      </c>
      <c r="R1982" s="1">
        <f>_xlfn.XLOOKUP(C1982,Contract!$A$2:$A$9,Contract!$B$2:$B$9)</f>
        <v>0.45</v>
      </c>
      <c r="S1982" s="1">
        <f t="shared" si="120"/>
        <v>117</v>
      </c>
      <c r="T1982" s="1" t="str">
        <f t="shared" si="121"/>
        <v/>
      </c>
      <c r="U1982" s="1" t="str">
        <f t="shared" si="122"/>
        <v/>
      </c>
      <c r="V1982" s="1" t="str">
        <f>_xlfn.XLOOKUP(C1982,Payers!$A$2:$A$9,Payers!$B$2:$B$9)</f>
        <v>Blue Horizon Commercial</v>
      </c>
      <c r="W1982" s="1" t="str">
        <f t="shared" si="123"/>
        <v>2026-04</v>
      </c>
    </row>
    <row r="1983" spans="1:23">
      <c r="A1983" s="1" t="s">
        <v>3559</v>
      </c>
      <c r="B1983" s="1" t="s">
        <v>3427</v>
      </c>
      <c r="C1983" s="1" t="s">
        <v>60</v>
      </c>
      <c r="D1983" s="1" t="s">
        <v>26</v>
      </c>
      <c r="E1983" s="1" t="s">
        <v>57</v>
      </c>
      <c r="F1983">
        <v>1</v>
      </c>
      <c r="G1983" s="2">
        <v>46133</v>
      </c>
      <c r="H1983" s="2">
        <v>46141</v>
      </c>
      <c r="I1983">
        <v>206.71</v>
      </c>
      <c r="J1983">
        <v>82.29</v>
      </c>
      <c r="K1983">
        <v>82.29</v>
      </c>
      <c r="L1983">
        <v>0</v>
      </c>
      <c r="M1983" s="1" t="s">
        <v>21</v>
      </c>
      <c r="N1983" s="1" t="s">
        <v>22</v>
      </c>
      <c r="O1983" s="2">
        <v>46168</v>
      </c>
      <c r="P1983" s="2">
        <v>46168</v>
      </c>
      <c r="Q1983">
        <f>_xlfn.XLOOKUP(E1983,CPT!$A$2:$A$13,CPT!$D$2:$D$13)</f>
        <v>210</v>
      </c>
      <c r="R1983" s="1">
        <f>_xlfn.XLOOKUP(C1983,Contract!$A$2:$A$9,Contract!$B$2:$B$9)</f>
        <v>0.45</v>
      </c>
      <c r="S1983" s="1">
        <f t="shared" si="120"/>
        <v>94.5</v>
      </c>
      <c r="T1983" s="1">
        <f t="shared" si="121"/>
        <v>12.209999999999994</v>
      </c>
      <c r="U1983" s="1" t="str">
        <f t="shared" si="122"/>
        <v>Underpaid</v>
      </c>
      <c r="V1983" s="1" t="str">
        <f>_xlfn.XLOOKUP(C1983,Payers!$A$2:$A$9,Payers!$B$2:$B$9)</f>
        <v>Blue Horizon Commercial</v>
      </c>
      <c r="W1983" s="1" t="str">
        <f t="shared" si="123"/>
        <v>2026-04</v>
      </c>
    </row>
    <row r="1984" spans="1:23">
      <c r="A1984" s="1" t="s">
        <v>3560</v>
      </c>
      <c r="B1984" s="1" t="s">
        <v>867</v>
      </c>
      <c r="C1984" s="1" t="s">
        <v>36</v>
      </c>
      <c r="D1984" s="1" t="s">
        <v>19</v>
      </c>
      <c r="E1984" s="1" t="s">
        <v>88</v>
      </c>
      <c r="F1984">
        <v>1</v>
      </c>
      <c r="G1984" s="2">
        <v>46250</v>
      </c>
      <c r="H1984" s="2">
        <v>46251</v>
      </c>
      <c r="I1984">
        <v>260.7</v>
      </c>
      <c r="J1984">
        <v>72.290000000000006</v>
      </c>
      <c r="K1984">
        <v>72.290000000000006</v>
      </c>
      <c r="L1984">
        <v>0</v>
      </c>
      <c r="M1984" s="1" t="s">
        <v>21</v>
      </c>
      <c r="N1984" s="1" t="s">
        <v>22</v>
      </c>
      <c r="O1984" s="2">
        <v>46261</v>
      </c>
      <c r="P1984" s="2">
        <v>46261</v>
      </c>
      <c r="Q1984">
        <f>_xlfn.XLOOKUP(E1984,CPT!$A$2:$A$13,CPT!$D$2:$D$13)</f>
        <v>260</v>
      </c>
      <c r="R1984" s="1">
        <f>_xlfn.XLOOKUP(C1984,Contract!$A$2:$A$9,Contract!$B$2:$B$9)</f>
        <v>0.27</v>
      </c>
      <c r="S1984" s="1">
        <f t="shared" si="120"/>
        <v>70.2</v>
      </c>
      <c r="T1984" s="1">
        <f t="shared" si="121"/>
        <v>-2.0900000000000034</v>
      </c>
      <c r="U1984" s="1" t="str">
        <f t="shared" si="122"/>
        <v>OK</v>
      </c>
      <c r="V1984" s="1" t="str">
        <f>_xlfn.XLOOKUP(C1984,Payers!$A$2:$A$9,Payers!$B$2:$B$9)</f>
        <v>Florida Medicaid</v>
      </c>
      <c r="W1984" s="1" t="str">
        <f t="shared" si="123"/>
        <v>2026-08</v>
      </c>
    </row>
    <row r="1985" spans="1:23">
      <c r="A1985" s="1" t="s">
        <v>3561</v>
      </c>
      <c r="B1985" s="1" t="s">
        <v>2181</v>
      </c>
      <c r="C1985" s="1" t="s">
        <v>60</v>
      </c>
      <c r="D1985" s="1" t="s">
        <v>37</v>
      </c>
      <c r="E1985" s="1" t="s">
        <v>57</v>
      </c>
      <c r="F1985">
        <v>1</v>
      </c>
      <c r="G1985" s="2">
        <v>46117</v>
      </c>
      <c r="H1985" s="2">
        <v>46121</v>
      </c>
      <c r="I1985">
        <v>205.4</v>
      </c>
      <c r="J1985">
        <v>97.85</v>
      </c>
      <c r="K1985">
        <v>78.28</v>
      </c>
      <c r="L1985">
        <v>19.57</v>
      </c>
      <c r="M1985" s="1" t="s">
        <v>21</v>
      </c>
      <c r="N1985" s="1" t="s">
        <v>22</v>
      </c>
      <c r="O1985" s="2">
        <v>46135</v>
      </c>
      <c r="P1985" s="2">
        <v>46135</v>
      </c>
      <c r="Q1985">
        <f>_xlfn.XLOOKUP(E1985,CPT!$A$2:$A$13,CPT!$D$2:$D$13)</f>
        <v>210</v>
      </c>
      <c r="R1985" s="1">
        <f>_xlfn.XLOOKUP(C1985,Contract!$A$2:$A$9,Contract!$B$2:$B$9)</f>
        <v>0.45</v>
      </c>
      <c r="S1985" s="1">
        <f t="shared" si="120"/>
        <v>94.5</v>
      </c>
      <c r="T1985" s="1">
        <f t="shared" si="121"/>
        <v>-3.3499999999999943</v>
      </c>
      <c r="U1985" s="1" t="str">
        <f t="shared" si="122"/>
        <v>OK</v>
      </c>
      <c r="V1985" s="1" t="str">
        <f>_xlfn.XLOOKUP(C1985,Payers!$A$2:$A$9,Payers!$B$2:$B$9)</f>
        <v>Blue Horizon Commercial</v>
      </c>
      <c r="W1985" s="1" t="str">
        <f t="shared" si="123"/>
        <v>2026-04</v>
      </c>
    </row>
    <row r="1986" spans="1:23">
      <c r="A1986" s="1" t="s">
        <v>3562</v>
      </c>
      <c r="B1986" s="1" t="s">
        <v>1069</v>
      </c>
      <c r="C1986" s="1" t="s">
        <v>18</v>
      </c>
      <c r="D1986" s="1" t="s">
        <v>19</v>
      </c>
      <c r="E1986" s="1" t="s">
        <v>41</v>
      </c>
      <c r="F1986">
        <v>1</v>
      </c>
      <c r="G1986" s="2">
        <v>46118</v>
      </c>
      <c r="H1986" s="2">
        <v>46119</v>
      </c>
      <c r="I1986">
        <v>37.39</v>
      </c>
      <c r="J1986">
        <v>12.91</v>
      </c>
      <c r="K1986">
        <v>10.33</v>
      </c>
      <c r="L1986">
        <v>2.58</v>
      </c>
      <c r="M1986" s="1" t="s">
        <v>21</v>
      </c>
      <c r="N1986" s="1" t="s">
        <v>22</v>
      </c>
      <c r="O1986" s="2">
        <v>46167</v>
      </c>
      <c r="P1986" s="2">
        <v>46167</v>
      </c>
      <c r="Q1986">
        <f>_xlfn.XLOOKUP(E1986,CPT!$A$2:$A$13,CPT!$D$2:$D$13)</f>
        <v>38</v>
      </c>
      <c r="R1986" s="1">
        <f>_xlfn.XLOOKUP(C1986,Contract!$A$2:$A$9,Contract!$B$2:$B$9)</f>
        <v>0.38</v>
      </c>
      <c r="S1986" s="1">
        <f t="shared" ref="S1986:S2049" si="124">ROUND(Q1986*F1986*R1986,2)</f>
        <v>14.44</v>
      </c>
      <c r="T1986" s="1">
        <f t="shared" ref="T1986:T2049" si="125">IF(M1986="Paid",S1986-J1986,"")</f>
        <v>1.5299999999999994</v>
      </c>
      <c r="U1986" s="1" t="str">
        <f t="shared" ref="U1986:U2049" si="126">IF(M1986&lt;&gt;"Paid","",IF(T1986&gt;S1986*0.05,"Underpaid","OK"))</f>
        <v>Underpaid</v>
      </c>
      <c r="V1986" s="1" t="str">
        <f>_xlfn.XLOOKUP(C1986,Payers!$A$2:$A$9,Payers!$B$2:$B$9)</f>
        <v>Sunshine Medicare Advantage</v>
      </c>
      <c r="W1986" s="1" t="str">
        <f t="shared" ref="W1986:W2049" si="127">TEXT(G1986,"yyyy-mm")</f>
        <v>2026-04</v>
      </c>
    </row>
    <row r="1987" spans="1:23">
      <c r="A1987" s="1" t="s">
        <v>3563</v>
      </c>
      <c r="B1987" s="1" t="s">
        <v>1607</v>
      </c>
      <c r="C1987" s="1" t="s">
        <v>76</v>
      </c>
      <c r="D1987" s="1" t="s">
        <v>26</v>
      </c>
      <c r="E1987" s="1" t="s">
        <v>113</v>
      </c>
      <c r="F1987">
        <v>1</v>
      </c>
      <c r="G1987" s="2">
        <v>46183</v>
      </c>
      <c r="H1987" s="2">
        <v>46188</v>
      </c>
      <c r="I1987">
        <v>1077.3699999999999</v>
      </c>
      <c r="J1987">
        <v>428.1</v>
      </c>
      <c r="K1987">
        <v>428.1</v>
      </c>
      <c r="L1987">
        <v>0</v>
      </c>
      <c r="M1987" s="1" t="s">
        <v>21</v>
      </c>
      <c r="N1987" s="1" t="s">
        <v>22</v>
      </c>
      <c r="O1987" s="2">
        <v>46221</v>
      </c>
      <c r="P1987" s="2">
        <v>46221</v>
      </c>
      <c r="Q1987">
        <f>_xlfn.XLOOKUP(E1987,CPT!$A$2:$A$13,CPT!$D$2:$D$13)</f>
        <v>1050</v>
      </c>
      <c r="R1987" s="1">
        <f>_xlfn.XLOOKUP(C1987,Contract!$A$2:$A$9,Contract!$B$2:$B$9)</f>
        <v>0.43</v>
      </c>
      <c r="S1987" s="1">
        <f t="shared" si="124"/>
        <v>451.5</v>
      </c>
      <c r="T1987" s="1">
        <f t="shared" si="125"/>
        <v>23.399999999999977</v>
      </c>
      <c r="U1987" s="1" t="str">
        <f t="shared" si="126"/>
        <v>Underpaid</v>
      </c>
      <c r="V1987" s="1" t="str">
        <f>_xlfn.XLOOKUP(C1987,Payers!$A$2:$A$9,Payers!$B$2:$B$9)</f>
        <v>Summit Health Commercial</v>
      </c>
      <c r="W1987" s="1" t="str">
        <f t="shared" si="127"/>
        <v>2026-06</v>
      </c>
    </row>
    <row r="1988" spans="1:23">
      <c r="A1988" s="1" t="s">
        <v>3564</v>
      </c>
      <c r="B1988" s="1" t="s">
        <v>3565</v>
      </c>
      <c r="C1988" s="1" t="s">
        <v>25</v>
      </c>
      <c r="D1988" s="1" t="s">
        <v>26</v>
      </c>
      <c r="E1988" s="1" t="s">
        <v>41</v>
      </c>
      <c r="F1988">
        <v>1</v>
      </c>
      <c r="G1988" s="2">
        <v>46240</v>
      </c>
      <c r="H1988" s="2">
        <v>46242</v>
      </c>
      <c r="I1988">
        <v>37.5</v>
      </c>
      <c r="J1988">
        <v>13.56</v>
      </c>
      <c r="K1988">
        <v>13.56</v>
      </c>
      <c r="L1988">
        <v>0</v>
      </c>
      <c r="M1988" s="1" t="s">
        <v>21</v>
      </c>
      <c r="N1988" s="1" t="s">
        <v>22</v>
      </c>
      <c r="O1988" s="2">
        <v>46260</v>
      </c>
      <c r="P1988" s="2">
        <v>46260</v>
      </c>
      <c r="Q1988">
        <f>_xlfn.XLOOKUP(E1988,CPT!$A$2:$A$13,CPT!$D$2:$D$13)</f>
        <v>38</v>
      </c>
      <c r="R1988" s="1">
        <f>_xlfn.XLOOKUP(C1988,Contract!$A$2:$A$9,Contract!$B$2:$B$9)</f>
        <v>0.36</v>
      </c>
      <c r="S1988" s="1">
        <f t="shared" si="124"/>
        <v>13.68</v>
      </c>
      <c r="T1988" s="1">
        <f t="shared" si="125"/>
        <v>0.11999999999999922</v>
      </c>
      <c r="U1988" s="1" t="str">
        <f t="shared" si="126"/>
        <v>OK</v>
      </c>
      <c r="V1988" s="1" t="str">
        <f>_xlfn.XLOOKUP(C1988,Payers!$A$2:$A$9,Payers!$B$2:$B$9)</f>
        <v>Medicare Part B</v>
      </c>
      <c r="W1988" s="1" t="str">
        <f t="shared" si="127"/>
        <v>2026-08</v>
      </c>
    </row>
    <row r="1989" spans="1:23">
      <c r="A1989" s="1" t="s">
        <v>3566</v>
      </c>
      <c r="B1989" s="1" t="s">
        <v>233</v>
      </c>
      <c r="C1989" s="1" t="s">
        <v>76</v>
      </c>
      <c r="D1989" s="1" t="s">
        <v>19</v>
      </c>
      <c r="E1989" s="1" t="s">
        <v>41</v>
      </c>
      <c r="F1989">
        <v>1</v>
      </c>
      <c r="G1989" s="2">
        <v>46110</v>
      </c>
      <c r="H1989" s="2">
        <v>46112</v>
      </c>
      <c r="I1989">
        <v>38.07</v>
      </c>
      <c r="J1989">
        <v>15.18</v>
      </c>
      <c r="K1989">
        <v>13.66</v>
      </c>
      <c r="L1989">
        <v>1.52</v>
      </c>
      <c r="M1989" s="1" t="s">
        <v>21</v>
      </c>
      <c r="N1989" s="1" t="s">
        <v>22</v>
      </c>
      <c r="O1989" s="2">
        <v>46145</v>
      </c>
      <c r="P1989" s="2">
        <v>46145</v>
      </c>
      <c r="Q1989">
        <f>_xlfn.XLOOKUP(E1989,CPT!$A$2:$A$13,CPT!$D$2:$D$13)</f>
        <v>38</v>
      </c>
      <c r="R1989" s="1">
        <f>_xlfn.XLOOKUP(C1989,Contract!$A$2:$A$9,Contract!$B$2:$B$9)</f>
        <v>0.43</v>
      </c>
      <c r="S1989" s="1">
        <f t="shared" si="124"/>
        <v>16.34</v>
      </c>
      <c r="T1989" s="1">
        <f t="shared" si="125"/>
        <v>1.1600000000000001</v>
      </c>
      <c r="U1989" s="1" t="str">
        <f t="shared" si="126"/>
        <v>Underpaid</v>
      </c>
      <c r="V1989" s="1" t="str">
        <f>_xlfn.XLOOKUP(C1989,Payers!$A$2:$A$9,Payers!$B$2:$B$9)</f>
        <v>Summit Health Commercial</v>
      </c>
      <c r="W1989" s="1" t="str">
        <f t="shared" si="127"/>
        <v>2026-03</v>
      </c>
    </row>
    <row r="1990" spans="1:23">
      <c r="A1990" s="1" t="s">
        <v>3567</v>
      </c>
      <c r="B1990" s="1" t="s">
        <v>2524</v>
      </c>
      <c r="C1990" s="1" t="s">
        <v>47</v>
      </c>
      <c r="D1990" s="1" t="s">
        <v>30</v>
      </c>
      <c r="E1990" s="1" t="s">
        <v>31</v>
      </c>
      <c r="F1990">
        <v>4</v>
      </c>
      <c r="G1990" s="2">
        <v>46236</v>
      </c>
      <c r="H1990" s="2">
        <v>46237</v>
      </c>
      <c r="I1990">
        <v>246.08</v>
      </c>
      <c r="M1990" s="1" t="s">
        <v>69</v>
      </c>
      <c r="N1990" s="1" t="s">
        <v>22</v>
      </c>
      <c r="O1990" s="2"/>
      <c r="P1990" s="2"/>
      <c r="Q1990">
        <f>_xlfn.XLOOKUP(E1990,CPT!$A$2:$A$13,CPT!$D$2:$D$13)</f>
        <v>62</v>
      </c>
      <c r="R1990" s="1">
        <f>_xlfn.XLOOKUP(C1990,Contract!$A$2:$A$9,Contract!$B$2:$B$9)</f>
        <v>0.28000000000000003</v>
      </c>
      <c r="S1990" s="1">
        <f t="shared" si="124"/>
        <v>69.44</v>
      </c>
      <c r="T1990" s="1" t="str">
        <f t="shared" si="125"/>
        <v/>
      </c>
      <c r="U1990" s="1" t="str">
        <f t="shared" si="126"/>
        <v/>
      </c>
      <c r="V1990" s="1" t="str">
        <f>_xlfn.XLOOKUP(C1990,Payers!$A$2:$A$9,Payers!$B$2:$B$9)</f>
        <v>Coastal Medicaid MCO</v>
      </c>
      <c r="W1990" s="1" t="str">
        <f t="shared" si="127"/>
        <v>2026-08</v>
      </c>
    </row>
    <row r="1991" spans="1:23">
      <c r="A1991" s="1" t="s">
        <v>3568</v>
      </c>
      <c r="B1991" s="1" t="s">
        <v>2677</v>
      </c>
      <c r="C1991" s="1" t="s">
        <v>76</v>
      </c>
      <c r="D1991" s="1" t="s">
        <v>30</v>
      </c>
      <c r="E1991" s="1" t="s">
        <v>31</v>
      </c>
      <c r="F1991">
        <v>1</v>
      </c>
      <c r="G1991" s="2">
        <v>46147</v>
      </c>
      <c r="H1991" s="2">
        <v>46149</v>
      </c>
      <c r="I1991">
        <v>61.81</v>
      </c>
      <c r="J1991">
        <v>25.78</v>
      </c>
      <c r="K1991">
        <v>20.62</v>
      </c>
      <c r="L1991">
        <v>5.16</v>
      </c>
      <c r="M1991" s="1" t="s">
        <v>21</v>
      </c>
      <c r="N1991" s="1" t="s">
        <v>22</v>
      </c>
      <c r="O1991" s="2">
        <v>46198</v>
      </c>
      <c r="P1991" s="2">
        <v>46198</v>
      </c>
      <c r="Q1991">
        <f>_xlfn.XLOOKUP(E1991,CPT!$A$2:$A$13,CPT!$D$2:$D$13)</f>
        <v>62</v>
      </c>
      <c r="R1991" s="1">
        <f>_xlfn.XLOOKUP(C1991,Contract!$A$2:$A$9,Contract!$B$2:$B$9)</f>
        <v>0.43</v>
      </c>
      <c r="S1991" s="1">
        <f t="shared" si="124"/>
        <v>26.66</v>
      </c>
      <c r="T1991" s="1">
        <f t="shared" si="125"/>
        <v>0.87999999999999901</v>
      </c>
      <c r="U1991" s="1" t="str">
        <f t="shared" si="126"/>
        <v>OK</v>
      </c>
      <c r="V1991" s="1" t="str">
        <f>_xlfn.XLOOKUP(C1991,Payers!$A$2:$A$9,Payers!$B$2:$B$9)</f>
        <v>Summit Health Commercial</v>
      </c>
      <c r="W1991" s="1" t="str">
        <f t="shared" si="127"/>
        <v>2026-05</v>
      </c>
    </row>
    <row r="1992" spans="1:23">
      <c r="A1992" s="1" t="s">
        <v>3569</v>
      </c>
      <c r="B1992" s="1" t="s">
        <v>2118</v>
      </c>
      <c r="C1992" s="1" t="s">
        <v>36</v>
      </c>
      <c r="D1992" s="1" t="s">
        <v>26</v>
      </c>
      <c r="E1992" s="1" t="s">
        <v>185</v>
      </c>
      <c r="F1992">
        <v>1</v>
      </c>
      <c r="G1992" s="2">
        <v>45963</v>
      </c>
      <c r="H1992" s="2">
        <v>45965</v>
      </c>
      <c r="I1992">
        <v>1140.75</v>
      </c>
      <c r="M1992" s="1" t="s">
        <v>32</v>
      </c>
      <c r="N1992" s="1" t="s">
        <v>124</v>
      </c>
      <c r="O1992" s="2">
        <v>46012</v>
      </c>
      <c r="P1992" s="2"/>
      <c r="Q1992">
        <f>_xlfn.XLOOKUP(E1992,CPT!$A$2:$A$13,CPT!$D$2:$D$13)</f>
        <v>1150</v>
      </c>
      <c r="R1992" s="1">
        <f>_xlfn.XLOOKUP(C1992,Contract!$A$2:$A$9,Contract!$B$2:$B$9)</f>
        <v>0.27</v>
      </c>
      <c r="S1992" s="1">
        <f t="shared" si="124"/>
        <v>310.5</v>
      </c>
      <c r="T1992" s="1" t="str">
        <f t="shared" si="125"/>
        <v/>
      </c>
      <c r="U1992" s="1" t="str">
        <f t="shared" si="126"/>
        <v/>
      </c>
      <c r="V1992" s="1" t="str">
        <f>_xlfn.XLOOKUP(C1992,Payers!$A$2:$A$9,Payers!$B$2:$B$9)</f>
        <v>Florida Medicaid</v>
      </c>
      <c r="W1992" s="1" t="str">
        <f t="shared" si="127"/>
        <v>2025-11</v>
      </c>
    </row>
    <row r="1993" spans="1:23">
      <c r="A1993" s="1" t="s">
        <v>3570</v>
      </c>
      <c r="B1993" s="1" t="s">
        <v>3571</v>
      </c>
      <c r="C1993" s="1" t="s">
        <v>36</v>
      </c>
      <c r="D1993" s="1" t="s">
        <v>26</v>
      </c>
      <c r="E1993" s="1" t="s">
        <v>113</v>
      </c>
      <c r="F1993">
        <v>1</v>
      </c>
      <c r="G1993" s="2">
        <v>46092</v>
      </c>
      <c r="H1993" s="2">
        <v>46094</v>
      </c>
      <c r="I1993">
        <v>1045.1600000000001</v>
      </c>
      <c r="J1993">
        <v>243.73</v>
      </c>
      <c r="K1993">
        <v>243.73</v>
      </c>
      <c r="L1993">
        <v>0</v>
      </c>
      <c r="M1993" s="1" t="s">
        <v>21</v>
      </c>
      <c r="N1993" s="1" t="s">
        <v>22</v>
      </c>
      <c r="O1993" s="2">
        <v>46137</v>
      </c>
      <c r="P1993" s="2">
        <v>46137</v>
      </c>
      <c r="Q1993">
        <f>_xlfn.XLOOKUP(E1993,CPT!$A$2:$A$13,CPT!$D$2:$D$13)</f>
        <v>1050</v>
      </c>
      <c r="R1993" s="1">
        <f>_xlfn.XLOOKUP(C1993,Contract!$A$2:$A$9,Contract!$B$2:$B$9)</f>
        <v>0.27</v>
      </c>
      <c r="S1993" s="1">
        <f t="shared" si="124"/>
        <v>283.5</v>
      </c>
      <c r="T1993" s="1">
        <f t="shared" si="125"/>
        <v>39.77000000000001</v>
      </c>
      <c r="U1993" s="1" t="str">
        <f t="shared" si="126"/>
        <v>Underpaid</v>
      </c>
      <c r="V1993" s="1" t="str">
        <f>_xlfn.XLOOKUP(C1993,Payers!$A$2:$A$9,Payers!$B$2:$B$9)</f>
        <v>Florida Medicaid</v>
      </c>
      <c r="W1993" s="1" t="str">
        <f t="shared" si="127"/>
        <v>2026-03</v>
      </c>
    </row>
    <row r="1994" spans="1:23">
      <c r="A1994" s="1" t="s">
        <v>3572</v>
      </c>
      <c r="B1994" s="1" t="s">
        <v>3573</v>
      </c>
      <c r="C1994" s="1" t="s">
        <v>60</v>
      </c>
      <c r="D1994" s="1" t="s">
        <v>26</v>
      </c>
      <c r="E1994" s="1" t="s">
        <v>88</v>
      </c>
      <c r="F1994">
        <v>1</v>
      </c>
      <c r="G1994" s="2">
        <v>46233</v>
      </c>
      <c r="H1994" s="2">
        <v>46236</v>
      </c>
      <c r="I1994">
        <v>257.29000000000002</v>
      </c>
      <c r="J1994">
        <v>123.33</v>
      </c>
      <c r="K1994">
        <v>111</v>
      </c>
      <c r="L1994">
        <v>12.33</v>
      </c>
      <c r="M1994" s="1" t="s">
        <v>21</v>
      </c>
      <c r="N1994" s="1" t="s">
        <v>22</v>
      </c>
      <c r="O1994" s="2">
        <v>46277</v>
      </c>
      <c r="P1994" s="2">
        <v>46277</v>
      </c>
      <c r="Q1994">
        <f>_xlfn.XLOOKUP(E1994,CPT!$A$2:$A$13,CPT!$D$2:$D$13)</f>
        <v>260</v>
      </c>
      <c r="R1994" s="1">
        <f>_xlfn.XLOOKUP(C1994,Contract!$A$2:$A$9,Contract!$B$2:$B$9)</f>
        <v>0.45</v>
      </c>
      <c r="S1994" s="1">
        <f t="shared" si="124"/>
        <v>117</v>
      </c>
      <c r="T1994" s="1">
        <f t="shared" si="125"/>
        <v>-6.3299999999999983</v>
      </c>
      <c r="U1994" s="1" t="str">
        <f t="shared" si="126"/>
        <v>OK</v>
      </c>
      <c r="V1994" s="1" t="str">
        <f>_xlfn.XLOOKUP(C1994,Payers!$A$2:$A$9,Payers!$B$2:$B$9)</f>
        <v>Blue Horizon Commercial</v>
      </c>
      <c r="W1994" s="1" t="str">
        <f t="shared" si="127"/>
        <v>2026-07</v>
      </c>
    </row>
    <row r="1995" spans="1:23">
      <c r="A1995" s="1" t="s">
        <v>3574</v>
      </c>
      <c r="B1995" s="1" t="s">
        <v>3575</v>
      </c>
      <c r="C1995" s="1" t="s">
        <v>76</v>
      </c>
      <c r="D1995" s="1" t="s">
        <v>26</v>
      </c>
      <c r="E1995" s="1" t="s">
        <v>44</v>
      </c>
      <c r="F1995">
        <v>1</v>
      </c>
      <c r="G1995" s="2">
        <v>46170</v>
      </c>
      <c r="H1995" s="2">
        <v>46172</v>
      </c>
      <c r="I1995">
        <v>4824.0600000000004</v>
      </c>
      <c r="J1995">
        <v>2108.91</v>
      </c>
      <c r="K1995">
        <v>2108.91</v>
      </c>
      <c r="L1995">
        <v>0</v>
      </c>
      <c r="M1995" s="1" t="s">
        <v>21</v>
      </c>
      <c r="N1995" s="1" t="s">
        <v>22</v>
      </c>
      <c r="O1995" s="2">
        <v>46200</v>
      </c>
      <c r="P1995" s="2">
        <v>46200</v>
      </c>
      <c r="Q1995">
        <f>_xlfn.XLOOKUP(E1995,CPT!$A$2:$A$13,CPT!$D$2:$D$13)</f>
        <v>4800</v>
      </c>
      <c r="R1995" s="1">
        <f>_xlfn.XLOOKUP(C1995,Contract!$A$2:$A$9,Contract!$B$2:$B$9)</f>
        <v>0.43</v>
      </c>
      <c r="S1995" s="1">
        <f t="shared" si="124"/>
        <v>2064</v>
      </c>
      <c r="T1995" s="1">
        <f t="shared" si="125"/>
        <v>-44.909999999999854</v>
      </c>
      <c r="U1995" s="1" t="str">
        <f t="shared" si="126"/>
        <v>OK</v>
      </c>
      <c r="V1995" s="1" t="str">
        <f>_xlfn.XLOOKUP(C1995,Payers!$A$2:$A$9,Payers!$B$2:$B$9)</f>
        <v>Summit Health Commercial</v>
      </c>
      <c r="W1995" s="1" t="str">
        <f t="shared" si="127"/>
        <v>2026-05</v>
      </c>
    </row>
    <row r="1996" spans="1:23">
      <c r="A1996" s="1" t="s">
        <v>3576</v>
      </c>
      <c r="B1996" s="1" t="s">
        <v>3558</v>
      </c>
      <c r="C1996" s="1" t="s">
        <v>25</v>
      </c>
      <c r="D1996" s="1" t="s">
        <v>37</v>
      </c>
      <c r="E1996" s="1" t="s">
        <v>57</v>
      </c>
      <c r="F1996">
        <v>1</v>
      </c>
      <c r="G1996" s="2">
        <v>46203</v>
      </c>
      <c r="H1996" s="2">
        <v>46217</v>
      </c>
      <c r="I1996">
        <v>208.71</v>
      </c>
      <c r="J1996">
        <v>83.26</v>
      </c>
      <c r="K1996">
        <v>74.930000000000007</v>
      </c>
      <c r="L1996">
        <v>8.33</v>
      </c>
      <c r="M1996" s="1" t="s">
        <v>21</v>
      </c>
      <c r="N1996" s="1" t="s">
        <v>22</v>
      </c>
      <c r="O1996" s="2">
        <v>46231</v>
      </c>
      <c r="P1996" s="2">
        <v>46231</v>
      </c>
      <c r="Q1996">
        <f>_xlfn.XLOOKUP(E1996,CPT!$A$2:$A$13,CPT!$D$2:$D$13)</f>
        <v>210</v>
      </c>
      <c r="R1996" s="1">
        <f>_xlfn.XLOOKUP(C1996,Contract!$A$2:$A$9,Contract!$B$2:$B$9)</f>
        <v>0.36</v>
      </c>
      <c r="S1996" s="1">
        <f t="shared" si="124"/>
        <v>75.599999999999994</v>
      </c>
      <c r="T1996" s="1">
        <f t="shared" si="125"/>
        <v>-7.6600000000000108</v>
      </c>
      <c r="U1996" s="1" t="str">
        <f t="shared" si="126"/>
        <v>OK</v>
      </c>
      <c r="V1996" s="1" t="str">
        <f>_xlfn.XLOOKUP(C1996,Payers!$A$2:$A$9,Payers!$B$2:$B$9)</f>
        <v>Medicare Part B</v>
      </c>
      <c r="W1996" s="1" t="str">
        <f t="shared" si="127"/>
        <v>2026-06</v>
      </c>
    </row>
    <row r="1997" spans="1:23">
      <c r="A1997" s="1" t="s">
        <v>3577</v>
      </c>
      <c r="B1997" s="1" t="s">
        <v>3578</v>
      </c>
      <c r="C1997" s="1" t="s">
        <v>60</v>
      </c>
      <c r="D1997" s="1" t="s">
        <v>30</v>
      </c>
      <c r="E1997" s="1" t="s">
        <v>20</v>
      </c>
      <c r="F1997">
        <v>1</v>
      </c>
      <c r="G1997" s="2">
        <v>46096</v>
      </c>
      <c r="H1997" s="2">
        <v>46099</v>
      </c>
      <c r="I1997">
        <v>146.86000000000001</v>
      </c>
      <c r="J1997">
        <v>63.95</v>
      </c>
      <c r="K1997">
        <v>63.95</v>
      </c>
      <c r="L1997">
        <v>0</v>
      </c>
      <c r="M1997" s="1" t="s">
        <v>21</v>
      </c>
      <c r="N1997" s="1" t="s">
        <v>22</v>
      </c>
      <c r="O1997" s="2">
        <v>46130</v>
      </c>
      <c r="P1997" s="2">
        <v>46130</v>
      </c>
      <c r="Q1997">
        <f>_xlfn.XLOOKUP(E1997,CPT!$A$2:$A$13,CPT!$D$2:$D$13)</f>
        <v>145</v>
      </c>
      <c r="R1997" s="1">
        <f>_xlfn.XLOOKUP(C1997,Contract!$A$2:$A$9,Contract!$B$2:$B$9)</f>
        <v>0.45</v>
      </c>
      <c r="S1997" s="1">
        <f t="shared" si="124"/>
        <v>65.25</v>
      </c>
      <c r="T1997" s="1">
        <f t="shared" si="125"/>
        <v>1.2999999999999972</v>
      </c>
      <c r="U1997" s="1" t="str">
        <f t="shared" si="126"/>
        <v>OK</v>
      </c>
      <c r="V1997" s="1" t="str">
        <f>_xlfn.XLOOKUP(C1997,Payers!$A$2:$A$9,Payers!$B$2:$B$9)</f>
        <v>Blue Horizon Commercial</v>
      </c>
      <c r="W1997" s="1" t="str">
        <f t="shared" si="127"/>
        <v>2026-03</v>
      </c>
    </row>
    <row r="1998" spans="1:23">
      <c r="A1998" s="1" t="s">
        <v>3579</v>
      </c>
      <c r="B1998" s="1" t="s">
        <v>3580</v>
      </c>
      <c r="C1998" s="1" t="s">
        <v>18</v>
      </c>
      <c r="D1998" s="1" t="s">
        <v>37</v>
      </c>
      <c r="E1998" s="1" t="s">
        <v>38</v>
      </c>
      <c r="F1998">
        <v>30</v>
      </c>
      <c r="G1998" s="2">
        <v>46055</v>
      </c>
      <c r="H1998" s="2">
        <v>46062</v>
      </c>
      <c r="I1998">
        <v>44407.14</v>
      </c>
      <c r="M1998" s="1" t="s">
        <v>32</v>
      </c>
      <c r="N1998" s="1" t="s">
        <v>315</v>
      </c>
      <c r="O1998" s="2">
        <v>46116</v>
      </c>
      <c r="P1998" s="2"/>
      <c r="Q1998">
        <f>_xlfn.XLOOKUP(E1998,CPT!$A$2:$A$13,CPT!$D$2:$D$13)</f>
        <v>1450</v>
      </c>
      <c r="R1998" s="1">
        <f>_xlfn.XLOOKUP(C1998,Contract!$A$2:$A$9,Contract!$B$2:$B$9)</f>
        <v>0.38</v>
      </c>
      <c r="S1998" s="1">
        <f t="shared" si="124"/>
        <v>16530</v>
      </c>
      <c r="T1998" s="1" t="str">
        <f t="shared" si="125"/>
        <v/>
      </c>
      <c r="U1998" s="1" t="str">
        <f t="shared" si="126"/>
        <v/>
      </c>
      <c r="V1998" s="1" t="str">
        <f>_xlfn.XLOOKUP(C1998,Payers!$A$2:$A$9,Payers!$B$2:$B$9)</f>
        <v>Sunshine Medicare Advantage</v>
      </c>
      <c r="W1998" s="1" t="str">
        <f t="shared" si="127"/>
        <v>2026-02</v>
      </c>
    </row>
    <row r="1999" spans="1:23">
      <c r="A1999" s="1" t="s">
        <v>3581</v>
      </c>
      <c r="B1999" s="1" t="s">
        <v>3582</v>
      </c>
      <c r="C1999" s="1" t="s">
        <v>36</v>
      </c>
      <c r="D1999" s="1" t="s">
        <v>26</v>
      </c>
      <c r="E1999" s="1" t="s">
        <v>44</v>
      </c>
      <c r="F1999">
        <v>1</v>
      </c>
      <c r="G1999" s="2">
        <v>46284</v>
      </c>
      <c r="H1999" s="2">
        <v>46289</v>
      </c>
      <c r="I1999">
        <v>4859.46</v>
      </c>
      <c r="M1999" s="1" t="s">
        <v>69</v>
      </c>
      <c r="N1999" s="1" t="s">
        <v>22</v>
      </c>
      <c r="O1999" s="2"/>
      <c r="P1999" s="2"/>
      <c r="Q1999">
        <f>_xlfn.XLOOKUP(E1999,CPT!$A$2:$A$13,CPT!$D$2:$D$13)</f>
        <v>4800</v>
      </c>
      <c r="R1999" s="1">
        <f>_xlfn.XLOOKUP(C1999,Contract!$A$2:$A$9,Contract!$B$2:$B$9)</f>
        <v>0.27</v>
      </c>
      <c r="S1999" s="1">
        <f t="shared" si="124"/>
        <v>1296</v>
      </c>
      <c r="T1999" s="1" t="str">
        <f t="shared" si="125"/>
        <v/>
      </c>
      <c r="U1999" s="1" t="str">
        <f t="shared" si="126"/>
        <v/>
      </c>
      <c r="V1999" s="1" t="str">
        <f>_xlfn.XLOOKUP(C1999,Payers!$A$2:$A$9,Payers!$B$2:$B$9)</f>
        <v>Florida Medicaid</v>
      </c>
      <c r="W1999" s="1" t="str">
        <f t="shared" si="127"/>
        <v>2026-09</v>
      </c>
    </row>
    <row r="2000" spans="1:23">
      <c r="A2000" s="1" t="s">
        <v>3583</v>
      </c>
      <c r="B2000" s="1" t="s">
        <v>259</v>
      </c>
      <c r="C2000" s="1" t="s">
        <v>60</v>
      </c>
      <c r="D2000" s="1" t="s">
        <v>26</v>
      </c>
      <c r="E2000" s="1" t="s">
        <v>88</v>
      </c>
      <c r="F2000">
        <v>1</v>
      </c>
      <c r="G2000" s="2">
        <v>46218</v>
      </c>
      <c r="H2000" s="2">
        <v>46220</v>
      </c>
      <c r="I2000">
        <v>266.58</v>
      </c>
      <c r="J2000">
        <v>131.72999999999999</v>
      </c>
      <c r="K2000">
        <v>105.38</v>
      </c>
      <c r="L2000">
        <v>26.35</v>
      </c>
      <c r="M2000" s="1" t="s">
        <v>21</v>
      </c>
      <c r="N2000" s="1" t="s">
        <v>22</v>
      </c>
      <c r="O2000" s="2">
        <v>46264</v>
      </c>
      <c r="P2000" s="2">
        <v>46264</v>
      </c>
      <c r="Q2000">
        <f>_xlfn.XLOOKUP(E2000,CPT!$A$2:$A$13,CPT!$D$2:$D$13)</f>
        <v>260</v>
      </c>
      <c r="R2000" s="1">
        <f>_xlfn.XLOOKUP(C2000,Contract!$A$2:$A$9,Contract!$B$2:$B$9)</f>
        <v>0.45</v>
      </c>
      <c r="S2000" s="1">
        <f t="shared" si="124"/>
        <v>117</v>
      </c>
      <c r="T2000" s="1">
        <f t="shared" si="125"/>
        <v>-14.72999999999999</v>
      </c>
      <c r="U2000" s="1" t="str">
        <f t="shared" si="126"/>
        <v>OK</v>
      </c>
      <c r="V2000" s="1" t="str">
        <f>_xlfn.XLOOKUP(C2000,Payers!$A$2:$A$9,Payers!$B$2:$B$9)</f>
        <v>Blue Horizon Commercial</v>
      </c>
      <c r="W2000" s="1" t="str">
        <f t="shared" si="127"/>
        <v>2026-07</v>
      </c>
    </row>
    <row r="2001" spans="1:23">
      <c r="A2001" s="1" t="s">
        <v>3584</v>
      </c>
      <c r="B2001" s="1" t="s">
        <v>2503</v>
      </c>
      <c r="C2001" s="1" t="s">
        <v>76</v>
      </c>
      <c r="D2001" s="1" t="s">
        <v>19</v>
      </c>
      <c r="E2001" s="1" t="s">
        <v>57</v>
      </c>
      <c r="F2001">
        <v>1</v>
      </c>
      <c r="G2001" s="2">
        <v>46155</v>
      </c>
      <c r="H2001" s="2">
        <v>46157</v>
      </c>
      <c r="I2001">
        <v>209.66</v>
      </c>
      <c r="J2001">
        <v>80.13</v>
      </c>
      <c r="K2001">
        <v>72.12</v>
      </c>
      <c r="L2001">
        <v>8.01</v>
      </c>
      <c r="M2001" s="1" t="s">
        <v>21</v>
      </c>
      <c r="N2001" s="1" t="s">
        <v>22</v>
      </c>
      <c r="O2001" s="2">
        <v>46180</v>
      </c>
      <c r="P2001" s="2">
        <v>46180</v>
      </c>
      <c r="Q2001">
        <f>_xlfn.XLOOKUP(E2001,CPT!$A$2:$A$13,CPT!$D$2:$D$13)</f>
        <v>210</v>
      </c>
      <c r="R2001" s="1">
        <f>_xlfn.XLOOKUP(C2001,Contract!$A$2:$A$9,Contract!$B$2:$B$9)</f>
        <v>0.43</v>
      </c>
      <c r="S2001" s="1">
        <f t="shared" si="124"/>
        <v>90.3</v>
      </c>
      <c r="T2001" s="1">
        <f t="shared" si="125"/>
        <v>10.170000000000002</v>
      </c>
      <c r="U2001" s="1" t="str">
        <f t="shared" si="126"/>
        <v>Underpaid</v>
      </c>
      <c r="V2001" s="1" t="str">
        <f>_xlfn.XLOOKUP(C2001,Payers!$A$2:$A$9,Payers!$B$2:$B$9)</f>
        <v>Summit Health Commercial</v>
      </c>
      <c r="W2001" s="1" t="str">
        <f t="shared" si="127"/>
        <v>2026-05</v>
      </c>
    </row>
    <row r="2002" spans="1:23">
      <c r="A2002" s="1" t="s">
        <v>3585</v>
      </c>
      <c r="B2002" s="1" t="s">
        <v>3586</v>
      </c>
      <c r="C2002" s="1" t="s">
        <v>76</v>
      </c>
      <c r="D2002" s="1" t="s">
        <v>26</v>
      </c>
      <c r="E2002" s="1" t="s">
        <v>57</v>
      </c>
      <c r="F2002">
        <v>1</v>
      </c>
      <c r="G2002" s="2">
        <v>46024</v>
      </c>
      <c r="H2002" s="2">
        <v>46025</v>
      </c>
      <c r="I2002">
        <v>203.97</v>
      </c>
      <c r="J2002">
        <v>73.64</v>
      </c>
      <c r="K2002">
        <v>73.64</v>
      </c>
      <c r="L2002">
        <v>0</v>
      </c>
      <c r="M2002" s="1" t="s">
        <v>21</v>
      </c>
      <c r="N2002" s="1" t="s">
        <v>22</v>
      </c>
      <c r="O2002" s="2">
        <v>46051</v>
      </c>
      <c r="P2002" s="2">
        <v>46051</v>
      </c>
      <c r="Q2002">
        <f>_xlfn.XLOOKUP(E2002,CPT!$A$2:$A$13,CPT!$D$2:$D$13)</f>
        <v>210</v>
      </c>
      <c r="R2002" s="1">
        <f>_xlfn.XLOOKUP(C2002,Contract!$A$2:$A$9,Contract!$B$2:$B$9)</f>
        <v>0.43</v>
      </c>
      <c r="S2002" s="1">
        <f t="shared" si="124"/>
        <v>90.3</v>
      </c>
      <c r="T2002" s="1">
        <f t="shared" si="125"/>
        <v>16.659999999999997</v>
      </c>
      <c r="U2002" s="1" t="str">
        <f t="shared" si="126"/>
        <v>Underpaid</v>
      </c>
      <c r="V2002" s="1" t="str">
        <f>_xlfn.XLOOKUP(C2002,Payers!$A$2:$A$9,Payers!$B$2:$B$9)</f>
        <v>Summit Health Commercial</v>
      </c>
      <c r="W2002" s="1" t="str">
        <f t="shared" si="127"/>
        <v>2026-01</v>
      </c>
    </row>
    <row r="2003" spans="1:23">
      <c r="A2003" s="1" t="s">
        <v>3587</v>
      </c>
      <c r="B2003" s="1" t="s">
        <v>1112</v>
      </c>
      <c r="C2003" s="1" t="s">
        <v>60</v>
      </c>
      <c r="D2003" s="1" t="s">
        <v>26</v>
      </c>
      <c r="E2003" s="1" t="s">
        <v>57</v>
      </c>
      <c r="F2003">
        <v>1</v>
      </c>
      <c r="G2003" s="2">
        <v>46083</v>
      </c>
      <c r="H2003" s="2">
        <v>46084</v>
      </c>
      <c r="I2003">
        <v>209.93</v>
      </c>
      <c r="J2003">
        <v>84.16</v>
      </c>
      <c r="K2003">
        <v>84.16</v>
      </c>
      <c r="L2003">
        <v>0</v>
      </c>
      <c r="M2003" s="1" t="s">
        <v>21</v>
      </c>
      <c r="N2003" s="1" t="s">
        <v>22</v>
      </c>
      <c r="O2003" s="2">
        <v>46114</v>
      </c>
      <c r="P2003" s="2">
        <v>46114</v>
      </c>
      <c r="Q2003">
        <f>_xlfn.XLOOKUP(E2003,CPT!$A$2:$A$13,CPT!$D$2:$D$13)</f>
        <v>210</v>
      </c>
      <c r="R2003" s="1">
        <f>_xlfn.XLOOKUP(C2003,Contract!$A$2:$A$9,Contract!$B$2:$B$9)</f>
        <v>0.45</v>
      </c>
      <c r="S2003" s="1">
        <f t="shared" si="124"/>
        <v>94.5</v>
      </c>
      <c r="T2003" s="1">
        <f t="shared" si="125"/>
        <v>10.340000000000003</v>
      </c>
      <c r="U2003" s="1" t="str">
        <f t="shared" si="126"/>
        <v>Underpaid</v>
      </c>
      <c r="V2003" s="1" t="str">
        <f>_xlfn.XLOOKUP(C2003,Payers!$A$2:$A$9,Payers!$B$2:$B$9)</f>
        <v>Blue Horizon Commercial</v>
      </c>
      <c r="W2003" s="1" t="str">
        <f t="shared" si="127"/>
        <v>2026-03</v>
      </c>
    </row>
    <row r="2004" spans="1:23">
      <c r="A2004" s="1" t="s">
        <v>3588</v>
      </c>
      <c r="B2004" s="1" t="s">
        <v>106</v>
      </c>
      <c r="C2004" s="1" t="s">
        <v>36</v>
      </c>
      <c r="D2004" s="1" t="s">
        <v>37</v>
      </c>
      <c r="E2004" s="1" t="s">
        <v>48</v>
      </c>
      <c r="F2004">
        <v>1</v>
      </c>
      <c r="G2004" s="2">
        <v>45974</v>
      </c>
      <c r="H2004" s="2">
        <v>45976</v>
      </c>
      <c r="I2004">
        <v>415.67</v>
      </c>
      <c r="J2004">
        <v>126.08</v>
      </c>
      <c r="K2004">
        <v>113.47</v>
      </c>
      <c r="L2004">
        <v>12.61</v>
      </c>
      <c r="M2004" s="1" t="s">
        <v>21</v>
      </c>
      <c r="N2004" s="1" t="s">
        <v>22</v>
      </c>
      <c r="O2004" s="2">
        <v>46041</v>
      </c>
      <c r="P2004" s="2">
        <v>46041</v>
      </c>
      <c r="Q2004">
        <f>_xlfn.XLOOKUP(E2004,CPT!$A$2:$A$13,CPT!$D$2:$D$13)</f>
        <v>420</v>
      </c>
      <c r="R2004" s="1">
        <f>_xlfn.XLOOKUP(C2004,Contract!$A$2:$A$9,Contract!$B$2:$B$9)</f>
        <v>0.27</v>
      </c>
      <c r="S2004" s="1">
        <f t="shared" si="124"/>
        <v>113.4</v>
      </c>
      <c r="T2004" s="1">
        <f t="shared" si="125"/>
        <v>-12.679999999999993</v>
      </c>
      <c r="U2004" s="1" t="str">
        <f t="shared" si="126"/>
        <v>OK</v>
      </c>
      <c r="V2004" s="1" t="str">
        <f>_xlfn.XLOOKUP(C2004,Payers!$A$2:$A$9,Payers!$B$2:$B$9)</f>
        <v>Florida Medicaid</v>
      </c>
      <c r="W2004" s="1" t="str">
        <f t="shared" si="127"/>
        <v>2025-11</v>
      </c>
    </row>
    <row r="2005" spans="1:23">
      <c r="A2005" s="1" t="s">
        <v>3589</v>
      </c>
      <c r="B2005" s="1" t="s">
        <v>3590</v>
      </c>
      <c r="C2005" s="1" t="s">
        <v>60</v>
      </c>
      <c r="D2005" s="1" t="s">
        <v>19</v>
      </c>
      <c r="E2005" s="1" t="s">
        <v>20</v>
      </c>
      <c r="F2005">
        <v>1</v>
      </c>
      <c r="G2005" s="2">
        <v>46044</v>
      </c>
      <c r="H2005" s="2">
        <v>46045</v>
      </c>
      <c r="I2005">
        <v>141.72999999999999</v>
      </c>
      <c r="J2005">
        <v>69.510000000000005</v>
      </c>
      <c r="K2005">
        <v>69.510000000000005</v>
      </c>
      <c r="L2005">
        <v>0</v>
      </c>
      <c r="M2005" s="1" t="s">
        <v>21</v>
      </c>
      <c r="N2005" s="1" t="s">
        <v>22</v>
      </c>
      <c r="O2005" s="2">
        <v>46079</v>
      </c>
      <c r="P2005" s="2">
        <v>46079</v>
      </c>
      <c r="Q2005">
        <f>_xlfn.XLOOKUP(E2005,CPT!$A$2:$A$13,CPT!$D$2:$D$13)</f>
        <v>145</v>
      </c>
      <c r="R2005" s="1">
        <f>_xlfn.XLOOKUP(C2005,Contract!$A$2:$A$9,Contract!$B$2:$B$9)</f>
        <v>0.45</v>
      </c>
      <c r="S2005" s="1">
        <f t="shared" si="124"/>
        <v>65.25</v>
      </c>
      <c r="T2005" s="1">
        <f t="shared" si="125"/>
        <v>-4.2600000000000051</v>
      </c>
      <c r="U2005" s="1" t="str">
        <f t="shared" si="126"/>
        <v>OK</v>
      </c>
      <c r="V2005" s="1" t="str">
        <f>_xlfn.XLOOKUP(C2005,Payers!$A$2:$A$9,Payers!$B$2:$B$9)</f>
        <v>Blue Horizon Commercial</v>
      </c>
      <c r="W2005" s="1" t="str">
        <f t="shared" si="127"/>
        <v>2026-01</v>
      </c>
    </row>
    <row r="2006" spans="1:23">
      <c r="A2006" s="1" t="s">
        <v>3591</v>
      </c>
      <c r="B2006" s="1" t="s">
        <v>470</v>
      </c>
      <c r="C2006" s="1" t="s">
        <v>18</v>
      </c>
      <c r="D2006" s="1" t="s">
        <v>37</v>
      </c>
      <c r="E2006" s="1" t="s">
        <v>38</v>
      </c>
      <c r="F2006">
        <v>10</v>
      </c>
      <c r="G2006" s="2">
        <v>46152</v>
      </c>
      <c r="H2006" s="2">
        <v>46155</v>
      </c>
      <c r="I2006">
        <v>14859.84</v>
      </c>
      <c r="J2006">
        <v>5185.83</v>
      </c>
      <c r="K2006">
        <v>5185.83</v>
      </c>
      <c r="L2006">
        <v>0</v>
      </c>
      <c r="M2006" s="1" t="s">
        <v>21</v>
      </c>
      <c r="N2006" s="1" t="s">
        <v>22</v>
      </c>
      <c r="O2006" s="2">
        <v>46221</v>
      </c>
      <c r="P2006" s="2">
        <v>46221</v>
      </c>
      <c r="Q2006">
        <f>_xlfn.XLOOKUP(E2006,CPT!$A$2:$A$13,CPT!$D$2:$D$13)</f>
        <v>1450</v>
      </c>
      <c r="R2006" s="1">
        <f>_xlfn.XLOOKUP(C2006,Contract!$A$2:$A$9,Contract!$B$2:$B$9)</f>
        <v>0.38</v>
      </c>
      <c r="S2006" s="1">
        <f t="shared" si="124"/>
        <v>5510</v>
      </c>
      <c r="T2006" s="1">
        <f t="shared" si="125"/>
        <v>324.17000000000007</v>
      </c>
      <c r="U2006" s="1" t="str">
        <f t="shared" si="126"/>
        <v>Underpaid</v>
      </c>
      <c r="V2006" s="1" t="str">
        <f>_xlfn.XLOOKUP(C2006,Payers!$A$2:$A$9,Payers!$B$2:$B$9)</f>
        <v>Sunshine Medicare Advantage</v>
      </c>
      <c r="W2006" s="1" t="str">
        <f t="shared" si="127"/>
        <v>2026-05</v>
      </c>
    </row>
    <row r="2007" spans="1:23">
      <c r="A2007" s="1" t="s">
        <v>3592</v>
      </c>
      <c r="B2007" s="1" t="s">
        <v>2060</v>
      </c>
      <c r="C2007" s="1" t="s">
        <v>18</v>
      </c>
      <c r="D2007" s="1" t="s">
        <v>19</v>
      </c>
      <c r="E2007" s="1" t="s">
        <v>88</v>
      </c>
      <c r="F2007">
        <v>1</v>
      </c>
      <c r="G2007" s="2">
        <v>45945</v>
      </c>
      <c r="H2007" s="2">
        <v>45948</v>
      </c>
      <c r="I2007">
        <v>266.64</v>
      </c>
      <c r="M2007" s="1" t="s">
        <v>32</v>
      </c>
      <c r="N2007" s="1" t="s">
        <v>124</v>
      </c>
      <c r="O2007" s="2">
        <v>45993</v>
      </c>
      <c r="P2007" s="2"/>
      <c r="Q2007">
        <f>_xlfn.XLOOKUP(E2007,CPT!$A$2:$A$13,CPT!$D$2:$D$13)</f>
        <v>260</v>
      </c>
      <c r="R2007" s="1">
        <f>_xlfn.XLOOKUP(C2007,Contract!$A$2:$A$9,Contract!$B$2:$B$9)</f>
        <v>0.38</v>
      </c>
      <c r="S2007" s="1">
        <f t="shared" si="124"/>
        <v>98.8</v>
      </c>
      <c r="T2007" s="1" t="str">
        <f t="shared" si="125"/>
        <v/>
      </c>
      <c r="U2007" s="1" t="str">
        <f t="shared" si="126"/>
        <v/>
      </c>
      <c r="V2007" s="1" t="str">
        <f>_xlfn.XLOOKUP(C2007,Payers!$A$2:$A$9,Payers!$B$2:$B$9)</f>
        <v>Sunshine Medicare Advantage</v>
      </c>
      <c r="W2007" s="1" t="str">
        <f t="shared" si="127"/>
        <v>2025-10</v>
      </c>
    </row>
    <row r="2008" spans="1:23">
      <c r="A2008" s="1" t="s">
        <v>3593</v>
      </c>
      <c r="B2008" s="1" t="s">
        <v>1656</v>
      </c>
      <c r="C2008" s="1" t="s">
        <v>25</v>
      </c>
      <c r="D2008" s="1" t="s">
        <v>37</v>
      </c>
      <c r="E2008" s="1" t="s">
        <v>38</v>
      </c>
      <c r="F2008">
        <v>5</v>
      </c>
      <c r="G2008" s="2">
        <v>45974</v>
      </c>
      <c r="H2008" s="2">
        <v>45981</v>
      </c>
      <c r="I2008">
        <v>7311.04</v>
      </c>
      <c r="J2008">
        <v>2266.48</v>
      </c>
      <c r="K2008">
        <v>1813.18</v>
      </c>
      <c r="L2008">
        <v>453.3</v>
      </c>
      <c r="M2008" s="1" t="s">
        <v>21</v>
      </c>
      <c r="N2008" s="1" t="s">
        <v>22</v>
      </c>
      <c r="O2008" s="2">
        <v>46002</v>
      </c>
      <c r="P2008" s="2">
        <v>46002</v>
      </c>
      <c r="Q2008">
        <f>_xlfn.XLOOKUP(E2008,CPT!$A$2:$A$13,CPT!$D$2:$D$13)</f>
        <v>1450</v>
      </c>
      <c r="R2008" s="1">
        <f>_xlfn.XLOOKUP(C2008,Contract!$A$2:$A$9,Contract!$B$2:$B$9)</f>
        <v>0.36</v>
      </c>
      <c r="S2008" s="1">
        <f t="shared" si="124"/>
        <v>2610</v>
      </c>
      <c r="T2008" s="1">
        <f t="shared" si="125"/>
        <v>343.52</v>
      </c>
      <c r="U2008" s="1" t="str">
        <f t="shared" si="126"/>
        <v>Underpaid</v>
      </c>
      <c r="V2008" s="1" t="str">
        <f>_xlfn.XLOOKUP(C2008,Payers!$A$2:$A$9,Payers!$B$2:$B$9)</f>
        <v>Medicare Part B</v>
      </c>
      <c r="W2008" s="1" t="str">
        <f t="shared" si="127"/>
        <v>2025-11</v>
      </c>
    </row>
    <row r="2009" spans="1:23">
      <c r="A2009" s="1" t="s">
        <v>3594</v>
      </c>
      <c r="B2009" s="1" t="s">
        <v>3595</v>
      </c>
      <c r="C2009" s="1" t="s">
        <v>52</v>
      </c>
      <c r="D2009" s="1" t="s">
        <v>37</v>
      </c>
      <c r="E2009" s="1" t="s">
        <v>48</v>
      </c>
      <c r="F2009">
        <v>1</v>
      </c>
      <c r="G2009" s="2">
        <v>46150</v>
      </c>
      <c r="H2009" s="2">
        <v>46151</v>
      </c>
      <c r="I2009">
        <v>418.83</v>
      </c>
      <c r="J2009">
        <v>167.26</v>
      </c>
      <c r="K2009">
        <v>133.81</v>
      </c>
      <c r="L2009">
        <v>33.450000000000003</v>
      </c>
      <c r="M2009" s="1" t="s">
        <v>21</v>
      </c>
      <c r="N2009" s="1" t="s">
        <v>22</v>
      </c>
      <c r="O2009" s="2">
        <v>46189</v>
      </c>
      <c r="P2009" s="2">
        <v>46189</v>
      </c>
      <c r="Q2009">
        <f>_xlfn.XLOOKUP(E2009,CPT!$A$2:$A$13,CPT!$D$2:$D$13)</f>
        <v>420</v>
      </c>
      <c r="R2009" s="1">
        <f>_xlfn.XLOOKUP(C2009,Contract!$A$2:$A$9,Contract!$B$2:$B$9)</f>
        <v>0.47</v>
      </c>
      <c r="S2009" s="1">
        <f t="shared" si="124"/>
        <v>197.4</v>
      </c>
      <c r="T2009" s="1">
        <f t="shared" si="125"/>
        <v>30.140000000000015</v>
      </c>
      <c r="U2009" s="1" t="str">
        <f t="shared" si="126"/>
        <v>Underpaid</v>
      </c>
      <c r="V2009" s="1" t="str">
        <f>_xlfn.XLOOKUP(C2009,Payers!$A$2:$A$9,Payers!$B$2:$B$9)</f>
        <v>Keystone Commercial PPO</v>
      </c>
      <c r="W2009" s="1" t="str">
        <f t="shared" si="127"/>
        <v>2026-05</v>
      </c>
    </row>
    <row r="2010" spans="1:23">
      <c r="A2010" s="1" t="s">
        <v>3596</v>
      </c>
      <c r="B2010" s="1" t="s">
        <v>3597</v>
      </c>
      <c r="C2010" s="1" t="s">
        <v>25</v>
      </c>
      <c r="D2010" s="1" t="s">
        <v>37</v>
      </c>
      <c r="E2010" s="1" t="s">
        <v>48</v>
      </c>
      <c r="F2010">
        <v>1</v>
      </c>
      <c r="G2010" s="2">
        <v>46137</v>
      </c>
      <c r="H2010" s="2">
        <v>46144</v>
      </c>
      <c r="I2010">
        <v>429.65</v>
      </c>
      <c r="J2010">
        <v>165.69</v>
      </c>
      <c r="K2010">
        <v>149.12</v>
      </c>
      <c r="L2010">
        <v>16.57</v>
      </c>
      <c r="M2010" s="1" t="s">
        <v>21</v>
      </c>
      <c r="N2010" s="1" t="s">
        <v>22</v>
      </c>
      <c r="O2010" s="2">
        <v>46160</v>
      </c>
      <c r="P2010" s="2">
        <v>46160</v>
      </c>
      <c r="Q2010">
        <f>_xlfn.XLOOKUP(E2010,CPT!$A$2:$A$13,CPT!$D$2:$D$13)</f>
        <v>420</v>
      </c>
      <c r="R2010" s="1">
        <f>_xlfn.XLOOKUP(C2010,Contract!$A$2:$A$9,Contract!$B$2:$B$9)</f>
        <v>0.36</v>
      </c>
      <c r="S2010" s="1">
        <f t="shared" si="124"/>
        <v>151.19999999999999</v>
      </c>
      <c r="T2010" s="1">
        <f t="shared" si="125"/>
        <v>-14.490000000000009</v>
      </c>
      <c r="U2010" s="1" t="str">
        <f t="shared" si="126"/>
        <v>OK</v>
      </c>
      <c r="V2010" s="1" t="str">
        <f>_xlfn.XLOOKUP(C2010,Payers!$A$2:$A$9,Payers!$B$2:$B$9)</f>
        <v>Medicare Part B</v>
      </c>
      <c r="W2010" s="1" t="str">
        <f t="shared" si="127"/>
        <v>2026-04</v>
      </c>
    </row>
    <row r="2011" spans="1:23">
      <c r="A2011" s="1" t="s">
        <v>3598</v>
      </c>
      <c r="B2011" s="1" t="s">
        <v>2779</v>
      </c>
      <c r="C2011" s="1" t="s">
        <v>60</v>
      </c>
      <c r="D2011" s="1" t="s">
        <v>19</v>
      </c>
      <c r="E2011" s="1" t="s">
        <v>57</v>
      </c>
      <c r="F2011">
        <v>1</v>
      </c>
      <c r="G2011" s="2">
        <v>46042</v>
      </c>
      <c r="H2011" s="2">
        <v>46047</v>
      </c>
      <c r="I2011">
        <v>216.06</v>
      </c>
      <c r="J2011">
        <v>96.76</v>
      </c>
      <c r="K2011">
        <v>87.08</v>
      </c>
      <c r="L2011">
        <v>9.68</v>
      </c>
      <c r="M2011" s="1" t="s">
        <v>21</v>
      </c>
      <c r="N2011" s="1" t="s">
        <v>22</v>
      </c>
      <c r="O2011" s="2">
        <v>46083</v>
      </c>
      <c r="P2011" s="2">
        <v>46083</v>
      </c>
      <c r="Q2011">
        <f>_xlfn.XLOOKUP(E2011,CPT!$A$2:$A$13,CPT!$D$2:$D$13)</f>
        <v>210</v>
      </c>
      <c r="R2011" s="1">
        <f>_xlfn.XLOOKUP(C2011,Contract!$A$2:$A$9,Contract!$B$2:$B$9)</f>
        <v>0.45</v>
      </c>
      <c r="S2011" s="1">
        <f t="shared" si="124"/>
        <v>94.5</v>
      </c>
      <c r="T2011" s="1">
        <f t="shared" si="125"/>
        <v>-2.2600000000000051</v>
      </c>
      <c r="U2011" s="1" t="str">
        <f t="shared" si="126"/>
        <v>OK</v>
      </c>
      <c r="V2011" s="1" t="str">
        <f>_xlfn.XLOOKUP(C2011,Payers!$A$2:$A$9,Payers!$B$2:$B$9)</f>
        <v>Blue Horizon Commercial</v>
      </c>
      <c r="W2011" s="1" t="str">
        <f t="shared" si="127"/>
        <v>2026-01</v>
      </c>
    </row>
    <row r="2012" spans="1:23">
      <c r="A2012" s="1" t="s">
        <v>3599</v>
      </c>
      <c r="B2012" s="1" t="s">
        <v>3600</v>
      </c>
      <c r="C2012" s="1" t="s">
        <v>60</v>
      </c>
      <c r="D2012" s="1" t="s">
        <v>26</v>
      </c>
      <c r="E2012" s="1" t="s">
        <v>185</v>
      </c>
      <c r="F2012">
        <v>1</v>
      </c>
      <c r="G2012" s="2">
        <v>46075</v>
      </c>
      <c r="H2012" s="2">
        <v>46082</v>
      </c>
      <c r="I2012">
        <v>1156.71</v>
      </c>
      <c r="M2012" s="1" t="s">
        <v>32</v>
      </c>
      <c r="N2012" s="1" t="s">
        <v>168</v>
      </c>
      <c r="O2012" s="2">
        <v>46104</v>
      </c>
      <c r="P2012" s="2"/>
      <c r="Q2012">
        <f>_xlfn.XLOOKUP(E2012,CPT!$A$2:$A$13,CPT!$D$2:$D$13)</f>
        <v>1150</v>
      </c>
      <c r="R2012" s="1">
        <f>_xlfn.XLOOKUP(C2012,Contract!$A$2:$A$9,Contract!$B$2:$B$9)</f>
        <v>0.45</v>
      </c>
      <c r="S2012" s="1">
        <f t="shared" si="124"/>
        <v>517.5</v>
      </c>
      <c r="T2012" s="1" t="str">
        <f t="shared" si="125"/>
        <v/>
      </c>
      <c r="U2012" s="1" t="str">
        <f t="shared" si="126"/>
        <v/>
      </c>
      <c r="V2012" s="1" t="str">
        <f>_xlfn.XLOOKUP(C2012,Payers!$A$2:$A$9,Payers!$B$2:$B$9)</f>
        <v>Blue Horizon Commercial</v>
      </c>
      <c r="W2012" s="1" t="str">
        <f t="shared" si="127"/>
        <v>2026-02</v>
      </c>
    </row>
    <row r="2013" spans="1:23">
      <c r="A2013" s="1" t="s">
        <v>3601</v>
      </c>
      <c r="B2013" s="1" t="s">
        <v>3085</v>
      </c>
      <c r="C2013" s="1" t="s">
        <v>47</v>
      </c>
      <c r="D2013" s="1" t="s">
        <v>30</v>
      </c>
      <c r="E2013" s="1" t="s">
        <v>91</v>
      </c>
      <c r="F2013">
        <v>1</v>
      </c>
      <c r="G2013" s="2">
        <v>45982</v>
      </c>
      <c r="H2013" s="2">
        <v>45988</v>
      </c>
      <c r="I2013">
        <v>56.61</v>
      </c>
      <c r="J2013">
        <v>15.96</v>
      </c>
      <c r="K2013">
        <v>15.96</v>
      </c>
      <c r="L2013">
        <v>0</v>
      </c>
      <c r="M2013" s="1" t="s">
        <v>21</v>
      </c>
      <c r="N2013" s="1" t="s">
        <v>22</v>
      </c>
      <c r="O2013" s="2">
        <v>46053</v>
      </c>
      <c r="P2013" s="2">
        <v>46053</v>
      </c>
      <c r="Q2013">
        <f>_xlfn.XLOOKUP(E2013,CPT!$A$2:$A$13,CPT!$D$2:$D$13)</f>
        <v>58</v>
      </c>
      <c r="R2013" s="1">
        <f>_xlfn.XLOOKUP(C2013,Contract!$A$2:$A$9,Contract!$B$2:$B$9)</f>
        <v>0.28000000000000003</v>
      </c>
      <c r="S2013" s="1">
        <f t="shared" si="124"/>
        <v>16.239999999999998</v>
      </c>
      <c r="T2013" s="1">
        <f t="shared" si="125"/>
        <v>0.27999999999999758</v>
      </c>
      <c r="U2013" s="1" t="str">
        <f t="shared" si="126"/>
        <v>OK</v>
      </c>
      <c r="V2013" s="1" t="str">
        <f>_xlfn.XLOOKUP(C2013,Payers!$A$2:$A$9,Payers!$B$2:$B$9)</f>
        <v>Coastal Medicaid MCO</v>
      </c>
      <c r="W2013" s="1" t="str">
        <f t="shared" si="127"/>
        <v>2025-11</v>
      </c>
    </row>
    <row r="2014" spans="1:23">
      <c r="A2014" s="1" t="s">
        <v>3602</v>
      </c>
      <c r="B2014" s="1" t="s">
        <v>2430</v>
      </c>
      <c r="C2014" s="1" t="s">
        <v>76</v>
      </c>
      <c r="D2014" s="1" t="s">
        <v>30</v>
      </c>
      <c r="E2014" s="1" t="s">
        <v>31</v>
      </c>
      <c r="F2014">
        <v>3</v>
      </c>
      <c r="G2014" s="2">
        <v>46078</v>
      </c>
      <c r="H2014" s="2">
        <v>46217</v>
      </c>
      <c r="I2014">
        <v>190.83</v>
      </c>
      <c r="M2014" s="1" t="s">
        <v>32</v>
      </c>
      <c r="N2014" s="1" t="s">
        <v>137</v>
      </c>
      <c r="O2014" s="2">
        <v>46235</v>
      </c>
      <c r="P2014" s="2"/>
      <c r="Q2014">
        <f>_xlfn.XLOOKUP(E2014,CPT!$A$2:$A$13,CPT!$D$2:$D$13)</f>
        <v>62</v>
      </c>
      <c r="R2014" s="1">
        <f>_xlfn.XLOOKUP(C2014,Contract!$A$2:$A$9,Contract!$B$2:$B$9)</f>
        <v>0.43</v>
      </c>
      <c r="S2014" s="1">
        <f t="shared" si="124"/>
        <v>79.98</v>
      </c>
      <c r="T2014" s="1" t="str">
        <f t="shared" si="125"/>
        <v/>
      </c>
      <c r="U2014" s="1" t="str">
        <f t="shared" si="126"/>
        <v/>
      </c>
      <c r="V2014" s="1" t="str">
        <f>_xlfn.XLOOKUP(C2014,Payers!$A$2:$A$9,Payers!$B$2:$B$9)</f>
        <v>Summit Health Commercial</v>
      </c>
      <c r="W2014" s="1" t="str">
        <f t="shared" si="127"/>
        <v>2026-02</v>
      </c>
    </row>
    <row r="2015" spans="1:23">
      <c r="A2015" s="1" t="s">
        <v>3603</v>
      </c>
      <c r="B2015" s="1" t="s">
        <v>3604</v>
      </c>
      <c r="C2015" s="1" t="s">
        <v>36</v>
      </c>
      <c r="D2015" s="1" t="s">
        <v>26</v>
      </c>
      <c r="E2015" s="1" t="s">
        <v>57</v>
      </c>
      <c r="F2015">
        <v>1</v>
      </c>
      <c r="G2015" s="2">
        <v>46202</v>
      </c>
      <c r="H2015" s="2">
        <v>46204</v>
      </c>
      <c r="I2015">
        <v>212.56</v>
      </c>
      <c r="J2015">
        <v>51.55</v>
      </c>
      <c r="K2015">
        <v>51.55</v>
      </c>
      <c r="L2015">
        <v>0</v>
      </c>
      <c r="M2015" s="1" t="s">
        <v>21</v>
      </c>
      <c r="N2015" s="1" t="s">
        <v>22</v>
      </c>
      <c r="O2015" s="2">
        <v>46251</v>
      </c>
      <c r="P2015" s="2">
        <v>46251</v>
      </c>
      <c r="Q2015">
        <f>_xlfn.XLOOKUP(E2015,CPT!$A$2:$A$13,CPT!$D$2:$D$13)</f>
        <v>210</v>
      </c>
      <c r="R2015" s="1">
        <f>_xlfn.XLOOKUP(C2015,Contract!$A$2:$A$9,Contract!$B$2:$B$9)</f>
        <v>0.27</v>
      </c>
      <c r="S2015" s="1">
        <f t="shared" si="124"/>
        <v>56.7</v>
      </c>
      <c r="T2015" s="1">
        <f t="shared" si="125"/>
        <v>5.1500000000000057</v>
      </c>
      <c r="U2015" s="1" t="str">
        <f t="shared" si="126"/>
        <v>Underpaid</v>
      </c>
      <c r="V2015" s="1" t="str">
        <f>_xlfn.XLOOKUP(C2015,Payers!$A$2:$A$9,Payers!$B$2:$B$9)</f>
        <v>Florida Medicaid</v>
      </c>
      <c r="W2015" s="1" t="str">
        <f t="shared" si="127"/>
        <v>2026-06</v>
      </c>
    </row>
    <row r="2016" spans="1:23">
      <c r="A2016" s="1" t="s">
        <v>3605</v>
      </c>
      <c r="B2016" s="1" t="s">
        <v>3606</v>
      </c>
      <c r="C2016" s="1" t="s">
        <v>18</v>
      </c>
      <c r="D2016" s="1" t="s">
        <v>19</v>
      </c>
      <c r="E2016" s="1" t="s">
        <v>41</v>
      </c>
      <c r="F2016">
        <v>1</v>
      </c>
      <c r="G2016" s="2">
        <v>46287</v>
      </c>
      <c r="H2016" s="2">
        <v>46295</v>
      </c>
      <c r="I2016">
        <v>37.979999999999997</v>
      </c>
      <c r="M2016" s="1" t="s">
        <v>69</v>
      </c>
      <c r="N2016" s="1" t="s">
        <v>22</v>
      </c>
      <c r="O2016" s="2"/>
      <c r="P2016" s="2"/>
      <c r="Q2016">
        <f>_xlfn.XLOOKUP(E2016,CPT!$A$2:$A$13,CPT!$D$2:$D$13)</f>
        <v>38</v>
      </c>
      <c r="R2016" s="1">
        <f>_xlfn.XLOOKUP(C2016,Contract!$A$2:$A$9,Contract!$B$2:$B$9)</f>
        <v>0.38</v>
      </c>
      <c r="S2016" s="1">
        <f t="shared" si="124"/>
        <v>14.44</v>
      </c>
      <c r="T2016" s="1" t="str">
        <f t="shared" si="125"/>
        <v/>
      </c>
      <c r="U2016" s="1" t="str">
        <f t="shared" si="126"/>
        <v/>
      </c>
      <c r="V2016" s="1" t="str">
        <f>_xlfn.XLOOKUP(C2016,Payers!$A$2:$A$9,Payers!$B$2:$B$9)</f>
        <v>Sunshine Medicare Advantage</v>
      </c>
      <c r="W2016" s="1" t="str">
        <f t="shared" si="127"/>
        <v>2026-09</v>
      </c>
    </row>
    <row r="2017" spans="1:23">
      <c r="A2017" s="1" t="s">
        <v>3607</v>
      </c>
      <c r="B2017" s="1" t="s">
        <v>453</v>
      </c>
      <c r="C2017" s="1" t="s">
        <v>60</v>
      </c>
      <c r="D2017" s="1" t="s">
        <v>19</v>
      </c>
      <c r="E2017" s="1" t="s">
        <v>41</v>
      </c>
      <c r="F2017">
        <v>1</v>
      </c>
      <c r="G2017" s="2">
        <v>46267</v>
      </c>
      <c r="H2017" s="2">
        <v>46275</v>
      </c>
      <c r="I2017">
        <v>38.11</v>
      </c>
      <c r="M2017" s="1" t="s">
        <v>69</v>
      </c>
      <c r="N2017" s="1" t="s">
        <v>22</v>
      </c>
      <c r="O2017" s="2"/>
      <c r="P2017" s="2"/>
      <c r="Q2017">
        <f>_xlfn.XLOOKUP(E2017,CPT!$A$2:$A$13,CPT!$D$2:$D$13)</f>
        <v>38</v>
      </c>
      <c r="R2017" s="1">
        <f>_xlfn.XLOOKUP(C2017,Contract!$A$2:$A$9,Contract!$B$2:$B$9)</f>
        <v>0.45</v>
      </c>
      <c r="S2017" s="1">
        <f t="shared" si="124"/>
        <v>17.100000000000001</v>
      </c>
      <c r="T2017" s="1" t="str">
        <f t="shared" si="125"/>
        <v/>
      </c>
      <c r="U2017" s="1" t="str">
        <f t="shared" si="126"/>
        <v/>
      </c>
      <c r="V2017" s="1" t="str">
        <f>_xlfn.XLOOKUP(C2017,Payers!$A$2:$A$9,Payers!$B$2:$B$9)</f>
        <v>Blue Horizon Commercial</v>
      </c>
      <c r="W2017" s="1" t="str">
        <f t="shared" si="127"/>
        <v>2026-09</v>
      </c>
    </row>
    <row r="2018" spans="1:23">
      <c r="A2018" s="1" t="s">
        <v>3608</v>
      </c>
      <c r="B2018" s="1" t="s">
        <v>3609</v>
      </c>
      <c r="C2018" s="1" t="s">
        <v>18</v>
      </c>
      <c r="D2018" s="1" t="s">
        <v>30</v>
      </c>
      <c r="E2018" s="1" t="s">
        <v>31</v>
      </c>
      <c r="F2018">
        <v>3</v>
      </c>
      <c r="G2018" s="2">
        <v>46061</v>
      </c>
      <c r="H2018" s="2">
        <v>46064</v>
      </c>
      <c r="I2018">
        <v>187.59</v>
      </c>
      <c r="J2018">
        <v>73.97</v>
      </c>
      <c r="K2018">
        <v>59.18</v>
      </c>
      <c r="L2018">
        <v>14.79</v>
      </c>
      <c r="M2018" s="1" t="s">
        <v>21</v>
      </c>
      <c r="N2018" s="1" t="s">
        <v>22</v>
      </c>
      <c r="O2018" s="2">
        <v>46156</v>
      </c>
      <c r="P2018" s="2">
        <v>46156</v>
      </c>
      <c r="Q2018">
        <f>_xlfn.XLOOKUP(E2018,CPT!$A$2:$A$13,CPT!$D$2:$D$13)</f>
        <v>62</v>
      </c>
      <c r="R2018" s="1">
        <f>_xlfn.XLOOKUP(C2018,Contract!$A$2:$A$9,Contract!$B$2:$B$9)</f>
        <v>0.38</v>
      </c>
      <c r="S2018" s="1">
        <f t="shared" si="124"/>
        <v>70.680000000000007</v>
      </c>
      <c r="T2018" s="1">
        <f t="shared" si="125"/>
        <v>-3.289999999999992</v>
      </c>
      <c r="U2018" s="1" t="str">
        <f t="shared" si="126"/>
        <v>OK</v>
      </c>
      <c r="V2018" s="1" t="str">
        <f>_xlfn.XLOOKUP(C2018,Payers!$A$2:$A$9,Payers!$B$2:$B$9)</f>
        <v>Sunshine Medicare Advantage</v>
      </c>
      <c r="W2018" s="1" t="str">
        <f t="shared" si="127"/>
        <v>2026-02</v>
      </c>
    </row>
    <row r="2019" spans="1:23">
      <c r="A2019" s="1" t="s">
        <v>3610</v>
      </c>
      <c r="B2019" s="1" t="s">
        <v>3611</v>
      </c>
      <c r="C2019" s="1" t="s">
        <v>52</v>
      </c>
      <c r="D2019" s="1" t="s">
        <v>37</v>
      </c>
      <c r="E2019" s="1" t="s">
        <v>48</v>
      </c>
      <c r="F2019">
        <v>1</v>
      </c>
      <c r="G2019" s="2">
        <v>46282</v>
      </c>
      <c r="H2019" s="2">
        <v>46284</v>
      </c>
      <c r="I2019">
        <v>418.58</v>
      </c>
      <c r="M2019" s="1" t="s">
        <v>69</v>
      </c>
      <c r="N2019" s="1" t="s">
        <v>22</v>
      </c>
      <c r="O2019" s="2"/>
      <c r="P2019" s="2"/>
      <c r="Q2019">
        <f>_xlfn.XLOOKUP(E2019,CPT!$A$2:$A$13,CPT!$D$2:$D$13)</f>
        <v>420</v>
      </c>
      <c r="R2019" s="1">
        <f>_xlfn.XLOOKUP(C2019,Contract!$A$2:$A$9,Contract!$B$2:$B$9)</f>
        <v>0.47</v>
      </c>
      <c r="S2019" s="1">
        <f t="shared" si="124"/>
        <v>197.4</v>
      </c>
      <c r="T2019" s="1" t="str">
        <f t="shared" si="125"/>
        <v/>
      </c>
      <c r="U2019" s="1" t="str">
        <f t="shared" si="126"/>
        <v/>
      </c>
      <c r="V2019" s="1" t="str">
        <f>_xlfn.XLOOKUP(C2019,Payers!$A$2:$A$9,Payers!$B$2:$B$9)</f>
        <v>Keystone Commercial PPO</v>
      </c>
      <c r="W2019" s="1" t="str">
        <f t="shared" si="127"/>
        <v>2026-09</v>
      </c>
    </row>
    <row r="2020" spans="1:23">
      <c r="A2020" s="1" t="s">
        <v>3612</v>
      </c>
      <c r="B2020" s="1" t="s">
        <v>2029</v>
      </c>
      <c r="C2020" s="1" t="s">
        <v>36</v>
      </c>
      <c r="D2020" s="1" t="s">
        <v>19</v>
      </c>
      <c r="E2020" s="1" t="s">
        <v>20</v>
      </c>
      <c r="F2020">
        <v>1</v>
      </c>
      <c r="G2020" s="2">
        <v>46158</v>
      </c>
      <c r="H2020" s="2">
        <v>46161</v>
      </c>
      <c r="I2020">
        <v>141.99</v>
      </c>
      <c r="M2020" s="1" t="s">
        <v>32</v>
      </c>
      <c r="N2020" s="1" t="s">
        <v>281</v>
      </c>
      <c r="O2020" s="2">
        <v>46210</v>
      </c>
      <c r="P2020" s="2"/>
      <c r="Q2020">
        <f>_xlfn.XLOOKUP(E2020,CPT!$A$2:$A$13,CPT!$D$2:$D$13)</f>
        <v>145</v>
      </c>
      <c r="R2020" s="1">
        <f>_xlfn.XLOOKUP(C2020,Contract!$A$2:$A$9,Contract!$B$2:$B$9)</f>
        <v>0.27</v>
      </c>
      <c r="S2020" s="1">
        <f t="shared" si="124"/>
        <v>39.15</v>
      </c>
      <c r="T2020" s="1" t="str">
        <f t="shared" si="125"/>
        <v/>
      </c>
      <c r="U2020" s="1" t="str">
        <f t="shared" si="126"/>
        <v/>
      </c>
      <c r="V2020" s="1" t="str">
        <f>_xlfn.XLOOKUP(C2020,Payers!$A$2:$A$9,Payers!$B$2:$B$9)</f>
        <v>Florida Medicaid</v>
      </c>
      <c r="W2020" s="1" t="str">
        <f t="shared" si="127"/>
        <v>2026-05</v>
      </c>
    </row>
    <row r="2021" spans="1:23">
      <c r="A2021" s="1" t="s">
        <v>3613</v>
      </c>
      <c r="B2021" s="1" t="s">
        <v>3614</v>
      </c>
      <c r="C2021" s="1" t="s">
        <v>18</v>
      </c>
      <c r="D2021" s="1" t="s">
        <v>19</v>
      </c>
      <c r="E2021" s="1" t="s">
        <v>88</v>
      </c>
      <c r="F2021">
        <v>1</v>
      </c>
      <c r="G2021" s="2">
        <v>46281</v>
      </c>
      <c r="H2021" s="2">
        <v>46294</v>
      </c>
      <c r="I2021">
        <v>260.10000000000002</v>
      </c>
      <c r="M2021" s="1" t="s">
        <v>69</v>
      </c>
      <c r="N2021" s="1" t="s">
        <v>22</v>
      </c>
      <c r="O2021" s="2"/>
      <c r="P2021" s="2"/>
      <c r="Q2021">
        <f>_xlfn.XLOOKUP(E2021,CPT!$A$2:$A$13,CPT!$D$2:$D$13)</f>
        <v>260</v>
      </c>
      <c r="R2021" s="1">
        <f>_xlfn.XLOOKUP(C2021,Contract!$A$2:$A$9,Contract!$B$2:$B$9)</f>
        <v>0.38</v>
      </c>
      <c r="S2021" s="1">
        <f t="shared" si="124"/>
        <v>98.8</v>
      </c>
      <c r="T2021" s="1" t="str">
        <f t="shared" si="125"/>
        <v/>
      </c>
      <c r="U2021" s="1" t="str">
        <f t="shared" si="126"/>
        <v/>
      </c>
      <c r="V2021" s="1" t="str">
        <f>_xlfn.XLOOKUP(C2021,Payers!$A$2:$A$9,Payers!$B$2:$B$9)</f>
        <v>Sunshine Medicare Advantage</v>
      </c>
      <c r="W2021" s="1" t="str">
        <f t="shared" si="127"/>
        <v>2026-09</v>
      </c>
    </row>
    <row r="2022" spans="1:23">
      <c r="A2022" s="1" t="s">
        <v>3615</v>
      </c>
      <c r="B2022" s="1" t="s">
        <v>3616</v>
      </c>
      <c r="C2022" s="1" t="s">
        <v>76</v>
      </c>
      <c r="D2022" s="1" t="s">
        <v>30</v>
      </c>
      <c r="E2022" s="1" t="s">
        <v>91</v>
      </c>
      <c r="F2022">
        <v>2</v>
      </c>
      <c r="G2022" s="2">
        <v>46114</v>
      </c>
      <c r="H2022" s="2">
        <v>46133</v>
      </c>
      <c r="I2022">
        <v>114.97</v>
      </c>
      <c r="J2022">
        <v>45.7</v>
      </c>
      <c r="K2022">
        <v>36.56</v>
      </c>
      <c r="L2022">
        <v>9.14</v>
      </c>
      <c r="M2022" s="1" t="s">
        <v>21</v>
      </c>
      <c r="N2022" s="1" t="s">
        <v>22</v>
      </c>
      <c r="O2022" s="2">
        <v>46174</v>
      </c>
      <c r="P2022" s="2">
        <v>46174</v>
      </c>
      <c r="Q2022">
        <f>_xlfn.XLOOKUP(E2022,CPT!$A$2:$A$13,CPT!$D$2:$D$13)</f>
        <v>58</v>
      </c>
      <c r="R2022" s="1">
        <f>_xlfn.XLOOKUP(C2022,Contract!$A$2:$A$9,Contract!$B$2:$B$9)</f>
        <v>0.43</v>
      </c>
      <c r="S2022" s="1">
        <f t="shared" si="124"/>
        <v>49.88</v>
      </c>
      <c r="T2022" s="1">
        <f t="shared" si="125"/>
        <v>4.18</v>
      </c>
      <c r="U2022" s="1" t="str">
        <f t="shared" si="126"/>
        <v>Underpaid</v>
      </c>
      <c r="V2022" s="1" t="str">
        <f>_xlfn.XLOOKUP(C2022,Payers!$A$2:$A$9,Payers!$B$2:$B$9)</f>
        <v>Summit Health Commercial</v>
      </c>
      <c r="W2022" s="1" t="str">
        <f t="shared" si="127"/>
        <v>2026-04</v>
      </c>
    </row>
    <row r="2023" spans="1:23">
      <c r="A2023" s="1" t="s">
        <v>3617</v>
      </c>
      <c r="B2023" s="1" t="s">
        <v>1503</v>
      </c>
      <c r="C2023" s="1" t="s">
        <v>36</v>
      </c>
      <c r="D2023" s="1" t="s">
        <v>19</v>
      </c>
      <c r="E2023" s="1" t="s">
        <v>41</v>
      </c>
      <c r="F2023">
        <v>1</v>
      </c>
      <c r="G2023" s="2">
        <v>45998</v>
      </c>
      <c r="H2023" s="2">
        <v>45999</v>
      </c>
      <c r="I2023">
        <v>37.520000000000003</v>
      </c>
      <c r="M2023" s="1" t="s">
        <v>32</v>
      </c>
      <c r="N2023" s="1" t="s">
        <v>124</v>
      </c>
      <c r="O2023" s="2">
        <v>46039</v>
      </c>
      <c r="P2023" s="2"/>
      <c r="Q2023">
        <f>_xlfn.XLOOKUP(E2023,CPT!$A$2:$A$13,CPT!$D$2:$D$13)</f>
        <v>38</v>
      </c>
      <c r="R2023" s="1">
        <f>_xlfn.XLOOKUP(C2023,Contract!$A$2:$A$9,Contract!$B$2:$B$9)</f>
        <v>0.27</v>
      </c>
      <c r="S2023" s="1">
        <f t="shared" si="124"/>
        <v>10.26</v>
      </c>
      <c r="T2023" s="1" t="str">
        <f t="shared" si="125"/>
        <v/>
      </c>
      <c r="U2023" s="1" t="str">
        <f t="shared" si="126"/>
        <v/>
      </c>
      <c r="V2023" s="1" t="str">
        <f>_xlfn.XLOOKUP(C2023,Payers!$A$2:$A$9,Payers!$B$2:$B$9)</f>
        <v>Florida Medicaid</v>
      </c>
      <c r="W2023" s="1" t="str">
        <f t="shared" si="127"/>
        <v>2025-12</v>
      </c>
    </row>
    <row r="2024" spans="1:23">
      <c r="A2024" s="1" t="s">
        <v>3618</v>
      </c>
      <c r="B2024" s="1" t="s">
        <v>3619</v>
      </c>
      <c r="C2024" s="1" t="s">
        <v>25</v>
      </c>
      <c r="D2024" s="1" t="s">
        <v>37</v>
      </c>
      <c r="E2024" s="1" t="s">
        <v>57</v>
      </c>
      <c r="F2024">
        <v>1</v>
      </c>
      <c r="G2024" s="2">
        <v>46082</v>
      </c>
      <c r="H2024" s="2">
        <v>46089</v>
      </c>
      <c r="I2024">
        <v>203.76</v>
      </c>
      <c r="J2024">
        <v>66.540000000000006</v>
      </c>
      <c r="K2024">
        <v>53.23</v>
      </c>
      <c r="L2024">
        <v>13.31</v>
      </c>
      <c r="M2024" s="1" t="s">
        <v>21</v>
      </c>
      <c r="N2024" s="1" t="s">
        <v>22</v>
      </c>
      <c r="O2024" s="2">
        <v>46101</v>
      </c>
      <c r="P2024" s="2">
        <v>46101</v>
      </c>
      <c r="Q2024">
        <f>_xlfn.XLOOKUP(E2024,CPT!$A$2:$A$13,CPT!$D$2:$D$13)</f>
        <v>210</v>
      </c>
      <c r="R2024" s="1">
        <f>_xlfn.XLOOKUP(C2024,Contract!$A$2:$A$9,Contract!$B$2:$B$9)</f>
        <v>0.36</v>
      </c>
      <c r="S2024" s="1">
        <f t="shared" si="124"/>
        <v>75.599999999999994</v>
      </c>
      <c r="T2024" s="1">
        <f t="shared" si="125"/>
        <v>9.0599999999999881</v>
      </c>
      <c r="U2024" s="1" t="str">
        <f t="shared" si="126"/>
        <v>Underpaid</v>
      </c>
      <c r="V2024" s="1" t="str">
        <f>_xlfn.XLOOKUP(C2024,Payers!$A$2:$A$9,Payers!$B$2:$B$9)</f>
        <v>Medicare Part B</v>
      </c>
      <c r="W2024" s="1" t="str">
        <f t="shared" si="127"/>
        <v>2026-03</v>
      </c>
    </row>
    <row r="2025" spans="1:23">
      <c r="A2025" s="1" t="s">
        <v>3620</v>
      </c>
      <c r="B2025" s="1" t="s">
        <v>1739</v>
      </c>
      <c r="C2025" s="1" t="s">
        <v>36</v>
      </c>
      <c r="D2025" s="1" t="s">
        <v>19</v>
      </c>
      <c r="E2025" s="1" t="s">
        <v>57</v>
      </c>
      <c r="F2025">
        <v>1</v>
      </c>
      <c r="G2025" s="2">
        <v>46171</v>
      </c>
      <c r="H2025" s="2">
        <v>46177</v>
      </c>
      <c r="I2025">
        <v>214.63</v>
      </c>
      <c r="J2025">
        <v>66.209999999999994</v>
      </c>
      <c r="K2025">
        <v>52.97</v>
      </c>
      <c r="L2025">
        <v>13.24</v>
      </c>
      <c r="M2025" s="1" t="s">
        <v>21</v>
      </c>
      <c r="N2025" s="1" t="s">
        <v>22</v>
      </c>
      <c r="O2025" s="2">
        <v>46225</v>
      </c>
      <c r="P2025" s="2">
        <v>46225</v>
      </c>
      <c r="Q2025">
        <f>_xlfn.XLOOKUP(E2025,CPT!$A$2:$A$13,CPT!$D$2:$D$13)</f>
        <v>210</v>
      </c>
      <c r="R2025" s="1">
        <f>_xlfn.XLOOKUP(C2025,Contract!$A$2:$A$9,Contract!$B$2:$B$9)</f>
        <v>0.27</v>
      </c>
      <c r="S2025" s="1">
        <f t="shared" si="124"/>
        <v>56.7</v>
      </c>
      <c r="T2025" s="1">
        <f t="shared" si="125"/>
        <v>-9.5099999999999909</v>
      </c>
      <c r="U2025" s="1" t="str">
        <f t="shared" si="126"/>
        <v>OK</v>
      </c>
      <c r="V2025" s="1" t="str">
        <f>_xlfn.XLOOKUP(C2025,Payers!$A$2:$A$9,Payers!$B$2:$B$9)</f>
        <v>Florida Medicaid</v>
      </c>
      <c r="W2025" s="1" t="str">
        <f t="shared" si="127"/>
        <v>2026-05</v>
      </c>
    </row>
    <row r="2026" spans="1:23">
      <c r="A2026" s="1" t="s">
        <v>3621</v>
      </c>
      <c r="B2026" s="1" t="s">
        <v>3253</v>
      </c>
      <c r="C2026" s="1" t="s">
        <v>76</v>
      </c>
      <c r="D2026" s="1" t="s">
        <v>26</v>
      </c>
      <c r="E2026" s="1" t="s">
        <v>27</v>
      </c>
      <c r="F2026">
        <v>1</v>
      </c>
      <c r="G2026" s="2">
        <v>46068</v>
      </c>
      <c r="H2026" s="2">
        <v>46069</v>
      </c>
      <c r="I2026">
        <v>235.02</v>
      </c>
      <c r="J2026">
        <v>86.74</v>
      </c>
      <c r="K2026">
        <v>86.74</v>
      </c>
      <c r="L2026">
        <v>0</v>
      </c>
      <c r="M2026" s="1" t="s">
        <v>21</v>
      </c>
      <c r="N2026" s="1" t="s">
        <v>22</v>
      </c>
      <c r="O2026" s="2">
        <v>46115</v>
      </c>
      <c r="P2026" s="2">
        <v>46115</v>
      </c>
      <c r="Q2026">
        <f>_xlfn.XLOOKUP(E2026,CPT!$A$2:$A$13,CPT!$D$2:$D$13)</f>
        <v>240</v>
      </c>
      <c r="R2026" s="1">
        <f>_xlfn.XLOOKUP(C2026,Contract!$A$2:$A$9,Contract!$B$2:$B$9)</f>
        <v>0.43</v>
      </c>
      <c r="S2026" s="1">
        <f t="shared" si="124"/>
        <v>103.2</v>
      </c>
      <c r="T2026" s="1">
        <f t="shared" si="125"/>
        <v>16.460000000000008</v>
      </c>
      <c r="U2026" s="1" t="str">
        <f t="shared" si="126"/>
        <v>Underpaid</v>
      </c>
      <c r="V2026" s="1" t="str">
        <f>_xlfn.XLOOKUP(C2026,Payers!$A$2:$A$9,Payers!$B$2:$B$9)</f>
        <v>Summit Health Commercial</v>
      </c>
      <c r="W2026" s="1" t="str">
        <f t="shared" si="127"/>
        <v>2026-02</v>
      </c>
    </row>
    <row r="2027" spans="1:23">
      <c r="A2027" s="1" t="s">
        <v>3622</v>
      </c>
      <c r="B2027" s="1" t="s">
        <v>3623</v>
      </c>
      <c r="C2027" s="1" t="s">
        <v>60</v>
      </c>
      <c r="D2027" s="1" t="s">
        <v>19</v>
      </c>
      <c r="E2027" s="1" t="s">
        <v>57</v>
      </c>
      <c r="F2027">
        <v>1</v>
      </c>
      <c r="G2027" s="2">
        <v>46242</v>
      </c>
      <c r="H2027" s="2">
        <v>46244</v>
      </c>
      <c r="I2027">
        <v>213.49</v>
      </c>
      <c r="M2027" s="1" t="s">
        <v>32</v>
      </c>
      <c r="N2027" s="1" t="s">
        <v>33</v>
      </c>
      <c r="O2027" s="2">
        <v>46275</v>
      </c>
      <c r="P2027" s="2"/>
      <c r="Q2027">
        <f>_xlfn.XLOOKUP(E2027,CPT!$A$2:$A$13,CPT!$D$2:$D$13)</f>
        <v>210</v>
      </c>
      <c r="R2027" s="1">
        <f>_xlfn.XLOOKUP(C2027,Contract!$A$2:$A$9,Contract!$B$2:$B$9)</f>
        <v>0.45</v>
      </c>
      <c r="S2027" s="1">
        <f t="shared" si="124"/>
        <v>94.5</v>
      </c>
      <c r="T2027" s="1" t="str">
        <f t="shared" si="125"/>
        <v/>
      </c>
      <c r="U2027" s="1" t="str">
        <f t="shared" si="126"/>
        <v/>
      </c>
      <c r="V2027" s="1" t="str">
        <f>_xlfn.XLOOKUP(C2027,Payers!$A$2:$A$9,Payers!$B$2:$B$9)</f>
        <v>Blue Horizon Commercial</v>
      </c>
      <c r="W2027" s="1" t="str">
        <f t="shared" si="127"/>
        <v>2026-08</v>
      </c>
    </row>
    <row r="2028" spans="1:23">
      <c r="A2028" s="1" t="s">
        <v>3624</v>
      </c>
      <c r="B2028" s="1" t="s">
        <v>3625</v>
      </c>
      <c r="C2028" s="1" t="s">
        <v>25</v>
      </c>
      <c r="D2028" s="1" t="s">
        <v>19</v>
      </c>
      <c r="E2028" s="1" t="s">
        <v>41</v>
      </c>
      <c r="F2028">
        <v>1</v>
      </c>
      <c r="G2028" s="2">
        <v>46225</v>
      </c>
      <c r="H2028" s="2">
        <v>46226</v>
      </c>
      <c r="I2028">
        <v>38.86</v>
      </c>
      <c r="J2028">
        <v>16.12</v>
      </c>
      <c r="K2028">
        <v>14.51</v>
      </c>
      <c r="L2028">
        <v>1.61</v>
      </c>
      <c r="M2028" s="1" t="s">
        <v>21</v>
      </c>
      <c r="N2028" s="1" t="s">
        <v>22</v>
      </c>
      <c r="O2028" s="2">
        <v>46241</v>
      </c>
      <c r="P2028" s="2">
        <v>46241</v>
      </c>
      <c r="Q2028">
        <f>_xlfn.XLOOKUP(E2028,CPT!$A$2:$A$13,CPT!$D$2:$D$13)</f>
        <v>38</v>
      </c>
      <c r="R2028" s="1">
        <f>_xlfn.XLOOKUP(C2028,Contract!$A$2:$A$9,Contract!$B$2:$B$9)</f>
        <v>0.36</v>
      </c>
      <c r="S2028" s="1">
        <f t="shared" si="124"/>
        <v>13.68</v>
      </c>
      <c r="T2028" s="1">
        <f t="shared" si="125"/>
        <v>-2.4400000000000013</v>
      </c>
      <c r="U2028" s="1" t="str">
        <f t="shared" si="126"/>
        <v>OK</v>
      </c>
      <c r="V2028" s="1" t="str">
        <f>_xlfn.XLOOKUP(C2028,Payers!$A$2:$A$9,Payers!$B$2:$B$9)</f>
        <v>Medicare Part B</v>
      </c>
      <c r="W2028" s="1" t="str">
        <f t="shared" si="127"/>
        <v>2026-07</v>
      </c>
    </row>
    <row r="2029" spans="1:23">
      <c r="A2029" s="1" t="s">
        <v>3626</v>
      </c>
      <c r="B2029" s="1" t="s">
        <v>3627</v>
      </c>
      <c r="C2029" s="1" t="s">
        <v>76</v>
      </c>
      <c r="D2029" s="1" t="s">
        <v>19</v>
      </c>
      <c r="E2029" s="1" t="s">
        <v>20</v>
      </c>
      <c r="F2029">
        <v>1</v>
      </c>
      <c r="G2029" s="2">
        <v>45952</v>
      </c>
      <c r="H2029" s="2">
        <v>45954</v>
      </c>
      <c r="I2029">
        <v>144.69</v>
      </c>
      <c r="J2029">
        <v>66.7</v>
      </c>
      <c r="K2029">
        <v>53.36</v>
      </c>
      <c r="L2029">
        <v>13.34</v>
      </c>
      <c r="M2029" s="1" t="s">
        <v>21</v>
      </c>
      <c r="N2029" s="1" t="s">
        <v>22</v>
      </c>
      <c r="O2029" s="2">
        <v>45984</v>
      </c>
      <c r="P2029" s="2">
        <v>45984</v>
      </c>
      <c r="Q2029">
        <f>_xlfn.XLOOKUP(E2029,CPT!$A$2:$A$13,CPT!$D$2:$D$13)</f>
        <v>145</v>
      </c>
      <c r="R2029" s="1">
        <f>_xlfn.XLOOKUP(C2029,Contract!$A$2:$A$9,Contract!$B$2:$B$9)</f>
        <v>0.43</v>
      </c>
      <c r="S2029" s="1">
        <f t="shared" si="124"/>
        <v>62.35</v>
      </c>
      <c r="T2029" s="1">
        <f t="shared" si="125"/>
        <v>-4.3500000000000014</v>
      </c>
      <c r="U2029" s="1" t="str">
        <f t="shared" si="126"/>
        <v>OK</v>
      </c>
      <c r="V2029" s="1" t="str">
        <f>_xlfn.XLOOKUP(C2029,Payers!$A$2:$A$9,Payers!$B$2:$B$9)</f>
        <v>Summit Health Commercial</v>
      </c>
      <c r="W2029" s="1" t="str">
        <f t="shared" si="127"/>
        <v>2025-10</v>
      </c>
    </row>
    <row r="2030" spans="1:23">
      <c r="A2030" s="1" t="s">
        <v>3628</v>
      </c>
      <c r="B2030" s="1" t="s">
        <v>3629</v>
      </c>
      <c r="C2030" s="1" t="s">
        <v>25</v>
      </c>
      <c r="D2030" s="1" t="s">
        <v>30</v>
      </c>
      <c r="E2030" s="1" t="s">
        <v>31</v>
      </c>
      <c r="F2030">
        <v>4</v>
      </c>
      <c r="G2030" s="2">
        <v>46186</v>
      </c>
      <c r="H2030" s="2">
        <v>46188</v>
      </c>
      <c r="I2030">
        <v>250.07</v>
      </c>
      <c r="M2030" s="1" t="s">
        <v>32</v>
      </c>
      <c r="N2030" s="1" t="s">
        <v>124</v>
      </c>
      <c r="O2030" s="2">
        <v>46206</v>
      </c>
      <c r="P2030" s="2"/>
      <c r="Q2030">
        <f>_xlfn.XLOOKUP(E2030,CPT!$A$2:$A$13,CPT!$D$2:$D$13)</f>
        <v>62</v>
      </c>
      <c r="R2030" s="1">
        <f>_xlfn.XLOOKUP(C2030,Contract!$A$2:$A$9,Contract!$B$2:$B$9)</f>
        <v>0.36</v>
      </c>
      <c r="S2030" s="1">
        <f t="shared" si="124"/>
        <v>89.28</v>
      </c>
      <c r="T2030" s="1" t="str">
        <f t="shared" si="125"/>
        <v/>
      </c>
      <c r="U2030" s="1" t="str">
        <f t="shared" si="126"/>
        <v/>
      </c>
      <c r="V2030" s="1" t="str">
        <f>_xlfn.XLOOKUP(C2030,Payers!$A$2:$A$9,Payers!$B$2:$B$9)</f>
        <v>Medicare Part B</v>
      </c>
      <c r="W2030" s="1" t="str">
        <f t="shared" si="127"/>
        <v>2026-06</v>
      </c>
    </row>
    <row r="2031" spans="1:23">
      <c r="A2031" s="1" t="s">
        <v>3630</v>
      </c>
      <c r="B2031" s="1" t="s">
        <v>3631</v>
      </c>
      <c r="C2031" s="1" t="s">
        <v>25</v>
      </c>
      <c r="D2031" s="1" t="s">
        <v>26</v>
      </c>
      <c r="E2031" s="1" t="s">
        <v>41</v>
      </c>
      <c r="F2031">
        <v>1</v>
      </c>
      <c r="G2031" s="2">
        <v>46069</v>
      </c>
      <c r="H2031" s="2">
        <v>46078</v>
      </c>
      <c r="I2031">
        <v>37.200000000000003</v>
      </c>
      <c r="J2031">
        <v>14.65</v>
      </c>
      <c r="K2031">
        <v>14.65</v>
      </c>
      <c r="L2031">
        <v>0</v>
      </c>
      <c r="M2031" s="1" t="s">
        <v>21</v>
      </c>
      <c r="N2031" s="1" t="s">
        <v>22</v>
      </c>
      <c r="O2031" s="2">
        <v>46094</v>
      </c>
      <c r="P2031" s="2">
        <v>46094</v>
      </c>
      <c r="Q2031">
        <f>_xlfn.XLOOKUP(E2031,CPT!$A$2:$A$13,CPT!$D$2:$D$13)</f>
        <v>38</v>
      </c>
      <c r="R2031" s="1">
        <f>_xlfn.XLOOKUP(C2031,Contract!$A$2:$A$9,Contract!$B$2:$B$9)</f>
        <v>0.36</v>
      </c>
      <c r="S2031" s="1">
        <f t="shared" si="124"/>
        <v>13.68</v>
      </c>
      <c r="T2031" s="1">
        <f t="shared" si="125"/>
        <v>-0.97000000000000064</v>
      </c>
      <c r="U2031" s="1" t="str">
        <f t="shared" si="126"/>
        <v>OK</v>
      </c>
      <c r="V2031" s="1" t="str">
        <f>_xlfn.XLOOKUP(C2031,Payers!$A$2:$A$9,Payers!$B$2:$B$9)</f>
        <v>Medicare Part B</v>
      </c>
      <c r="W2031" s="1" t="str">
        <f t="shared" si="127"/>
        <v>2026-02</v>
      </c>
    </row>
    <row r="2032" spans="1:23">
      <c r="A2032" s="1" t="s">
        <v>3632</v>
      </c>
      <c r="B2032" s="1" t="s">
        <v>3633</v>
      </c>
      <c r="C2032" s="1" t="s">
        <v>79</v>
      </c>
      <c r="D2032" s="1" t="s">
        <v>30</v>
      </c>
      <c r="E2032" s="1" t="s">
        <v>20</v>
      </c>
      <c r="F2032">
        <v>1</v>
      </c>
      <c r="G2032" s="2">
        <v>46002</v>
      </c>
      <c r="H2032" s="2">
        <v>46004</v>
      </c>
      <c r="I2032">
        <v>143.54</v>
      </c>
      <c r="M2032" s="1" t="s">
        <v>69</v>
      </c>
      <c r="N2032" s="1" t="s">
        <v>22</v>
      </c>
      <c r="O2032" s="2"/>
      <c r="P2032" s="2"/>
      <c r="Q2032">
        <f>_xlfn.XLOOKUP(E2032,CPT!$A$2:$A$13,CPT!$D$2:$D$13)</f>
        <v>145</v>
      </c>
      <c r="R2032" s="1">
        <f>_xlfn.XLOOKUP(C2032,Contract!$A$2:$A$9,Contract!$B$2:$B$9)</f>
        <v>1</v>
      </c>
      <c r="S2032" s="1">
        <f t="shared" si="124"/>
        <v>145</v>
      </c>
      <c r="T2032" s="1" t="str">
        <f t="shared" si="125"/>
        <v/>
      </c>
      <c r="U2032" s="1" t="str">
        <f t="shared" si="126"/>
        <v/>
      </c>
      <c r="V2032" s="1" t="str">
        <f>_xlfn.XLOOKUP(C2032,Payers!$A$2:$A$9,Payers!$B$2:$B$9)</f>
        <v>Self-Pay</v>
      </c>
      <c r="W2032" s="1" t="str">
        <f t="shared" si="127"/>
        <v>2025-12</v>
      </c>
    </row>
    <row r="2033" spans="1:23">
      <c r="A2033" s="1" t="s">
        <v>3634</v>
      </c>
      <c r="B2033" s="1" t="s">
        <v>1016</v>
      </c>
      <c r="C2033" s="1" t="s">
        <v>25</v>
      </c>
      <c r="D2033" s="1" t="s">
        <v>19</v>
      </c>
      <c r="E2033" s="1" t="s">
        <v>41</v>
      </c>
      <c r="F2033">
        <v>1</v>
      </c>
      <c r="G2033" s="2">
        <v>46172</v>
      </c>
      <c r="H2033" s="2">
        <v>46175</v>
      </c>
      <c r="I2033">
        <v>37.51</v>
      </c>
      <c r="J2033">
        <v>12.94</v>
      </c>
      <c r="K2033">
        <v>12.94</v>
      </c>
      <c r="L2033">
        <v>0</v>
      </c>
      <c r="M2033" s="1" t="s">
        <v>21</v>
      </c>
      <c r="N2033" s="1" t="s">
        <v>22</v>
      </c>
      <c r="O2033" s="2">
        <v>46197</v>
      </c>
      <c r="P2033" s="2">
        <v>46197</v>
      </c>
      <c r="Q2033">
        <f>_xlfn.XLOOKUP(E2033,CPT!$A$2:$A$13,CPT!$D$2:$D$13)</f>
        <v>38</v>
      </c>
      <c r="R2033" s="1">
        <f>_xlfn.XLOOKUP(C2033,Contract!$A$2:$A$9,Contract!$B$2:$B$9)</f>
        <v>0.36</v>
      </c>
      <c r="S2033" s="1">
        <f t="shared" si="124"/>
        <v>13.68</v>
      </c>
      <c r="T2033" s="1">
        <f t="shared" si="125"/>
        <v>0.74000000000000021</v>
      </c>
      <c r="U2033" s="1" t="str">
        <f t="shared" si="126"/>
        <v>Underpaid</v>
      </c>
      <c r="V2033" s="1" t="str">
        <f>_xlfn.XLOOKUP(C2033,Payers!$A$2:$A$9,Payers!$B$2:$B$9)</f>
        <v>Medicare Part B</v>
      </c>
      <c r="W2033" s="1" t="str">
        <f t="shared" si="127"/>
        <v>2026-05</v>
      </c>
    </row>
    <row r="2034" spans="1:23">
      <c r="A2034" s="1" t="s">
        <v>3635</v>
      </c>
      <c r="B2034" s="1" t="s">
        <v>3636</v>
      </c>
      <c r="C2034" s="1" t="s">
        <v>47</v>
      </c>
      <c r="D2034" s="1" t="s">
        <v>26</v>
      </c>
      <c r="E2034" s="1" t="s">
        <v>27</v>
      </c>
      <c r="F2034">
        <v>1</v>
      </c>
      <c r="G2034" s="2">
        <v>46067</v>
      </c>
      <c r="H2034" s="2">
        <v>46072</v>
      </c>
      <c r="I2034">
        <v>247.11</v>
      </c>
      <c r="J2034">
        <v>62.54</v>
      </c>
      <c r="K2034">
        <v>62.54</v>
      </c>
      <c r="L2034">
        <v>0</v>
      </c>
      <c r="M2034" s="1" t="s">
        <v>21</v>
      </c>
      <c r="N2034" s="1" t="s">
        <v>22</v>
      </c>
      <c r="O2034" s="2">
        <v>46102</v>
      </c>
      <c r="P2034" s="2">
        <v>46102</v>
      </c>
      <c r="Q2034">
        <f>_xlfn.XLOOKUP(E2034,CPT!$A$2:$A$13,CPT!$D$2:$D$13)</f>
        <v>240</v>
      </c>
      <c r="R2034" s="1">
        <f>_xlfn.XLOOKUP(C2034,Contract!$A$2:$A$9,Contract!$B$2:$B$9)</f>
        <v>0.28000000000000003</v>
      </c>
      <c r="S2034" s="1">
        <f t="shared" si="124"/>
        <v>67.2</v>
      </c>
      <c r="T2034" s="1">
        <f t="shared" si="125"/>
        <v>4.6600000000000037</v>
      </c>
      <c r="U2034" s="1" t="str">
        <f t="shared" si="126"/>
        <v>Underpaid</v>
      </c>
      <c r="V2034" s="1" t="str">
        <f>_xlfn.XLOOKUP(C2034,Payers!$A$2:$A$9,Payers!$B$2:$B$9)</f>
        <v>Coastal Medicaid MCO</v>
      </c>
      <c r="W2034" s="1" t="str">
        <f t="shared" si="127"/>
        <v>2026-02</v>
      </c>
    </row>
    <row r="2035" spans="1:23">
      <c r="A2035" s="1" t="s">
        <v>3637</v>
      </c>
      <c r="B2035" s="1" t="s">
        <v>3638</v>
      </c>
      <c r="C2035" s="1" t="s">
        <v>18</v>
      </c>
      <c r="D2035" s="1" t="s">
        <v>19</v>
      </c>
      <c r="E2035" s="1" t="s">
        <v>41</v>
      </c>
      <c r="F2035">
        <v>1</v>
      </c>
      <c r="G2035" s="2">
        <v>46072</v>
      </c>
      <c r="H2035" s="2">
        <v>46075</v>
      </c>
      <c r="I2035">
        <v>37.1</v>
      </c>
      <c r="J2035">
        <v>15.37</v>
      </c>
      <c r="K2035">
        <v>15.37</v>
      </c>
      <c r="L2035">
        <v>0</v>
      </c>
      <c r="M2035" s="1" t="s">
        <v>21</v>
      </c>
      <c r="N2035" s="1" t="s">
        <v>22</v>
      </c>
      <c r="O2035" s="2">
        <v>46126</v>
      </c>
      <c r="P2035" s="2">
        <v>46126</v>
      </c>
      <c r="Q2035">
        <f>_xlfn.XLOOKUP(E2035,CPT!$A$2:$A$13,CPT!$D$2:$D$13)</f>
        <v>38</v>
      </c>
      <c r="R2035" s="1">
        <f>_xlfn.XLOOKUP(C2035,Contract!$A$2:$A$9,Contract!$B$2:$B$9)</f>
        <v>0.38</v>
      </c>
      <c r="S2035" s="1">
        <f t="shared" si="124"/>
        <v>14.44</v>
      </c>
      <c r="T2035" s="1">
        <f t="shared" si="125"/>
        <v>-0.92999999999999972</v>
      </c>
      <c r="U2035" s="1" t="str">
        <f t="shared" si="126"/>
        <v>OK</v>
      </c>
      <c r="V2035" s="1" t="str">
        <f>_xlfn.XLOOKUP(C2035,Payers!$A$2:$A$9,Payers!$B$2:$B$9)</f>
        <v>Sunshine Medicare Advantage</v>
      </c>
      <c r="W2035" s="1" t="str">
        <f t="shared" si="127"/>
        <v>2026-02</v>
      </c>
    </row>
    <row r="2036" spans="1:23">
      <c r="A2036" s="1" t="s">
        <v>3639</v>
      </c>
      <c r="B2036" s="1" t="s">
        <v>3243</v>
      </c>
      <c r="C2036" s="1" t="s">
        <v>76</v>
      </c>
      <c r="D2036" s="1" t="s">
        <v>26</v>
      </c>
      <c r="E2036" s="1" t="s">
        <v>41</v>
      </c>
      <c r="F2036">
        <v>1</v>
      </c>
      <c r="G2036" s="2">
        <v>46211</v>
      </c>
      <c r="H2036" s="2">
        <v>46215</v>
      </c>
      <c r="I2036">
        <v>37.72</v>
      </c>
      <c r="J2036">
        <v>15.92</v>
      </c>
      <c r="K2036">
        <v>15.92</v>
      </c>
      <c r="L2036">
        <v>0</v>
      </c>
      <c r="M2036" s="1" t="s">
        <v>21</v>
      </c>
      <c r="N2036" s="1" t="s">
        <v>22</v>
      </c>
      <c r="O2036" s="2">
        <v>46251</v>
      </c>
      <c r="P2036" s="2">
        <v>46251</v>
      </c>
      <c r="Q2036">
        <f>_xlfn.XLOOKUP(E2036,CPT!$A$2:$A$13,CPT!$D$2:$D$13)</f>
        <v>38</v>
      </c>
      <c r="R2036" s="1">
        <f>_xlfn.XLOOKUP(C2036,Contract!$A$2:$A$9,Contract!$B$2:$B$9)</f>
        <v>0.43</v>
      </c>
      <c r="S2036" s="1">
        <f t="shared" si="124"/>
        <v>16.34</v>
      </c>
      <c r="T2036" s="1">
        <f t="shared" si="125"/>
        <v>0.41999999999999993</v>
      </c>
      <c r="U2036" s="1" t="str">
        <f t="shared" si="126"/>
        <v>OK</v>
      </c>
      <c r="V2036" s="1" t="str">
        <f>_xlfn.XLOOKUP(C2036,Payers!$A$2:$A$9,Payers!$B$2:$B$9)</f>
        <v>Summit Health Commercial</v>
      </c>
      <c r="W2036" s="1" t="str">
        <f t="shared" si="127"/>
        <v>2026-07</v>
      </c>
    </row>
    <row r="2037" spans="1:23">
      <c r="A2037" s="1" t="s">
        <v>3640</v>
      </c>
      <c r="B2037" s="1" t="s">
        <v>225</v>
      </c>
      <c r="C2037" s="1" t="s">
        <v>60</v>
      </c>
      <c r="D2037" s="1" t="s">
        <v>30</v>
      </c>
      <c r="E2037" s="1" t="s">
        <v>91</v>
      </c>
      <c r="F2037">
        <v>2</v>
      </c>
      <c r="G2037" s="2">
        <v>45932</v>
      </c>
      <c r="H2037" s="2">
        <v>45940</v>
      </c>
      <c r="I2037">
        <v>115.32</v>
      </c>
      <c r="J2037">
        <v>58.59</v>
      </c>
      <c r="K2037">
        <v>58.59</v>
      </c>
      <c r="L2037">
        <v>0</v>
      </c>
      <c r="M2037" s="1" t="s">
        <v>21</v>
      </c>
      <c r="N2037" s="1" t="s">
        <v>22</v>
      </c>
      <c r="O2037" s="2">
        <v>45962</v>
      </c>
      <c r="P2037" s="2">
        <v>45962</v>
      </c>
      <c r="Q2037">
        <f>_xlfn.XLOOKUP(E2037,CPT!$A$2:$A$13,CPT!$D$2:$D$13)</f>
        <v>58</v>
      </c>
      <c r="R2037" s="1">
        <f>_xlfn.XLOOKUP(C2037,Contract!$A$2:$A$9,Contract!$B$2:$B$9)</f>
        <v>0.45</v>
      </c>
      <c r="S2037" s="1">
        <f t="shared" si="124"/>
        <v>52.2</v>
      </c>
      <c r="T2037" s="1">
        <f t="shared" si="125"/>
        <v>-6.3900000000000006</v>
      </c>
      <c r="U2037" s="1" t="str">
        <f t="shared" si="126"/>
        <v>OK</v>
      </c>
      <c r="V2037" s="1" t="str">
        <f>_xlfn.XLOOKUP(C2037,Payers!$A$2:$A$9,Payers!$B$2:$B$9)</f>
        <v>Blue Horizon Commercial</v>
      </c>
      <c r="W2037" s="1" t="str">
        <f t="shared" si="127"/>
        <v>2025-10</v>
      </c>
    </row>
    <row r="2038" spans="1:23">
      <c r="A2038" s="1" t="s">
        <v>3641</v>
      </c>
      <c r="B2038" s="1" t="s">
        <v>3642</v>
      </c>
      <c r="C2038" s="1" t="s">
        <v>25</v>
      </c>
      <c r="D2038" s="1" t="s">
        <v>26</v>
      </c>
      <c r="E2038" s="1" t="s">
        <v>44</v>
      </c>
      <c r="F2038">
        <v>1</v>
      </c>
      <c r="G2038" s="2">
        <v>45977</v>
      </c>
      <c r="H2038" s="2">
        <v>45980</v>
      </c>
      <c r="I2038">
        <v>4791</v>
      </c>
      <c r="J2038">
        <v>1535.17</v>
      </c>
      <c r="K2038">
        <v>1381.65</v>
      </c>
      <c r="L2038">
        <v>153.52000000000001</v>
      </c>
      <c r="M2038" s="1" t="s">
        <v>21</v>
      </c>
      <c r="N2038" s="1" t="s">
        <v>22</v>
      </c>
      <c r="O2038" s="2">
        <v>45994</v>
      </c>
      <c r="P2038" s="2">
        <v>45994</v>
      </c>
      <c r="Q2038">
        <f>_xlfn.XLOOKUP(E2038,CPT!$A$2:$A$13,CPT!$D$2:$D$13)</f>
        <v>4800</v>
      </c>
      <c r="R2038" s="1">
        <f>_xlfn.XLOOKUP(C2038,Contract!$A$2:$A$9,Contract!$B$2:$B$9)</f>
        <v>0.36</v>
      </c>
      <c r="S2038" s="1">
        <f t="shared" si="124"/>
        <v>1728</v>
      </c>
      <c r="T2038" s="1">
        <f t="shared" si="125"/>
        <v>192.82999999999993</v>
      </c>
      <c r="U2038" s="1" t="str">
        <f t="shared" si="126"/>
        <v>Underpaid</v>
      </c>
      <c r="V2038" s="1" t="str">
        <f>_xlfn.XLOOKUP(C2038,Payers!$A$2:$A$9,Payers!$B$2:$B$9)</f>
        <v>Medicare Part B</v>
      </c>
      <c r="W2038" s="1" t="str">
        <f t="shared" si="127"/>
        <v>2025-11</v>
      </c>
    </row>
    <row r="2039" spans="1:23">
      <c r="A2039" s="1" t="s">
        <v>3643</v>
      </c>
      <c r="B2039" s="1" t="s">
        <v>3644</v>
      </c>
      <c r="C2039" s="1" t="s">
        <v>25</v>
      </c>
      <c r="D2039" s="1" t="s">
        <v>26</v>
      </c>
      <c r="E2039" s="1" t="s">
        <v>27</v>
      </c>
      <c r="F2039">
        <v>1</v>
      </c>
      <c r="G2039" s="2">
        <v>45942</v>
      </c>
      <c r="H2039" s="2">
        <v>45953</v>
      </c>
      <c r="I2039">
        <v>246.24</v>
      </c>
      <c r="J2039">
        <v>87.55</v>
      </c>
      <c r="K2039">
        <v>87.55</v>
      </c>
      <c r="L2039">
        <v>0</v>
      </c>
      <c r="M2039" s="1" t="s">
        <v>21</v>
      </c>
      <c r="N2039" s="1" t="s">
        <v>22</v>
      </c>
      <c r="O2039" s="2">
        <v>45974</v>
      </c>
      <c r="P2039" s="2">
        <v>45974</v>
      </c>
      <c r="Q2039">
        <f>_xlfn.XLOOKUP(E2039,CPT!$A$2:$A$13,CPT!$D$2:$D$13)</f>
        <v>240</v>
      </c>
      <c r="R2039" s="1">
        <f>_xlfn.XLOOKUP(C2039,Contract!$A$2:$A$9,Contract!$B$2:$B$9)</f>
        <v>0.36</v>
      </c>
      <c r="S2039" s="1">
        <f t="shared" si="124"/>
        <v>86.4</v>
      </c>
      <c r="T2039" s="1">
        <f t="shared" si="125"/>
        <v>-1.1499999999999915</v>
      </c>
      <c r="U2039" s="1" t="str">
        <f t="shared" si="126"/>
        <v>OK</v>
      </c>
      <c r="V2039" s="1" t="str">
        <f>_xlfn.XLOOKUP(C2039,Payers!$A$2:$A$9,Payers!$B$2:$B$9)</f>
        <v>Medicare Part B</v>
      </c>
      <c r="W2039" s="1" t="str">
        <f t="shared" si="127"/>
        <v>2025-10</v>
      </c>
    </row>
    <row r="2040" spans="1:23">
      <c r="A2040" s="1" t="s">
        <v>3645</v>
      </c>
      <c r="B2040" s="1" t="s">
        <v>1414</v>
      </c>
      <c r="C2040" s="1" t="s">
        <v>52</v>
      </c>
      <c r="D2040" s="1" t="s">
        <v>37</v>
      </c>
      <c r="E2040" s="1" t="s">
        <v>38</v>
      </c>
      <c r="F2040">
        <v>5</v>
      </c>
      <c r="G2040" s="2">
        <v>46188</v>
      </c>
      <c r="H2040" s="2">
        <v>46197</v>
      </c>
      <c r="I2040">
        <v>7459.1</v>
      </c>
      <c r="M2040" s="1" t="s">
        <v>32</v>
      </c>
      <c r="N2040" s="1" t="s">
        <v>33</v>
      </c>
      <c r="O2040" s="2">
        <v>46266</v>
      </c>
      <c r="P2040" s="2"/>
      <c r="Q2040">
        <f>_xlfn.XLOOKUP(E2040,CPT!$A$2:$A$13,CPT!$D$2:$D$13)</f>
        <v>1450</v>
      </c>
      <c r="R2040" s="1">
        <f>_xlfn.XLOOKUP(C2040,Contract!$A$2:$A$9,Contract!$B$2:$B$9)</f>
        <v>0.47</v>
      </c>
      <c r="S2040" s="1">
        <f t="shared" si="124"/>
        <v>3407.5</v>
      </c>
      <c r="T2040" s="1" t="str">
        <f t="shared" si="125"/>
        <v/>
      </c>
      <c r="U2040" s="1" t="str">
        <f t="shared" si="126"/>
        <v/>
      </c>
      <c r="V2040" s="1" t="str">
        <f>_xlfn.XLOOKUP(C2040,Payers!$A$2:$A$9,Payers!$B$2:$B$9)</f>
        <v>Keystone Commercial PPO</v>
      </c>
      <c r="W2040" s="1" t="str">
        <f t="shared" si="127"/>
        <v>2026-06</v>
      </c>
    </row>
    <row r="2041" spans="1:23">
      <c r="A2041" s="1" t="s">
        <v>3646</v>
      </c>
      <c r="B2041" s="1" t="s">
        <v>599</v>
      </c>
      <c r="C2041" s="1" t="s">
        <v>47</v>
      </c>
      <c r="D2041" s="1" t="s">
        <v>26</v>
      </c>
      <c r="E2041" s="1" t="s">
        <v>185</v>
      </c>
      <c r="F2041">
        <v>1</v>
      </c>
      <c r="G2041" s="2">
        <v>46208</v>
      </c>
      <c r="H2041" s="2">
        <v>46211</v>
      </c>
      <c r="I2041">
        <v>1158.81</v>
      </c>
      <c r="J2041">
        <v>328.56</v>
      </c>
      <c r="K2041">
        <v>262.85000000000002</v>
      </c>
      <c r="L2041">
        <v>65.709999999999994</v>
      </c>
      <c r="M2041" s="1" t="s">
        <v>21</v>
      </c>
      <c r="N2041" s="1" t="s">
        <v>22</v>
      </c>
      <c r="O2041" s="2">
        <v>46279</v>
      </c>
      <c r="P2041" s="2">
        <v>46279</v>
      </c>
      <c r="Q2041">
        <f>_xlfn.XLOOKUP(E2041,CPT!$A$2:$A$13,CPT!$D$2:$D$13)</f>
        <v>1150</v>
      </c>
      <c r="R2041" s="1">
        <f>_xlfn.XLOOKUP(C2041,Contract!$A$2:$A$9,Contract!$B$2:$B$9)</f>
        <v>0.28000000000000003</v>
      </c>
      <c r="S2041" s="1">
        <f t="shared" si="124"/>
        <v>322</v>
      </c>
      <c r="T2041" s="1">
        <f t="shared" si="125"/>
        <v>-6.5600000000000023</v>
      </c>
      <c r="U2041" s="1" t="str">
        <f t="shared" si="126"/>
        <v>OK</v>
      </c>
      <c r="V2041" s="1" t="str">
        <f>_xlfn.XLOOKUP(C2041,Payers!$A$2:$A$9,Payers!$B$2:$B$9)</f>
        <v>Coastal Medicaid MCO</v>
      </c>
      <c r="W2041" s="1" t="str">
        <f t="shared" si="127"/>
        <v>2026-07</v>
      </c>
    </row>
    <row r="2042" spans="1:23">
      <c r="A2042" s="1" t="s">
        <v>3647</v>
      </c>
      <c r="B2042" s="1" t="s">
        <v>629</v>
      </c>
      <c r="C2042" s="1" t="s">
        <v>60</v>
      </c>
      <c r="D2042" s="1" t="s">
        <v>19</v>
      </c>
      <c r="E2042" s="1" t="s">
        <v>88</v>
      </c>
      <c r="F2042">
        <v>1</v>
      </c>
      <c r="G2042" s="2">
        <v>46158</v>
      </c>
      <c r="H2042" s="2">
        <v>46160</v>
      </c>
      <c r="I2042">
        <v>258.76</v>
      </c>
      <c r="J2042">
        <v>117.34</v>
      </c>
      <c r="K2042">
        <v>117.34</v>
      </c>
      <c r="L2042">
        <v>0</v>
      </c>
      <c r="M2042" s="1" t="s">
        <v>21</v>
      </c>
      <c r="N2042" s="1" t="s">
        <v>22</v>
      </c>
      <c r="O2042" s="2">
        <v>46205</v>
      </c>
      <c r="P2042" s="2">
        <v>46205</v>
      </c>
      <c r="Q2042">
        <f>_xlfn.XLOOKUP(E2042,CPT!$A$2:$A$13,CPT!$D$2:$D$13)</f>
        <v>260</v>
      </c>
      <c r="R2042" s="1">
        <f>_xlfn.XLOOKUP(C2042,Contract!$A$2:$A$9,Contract!$B$2:$B$9)</f>
        <v>0.45</v>
      </c>
      <c r="S2042" s="1">
        <f t="shared" si="124"/>
        <v>117</v>
      </c>
      <c r="T2042" s="1">
        <f t="shared" si="125"/>
        <v>-0.34000000000000341</v>
      </c>
      <c r="U2042" s="1" t="str">
        <f t="shared" si="126"/>
        <v>OK</v>
      </c>
      <c r="V2042" s="1" t="str">
        <f>_xlfn.XLOOKUP(C2042,Payers!$A$2:$A$9,Payers!$B$2:$B$9)</f>
        <v>Blue Horizon Commercial</v>
      </c>
      <c r="W2042" s="1" t="str">
        <f t="shared" si="127"/>
        <v>2026-05</v>
      </c>
    </row>
    <row r="2043" spans="1:23">
      <c r="A2043" s="1" t="s">
        <v>3648</v>
      </c>
      <c r="B2043" s="1" t="s">
        <v>3649</v>
      </c>
      <c r="C2043" s="1" t="s">
        <v>52</v>
      </c>
      <c r="D2043" s="1" t="s">
        <v>19</v>
      </c>
      <c r="E2043" s="1" t="s">
        <v>57</v>
      </c>
      <c r="F2043">
        <v>1</v>
      </c>
      <c r="G2043" s="2">
        <v>45964</v>
      </c>
      <c r="H2043" s="2">
        <v>45965</v>
      </c>
      <c r="I2043">
        <v>208.14</v>
      </c>
      <c r="J2043">
        <v>84.82</v>
      </c>
      <c r="K2043">
        <v>76.34</v>
      </c>
      <c r="L2043">
        <v>8.48</v>
      </c>
      <c r="M2043" s="1" t="s">
        <v>21</v>
      </c>
      <c r="N2043" s="1" t="s">
        <v>22</v>
      </c>
      <c r="O2043" s="2">
        <v>46008</v>
      </c>
      <c r="P2043" s="2">
        <v>46008</v>
      </c>
      <c r="Q2043">
        <f>_xlfn.XLOOKUP(E2043,CPT!$A$2:$A$13,CPT!$D$2:$D$13)</f>
        <v>210</v>
      </c>
      <c r="R2043" s="1">
        <f>_xlfn.XLOOKUP(C2043,Contract!$A$2:$A$9,Contract!$B$2:$B$9)</f>
        <v>0.47</v>
      </c>
      <c r="S2043" s="1">
        <f t="shared" si="124"/>
        <v>98.7</v>
      </c>
      <c r="T2043" s="1">
        <f t="shared" si="125"/>
        <v>13.88000000000001</v>
      </c>
      <c r="U2043" s="1" t="str">
        <f t="shared" si="126"/>
        <v>Underpaid</v>
      </c>
      <c r="V2043" s="1" t="str">
        <f>_xlfn.XLOOKUP(C2043,Payers!$A$2:$A$9,Payers!$B$2:$B$9)</f>
        <v>Keystone Commercial PPO</v>
      </c>
      <c r="W2043" s="1" t="str">
        <f t="shared" si="127"/>
        <v>2025-11</v>
      </c>
    </row>
    <row r="2044" spans="1:23">
      <c r="A2044" s="1" t="s">
        <v>3650</v>
      </c>
      <c r="B2044" s="1" t="s">
        <v>3651</v>
      </c>
      <c r="C2044" s="1" t="s">
        <v>60</v>
      </c>
      <c r="D2044" s="1" t="s">
        <v>19</v>
      </c>
      <c r="E2044" s="1" t="s">
        <v>41</v>
      </c>
      <c r="F2044">
        <v>1</v>
      </c>
      <c r="G2044" s="2">
        <v>46212</v>
      </c>
      <c r="H2044" s="2">
        <v>46214</v>
      </c>
      <c r="I2044">
        <v>37.340000000000003</v>
      </c>
      <c r="J2044">
        <v>16.34</v>
      </c>
      <c r="K2044">
        <v>16.34</v>
      </c>
      <c r="L2044">
        <v>0</v>
      </c>
      <c r="M2044" s="1" t="s">
        <v>21</v>
      </c>
      <c r="N2044" s="1" t="s">
        <v>22</v>
      </c>
      <c r="O2044" s="2">
        <v>46225</v>
      </c>
      <c r="P2044" s="2">
        <v>46225</v>
      </c>
      <c r="Q2044">
        <f>_xlfn.XLOOKUP(E2044,CPT!$A$2:$A$13,CPT!$D$2:$D$13)</f>
        <v>38</v>
      </c>
      <c r="R2044" s="1">
        <f>_xlfn.XLOOKUP(C2044,Contract!$A$2:$A$9,Contract!$B$2:$B$9)</f>
        <v>0.45</v>
      </c>
      <c r="S2044" s="1">
        <f t="shared" si="124"/>
        <v>17.100000000000001</v>
      </c>
      <c r="T2044" s="1">
        <f t="shared" si="125"/>
        <v>0.76000000000000156</v>
      </c>
      <c r="U2044" s="1" t="str">
        <f t="shared" si="126"/>
        <v>OK</v>
      </c>
      <c r="V2044" s="1" t="str">
        <f>_xlfn.XLOOKUP(C2044,Payers!$A$2:$A$9,Payers!$B$2:$B$9)</f>
        <v>Blue Horizon Commercial</v>
      </c>
      <c r="W2044" s="1" t="str">
        <f t="shared" si="127"/>
        <v>2026-07</v>
      </c>
    </row>
    <row r="2045" spans="1:23">
      <c r="A2045" s="1" t="s">
        <v>3652</v>
      </c>
      <c r="B2045" s="1" t="s">
        <v>310</v>
      </c>
      <c r="C2045" s="1" t="s">
        <v>60</v>
      </c>
      <c r="D2045" s="1" t="s">
        <v>19</v>
      </c>
      <c r="E2045" s="1" t="s">
        <v>20</v>
      </c>
      <c r="F2045">
        <v>1</v>
      </c>
      <c r="G2045" s="2">
        <v>46234</v>
      </c>
      <c r="H2045" s="2">
        <v>46235</v>
      </c>
      <c r="I2045">
        <v>144.12</v>
      </c>
      <c r="J2045">
        <v>67.510000000000005</v>
      </c>
      <c r="K2045">
        <v>67.510000000000005</v>
      </c>
      <c r="L2045">
        <v>0</v>
      </c>
      <c r="M2045" s="1" t="s">
        <v>21</v>
      </c>
      <c r="N2045" s="1" t="s">
        <v>22</v>
      </c>
      <c r="O2045" s="2">
        <v>46260</v>
      </c>
      <c r="P2045" s="2">
        <v>46260</v>
      </c>
      <c r="Q2045">
        <f>_xlfn.XLOOKUP(E2045,CPT!$A$2:$A$13,CPT!$D$2:$D$13)</f>
        <v>145</v>
      </c>
      <c r="R2045" s="1">
        <f>_xlfn.XLOOKUP(C2045,Contract!$A$2:$A$9,Contract!$B$2:$B$9)</f>
        <v>0.45</v>
      </c>
      <c r="S2045" s="1">
        <f t="shared" si="124"/>
        <v>65.25</v>
      </c>
      <c r="T2045" s="1">
        <f t="shared" si="125"/>
        <v>-2.2600000000000051</v>
      </c>
      <c r="U2045" s="1" t="str">
        <f t="shared" si="126"/>
        <v>OK</v>
      </c>
      <c r="V2045" s="1" t="str">
        <f>_xlfn.XLOOKUP(C2045,Payers!$A$2:$A$9,Payers!$B$2:$B$9)</f>
        <v>Blue Horizon Commercial</v>
      </c>
      <c r="W2045" s="1" t="str">
        <f t="shared" si="127"/>
        <v>2026-07</v>
      </c>
    </row>
    <row r="2046" spans="1:23">
      <c r="A2046" s="1" t="s">
        <v>3653</v>
      </c>
      <c r="B2046" s="1" t="s">
        <v>3654</v>
      </c>
      <c r="C2046" s="1" t="s">
        <v>60</v>
      </c>
      <c r="D2046" s="1" t="s">
        <v>30</v>
      </c>
      <c r="E2046" s="1" t="s">
        <v>20</v>
      </c>
      <c r="F2046">
        <v>1</v>
      </c>
      <c r="G2046" s="2">
        <v>46210</v>
      </c>
      <c r="H2046" s="2">
        <v>46221</v>
      </c>
      <c r="I2046">
        <v>141.52000000000001</v>
      </c>
      <c r="J2046">
        <v>66.53</v>
      </c>
      <c r="K2046">
        <v>66.53</v>
      </c>
      <c r="L2046">
        <v>0</v>
      </c>
      <c r="M2046" s="1" t="s">
        <v>21</v>
      </c>
      <c r="N2046" s="1" t="s">
        <v>22</v>
      </c>
      <c r="O2046" s="2">
        <v>46257</v>
      </c>
      <c r="P2046" s="2">
        <v>46257</v>
      </c>
      <c r="Q2046">
        <f>_xlfn.XLOOKUP(E2046,CPT!$A$2:$A$13,CPT!$D$2:$D$13)</f>
        <v>145</v>
      </c>
      <c r="R2046" s="1">
        <f>_xlfn.XLOOKUP(C2046,Contract!$A$2:$A$9,Contract!$B$2:$B$9)</f>
        <v>0.45</v>
      </c>
      <c r="S2046" s="1">
        <f t="shared" si="124"/>
        <v>65.25</v>
      </c>
      <c r="T2046" s="1">
        <f t="shared" si="125"/>
        <v>-1.2800000000000011</v>
      </c>
      <c r="U2046" s="1" t="str">
        <f t="shared" si="126"/>
        <v>OK</v>
      </c>
      <c r="V2046" s="1" t="str">
        <f>_xlfn.XLOOKUP(C2046,Payers!$A$2:$A$9,Payers!$B$2:$B$9)</f>
        <v>Blue Horizon Commercial</v>
      </c>
      <c r="W2046" s="1" t="str">
        <f t="shared" si="127"/>
        <v>2026-07</v>
      </c>
    </row>
    <row r="2047" spans="1:23">
      <c r="A2047" s="1" t="s">
        <v>3655</v>
      </c>
      <c r="B2047" s="1" t="s">
        <v>3656</v>
      </c>
      <c r="C2047" s="1" t="s">
        <v>25</v>
      </c>
      <c r="D2047" s="1" t="s">
        <v>37</v>
      </c>
      <c r="E2047" s="1" t="s">
        <v>38</v>
      </c>
      <c r="F2047">
        <v>5</v>
      </c>
      <c r="G2047" s="2">
        <v>46181</v>
      </c>
      <c r="H2047" s="2">
        <v>46183</v>
      </c>
      <c r="I2047">
        <v>7430.7</v>
      </c>
      <c r="J2047">
        <v>3062.65</v>
      </c>
      <c r="K2047">
        <v>3062.65</v>
      </c>
      <c r="L2047">
        <v>0</v>
      </c>
      <c r="M2047" s="1" t="s">
        <v>21</v>
      </c>
      <c r="N2047" s="1" t="s">
        <v>22</v>
      </c>
      <c r="O2047" s="2">
        <v>46193</v>
      </c>
      <c r="P2047" s="2">
        <v>46193</v>
      </c>
      <c r="Q2047">
        <f>_xlfn.XLOOKUP(E2047,CPT!$A$2:$A$13,CPT!$D$2:$D$13)</f>
        <v>1450</v>
      </c>
      <c r="R2047" s="1">
        <f>_xlfn.XLOOKUP(C2047,Contract!$A$2:$A$9,Contract!$B$2:$B$9)</f>
        <v>0.36</v>
      </c>
      <c r="S2047" s="1">
        <f t="shared" si="124"/>
        <v>2610</v>
      </c>
      <c r="T2047" s="1">
        <f t="shared" si="125"/>
        <v>-452.65000000000009</v>
      </c>
      <c r="U2047" s="1" t="str">
        <f t="shared" si="126"/>
        <v>OK</v>
      </c>
      <c r="V2047" s="1" t="str">
        <f>_xlfn.XLOOKUP(C2047,Payers!$A$2:$A$9,Payers!$B$2:$B$9)</f>
        <v>Medicare Part B</v>
      </c>
      <c r="W2047" s="1" t="str">
        <f t="shared" si="127"/>
        <v>2026-06</v>
      </c>
    </row>
    <row r="2048" spans="1:23">
      <c r="A2048" s="1" t="s">
        <v>3657</v>
      </c>
      <c r="B2048" s="1" t="s">
        <v>3658</v>
      </c>
      <c r="C2048" s="1" t="s">
        <v>60</v>
      </c>
      <c r="D2048" s="1" t="s">
        <v>26</v>
      </c>
      <c r="E2048" s="1" t="s">
        <v>27</v>
      </c>
      <c r="F2048">
        <v>1</v>
      </c>
      <c r="G2048" s="2">
        <v>46177</v>
      </c>
      <c r="H2048" s="2">
        <v>46181</v>
      </c>
      <c r="I2048">
        <v>244.02</v>
      </c>
      <c r="J2048">
        <v>111.63</v>
      </c>
      <c r="K2048">
        <v>89.3</v>
      </c>
      <c r="L2048">
        <v>22.33</v>
      </c>
      <c r="M2048" s="1" t="s">
        <v>21</v>
      </c>
      <c r="N2048" s="1" t="s">
        <v>22</v>
      </c>
      <c r="O2048" s="2">
        <v>46213</v>
      </c>
      <c r="P2048" s="2">
        <v>46213</v>
      </c>
      <c r="Q2048">
        <f>_xlfn.XLOOKUP(E2048,CPT!$A$2:$A$13,CPT!$D$2:$D$13)</f>
        <v>240</v>
      </c>
      <c r="R2048" s="1">
        <f>_xlfn.XLOOKUP(C2048,Contract!$A$2:$A$9,Contract!$B$2:$B$9)</f>
        <v>0.45</v>
      </c>
      <c r="S2048" s="1">
        <f t="shared" si="124"/>
        <v>108</v>
      </c>
      <c r="T2048" s="1">
        <f t="shared" si="125"/>
        <v>-3.6299999999999955</v>
      </c>
      <c r="U2048" s="1" t="str">
        <f t="shared" si="126"/>
        <v>OK</v>
      </c>
      <c r="V2048" s="1" t="str">
        <f>_xlfn.XLOOKUP(C2048,Payers!$A$2:$A$9,Payers!$B$2:$B$9)</f>
        <v>Blue Horizon Commercial</v>
      </c>
      <c r="W2048" s="1" t="str">
        <f t="shared" si="127"/>
        <v>2026-06</v>
      </c>
    </row>
    <row r="2049" spans="1:23">
      <c r="A2049" s="1" t="s">
        <v>3659</v>
      </c>
      <c r="B2049" s="1" t="s">
        <v>3660</v>
      </c>
      <c r="C2049" s="1" t="s">
        <v>47</v>
      </c>
      <c r="D2049" s="1" t="s">
        <v>26</v>
      </c>
      <c r="E2049" s="1" t="s">
        <v>113</v>
      </c>
      <c r="F2049">
        <v>1</v>
      </c>
      <c r="G2049" s="2">
        <v>46055</v>
      </c>
      <c r="H2049" s="2">
        <v>46056</v>
      </c>
      <c r="I2049">
        <v>1063.47</v>
      </c>
      <c r="J2049">
        <v>293.04000000000002</v>
      </c>
      <c r="K2049">
        <v>234.43</v>
      </c>
      <c r="L2049">
        <v>58.61</v>
      </c>
      <c r="M2049" s="1" t="s">
        <v>21</v>
      </c>
      <c r="N2049" s="1" t="s">
        <v>22</v>
      </c>
      <c r="O2049" s="2">
        <v>46108</v>
      </c>
      <c r="P2049" s="2">
        <v>46108</v>
      </c>
      <c r="Q2049">
        <f>_xlfn.XLOOKUP(E2049,CPT!$A$2:$A$13,CPT!$D$2:$D$13)</f>
        <v>1050</v>
      </c>
      <c r="R2049" s="1">
        <f>_xlfn.XLOOKUP(C2049,Contract!$A$2:$A$9,Contract!$B$2:$B$9)</f>
        <v>0.28000000000000003</v>
      </c>
      <c r="S2049" s="1">
        <f t="shared" si="124"/>
        <v>294</v>
      </c>
      <c r="T2049" s="1">
        <f t="shared" si="125"/>
        <v>0.95999999999997954</v>
      </c>
      <c r="U2049" s="1" t="str">
        <f t="shared" si="126"/>
        <v>OK</v>
      </c>
      <c r="V2049" s="1" t="str">
        <f>_xlfn.XLOOKUP(C2049,Payers!$A$2:$A$9,Payers!$B$2:$B$9)</f>
        <v>Coastal Medicaid MCO</v>
      </c>
      <c r="W2049" s="1" t="str">
        <f t="shared" si="127"/>
        <v>2026-02</v>
      </c>
    </row>
    <row r="2050" spans="1:23">
      <c r="A2050" s="1" t="s">
        <v>3661</v>
      </c>
      <c r="B2050" s="1" t="s">
        <v>2097</v>
      </c>
      <c r="C2050" s="1" t="s">
        <v>60</v>
      </c>
      <c r="D2050" s="1" t="s">
        <v>37</v>
      </c>
      <c r="E2050" s="1" t="s">
        <v>38</v>
      </c>
      <c r="F2050">
        <v>20</v>
      </c>
      <c r="G2050" s="2">
        <v>46028</v>
      </c>
      <c r="H2050" s="2">
        <v>46031</v>
      </c>
      <c r="I2050">
        <v>28746.51</v>
      </c>
      <c r="J2050">
        <v>12703.55</v>
      </c>
      <c r="K2050">
        <v>12703.55</v>
      </c>
      <c r="L2050">
        <v>0</v>
      </c>
      <c r="M2050" s="1" t="s">
        <v>21</v>
      </c>
      <c r="N2050" s="1" t="s">
        <v>22</v>
      </c>
      <c r="O2050" s="2">
        <v>46058</v>
      </c>
      <c r="P2050" s="2">
        <v>46058</v>
      </c>
      <c r="Q2050">
        <f>_xlfn.XLOOKUP(E2050,CPT!$A$2:$A$13,CPT!$D$2:$D$13)</f>
        <v>1450</v>
      </c>
      <c r="R2050" s="1">
        <f>_xlfn.XLOOKUP(C2050,Contract!$A$2:$A$9,Contract!$B$2:$B$9)</f>
        <v>0.45</v>
      </c>
      <c r="S2050" s="1">
        <f t="shared" ref="S2050:S2113" si="128">ROUND(Q2050*F2050*R2050,2)</f>
        <v>13050</v>
      </c>
      <c r="T2050" s="1">
        <f t="shared" ref="T2050:T2113" si="129">IF(M2050="Paid",S2050-J2050,"")</f>
        <v>346.45000000000073</v>
      </c>
      <c r="U2050" s="1" t="str">
        <f t="shared" ref="U2050:U2113" si="130">IF(M2050&lt;&gt;"Paid","",IF(T2050&gt;S2050*0.05,"Underpaid","OK"))</f>
        <v>OK</v>
      </c>
      <c r="V2050" s="1" t="str">
        <f>_xlfn.XLOOKUP(C2050,Payers!$A$2:$A$9,Payers!$B$2:$B$9)</f>
        <v>Blue Horizon Commercial</v>
      </c>
      <c r="W2050" s="1" t="str">
        <f t="shared" ref="W2050:W2113" si="131">TEXT(G2050,"yyyy-mm")</f>
        <v>2026-01</v>
      </c>
    </row>
    <row r="2051" spans="1:23">
      <c r="A2051" s="1" t="s">
        <v>3662</v>
      </c>
      <c r="B2051" s="1" t="s">
        <v>2295</v>
      </c>
      <c r="C2051" s="1" t="s">
        <v>25</v>
      </c>
      <c r="D2051" s="1" t="s">
        <v>26</v>
      </c>
      <c r="E2051" s="1" t="s">
        <v>185</v>
      </c>
      <c r="F2051">
        <v>1</v>
      </c>
      <c r="G2051" s="2">
        <v>46279</v>
      </c>
      <c r="H2051" s="2">
        <v>46281</v>
      </c>
      <c r="I2051">
        <v>1173.75</v>
      </c>
      <c r="J2051">
        <v>361.12</v>
      </c>
      <c r="K2051">
        <v>361.12</v>
      </c>
      <c r="L2051">
        <v>0</v>
      </c>
      <c r="M2051" s="1" t="s">
        <v>21</v>
      </c>
      <c r="N2051" s="1" t="s">
        <v>22</v>
      </c>
      <c r="O2051" s="2">
        <v>46289</v>
      </c>
      <c r="P2051" s="2">
        <v>46289</v>
      </c>
      <c r="Q2051">
        <f>_xlfn.XLOOKUP(E2051,CPT!$A$2:$A$13,CPT!$D$2:$D$13)</f>
        <v>1150</v>
      </c>
      <c r="R2051" s="1">
        <f>_xlfn.XLOOKUP(C2051,Contract!$A$2:$A$9,Contract!$B$2:$B$9)</f>
        <v>0.36</v>
      </c>
      <c r="S2051" s="1">
        <f t="shared" si="128"/>
        <v>414</v>
      </c>
      <c r="T2051" s="1">
        <f t="shared" si="129"/>
        <v>52.879999999999995</v>
      </c>
      <c r="U2051" s="1" t="str">
        <f t="shared" si="130"/>
        <v>Underpaid</v>
      </c>
      <c r="V2051" s="1" t="str">
        <f>_xlfn.XLOOKUP(C2051,Payers!$A$2:$A$9,Payers!$B$2:$B$9)</f>
        <v>Medicare Part B</v>
      </c>
      <c r="W2051" s="1" t="str">
        <f t="shared" si="131"/>
        <v>2026-09</v>
      </c>
    </row>
    <row r="2052" spans="1:23">
      <c r="A2052" s="1" t="s">
        <v>3663</v>
      </c>
      <c r="B2052" s="1" t="s">
        <v>3664</v>
      </c>
      <c r="C2052" s="1" t="s">
        <v>25</v>
      </c>
      <c r="D2052" s="1" t="s">
        <v>26</v>
      </c>
      <c r="E2052" s="1" t="s">
        <v>113</v>
      </c>
      <c r="F2052">
        <v>1</v>
      </c>
      <c r="G2052" s="2">
        <v>46276</v>
      </c>
      <c r="H2052" s="2">
        <v>46278</v>
      </c>
      <c r="I2052">
        <v>1073.76</v>
      </c>
      <c r="J2052">
        <v>425.3</v>
      </c>
      <c r="K2052">
        <v>425.3</v>
      </c>
      <c r="L2052">
        <v>0</v>
      </c>
      <c r="M2052" s="1" t="s">
        <v>21</v>
      </c>
      <c r="N2052" s="1" t="s">
        <v>22</v>
      </c>
      <c r="O2052" s="2">
        <v>46295</v>
      </c>
      <c r="P2052" s="2">
        <v>46295</v>
      </c>
      <c r="Q2052">
        <f>_xlfn.XLOOKUP(E2052,CPT!$A$2:$A$13,CPT!$D$2:$D$13)</f>
        <v>1050</v>
      </c>
      <c r="R2052" s="1">
        <f>_xlfn.XLOOKUP(C2052,Contract!$A$2:$A$9,Contract!$B$2:$B$9)</f>
        <v>0.36</v>
      </c>
      <c r="S2052" s="1">
        <f t="shared" si="128"/>
        <v>378</v>
      </c>
      <c r="T2052" s="1">
        <f t="shared" si="129"/>
        <v>-47.300000000000011</v>
      </c>
      <c r="U2052" s="1" t="str">
        <f t="shared" si="130"/>
        <v>OK</v>
      </c>
      <c r="V2052" s="1" t="str">
        <f>_xlfn.XLOOKUP(C2052,Payers!$A$2:$A$9,Payers!$B$2:$B$9)</f>
        <v>Medicare Part B</v>
      </c>
      <c r="W2052" s="1" t="str">
        <f t="shared" si="131"/>
        <v>2026-09</v>
      </c>
    </row>
    <row r="2053" spans="1:23">
      <c r="A2053" s="1" t="s">
        <v>3665</v>
      </c>
      <c r="B2053" s="1" t="s">
        <v>3666</v>
      </c>
      <c r="C2053" s="1" t="s">
        <v>60</v>
      </c>
      <c r="D2053" s="1" t="s">
        <v>30</v>
      </c>
      <c r="E2053" s="1" t="s">
        <v>91</v>
      </c>
      <c r="F2053">
        <v>1</v>
      </c>
      <c r="G2053" s="2">
        <v>46178</v>
      </c>
      <c r="H2053" s="2">
        <v>46183</v>
      </c>
      <c r="I2053">
        <v>58.53</v>
      </c>
      <c r="J2053">
        <v>30.25</v>
      </c>
      <c r="K2053">
        <v>27.22</v>
      </c>
      <c r="L2053">
        <v>3.03</v>
      </c>
      <c r="M2053" s="1" t="s">
        <v>21</v>
      </c>
      <c r="N2053" s="1" t="s">
        <v>22</v>
      </c>
      <c r="O2053" s="2">
        <v>46218</v>
      </c>
      <c r="P2053" s="2">
        <v>46218</v>
      </c>
      <c r="Q2053">
        <f>_xlfn.XLOOKUP(E2053,CPT!$A$2:$A$13,CPT!$D$2:$D$13)</f>
        <v>58</v>
      </c>
      <c r="R2053" s="1">
        <f>_xlfn.XLOOKUP(C2053,Contract!$A$2:$A$9,Contract!$B$2:$B$9)</f>
        <v>0.45</v>
      </c>
      <c r="S2053" s="1">
        <f t="shared" si="128"/>
        <v>26.1</v>
      </c>
      <c r="T2053" s="1">
        <f t="shared" si="129"/>
        <v>-4.1499999999999986</v>
      </c>
      <c r="U2053" s="1" t="str">
        <f t="shared" si="130"/>
        <v>OK</v>
      </c>
      <c r="V2053" s="1" t="str">
        <f>_xlfn.XLOOKUP(C2053,Payers!$A$2:$A$9,Payers!$B$2:$B$9)</f>
        <v>Blue Horizon Commercial</v>
      </c>
      <c r="W2053" s="1" t="str">
        <f t="shared" si="131"/>
        <v>2026-06</v>
      </c>
    </row>
    <row r="2054" spans="1:23">
      <c r="A2054" s="1" t="s">
        <v>3667</v>
      </c>
      <c r="B2054" s="1" t="s">
        <v>3668</v>
      </c>
      <c r="C2054" s="1" t="s">
        <v>25</v>
      </c>
      <c r="D2054" s="1" t="s">
        <v>26</v>
      </c>
      <c r="E2054" s="1" t="s">
        <v>113</v>
      </c>
      <c r="F2054">
        <v>1</v>
      </c>
      <c r="G2054" s="2">
        <v>46158</v>
      </c>
      <c r="H2054" s="2">
        <v>46162</v>
      </c>
      <c r="I2054">
        <v>1025.67</v>
      </c>
      <c r="J2054">
        <v>419.14</v>
      </c>
      <c r="K2054">
        <v>419.14</v>
      </c>
      <c r="L2054">
        <v>0</v>
      </c>
      <c r="M2054" s="1" t="s">
        <v>21</v>
      </c>
      <c r="N2054" s="1" t="s">
        <v>22</v>
      </c>
      <c r="O2054" s="2">
        <v>46177</v>
      </c>
      <c r="P2054" s="2">
        <v>46177</v>
      </c>
      <c r="Q2054">
        <f>_xlfn.XLOOKUP(E2054,CPT!$A$2:$A$13,CPT!$D$2:$D$13)</f>
        <v>1050</v>
      </c>
      <c r="R2054" s="1">
        <f>_xlfn.XLOOKUP(C2054,Contract!$A$2:$A$9,Contract!$B$2:$B$9)</f>
        <v>0.36</v>
      </c>
      <c r="S2054" s="1">
        <f t="shared" si="128"/>
        <v>378</v>
      </c>
      <c r="T2054" s="1">
        <f t="shared" si="129"/>
        <v>-41.139999999999986</v>
      </c>
      <c r="U2054" s="1" t="str">
        <f t="shared" si="130"/>
        <v>OK</v>
      </c>
      <c r="V2054" s="1" t="str">
        <f>_xlfn.XLOOKUP(C2054,Payers!$A$2:$A$9,Payers!$B$2:$B$9)</f>
        <v>Medicare Part B</v>
      </c>
      <c r="W2054" s="1" t="str">
        <f t="shared" si="131"/>
        <v>2026-05</v>
      </c>
    </row>
    <row r="2055" spans="1:23">
      <c r="A2055" s="1" t="s">
        <v>3669</v>
      </c>
      <c r="B2055" s="1" t="s">
        <v>3670</v>
      </c>
      <c r="C2055" s="1" t="s">
        <v>25</v>
      </c>
      <c r="D2055" s="1" t="s">
        <v>19</v>
      </c>
      <c r="E2055" s="1" t="s">
        <v>41</v>
      </c>
      <c r="F2055">
        <v>1</v>
      </c>
      <c r="G2055" s="2">
        <v>46206</v>
      </c>
      <c r="H2055" s="2">
        <v>46215</v>
      </c>
      <c r="I2055">
        <v>36.979999999999997</v>
      </c>
      <c r="J2055">
        <v>15.27</v>
      </c>
      <c r="K2055">
        <v>13.74</v>
      </c>
      <c r="L2055">
        <v>1.53</v>
      </c>
      <c r="M2055" s="1" t="s">
        <v>21</v>
      </c>
      <c r="N2055" s="1" t="s">
        <v>22</v>
      </c>
      <c r="O2055" s="2">
        <v>46232</v>
      </c>
      <c r="P2055" s="2">
        <v>46232</v>
      </c>
      <c r="Q2055">
        <f>_xlfn.XLOOKUP(E2055,CPT!$A$2:$A$13,CPT!$D$2:$D$13)</f>
        <v>38</v>
      </c>
      <c r="R2055" s="1">
        <f>_xlfn.XLOOKUP(C2055,Contract!$A$2:$A$9,Contract!$B$2:$B$9)</f>
        <v>0.36</v>
      </c>
      <c r="S2055" s="1">
        <f t="shared" si="128"/>
        <v>13.68</v>
      </c>
      <c r="T2055" s="1">
        <f t="shared" si="129"/>
        <v>-1.5899999999999999</v>
      </c>
      <c r="U2055" s="1" t="str">
        <f t="shared" si="130"/>
        <v>OK</v>
      </c>
      <c r="V2055" s="1" t="str">
        <f>_xlfn.XLOOKUP(C2055,Payers!$A$2:$A$9,Payers!$B$2:$B$9)</f>
        <v>Medicare Part B</v>
      </c>
      <c r="W2055" s="1" t="str">
        <f t="shared" si="131"/>
        <v>2026-07</v>
      </c>
    </row>
    <row r="2056" spans="1:23">
      <c r="A2056" s="1" t="s">
        <v>3671</v>
      </c>
      <c r="B2056" s="1" t="s">
        <v>3672</v>
      </c>
      <c r="C2056" s="1" t="s">
        <v>76</v>
      </c>
      <c r="D2056" s="1" t="s">
        <v>19</v>
      </c>
      <c r="E2056" s="1" t="s">
        <v>88</v>
      </c>
      <c r="F2056">
        <v>1</v>
      </c>
      <c r="G2056" s="2">
        <v>46173</v>
      </c>
      <c r="H2056" s="2">
        <v>46175</v>
      </c>
      <c r="I2056">
        <v>261.16000000000003</v>
      </c>
      <c r="J2056">
        <v>128.65</v>
      </c>
      <c r="K2056">
        <v>102.92</v>
      </c>
      <c r="L2056">
        <v>25.73</v>
      </c>
      <c r="M2056" s="1" t="s">
        <v>21</v>
      </c>
      <c r="N2056" s="1" t="s">
        <v>22</v>
      </c>
      <c r="O2056" s="2">
        <v>46211</v>
      </c>
      <c r="P2056" s="2">
        <v>46211</v>
      </c>
      <c r="Q2056">
        <f>_xlfn.XLOOKUP(E2056,CPT!$A$2:$A$13,CPT!$D$2:$D$13)</f>
        <v>260</v>
      </c>
      <c r="R2056" s="1">
        <f>_xlfn.XLOOKUP(C2056,Contract!$A$2:$A$9,Contract!$B$2:$B$9)</f>
        <v>0.43</v>
      </c>
      <c r="S2056" s="1">
        <f t="shared" si="128"/>
        <v>111.8</v>
      </c>
      <c r="T2056" s="1">
        <f t="shared" si="129"/>
        <v>-16.850000000000009</v>
      </c>
      <c r="U2056" s="1" t="str">
        <f t="shared" si="130"/>
        <v>OK</v>
      </c>
      <c r="V2056" s="1" t="str">
        <f>_xlfn.XLOOKUP(C2056,Payers!$A$2:$A$9,Payers!$B$2:$B$9)</f>
        <v>Summit Health Commercial</v>
      </c>
      <c r="W2056" s="1" t="str">
        <f t="shared" si="131"/>
        <v>2026-05</v>
      </c>
    </row>
    <row r="2057" spans="1:23">
      <c r="A2057" s="1" t="s">
        <v>3673</v>
      </c>
      <c r="B2057" s="1" t="s">
        <v>574</v>
      </c>
      <c r="C2057" s="1" t="s">
        <v>52</v>
      </c>
      <c r="D2057" s="1" t="s">
        <v>30</v>
      </c>
      <c r="E2057" s="1" t="s">
        <v>31</v>
      </c>
      <c r="F2057">
        <v>3</v>
      </c>
      <c r="G2057" s="2">
        <v>45999</v>
      </c>
      <c r="H2057" s="2">
        <v>46000</v>
      </c>
      <c r="I2057">
        <v>183.98</v>
      </c>
      <c r="J2057">
        <v>96.9</v>
      </c>
      <c r="K2057">
        <v>87.21</v>
      </c>
      <c r="L2057">
        <v>9.69</v>
      </c>
      <c r="M2057" s="1" t="s">
        <v>21</v>
      </c>
      <c r="N2057" s="1" t="s">
        <v>22</v>
      </c>
      <c r="O2057" s="2">
        <v>46032</v>
      </c>
      <c r="P2057" s="2">
        <v>46032</v>
      </c>
      <c r="Q2057">
        <f>_xlfn.XLOOKUP(E2057,CPT!$A$2:$A$13,CPT!$D$2:$D$13)</f>
        <v>62</v>
      </c>
      <c r="R2057" s="1">
        <f>_xlfn.XLOOKUP(C2057,Contract!$A$2:$A$9,Contract!$B$2:$B$9)</f>
        <v>0.47</v>
      </c>
      <c r="S2057" s="1">
        <f t="shared" si="128"/>
        <v>87.42</v>
      </c>
      <c r="T2057" s="1">
        <f t="shared" si="129"/>
        <v>-9.480000000000004</v>
      </c>
      <c r="U2057" s="1" t="str">
        <f t="shared" si="130"/>
        <v>OK</v>
      </c>
      <c r="V2057" s="1" t="str">
        <f>_xlfn.XLOOKUP(C2057,Payers!$A$2:$A$9,Payers!$B$2:$B$9)</f>
        <v>Keystone Commercial PPO</v>
      </c>
      <c r="W2057" s="1" t="str">
        <f t="shared" si="131"/>
        <v>2025-12</v>
      </c>
    </row>
    <row r="2058" spans="1:23">
      <c r="A2058" s="1" t="s">
        <v>3674</v>
      </c>
      <c r="B2058" s="1" t="s">
        <v>3675</v>
      </c>
      <c r="C2058" s="1" t="s">
        <v>52</v>
      </c>
      <c r="D2058" s="1" t="s">
        <v>30</v>
      </c>
      <c r="E2058" s="1" t="s">
        <v>91</v>
      </c>
      <c r="F2058">
        <v>3</v>
      </c>
      <c r="G2058" s="2">
        <v>46013</v>
      </c>
      <c r="H2058" s="2">
        <v>46018</v>
      </c>
      <c r="I2058">
        <v>178.28</v>
      </c>
      <c r="J2058">
        <v>84.47</v>
      </c>
      <c r="K2058">
        <v>84.47</v>
      </c>
      <c r="L2058">
        <v>0</v>
      </c>
      <c r="M2058" s="1" t="s">
        <v>21</v>
      </c>
      <c r="N2058" s="1" t="s">
        <v>22</v>
      </c>
      <c r="O2058" s="2">
        <v>46085</v>
      </c>
      <c r="P2058" s="2">
        <v>46085</v>
      </c>
      <c r="Q2058">
        <f>_xlfn.XLOOKUP(E2058,CPT!$A$2:$A$13,CPT!$D$2:$D$13)</f>
        <v>58</v>
      </c>
      <c r="R2058" s="1">
        <f>_xlfn.XLOOKUP(C2058,Contract!$A$2:$A$9,Contract!$B$2:$B$9)</f>
        <v>0.47</v>
      </c>
      <c r="S2058" s="1">
        <f t="shared" si="128"/>
        <v>81.78</v>
      </c>
      <c r="T2058" s="1">
        <f t="shared" si="129"/>
        <v>-2.6899999999999977</v>
      </c>
      <c r="U2058" s="1" t="str">
        <f t="shared" si="130"/>
        <v>OK</v>
      </c>
      <c r="V2058" s="1" t="str">
        <f>_xlfn.XLOOKUP(C2058,Payers!$A$2:$A$9,Payers!$B$2:$B$9)</f>
        <v>Keystone Commercial PPO</v>
      </c>
      <c r="W2058" s="1" t="str">
        <f t="shared" si="131"/>
        <v>2025-12</v>
      </c>
    </row>
    <row r="2059" spans="1:23">
      <c r="A2059" s="1" t="s">
        <v>3676</v>
      </c>
      <c r="B2059" s="1" t="s">
        <v>3677</v>
      </c>
      <c r="C2059" s="1" t="s">
        <v>36</v>
      </c>
      <c r="D2059" s="1" t="s">
        <v>26</v>
      </c>
      <c r="E2059" s="1" t="s">
        <v>27</v>
      </c>
      <c r="F2059">
        <v>1</v>
      </c>
      <c r="G2059" s="2">
        <v>46100</v>
      </c>
      <c r="H2059" s="2">
        <v>46111</v>
      </c>
      <c r="I2059">
        <v>240.85</v>
      </c>
      <c r="J2059">
        <v>67.91</v>
      </c>
      <c r="K2059">
        <v>67.91</v>
      </c>
      <c r="L2059">
        <v>0</v>
      </c>
      <c r="M2059" s="1" t="s">
        <v>21</v>
      </c>
      <c r="N2059" s="1" t="s">
        <v>22</v>
      </c>
      <c r="O2059" s="2">
        <v>46146</v>
      </c>
      <c r="P2059" s="2">
        <v>46146</v>
      </c>
      <c r="Q2059">
        <f>_xlfn.XLOOKUP(E2059,CPT!$A$2:$A$13,CPT!$D$2:$D$13)</f>
        <v>240</v>
      </c>
      <c r="R2059" s="1">
        <f>_xlfn.XLOOKUP(C2059,Contract!$A$2:$A$9,Contract!$B$2:$B$9)</f>
        <v>0.27</v>
      </c>
      <c r="S2059" s="1">
        <f t="shared" si="128"/>
        <v>64.8</v>
      </c>
      <c r="T2059" s="1">
        <f t="shared" si="129"/>
        <v>-3.1099999999999994</v>
      </c>
      <c r="U2059" s="1" t="str">
        <f t="shared" si="130"/>
        <v>OK</v>
      </c>
      <c r="V2059" s="1" t="str">
        <f>_xlfn.XLOOKUP(C2059,Payers!$A$2:$A$9,Payers!$B$2:$B$9)</f>
        <v>Florida Medicaid</v>
      </c>
      <c r="W2059" s="1" t="str">
        <f t="shared" si="131"/>
        <v>2026-03</v>
      </c>
    </row>
    <row r="2060" spans="1:23">
      <c r="A2060" s="1" t="s">
        <v>3678</v>
      </c>
      <c r="B2060" s="1" t="s">
        <v>645</v>
      </c>
      <c r="C2060" s="1" t="s">
        <v>76</v>
      </c>
      <c r="D2060" s="1" t="s">
        <v>26</v>
      </c>
      <c r="E2060" s="1" t="s">
        <v>88</v>
      </c>
      <c r="F2060">
        <v>1</v>
      </c>
      <c r="G2060" s="2">
        <v>46121</v>
      </c>
      <c r="H2060" s="2">
        <v>46123</v>
      </c>
      <c r="I2060">
        <v>253.28</v>
      </c>
      <c r="J2060">
        <v>109.54</v>
      </c>
      <c r="K2060">
        <v>109.54</v>
      </c>
      <c r="L2060">
        <v>0</v>
      </c>
      <c r="M2060" s="1" t="s">
        <v>21</v>
      </c>
      <c r="N2060" s="1" t="s">
        <v>22</v>
      </c>
      <c r="O2060" s="2">
        <v>46140</v>
      </c>
      <c r="P2060" s="2">
        <v>46140</v>
      </c>
      <c r="Q2060">
        <f>_xlfn.XLOOKUP(E2060,CPT!$A$2:$A$13,CPT!$D$2:$D$13)</f>
        <v>260</v>
      </c>
      <c r="R2060" s="1">
        <f>_xlfn.XLOOKUP(C2060,Contract!$A$2:$A$9,Contract!$B$2:$B$9)</f>
        <v>0.43</v>
      </c>
      <c r="S2060" s="1">
        <f t="shared" si="128"/>
        <v>111.8</v>
      </c>
      <c r="T2060" s="1">
        <f t="shared" si="129"/>
        <v>2.2599999999999909</v>
      </c>
      <c r="U2060" s="1" t="str">
        <f t="shared" si="130"/>
        <v>OK</v>
      </c>
      <c r="V2060" s="1" t="str">
        <f>_xlfn.XLOOKUP(C2060,Payers!$A$2:$A$9,Payers!$B$2:$B$9)</f>
        <v>Summit Health Commercial</v>
      </c>
      <c r="W2060" s="1" t="str">
        <f t="shared" si="131"/>
        <v>2026-04</v>
      </c>
    </row>
    <row r="2061" spans="1:23">
      <c r="A2061" s="1" t="s">
        <v>3679</v>
      </c>
      <c r="B2061" s="1" t="s">
        <v>1681</v>
      </c>
      <c r="C2061" s="1" t="s">
        <v>76</v>
      </c>
      <c r="D2061" s="1" t="s">
        <v>30</v>
      </c>
      <c r="E2061" s="1" t="s">
        <v>91</v>
      </c>
      <c r="F2061">
        <v>2</v>
      </c>
      <c r="G2061" s="2">
        <v>46127</v>
      </c>
      <c r="H2061" s="2">
        <v>46129</v>
      </c>
      <c r="I2061">
        <v>117.45</v>
      </c>
      <c r="J2061">
        <v>52.27</v>
      </c>
      <c r="K2061">
        <v>47.04</v>
      </c>
      <c r="L2061">
        <v>5.23</v>
      </c>
      <c r="M2061" s="1" t="s">
        <v>21</v>
      </c>
      <c r="N2061" s="1" t="s">
        <v>22</v>
      </c>
      <c r="O2061" s="2">
        <v>46152</v>
      </c>
      <c r="P2061" s="2">
        <v>46152</v>
      </c>
      <c r="Q2061">
        <f>_xlfn.XLOOKUP(E2061,CPT!$A$2:$A$13,CPT!$D$2:$D$13)</f>
        <v>58</v>
      </c>
      <c r="R2061" s="1">
        <f>_xlfn.XLOOKUP(C2061,Contract!$A$2:$A$9,Contract!$B$2:$B$9)</f>
        <v>0.43</v>
      </c>
      <c r="S2061" s="1">
        <f t="shared" si="128"/>
        <v>49.88</v>
      </c>
      <c r="T2061" s="1">
        <f t="shared" si="129"/>
        <v>-2.3900000000000006</v>
      </c>
      <c r="U2061" s="1" t="str">
        <f t="shared" si="130"/>
        <v>OK</v>
      </c>
      <c r="V2061" s="1" t="str">
        <f>_xlfn.XLOOKUP(C2061,Payers!$A$2:$A$9,Payers!$B$2:$B$9)</f>
        <v>Summit Health Commercial</v>
      </c>
      <c r="W2061" s="1" t="str">
        <f t="shared" si="131"/>
        <v>2026-04</v>
      </c>
    </row>
    <row r="2062" spans="1:23">
      <c r="A2062" s="1" t="s">
        <v>3680</v>
      </c>
      <c r="B2062" s="1" t="s">
        <v>3681</v>
      </c>
      <c r="C2062" s="1" t="s">
        <v>47</v>
      </c>
      <c r="D2062" s="1" t="s">
        <v>26</v>
      </c>
      <c r="E2062" s="1" t="s">
        <v>88</v>
      </c>
      <c r="F2062">
        <v>1</v>
      </c>
      <c r="G2062" s="2">
        <v>46180</v>
      </c>
      <c r="H2062" s="2">
        <v>46191</v>
      </c>
      <c r="I2062">
        <v>256.38</v>
      </c>
      <c r="J2062">
        <v>62.96</v>
      </c>
      <c r="K2062">
        <v>62.96</v>
      </c>
      <c r="L2062">
        <v>0</v>
      </c>
      <c r="M2062" s="1" t="s">
        <v>21</v>
      </c>
      <c r="N2062" s="1" t="s">
        <v>22</v>
      </c>
      <c r="O2062" s="2">
        <v>46253</v>
      </c>
      <c r="P2062" s="2">
        <v>46253</v>
      </c>
      <c r="Q2062">
        <f>_xlfn.XLOOKUP(E2062,CPT!$A$2:$A$13,CPT!$D$2:$D$13)</f>
        <v>260</v>
      </c>
      <c r="R2062" s="1">
        <f>_xlfn.XLOOKUP(C2062,Contract!$A$2:$A$9,Contract!$B$2:$B$9)</f>
        <v>0.28000000000000003</v>
      </c>
      <c r="S2062" s="1">
        <f t="shared" si="128"/>
        <v>72.8</v>
      </c>
      <c r="T2062" s="1">
        <f t="shared" si="129"/>
        <v>9.8399999999999963</v>
      </c>
      <c r="U2062" s="1" t="str">
        <f t="shared" si="130"/>
        <v>Underpaid</v>
      </c>
      <c r="V2062" s="1" t="str">
        <f>_xlfn.XLOOKUP(C2062,Payers!$A$2:$A$9,Payers!$B$2:$B$9)</f>
        <v>Coastal Medicaid MCO</v>
      </c>
      <c r="W2062" s="1" t="str">
        <f t="shared" si="131"/>
        <v>2026-06</v>
      </c>
    </row>
    <row r="2063" spans="1:23">
      <c r="A2063" s="1" t="s">
        <v>3682</v>
      </c>
      <c r="B2063" s="1" t="s">
        <v>1089</v>
      </c>
      <c r="C2063" s="1" t="s">
        <v>52</v>
      </c>
      <c r="D2063" s="1" t="s">
        <v>30</v>
      </c>
      <c r="E2063" s="1" t="s">
        <v>31</v>
      </c>
      <c r="F2063">
        <v>2</v>
      </c>
      <c r="G2063" s="2">
        <v>45979</v>
      </c>
      <c r="H2063" s="2">
        <v>45980</v>
      </c>
      <c r="I2063">
        <v>124.48</v>
      </c>
      <c r="J2063">
        <v>67.94</v>
      </c>
      <c r="K2063">
        <v>67.94</v>
      </c>
      <c r="L2063">
        <v>0</v>
      </c>
      <c r="M2063" s="1" t="s">
        <v>21</v>
      </c>
      <c r="N2063" s="1" t="s">
        <v>22</v>
      </c>
      <c r="O2063" s="2">
        <v>46025</v>
      </c>
      <c r="P2063" s="2">
        <v>46025</v>
      </c>
      <c r="Q2063">
        <f>_xlfn.XLOOKUP(E2063,CPT!$A$2:$A$13,CPT!$D$2:$D$13)</f>
        <v>62</v>
      </c>
      <c r="R2063" s="1">
        <f>_xlfn.XLOOKUP(C2063,Contract!$A$2:$A$9,Contract!$B$2:$B$9)</f>
        <v>0.47</v>
      </c>
      <c r="S2063" s="1">
        <f t="shared" si="128"/>
        <v>58.28</v>
      </c>
      <c r="T2063" s="1">
        <f t="shared" si="129"/>
        <v>-9.6599999999999966</v>
      </c>
      <c r="U2063" s="1" t="str">
        <f t="shared" si="130"/>
        <v>OK</v>
      </c>
      <c r="V2063" s="1" t="str">
        <f>_xlfn.XLOOKUP(C2063,Payers!$A$2:$A$9,Payers!$B$2:$B$9)</f>
        <v>Keystone Commercial PPO</v>
      </c>
      <c r="W2063" s="1" t="str">
        <f t="shared" si="131"/>
        <v>2025-11</v>
      </c>
    </row>
    <row r="2064" spans="1:23">
      <c r="A2064" s="1" t="s">
        <v>3683</v>
      </c>
      <c r="B2064" s="1" t="s">
        <v>3684</v>
      </c>
      <c r="C2064" s="1" t="s">
        <v>18</v>
      </c>
      <c r="D2064" s="1" t="s">
        <v>37</v>
      </c>
      <c r="E2064" s="1" t="s">
        <v>48</v>
      </c>
      <c r="F2064">
        <v>1</v>
      </c>
      <c r="G2064" s="2">
        <v>46128</v>
      </c>
      <c r="H2064" s="2">
        <v>46129</v>
      </c>
      <c r="I2064">
        <v>425.02</v>
      </c>
      <c r="J2064">
        <v>178.62</v>
      </c>
      <c r="K2064">
        <v>142.9</v>
      </c>
      <c r="L2064">
        <v>35.72</v>
      </c>
      <c r="M2064" s="1" t="s">
        <v>21</v>
      </c>
      <c r="N2064" s="1" t="s">
        <v>22</v>
      </c>
      <c r="O2064" s="2">
        <v>46186</v>
      </c>
      <c r="P2064" s="2">
        <v>46186</v>
      </c>
      <c r="Q2064">
        <f>_xlfn.XLOOKUP(E2064,CPT!$A$2:$A$13,CPT!$D$2:$D$13)</f>
        <v>420</v>
      </c>
      <c r="R2064" s="1">
        <f>_xlfn.XLOOKUP(C2064,Contract!$A$2:$A$9,Contract!$B$2:$B$9)</f>
        <v>0.38</v>
      </c>
      <c r="S2064" s="1">
        <f t="shared" si="128"/>
        <v>159.6</v>
      </c>
      <c r="T2064" s="1">
        <f t="shared" si="129"/>
        <v>-19.02000000000001</v>
      </c>
      <c r="U2064" s="1" t="str">
        <f t="shared" si="130"/>
        <v>OK</v>
      </c>
      <c r="V2064" s="1" t="str">
        <f>_xlfn.XLOOKUP(C2064,Payers!$A$2:$A$9,Payers!$B$2:$B$9)</f>
        <v>Sunshine Medicare Advantage</v>
      </c>
      <c r="W2064" s="1" t="str">
        <f t="shared" si="131"/>
        <v>2026-04</v>
      </c>
    </row>
    <row r="2065" spans="1:23">
      <c r="A2065" s="1" t="s">
        <v>3685</v>
      </c>
      <c r="B2065" s="1" t="s">
        <v>3686</v>
      </c>
      <c r="C2065" s="1" t="s">
        <v>25</v>
      </c>
      <c r="D2065" s="1" t="s">
        <v>26</v>
      </c>
      <c r="E2065" s="1" t="s">
        <v>57</v>
      </c>
      <c r="F2065">
        <v>1</v>
      </c>
      <c r="G2065" s="2">
        <v>45995</v>
      </c>
      <c r="H2065" s="2">
        <v>45997</v>
      </c>
      <c r="I2065">
        <v>210.45</v>
      </c>
      <c r="J2065">
        <v>69.67</v>
      </c>
      <c r="K2065">
        <v>69.67</v>
      </c>
      <c r="L2065">
        <v>0</v>
      </c>
      <c r="M2065" s="1" t="s">
        <v>21</v>
      </c>
      <c r="N2065" s="1" t="s">
        <v>22</v>
      </c>
      <c r="O2065" s="2">
        <v>46020</v>
      </c>
      <c r="P2065" s="2">
        <v>46020</v>
      </c>
      <c r="Q2065">
        <f>_xlfn.XLOOKUP(E2065,CPT!$A$2:$A$13,CPT!$D$2:$D$13)</f>
        <v>210</v>
      </c>
      <c r="R2065" s="1">
        <f>_xlfn.XLOOKUP(C2065,Contract!$A$2:$A$9,Contract!$B$2:$B$9)</f>
        <v>0.36</v>
      </c>
      <c r="S2065" s="1">
        <f t="shared" si="128"/>
        <v>75.599999999999994</v>
      </c>
      <c r="T2065" s="1">
        <f t="shared" si="129"/>
        <v>5.9299999999999926</v>
      </c>
      <c r="U2065" s="1" t="str">
        <f t="shared" si="130"/>
        <v>Underpaid</v>
      </c>
      <c r="V2065" s="1" t="str">
        <f>_xlfn.XLOOKUP(C2065,Payers!$A$2:$A$9,Payers!$B$2:$B$9)</f>
        <v>Medicare Part B</v>
      </c>
      <c r="W2065" s="1" t="str">
        <f t="shared" si="131"/>
        <v>2025-12</v>
      </c>
    </row>
    <row r="2066" spans="1:23">
      <c r="A2066" s="1" t="s">
        <v>3687</v>
      </c>
      <c r="B2066" s="1" t="s">
        <v>3688</v>
      </c>
      <c r="C2066" s="1" t="s">
        <v>52</v>
      </c>
      <c r="D2066" s="1" t="s">
        <v>30</v>
      </c>
      <c r="E2066" s="1" t="s">
        <v>31</v>
      </c>
      <c r="F2066">
        <v>1</v>
      </c>
      <c r="G2066" s="2">
        <v>46255</v>
      </c>
      <c r="H2066" s="2">
        <v>46261</v>
      </c>
      <c r="I2066">
        <v>63.75</v>
      </c>
      <c r="M2066" s="1" t="s">
        <v>69</v>
      </c>
      <c r="N2066" s="1" t="s">
        <v>22</v>
      </c>
      <c r="O2066" s="2"/>
      <c r="P2066" s="2"/>
      <c r="Q2066">
        <f>_xlfn.XLOOKUP(E2066,CPT!$A$2:$A$13,CPT!$D$2:$D$13)</f>
        <v>62</v>
      </c>
      <c r="R2066" s="1">
        <f>_xlfn.XLOOKUP(C2066,Contract!$A$2:$A$9,Contract!$B$2:$B$9)</f>
        <v>0.47</v>
      </c>
      <c r="S2066" s="1">
        <f t="shared" si="128"/>
        <v>29.14</v>
      </c>
      <c r="T2066" s="1" t="str">
        <f t="shared" si="129"/>
        <v/>
      </c>
      <c r="U2066" s="1" t="str">
        <f t="shared" si="130"/>
        <v/>
      </c>
      <c r="V2066" s="1" t="str">
        <f>_xlfn.XLOOKUP(C2066,Payers!$A$2:$A$9,Payers!$B$2:$B$9)</f>
        <v>Keystone Commercial PPO</v>
      </c>
      <c r="W2066" s="1" t="str">
        <f t="shared" si="131"/>
        <v>2026-08</v>
      </c>
    </row>
    <row r="2067" spans="1:23">
      <c r="A2067" s="1" t="s">
        <v>3689</v>
      </c>
      <c r="B2067" s="1" t="s">
        <v>3690</v>
      </c>
      <c r="C2067" s="1" t="s">
        <v>52</v>
      </c>
      <c r="D2067" s="1" t="s">
        <v>19</v>
      </c>
      <c r="E2067" s="1" t="s">
        <v>41</v>
      </c>
      <c r="F2067">
        <v>1</v>
      </c>
      <c r="G2067" s="2">
        <v>46238</v>
      </c>
      <c r="H2067" s="2">
        <v>46257</v>
      </c>
      <c r="I2067">
        <v>38.56</v>
      </c>
      <c r="J2067">
        <v>20.78</v>
      </c>
      <c r="K2067">
        <v>20.78</v>
      </c>
      <c r="L2067">
        <v>0</v>
      </c>
      <c r="M2067" s="1" t="s">
        <v>21</v>
      </c>
      <c r="N2067" s="1" t="s">
        <v>22</v>
      </c>
      <c r="O2067" s="2">
        <v>46295</v>
      </c>
      <c r="P2067" s="2">
        <v>46295</v>
      </c>
      <c r="Q2067">
        <f>_xlfn.XLOOKUP(E2067,CPT!$A$2:$A$13,CPT!$D$2:$D$13)</f>
        <v>38</v>
      </c>
      <c r="R2067" s="1">
        <f>_xlfn.XLOOKUP(C2067,Contract!$A$2:$A$9,Contract!$B$2:$B$9)</f>
        <v>0.47</v>
      </c>
      <c r="S2067" s="1">
        <f t="shared" si="128"/>
        <v>17.86</v>
      </c>
      <c r="T2067" s="1">
        <f t="shared" si="129"/>
        <v>-2.9200000000000017</v>
      </c>
      <c r="U2067" s="1" t="str">
        <f t="shared" si="130"/>
        <v>OK</v>
      </c>
      <c r="V2067" s="1" t="str">
        <f>_xlfn.XLOOKUP(C2067,Payers!$A$2:$A$9,Payers!$B$2:$B$9)</f>
        <v>Keystone Commercial PPO</v>
      </c>
      <c r="W2067" s="1" t="str">
        <f t="shared" si="131"/>
        <v>2026-08</v>
      </c>
    </row>
    <row r="2068" spans="1:23">
      <c r="A2068" s="1" t="s">
        <v>3691</v>
      </c>
      <c r="B2068" s="1" t="s">
        <v>3692</v>
      </c>
      <c r="C2068" s="1" t="s">
        <v>76</v>
      </c>
      <c r="D2068" s="1" t="s">
        <v>30</v>
      </c>
      <c r="E2068" s="1" t="s">
        <v>20</v>
      </c>
      <c r="F2068">
        <v>1</v>
      </c>
      <c r="G2068" s="2">
        <v>46054</v>
      </c>
      <c r="H2068" s="2">
        <v>46061</v>
      </c>
      <c r="I2068">
        <v>143.07</v>
      </c>
      <c r="M2068" s="1" t="s">
        <v>32</v>
      </c>
      <c r="N2068" s="1" t="s">
        <v>281</v>
      </c>
      <c r="O2068" s="2">
        <v>46081</v>
      </c>
      <c r="P2068" s="2"/>
      <c r="Q2068">
        <f>_xlfn.XLOOKUP(E2068,CPT!$A$2:$A$13,CPT!$D$2:$D$13)</f>
        <v>145</v>
      </c>
      <c r="R2068" s="1">
        <f>_xlfn.XLOOKUP(C2068,Contract!$A$2:$A$9,Contract!$B$2:$B$9)</f>
        <v>0.43</v>
      </c>
      <c r="S2068" s="1">
        <f t="shared" si="128"/>
        <v>62.35</v>
      </c>
      <c r="T2068" s="1" t="str">
        <f t="shared" si="129"/>
        <v/>
      </c>
      <c r="U2068" s="1" t="str">
        <f t="shared" si="130"/>
        <v/>
      </c>
      <c r="V2068" s="1" t="str">
        <f>_xlfn.XLOOKUP(C2068,Payers!$A$2:$A$9,Payers!$B$2:$B$9)</f>
        <v>Summit Health Commercial</v>
      </c>
      <c r="W2068" s="1" t="str">
        <f t="shared" si="131"/>
        <v>2026-02</v>
      </c>
    </row>
    <row r="2069" spans="1:23">
      <c r="A2069" s="1" t="s">
        <v>3693</v>
      </c>
      <c r="B2069" s="1" t="s">
        <v>1957</v>
      </c>
      <c r="C2069" s="1" t="s">
        <v>47</v>
      </c>
      <c r="D2069" s="1" t="s">
        <v>19</v>
      </c>
      <c r="E2069" s="1" t="s">
        <v>20</v>
      </c>
      <c r="F2069">
        <v>1</v>
      </c>
      <c r="G2069" s="2">
        <v>46037</v>
      </c>
      <c r="H2069" s="2">
        <v>46052</v>
      </c>
      <c r="I2069">
        <v>146.96</v>
      </c>
      <c r="J2069">
        <v>45.99</v>
      </c>
      <c r="K2069">
        <v>36.79</v>
      </c>
      <c r="L2069">
        <v>9.1999999999999993</v>
      </c>
      <c r="M2069" s="1" t="s">
        <v>21</v>
      </c>
      <c r="N2069" s="1" t="s">
        <v>22</v>
      </c>
      <c r="O2069" s="2">
        <v>46067</v>
      </c>
      <c r="P2069" s="2">
        <v>46067</v>
      </c>
      <c r="Q2069">
        <f>_xlfn.XLOOKUP(E2069,CPT!$A$2:$A$13,CPT!$D$2:$D$13)</f>
        <v>145</v>
      </c>
      <c r="R2069" s="1">
        <f>_xlfn.XLOOKUP(C2069,Contract!$A$2:$A$9,Contract!$B$2:$B$9)</f>
        <v>0.28000000000000003</v>
      </c>
      <c r="S2069" s="1">
        <f t="shared" si="128"/>
        <v>40.6</v>
      </c>
      <c r="T2069" s="1">
        <f t="shared" si="129"/>
        <v>-5.3900000000000006</v>
      </c>
      <c r="U2069" s="1" t="str">
        <f t="shared" si="130"/>
        <v>OK</v>
      </c>
      <c r="V2069" s="1" t="str">
        <f>_xlfn.XLOOKUP(C2069,Payers!$A$2:$A$9,Payers!$B$2:$B$9)</f>
        <v>Coastal Medicaid MCO</v>
      </c>
      <c r="W2069" s="1" t="str">
        <f t="shared" si="131"/>
        <v>2026-01</v>
      </c>
    </row>
    <row r="2070" spans="1:23">
      <c r="A2070" s="1" t="s">
        <v>3694</v>
      </c>
      <c r="B2070" s="1" t="s">
        <v>1266</v>
      </c>
      <c r="C2070" s="1" t="s">
        <v>60</v>
      </c>
      <c r="D2070" s="1" t="s">
        <v>19</v>
      </c>
      <c r="E2070" s="1" t="s">
        <v>20</v>
      </c>
      <c r="F2070">
        <v>1</v>
      </c>
      <c r="G2070" s="2">
        <v>46162</v>
      </c>
      <c r="H2070" s="2">
        <v>46164</v>
      </c>
      <c r="I2070">
        <v>145.99</v>
      </c>
      <c r="J2070">
        <v>61.12</v>
      </c>
      <c r="K2070">
        <v>61.12</v>
      </c>
      <c r="L2070">
        <v>0</v>
      </c>
      <c r="M2070" s="1" t="s">
        <v>21</v>
      </c>
      <c r="N2070" s="1" t="s">
        <v>22</v>
      </c>
      <c r="O2070" s="2">
        <v>46186</v>
      </c>
      <c r="P2070" s="2">
        <v>46186</v>
      </c>
      <c r="Q2070">
        <f>_xlfn.XLOOKUP(E2070,CPT!$A$2:$A$13,CPT!$D$2:$D$13)</f>
        <v>145</v>
      </c>
      <c r="R2070" s="1">
        <f>_xlfn.XLOOKUP(C2070,Contract!$A$2:$A$9,Contract!$B$2:$B$9)</f>
        <v>0.45</v>
      </c>
      <c r="S2070" s="1">
        <f t="shared" si="128"/>
        <v>65.25</v>
      </c>
      <c r="T2070" s="1">
        <f t="shared" si="129"/>
        <v>4.1300000000000026</v>
      </c>
      <c r="U2070" s="1" t="str">
        <f t="shared" si="130"/>
        <v>Underpaid</v>
      </c>
      <c r="V2070" s="1" t="str">
        <f>_xlfn.XLOOKUP(C2070,Payers!$A$2:$A$9,Payers!$B$2:$B$9)</f>
        <v>Blue Horizon Commercial</v>
      </c>
      <c r="W2070" s="1" t="str">
        <f t="shared" si="131"/>
        <v>2026-05</v>
      </c>
    </row>
    <row r="2071" spans="1:23">
      <c r="A2071" s="1" t="s">
        <v>3695</v>
      </c>
      <c r="B2071" s="1" t="s">
        <v>651</v>
      </c>
      <c r="C2071" s="1" t="s">
        <v>18</v>
      </c>
      <c r="D2071" s="1" t="s">
        <v>26</v>
      </c>
      <c r="E2071" s="1" t="s">
        <v>57</v>
      </c>
      <c r="F2071">
        <v>1</v>
      </c>
      <c r="G2071" s="2">
        <v>46110</v>
      </c>
      <c r="H2071" s="2">
        <v>46112</v>
      </c>
      <c r="I2071">
        <v>204.49</v>
      </c>
      <c r="J2071">
        <v>74.819999999999993</v>
      </c>
      <c r="K2071">
        <v>67.34</v>
      </c>
      <c r="L2071">
        <v>7.48</v>
      </c>
      <c r="M2071" s="1" t="s">
        <v>21</v>
      </c>
      <c r="N2071" s="1" t="s">
        <v>22</v>
      </c>
      <c r="O2071" s="2">
        <v>46171</v>
      </c>
      <c r="P2071" s="2">
        <v>46171</v>
      </c>
      <c r="Q2071">
        <f>_xlfn.XLOOKUP(E2071,CPT!$A$2:$A$13,CPT!$D$2:$D$13)</f>
        <v>210</v>
      </c>
      <c r="R2071" s="1">
        <f>_xlfn.XLOOKUP(C2071,Contract!$A$2:$A$9,Contract!$B$2:$B$9)</f>
        <v>0.38</v>
      </c>
      <c r="S2071" s="1">
        <f t="shared" si="128"/>
        <v>79.8</v>
      </c>
      <c r="T2071" s="1">
        <f t="shared" si="129"/>
        <v>4.980000000000004</v>
      </c>
      <c r="U2071" s="1" t="str">
        <f t="shared" si="130"/>
        <v>Underpaid</v>
      </c>
      <c r="V2071" s="1" t="str">
        <f>_xlfn.XLOOKUP(C2071,Payers!$A$2:$A$9,Payers!$B$2:$B$9)</f>
        <v>Sunshine Medicare Advantage</v>
      </c>
      <c r="W2071" s="1" t="str">
        <f t="shared" si="131"/>
        <v>2026-03</v>
      </c>
    </row>
    <row r="2072" spans="1:23">
      <c r="A2072" s="1" t="s">
        <v>3696</v>
      </c>
      <c r="B2072" s="1" t="s">
        <v>3697</v>
      </c>
      <c r="C2072" s="1" t="s">
        <v>36</v>
      </c>
      <c r="D2072" s="1" t="s">
        <v>30</v>
      </c>
      <c r="E2072" s="1" t="s">
        <v>91</v>
      </c>
      <c r="F2072">
        <v>3</v>
      </c>
      <c r="G2072" s="2">
        <v>45987</v>
      </c>
      <c r="H2072" s="2">
        <v>45990</v>
      </c>
      <c r="I2072">
        <v>172.79</v>
      </c>
      <c r="J2072">
        <v>47.63</v>
      </c>
      <c r="K2072">
        <v>38.1</v>
      </c>
      <c r="L2072">
        <v>9.5299999999999994</v>
      </c>
      <c r="M2072" s="1" t="s">
        <v>21</v>
      </c>
      <c r="N2072" s="1" t="s">
        <v>22</v>
      </c>
      <c r="O2072" s="2">
        <v>46032</v>
      </c>
      <c r="P2072" s="2">
        <v>46032</v>
      </c>
      <c r="Q2072">
        <f>_xlfn.XLOOKUP(E2072,CPT!$A$2:$A$13,CPT!$D$2:$D$13)</f>
        <v>58</v>
      </c>
      <c r="R2072" s="1">
        <f>_xlfn.XLOOKUP(C2072,Contract!$A$2:$A$9,Contract!$B$2:$B$9)</f>
        <v>0.27</v>
      </c>
      <c r="S2072" s="1">
        <f t="shared" si="128"/>
        <v>46.98</v>
      </c>
      <c r="T2072" s="1">
        <f t="shared" si="129"/>
        <v>-0.65000000000000568</v>
      </c>
      <c r="U2072" s="1" t="str">
        <f t="shared" si="130"/>
        <v>OK</v>
      </c>
      <c r="V2072" s="1" t="str">
        <f>_xlfn.XLOOKUP(C2072,Payers!$A$2:$A$9,Payers!$B$2:$B$9)</f>
        <v>Florida Medicaid</v>
      </c>
      <c r="W2072" s="1" t="str">
        <f t="shared" si="131"/>
        <v>2025-11</v>
      </c>
    </row>
    <row r="2073" spans="1:23">
      <c r="A2073" s="1" t="s">
        <v>3698</v>
      </c>
      <c r="B2073" s="1" t="s">
        <v>669</v>
      </c>
      <c r="C2073" s="1" t="s">
        <v>25</v>
      </c>
      <c r="D2073" s="1" t="s">
        <v>19</v>
      </c>
      <c r="E2073" s="1" t="s">
        <v>88</v>
      </c>
      <c r="F2073">
        <v>1</v>
      </c>
      <c r="G2073" s="2">
        <v>46011</v>
      </c>
      <c r="H2073" s="2">
        <v>46014</v>
      </c>
      <c r="I2073">
        <v>262.17</v>
      </c>
      <c r="J2073">
        <v>104.68</v>
      </c>
      <c r="K2073">
        <v>94.21</v>
      </c>
      <c r="L2073">
        <v>10.47</v>
      </c>
      <c r="M2073" s="1" t="s">
        <v>21</v>
      </c>
      <c r="N2073" s="1" t="s">
        <v>22</v>
      </c>
      <c r="O2073" s="2">
        <v>46027</v>
      </c>
      <c r="P2073" s="2">
        <v>46027</v>
      </c>
      <c r="Q2073">
        <f>_xlfn.XLOOKUP(E2073,CPT!$A$2:$A$13,CPT!$D$2:$D$13)</f>
        <v>260</v>
      </c>
      <c r="R2073" s="1">
        <f>_xlfn.XLOOKUP(C2073,Contract!$A$2:$A$9,Contract!$B$2:$B$9)</f>
        <v>0.36</v>
      </c>
      <c r="S2073" s="1">
        <f t="shared" si="128"/>
        <v>93.6</v>
      </c>
      <c r="T2073" s="1">
        <f t="shared" si="129"/>
        <v>-11.080000000000013</v>
      </c>
      <c r="U2073" s="1" t="str">
        <f t="shared" si="130"/>
        <v>OK</v>
      </c>
      <c r="V2073" s="1" t="str">
        <f>_xlfn.XLOOKUP(C2073,Payers!$A$2:$A$9,Payers!$B$2:$B$9)</f>
        <v>Medicare Part B</v>
      </c>
      <c r="W2073" s="1" t="str">
        <f t="shared" si="131"/>
        <v>2025-12</v>
      </c>
    </row>
    <row r="2074" spans="1:23">
      <c r="A2074" s="1" t="s">
        <v>3699</v>
      </c>
      <c r="B2074" s="1" t="s">
        <v>908</v>
      </c>
      <c r="C2074" s="1" t="s">
        <v>60</v>
      </c>
      <c r="D2074" s="1" t="s">
        <v>26</v>
      </c>
      <c r="E2074" s="1" t="s">
        <v>27</v>
      </c>
      <c r="F2074">
        <v>1</v>
      </c>
      <c r="G2074" s="2">
        <v>46041</v>
      </c>
      <c r="H2074" s="2">
        <v>46055</v>
      </c>
      <c r="I2074">
        <v>246.15</v>
      </c>
      <c r="J2074">
        <v>112.41</v>
      </c>
      <c r="K2074">
        <v>101.17</v>
      </c>
      <c r="L2074">
        <v>11.24</v>
      </c>
      <c r="M2074" s="1" t="s">
        <v>21</v>
      </c>
      <c r="N2074" s="1" t="s">
        <v>22</v>
      </c>
      <c r="O2074" s="2">
        <v>46088</v>
      </c>
      <c r="P2074" s="2">
        <v>46088</v>
      </c>
      <c r="Q2074">
        <f>_xlfn.XLOOKUP(E2074,CPT!$A$2:$A$13,CPT!$D$2:$D$13)</f>
        <v>240</v>
      </c>
      <c r="R2074" s="1">
        <f>_xlfn.XLOOKUP(C2074,Contract!$A$2:$A$9,Contract!$B$2:$B$9)</f>
        <v>0.45</v>
      </c>
      <c r="S2074" s="1">
        <f t="shared" si="128"/>
        <v>108</v>
      </c>
      <c r="T2074" s="1">
        <f t="shared" si="129"/>
        <v>-4.4099999999999966</v>
      </c>
      <c r="U2074" s="1" t="str">
        <f t="shared" si="130"/>
        <v>OK</v>
      </c>
      <c r="V2074" s="1" t="str">
        <f>_xlfn.XLOOKUP(C2074,Payers!$A$2:$A$9,Payers!$B$2:$B$9)</f>
        <v>Blue Horizon Commercial</v>
      </c>
      <c r="W2074" s="1" t="str">
        <f t="shared" si="131"/>
        <v>2026-01</v>
      </c>
    </row>
    <row r="2075" spans="1:23">
      <c r="A2075" s="1" t="s">
        <v>3700</v>
      </c>
      <c r="B2075" s="1" t="s">
        <v>2518</v>
      </c>
      <c r="C2075" s="1" t="s">
        <v>79</v>
      </c>
      <c r="D2075" s="1" t="s">
        <v>26</v>
      </c>
      <c r="E2075" s="1" t="s">
        <v>41</v>
      </c>
      <c r="F2075">
        <v>1</v>
      </c>
      <c r="G2075" s="2">
        <v>46069</v>
      </c>
      <c r="H2075" s="2">
        <v>46080</v>
      </c>
      <c r="I2075">
        <v>38.64</v>
      </c>
      <c r="M2075" s="1" t="s">
        <v>69</v>
      </c>
      <c r="N2075" s="1" t="s">
        <v>22</v>
      </c>
      <c r="O2075" s="2"/>
      <c r="P2075" s="2"/>
      <c r="Q2075">
        <f>_xlfn.XLOOKUP(E2075,CPT!$A$2:$A$13,CPT!$D$2:$D$13)</f>
        <v>38</v>
      </c>
      <c r="R2075" s="1">
        <f>_xlfn.XLOOKUP(C2075,Contract!$A$2:$A$9,Contract!$B$2:$B$9)</f>
        <v>1</v>
      </c>
      <c r="S2075" s="1">
        <f t="shared" si="128"/>
        <v>38</v>
      </c>
      <c r="T2075" s="1" t="str">
        <f t="shared" si="129"/>
        <v/>
      </c>
      <c r="U2075" s="1" t="str">
        <f t="shared" si="130"/>
        <v/>
      </c>
      <c r="V2075" s="1" t="str">
        <f>_xlfn.XLOOKUP(C2075,Payers!$A$2:$A$9,Payers!$B$2:$B$9)</f>
        <v>Self-Pay</v>
      </c>
      <c r="W2075" s="1" t="str">
        <f t="shared" si="131"/>
        <v>2026-02</v>
      </c>
    </row>
    <row r="2076" spans="1:23">
      <c r="A2076" s="1" t="s">
        <v>3701</v>
      </c>
      <c r="B2076" s="1" t="s">
        <v>3702</v>
      </c>
      <c r="C2076" s="1" t="s">
        <v>47</v>
      </c>
      <c r="D2076" s="1" t="s">
        <v>26</v>
      </c>
      <c r="E2076" s="1" t="s">
        <v>27</v>
      </c>
      <c r="F2076">
        <v>1</v>
      </c>
      <c r="G2076" s="2">
        <v>46048</v>
      </c>
      <c r="H2076" s="2">
        <v>46050</v>
      </c>
      <c r="I2076">
        <v>241.05</v>
      </c>
      <c r="J2076">
        <v>76.81</v>
      </c>
      <c r="K2076">
        <v>69.13</v>
      </c>
      <c r="L2076">
        <v>7.68</v>
      </c>
      <c r="M2076" s="1" t="s">
        <v>21</v>
      </c>
      <c r="N2076" s="1" t="s">
        <v>22</v>
      </c>
      <c r="O2076" s="2">
        <v>46149</v>
      </c>
      <c r="P2076" s="2">
        <v>46149</v>
      </c>
      <c r="Q2076">
        <f>_xlfn.XLOOKUP(E2076,CPT!$A$2:$A$13,CPT!$D$2:$D$13)</f>
        <v>240</v>
      </c>
      <c r="R2076" s="1">
        <f>_xlfn.XLOOKUP(C2076,Contract!$A$2:$A$9,Contract!$B$2:$B$9)</f>
        <v>0.28000000000000003</v>
      </c>
      <c r="S2076" s="1">
        <f t="shared" si="128"/>
        <v>67.2</v>
      </c>
      <c r="T2076" s="1">
        <f t="shared" si="129"/>
        <v>-9.61</v>
      </c>
      <c r="U2076" s="1" t="str">
        <f t="shared" si="130"/>
        <v>OK</v>
      </c>
      <c r="V2076" s="1" t="str">
        <f>_xlfn.XLOOKUP(C2076,Payers!$A$2:$A$9,Payers!$B$2:$B$9)</f>
        <v>Coastal Medicaid MCO</v>
      </c>
      <c r="W2076" s="1" t="str">
        <f t="shared" si="131"/>
        <v>2026-01</v>
      </c>
    </row>
    <row r="2077" spans="1:23">
      <c r="A2077" s="1" t="s">
        <v>3703</v>
      </c>
      <c r="B2077" s="1" t="s">
        <v>1177</v>
      </c>
      <c r="C2077" s="1" t="s">
        <v>60</v>
      </c>
      <c r="D2077" s="1" t="s">
        <v>37</v>
      </c>
      <c r="E2077" s="1" t="s">
        <v>57</v>
      </c>
      <c r="F2077">
        <v>1</v>
      </c>
      <c r="G2077" s="2">
        <v>46282</v>
      </c>
      <c r="H2077" s="2">
        <v>46286</v>
      </c>
      <c r="I2077">
        <v>209.78</v>
      </c>
      <c r="M2077" s="1" t="s">
        <v>69</v>
      </c>
      <c r="N2077" s="1" t="s">
        <v>22</v>
      </c>
      <c r="O2077" s="2"/>
      <c r="P2077" s="2"/>
      <c r="Q2077">
        <f>_xlfn.XLOOKUP(E2077,CPT!$A$2:$A$13,CPT!$D$2:$D$13)</f>
        <v>210</v>
      </c>
      <c r="R2077" s="1">
        <f>_xlfn.XLOOKUP(C2077,Contract!$A$2:$A$9,Contract!$B$2:$B$9)</f>
        <v>0.45</v>
      </c>
      <c r="S2077" s="1">
        <f t="shared" si="128"/>
        <v>94.5</v>
      </c>
      <c r="T2077" s="1" t="str">
        <f t="shared" si="129"/>
        <v/>
      </c>
      <c r="U2077" s="1" t="str">
        <f t="shared" si="130"/>
        <v/>
      </c>
      <c r="V2077" s="1" t="str">
        <f>_xlfn.XLOOKUP(C2077,Payers!$A$2:$A$9,Payers!$B$2:$B$9)</f>
        <v>Blue Horizon Commercial</v>
      </c>
      <c r="W2077" s="1" t="str">
        <f t="shared" si="131"/>
        <v>2026-09</v>
      </c>
    </row>
    <row r="2078" spans="1:23">
      <c r="A2078" s="1" t="s">
        <v>3704</v>
      </c>
      <c r="B2078" s="1" t="s">
        <v>3705</v>
      </c>
      <c r="C2078" s="1" t="s">
        <v>25</v>
      </c>
      <c r="D2078" s="1" t="s">
        <v>26</v>
      </c>
      <c r="E2078" s="1" t="s">
        <v>44</v>
      </c>
      <c r="F2078">
        <v>1</v>
      </c>
      <c r="G2078" s="2">
        <v>46200</v>
      </c>
      <c r="H2078" s="2">
        <v>46204</v>
      </c>
      <c r="I2078">
        <v>4804.91</v>
      </c>
      <c r="J2078">
        <v>1494.88</v>
      </c>
      <c r="K2078">
        <v>1494.88</v>
      </c>
      <c r="L2078">
        <v>0</v>
      </c>
      <c r="M2078" s="1" t="s">
        <v>21</v>
      </c>
      <c r="N2078" s="1" t="s">
        <v>22</v>
      </c>
      <c r="O2078" s="2">
        <v>46222</v>
      </c>
      <c r="P2078" s="2">
        <v>46222</v>
      </c>
      <c r="Q2078">
        <f>_xlfn.XLOOKUP(E2078,CPT!$A$2:$A$13,CPT!$D$2:$D$13)</f>
        <v>4800</v>
      </c>
      <c r="R2078" s="1">
        <f>_xlfn.XLOOKUP(C2078,Contract!$A$2:$A$9,Contract!$B$2:$B$9)</f>
        <v>0.36</v>
      </c>
      <c r="S2078" s="1">
        <f t="shared" si="128"/>
        <v>1728</v>
      </c>
      <c r="T2078" s="1">
        <f t="shared" si="129"/>
        <v>233.11999999999989</v>
      </c>
      <c r="U2078" s="1" t="str">
        <f t="shared" si="130"/>
        <v>Underpaid</v>
      </c>
      <c r="V2078" s="1" t="str">
        <f>_xlfn.XLOOKUP(C2078,Payers!$A$2:$A$9,Payers!$B$2:$B$9)</f>
        <v>Medicare Part B</v>
      </c>
      <c r="W2078" s="1" t="str">
        <f t="shared" si="131"/>
        <v>2026-06</v>
      </c>
    </row>
    <row r="2079" spans="1:23">
      <c r="A2079" s="1" t="s">
        <v>3706</v>
      </c>
      <c r="B2079" s="1" t="s">
        <v>221</v>
      </c>
      <c r="C2079" s="1" t="s">
        <v>52</v>
      </c>
      <c r="D2079" s="1" t="s">
        <v>26</v>
      </c>
      <c r="E2079" s="1" t="s">
        <v>57</v>
      </c>
      <c r="F2079">
        <v>1</v>
      </c>
      <c r="G2079" s="2">
        <v>46264</v>
      </c>
      <c r="H2079" s="2">
        <v>46265</v>
      </c>
      <c r="I2079">
        <v>209.19</v>
      </c>
      <c r="M2079" s="1" t="s">
        <v>69</v>
      </c>
      <c r="N2079" s="1" t="s">
        <v>22</v>
      </c>
      <c r="O2079" s="2"/>
      <c r="P2079" s="2"/>
      <c r="Q2079">
        <f>_xlfn.XLOOKUP(E2079,CPT!$A$2:$A$13,CPT!$D$2:$D$13)</f>
        <v>210</v>
      </c>
      <c r="R2079" s="1">
        <f>_xlfn.XLOOKUP(C2079,Contract!$A$2:$A$9,Contract!$B$2:$B$9)</f>
        <v>0.47</v>
      </c>
      <c r="S2079" s="1">
        <f t="shared" si="128"/>
        <v>98.7</v>
      </c>
      <c r="T2079" s="1" t="str">
        <f t="shared" si="129"/>
        <v/>
      </c>
      <c r="U2079" s="1" t="str">
        <f t="shared" si="130"/>
        <v/>
      </c>
      <c r="V2079" s="1" t="str">
        <f>_xlfn.XLOOKUP(C2079,Payers!$A$2:$A$9,Payers!$B$2:$B$9)</f>
        <v>Keystone Commercial PPO</v>
      </c>
      <c r="W2079" s="1" t="str">
        <f t="shared" si="131"/>
        <v>2026-08</v>
      </c>
    </row>
    <row r="2080" spans="1:23">
      <c r="A2080" s="1" t="s">
        <v>3707</v>
      </c>
      <c r="B2080" s="1" t="s">
        <v>3708</v>
      </c>
      <c r="C2080" s="1" t="s">
        <v>25</v>
      </c>
      <c r="D2080" s="1" t="s">
        <v>26</v>
      </c>
      <c r="E2080" s="1" t="s">
        <v>57</v>
      </c>
      <c r="F2080">
        <v>1</v>
      </c>
      <c r="G2080" s="2">
        <v>46097</v>
      </c>
      <c r="H2080" s="2">
        <v>46098</v>
      </c>
      <c r="I2080">
        <v>204.86</v>
      </c>
      <c r="J2080">
        <v>73.319999999999993</v>
      </c>
      <c r="K2080">
        <v>73.319999999999993</v>
      </c>
      <c r="L2080">
        <v>0</v>
      </c>
      <c r="M2080" s="1" t="s">
        <v>21</v>
      </c>
      <c r="N2080" s="1" t="s">
        <v>22</v>
      </c>
      <c r="O2080" s="2">
        <v>46109</v>
      </c>
      <c r="P2080" s="2">
        <v>46109</v>
      </c>
      <c r="Q2080">
        <f>_xlfn.XLOOKUP(E2080,CPT!$A$2:$A$13,CPT!$D$2:$D$13)</f>
        <v>210</v>
      </c>
      <c r="R2080" s="1">
        <f>_xlfn.XLOOKUP(C2080,Contract!$A$2:$A$9,Contract!$B$2:$B$9)</f>
        <v>0.36</v>
      </c>
      <c r="S2080" s="1">
        <f t="shared" si="128"/>
        <v>75.599999999999994</v>
      </c>
      <c r="T2080" s="1">
        <f t="shared" si="129"/>
        <v>2.2800000000000011</v>
      </c>
      <c r="U2080" s="1" t="str">
        <f t="shared" si="130"/>
        <v>OK</v>
      </c>
      <c r="V2080" s="1" t="str">
        <f>_xlfn.XLOOKUP(C2080,Payers!$A$2:$A$9,Payers!$B$2:$B$9)</f>
        <v>Medicare Part B</v>
      </c>
      <c r="W2080" s="1" t="str">
        <f t="shared" si="131"/>
        <v>2026-03</v>
      </c>
    </row>
    <row r="2081" spans="1:23">
      <c r="A2081" s="1" t="s">
        <v>3709</v>
      </c>
      <c r="B2081" s="1" t="s">
        <v>678</v>
      </c>
      <c r="C2081" s="1" t="s">
        <v>25</v>
      </c>
      <c r="D2081" s="1" t="s">
        <v>37</v>
      </c>
      <c r="E2081" s="1" t="s">
        <v>38</v>
      </c>
      <c r="F2081">
        <v>5</v>
      </c>
      <c r="G2081" s="2">
        <v>45980</v>
      </c>
      <c r="H2081" s="2">
        <v>45983</v>
      </c>
      <c r="I2081">
        <v>7300.09</v>
      </c>
      <c r="J2081">
        <v>2565.2800000000002</v>
      </c>
      <c r="K2081">
        <v>2565.2800000000002</v>
      </c>
      <c r="L2081">
        <v>0</v>
      </c>
      <c r="M2081" s="1" t="s">
        <v>21</v>
      </c>
      <c r="N2081" s="1" t="s">
        <v>22</v>
      </c>
      <c r="O2081" s="2">
        <v>46004</v>
      </c>
      <c r="P2081" s="2">
        <v>46004</v>
      </c>
      <c r="Q2081">
        <f>_xlfn.XLOOKUP(E2081,CPT!$A$2:$A$13,CPT!$D$2:$D$13)</f>
        <v>1450</v>
      </c>
      <c r="R2081" s="1">
        <f>_xlfn.XLOOKUP(C2081,Contract!$A$2:$A$9,Contract!$B$2:$B$9)</f>
        <v>0.36</v>
      </c>
      <c r="S2081" s="1">
        <f t="shared" si="128"/>
        <v>2610</v>
      </c>
      <c r="T2081" s="1">
        <f t="shared" si="129"/>
        <v>44.7199999999998</v>
      </c>
      <c r="U2081" s="1" t="str">
        <f t="shared" si="130"/>
        <v>OK</v>
      </c>
      <c r="V2081" s="1" t="str">
        <f>_xlfn.XLOOKUP(C2081,Payers!$A$2:$A$9,Payers!$B$2:$B$9)</f>
        <v>Medicare Part B</v>
      </c>
      <c r="W2081" s="1" t="str">
        <f t="shared" si="131"/>
        <v>2025-11</v>
      </c>
    </row>
    <row r="2082" spans="1:23">
      <c r="A2082" s="1" t="s">
        <v>3710</v>
      </c>
      <c r="B2082" s="1" t="s">
        <v>1173</v>
      </c>
      <c r="C2082" s="1" t="s">
        <v>76</v>
      </c>
      <c r="D2082" s="1" t="s">
        <v>37</v>
      </c>
      <c r="E2082" s="1" t="s">
        <v>38</v>
      </c>
      <c r="F2082">
        <v>5</v>
      </c>
      <c r="G2082" s="2">
        <v>46211</v>
      </c>
      <c r="H2082" s="2">
        <v>46214</v>
      </c>
      <c r="I2082">
        <v>7094.61</v>
      </c>
      <c r="J2082">
        <v>2747.91</v>
      </c>
      <c r="K2082">
        <v>2473.12</v>
      </c>
      <c r="L2082">
        <v>274.79000000000002</v>
      </c>
      <c r="M2082" s="1" t="s">
        <v>21</v>
      </c>
      <c r="N2082" s="1" t="s">
        <v>22</v>
      </c>
      <c r="O2082" s="2">
        <v>46259</v>
      </c>
      <c r="P2082" s="2">
        <v>46259</v>
      </c>
      <c r="Q2082">
        <f>_xlfn.XLOOKUP(E2082,CPT!$A$2:$A$13,CPT!$D$2:$D$13)</f>
        <v>1450</v>
      </c>
      <c r="R2082" s="1">
        <f>_xlfn.XLOOKUP(C2082,Contract!$A$2:$A$9,Contract!$B$2:$B$9)</f>
        <v>0.43</v>
      </c>
      <c r="S2082" s="1">
        <f t="shared" si="128"/>
        <v>3117.5</v>
      </c>
      <c r="T2082" s="1">
        <f t="shared" si="129"/>
        <v>369.59000000000015</v>
      </c>
      <c r="U2082" s="1" t="str">
        <f t="shared" si="130"/>
        <v>Underpaid</v>
      </c>
      <c r="V2082" s="1" t="str">
        <f>_xlfn.XLOOKUP(C2082,Payers!$A$2:$A$9,Payers!$B$2:$B$9)</f>
        <v>Summit Health Commercial</v>
      </c>
      <c r="W2082" s="1" t="str">
        <f t="shared" si="131"/>
        <v>2026-07</v>
      </c>
    </row>
    <row r="2083" spans="1:23">
      <c r="A2083" s="1" t="s">
        <v>3711</v>
      </c>
      <c r="B2083" s="1" t="s">
        <v>3712</v>
      </c>
      <c r="C2083" s="1" t="s">
        <v>60</v>
      </c>
      <c r="D2083" s="1" t="s">
        <v>26</v>
      </c>
      <c r="E2083" s="1" t="s">
        <v>41</v>
      </c>
      <c r="F2083">
        <v>1</v>
      </c>
      <c r="G2083" s="2">
        <v>46137</v>
      </c>
      <c r="H2083" s="2">
        <v>46138</v>
      </c>
      <c r="I2083">
        <v>36.94</v>
      </c>
      <c r="M2083" s="1" t="s">
        <v>32</v>
      </c>
      <c r="N2083" s="1" t="s">
        <v>49</v>
      </c>
      <c r="O2083" s="2">
        <v>46159</v>
      </c>
      <c r="P2083" s="2"/>
      <c r="Q2083">
        <f>_xlfn.XLOOKUP(E2083,CPT!$A$2:$A$13,CPT!$D$2:$D$13)</f>
        <v>38</v>
      </c>
      <c r="R2083" s="1">
        <f>_xlfn.XLOOKUP(C2083,Contract!$A$2:$A$9,Contract!$B$2:$B$9)</f>
        <v>0.45</v>
      </c>
      <c r="S2083" s="1">
        <f t="shared" si="128"/>
        <v>17.100000000000001</v>
      </c>
      <c r="T2083" s="1" t="str">
        <f t="shared" si="129"/>
        <v/>
      </c>
      <c r="U2083" s="1" t="str">
        <f t="shared" si="130"/>
        <v/>
      </c>
      <c r="V2083" s="1" t="str">
        <f>_xlfn.XLOOKUP(C2083,Payers!$A$2:$A$9,Payers!$B$2:$B$9)</f>
        <v>Blue Horizon Commercial</v>
      </c>
      <c r="W2083" s="1" t="str">
        <f t="shared" si="131"/>
        <v>2026-04</v>
      </c>
    </row>
    <row r="2084" spans="1:23">
      <c r="A2084" s="1" t="s">
        <v>3713</v>
      </c>
      <c r="B2084" s="1" t="s">
        <v>81</v>
      </c>
      <c r="C2084" s="1" t="s">
        <v>47</v>
      </c>
      <c r="D2084" s="1" t="s">
        <v>37</v>
      </c>
      <c r="E2084" s="1" t="s">
        <v>48</v>
      </c>
      <c r="F2084">
        <v>1</v>
      </c>
      <c r="G2084" s="2">
        <v>45940</v>
      </c>
      <c r="H2084" s="2">
        <v>45950</v>
      </c>
      <c r="I2084">
        <v>424.42</v>
      </c>
      <c r="M2084" s="1" t="s">
        <v>32</v>
      </c>
      <c r="N2084" s="1" t="s">
        <v>315</v>
      </c>
      <c r="O2084" s="2">
        <v>46008</v>
      </c>
      <c r="P2084" s="2"/>
      <c r="Q2084">
        <f>_xlfn.XLOOKUP(E2084,CPT!$A$2:$A$13,CPT!$D$2:$D$13)</f>
        <v>420</v>
      </c>
      <c r="R2084" s="1">
        <f>_xlfn.XLOOKUP(C2084,Contract!$A$2:$A$9,Contract!$B$2:$B$9)</f>
        <v>0.28000000000000003</v>
      </c>
      <c r="S2084" s="1">
        <f t="shared" si="128"/>
        <v>117.6</v>
      </c>
      <c r="T2084" s="1" t="str">
        <f t="shared" si="129"/>
        <v/>
      </c>
      <c r="U2084" s="1" t="str">
        <f t="shared" si="130"/>
        <v/>
      </c>
      <c r="V2084" s="1" t="str">
        <f>_xlfn.XLOOKUP(C2084,Payers!$A$2:$A$9,Payers!$B$2:$B$9)</f>
        <v>Coastal Medicaid MCO</v>
      </c>
      <c r="W2084" s="1" t="str">
        <f t="shared" si="131"/>
        <v>2025-10</v>
      </c>
    </row>
    <row r="2085" spans="1:23">
      <c r="A2085" s="1" t="s">
        <v>3714</v>
      </c>
      <c r="B2085" s="1" t="s">
        <v>3715</v>
      </c>
      <c r="C2085" s="1" t="s">
        <v>25</v>
      </c>
      <c r="D2085" s="1" t="s">
        <v>26</v>
      </c>
      <c r="E2085" s="1" t="s">
        <v>41</v>
      </c>
      <c r="F2085">
        <v>1</v>
      </c>
      <c r="G2085" s="2">
        <v>46003</v>
      </c>
      <c r="H2085" s="2">
        <v>46020</v>
      </c>
      <c r="I2085">
        <v>36.9</v>
      </c>
      <c r="J2085">
        <v>14.91</v>
      </c>
      <c r="K2085">
        <v>14.91</v>
      </c>
      <c r="L2085">
        <v>0</v>
      </c>
      <c r="M2085" s="1" t="s">
        <v>21</v>
      </c>
      <c r="N2085" s="1" t="s">
        <v>22</v>
      </c>
      <c r="O2085" s="2">
        <v>46041</v>
      </c>
      <c r="P2085" s="2">
        <v>46041</v>
      </c>
      <c r="Q2085">
        <f>_xlfn.XLOOKUP(E2085,CPT!$A$2:$A$13,CPT!$D$2:$D$13)</f>
        <v>38</v>
      </c>
      <c r="R2085" s="1">
        <f>_xlfn.XLOOKUP(C2085,Contract!$A$2:$A$9,Contract!$B$2:$B$9)</f>
        <v>0.36</v>
      </c>
      <c r="S2085" s="1">
        <f t="shared" si="128"/>
        <v>13.68</v>
      </c>
      <c r="T2085" s="1">
        <f t="shared" si="129"/>
        <v>-1.2300000000000004</v>
      </c>
      <c r="U2085" s="1" t="str">
        <f t="shared" si="130"/>
        <v>OK</v>
      </c>
      <c r="V2085" s="1" t="str">
        <f>_xlfn.XLOOKUP(C2085,Payers!$A$2:$A$9,Payers!$B$2:$B$9)</f>
        <v>Medicare Part B</v>
      </c>
      <c r="W2085" s="1" t="str">
        <f t="shared" si="131"/>
        <v>2025-12</v>
      </c>
    </row>
    <row r="2086" spans="1:23">
      <c r="A2086" s="1" t="s">
        <v>3716</v>
      </c>
      <c r="B2086" s="1" t="s">
        <v>2814</v>
      </c>
      <c r="C2086" s="1" t="s">
        <v>60</v>
      </c>
      <c r="D2086" s="1" t="s">
        <v>37</v>
      </c>
      <c r="E2086" s="1" t="s">
        <v>38</v>
      </c>
      <c r="F2086">
        <v>20</v>
      </c>
      <c r="G2086" s="2">
        <v>46000</v>
      </c>
      <c r="H2086" s="2">
        <v>46019</v>
      </c>
      <c r="I2086">
        <v>28195</v>
      </c>
      <c r="J2086">
        <v>14571.86</v>
      </c>
      <c r="K2086">
        <v>14571.86</v>
      </c>
      <c r="L2086">
        <v>0</v>
      </c>
      <c r="M2086" s="1" t="s">
        <v>21</v>
      </c>
      <c r="N2086" s="1" t="s">
        <v>22</v>
      </c>
      <c r="O2086" s="2">
        <v>46055</v>
      </c>
      <c r="P2086" s="2">
        <v>46055</v>
      </c>
      <c r="Q2086">
        <f>_xlfn.XLOOKUP(E2086,CPT!$A$2:$A$13,CPT!$D$2:$D$13)</f>
        <v>1450</v>
      </c>
      <c r="R2086" s="1">
        <f>_xlfn.XLOOKUP(C2086,Contract!$A$2:$A$9,Contract!$B$2:$B$9)</f>
        <v>0.45</v>
      </c>
      <c r="S2086" s="1">
        <f t="shared" si="128"/>
        <v>13050</v>
      </c>
      <c r="T2086" s="1">
        <f t="shared" si="129"/>
        <v>-1521.8600000000006</v>
      </c>
      <c r="U2086" s="1" t="str">
        <f t="shared" si="130"/>
        <v>OK</v>
      </c>
      <c r="V2086" s="1" t="str">
        <f>_xlfn.XLOOKUP(C2086,Payers!$A$2:$A$9,Payers!$B$2:$B$9)</f>
        <v>Blue Horizon Commercial</v>
      </c>
      <c r="W2086" s="1" t="str">
        <f t="shared" si="131"/>
        <v>2025-12</v>
      </c>
    </row>
    <row r="2087" spans="1:23">
      <c r="A2087" s="1" t="s">
        <v>3717</v>
      </c>
      <c r="B2087" s="1" t="s">
        <v>3718</v>
      </c>
      <c r="C2087" s="1" t="s">
        <v>60</v>
      </c>
      <c r="D2087" s="1" t="s">
        <v>19</v>
      </c>
      <c r="E2087" s="1" t="s">
        <v>20</v>
      </c>
      <c r="F2087">
        <v>1</v>
      </c>
      <c r="G2087" s="2">
        <v>46270</v>
      </c>
      <c r="H2087" s="2">
        <v>46276</v>
      </c>
      <c r="I2087">
        <v>147.08000000000001</v>
      </c>
      <c r="M2087" s="1" t="s">
        <v>69</v>
      </c>
      <c r="N2087" s="1" t="s">
        <v>22</v>
      </c>
      <c r="O2087" s="2"/>
      <c r="P2087" s="2"/>
      <c r="Q2087">
        <f>_xlfn.XLOOKUP(E2087,CPT!$A$2:$A$13,CPT!$D$2:$D$13)</f>
        <v>145</v>
      </c>
      <c r="R2087" s="1">
        <f>_xlfn.XLOOKUP(C2087,Contract!$A$2:$A$9,Contract!$B$2:$B$9)</f>
        <v>0.45</v>
      </c>
      <c r="S2087" s="1">
        <f t="shared" si="128"/>
        <v>65.25</v>
      </c>
      <c r="T2087" s="1" t="str">
        <f t="shared" si="129"/>
        <v/>
      </c>
      <c r="U2087" s="1" t="str">
        <f t="shared" si="130"/>
        <v/>
      </c>
      <c r="V2087" s="1" t="str">
        <f>_xlfn.XLOOKUP(C2087,Payers!$A$2:$A$9,Payers!$B$2:$B$9)</f>
        <v>Blue Horizon Commercial</v>
      </c>
      <c r="W2087" s="1" t="str">
        <f t="shared" si="131"/>
        <v>2026-09</v>
      </c>
    </row>
    <row r="2088" spans="1:23">
      <c r="A2088" s="1" t="s">
        <v>3719</v>
      </c>
      <c r="B2088" s="1" t="s">
        <v>2651</v>
      </c>
      <c r="C2088" s="1" t="s">
        <v>60</v>
      </c>
      <c r="D2088" s="1" t="s">
        <v>26</v>
      </c>
      <c r="E2088" s="1" t="s">
        <v>185</v>
      </c>
      <c r="F2088">
        <v>1</v>
      </c>
      <c r="G2088" s="2">
        <v>46225</v>
      </c>
      <c r="H2088" s="2">
        <v>46227</v>
      </c>
      <c r="I2088">
        <v>1122.47</v>
      </c>
      <c r="M2088" s="1" t="s">
        <v>32</v>
      </c>
      <c r="N2088" s="1" t="s">
        <v>315</v>
      </c>
      <c r="O2088" s="2">
        <v>46269</v>
      </c>
      <c r="P2088" s="2"/>
      <c r="Q2088">
        <f>_xlfn.XLOOKUP(E2088,CPT!$A$2:$A$13,CPT!$D$2:$D$13)</f>
        <v>1150</v>
      </c>
      <c r="R2088" s="1">
        <f>_xlfn.XLOOKUP(C2088,Contract!$A$2:$A$9,Contract!$B$2:$B$9)</f>
        <v>0.45</v>
      </c>
      <c r="S2088" s="1">
        <f t="shared" si="128"/>
        <v>517.5</v>
      </c>
      <c r="T2088" s="1" t="str">
        <f t="shared" si="129"/>
        <v/>
      </c>
      <c r="U2088" s="1" t="str">
        <f t="shared" si="130"/>
        <v/>
      </c>
      <c r="V2088" s="1" t="str">
        <f>_xlfn.XLOOKUP(C2088,Payers!$A$2:$A$9,Payers!$B$2:$B$9)</f>
        <v>Blue Horizon Commercial</v>
      </c>
      <c r="W2088" s="1" t="str">
        <f t="shared" si="131"/>
        <v>2026-07</v>
      </c>
    </row>
    <row r="2089" spans="1:23">
      <c r="A2089" s="1" t="s">
        <v>3720</v>
      </c>
      <c r="B2089" s="1" t="s">
        <v>3721</v>
      </c>
      <c r="C2089" s="1" t="s">
        <v>18</v>
      </c>
      <c r="D2089" s="1" t="s">
        <v>30</v>
      </c>
      <c r="E2089" s="1" t="s">
        <v>91</v>
      </c>
      <c r="F2089">
        <v>1</v>
      </c>
      <c r="G2089" s="2">
        <v>46101</v>
      </c>
      <c r="H2089" s="2">
        <v>46102</v>
      </c>
      <c r="I2089">
        <v>57.01</v>
      </c>
      <c r="J2089">
        <v>20.440000000000001</v>
      </c>
      <c r="K2089">
        <v>16.350000000000001</v>
      </c>
      <c r="L2089">
        <v>4.09</v>
      </c>
      <c r="M2089" s="1" t="s">
        <v>21</v>
      </c>
      <c r="N2089" s="1" t="s">
        <v>22</v>
      </c>
      <c r="O2089" s="2">
        <v>46149</v>
      </c>
      <c r="P2089" s="2">
        <v>46149</v>
      </c>
      <c r="Q2089">
        <f>_xlfn.XLOOKUP(E2089,CPT!$A$2:$A$13,CPT!$D$2:$D$13)</f>
        <v>58</v>
      </c>
      <c r="R2089" s="1">
        <f>_xlfn.XLOOKUP(C2089,Contract!$A$2:$A$9,Contract!$B$2:$B$9)</f>
        <v>0.38</v>
      </c>
      <c r="S2089" s="1">
        <f t="shared" si="128"/>
        <v>22.04</v>
      </c>
      <c r="T2089" s="1">
        <f t="shared" si="129"/>
        <v>1.5999999999999979</v>
      </c>
      <c r="U2089" s="1" t="str">
        <f t="shared" si="130"/>
        <v>Underpaid</v>
      </c>
      <c r="V2089" s="1" t="str">
        <f>_xlfn.XLOOKUP(C2089,Payers!$A$2:$A$9,Payers!$B$2:$B$9)</f>
        <v>Sunshine Medicare Advantage</v>
      </c>
      <c r="W2089" s="1" t="str">
        <f t="shared" si="131"/>
        <v>2026-03</v>
      </c>
    </row>
    <row r="2090" spans="1:23">
      <c r="A2090" s="1" t="s">
        <v>3722</v>
      </c>
      <c r="B2090" s="1" t="s">
        <v>2635</v>
      </c>
      <c r="C2090" s="1" t="s">
        <v>76</v>
      </c>
      <c r="D2090" s="1" t="s">
        <v>37</v>
      </c>
      <c r="E2090" s="1" t="s">
        <v>38</v>
      </c>
      <c r="F2090">
        <v>30</v>
      </c>
      <c r="G2090" s="2">
        <v>46193</v>
      </c>
      <c r="H2090" s="2">
        <v>46195</v>
      </c>
      <c r="I2090">
        <v>43315.73</v>
      </c>
      <c r="J2090">
        <v>19840.669999999998</v>
      </c>
      <c r="K2090">
        <v>15872.54</v>
      </c>
      <c r="L2090">
        <v>3968.13</v>
      </c>
      <c r="M2090" s="1" t="s">
        <v>21</v>
      </c>
      <c r="N2090" s="1" t="s">
        <v>22</v>
      </c>
      <c r="O2090" s="2">
        <v>46219</v>
      </c>
      <c r="P2090" s="2">
        <v>46219</v>
      </c>
      <c r="Q2090">
        <f>_xlfn.XLOOKUP(E2090,CPT!$A$2:$A$13,CPT!$D$2:$D$13)</f>
        <v>1450</v>
      </c>
      <c r="R2090" s="1">
        <f>_xlfn.XLOOKUP(C2090,Contract!$A$2:$A$9,Contract!$B$2:$B$9)</f>
        <v>0.43</v>
      </c>
      <c r="S2090" s="1">
        <f t="shared" si="128"/>
        <v>18705</v>
      </c>
      <c r="T2090" s="1">
        <f t="shared" si="129"/>
        <v>-1135.6699999999983</v>
      </c>
      <c r="U2090" s="1" t="str">
        <f t="shared" si="130"/>
        <v>OK</v>
      </c>
      <c r="V2090" s="1" t="str">
        <f>_xlfn.XLOOKUP(C2090,Payers!$A$2:$A$9,Payers!$B$2:$B$9)</f>
        <v>Summit Health Commercial</v>
      </c>
      <c r="W2090" s="1" t="str">
        <f t="shared" si="131"/>
        <v>2026-06</v>
      </c>
    </row>
    <row r="2091" spans="1:23">
      <c r="A2091" s="1" t="s">
        <v>3723</v>
      </c>
      <c r="B2091" s="1" t="s">
        <v>3595</v>
      </c>
      <c r="C2091" s="1" t="s">
        <v>25</v>
      </c>
      <c r="D2091" s="1" t="s">
        <v>19</v>
      </c>
      <c r="E2091" s="1" t="s">
        <v>41</v>
      </c>
      <c r="F2091">
        <v>1</v>
      </c>
      <c r="G2091" s="2">
        <v>46055</v>
      </c>
      <c r="H2091" s="2">
        <v>46059</v>
      </c>
      <c r="I2091">
        <v>37.49</v>
      </c>
      <c r="J2091">
        <v>12.91</v>
      </c>
      <c r="K2091">
        <v>10.33</v>
      </c>
      <c r="L2091">
        <v>2.58</v>
      </c>
      <c r="M2091" s="1" t="s">
        <v>21</v>
      </c>
      <c r="N2091" s="1" t="s">
        <v>22</v>
      </c>
      <c r="O2091" s="2">
        <v>46074</v>
      </c>
      <c r="P2091" s="2">
        <v>46074</v>
      </c>
      <c r="Q2091">
        <f>_xlfn.XLOOKUP(E2091,CPT!$A$2:$A$13,CPT!$D$2:$D$13)</f>
        <v>38</v>
      </c>
      <c r="R2091" s="1">
        <f>_xlfn.XLOOKUP(C2091,Contract!$A$2:$A$9,Contract!$B$2:$B$9)</f>
        <v>0.36</v>
      </c>
      <c r="S2091" s="1">
        <f t="shared" si="128"/>
        <v>13.68</v>
      </c>
      <c r="T2091" s="1">
        <f t="shared" si="129"/>
        <v>0.76999999999999957</v>
      </c>
      <c r="U2091" s="1" t="str">
        <f t="shared" si="130"/>
        <v>Underpaid</v>
      </c>
      <c r="V2091" s="1" t="str">
        <f>_xlfn.XLOOKUP(C2091,Payers!$A$2:$A$9,Payers!$B$2:$B$9)</f>
        <v>Medicare Part B</v>
      </c>
      <c r="W2091" s="1" t="str">
        <f t="shared" si="131"/>
        <v>2026-02</v>
      </c>
    </row>
    <row r="2092" spans="1:23">
      <c r="A2092" s="1" t="s">
        <v>3724</v>
      </c>
      <c r="B2092" s="1" t="s">
        <v>3725</v>
      </c>
      <c r="C2092" s="1" t="s">
        <v>36</v>
      </c>
      <c r="D2092" s="1" t="s">
        <v>26</v>
      </c>
      <c r="E2092" s="1" t="s">
        <v>113</v>
      </c>
      <c r="F2092">
        <v>1</v>
      </c>
      <c r="G2092" s="2">
        <v>45978</v>
      </c>
      <c r="H2092" s="2">
        <v>45979</v>
      </c>
      <c r="I2092">
        <v>1039.58</v>
      </c>
      <c r="J2092">
        <v>320.83999999999997</v>
      </c>
      <c r="K2092">
        <v>320.83999999999997</v>
      </c>
      <c r="L2092">
        <v>0</v>
      </c>
      <c r="M2092" s="1" t="s">
        <v>21</v>
      </c>
      <c r="N2092" s="1" t="s">
        <v>22</v>
      </c>
      <c r="O2092" s="2">
        <v>46011</v>
      </c>
      <c r="P2092" s="2">
        <v>46011</v>
      </c>
      <c r="Q2092">
        <f>_xlfn.XLOOKUP(E2092,CPT!$A$2:$A$13,CPT!$D$2:$D$13)</f>
        <v>1050</v>
      </c>
      <c r="R2092" s="1">
        <f>_xlfn.XLOOKUP(C2092,Contract!$A$2:$A$9,Contract!$B$2:$B$9)</f>
        <v>0.27</v>
      </c>
      <c r="S2092" s="1">
        <f t="shared" si="128"/>
        <v>283.5</v>
      </c>
      <c r="T2092" s="1">
        <f t="shared" si="129"/>
        <v>-37.339999999999975</v>
      </c>
      <c r="U2092" s="1" t="str">
        <f t="shared" si="130"/>
        <v>OK</v>
      </c>
      <c r="V2092" s="1" t="str">
        <f>_xlfn.XLOOKUP(C2092,Payers!$A$2:$A$9,Payers!$B$2:$B$9)</f>
        <v>Florida Medicaid</v>
      </c>
      <c r="W2092" s="1" t="str">
        <f t="shared" si="131"/>
        <v>2025-11</v>
      </c>
    </row>
    <row r="2093" spans="1:23">
      <c r="A2093" s="1" t="s">
        <v>3726</v>
      </c>
      <c r="B2093" s="1" t="s">
        <v>428</v>
      </c>
      <c r="C2093" s="1" t="s">
        <v>79</v>
      </c>
      <c r="D2093" s="1" t="s">
        <v>19</v>
      </c>
      <c r="E2093" s="1" t="s">
        <v>41</v>
      </c>
      <c r="F2093">
        <v>1</v>
      </c>
      <c r="G2093" s="2">
        <v>46120</v>
      </c>
      <c r="H2093" s="2">
        <v>46129</v>
      </c>
      <c r="I2093">
        <v>38.659999999999997</v>
      </c>
      <c r="J2093">
        <v>38.659999999999997</v>
      </c>
      <c r="K2093">
        <v>38.659999999999997</v>
      </c>
      <c r="L2093">
        <v>0</v>
      </c>
      <c r="M2093" s="1" t="s">
        <v>21</v>
      </c>
      <c r="N2093" s="1" t="s">
        <v>22</v>
      </c>
      <c r="O2093" s="2">
        <v>46218</v>
      </c>
      <c r="P2093" s="2">
        <v>46218</v>
      </c>
      <c r="Q2093">
        <f>_xlfn.XLOOKUP(E2093,CPT!$A$2:$A$13,CPT!$D$2:$D$13)</f>
        <v>38</v>
      </c>
      <c r="R2093" s="1">
        <f>_xlfn.XLOOKUP(C2093,Contract!$A$2:$A$9,Contract!$B$2:$B$9)</f>
        <v>1</v>
      </c>
      <c r="S2093" s="1">
        <f t="shared" si="128"/>
        <v>38</v>
      </c>
      <c r="T2093" s="1">
        <f t="shared" si="129"/>
        <v>-0.65999999999999659</v>
      </c>
      <c r="U2093" s="1" t="str">
        <f t="shared" si="130"/>
        <v>OK</v>
      </c>
      <c r="V2093" s="1" t="str">
        <f>_xlfn.XLOOKUP(C2093,Payers!$A$2:$A$9,Payers!$B$2:$B$9)</f>
        <v>Self-Pay</v>
      </c>
      <c r="W2093" s="1" t="str">
        <f t="shared" si="131"/>
        <v>2026-04</v>
      </c>
    </row>
    <row r="2094" spans="1:23">
      <c r="A2094" s="1" t="s">
        <v>3727</v>
      </c>
      <c r="B2094" s="1" t="s">
        <v>3728</v>
      </c>
      <c r="C2094" s="1" t="s">
        <v>76</v>
      </c>
      <c r="D2094" s="1" t="s">
        <v>19</v>
      </c>
      <c r="E2094" s="1" t="s">
        <v>20</v>
      </c>
      <c r="F2094">
        <v>1</v>
      </c>
      <c r="G2094" s="2">
        <v>46120</v>
      </c>
      <c r="H2094" s="2">
        <v>46123</v>
      </c>
      <c r="I2094">
        <v>142.56</v>
      </c>
      <c r="J2094">
        <v>58.5</v>
      </c>
      <c r="K2094">
        <v>52.65</v>
      </c>
      <c r="L2094">
        <v>5.85</v>
      </c>
      <c r="M2094" s="1" t="s">
        <v>21</v>
      </c>
      <c r="N2094" s="1" t="s">
        <v>22</v>
      </c>
      <c r="O2094" s="2">
        <v>46152</v>
      </c>
      <c r="P2094" s="2">
        <v>46152</v>
      </c>
      <c r="Q2094">
        <f>_xlfn.XLOOKUP(E2094,CPT!$A$2:$A$13,CPT!$D$2:$D$13)</f>
        <v>145</v>
      </c>
      <c r="R2094" s="1">
        <f>_xlfn.XLOOKUP(C2094,Contract!$A$2:$A$9,Contract!$B$2:$B$9)</f>
        <v>0.43</v>
      </c>
      <c r="S2094" s="1">
        <f t="shared" si="128"/>
        <v>62.35</v>
      </c>
      <c r="T2094" s="1">
        <f t="shared" si="129"/>
        <v>3.8500000000000014</v>
      </c>
      <c r="U2094" s="1" t="str">
        <f t="shared" si="130"/>
        <v>Underpaid</v>
      </c>
      <c r="V2094" s="1" t="str">
        <f>_xlfn.XLOOKUP(C2094,Payers!$A$2:$A$9,Payers!$B$2:$B$9)</f>
        <v>Summit Health Commercial</v>
      </c>
      <c r="W2094" s="1" t="str">
        <f t="shared" si="131"/>
        <v>2026-04</v>
      </c>
    </row>
    <row r="2095" spans="1:23">
      <c r="A2095" s="1" t="s">
        <v>3729</v>
      </c>
      <c r="B2095" s="1" t="s">
        <v>1320</v>
      </c>
      <c r="C2095" s="1" t="s">
        <v>18</v>
      </c>
      <c r="D2095" s="1" t="s">
        <v>19</v>
      </c>
      <c r="E2095" s="1" t="s">
        <v>88</v>
      </c>
      <c r="F2095">
        <v>1</v>
      </c>
      <c r="G2095" s="2">
        <v>46104</v>
      </c>
      <c r="H2095" s="2">
        <v>46108</v>
      </c>
      <c r="I2095">
        <v>255.45</v>
      </c>
      <c r="J2095">
        <v>110.66</v>
      </c>
      <c r="K2095">
        <v>110.66</v>
      </c>
      <c r="L2095">
        <v>0</v>
      </c>
      <c r="M2095" s="1" t="s">
        <v>21</v>
      </c>
      <c r="N2095" s="1" t="s">
        <v>22</v>
      </c>
      <c r="O2095" s="2">
        <v>46176</v>
      </c>
      <c r="P2095" s="2">
        <v>46176</v>
      </c>
      <c r="Q2095">
        <f>_xlfn.XLOOKUP(E2095,CPT!$A$2:$A$13,CPT!$D$2:$D$13)</f>
        <v>260</v>
      </c>
      <c r="R2095" s="1">
        <f>_xlfn.XLOOKUP(C2095,Contract!$A$2:$A$9,Contract!$B$2:$B$9)</f>
        <v>0.38</v>
      </c>
      <c r="S2095" s="1">
        <f t="shared" si="128"/>
        <v>98.8</v>
      </c>
      <c r="T2095" s="1">
        <f t="shared" si="129"/>
        <v>-11.86</v>
      </c>
      <c r="U2095" s="1" t="str">
        <f t="shared" si="130"/>
        <v>OK</v>
      </c>
      <c r="V2095" s="1" t="str">
        <f>_xlfn.XLOOKUP(C2095,Payers!$A$2:$A$9,Payers!$B$2:$B$9)</f>
        <v>Sunshine Medicare Advantage</v>
      </c>
      <c r="W2095" s="1" t="str">
        <f t="shared" si="131"/>
        <v>2026-03</v>
      </c>
    </row>
    <row r="2096" spans="1:23">
      <c r="A2096" s="1" t="s">
        <v>3730</v>
      </c>
      <c r="B2096" s="1" t="s">
        <v>3731</v>
      </c>
      <c r="C2096" s="1" t="s">
        <v>18</v>
      </c>
      <c r="D2096" s="1" t="s">
        <v>19</v>
      </c>
      <c r="E2096" s="1" t="s">
        <v>88</v>
      </c>
      <c r="F2096">
        <v>1</v>
      </c>
      <c r="G2096" s="2">
        <v>46009</v>
      </c>
      <c r="H2096" s="2">
        <v>46018</v>
      </c>
      <c r="I2096">
        <v>256.72000000000003</v>
      </c>
      <c r="J2096">
        <v>113.16</v>
      </c>
      <c r="K2096">
        <v>101.84</v>
      </c>
      <c r="L2096">
        <v>11.32</v>
      </c>
      <c r="M2096" s="1" t="s">
        <v>21</v>
      </c>
      <c r="N2096" s="1" t="s">
        <v>22</v>
      </c>
      <c r="O2096" s="2">
        <v>46049</v>
      </c>
      <c r="P2096" s="2">
        <v>46049</v>
      </c>
      <c r="Q2096">
        <f>_xlfn.XLOOKUP(E2096,CPT!$A$2:$A$13,CPT!$D$2:$D$13)</f>
        <v>260</v>
      </c>
      <c r="R2096" s="1">
        <f>_xlfn.XLOOKUP(C2096,Contract!$A$2:$A$9,Contract!$B$2:$B$9)</f>
        <v>0.38</v>
      </c>
      <c r="S2096" s="1">
        <f t="shared" si="128"/>
        <v>98.8</v>
      </c>
      <c r="T2096" s="1">
        <f t="shared" si="129"/>
        <v>-14.36</v>
      </c>
      <c r="U2096" s="1" t="str">
        <f t="shared" si="130"/>
        <v>OK</v>
      </c>
      <c r="V2096" s="1" t="str">
        <f>_xlfn.XLOOKUP(C2096,Payers!$A$2:$A$9,Payers!$B$2:$B$9)</f>
        <v>Sunshine Medicare Advantage</v>
      </c>
      <c r="W2096" s="1" t="str">
        <f t="shared" si="131"/>
        <v>2025-12</v>
      </c>
    </row>
    <row r="2097" spans="1:23">
      <c r="A2097" s="1" t="s">
        <v>3732</v>
      </c>
      <c r="B2097" s="1" t="s">
        <v>3733</v>
      </c>
      <c r="C2097" s="1" t="s">
        <v>60</v>
      </c>
      <c r="D2097" s="1" t="s">
        <v>26</v>
      </c>
      <c r="E2097" s="1" t="s">
        <v>88</v>
      </c>
      <c r="F2097">
        <v>1</v>
      </c>
      <c r="G2097" s="2">
        <v>46165</v>
      </c>
      <c r="H2097" s="2">
        <v>46170</v>
      </c>
      <c r="I2097">
        <v>265.67</v>
      </c>
      <c r="J2097">
        <v>108.26</v>
      </c>
      <c r="K2097">
        <v>108.26</v>
      </c>
      <c r="L2097">
        <v>0</v>
      </c>
      <c r="M2097" s="1" t="s">
        <v>21</v>
      </c>
      <c r="N2097" s="1" t="s">
        <v>22</v>
      </c>
      <c r="O2097" s="2">
        <v>46198</v>
      </c>
      <c r="P2097" s="2">
        <v>46198</v>
      </c>
      <c r="Q2097">
        <f>_xlfn.XLOOKUP(E2097,CPT!$A$2:$A$13,CPT!$D$2:$D$13)</f>
        <v>260</v>
      </c>
      <c r="R2097" s="1">
        <f>_xlfn.XLOOKUP(C2097,Contract!$A$2:$A$9,Contract!$B$2:$B$9)</f>
        <v>0.45</v>
      </c>
      <c r="S2097" s="1">
        <f t="shared" si="128"/>
        <v>117</v>
      </c>
      <c r="T2097" s="1">
        <f t="shared" si="129"/>
        <v>8.7399999999999949</v>
      </c>
      <c r="U2097" s="1" t="str">
        <f t="shared" si="130"/>
        <v>Underpaid</v>
      </c>
      <c r="V2097" s="1" t="str">
        <f>_xlfn.XLOOKUP(C2097,Payers!$A$2:$A$9,Payers!$B$2:$B$9)</f>
        <v>Blue Horizon Commercial</v>
      </c>
      <c r="W2097" s="1" t="str">
        <f t="shared" si="131"/>
        <v>2026-05</v>
      </c>
    </row>
    <row r="2098" spans="1:23">
      <c r="A2098" s="1" t="s">
        <v>3734</v>
      </c>
      <c r="B2098" s="1" t="s">
        <v>3735</v>
      </c>
      <c r="C2098" s="1" t="s">
        <v>76</v>
      </c>
      <c r="D2098" s="1" t="s">
        <v>26</v>
      </c>
      <c r="E2098" s="1" t="s">
        <v>41</v>
      </c>
      <c r="F2098">
        <v>1</v>
      </c>
      <c r="G2098" s="2">
        <v>46211</v>
      </c>
      <c r="H2098" s="2">
        <v>46217</v>
      </c>
      <c r="I2098">
        <v>37.61</v>
      </c>
      <c r="J2098">
        <v>16.47</v>
      </c>
      <c r="K2098">
        <v>16.47</v>
      </c>
      <c r="L2098">
        <v>0</v>
      </c>
      <c r="M2098" s="1" t="s">
        <v>21</v>
      </c>
      <c r="N2098" s="1" t="s">
        <v>22</v>
      </c>
      <c r="O2098" s="2">
        <v>46245</v>
      </c>
      <c r="P2098" s="2">
        <v>46245</v>
      </c>
      <c r="Q2098">
        <f>_xlfn.XLOOKUP(E2098,CPT!$A$2:$A$13,CPT!$D$2:$D$13)</f>
        <v>38</v>
      </c>
      <c r="R2098" s="1">
        <f>_xlfn.XLOOKUP(C2098,Contract!$A$2:$A$9,Contract!$B$2:$B$9)</f>
        <v>0.43</v>
      </c>
      <c r="S2098" s="1">
        <f t="shared" si="128"/>
        <v>16.34</v>
      </c>
      <c r="T2098" s="1">
        <f t="shared" si="129"/>
        <v>-0.12999999999999901</v>
      </c>
      <c r="U2098" s="1" t="str">
        <f t="shared" si="130"/>
        <v>OK</v>
      </c>
      <c r="V2098" s="1" t="str">
        <f>_xlfn.XLOOKUP(C2098,Payers!$A$2:$A$9,Payers!$B$2:$B$9)</f>
        <v>Summit Health Commercial</v>
      </c>
      <c r="W2098" s="1" t="str">
        <f t="shared" si="131"/>
        <v>2026-07</v>
      </c>
    </row>
    <row r="2099" spans="1:23">
      <c r="A2099" s="1" t="s">
        <v>3736</v>
      </c>
      <c r="B2099" s="1" t="s">
        <v>3737</v>
      </c>
      <c r="C2099" s="1" t="s">
        <v>25</v>
      </c>
      <c r="D2099" s="1" t="s">
        <v>19</v>
      </c>
      <c r="E2099" s="1" t="s">
        <v>57</v>
      </c>
      <c r="F2099">
        <v>1</v>
      </c>
      <c r="G2099" s="2">
        <v>46210</v>
      </c>
      <c r="H2099" s="2">
        <v>46211</v>
      </c>
      <c r="I2099">
        <v>213.62</v>
      </c>
      <c r="J2099">
        <v>85.53</v>
      </c>
      <c r="K2099">
        <v>85.53</v>
      </c>
      <c r="L2099">
        <v>0</v>
      </c>
      <c r="M2099" s="1" t="s">
        <v>21</v>
      </c>
      <c r="N2099" s="1" t="s">
        <v>22</v>
      </c>
      <c r="O2099" s="2">
        <v>46230</v>
      </c>
      <c r="P2099" s="2">
        <v>46230</v>
      </c>
      <c r="Q2099">
        <f>_xlfn.XLOOKUP(E2099,CPT!$A$2:$A$13,CPT!$D$2:$D$13)</f>
        <v>210</v>
      </c>
      <c r="R2099" s="1">
        <f>_xlfn.XLOOKUP(C2099,Contract!$A$2:$A$9,Contract!$B$2:$B$9)</f>
        <v>0.36</v>
      </c>
      <c r="S2099" s="1">
        <f t="shared" si="128"/>
        <v>75.599999999999994</v>
      </c>
      <c r="T2099" s="1">
        <f t="shared" si="129"/>
        <v>-9.9300000000000068</v>
      </c>
      <c r="U2099" s="1" t="str">
        <f t="shared" si="130"/>
        <v>OK</v>
      </c>
      <c r="V2099" s="1" t="str">
        <f>_xlfn.XLOOKUP(C2099,Payers!$A$2:$A$9,Payers!$B$2:$B$9)</f>
        <v>Medicare Part B</v>
      </c>
      <c r="W2099" s="1" t="str">
        <f t="shared" si="131"/>
        <v>2026-07</v>
      </c>
    </row>
    <row r="2100" spans="1:23">
      <c r="A2100" s="1" t="s">
        <v>3738</v>
      </c>
      <c r="B2100" s="1" t="s">
        <v>2439</v>
      </c>
      <c r="C2100" s="1" t="s">
        <v>18</v>
      </c>
      <c r="D2100" s="1" t="s">
        <v>19</v>
      </c>
      <c r="E2100" s="1" t="s">
        <v>57</v>
      </c>
      <c r="F2100">
        <v>1</v>
      </c>
      <c r="G2100" s="2">
        <v>45976</v>
      </c>
      <c r="H2100" s="2">
        <v>45977</v>
      </c>
      <c r="I2100">
        <v>204.07</v>
      </c>
      <c r="J2100">
        <v>77.42</v>
      </c>
      <c r="K2100">
        <v>77.42</v>
      </c>
      <c r="L2100">
        <v>0</v>
      </c>
      <c r="M2100" s="1" t="s">
        <v>21</v>
      </c>
      <c r="N2100" s="1" t="s">
        <v>22</v>
      </c>
      <c r="O2100" s="2">
        <v>46016</v>
      </c>
      <c r="P2100" s="2">
        <v>46016</v>
      </c>
      <c r="Q2100">
        <f>_xlfn.XLOOKUP(E2100,CPT!$A$2:$A$13,CPT!$D$2:$D$13)</f>
        <v>210</v>
      </c>
      <c r="R2100" s="1">
        <f>_xlfn.XLOOKUP(C2100,Contract!$A$2:$A$9,Contract!$B$2:$B$9)</f>
        <v>0.38</v>
      </c>
      <c r="S2100" s="1">
        <f t="shared" si="128"/>
        <v>79.8</v>
      </c>
      <c r="T2100" s="1">
        <f t="shared" si="129"/>
        <v>2.3799999999999955</v>
      </c>
      <c r="U2100" s="1" t="str">
        <f t="shared" si="130"/>
        <v>OK</v>
      </c>
      <c r="V2100" s="1" t="str">
        <f>_xlfn.XLOOKUP(C2100,Payers!$A$2:$A$9,Payers!$B$2:$B$9)</f>
        <v>Sunshine Medicare Advantage</v>
      </c>
      <c r="W2100" s="1" t="str">
        <f t="shared" si="131"/>
        <v>2025-11</v>
      </c>
    </row>
    <row r="2101" spans="1:23">
      <c r="A2101" s="1" t="s">
        <v>3739</v>
      </c>
      <c r="B2101" s="1" t="s">
        <v>2841</v>
      </c>
      <c r="C2101" s="1" t="s">
        <v>47</v>
      </c>
      <c r="D2101" s="1" t="s">
        <v>30</v>
      </c>
      <c r="E2101" s="1" t="s">
        <v>31</v>
      </c>
      <c r="F2101">
        <v>3</v>
      </c>
      <c r="G2101" s="2">
        <v>46071</v>
      </c>
      <c r="H2101" s="2">
        <v>46078</v>
      </c>
      <c r="I2101">
        <v>187.27</v>
      </c>
      <c r="J2101">
        <v>44.43</v>
      </c>
      <c r="K2101">
        <v>44.43</v>
      </c>
      <c r="L2101">
        <v>0</v>
      </c>
      <c r="M2101" s="1" t="s">
        <v>21</v>
      </c>
      <c r="N2101" s="1" t="s">
        <v>22</v>
      </c>
      <c r="O2101" s="2">
        <v>46153</v>
      </c>
      <c r="P2101" s="2">
        <v>46153</v>
      </c>
      <c r="Q2101">
        <f>_xlfn.XLOOKUP(E2101,CPT!$A$2:$A$13,CPT!$D$2:$D$13)</f>
        <v>62</v>
      </c>
      <c r="R2101" s="1">
        <f>_xlfn.XLOOKUP(C2101,Contract!$A$2:$A$9,Contract!$B$2:$B$9)</f>
        <v>0.28000000000000003</v>
      </c>
      <c r="S2101" s="1">
        <f t="shared" si="128"/>
        <v>52.08</v>
      </c>
      <c r="T2101" s="1">
        <f t="shared" si="129"/>
        <v>7.6499999999999986</v>
      </c>
      <c r="U2101" s="1" t="str">
        <f t="shared" si="130"/>
        <v>Underpaid</v>
      </c>
      <c r="V2101" s="1" t="str">
        <f>_xlfn.XLOOKUP(C2101,Payers!$A$2:$A$9,Payers!$B$2:$B$9)</f>
        <v>Coastal Medicaid MCO</v>
      </c>
      <c r="W2101" s="1" t="str">
        <f t="shared" si="131"/>
        <v>2026-02</v>
      </c>
    </row>
    <row r="2102" spans="1:23">
      <c r="A2102" s="1" t="s">
        <v>3740</v>
      </c>
      <c r="B2102" s="1" t="s">
        <v>760</v>
      </c>
      <c r="C2102" s="1" t="s">
        <v>60</v>
      </c>
      <c r="D2102" s="1" t="s">
        <v>37</v>
      </c>
      <c r="E2102" s="1" t="s">
        <v>57</v>
      </c>
      <c r="F2102">
        <v>1</v>
      </c>
      <c r="G2102" s="2">
        <v>45998</v>
      </c>
      <c r="H2102" s="2">
        <v>46014</v>
      </c>
      <c r="I2102">
        <v>216.04</v>
      </c>
      <c r="J2102">
        <v>88.04</v>
      </c>
      <c r="K2102">
        <v>70.430000000000007</v>
      </c>
      <c r="L2102">
        <v>17.61</v>
      </c>
      <c r="M2102" s="1" t="s">
        <v>21</v>
      </c>
      <c r="N2102" s="1" t="s">
        <v>22</v>
      </c>
      <c r="O2102" s="2">
        <v>46043</v>
      </c>
      <c r="P2102" s="2">
        <v>46043</v>
      </c>
      <c r="Q2102">
        <f>_xlfn.XLOOKUP(E2102,CPT!$A$2:$A$13,CPT!$D$2:$D$13)</f>
        <v>210</v>
      </c>
      <c r="R2102" s="1">
        <f>_xlfn.XLOOKUP(C2102,Contract!$A$2:$A$9,Contract!$B$2:$B$9)</f>
        <v>0.45</v>
      </c>
      <c r="S2102" s="1">
        <f t="shared" si="128"/>
        <v>94.5</v>
      </c>
      <c r="T2102" s="1">
        <f t="shared" si="129"/>
        <v>6.4599999999999937</v>
      </c>
      <c r="U2102" s="1" t="str">
        <f t="shared" si="130"/>
        <v>Underpaid</v>
      </c>
      <c r="V2102" s="1" t="str">
        <f>_xlfn.XLOOKUP(C2102,Payers!$A$2:$A$9,Payers!$B$2:$B$9)</f>
        <v>Blue Horizon Commercial</v>
      </c>
      <c r="W2102" s="1" t="str">
        <f t="shared" si="131"/>
        <v>2025-12</v>
      </c>
    </row>
    <row r="2103" spans="1:23">
      <c r="A2103" s="1" t="s">
        <v>3741</v>
      </c>
      <c r="B2103" s="1" t="s">
        <v>3742</v>
      </c>
      <c r="C2103" s="1" t="s">
        <v>76</v>
      </c>
      <c r="D2103" s="1" t="s">
        <v>26</v>
      </c>
      <c r="E2103" s="1" t="s">
        <v>41</v>
      </c>
      <c r="F2103">
        <v>1</v>
      </c>
      <c r="G2103" s="2">
        <v>46004</v>
      </c>
      <c r="H2103" s="2">
        <v>46024</v>
      </c>
      <c r="I2103">
        <v>38.57</v>
      </c>
      <c r="J2103">
        <v>15.92</v>
      </c>
      <c r="K2103">
        <v>14.33</v>
      </c>
      <c r="L2103">
        <v>1.59</v>
      </c>
      <c r="M2103" s="1" t="s">
        <v>21</v>
      </c>
      <c r="N2103" s="1" t="s">
        <v>22</v>
      </c>
      <c r="O2103" s="2">
        <v>46039</v>
      </c>
      <c r="P2103" s="2">
        <v>46039</v>
      </c>
      <c r="Q2103">
        <f>_xlfn.XLOOKUP(E2103,CPT!$A$2:$A$13,CPT!$D$2:$D$13)</f>
        <v>38</v>
      </c>
      <c r="R2103" s="1">
        <f>_xlfn.XLOOKUP(C2103,Contract!$A$2:$A$9,Contract!$B$2:$B$9)</f>
        <v>0.43</v>
      </c>
      <c r="S2103" s="1">
        <f t="shared" si="128"/>
        <v>16.34</v>
      </c>
      <c r="T2103" s="1">
        <f t="shared" si="129"/>
        <v>0.41999999999999993</v>
      </c>
      <c r="U2103" s="1" t="str">
        <f t="shared" si="130"/>
        <v>OK</v>
      </c>
      <c r="V2103" s="1" t="str">
        <f>_xlfn.XLOOKUP(C2103,Payers!$A$2:$A$9,Payers!$B$2:$B$9)</f>
        <v>Summit Health Commercial</v>
      </c>
      <c r="W2103" s="1" t="str">
        <f t="shared" si="131"/>
        <v>2025-12</v>
      </c>
    </row>
    <row r="2104" spans="1:23">
      <c r="A2104" s="1" t="s">
        <v>3743</v>
      </c>
      <c r="B2104" s="1" t="s">
        <v>3744</v>
      </c>
      <c r="C2104" s="1" t="s">
        <v>47</v>
      </c>
      <c r="D2104" s="1" t="s">
        <v>37</v>
      </c>
      <c r="E2104" s="1" t="s">
        <v>38</v>
      </c>
      <c r="F2104">
        <v>5</v>
      </c>
      <c r="G2104" s="2">
        <v>46028</v>
      </c>
      <c r="H2104" s="2">
        <v>46034</v>
      </c>
      <c r="I2104">
        <v>7232.6</v>
      </c>
      <c r="J2104">
        <v>2210.33</v>
      </c>
      <c r="K2104">
        <v>2210.33</v>
      </c>
      <c r="L2104">
        <v>0</v>
      </c>
      <c r="M2104" s="1" t="s">
        <v>21</v>
      </c>
      <c r="N2104" s="1" t="s">
        <v>22</v>
      </c>
      <c r="O2104" s="2">
        <v>46084</v>
      </c>
      <c r="P2104" s="2">
        <v>46084</v>
      </c>
      <c r="Q2104">
        <f>_xlfn.XLOOKUP(E2104,CPT!$A$2:$A$13,CPT!$D$2:$D$13)</f>
        <v>1450</v>
      </c>
      <c r="R2104" s="1">
        <f>_xlfn.XLOOKUP(C2104,Contract!$A$2:$A$9,Contract!$B$2:$B$9)</f>
        <v>0.28000000000000003</v>
      </c>
      <c r="S2104" s="1">
        <f t="shared" si="128"/>
        <v>2030</v>
      </c>
      <c r="T2104" s="1">
        <f t="shared" si="129"/>
        <v>-180.32999999999993</v>
      </c>
      <c r="U2104" s="1" t="str">
        <f t="shared" si="130"/>
        <v>OK</v>
      </c>
      <c r="V2104" s="1" t="str">
        <f>_xlfn.XLOOKUP(C2104,Payers!$A$2:$A$9,Payers!$B$2:$B$9)</f>
        <v>Coastal Medicaid MCO</v>
      </c>
      <c r="W2104" s="1" t="str">
        <f t="shared" si="131"/>
        <v>2026-01</v>
      </c>
    </row>
    <row r="2105" spans="1:23">
      <c r="A2105" s="1" t="s">
        <v>3745</v>
      </c>
      <c r="B2105" s="1" t="s">
        <v>3746</v>
      </c>
      <c r="C2105" s="1" t="s">
        <v>52</v>
      </c>
      <c r="D2105" s="1" t="s">
        <v>30</v>
      </c>
      <c r="E2105" s="1" t="s">
        <v>91</v>
      </c>
      <c r="F2105">
        <v>1</v>
      </c>
      <c r="G2105" s="2">
        <v>46271</v>
      </c>
      <c r="H2105" s="2">
        <v>46272</v>
      </c>
      <c r="I2105">
        <v>59.72</v>
      </c>
      <c r="M2105" s="1" t="s">
        <v>69</v>
      </c>
      <c r="N2105" s="1" t="s">
        <v>22</v>
      </c>
      <c r="O2105" s="2"/>
      <c r="P2105" s="2"/>
      <c r="Q2105">
        <f>_xlfn.XLOOKUP(E2105,CPT!$A$2:$A$13,CPT!$D$2:$D$13)</f>
        <v>58</v>
      </c>
      <c r="R2105" s="1">
        <f>_xlfn.XLOOKUP(C2105,Contract!$A$2:$A$9,Contract!$B$2:$B$9)</f>
        <v>0.47</v>
      </c>
      <c r="S2105" s="1">
        <f t="shared" si="128"/>
        <v>27.26</v>
      </c>
      <c r="T2105" s="1" t="str">
        <f t="shared" si="129"/>
        <v/>
      </c>
      <c r="U2105" s="1" t="str">
        <f t="shared" si="130"/>
        <v/>
      </c>
      <c r="V2105" s="1" t="str">
        <f>_xlfn.XLOOKUP(C2105,Payers!$A$2:$A$9,Payers!$B$2:$B$9)</f>
        <v>Keystone Commercial PPO</v>
      </c>
      <c r="W2105" s="1" t="str">
        <f t="shared" si="131"/>
        <v>2026-09</v>
      </c>
    </row>
    <row r="2106" spans="1:23">
      <c r="A2106" s="1" t="s">
        <v>3747</v>
      </c>
      <c r="B2106" s="1" t="s">
        <v>1145</v>
      </c>
      <c r="C2106" s="1" t="s">
        <v>25</v>
      </c>
      <c r="D2106" s="1" t="s">
        <v>19</v>
      </c>
      <c r="E2106" s="1" t="s">
        <v>20</v>
      </c>
      <c r="F2106">
        <v>1</v>
      </c>
      <c r="G2106" s="2">
        <v>46162</v>
      </c>
      <c r="H2106" s="2">
        <v>46163</v>
      </c>
      <c r="I2106">
        <v>149.26</v>
      </c>
      <c r="J2106">
        <v>54.58</v>
      </c>
      <c r="K2106">
        <v>54.58</v>
      </c>
      <c r="L2106">
        <v>0</v>
      </c>
      <c r="M2106" s="1" t="s">
        <v>21</v>
      </c>
      <c r="N2106" s="1" t="s">
        <v>22</v>
      </c>
      <c r="O2106" s="2">
        <v>46181</v>
      </c>
      <c r="P2106" s="2">
        <v>46181</v>
      </c>
      <c r="Q2106">
        <f>_xlfn.XLOOKUP(E2106,CPT!$A$2:$A$13,CPT!$D$2:$D$13)</f>
        <v>145</v>
      </c>
      <c r="R2106" s="1">
        <f>_xlfn.XLOOKUP(C2106,Contract!$A$2:$A$9,Contract!$B$2:$B$9)</f>
        <v>0.36</v>
      </c>
      <c r="S2106" s="1">
        <f t="shared" si="128"/>
        <v>52.2</v>
      </c>
      <c r="T2106" s="1">
        <f t="shared" si="129"/>
        <v>-2.3799999999999955</v>
      </c>
      <c r="U2106" s="1" t="str">
        <f t="shared" si="130"/>
        <v>OK</v>
      </c>
      <c r="V2106" s="1" t="str">
        <f>_xlfn.XLOOKUP(C2106,Payers!$A$2:$A$9,Payers!$B$2:$B$9)</f>
        <v>Medicare Part B</v>
      </c>
      <c r="W2106" s="1" t="str">
        <f t="shared" si="131"/>
        <v>2026-05</v>
      </c>
    </row>
    <row r="2107" spans="1:23">
      <c r="A2107" s="1" t="s">
        <v>3748</v>
      </c>
      <c r="B2107" s="1" t="s">
        <v>1622</v>
      </c>
      <c r="C2107" s="1" t="s">
        <v>60</v>
      </c>
      <c r="D2107" s="1" t="s">
        <v>26</v>
      </c>
      <c r="E2107" s="1" t="s">
        <v>113</v>
      </c>
      <c r="F2107">
        <v>1</v>
      </c>
      <c r="G2107" s="2">
        <v>46110</v>
      </c>
      <c r="H2107" s="2">
        <v>46114</v>
      </c>
      <c r="I2107">
        <v>1067.97</v>
      </c>
      <c r="M2107" s="1" t="s">
        <v>32</v>
      </c>
      <c r="N2107" s="1" t="s">
        <v>33</v>
      </c>
      <c r="O2107" s="2">
        <v>46147</v>
      </c>
      <c r="P2107" s="2"/>
      <c r="Q2107">
        <f>_xlfn.XLOOKUP(E2107,CPT!$A$2:$A$13,CPT!$D$2:$D$13)</f>
        <v>1050</v>
      </c>
      <c r="R2107" s="1">
        <f>_xlfn.XLOOKUP(C2107,Contract!$A$2:$A$9,Contract!$B$2:$B$9)</f>
        <v>0.45</v>
      </c>
      <c r="S2107" s="1">
        <f t="shared" si="128"/>
        <v>472.5</v>
      </c>
      <c r="T2107" s="1" t="str">
        <f t="shared" si="129"/>
        <v/>
      </c>
      <c r="U2107" s="1" t="str">
        <f t="shared" si="130"/>
        <v/>
      </c>
      <c r="V2107" s="1" t="str">
        <f>_xlfn.XLOOKUP(C2107,Payers!$A$2:$A$9,Payers!$B$2:$B$9)</f>
        <v>Blue Horizon Commercial</v>
      </c>
      <c r="W2107" s="1" t="str">
        <f t="shared" si="131"/>
        <v>2026-03</v>
      </c>
    </row>
    <row r="2108" spans="1:23">
      <c r="A2108" s="1" t="s">
        <v>3749</v>
      </c>
      <c r="B2108" s="1" t="s">
        <v>3750</v>
      </c>
      <c r="C2108" s="1" t="s">
        <v>52</v>
      </c>
      <c r="D2108" s="1" t="s">
        <v>30</v>
      </c>
      <c r="E2108" s="1" t="s">
        <v>31</v>
      </c>
      <c r="F2108">
        <v>2</v>
      </c>
      <c r="G2108" s="2">
        <v>46271</v>
      </c>
      <c r="H2108" s="2">
        <v>46276</v>
      </c>
      <c r="I2108">
        <v>126.48</v>
      </c>
      <c r="M2108" s="1" t="s">
        <v>69</v>
      </c>
      <c r="N2108" s="1" t="s">
        <v>22</v>
      </c>
      <c r="O2108" s="2"/>
      <c r="P2108" s="2"/>
      <c r="Q2108">
        <f>_xlfn.XLOOKUP(E2108,CPT!$A$2:$A$13,CPT!$D$2:$D$13)</f>
        <v>62</v>
      </c>
      <c r="R2108" s="1">
        <f>_xlfn.XLOOKUP(C2108,Contract!$A$2:$A$9,Contract!$B$2:$B$9)</f>
        <v>0.47</v>
      </c>
      <c r="S2108" s="1">
        <f t="shared" si="128"/>
        <v>58.28</v>
      </c>
      <c r="T2108" s="1" t="str">
        <f t="shared" si="129"/>
        <v/>
      </c>
      <c r="U2108" s="1" t="str">
        <f t="shared" si="130"/>
        <v/>
      </c>
      <c r="V2108" s="1" t="str">
        <f>_xlfn.XLOOKUP(C2108,Payers!$A$2:$A$9,Payers!$B$2:$B$9)</f>
        <v>Keystone Commercial PPO</v>
      </c>
      <c r="W2108" s="1" t="str">
        <f t="shared" si="131"/>
        <v>2026-09</v>
      </c>
    </row>
    <row r="2109" spans="1:23">
      <c r="A2109" s="1" t="s">
        <v>3751</v>
      </c>
      <c r="B2109" s="1" t="s">
        <v>3752</v>
      </c>
      <c r="C2109" s="1" t="s">
        <v>60</v>
      </c>
      <c r="D2109" s="1" t="s">
        <v>19</v>
      </c>
      <c r="E2109" s="1" t="s">
        <v>88</v>
      </c>
      <c r="F2109">
        <v>1</v>
      </c>
      <c r="G2109" s="2">
        <v>45962</v>
      </c>
      <c r="H2109" s="2">
        <v>45971</v>
      </c>
      <c r="I2109">
        <v>267.10000000000002</v>
      </c>
      <c r="J2109">
        <v>109.59</v>
      </c>
      <c r="K2109">
        <v>109.59</v>
      </c>
      <c r="L2109">
        <v>0</v>
      </c>
      <c r="M2109" s="1" t="s">
        <v>21</v>
      </c>
      <c r="N2109" s="1" t="s">
        <v>22</v>
      </c>
      <c r="O2109" s="2">
        <v>46000</v>
      </c>
      <c r="P2109" s="2">
        <v>46000</v>
      </c>
      <c r="Q2109">
        <f>_xlfn.XLOOKUP(E2109,CPT!$A$2:$A$13,CPT!$D$2:$D$13)</f>
        <v>260</v>
      </c>
      <c r="R2109" s="1">
        <f>_xlfn.XLOOKUP(C2109,Contract!$A$2:$A$9,Contract!$B$2:$B$9)</f>
        <v>0.45</v>
      </c>
      <c r="S2109" s="1">
        <f t="shared" si="128"/>
        <v>117</v>
      </c>
      <c r="T2109" s="1">
        <f t="shared" si="129"/>
        <v>7.4099999999999966</v>
      </c>
      <c r="U2109" s="1" t="str">
        <f t="shared" si="130"/>
        <v>Underpaid</v>
      </c>
      <c r="V2109" s="1" t="str">
        <f>_xlfn.XLOOKUP(C2109,Payers!$A$2:$A$9,Payers!$B$2:$B$9)</f>
        <v>Blue Horizon Commercial</v>
      </c>
      <c r="W2109" s="1" t="str">
        <f t="shared" si="131"/>
        <v>2025-11</v>
      </c>
    </row>
    <row r="2110" spans="1:23">
      <c r="A2110" s="1" t="s">
        <v>3753</v>
      </c>
      <c r="B2110" s="1" t="s">
        <v>627</v>
      </c>
      <c r="C2110" s="1" t="s">
        <v>60</v>
      </c>
      <c r="D2110" s="1" t="s">
        <v>30</v>
      </c>
      <c r="E2110" s="1" t="s">
        <v>31</v>
      </c>
      <c r="F2110">
        <v>1</v>
      </c>
      <c r="G2110" s="2">
        <v>45936</v>
      </c>
      <c r="H2110" s="2">
        <v>45941</v>
      </c>
      <c r="I2110">
        <v>62.29</v>
      </c>
      <c r="M2110" s="1" t="s">
        <v>32</v>
      </c>
      <c r="N2110" s="1" t="s">
        <v>33</v>
      </c>
      <c r="O2110" s="2">
        <v>45958</v>
      </c>
      <c r="P2110" s="2"/>
      <c r="Q2110">
        <f>_xlfn.XLOOKUP(E2110,CPT!$A$2:$A$13,CPT!$D$2:$D$13)</f>
        <v>62</v>
      </c>
      <c r="R2110" s="1">
        <f>_xlfn.XLOOKUP(C2110,Contract!$A$2:$A$9,Contract!$B$2:$B$9)</f>
        <v>0.45</v>
      </c>
      <c r="S2110" s="1">
        <f t="shared" si="128"/>
        <v>27.9</v>
      </c>
      <c r="T2110" s="1" t="str">
        <f t="shared" si="129"/>
        <v/>
      </c>
      <c r="U2110" s="1" t="str">
        <f t="shared" si="130"/>
        <v/>
      </c>
      <c r="V2110" s="1" t="str">
        <f>_xlfn.XLOOKUP(C2110,Payers!$A$2:$A$9,Payers!$B$2:$B$9)</f>
        <v>Blue Horizon Commercial</v>
      </c>
      <c r="W2110" s="1" t="str">
        <f t="shared" si="131"/>
        <v>2025-10</v>
      </c>
    </row>
    <row r="2111" spans="1:23">
      <c r="A2111" s="1" t="s">
        <v>3754</v>
      </c>
      <c r="B2111" s="1" t="s">
        <v>3755</v>
      </c>
      <c r="C2111" s="1" t="s">
        <v>47</v>
      </c>
      <c r="D2111" s="1" t="s">
        <v>30</v>
      </c>
      <c r="E2111" s="1" t="s">
        <v>91</v>
      </c>
      <c r="F2111">
        <v>4</v>
      </c>
      <c r="G2111" s="2">
        <v>45947</v>
      </c>
      <c r="H2111" s="2">
        <v>45956</v>
      </c>
      <c r="I2111">
        <v>238.47</v>
      </c>
      <c r="M2111" s="1" t="s">
        <v>32</v>
      </c>
      <c r="N2111" s="1" t="s">
        <v>33</v>
      </c>
      <c r="O2111" s="2">
        <v>45982</v>
      </c>
      <c r="P2111" s="2"/>
      <c r="Q2111">
        <f>_xlfn.XLOOKUP(E2111,CPT!$A$2:$A$13,CPT!$D$2:$D$13)</f>
        <v>58</v>
      </c>
      <c r="R2111" s="1">
        <f>_xlfn.XLOOKUP(C2111,Contract!$A$2:$A$9,Contract!$B$2:$B$9)</f>
        <v>0.28000000000000003</v>
      </c>
      <c r="S2111" s="1">
        <f t="shared" si="128"/>
        <v>64.959999999999994</v>
      </c>
      <c r="T2111" s="1" t="str">
        <f t="shared" si="129"/>
        <v/>
      </c>
      <c r="U2111" s="1" t="str">
        <f t="shared" si="130"/>
        <v/>
      </c>
      <c r="V2111" s="1" t="str">
        <f>_xlfn.XLOOKUP(C2111,Payers!$A$2:$A$9,Payers!$B$2:$B$9)</f>
        <v>Coastal Medicaid MCO</v>
      </c>
      <c r="W2111" s="1" t="str">
        <f t="shared" si="131"/>
        <v>2025-10</v>
      </c>
    </row>
    <row r="2112" spans="1:23">
      <c r="A2112" s="1" t="s">
        <v>3756</v>
      </c>
      <c r="B2112" s="1" t="s">
        <v>1147</v>
      </c>
      <c r="C2112" s="1" t="s">
        <v>60</v>
      </c>
      <c r="D2112" s="1" t="s">
        <v>26</v>
      </c>
      <c r="E2112" s="1" t="s">
        <v>88</v>
      </c>
      <c r="F2112">
        <v>1</v>
      </c>
      <c r="G2112" s="2">
        <v>46032</v>
      </c>
      <c r="H2112" s="2">
        <v>46033</v>
      </c>
      <c r="I2112">
        <v>253.37</v>
      </c>
      <c r="J2112">
        <v>131.19999999999999</v>
      </c>
      <c r="K2112">
        <v>131.19999999999999</v>
      </c>
      <c r="L2112">
        <v>0</v>
      </c>
      <c r="M2112" s="1" t="s">
        <v>21</v>
      </c>
      <c r="N2112" s="1" t="s">
        <v>22</v>
      </c>
      <c r="O2112" s="2">
        <v>46074</v>
      </c>
      <c r="P2112" s="2">
        <v>46074</v>
      </c>
      <c r="Q2112">
        <f>_xlfn.XLOOKUP(E2112,CPT!$A$2:$A$13,CPT!$D$2:$D$13)</f>
        <v>260</v>
      </c>
      <c r="R2112" s="1">
        <f>_xlfn.XLOOKUP(C2112,Contract!$A$2:$A$9,Contract!$B$2:$B$9)</f>
        <v>0.45</v>
      </c>
      <c r="S2112" s="1">
        <f t="shared" si="128"/>
        <v>117</v>
      </c>
      <c r="T2112" s="1">
        <f t="shared" si="129"/>
        <v>-14.199999999999989</v>
      </c>
      <c r="U2112" s="1" t="str">
        <f t="shared" si="130"/>
        <v>OK</v>
      </c>
      <c r="V2112" s="1" t="str">
        <f>_xlfn.XLOOKUP(C2112,Payers!$A$2:$A$9,Payers!$B$2:$B$9)</f>
        <v>Blue Horizon Commercial</v>
      </c>
      <c r="W2112" s="1" t="str">
        <f t="shared" si="131"/>
        <v>2026-01</v>
      </c>
    </row>
    <row r="2113" spans="1:23">
      <c r="A2113" s="1" t="s">
        <v>3757</v>
      </c>
      <c r="B2113" s="1" t="s">
        <v>3758</v>
      </c>
      <c r="C2113" s="1" t="s">
        <v>60</v>
      </c>
      <c r="D2113" s="1" t="s">
        <v>30</v>
      </c>
      <c r="E2113" s="1" t="s">
        <v>91</v>
      </c>
      <c r="F2113">
        <v>2</v>
      </c>
      <c r="G2113" s="2">
        <v>46096</v>
      </c>
      <c r="H2113" s="2">
        <v>46222</v>
      </c>
      <c r="I2113">
        <v>113.21</v>
      </c>
      <c r="M2113" s="1" t="s">
        <v>32</v>
      </c>
      <c r="N2113" s="1" t="s">
        <v>137</v>
      </c>
      <c r="O2113" s="2">
        <v>46259</v>
      </c>
      <c r="P2113" s="2"/>
      <c r="Q2113">
        <f>_xlfn.XLOOKUP(E2113,CPT!$A$2:$A$13,CPT!$D$2:$D$13)</f>
        <v>58</v>
      </c>
      <c r="R2113" s="1">
        <f>_xlfn.XLOOKUP(C2113,Contract!$A$2:$A$9,Contract!$B$2:$B$9)</f>
        <v>0.45</v>
      </c>
      <c r="S2113" s="1">
        <f t="shared" si="128"/>
        <v>52.2</v>
      </c>
      <c r="T2113" s="1" t="str">
        <f t="shared" si="129"/>
        <v/>
      </c>
      <c r="U2113" s="1" t="str">
        <f t="shared" si="130"/>
        <v/>
      </c>
      <c r="V2113" s="1" t="str">
        <f>_xlfn.XLOOKUP(C2113,Payers!$A$2:$A$9,Payers!$B$2:$B$9)</f>
        <v>Blue Horizon Commercial</v>
      </c>
      <c r="W2113" s="1" t="str">
        <f t="shared" si="131"/>
        <v>2026-03</v>
      </c>
    </row>
    <row r="2114" spans="1:23">
      <c r="A2114" s="1" t="s">
        <v>3759</v>
      </c>
      <c r="B2114" s="1" t="s">
        <v>509</v>
      </c>
      <c r="C2114" s="1" t="s">
        <v>18</v>
      </c>
      <c r="D2114" s="1" t="s">
        <v>37</v>
      </c>
      <c r="E2114" s="1" t="s">
        <v>57</v>
      </c>
      <c r="F2114">
        <v>1</v>
      </c>
      <c r="G2114" s="2">
        <v>45939</v>
      </c>
      <c r="H2114" s="2">
        <v>45941</v>
      </c>
      <c r="I2114">
        <v>216.25</v>
      </c>
      <c r="J2114">
        <v>92.17</v>
      </c>
      <c r="K2114">
        <v>92.17</v>
      </c>
      <c r="L2114">
        <v>0</v>
      </c>
      <c r="M2114" s="1" t="s">
        <v>21</v>
      </c>
      <c r="N2114" s="1" t="s">
        <v>22</v>
      </c>
      <c r="O2114" s="2">
        <v>46012</v>
      </c>
      <c r="P2114" s="2">
        <v>46012</v>
      </c>
      <c r="Q2114">
        <f>_xlfn.XLOOKUP(E2114,CPT!$A$2:$A$13,CPT!$D$2:$D$13)</f>
        <v>210</v>
      </c>
      <c r="R2114" s="1">
        <f>_xlfn.XLOOKUP(C2114,Contract!$A$2:$A$9,Contract!$B$2:$B$9)</f>
        <v>0.38</v>
      </c>
      <c r="S2114" s="1">
        <f t="shared" ref="S2114:S2177" si="132">ROUND(Q2114*F2114*R2114,2)</f>
        <v>79.8</v>
      </c>
      <c r="T2114" s="1">
        <f t="shared" ref="T2114:T2177" si="133">IF(M2114="Paid",S2114-J2114,"")</f>
        <v>-12.370000000000005</v>
      </c>
      <c r="U2114" s="1" t="str">
        <f t="shared" ref="U2114:U2177" si="134">IF(M2114&lt;&gt;"Paid","",IF(T2114&gt;S2114*0.05,"Underpaid","OK"))</f>
        <v>OK</v>
      </c>
      <c r="V2114" s="1" t="str">
        <f>_xlfn.XLOOKUP(C2114,Payers!$A$2:$A$9,Payers!$B$2:$B$9)</f>
        <v>Sunshine Medicare Advantage</v>
      </c>
      <c r="W2114" s="1" t="str">
        <f t="shared" ref="W2114:W2177" si="135">TEXT(G2114,"yyyy-mm")</f>
        <v>2025-10</v>
      </c>
    </row>
    <row r="2115" spans="1:23">
      <c r="A2115" s="1" t="s">
        <v>3760</v>
      </c>
      <c r="B2115" s="1" t="s">
        <v>3761</v>
      </c>
      <c r="C2115" s="1" t="s">
        <v>36</v>
      </c>
      <c r="D2115" s="1" t="s">
        <v>26</v>
      </c>
      <c r="E2115" s="1" t="s">
        <v>57</v>
      </c>
      <c r="F2115">
        <v>1</v>
      </c>
      <c r="G2115" s="2">
        <v>46166</v>
      </c>
      <c r="H2115" s="2">
        <v>46168</v>
      </c>
      <c r="I2115">
        <v>214.42</v>
      </c>
      <c r="M2115" s="1" t="s">
        <v>32</v>
      </c>
      <c r="N2115" s="1" t="s">
        <v>124</v>
      </c>
      <c r="O2115" s="2">
        <v>46231</v>
      </c>
      <c r="P2115" s="2"/>
      <c r="Q2115">
        <f>_xlfn.XLOOKUP(E2115,CPT!$A$2:$A$13,CPT!$D$2:$D$13)</f>
        <v>210</v>
      </c>
      <c r="R2115" s="1">
        <f>_xlfn.XLOOKUP(C2115,Contract!$A$2:$A$9,Contract!$B$2:$B$9)</f>
        <v>0.27</v>
      </c>
      <c r="S2115" s="1">
        <f t="shared" si="132"/>
        <v>56.7</v>
      </c>
      <c r="T2115" s="1" t="str">
        <f t="shared" si="133"/>
        <v/>
      </c>
      <c r="U2115" s="1" t="str">
        <f t="shared" si="134"/>
        <v/>
      </c>
      <c r="V2115" s="1" t="str">
        <f>_xlfn.XLOOKUP(C2115,Payers!$A$2:$A$9,Payers!$B$2:$B$9)</f>
        <v>Florida Medicaid</v>
      </c>
      <c r="W2115" s="1" t="str">
        <f t="shared" si="135"/>
        <v>2026-05</v>
      </c>
    </row>
    <row r="2116" spans="1:23">
      <c r="A2116" s="1" t="s">
        <v>3762</v>
      </c>
      <c r="B2116" s="1" t="s">
        <v>3226</v>
      </c>
      <c r="C2116" s="1" t="s">
        <v>52</v>
      </c>
      <c r="D2116" s="1" t="s">
        <v>26</v>
      </c>
      <c r="E2116" s="1" t="s">
        <v>113</v>
      </c>
      <c r="F2116">
        <v>1</v>
      </c>
      <c r="G2116" s="2">
        <v>46192</v>
      </c>
      <c r="H2116" s="2">
        <v>46194</v>
      </c>
      <c r="I2116">
        <v>1041.72</v>
      </c>
      <c r="J2116">
        <v>444.36</v>
      </c>
      <c r="K2116">
        <v>444.36</v>
      </c>
      <c r="L2116">
        <v>0</v>
      </c>
      <c r="M2116" s="1" t="s">
        <v>21</v>
      </c>
      <c r="N2116" s="1" t="s">
        <v>22</v>
      </c>
      <c r="O2116" s="2">
        <v>46254</v>
      </c>
      <c r="P2116" s="2">
        <v>46254</v>
      </c>
      <c r="Q2116">
        <f>_xlfn.XLOOKUP(E2116,CPT!$A$2:$A$13,CPT!$D$2:$D$13)</f>
        <v>1050</v>
      </c>
      <c r="R2116" s="1">
        <f>_xlfn.XLOOKUP(C2116,Contract!$A$2:$A$9,Contract!$B$2:$B$9)</f>
        <v>0.47</v>
      </c>
      <c r="S2116" s="1">
        <f t="shared" si="132"/>
        <v>493.5</v>
      </c>
      <c r="T2116" s="1">
        <f t="shared" si="133"/>
        <v>49.139999999999986</v>
      </c>
      <c r="U2116" s="1" t="str">
        <f t="shared" si="134"/>
        <v>Underpaid</v>
      </c>
      <c r="V2116" s="1" t="str">
        <f>_xlfn.XLOOKUP(C2116,Payers!$A$2:$A$9,Payers!$B$2:$B$9)</f>
        <v>Keystone Commercial PPO</v>
      </c>
      <c r="W2116" s="1" t="str">
        <f t="shared" si="135"/>
        <v>2026-06</v>
      </c>
    </row>
    <row r="2117" spans="1:23">
      <c r="A2117" s="1" t="s">
        <v>3763</v>
      </c>
      <c r="B2117" s="1" t="s">
        <v>2337</v>
      </c>
      <c r="C2117" s="1" t="s">
        <v>76</v>
      </c>
      <c r="D2117" s="1" t="s">
        <v>30</v>
      </c>
      <c r="E2117" s="1" t="s">
        <v>91</v>
      </c>
      <c r="F2117">
        <v>4</v>
      </c>
      <c r="G2117" s="2">
        <v>45987</v>
      </c>
      <c r="H2117" s="2">
        <v>45988</v>
      </c>
      <c r="I2117">
        <v>238.76</v>
      </c>
      <c r="J2117">
        <v>94.12</v>
      </c>
      <c r="K2117">
        <v>94.12</v>
      </c>
      <c r="L2117">
        <v>0</v>
      </c>
      <c r="M2117" s="1" t="s">
        <v>21</v>
      </c>
      <c r="N2117" s="1" t="s">
        <v>22</v>
      </c>
      <c r="O2117" s="2">
        <v>46025</v>
      </c>
      <c r="P2117" s="2">
        <v>46025</v>
      </c>
      <c r="Q2117">
        <f>_xlfn.XLOOKUP(E2117,CPT!$A$2:$A$13,CPT!$D$2:$D$13)</f>
        <v>58</v>
      </c>
      <c r="R2117" s="1">
        <f>_xlfn.XLOOKUP(C2117,Contract!$A$2:$A$9,Contract!$B$2:$B$9)</f>
        <v>0.43</v>
      </c>
      <c r="S2117" s="1">
        <f t="shared" si="132"/>
        <v>99.76</v>
      </c>
      <c r="T2117" s="1">
        <f t="shared" si="133"/>
        <v>5.6400000000000006</v>
      </c>
      <c r="U2117" s="1" t="str">
        <f t="shared" si="134"/>
        <v>Underpaid</v>
      </c>
      <c r="V2117" s="1" t="str">
        <f>_xlfn.XLOOKUP(C2117,Payers!$A$2:$A$9,Payers!$B$2:$B$9)</f>
        <v>Summit Health Commercial</v>
      </c>
      <c r="W2117" s="1" t="str">
        <f t="shared" si="135"/>
        <v>2025-11</v>
      </c>
    </row>
    <row r="2118" spans="1:23">
      <c r="A2118" s="1" t="s">
        <v>3764</v>
      </c>
      <c r="B2118" s="1" t="s">
        <v>229</v>
      </c>
      <c r="C2118" s="1" t="s">
        <v>60</v>
      </c>
      <c r="D2118" s="1" t="s">
        <v>19</v>
      </c>
      <c r="E2118" s="1" t="s">
        <v>20</v>
      </c>
      <c r="F2118">
        <v>1</v>
      </c>
      <c r="G2118" s="2">
        <v>46052</v>
      </c>
      <c r="H2118" s="2">
        <v>46054</v>
      </c>
      <c r="I2118">
        <v>141.37</v>
      </c>
      <c r="J2118">
        <v>61.85</v>
      </c>
      <c r="K2118">
        <v>61.85</v>
      </c>
      <c r="L2118">
        <v>0</v>
      </c>
      <c r="M2118" s="1" t="s">
        <v>21</v>
      </c>
      <c r="N2118" s="1" t="s">
        <v>22</v>
      </c>
      <c r="O2118" s="2">
        <v>46070</v>
      </c>
      <c r="P2118" s="2">
        <v>46070</v>
      </c>
      <c r="Q2118">
        <f>_xlfn.XLOOKUP(E2118,CPT!$A$2:$A$13,CPT!$D$2:$D$13)</f>
        <v>145</v>
      </c>
      <c r="R2118" s="1">
        <f>_xlfn.XLOOKUP(C2118,Contract!$A$2:$A$9,Contract!$B$2:$B$9)</f>
        <v>0.45</v>
      </c>
      <c r="S2118" s="1">
        <f t="shared" si="132"/>
        <v>65.25</v>
      </c>
      <c r="T2118" s="1">
        <f t="shared" si="133"/>
        <v>3.3999999999999986</v>
      </c>
      <c r="U2118" s="1" t="str">
        <f t="shared" si="134"/>
        <v>Underpaid</v>
      </c>
      <c r="V2118" s="1" t="str">
        <f>_xlfn.XLOOKUP(C2118,Payers!$A$2:$A$9,Payers!$B$2:$B$9)</f>
        <v>Blue Horizon Commercial</v>
      </c>
      <c r="W2118" s="1" t="str">
        <f t="shared" si="135"/>
        <v>2026-01</v>
      </c>
    </row>
    <row r="2119" spans="1:23">
      <c r="A2119" s="1" t="s">
        <v>3765</v>
      </c>
      <c r="B2119" s="1" t="s">
        <v>1729</v>
      </c>
      <c r="C2119" s="1" t="s">
        <v>76</v>
      </c>
      <c r="D2119" s="1" t="s">
        <v>26</v>
      </c>
      <c r="E2119" s="1" t="s">
        <v>27</v>
      </c>
      <c r="F2119">
        <v>1</v>
      </c>
      <c r="G2119" s="2">
        <v>46107</v>
      </c>
      <c r="H2119" s="2">
        <v>46133</v>
      </c>
      <c r="I2119">
        <v>237.65</v>
      </c>
      <c r="J2119">
        <v>106.53</v>
      </c>
      <c r="K2119">
        <v>95.88</v>
      </c>
      <c r="L2119">
        <v>10.65</v>
      </c>
      <c r="M2119" s="1" t="s">
        <v>21</v>
      </c>
      <c r="N2119" s="1" t="s">
        <v>22</v>
      </c>
      <c r="O2119" s="2">
        <v>46143</v>
      </c>
      <c r="P2119" s="2">
        <v>46143</v>
      </c>
      <c r="Q2119">
        <f>_xlfn.XLOOKUP(E2119,CPT!$A$2:$A$13,CPT!$D$2:$D$13)</f>
        <v>240</v>
      </c>
      <c r="R2119" s="1">
        <f>_xlfn.XLOOKUP(C2119,Contract!$A$2:$A$9,Contract!$B$2:$B$9)</f>
        <v>0.43</v>
      </c>
      <c r="S2119" s="1">
        <f t="shared" si="132"/>
        <v>103.2</v>
      </c>
      <c r="T2119" s="1">
        <f t="shared" si="133"/>
        <v>-3.3299999999999983</v>
      </c>
      <c r="U2119" s="1" t="str">
        <f t="shared" si="134"/>
        <v>OK</v>
      </c>
      <c r="V2119" s="1" t="str">
        <f>_xlfn.XLOOKUP(C2119,Payers!$A$2:$A$9,Payers!$B$2:$B$9)</f>
        <v>Summit Health Commercial</v>
      </c>
      <c r="W2119" s="1" t="str">
        <f t="shared" si="135"/>
        <v>2026-03</v>
      </c>
    </row>
    <row r="2120" spans="1:23">
      <c r="A2120" s="1" t="s">
        <v>3766</v>
      </c>
      <c r="B2120" s="1" t="s">
        <v>2756</v>
      </c>
      <c r="C2120" s="1" t="s">
        <v>76</v>
      </c>
      <c r="D2120" s="1" t="s">
        <v>26</v>
      </c>
      <c r="E2120" s="1" t="s">
        <v>41</v>
      </c>
      <c r="F2120">
        <v>1</v>
      </c>
      <c r="G2120" s="2">
        <v>46180</v>
      </c>
      <c r="H2120" s="2">
        <v>46181</v>
      </c>
      <c r="I2120">
        <v>38.5</v>
      </c>
      <c r="J2120">
        <v>16.89</v>
      </c>
      <c r="K2120">
        <v>15.2</v>
      </c>
      <c r="L2120">
        <v>1.69</v>
      </c>
      <c r="M2120" s="1" t="s">
        <v>21</v>
      </c>
      <c r="N2120" s="1" t="s">
        <v>22</v>
      </c>
      <c r="O2120" s="2">
        <v>46202</v>
      </c>
      <c r="P2120" s="2">
        <v>46202</v>
      </c>
      <c r="Q2120">
        <f>_xlfn.XLOOKUP(E2120,CPT!$A$2:$A$13,CPT!$D$2:$D$13)</f>
        <v>38</v>
      </c>
      <c r="R2120" s="1">
        <f>_xlfn.XLOOKUP(C2120,Contract!$A$2:$A$9,Contract!$B$2:$B$9)</f>
        <v>0.43</v>
      </c>
      <c r="S2120" s="1">
        <f t="shared" si="132"/>
        <v>16.34</v>
      </c>
      <c r="T2120" s="1">
        <f t="shared" si="133"/>
        <v>-0.55000000000000071</v>
      </c>
      <c r="U2120" s="1" t="str">
        <f t="shared" si="134"/>
        <v>OK</v>
      </c>
      <c r="V2120" s="1" t="str">
        <f>_xlfn.XLOOKUP(C2120,Payers!$A$2:$A$9,Payers!$B$2:$B$9)</f>
        <v>Summit Health Commercial</v>
      </c>
      <c r="W2120" s="1" t="str">
        <f t="shared" si="135"/>
        <v>2026-06</v>
      </c>
    </row>
    <row r="2121" spans="1:23">
      <c r="A2121" s="1" t="s">
        <v>3767</v>
      </c>
      <c r="B2121" s="1" t="s">
        <v>3768</v>
      </c>
      <c r="C2121" s="1" t="s">
        <v>52</v>
      </c>
      <c r="D2121" s="1" t="s">
        <v>19</v>
      </c>
      <c r="E2121" s="1" t="s">
        <v>88</v>
      </c>
      <c r="F2121">
        <v>1</v>
      </c>
      <c r="G2121" s="2">
        <v>46237</v>
      </c>
      <c r="H2121" s="2">
        <v>46238</v>
      </c>
      <c r="I2121">
        <v>255.65</v>
      </c>
      <c r="J2121">
        <v>124.21</v>
      </c>
      <c r="K2121">
        <v>111.79</v>
      </c>
      <c r="L2121">
        <v>12.42</v>
      </c>
      <c r="M2121" s="1" t="s">
        <v>21</v>
      </c>
      <c r="N2121" s="1" t="s">
        <v>22</v>
      </c>
      <c r="O2121" s="2">
        <v>46272</v>
      </c>
      <c r="P2121" s="2">
        <v>46272</v>
      </c>
      <c r="Q2121">
        <f>_xlfn.XLOOKUP(E2121,CPT!$A$2:$A$13,CPT!$D$2:$D$13)</f>
        <v>260</v>
      </c>
      <c r="R2121" s="1">
        <f>_xlfn.XLOOKUP(C2121,Contract!$A$2:$A$9,Contract!$B$2:$B$9)</f>
        <v>0.47</v>
      </c>
      <c r="S2121" s="1">
        <f t="shared" si="132"/>
        <v>122.2</v>
      </c>
      <c r="T2121" s="1">
        <f t="shared" si="133"/>
        <v>-2.0099999999999909</v>
      </c>
      <c r="U2121" s="1" t="str">
        <f t="shared" si="134"/>
        <v>OK</v>
      </c>
      <c r="V2121" s="1" t="str">
        <f>_xlfn.XLOOKUP(C2121,Payers!$A$2:$A$9,Payers!$B$2:$B$9)</f>
        <v>Keystone Commercial PPO</v>
      </c>
      <c r="W2121" s="1" t="str">
        <f t="shared" si="135"/>
        <v>2026-08</v>
      </c>
    </row>
    <row r="2122" spans="1:23">
      <c r="A2122" s="1" t="s">
        <v>3769</v>
      </c>
      <c r="B2122" s="1" t="s">
        <v>3770</v>
      </c>
      <c r="C2122" s="1" t="s">
        <v>60</v>
      </c>
      <c r="D2122" s="1" t="s">
        <v>19</v>
      </c>
      <c r="E2122" s="1" t="s">
        <v>41</v>
      </c>
      <c r="F2122">
        <v>1</v>
      </c>
      <c r="G2122" s="2">
        <v>46117</v>
      </c>
      <c r="H2122" s="2">
        <v>46119</v>
      </c>
      <c r="I2122">
        <v>38.630000000000003</v>
      </c>
      <c r="J2122">
        <v>20.04</v>
      </c>
      <c r="K2122">
        <v>16.03</v>
      </c>
      <c r="L2122">
        <v>4.01</v>
      </c>
      <c r="M2122" s="1" t="s">
        <v>21</v>
      </c>
      <c r="N2122" s="1" t="s">
        <v>22</v>
      </c>
      <c r="O2122" s="2">
        <v>46134</v>
      </c>
      <c r="P2122" s="2">
        <v>46134</v>
      </c>
      <c r="Q2122">
        <f>_xlfn.XLOOKUP(E2122,CPT!$A$2:$A$13,CPT!$D$2:$D$13)</f>
        <v>38</v>
      </c>
      <c r="R2122" s="1">
        <f>_xlfn.XLOOKUP(C2122,Contract!$A$2:$A$9,Contract!$B$2:$B$9)</f>
        <v>0.45</v>
      </c>
      <c r="S2122" s="1">
        <f t="shared" si="132"/>
        <v>17.100000000000001</v>
      </c>
      <c r="T2122" s="1">
        <f t="shared" si="133"/>
        <v>-2.9399999999999977</v>
      </c>
      <c r="U2122" s="1" t="str">
        <f t="shared" si="134"/>
        <v>OK</v>
      </c>
      <c r="V2122" s="1" t="str">
        <f>_xlfn.XLOOKUP(C2122,Payers!$A$2:$A$9,Payers!$B$2:$B$9)</f>
        <v>Blue Horizon Commercial</v>
      </c>
      <c r="W2122" s="1" t="str">
        <f t="shared" si="135"/>
        <v>2026-04</v>
      </c>
    </row>
    <row r="2123" spans="1:23">
      <c r="A2123" s="1" t="s">
        <v>3771</v>
      </c>
      <c r="B2123" s="1" t="s">
        <v>3772</v>
      </c>
      <c r="C2123" s="1" t="s">
        <v>18</v>
      </c>
      <c r="D2123" s="1" t="s">
        <v>19</v>
      </c>
      <c r="E2123" s="1" t="s">
        <v>57</v>
      </c>
      <c r="F2123">
        <v>1</v>
      </c>
      <c r="G2123" s="2">
        <v>46116</v>
      </c>
      <c r="H2123" s="2">
        <v>46117</v>
      </c>
      <c r="I2123">
        <v>208.8</v>
      </c>
      <c r="J2123">
        <v>67.64</v>
      </c>
      <c r="K2123">
        <v>67.64</v>
      </c>
      <c r="L2123">
        <v>0</v>
      </c>
      <c r="M2123" s="1" t="s">
        <v>21</v>
      </c>
      <c r="N2123" s="1" t="s">
        <v>22</v>
      </c>
      <c r="O2123" s="2">
        <v>46177</v>
      </c>
      <c r="P2123" s="2">
        <v>46177</v>
      </c>
      <c r="Q2123">
        <f>_xlfn.XLOOKUP(E2123,CPT!$A$2:$A$13,CPT!$D$2:$D$13)</f>
        <v>210</v>
      </c>
      <c r="R2123" s="1">
        <f>_xlfn.XLOOKUP(C2123,Contract!$A$2:$A$9,Contract!$B$2:$B$9)</f>
        <v>0.38</v>
      </c>
      <c r="S2123" s="1">
        <f t="shared" si="132"/>
        <v>79.8</v>
      </c>
      <c r="T2123" s="1">
        <f t="shared" si="133"/>
        <v>12.159999999999997</v>
      </c>
      <c r="U2123" s="1" t="str">
        <f t="shared" si="134"/>
        <v>Underpaid</v>
      </c>
      <c r="V2123" s="1" t="str">
        <f>_xlfn.XLOOKUP(C2123,Payers!$A$2:$A$9,Payers!$B$2:$B$9)</f>
        <v>Sunshine Medicare Advantage</v>
      </c>
      <c r="W2123" s="1" t="str">
        <f t="shared" si="135"/>
        <v>2026-04</v>
      </c>
    </row>
    <row r="2124" spans="1:23">
      <c r="A2124" s="1" t="s">
        <v>3773</v>
      </c>
      <c r="B2124" s="1" t="s">
        <v>207</v>
      </c>
      <c r="C2124" s="1" t="s">
        <v>47</v>
      </c>
      <c r="D2124" s="1" t="s">
        <v>26</v>
      </c>
      <c r="E2124" s="1" t="s">
        <v>185</v>
      </c>
      <c r="F2124">
        <v>1</v>
      </c>
      <c r="G2124" s="2">
        <v>46265</v>
      </c>
      <c r="H2124" s="2">
        <v>46266</v>
      </c>
      <c r="I2124">
        <v>1179.05</v>
      </c>
      <c r="M2124" s="1" t="s">
        <v>69</v>
      </c>
      <c r="N2124" s="1" t="s">
        <v>22</v>
      </c>
      <c r="O2124" s="2"/>
      <c r="P2124" s="2"/>
      <c r="Q2124">
        <f>_xlfn.XLOOKUP(E2124,CPT!$A$2:$A$13,CPT!$D$2:$D$13)</f>
        <v>1150</v>
      </c>
      <c r="R2124" s="1">
        <f>_xlfn.XLOOKUP(C2124,Contract!$A$2:$A$9,Contract!$B$2:$B$9)</f>
        <v>0.28000000000000003</v>
      </c>
      <c r="S2124" s="1">
        <f t="shared" si="132"/>
        <v>322</v>
      </c>
      <c r="T2124" s="1" t="str">
        <f t="shared" si="133"/>
        <v/>
      </c>
      <c r="U2124" s="1" t="str">
        <f t="shared" si="134"/>
        <v/>
      </c>
      <c r="V2124" s="1" t="str">
        <f>_xlfn.XLOOKUP(C2124,Payers!$A$2:$A$9,Payers!$B$2:$B$9)</f>
        <v>Coastal Medicaid MCO</v>
      </c>
      <c r="W2124" s="1" t="str">
        <f t="shared" si="135"/>
        <v>2026-08</v>
      </c>
    </row>
    <row r="2125" spans="1:23">
      <c r="A2125" s="1" t="s">
        <v>3774</v>
      </c>
      <c r="B2125" s="1" t="s">
        <v>3775</v>
      </c>
      <c r="C2125" s="1" t="s">
        <v>18</v>
      </c>
      <c r="D2125" s="1" t="s">
        <v>26</v>
      </c>
      <c r="E2125" s="1" t="s">
        <v>44</v>
      </c>
      <c r="F2125">
        <v>1</v>
      </c>
      <c r="G2125" s="2">
        <v>46158</v>
      </c>
      <c r="H2125" s="2">
        <v>46159</v>
      </c>
      <c r="I2125">
        <v>4880.07</v>
      </c>
      <c r="M2125" s="1" t="s">
        <v>32</v>
      </c>
      <c r="N2125" s="1" t="s">
        <v>124</v>
      </c>
      <c r="O2125" s="2">
        <v>46179</v>
      </c>
      <c r="P2125" s="2"/>
      <c r="Q2125">
        <f>_xlfn.XLOOKUP(E2125,CPT!$A$2:$A$13,CPT!$D$2:$D$13)</f>
        <v>4800</v>
      </c>
      <c r="R2125" s="1">
        <f>_xlfn.XLOOKUP(C2125,Contract!$A$2:$A$9,Contract!$B$2:$B$9)</f>
        <v>0.38</v>
      </c>
      <c r="S2125" s="1">
        <f t="shared" si="132"/>
        <v>1824</v>
      </c>
      <c r="T2125" s="1" t="str">
        <f t="shared" si="133"/>
        <v/>
      </c>
      <c r="U2125" s="1" t="str">
        <f t="shared" si="134"/>
        <v/>
      </c>
      <c r="V2125" s="1" t="str">
        <f>_xlfn.XLOOKUP(C2125,Payers!$A$2:$A$9,Payers!$B$2:$B$9)</f>
        <v>Sunshine Medicare Advantage</v>
      </c>
      <c r="W2125" s="1" t="str">
        <f t="shared" si="135"/>
        <v>2026-05</v>
      </c>
    </row>
    <row r="2126" spans="1:23">
      <c r="A2126" s="1" t="s">
        <v>3776</v>
      </c>
      <c r="B2126" s="1" t="s">
        <v>782</v>
      </c>
      <c r="C2126" s="1" t="s">
        <v>52</v>
      </c>
      <c r="D2126" s="1" t="s">
        <v>30</v>
      </c>
      <c r="E2126" s="1" t="s">
        <v>31</v>
      </c>
      <c r="F2126">
        <v>1</v>
      </c>
      <c r="G2126" s="2">
        <v>46205</v>
      </c>
      <c r="H2126" s="2">
        <v>46208</v>
      </c>
      <c r="I2126">
        <v>60.17</v>
      </c>
      <c r="J2126">
        <v>25.08</v>
      </c>
      <c r="K2126">
        <v>25.08</v>
      </c>
      <c r="L2126">
        <v>0</v>
      </c>
      <c r="M2126" s="1" t="s">
        <v>21</v>
      </c>
      <c r="N2126" s="1" t="s">
        <v>22</v>
      </c>
      <c r="O2126" s="2">
        <v>46266</v>
      </c>
      <c r="P2126" s="2">
        <v>46266</v>
      </c>
      <c r="Q2126">
        <f>_xlfn.XLOOKUP(E2126,CPT!$A$2:$A$13,CPT!$D$2:$D$13)</f>
        <v>62</v>
      </c>
      <c r="R2126" s="1">
        <f>_xlfn.XLOOKUP(C2126,Contract!$A$2:$A$9,Contract!$B$2:$B$9)</f>
        <v>0.47</v>
      </c>
      <c r="S2126" s="1">
        <f t="shared" si="132"/>
        <v>29.14</v>
      </c>
      <c r="T2126" s="1">
        <f t="shared" si="133"/>
        <v>4.0600000000000023</v>
      </c>
      <c r="U2126" s="1" t="str">
        <f t="shared" si="134"/>
        <v>Underpaid</v>
      </c>
      <c r="V2126" s="1" t="str">
        <f>_xlfn.XLOOKUP(C2126,Payers!$A$2:$A$9,Payers!$B$2:$B$9)</f>
        <v>Keystone Commercial PPO</v>
      </c>
      <c r="W2126" s="1" t="str">
        <f t="shared" si="135"/>
        <v>2026-07</v>
      </c>
    </row>
    <row r="2127" spans="1:23">
      <c r="A2127" s="1" t="s">
        <v>3777</v>
      </c>
      <c r="B2127" s="1" t="s">
        <v>2584</v>
      </c>
      <c r="C2127" s="1" t="s">
        <v>60</v>
      </c>
      <c r="D2127" s="1" t="s">
        <v>26</v>
      </c>
      <c r="E2127" s="1" t="s">
        <v>57</v>
      </c>
      <c r="F2127">
        <v>1</v>
      </c>
      <c r="G2127" s="2">
        <v>46215</v>
      </c>
      <c r="H2127" s="2">
        <v>46216</v>
      </c>
      <c r="I2127">
        <v>205.65</v>
      </c>
      <c r="J2127">
        <v>87.55</v>
      </c>
      <c r="K2127">
        <v>87.55</v>
      </c>
      <c r="L2127">
        <v>0</v>
      </c>
      <c r="M2127" s="1" t="s">
        <v>21</v>
      </c>
      <c r="N2127" s="1" t="s">
        <v>22</v>
      </c>
      <c r="O2127" s="2">
        <v>46235</v>
      </c>
      <c r="P2127" s="2">
        <v>46235</v>
      </c>
      <c r="Q2127">
        <f>_xlfn.XLOOKUP(E2127,CPT!$A$2:$A$13,CPT!$D$2:$D$13)</f>
        <v>210</v>
      </c>
      <c r="R2127" s="1">
        <f>_xlfn.XLOOKUP(C2127,Contract!$A$2:$A$9,Contract!$B$2:$B$9)</f>
        <v>0.45</v>
      </c>
      <c r="S2127" s="1">
        <f t="shared" si="132"/>
        <v>94.5</v>
      </c>
      <c r="T2127" s="1">
        <f t="shared" si="133"/>
        <v>6.9500000000000028</v>
      </c>
      <c r="U2127" s="1" t="str">
        <f t="shared" si="134"/>
        <v>Underpaid</v>
      </c>
      <c r="V2127" s="1" t="str">
        <f>_xlfn.XLOOKUP(C2127,Payers!$A$2:$A$9,Payers!$B$2:$B$9)</f>
        <v>Blue Horizon Commercial</v>
      </c>
      <c r="W2127" s="1" t="str">
        <f t="shared" si="135"/>
        <v>2026-07</v>
      </c>
    </row>
    <row r="2128" spans="1:23">
      <c r="A2128" s="1" t="s">
        <v>3778</v>
      </c>
      <c r="B2128" s="1" t="s">
        <v>285</v>
      </c>
      <c r="C2128" s="1" t="s">
        <v>25</v>
      </c>
      <c r="D2128" s="1" t="s">
        <v>26</v>
      </c>
      <c r="E2128" s="1" t="s">
        <v>27</v>
      </c>
      <c r="F2128">
        <v>1</v>
      </c>
      <c r="G2128" s="2">
        <v>46083</v>
      </c>
      <c r="H2128" s="2">
        <v>46085</v>
      </c>
      <c r="I2128">
        <v>233.26</v>
      </c>
      <c r="M2128" s="1" t="s">
        <v>32</v>
      </c>
      <c r="N2128" s="1" t="s">
        <v>168</v>
      </c>
      <c r="O2128" s="2">
        <v>46100</v>
      </c>
      <c r="P2128" s="2"/>
      <c r="Q2128">
        <f>_xlfn.XLOOKUP(E2128,CPT!$A$2:$A$13,CPT!$D$2:$D$13)</f>
        <v>240</v>
      </c>
      <c r="R2128" s="1">
        <f>_xlfn.XLOOKUP(C2128,Contract!$A$2:$A$9,Contract!$B$2:$B$9)</f>
        <v>0.36</v>
      </c>
      <c r="S2128" s="1">
        <f t="shared" si="132"/>
        <v>86.4</v>
      </c>
      <c r="T2128" s="1" t="str">
        <f t="shared" si="133"/>
        <v/>
      </c>
      <c r="U2128" s="1" t="str">
        <f t="shared" si="134"/>
        <v/>
      </c>
      <c r="V2128" s="1" t="str">
        <f>_xlfn.XLOOKUP(C2128,Payers!$A$2:$A$9,Payers!$B$2:$B$9)</f>
        <v>Medicare Part B</v>
      </c>
      <c r="W2128" s="1" t="str">
        <f t="shared" si="135"/>
        <v>2026-03</v>
      </c>
    </row>
    <row r="2129" spans="1:23">
      <c r="A2129" s="1" t="s">
        <v>3779</v>
      </c>
      <c r="B2129" s="1" t="s">
        <v>3780</v>
      </c>
      <c r="C2129" s="1" t="s">
        <v>47</v>
      </c>
      <c r="D2129" s="1" t="s">
        <v>26</v>
      </c>
      <c r="E2129" s="1" t="s">
        <v>88</v>
      </c>
      <c r="F2129">
        <v>1</v>
      </c>
      <c r="G2129" s="2">
        <v>46108</v>
      </c>
      <c r="H2129" s="2">
        <v>46115</v>
      </c>
      <c r="I2129">
        <v>262.61</v>
      </c>
      <c r="J2129">
        <v>69.040000000000006</v>
      </c>
      <c r="K2129">
        <v>62.14</v>
      </c>
      <c r="L2129">
        <v>6.9</v>
      </c>
      <c r="M2129" s="1" t="s">
        <v>21</v>
      </c>
      <c r="N2129" s="1" t="s">
        <v>22</v>
      </c>
      <c r="O2129" s="2">
        <v>46170</v>
      </c>
      <c r="P2129" s="2">
        <v>46170</v>
      </c>
      <c r="Q2129">
        <f>_xlfn.XLOOKUP(E2129,CPT!$A$2:$A$13,CPT!$D$2:$D$13)</f>
        <v>260</v>
      </c>
      <c r="R2129" s="1">
        <f>_xlfn.XLOOKUP(C2129,Contract!$A$2:$A$9,Contract!$B$2:$B$9)</f>
        <v>0.28000000000000003</v>
      </c>
      <c r="S2129" s="1">
        <f t="shared" si="132"/>
        <v>72.8</v>
      </c>
      <c r="T2129" s="1">
        <f t="shared" si="133"/>
        <v>3.7599999999999909</v>
      </c>
      <c r="U2129" s="1" t="str">
        <f t="shared" si="134"/>
        <v>Underpaid</v>
      </c>
      <c r="V2129" s="1" t="str">
        <f>_xlfn.XLOOKUP(C2129,Payers!$A$2:$A$9,Payers!$B$2:$B$9)</f>
        <v>Coastal Medicaid MCO</v>
      </c>
      <c r="W2129" s="1" t="str">
        <f t="shared" si="135"/>
        <v>2026-03</v>
      </c>
    </row>
    <row r="2130" spans="1:23">
      <c r="A2130" s="1" t="s">
        <v>3781</v>
      </c>
      <c r="B2130" s="1" t="s">
        <v>134</v>
      </c>
      <c r="C2130" s="1" t="s">
        <v>18</v>
      </c>
      <c r="D2130" s="1" t="s">
        <v>26</v>
      </c>
      <c r="E2130" s="1" t="s">
        <v>41</v>
      </c>
      <c r="F2130">
        <v>1</v>
      </c>
      <c r="G2130" s="2">
        <v>46271</v>
      </c>
      <c r="H2130" s="2">
        <v>46274</v>
      </c>
      <c r="I2130">
        <v>37.68</v>
      </c>
      <c r="M2130" s="1" t="s">
        <v>69</v>
      </c>
      <c r="N2130" s="1" t="s">
        <v>22</v>
      </c>
      <c r="O2130" s="2"/>
      <c r="P2130" s="2"/>
      <c r="Q2130">
        <f>_xlfn.XLOOKUP(E2130,CPT!$A$2:$A$13,CPT!$D$2:$D$13)</f>
        <v>38</v>
      </c>
      <c r="R2130" s="1">
        <f>_xlfn.XLOOKUP(C2130,Contract!$A$2:$A$9,Contract!$B$2:$B$9)</f>
        <v>0.38</v>
      </c>
      <c r="S2130" s="1">
        <f t="shared" si="132"/>
        <v>14.44</v>
      </c>
      <c r="T2130" s="1" t="str">
        <f t="shared" si="133"/>
        <v/>
      </c>
      <c r="U2130" s="1" t="str">
        <f t="shared" si="134"/>
        <v/>
      </c>
      <c r="V2130" s="1" t="str">
        <f>_xlfn.XLOOKUP(C2130,Payers!$A$2:$A$9,Payers!$B$2:$B$9)</f>
        <v>Sunshine Medicare Advantage</v>
      </c>
      <c r="W2130" s="1" t="str">
        <f t="shared" si="135"/>
        <v>2026-09</v>
      </c>
    </row>
    <row r="2131" spans="1:23">
      <c r="A2131" s="1" t="s">
        <v>3782</v>
      </c>
      <c r="B2131" s="1" t="s">
        <v>1013</v>
      </c>
      <c r="C2131" s="1" t="s">
        <v>36</v>
      </c>
      <c r="D2131" s="1" t="s">
        <v>30</v>
      </c>
      <c r="E2131" s="1" t="s">
        <v>31</v>
      </c>
      <c r="F2131">
        <v>1</v>
      </c>
      <c r="G2131" s="2">
        <v>45943</v>
      </c>
      <c r="H2131" s="2">
        <v>45945</v>
      </c>
      <c r="I2131">
        <v>60.52</v>
      </c>
      <c r="J2131">
        <v>15.03</v>
      </c>
      <c r="K2131">
        <v>15.03</v>
      </c>
      <c r="L2131">
        <v>0</v>
      </c>
      <c r="M2131" s="1" t="s">
        <v>21</v>
      </c>
      <c r="N2131" s="1" t="s">
        <v>22</v>
      </c>
      <c r="O2131" s="2">
        <v>45986</v>
      </c>
      <c r="P2131" s="2">
        <v>45986</v>
      </c>
      <c r="Q2131">
        <f>_xlfn.XLOOKUP(E2131,CPT!$A$2:$A$13,CPT!$D$2:$D$13)</f>
        <v>62</v>
      </c>
      <c r="R2131" s="1">
        <f>_xlfn.XLOOKUP(C2131,Contract!$A$2:$A$9,Contract!$B$2:$B$9)</f>
        <v>0.27</v>
      </c>
      <c r="S2131" s="1">
        <f t="shared" si="132"/>
        <v>16.739999999999998</v>
      </c>
      <c r="T2131" s="1">
        <f t="shared" si="133"/>
        <v>1.7099999999999991</v>
      </c>
      <c r="U2131" s="1" t="str">
        <f t="shared" si="134"/>
        <v>Underpaid</v>
      </c>
      <c r="V2131" s="1" t="str">
        <f>_xlfn.XLOOKUP(C2131,Payers!$A$2:$A$9,Payers!$B$2:$B$9)</f>
        <v>Florida Medicaid</v>
      </c>
      <c r="W2131" s="1" t="str">
        <f t="shared" si="135"/>
        <v>2025-10</v>
      </c>
    </row>
    <row r="2132" spans="1:23">
      <c r="A2132" s="1" t="s">
        <v>3783</v>
      </c>
      <c r="B2132" s="1" t="s">
        <v>3784</v>
      </c>
      <c r="C2132" s="1" t="s">
        <v>60</v>
      </c>
      <c r="D2132" s="1" t="s">
        <v>26</v>
      </c>
      <c r="E2132" s="1" t="s">
        <v>44</v>
      </c>
      <c r="F2132">
        <v>1</v>
      </c>
      <c r="G2132" s="2">
        <v>46192</v>
      </c>
      <c r="H2132" s="2">
        <v>46193</v>
      </c>
      <c r="I2132">
        <v>4875.1499999999996</v>
      </c>
      <c r="J2132">
        <v>2049.06</v>
      </c>
      <c r="K2132">
        <v>1844.15</v>
      </c>
      <c r="L2132">
        <v>204.91</v>
      </c>
      <c r="M2132" s="1" t="s">
        <v>21</v>
      </c>
      <c r="N2132" s="1" t="s">
        <v>22</v>
      </c>
      <c r="O2132" s="2">
        <v>46206</v>
      </c>
      <c r="P2132" s="2">
        <v>46206</v>
      </c>
      <c r="Q2132">
        <f>_xlfn.XLOOKUP(E2132,CPT!$A$2:$A$13,CPT!$D$2:$D$13)</f>
        <v>4800</v>
      </c>
      <c r="R2132" s="1">
        <f>_xlfn.XLOOKUP(C2132,Contract!$A$2:$A$9,Contract!$B$2:$B$9)</f>
        <v>0.45</v>
      </c>
      <c r="S2132" s="1">
        <f t="shared" si="132"/>
        <v>2160</v>
      </c>
      <c r="T2132" s="1">
        <f t="shared" si="133"/>
        <v>110.94000000000005</v>
      </c>
      <c r="U2132" s="1" t="str">
        <f t="shared" si="134"/>
        <v>Underpaid</v>
      </c>
      <c r="V2132" s="1" t="str">
        <f>_xlfn.XLOOKUP(C2132,Payers!$A$2:$A$9,Payers!$B$2:$B$9)</f>
        <v>Blue Horizon Commercial</v>
      </c>
      <c r="W2132" s="1" t="str">
        <f t="shared" si="135"/>
        <v>2026-06</v>
      </c>
    </row>
    <row r="2133" spans="1:23">
      <c r="A2133" s="1" t="s">
        <v>3785</v>
      </c>
      <c r="B2133" s="1" t="s">
        <v>2456</v>
      </c>
      <c r="C2133" s="1" t="s">
        <v>25</v>
      </c>
      <c r="D2133" s="1" t="s">
        <v>30</v>
      </c>
      <c r="E2133" s="1" t="s">
        <v>31</v>
      </c>
      <c r="F2133">
        <v>1</v>
      </c>
      <c r="G2133" s="2">
        <v>46020</v>
      </c>
      <c r="H2133" s="2">
        <v>46025</v>
      </c>
      <c r="I2133">
        <v>62.53</v>
      </c>
      <c r="J2133">
        <v>21.71</v>
      </c>
      <c r="K2133">
        <v>19.54</v>
      </c>
      <c r="L2133">
        <v>2.17</v>
      </c>
      <c r="M2133" s="1" t="s">
        <v>21</v>
      </c>
      <c r="N2133" s="1" t="s">
        <v>22</v>
      </c>
      <c r="O2133" s="2">
        <v>46039</v>
      </c>
      <c r="P2133" s="2">
        <v>46039</v>
      </c>
      <c r="Q2133">
        <f>_xlfn.XLOOKUP(E2133,CPT!$A$2:$A$13,CPT!$D$2:$D$13)</f>
        <v>62</v>
      </c>
      <c r="R2133" s="1">
        <f>_xlfn.XLOOKUP(C2133,Contract!$A$2:$A$9,Contract!$B$2:$B$9)</f>
        <v>0.36</v>
      </c>
      <c r="S2133" s="1">
        <f t="shared" si="132"/>
        <v>22.32</v>
      </c>
      <c r="T2133" s="1">
        <f t="shared" si="133"/>
        <v>0.60999999999999943</v>
      </c>
      <c r="U2133" s="1" t="str">
        <f t="shared" si="134"/>
        <v>OK</v>
      </c>
      <c r="V2133" s="1" t="str">
        <f>_xlfn.XLOOKUP(C2133,Payers!$A$2:$A$9,Payers!$B$2:$B$9)</f>
        <v>Medicare Part B</v>
      </c>
      <c r="W2133" s="1" t="str">
        <f t="shared" si="135"/>
        <v>2025-12</v>
      </c>
    </row>
    <row r="2134" spans="1:23">
      <c r="A2134" s="1" t="s">
        <v>3786</v>
      </c>
      <c r="B2134" s="1" t="s">
        <v>3787</v>
      </c>
      <c r="C2134" s="1" t="s">
        <v>25</v>
      </c>
      <c r="D2134" s="1" t="s">
        <v>30</v>
      </c>
      <c r="E2134" s="1" t="s">
        <v>20</v>
      </c>
      <c r="F2134">
        <v>1</v>
      </c>
      <c r="G2134" s="2">
        <v>45943</v>
      </c>
      <c r="H2134" s="2">
        <v>45945</v>
      </c>
      <c r="I2134">
        <v>146.51</v>
      </c>
      <c r="J2134">
        <v>55.49</v>
      </c>
      <c r="K2134">
        <v>44.39</v>
      </c>
      <c r="L2134">
        <v>11.1</v>
      </c>
      <c r="M2134" s="1" t="s">
        <v>21</v>
      </c>
      <c r="N2134" s="1" t="s">
        <v>22</v>
      </c>
      <c r="O2134" s="2">
        <v>45971</v>
      </c>
      <c r="P2134" s="2">
        <v>45971</v>
      </c>
      <c r="Q2134">
        <f>_xlfn.XLOOKUP(E2134,CPT!$A$2:$A$13,CPT!$D$2:$D$13)</f>
        <v>145</v>
      </c>
      <c r="R2134" s="1">
        <f>_xlfn.XLOOKUP(C2134,Contract!$A$2:$A$9,Contract!$B$2:$B$9)</f>
        <v>0.36</v>
      </c>
      <c r="S2134" s="1">
        <f t="shared" si="132"/>
        <v>52.2</v>
      </c>
      <c r="T2134" s="1">
        <f t="shared" si="133"/>
        <v>-3.2899999999999991</v>
      </c>
      <c r="U2134" s="1" t="str">
        <f t="shared" si="134"/>
        <v>OK</v>
      </c>
      <c r="V2134" s="1" t="str">
        <f>_xlfn.XLOOKUP(C2134,Payers!$A$2:$A$9,Payers!$B$2:$B$9)</f>
        <v>Medicare Part B</v>
      </c>
      <c r="W2134" s="1" t="str">
        <f t="shared" si="135"/>
        <v>2025-10</v>
      </c>
    </row>
    <row r="2135" spans="1:23">
      <c r="A2135" s="1" t="s">
        <v>3788</v>
      </c>
      <c r="B2135" s="1" t="s">
        <v>3789</v>
      </c>
      <c r="C2135" s="1" t="s">
        <v>36</v>
      </c>
      <c r="D2135" s="1" t="s">
        <v>30</v>
      </c>
      <c r="E2135" s="1" t="s">
        <v>31</v>
      </c>
      <c r="F2135">
        <v>3</v>
      </c>
      <c r="G2135" s="2">
        <v>46137</v>
      </c>
      <c r="H2135" s="2">
        <v>46139</v>
      </c>
      <c r="I2135">
        <v>186.84</v>
      </c>
      <c r="J2135">
        <v>48.01</v>
      </c>
      <c r="K2135">
        <v>38.409999999999997</v>
      </c>
      <c r="L2135">
        <v>9.6</v>
      </c>
      <c r="M2135" s="1" t="s">
        <v>21</v>
      </c>
      <c r="N2135" s="1" t="s">
        <v>22</v>
      </c>
      <c r="O2135" s="2">
        <v>46191</v>
      </c>
      <c r="P2135" s="2">
        <v>46191</v>
      </c>
      <c r="Q2135">
        <f>_xlfn.XLOOKUP(E2135,CPT!$A$2:$A$13,CPT!$D$2:$D$13)</f>
        <v>62</v>
      </c>
      <c r="R2135" s="1">
        <f>_xlfn.XLOOKUP(C2135,Contract!$A$2:$A$9,Contract!$B$2:$B$9)</f>
        <v>0.27</v>
      </c>
      <c r="S2135" s="1">
        <f t="shared" si="132"/>
        <v>50.22</v>
      </c>
      <c r="T2135" s="1">
        <f t="shared" si="133"/>
        <v>2.2100000000000009</v>
      </c>
      <c r="U2135" s="1" t="str">
        <f t="shared" si="134"/>
        <v>OK</v>
      </c>
      <c r="V2135" s="1" t="str">
        <f>_xlfn.XLOOKUP(C2135,Payers!$A$2:$A$9,Payers!$B$2:$B$9)</f>
        <v>Florida Medicaid</v>
      </c>
      <c r="W2135" s="1" t="str">
        <f t="shared" si="135"/>
        <v>2026-04</v>
      </c>
    </row>
    <row r="2136" spans="1:23">
      <c r="A2136" s="1" t="s">
        <v>3790</v>
      </c>
      <c r="B2136" s="1" t="s">
        <v>3791</v>
      </c>
      <c r="C2136" s="1" t="s">
        <v>18</v>
      </c>
      <c r="D2136" s="1" t="s">
        <v>19</v>
      </c>
      <c r="E2136" s="1" t="s">
        <v>88</v>
      </c>
      <c r="F2136">
        <v>1</v>
      </c>
      <c r="G2136" s="2">
        <v>45941</v>
      </c>
      <c r="H2136" s="2">
        <v>45943</v>
      </c>
      <c r="I2136">
        <v>260.7</v>
      </c>
      <c r="J2136">
        <v>107.06</v>
      </c>
      <c r="K2136">
        <v>85.65</v>
      </c>
      <c r="L2136">
        <v>21.41</v>
      </c>
      <c r="M2136" s="1" t="s">
        <v>21</v>
      </c>
      <c r="N2136" s="1" t="s">
        <v>22</v>
      </c>
      <c r="O2136" s="2">
        <v>46005</v>
      </c>
      <c r="P2136" s="2">
        <v>46005</v>
      </c>
      <c r="Q2136">
        <f>_xlfn.XLOOKUP(E2136,CPT!$A$2:$A$13,CPT!$D$2:$D$13)</f>
        <v>260</v>
      </c>
      <c r="R2136" s="1">
        <f>_xlfn.XLOOKUP(C2136,Contract!$A$2:$A$9,Contract!$B$2:$B$9)</f>
        <v>0.38</v>
      </c>
      <c r="S2136" s="1">
        <f t="shared" si="132"/>
        <v>98.8</v>
      </c>
      <c r="T2136" s="1">
        <f t="shared" si="133"/>
        <v>-8.2600000000000051</v>
      </c>
      <c r="U2136" s="1" t="str">
        <f t="shared" si="134"/>
        <v>OK</v>
      </c>
      <c r="V2136" s="1" t="str">
        <f>_xlfn.XLOOKUP(C2136,Payers!$A$2:$A$9,Payers!$B$2:$B$9)</f>
        <v>Sunshine Medicare Advantage</v>
      </c>
      <c r="W2136" s="1" t="str">
        <f t="shared" si="135"/>
        <v>2025-10</v>
      </c>
    </row>
    <row r="2137" spans="1:23">
      <c r="A2137" s="1" t="s">
        <v>3792</v>
      </c>
      <c r="B2137" s="1" t="s">
        <v>229</v>
      </c>
      <c r="C2137" s="1" t="s">
        <v>76</v>
      </c>
      <c r="D2137" s="1" t="s">
        <v>19</v>
      </c>
      <c r="E2137" s="1" t="s">
        <v>88</v>
      </c>
      <c r="F2137">
        <v>1</v>
      </c>
      <c r="G2137" s="2">
        <v>46009</v>
      </c>
      <c r="H2137" s="2">
        <v>46016</v>
      </c>
      <c r="I2137">
        <v>260.31</v>
      </c>
      <c r="J2137">
        <v>107.03</v>
      </c>
      <c r="K2137">
        <v>107.03</v>
      </c>
      <c r="L2137">
        <v>0</v>
      </c>
      <c r="M2137" s="1" t="s">
        <v>21</v>
      </c>
      <c r="N2137" s="1" t="s">
        <v>22</v>
      </c>
      <c r="O2137" s="2">
        <v>46036</v>
      </c>
      <c r="P2137" s="2">
        <v>46036</v>
      </c>
      <c r="Q2137">
        <f>_xlfn.XLOOKUP(E2137,CPT!$A$2:$A$13,CPT!$D$2:$D$13)</f>
        <v>260</v>
      </c>
      <c r="R2137" s="1">
        <f>_xlfn.XLOOKUP(C2137,Contract!$A$2:$A$9,Contract!$B$2:$B$9)</f>
        <v>0.43</v>
      </c>
      <c r="S2137" s="1">
        <f t="shared" si="132"/>
        <v>111.8</v>
      </c>
      <c r="T2137" s="1">
        <f t="shared" si="133"/>
        <v>4.769999999999996</v>
      </c>
      <c r="U2137" s="1" t="str">
        <f t="shared" si="134"/>
        <v>OK</v>
      </c>
      <c r="V2137" s="1" t="str">
        <f>_xlfn.XLOOKUP(C2137,Payers!$A$2:$A$9,Payers!$B$2:$B$9)</f>
        <v>Summit Health Commercial</v>
      </c>
      <c r="W2137" s="1" t="str">
        <f t="shared" si="135"/>
        <v>2025-12</v>
      </c>
    </row>
    <row r="2138" spans="1:23">
      <c r="A2138" s="1" t="s">
        <v>3793</v>
      </c>
      <c r="B2138" s="1" t="s">
        <v>3794</v>
      </c>
      <c r="C2138" s="1" t="s">
        <v>76</v>
      </c>
      <c r="D2138" s="1" t="s">
        <v>26</v>
      </c>
      <c r="E2138" s="1" t="s">
        <v>113</v>
      </c>
      <c r="F2138">
        <v>1</v>
      </c>
      <c r="G2138" s="2">
        <v>46162</v>
      </c>
      <c r="H2138" s="2">
        <v>46164</v>
      </c>
      <c r="I2138">
        <v>1066.1400000000001</v>
      </c>
      <c r="J2138">
        <v>396.64</v>
      </c>
      <c r="K2138">
        <v>396.64</v>
      </c>
      <c r="L2138">
        <v>0</v>
      </c>
      <c r="M2138" s="1" t="s">
        <v>21</v>
      </c>
      <c r="N2138" s="1" t="s">
        <v>22</v>
      </c>
      <c r="O2138" s="2">
        <v>46191</v>
      </c>
      <c r="P2138" s="2">
        <v>46191</v>
      </c>
      <c r="Q2138">
        <f>_xlfn.XLOOKUP(E2138,CPT!$A$2:$A$13,CPT!$D$2:$D$13)</f>
        <v>1050</v>
      </c>
      <c r="R2138" s="1">
        <f>_xlfn.XLOOKUP(C2138,Contract!$A$2:$A$9,Contract!$B$2:$B$9)</f>
        <v>0.43</v>
      </c>
      <c r="S2138" s="1">
        <f t="shared" si="132"/>
        <v>451.5</v>
      </c>
      <c r="T2138" s="1">
        <f t="shared" si="133"/>
        <v>54.860000000000014</v>
      </c>
      <c r="U2138" s="1" t="str">
        <f t="shared" si="134"/>
        <v>Underpaid</v>
      </c>
      <c r="V2138" s="1" t="str">
        <f>_xlfn.XLOOKUP(C2138,Payers!$A$2:$A$9,Payers!$B$2:$B$9)</f>
        <v>Summit Health Commercial</v>
      </c>
      <c r="W2138" s="1" t="str">
        <f t="shared" si="135"/>
        <v>2026-05</v>
      </c>
    </row>
    <row r="2139" spans="1:23">
      <c r="A2139" s="1" t="s">
        <v>3795</v>
      </c>
      <c r="B2139" s="1" t="s">
        <v>3796</v>
      </c>
      <c r="C2139" s="1" t="s">
        <v>76</v>
      </c>
      <c r="D2139" s="1" t="s">
        <v>19</v>
      </c>
      <c r="E2139" s="1" t="s">
        <v>20</v>
      </c>
      <c r="F2139">
        <v>1</v>
      </c>
      <c r="G2139" s="2">
        <v>46213</v>
      </c>
      <c r="H2139" s="2">
        <v>46215</v>
      </c>
      <c r="I2139">
        <v>141.16</v>
      </c>
      <c r="J2139">
        <v>60.57</v>
      </c>
      <c r="K2139">
        <v>60.57</v>
      </c>
      <c r="L2139">
        <v>0</v>
      </c>
      <c r="M2139" s="1" t="s">
        <v>21</v>
      </c>
      <c r="N2139" s="1" t="s">
        <v>22</v>
      </c>
      <c r="O2139" s="2">
        <v>46256</v>
      </c>
      <c r="P2139" s="2">
        <v>46256</v>
      </c>
      <c r="Q2139">
        <f>_xlfn.XLOOKUP(E2139,CPT!$A$2:$A$13,CPT!$D$2:$D$13)</f>
        <v>145</v>
      </c>
      <c r="R2139" s="1">
        <f>_xlfn.XLOOKUP(C2139,Contract!$A$2:$A$9,Contract!$B$2:$B$9)</f>
        <v>0.43</v>
      </c>
      <c r="S2139" s="1">
        <f t="shared" si="132"/>
        <v>62.35</v>
      </c>
      <c r="T2139" s="1">
        <f t="shared" si="133"/>
        <v>1.7800000000000011</v>
      </c>
      <c r="U2139" s="1" t="str">
        <f t="shared" si="134"/>
        <v>OK</v>
      </c>
      <c r="V2139" s="1" t="str">
        <f>_xlfn.XLOOKUP(C2139,Payers!$A$2:$A$9,Payers!$B$2:$B$9)</f>
        <v>Summit Health Commercial</v>
      </c>
      <c r="W2139" s="1" t="str">
        <f t="shared" si="135"/>
        <v>2026-07</v>
      </c>
    </row>
    <row r="2140" spans="1:23">
      <c r="A2140" s="1" t="s">
        <v>3797</v>
      </c>
      <c r="B2140" s="1" t="s">
        <v>3798</v>
      </c>
      <c r="C2140" s="1" t="s">
        <v>25</v>
      </c>
      <c r="D2140" s="1" t="s">
        <v>37</v>
      </c>
      <c r="E2140" s="1" t="s">
        <v>57</v>
      </c>
      <c r="F2140">
        <v>1</v>
      </c>
      <c r="G2140" s="2">
        <v>46258</v>
      </c>
      <c r="H2140" s="2">
        <v>46261</v>
      </c>
      <c r="I2140">
        <v>211.42</v>
      </c>
      <c r="J2140">
        <v>75.16</v>
      </c>
      <c r="K2140">
        <v>75.16</v>
      </c>
      <c r="L2140">
        <v>0</v>
      </c>
      <c r="M2140" s="1" t="s">
        <v>21</v>
      </c>
      <c r="N2140" s="1" t="s">
        <v>22</v>
      </c>
      <c r="O2140" s="2">
        <v>46284</v>
      </c>
      <c r="P2140" s="2">
        <v>46284</v>
      </c>
      <c r="Q2140">
        <f>_xlfn.XLOOKUP(E2140,CPT!$A$2:$A$13,CPT!$D$2:$D$13)</f>
        <v>210</v>
      </c>
      <c r="R2140" s="1">
        <f>_xlfn.XLOOKUP(C2140,Contract!$A$2:$A$9,Contract!$B$2:$B$9)</f>
        <v>0.36</v>
      </c>
      <c r="S2140" s="1">
        <f t="shared" si="132"/>
        <v>75.599999999999994</v>
      </c>
      <c r="T2140" s="1">
        <f t="shared" si="133"/>
        <v>0.43999999999999773</v>
      </c>
      <c r="U2140" s="1" t="str">
        <f t="shared" si="134"/>
        <v>OK</v>
      </c>
      <c r="V2140" s="1" t="str">
        <f>_xlfn.XLOOKUP(C2140,Payers!$A$2:$A$9,Payers!$B$2:$B$9)</f>
        <v>Medicare Part B</v>
      </c>
      <c r="W2140" s="1" t="str">
        <f t="shared" si="135"/>
        <v>2026-08</v>
      </c>
    </row>
    <row r="2141" spans="1:23">
      <c r="A2141" s="1" t="s">
        <v>3799</v>
      </c>
      <c r="B2141" s="1" t="s">
        <v>1523</v>
      </c>
      <c r="C2141" s="1" t="s">
        <v>25</v>
      </c>
      <c r="D2141" s="1" t="s">
        <v>30</v>
      </c>
      <c r="E2141" s="1" t="s">
        <v>31</v>
      </c>
      <c r="F2141">
        <v>1</v>
      </c>
      <c r="G2141" s="2">
        <v>46276</v>
      </c>
      <c r="H2141" s="2">
        <v>46277</v>
      </c>
      <c r="I2141">
        <v>61.03</v>
      </c>
      <c r="J2141">
        <v>22.05</v>
      </c>
      <c r="K2141">
        <v>22.05</v>
      </c>
      <c r="L2141">
        <v>0</v>
      </c>
      <c r="M2141" s="1" t="s">
        <v>21</v>
      </c>
      <c r="N2141" s="1" t="s">
        <v>22</v>
      </c>
      <c r="O2141" s="2">
        <v>46285</v>
      </c>
      <c r="P2141" s="2">
        <v>46285</v>
      </c>
      <c r="Q2141">
        <f>_xlfn.XLOOKUP(E2141,CPT!$A$2:$A$13,CPT!$D$2:$D$13)</f>
        <v>62</v>
      </c>
      <c r="R2141" s="1">
        <f>_xlfn.XLOOKUP(C2141,Contract!$A$2:$A$9,Contract!$B$2:$B$9)</f>
        <v>0.36</v>
      </c>
      <c r="S2141" s="1">
        <f t="shared" si="132"/>
        <v>22.32</v>
      </c>
      <c r="T2141" s="1">
        <f t="shared" si="133"/>
        <v>0.26999999999999957</v>
      </c>
      <c r="U2141" s="1" t="str">
        <f t="shared" si="134"/>
        <v>OK</v>
      </c>
      <c r="V2141" s="1" t="str">
        <f>_xlfn.XLOOKUP(C2141,Payers!$A$2:$A$9,Payers!$B$2:$B$9)</f>
        <v>Medicare Part B</v>
      </c>
      <c r="W2141" s="1" t="str">
        <f t="shared" si="135"/>
        <v>2026-09</v>
      </c>
    </row>
    <row r="2142" spans="1:23">
      <c r="A2142" s="1" t="s">
        <v>3800</v>
      </c>
      <c r="B2142" s="1" t="s">
        <v>3801</v>
      </c>
      <c r="C2142" s="1" t="s">
        <v>60</v>
      </c>
      <c r="D2142" s="1" t="s">
        <v>26</v>
      </c>
      <c r="E2142" s="1" t="s">
        <v>41</v>
      </c>
      <c r="F2142">
        <v>1</v>
      </c>
      <c r="G2142" s="2">
        <v>45987</v>
      </c>
      <c r="H2142" s="2">
        <v>45989</v>
      </c>
      <c r="I2142">
        <v>38.5</v>
      </c>
      <c r="J2142">
        <v>16.78</v>
      </c>
      <c r="K2142">
        <v>15.1</v>
      </c>
      <c r="L2142">
        <v>1.68</v>
      </c>
      <c r="M2142" s="1" t="s">
        <v>21</v>
      </c>
      <c r="N2142" s="1" t="s">
        <v>22</v>
      </c>
      <c r="O2142" s="2">
        <v>46025</v>
      </c>
      <c r="P2142" s="2">
        <v>46025</v>
      </c>
      <c r="Q2142">
        <f>_xlfn.XLOOKUP(E2142,CPT!$A$2:$A$13,CPT!$D$2:$D$13)</f>
        <v>38</v>
      </c>
      <c r="R2142" s="1">
        <f>_xlfn.XLOOKUP(C2142,Contract!$A$2:$A$9,Contract!$B$2:$B$9)</f>
        <v>0.45</v>
      </c>
      <c r="S2142" s="1">
        <f t="shared" si="132"/>
        <v>17.100000000000001</v>
      </c>
      <c r="T2142" s="1">
        <f t="shared" si="133"/>
        <v>0.32000000000000028</v>
      </c>
      <c r="U2142" s="1" t="str">
        <f t="shared" si="134"/>
        <v>OK</v>
      </c>
      <c r="V2142" s="1" t="str">
        <f>_xlfn.XLOOKUP(C2142,Payers!$A$2:$A$9,Payers!$B$2:$B$9)</f>
        <v>Blue Horizon Commercial</v>
      </c>
      <c r="W2142" s="1" t="str">
        <f t="shared" si="135"/>
        <v>2025-11</v>
      </c>
    </row>
    <row r="2143" spans="1:23">
      <c r="A2143" s="1" t="s">
        <v>3802</v>
      </c>
      <c r="B2143" s="1" t="s">
        <v>3803</v>
      </c>
      <c r="C2143" s="1" t="s">
        <v>47</v>
      </c>
      <c r="D2143" s="1" t="s">
        <v>26</v>
      </c>
      <c r="E2143" s="1" t="s">
        <v>27</v>
      </c>
      <c r="F2143">
        <v>1</v>
      </c>
      <c r="G2143" s="2">
        <v>46127</v>
      </c>
      <c r="H2143" s="2">
        <v>46130</v>
      </c>
      <c r="I2143">
        <v>235.31</v>
      </c>
      <c r="J2143">
        <v>55.74</v>
      </c>
      <c r="K2143">
        <v>50.17</v>
      </c>
      <c r="L2143">
        <v>5.57</v>
      </c>
      <c r="M2143" s="1" t="s">
        <v>21</v>
      </c>
      <c r="N2143" s="1" t="s">
        <v>22</v>
      </c>
      <c r="O2143" s="2">
        <v>46205</v>
      </c>
      <c r="P2143" s="2">
        <v>46205</v>
      </c>
      <c r="Q2143">
        <f>_xlfn.XLOOKUP(E2143,CPT!$A$2:$A$13,CPT!$D$2:$D$13)</f>
        <v>240</v>
      </c>
      <c r="R2143" s="1">
        <f>_xlfn.XLOOKUP(C2143,Contract!$A$2:$A$9,Contract!$B$2:$B$9)</f>
        <v>0.28000000000000003</v>
      </c>
      <c r="S2143" s="1">
        <f t="shared" si="132"/>
        <v>67.2</v>
      </c>
      <c r="T2143" s="1">
        <f t="shared" si="133"/>
        <v>11.46</v>
      </c>
      <c r="U2143" s="1" t="str">
        <f t="shared" si="134"/>
        <v>Underpaid</v>
      </c>
      <c r="V2143" s="1" t="str">
        <f>_xlfn.XLOOKUP(C2143,Payers!$A$2:$A$9,Payers!$B$2:$B$9)</f>
        <v>Coastal Medicaid MCO</v>
      </c>
      <c r="W2143" s="1" t="str">
        <f t="shared" si="135"/>
        <v>2026-04</v>
      </c>
    </row>
    <row r="2144" spans="1:23">
      <c r="A2144" s="1" t="s">
        <v>3804</v>
      </c>
      <c r="B2144" s="1" t="s">
        <v>3805</v>
      </c>
      <c r="C2144" s="1" t="s">
        <v>76</v>
      </c>
      <c r="D2144" s="1" t="s">
        <v>19</v>
      </c>
      <c r="E2144" s="1" t="s">
        <v>20</v>
      </c>
      <c r="F2144">
        <v>1</v>
      </c>
      <c r="G2144" s="2">
        <v>46040</v>
      </c>
      <c r="H2144" s="2">
        <v>46041</v>
      </c>
      <c r="I2144">
        <v>142.58000000000001</v>
      </c>
      <c r="J2144">
        <v>64.28</v>
      </c>
      <c r="K2144">
        <v>64.28</v>
      </c>
      <c r="L2144">
        <v>0</v>
      </c>
      <c r="M2144" s="1" t="s">
        <v>21</v>
      </c>
      <c r="N2144" s="1" t="s">
        <v>22</v>
      </c>
      <c r="O2144" s="2">
        <v>46071</v>
      </c>
      <c r="P2144" s="2">
        <v>46071</v>
      </c>
      <c r="Q2144">
        <f>_xlfn.XLOOKUP(E2144,CPT!$A$2:$A$13,CPT!$D$2:$D$13)</f>
        <v>145</v>
      </c>
      <c r="R2144" s="1">
        <f>_xlfn.XLOOKUP(C2144,Contract!$A$2:$A$9,Contract!$B$2:$B$9)</f>
        <v>0.43</v>
      </c>
      <c r="S2144" s="1">
        <f t="shared" si="132"/>
        <v>62.35</v>
      </c>
      <c r="T2144" s="1">
        <f t="shared" si="133"/>
        <v>-1.9299999999999997</v>
      </c>
      <c r="U2144" s="1" t="str">
        <f t="shared" si="134"/>
        <v>OK</v>
      </c>
      <c r="V2144" s="1" t="str">
        <f>_xlfn.XLOOKUP(C2144,Payers!$A$2:$A$9,Payers!$B$2:$B$9)</f>
        <v>Summit Health Commercial</v>
      </c>
      <c r="W2144" s="1" t="str">
        <f t="shared" si="135"/>
        <v>2026-01</v>
      </c>
    </row>
    <row r="2145" spans="1:23">
      <c r="A2145" s="1" t="s">
        <v>3806</v>
      </c>
      <c r="B2145" s="1" t="s">
        <v>3807</v>
      </c>
      <c r="C2145" s="1" t="s">
        <v>25</v>
      </c>
      <c r="D2145" s="1" t="s">
        <v>26</v>
      </c>
      <c r="E2145" s="1" t="s">
        <v>41</v>
      </c>
      <c r="F2145">
        <v>1</v>
      </c>
      <c r="G2145" s="2">
        <v>46002</v>
      </c>
      <c r="H2145" s="2">
        <v>46004</v>
      </c>
      <c r="I2145">
        <v>38.06</v>
      </c>
      <c r="J2145">
        <v>15.46</v>
      </c>
      <c r="K2145">
        <v>15.46</v>
      </c>
      <c r="L2145">
        <v>0</v>
      </c>
      <c r="M2145" s="1" t="s">
        <v>21</v>
      </c>
      <c r="N2145" s="1" t="s">
        <v>22</v>
      </c>
      <c r="O2145" s="2">
        <v>46025</v>
      </c>
      <c r="P2145" s="2">
        <v>46025</v>
      </c>
      <c r="Q2145">
        <f>_xlfn.XLOOKUP(E2145,CPT!$A$2:$A$13,CPT!$D$2:$D$13)</f>
        <v>38</v>
      </c>
      <c r="R2145" s="1">
        <f>_xlfn.XLOOKUP(C2145,Contract!$A$2:$A$9,Contract!$B$2:$B$9)</f>
        <v>0.36</v>
      </c>
      <c r="S2145" s="1">
        <f t="shared" si="132"/>
        <v>13.68</v>
      </c>
      <c r="T2145" s="1">
        <f t="shared" si="133"/>
        <v>-1.7800000000000011</v>
      </c>
      <c r="U2145" s="1" t="str">
        <f t="shared" si="134"/>
        <v>OK</v>
      </c>
      <c r="V2145" s="1" t="str">
        <f>_xlfn.XLOOKUP(C2145,Payers!$A$2:$A$9,Payers!$B$2:$B$9)</f>
        <v>Medicare Part B</v>
      </c>
      <c r="W2145" s="1" t="str">
        <f t="shared" si="135"/>
        <v>2025-12</v>
      </c>
    </row>
    <row r="2146" spans="1:23">
      <c r="A2146" s="1" t="s">
        <v>3808</v>
      </c>
      <c r="B2146" s="1" t="s">
        <v>3809</v>
      </c>
      <c r="C2146" s="1" t="s">
        <v>47</v>
      </c>
      <c r="D2146" s="1" t="s">
        <v>19</v>
      </c>
      <c r="E2146" s="1" t="s">
        <v>57</v>
      </c>
      <c r="F2146">
        <v>1</v>
      </c>
      <c r="G2146" s="2">
        <v>46284</v>
      </c>
      <c r="H2146" s="2">
        <v>46285</v>
      </c>
      <c r="I2146">
        <v>211.48</v>
      </c>
      <c r="M2146" s="1" t="s">
        <v>69</v>
      </c>
      <c r="N2146" s="1" t="s">
        <v>22</v>
      </c>
      <c r="O2146" s="2"/>
      <c r="P2146" s="2"/>
      <c r="Q2146">
        <f>_xlfn.XLOOKUP(E2146,CPT!$A$2:$A$13,CPT!$D$2:$D$13)</f>
        <v>210</v>
      </c>
      <c r="R2146" s="1">
        <f>_xlfn.XLOOKUP(C2146,Contract!$A$2:$A$9,Contract!$B$2:$B$9)</f>
        <v>0.28000000000000003</v>
      </c>
      <c r="S2146" s="1">
        <f t="shared" si="132"/>
        <v>58.8</v>
      </c>
      <c r="T2146" s="1" t="str">
        <f t="shared" si="133"/>
        <v/>
      </c>
      <c r="U2146" s="1" t="str">
        <f t="shared" si="134"/>
        <v/>
      </c>
      <c r="V2146" s="1" t="str">
        <f>_xlfn.XLOOKUP(C2146,Payers!$A$2:$A$9,Payers!$B$2:$B$9)</f>
        <v>Coastal Medicaid MCO</v>
      </c>
      <c r="W2146" s="1" t="str">
        <f t="shared" si="135"/>
        <v>2026-09</v>
      </c>
    </row>
    <row r="2147" spans="1:23">
      <c r="A2147" s="1" t="s">
        <v>3810</v>
      </c>
      <c r="B2147" s="1" t="s">
        <v>3538</v>
      </c>
      <c r="C2147" s="1" t="s">
        <v>52</v>
      </c>
      <c r="D2147" s="1" t="s">
        <v>26</v>
      </c>
      <c r="E2147" s="1" t="s">
        <v>113</v>
      </c>
      <c r="F2147">
        <v>1</v>
      </c>
      <c r="G2147" s="2">
        <v>46021</v>
      </c>
      <c r="H2147" s="2">
        <v>46023</v>
      </c>
      <c r="I2147">
        <v>1075.53</v>
      </c>
      <c r="M2147" s="1" t="s">
        <v>32</v>
      </c>
      <c r="N2147" s="1" t="s">
        <v>315</v>
      </c>
      <c r="O2147" s="2">
        <v>46053</v>
      </c>
      <c r="P2147" s="2"/>
      <c r="Q2147">
        <f>_xlfn.XLOOKUP(E2147,CPT!$A$2:$A$13,CPT!$D$2:$D$13)</f>
        <v>1050</v>
      </c>
      <c r="R2147" s="1">
        <f>_xlfn.XLOOKUP(C2147,Contract!$A$2:$A$9,Contract!$B$2:$B$9)</f>
        <v>0.47</v>
      </c>
      <c r="S2147" s="1">
        <f t="shared" si="132"/>
        <v>493.5</v>
      </c>
      <c r="T2147" s="1" t="str">
        <f t="shared" si="133"/>
        <v/>
      </c>
      <c r="U2147" s="1" t="str">
        <f t="shared" si="134"/>
        <v/>
      </c>
      <c r="V2147" s="1" t="str">
        <f>_xlfn.XLOOKUP(C2147,Payers!$A$2:$A$9,Payers!$B$2:$B$9)</f>
        <v>Keystone Commercial PPO</v>
      </c>
      <c r="W2147" s="1" t="str">
        <f t="shared" si="135"/>
        <v>2025-12</v>
      </c>
    </row>
    <row r="2148" spans="1:23">
      <c r="A2148" s="1" t="s">
        <v>3811</v>
      </c>
      <c r="B2148" s="1" t="s">
        <v>265</v>
      </c>
      <c r="C2148" s="1" t="s">
        <v>79</v>
      </c>
      <c r="D2148" s="1" t="s">
        <v>19</v>
      </c>
      <c r="E2148" s="1" t="s">
        <v>20</v>
      </c>
      <c r="F2148">
        <v>1</v>
      </c>
      <c r="G2148" s="2">
        <v>45993</v>
      </c>
      <c r="H2148" s="2">
        <v>45997</v>
      </c>
      <c r="I2148">
        <v>147.94999999999999</v>
      </c>
      <c r="J2148">
        <v>147.94999999999999</v>
      </c>
      <c r="K2148">
        <v>147.94999999999999</v>
      </c>
      <c r="L2148">
        <v>0</v>
      </c>
      <c r="M2148" s="1" t="s">
        <v>21</v>
      </c>
      <c r="N2148" s="1" t="s">
        <v>22</v>
      </c>
      <c r="O2148" s="2">
        <v>46059</v>
      </c>
      <c r="P2148" s="2">
        <v>46059</v>
      </c>
      <c r="Q2148">
        <f>_xlfn.XLOOKUP(E2148,CPT!$A$2:$A$13,CPT!$D$2:$D$13)</f>
        <v>145</v>
      </c>
      <c r="R2148" s="1">
        <f>_xlfn.XLOOKUP(C2148,Contract!$A$2:$A$9,Contract!$B$2:$B$9)</f>
        <v>1</v>
      </c>
      <c r="S2148" s="1">
        <f t="shared" si="132"/>
        <v>145</v>
      </c>
      <c r="T2148" s="1">
        <f t="shared" si="133"/>
        <v>-2.9499999999999886</v>
      </c>
      <c r="U2148" s="1" t="str">
        <f t="shared" si="134"/>
        <v>OK</v>
      </c>
      <c r="V2148" s="1" t="str">
        <f>_xlfn.XLOOKUP(C2148,Payers!$A$2:$A$9,Payers!$B$2:$B$9)</f>
        <v>Self-Pay</v>
      </c>
      <c r="W2148" s="1" t="str">
        <f t="shared" si="135"/>
        <v>2025-12</v>
      </c>
    </row>
    <row r="2149" spans="1:23">
      <c r="A2149" s="1" t="s">
        <v>3812</v>
      </c>
      <c r="B2149" s="1" t="s">
        <v>3813</v>
      </c>
      <c r="C2149" s="1" t="s">
        <v>52</v>
      </c>
      <c r="D2149" s="1" t="s">
        <v>26</v>
      </c>
      <c r="E2149" s="1" t="s">
        <v>88</v>
      </c>
      <c r="F2149">
        <v>1</v>
      </c>
      <c r="G2149" s="2">
        <v>46274</v>
      </c>
      <c r="H2149" s="2">
        <v>46275</v>
      </c>
      <c r="I2149">
        <v>261.33</v>
      </c>
      <c r="M2149" s="1" t="s">
        <v>69</v>
      </c>
      <c r="N2149" s="1" t="s">
        <v>22</v>
      </c>
      <c r="O2149" s="2"/>
      <c r="P2149" s="2"/>
      <c r="Q2149">
        <f>_xlfn.XLOOKUP(E2149,CPT!$A$2:$A$13,CPT!$D$2:$D$13)</f>
        <v>260</v>
      </c>
      <c r="R2149" s="1">
        <f>_xlfn.XLOOKUP(C2149,Contract!$A$2:$A$9,Contract!$B$2:$B$9)</f>
        <v>0.47</v>
      </c>
      <c r="S2149" s="1">
        <f t="shared" si="132"/>
        <v>122.2</v>
      </c>
      <c r="T2149" s="1" t="str">
        <f t="shared" si="133"/>
        <v/>
      </c>
      <c r="U2149" s="1" t="str">
        <f t="shared" si="134"/>
        <v/>
      </c>
      <c r="V2149" s="1" t="str">
        <f>_xlfn.XLOOKUP(C2149,Payers!$A$2:$A$9,Payers!$B$2:$B$9)</f>
        <v>Keystone Commercial PPO</v>
      </c>
      <c r="W2149" s="1" t="str">
        <f t="shared" si="135"/>
        <v>2026-09</v>
      </c>
    </row>
    <row r="2150" spans="1:23">
      <c r="A2150" s="1" t="s">
        <v>3814</v>
      </c>
      <c r="B2150" s="1" t="s">
        <v>3141</v>
      </c>
      <c r="C2150" s="1" t="s">
        <v>25</v>
      </c>
      <c r="D2150" s="1" t="s">
        <v>19</v>
      </c>
      <c r="E2150" s="1" t="s">
        <v>41</v>
      </c>
      <c r="F2150">
        <v>1</v>
      </c>
      <c r="G2150" s="2">
        <v>45974</v>
      </c>
      <c r="H2150" s="2">
        <v>45975</v>
      </c>
      <c r="I2150">
        <v>38.24</v>
      </c>
      <c r="J2150">
        <v>12.41</v>
      </c>
      <c r="K2150">
        <v>12.41</v>
      </c>
      <c r="L2150">
        <v>0</v>
      </c>
      <c r="M2150" s="1" t="s">
        <v>21</v>
      </c>
      <c r="N2150" s="1" t="s">
        <v>22</v>
      </c>
      <c r="O2150" s="2">
        <v>45988</v>
      </c>
      <c r="P2150" s="2">
        <v>45988</v>
      </c>
      <c r="Q2150">
        <f>_xlfn.XLOOKUP(E2150,CPT!$A$2:$A$13,CPT!$D$2:$D$13)</f>
        <v>38</v>
      </c>
      <c r="R2150" s="1">
        <f>_xlfn.XLOOKUP(C2150,Contract!$A$2:$A$9,Contract!$B$2:$B$9)</f>
        <v>0.36</v>
      </c>
      <c r="S2150" s="1">
        <f t="shared" si="132"/>
        <v>13.68</v>
      </c>
      <c r="T2150" s="1">
        <f t="shared" si="133"/>
        <v>1.2699999999999996</v>
      </c>
      <c r="U2150" s="1" t="str">
        <f t="shared" si="134"/>
        <v>Underpaid</v>
      </c>
      <c r="V2150" s="1" t="str">
        <f>_xlfn.XLOOKUP(C2150,Payers!$A$2:$A$9,Payers!$B$2:$B$9)</f>
        <v>Medicare Part B</v>
      </c>
      <c r="W2150" s="1" t="str">
        <f t="shared" si="135"/>
        <v>2025-11</v>
      </c>
    </row>
    <row r="2151" spans="1:23">
      <c r="A2151" s="1" t="s">
        <v>3815</v>
      </c>
      <c r="B2151" s="1" t="s">
        <v>2365</v>
      </c>
      <c r="C2151" s="1" t="s">
        <v>76</v>
      </c>
      <c r="D2151" s="1" t="s">
        <v>26</v>
      </c>
      <c r="E2151" s="1" t="s">
        <v>44</v>
      </c>
      <c r="F2151">
        <v>1</v>
      </c>
      <c r="G2151" s="2">
        <v>46277</v>
      </c>
      <c r="H2151" s="2">
        <v>46280</v>
      </c>
      <c r="I2151">
        <v>4736.8599999999997</v>
      </c>
      <c r="M2151" s="1" t="s">
        <v>69</v>
      </c>
      <c r="N2151" s="1" t="s">
        <v>22</v>
      </c>
      <c r="O2151" s="2"/>
      <c r="P2151" s="2"/>
      <c r="Q2151">
        <f>_xlfn.XLOOKUP(E2151,CPT!$A$2:$A$13,CPT!$D$2:$D$13)</f>
        <v>4800</v>
      </c>
      <c r="R2151" s="1">
        <f>_xlfn.XLOOKUP(C2151,Contract!$A$2:$A$9,Contract!$B$2:$B$9)</f>
        <v>0.43</v>
      </c>
      <c r="S2151" s="1">
        <f t="shared" si="132"/>
        <v>2064</v>
      </c>
      <c r="T2151" s="1" t="str">
        <f t="shared" si="133"/>
        <v/>
      </c>
      <c r="U2151" s="1" t="str">
        <f t="shared" si="134"/>
        <v/>
      </c>
      <c r="V2151" s="1" t="str">
        <f>_xlfn.XLOOKUP(C2151,Payers!$A$2:$A$9,Payers!$B$2:$B$9)</f>
        <v>Summit Health Commercial</v>
      </c>
      <c r="W2151" s="1" t="str">
        <f t="shared" si="135"/>
        <v>2026-09</v>
      </c>
    </row>
    <row r="2152" spans="1:23">
      <c r="A2152" s="1" t="s">
        <v>3816</v>
      </c>
      <c r="B2152" s="1" t="s">
        <v>3817</v>
      </c>
      <c r="C2152" s="1" t="s">
        <v>52</v>
      </c>
      <c r="D2152" s="1" t="s">
        <v>26</v>
      </c>
      <c r="E2152" s="1" t="s">
        <v>41</v>
      </c>
      <c r="F2152">
        <v>1</v>
      </c>
      <c r="G2152" s="2">
        <v>46249</v>
      </c>
      <c r="H2152" s="2">
        <v>46250</v>
      </c>
      <c r="I2152">
        <v>38.71</v>
      </c>
      <c r="M2152" s="1" t="s">
        <v>69</v>
      </c>
      <c r="N2152" s="1" t="s">
        <v>22</v>
      </c>
      <c r="O2152" s="2"/>
      <c r="P2152" s="2"/>
      <c r="Q2152">
        <f>_xlfn.XLOOKUP(E2152,CPT!$A$2:$A$13,CPT!$D$2:$D$13)</f>
        <v>38</v>
      </c>
      <c r="R2152" s="1">
        <f>_xlfn.XLOOKUP(C2152,Contract!$A$2:$A$9,Contract!$B$2:$B$9)</f>
        <v>0.47</v>
      </c>
      <c r="S2152" s="1">
        <f t="shared" si="132"/>
        <v>17.86</v>
      </c>
      <c r="T2152" s="1" t="str">
        <f t="shared" si="133"/>
        <v/>
      </c>
      <c r="U2152" s="1" t="str">
        <f t="shared" si="134"/>
        <v/>
      </c>
      <c r="V2152" s="1" t="str">
        <f>_xlfn.XLOOKUP(C2152,Payers!$A$2:$A$9,Payers!$B$2:$B$9)</f>
        <v>Keystone Commercial PPO</v>
      </c>
      <c r="W2152" s="1" t="str">
        <f t="shared" si="135"/>
        <v>2026-08</v>
      </c>
    </row>
    <row r="2153" spans="1:23">
      <c r="A2153" s="1" t="s">
        <v>3818</v>
      </c>
      <c r="B2153" s="1" t="s">
        <v>1588</v>
      </c>
      <c r="C2153" s="1" t="s">
        <v>25</v>
      </c>
      <c r="D2153" s="1" t="s">
        <v>26</v>
      </c>
      <c r="E2153" s="1" t="s">
        <v>113</v>
      </c>
      <c r="F2153">
        <v>1</v>
      </c>
      <c r="G2153" s="2">
        <v>46170</v>
      </c>
      <c r="H2153" s="2">
        <v>46177</v>
      </c>
      <c r="I2153">
        <v>1047.82</v>
      </c>
      <c r="J2153">
        <v>351.97</v>
      </c>
      <c r="K2153">
        <v>281.58</v>
      </c>
      <c r="L2153">
        <v>70.39</v>
      </c>
      <c r="M2153" s="1" t="s">
        <v>21</v>
      </c>
      <c r="N2153" s="1" t="s">
        <v>22</v>
      </c>
      <c r="O2153" s="2">
        <v>46191</v>
      </c>
      <c r="P2153" s="2">
        <v>46191</v>
      </c>
      <c r="Q2153">
        <f>_xlfn.XLOOKUP(E2153,CPT!$A$2:$A$13,CPT!$D$2:$D$13)</f>
        <v>1050</v>
      </c>
      <c r="R2153" s="1">
        <f>_xlfn.XLOOKUP(C2153,Contract!$A$2:$A$9,Contract!$B$2:$B$9)</f>
        <v>0.36</v>
      </c>
      <c r="S2153" s="1">
        <f t="shared" si="132"/>
        <v>378</v>
      </c>
      <c r="T2153" s="1">
        <f t="shared" si="133"/>
        <v>26.029999999999973</v>
      </c>
      <c r="U2153" s="1" t="str">
        <f t="shared" si="134"/>
        <v>Underpaid</v>
      </c>
      <c r="V2153" s="1" t="str">
        <f>_xlfn.XLOOKUP(C2153,Payers!$A$2:$A$9,Payers!$B$2:$B$9)</f>
        <v>Medicare Part B</v>
      </c>
      <c r="W2153" s="1" t="str">
        <f t="shared" si="135"/>
        <v>2026-05</v>
      </c>
    </row>
    <row r="2154" spans="1:23">
      <c r="A2154" s="1" t="s">
        <v>3819</v>
      </c>
      <c r="B2154" s="1" t="s">
        <v>3820</v>
      </c>
      <c r="C2154" s="1" t="s">
        <v>36</v>
      </c>
      <c r="D2154" s="1" t="s">
        <v>19</v>
      </c>
      <c r="E2154" s="1" t="s">
        <v>88</v>
      </c>
      <c r="F2154">
        <v>1</v>
      </c>
      <c r="G2154" s="2">
        <v>46158</v>
      </c>
      <c r="H2154" s="2">
        <v>46164</v>
      </c>
      <c r="I2154">
        <v>252.4</v>
      </c>
      <c r="J2154">
        <v>77.58</v>
      </c>
      <c r="K2154">
        <v>77.58</v>
      </c>
      <c r="L2154">
        <v>0</v>
      </c>
      <c r="M2154" s="1" t="s">
        <v>21</v>
      </c>
      <c r="N2154" s="1" t="s">
        <v>22</v>
      </c>
      <c r="O2154" s="2">
        <v>46193</v>
      </c>
      <c r="P2154" s="2">
        <v>46193</v>
      </c>
      <c r="Q2154">
        <f>_xlfn.XLOOKUP(E2154,CPT!$A$2:$A$13,CPT!$D$2:$D$13)</f>
        <v>260</v>
      </c>
      <c r="R2154" s="1">
        <f>_xlfn.XLOOKUP(C2154,Contract!$A$2:$A$9,Contract!$B$2:$B$9)</f>
        <v>0.27</v>
      </c>
      <c r="S2154" s="1">
        <f t="shared" si="132"/>
        <v>70.2</v>
      </c>
      <c r="T2154" s="1">
        <f t="shared" si="133"/>
        <v>-7.3799999999999955</v>
      </c>
      <c r="U2154" s="1" t="str">
        <f t="shared" si="134"/>
        <v>OK</v>
      </c>
      <c r="V2154" s="1" t="str">
        <f>_xlfn.XLOOKUP(C2154,Payers!$A$2:$A$9,Payers!$B$2:$B$9)</f>
        <v>Florida Medicaid</v>
      </c>
      <c r="W2154" s="1" t="str">
        <f t="shared" si="135"/>
        <v>2026-05</v>
      </c>
    </row>
    <row r="2155" spans="1:23">
      <c r="A2155" s="1" t="s">
        <v>3821</v>
      </c>
      <c r="B2155" s="1" t="s">
        <v>2282</v>
      </c>
      <c r="C2155" s="1" t="s">
        <v>52</v>
      </c>
      <c r="D2155" s="1" t="s">
        <v>37</v>
      </c>
      <c r="E2155" s="1" t="s">
        <v>48</v>
      </c>
      <c r="F2155">
        <v>1</v>
      </c>
      <c r="G2155" s="2">
        <v>46146</v>
      </c>
      <c r="H2155" s="2">
        <v>46148</v>
      </c>
      <c r="I2155">
        <v>425.33</v>
      </c>
      <c r="J2155">
        <v>210.9</v>
      </c>
      <c r="K2155">
        <v>168.72</v>
      </c>
      <c r="L2155">
        <v>42.18</v>
      </c>
      <c r="M2155" s="1" t="s">
        <v>21</v>
      </c>
      <c r="N2155" s="1" t="s">
        <v>22</v>
      </c>
      <c r="O2155" s="2">
        <v>46209</v>
      </c>
      <c r="P2155" s="2">
        <v>46209</v>
      </c>
      <c r="Q2155">
        <f>_xlfn.XLOOKUP(E2155,CPT!$A$2:$A$13,CPT!$D$2:$D$13)</f>
        <v>420</v>
      </c>
      <c r="R2155" s="1">
        <f>_xlfn.XLOOKUP(C2155,Contract!$A$2:$A$9,Contract!$B$2:$B$9)</f>
        <v>0.47</v>
      </c>
      <c r="S2155" s="1">
        <f t="shared" si="132"/>
        <v>197.4</v>
      </c>
      <c r="T2155" s="1">
        <f t="shared" si="133"/>
        <v>-13.5</v>
      </c>
      <c r="U2155" s="1" t="str">
        <f t="shared" si="134"/>
        <v>OK</v>
      </c>
      <c r="V2155" s="1" t="str">
        <f>_xlfn.XLOOKUP(C2155,Payers!$A$2:$A$9,Payers!$B$2:$B$9)</f>
        <v>Keystone Commercial PPO</v>
      </c>
      <c r="W2155" s="1" t="str">
        <f t="shared" si="135"/>
        <v>2026-05</v>
      </c>
    </row>
    <row r="2156" spans="1:23">
      <c r="A2156" s="1" t="s">
        <v>3822</v>
      </c>
      <c r="B2156" s="1" t="s">
        <v>3823</v>
      </c>
      <c r="C2156" s="1" t="s">
        <v>25</v>
      </c>
      <c r="D2156" s="1" t="s">
        <v>26</v>
      </c>
      <c r="E2156" s="1" t="s">
        <v>44</v>
      </c>
      <c r="F2156">
        <v>1</v>
      </c>
      <c r="G2156" s="2">
        <v>46214</v>
      </c>
      <c r="H2156" s="2">
        <v>46219</v>
      </c>
      <c r="I2156">
        <v>4680.92</v>
      </c>
      <c r="J2156">
        <v>1710</v>
      </c>
      <c r="K2156">
        <v>1710</v>
      </c>
      <c r="L2156">
        <v>0</v>
      </c>
      <c r="M2156" s="1" t="s">
        <v>21</v>
      </c>
      <c r="N2156" s="1" t="s">
        <v>22</v>
      </c>
      <c r="O2156" s="2">
        <v>46235</v>
      </c>
      <c r="P2156" s="2">
        <v>46235</v>
      </c>
      <c r="Q2156">
        <f>_xlfn.XLOOKUP(E2156,CPT!$A$2:$A$13,CPT!$D$2:$D$13)</f>
        <v>4800</v>
      </c>
      <c r="R2156" s="1">
        <f>_xlfn.XLOOKUP(C2156,Contract!$A$2:$A$9,Contract!$B$2:$B$9)</f>
        <v>0.36</v>
      </c>
      <c r="S2156" s="1">
        <f t="shared" si="132"/>
        <v>1728</v>
      </c>
      <c r="T2156" s="1">
        <f t="shared" si="133"/>
        <v>18</v>
      </c>
      <c r="U2156" s="1" t="str">
        <f t="shared" si="134"/>
        <v>OK</v>
      </c>
      <c r="V2156" s="1" t="str">
        <f>_xlfn.XLOOKUP(C2156,Payers!$A$2:$A$9,Payers!$B$2:$B$9)</f>
        <v>Medicare Part B</v>
      </c>
      <c r="W2156" s="1" t="str">
        <f t="shared" si="135"/>
        <v>2026-07</v>
      </c>
    </row>
    <row r="2157" spans="1:23">
      <c r="A2157" s="1" t="s">
        <v>3824</v>
      </c>
      <c r="B2157" s="1" t="s">
        <v>3825</v>
      </c>
      <c r="C2157" s="1" t="s">
        <v>18</v>
      </c>
      <c r="D2157" s="1" t="s">
        <v>26</v>
      </c>
      <c r="E2157" s="1" t="s">
        <v>88</v>
      </c>
      <c r="F2157">
        <v>1</v>
      </c>
      <c r="G2157" s="2">
        <v>46131</v>
      </c>
      <c r="H2157" s="2">
        <v>46135</v>
      </c>
      <c r="I2157">
        <v>259.66000000000003</v>
      </c>
      <c r="J2157">
        <v>84.61</v>
      </c>
      <c r="K2157">
        <v>67.69</v>
      </c>
      <c r="L2157">
        <v>16.920000000000002</v>
      </c>
      <c r="M2157" s="1" t="s">
        <v>21</v>
      </c>
      <c r="N2157" s="1" t="s">
        <v>22</v>
      </c>
      <c r="O2157" s="2">
        <v>46190</v>
      </c>
      <c r="P2157" s="2">
        <v>46190</v>
      </c>
      <c r="Q2157">
        <f>_xlfn.XLOOKUP(E2157,CPT!$A$2:$A$13,CPT!$D$2:$D$13)</f>
        <v>260</v>
      </c>
      <c r="R2157" s="1">
        <f>_xlfn.XLOOKUP(C2157,Contract!$A$2:$A$9,Contract!$B$2:$B$9)</f>
        <v>0.38</v>
      </c>
      <c r="S2157" s="1">
        <f t="shared" si="132"/>
        <v>98.8</v>
      </c>
      <c r="T2157" s="1">
        <f t="shared" si="133"/>
        <v>14.189999999999998</v>
      </c>
      <c r="U2157" s="1" t="str">
        <f t="shared" si="134"/>
        <v>Underpaid</v>
      </c>
      <c r="V2157" s="1" t="str">
        <f>_xlfn.XLOOKUP(C2157,Payers!$A$2:$A$9,Payers!$B$2:$B$9)</f>
        <v>Sunshine Medicare Advantage</v>
      </c>
      <c r="W2157" s="1" t="str">
        <f t="shared" si="135"/>
        <v>2026-04</v>
      </c>
    </row>
    <row r="2158" spans="1:23">
      <c r="A2158" s="1" t="s">
        <v>3826</v>
      </c>
      <c r="B2158" s="1" t="s">
        <v>3427</v>
      </c>
      <c r="C2158" s="1" t="s">
        <v>76</v>
      </c>
      <c r="D2158" s="1" t="s">
        <v>19</v>
      </c>
      <c r="E2158" s="1" t="s">
        <v>88</v>
      </c>
      <c r="F2158">
        <v>1</v>
      </c>
      <c r="G2158" s="2">
        <v>46008</v>
      </c>
      <c r="H2158" s="2">
        <v>46011</v>
      </c>
      <c r="I2158">
        <v>255.3</v>
      </c>
      <c r="J2158">
        <v>112.05</v>
      </c>
      <c r="K2158">
        <v>100.84</v>
      </c>
      <c r="L2158">
        <v>11.21</v>
      </c>
      <c r="M2158" s="1" t="s">
        <v>21</v>
      </c>
      <c r="N2158" s="1" t="s">
        <v>22</v>
      </c>
      <c r="O2158" s="2">
        <v>46047</v>
      </c>
      <c r="P2158" s="2">
        <v>46047</v>
      </c>
      <c r="Q2158">
        <f>_xlfn.XLOOKUP(E2158,CPT!$A$2:$A$13,CPT!$D$2:$D$13)</f>
        <v>260</v>
      </c>
      <c r="R2158" s="1">
        <f>_xlfn.XLOOKUP(C2158,Contract!$A$2:$A$9,Contract!$B$2:$B$9)</f>
        <v>0.43</v>
      </c>
      <c r="S2158" s="1">
        <f t="shared" si="132"/>
        <v>111.8</v>
      </c>
      <c r="T2158" s="1">
        <f t="shared" si="133"/>
        <v>-0.25</v>
      </c>
      <c r="U2158" s="1" t="str">
        <f t="shared" si="134"/>
        <v>OK</v>
      </c>
      <c r="V2158" s="1" t="str">
        <f>_xlfn.XLOOKUP(C2158,Payers!$A$2:$A$9,Payers!$B$2:$B$9)</f>
        <v>Summit Health Commercial</v>
      </c>
      <c r="W2158" s="1" t="str">
        <f t="shared" si="135"/>
        <v>2025-12</v>
      </c>
    </row>
    <row r="2159" spans="1:23">
      <c r="A2159" s="1" t="s">
        <v>3827</v>
      </c>
      <c r="B2159" s="1" t="s">
        <v>178</v>
      </c>
      <c r="C2159" s="1" t="s">
        <v>60</v>
      </c>
      <c r="D2159" s="1" t="s">
        <v>19</v>
      </c>
      <c r="E2159" s="1" t="s">
        <v>41</v>
      </c>
      <c r="F2159">
        <v>1</v>
      </c>
      <c r="G2159" s="2">
        <v>46185</v>
      </c>
      <c r="H2159" s="2">
        <v>46187</v>
      </c>
      <c r="I2159">
        <v>37.049999999999997</v>
      </c>
      <c r="J2159">
        <v>15.7</v>
      </c>
      <c r="K2159">
        <v>15.7</v>
      </c>
      <c r="L2159">
        <v>0</v>
      </c>
      <c r="M2159" s="1" t="s">
        <v>21</v>
      </c>
      <c r="N2159" s="1" t="s">
        <v>22</v>
      </c>
      <c r="O2159" s="2">
        <v>46216</v>
      </c>
      <c r="P2159" s="2">
        <v>46216</v>
      </c>
      <c r="Q2159">
        <f>_xlfn.XLOOKUP(E2159,CPT!$A$2:$A$13,CPT!$D$2:$D$13)</f>
        <v>38</v>
      </c>
      <c r="R2159" s="1">
        <f>_xlfn.XLOOKUP(C2159,Contract!$A$2:$A$9,Contract!$B$2:$B$9)</f>
        <v>0.45</v>
      </c>
      <c r="S2159" s="1">
        <f t="shared" si="132"/>
        <v>17.100000000000001</v>
      </c>
      <c r="T2159" s="1">
        <f t="shared" si="133"/>
        <v>1.4000000000000021</v>
      </c>
      <c r="U2159" s="1" t="str">
        <f t="shared" si="134"/>
        <v>Underpaid</v>
      </c>
      <c r="V2159" s="1" t="str">
        <f>_xlfn.XLOOKUP(C2159,Payers!$A$2:$A$9,Payers!$B$2:$B$9)</f>
        <v>Blue Horizon Commercial</v>
      </c>
      <c r="W2159" s="1" t="str">
        <f t="shared" si="135"/>
        <v>2026-06</v>
      </c>
    </row>
    <row r="2160" spans="1:23">
      <c r="A2160" s="1" t="s">
        <v>3828</v>
      </c>
      <c r="B2160" s="1" t="s">
        <v>3829</v>
      </c>
      <c r="C2160" s="1" t="s">
        <v>76</v>
      </c>
      <c r="D2160" s="1" t="s">
        <v>26</v>
      </c>
      <c r="E2160" s="1" t="s">
        <v>41</v>
      </c>
      <c r="F2160">
        <v>1</v>
      </c>
      <c r="G2160" s="2">
        <v>46103</v>
      </c>
      <c r="H2160" s="2">
        <v>46105</v>
      </c>
      <c r="I2160">
        <v>38.619999999999997</v>
      </c>
      <c r="J2160">
        <v>16.84</v>
      </c>
      <c r="K2160">
        <v>16.84</v>
      </c>
      <c r="L2160">
        <v>0</v>
      </c>
      <c r="M2160" s="1" t="s">
        <v>21</v>
      </c>
      <c r="N2160" s="1" t="s">
        <v>22</v>
      </c>
      <c r="O2160" s="2">
        <v>46130</v>
      </c>
      <c r="P2160" s="2">
        <v>46130</v>
      </c>
      <c r="Q2160">
        <f>_xlfn.XLOOKUP(E2160,CPT!$A$2:$A$13,CPT!$D$2:$D$13)</f>
        <v>38</v>
      </c>
      <c r="R2160" s="1">
        <f>_xlfn.XLOOKUP(C2160,Contract!$A$2:$A$9,Contract!$B$2:$B$9)</f>
        <v>0.43</v>
      </c>
      <c r="S2160" s="1">
        <f t="shared" si="132"/>
        <v>16.34</v>
      </c>
      <c r="T2160" s="1">
        <f t="shared" si="133"/>
        <v>-0.5</v>
      </c>
      <c r="U2160" s="1" t="str">
        <f t="shared" si="134"/>
        <v>OK</v>
      </c>
      <c r="V2160" s="1" t="str">
        <f>_xlfn.XLOOKUP(C2160,Payers!$A$2:$A$9,Payers!$B$2:$B$9)</f>
        <v>Summit Health Commercial</v>
      </c>
      <c r="W2160" s="1" t="str">
        <f t="shared" si="135"/>
        <v>2026-03</v>
      </c>
    </row>
    <row r="2161" spans="1:23">
      <c r="A2161" s="1" t="s">
        <v>3830</v>
      </c>
      <c r="B2161" s="1" t="s">
        <v>720</v>
      </c>
      <c r="C2161" s="1" t="s">
        <v>76</v>
      </c>
      <c r="D2161" s="1" t="s">
        <v>26</v>
      </c>
      <c r="E2161" s="1" t="s">
        <v>113</v>
      </c>
      <c r="F2161">
        <v>1</v>
      </c>
      <c r="G2161" s="2">
        <v>46268</v>
      </c>
      <c r="H2161" s="2">
        <v>46276</v>
      </c>
      <c r="I2161">
        <v>1057.96</v>
      </c>
      <c r="J2161">
        <v>411.29</v>
      </c>
      <c r="K2161">
        <v>329.03</v>
      </c>
      <c r="L2161">
        <v>82.26</v>
      </c>
      <c r="M2161" s="1" t="s">
        <v>21</v>
      </c>
      <c r="N2161" s="1" t="s">
        <v>22</v>
      </c>
      <c r="O2161" s="2">
        <v>46289</v>
      </c>
      <c r="P2161" s="2">
        <v>46289</v>
      </c>
      <c r="Q2161">
        <f>_xlfn.XLOOKUP(E2161,CPT!$A$2:$A$13,CPT!$D$2:$D$13)</f>
        <v>1050</v>
      </c>
      <c r="R2161" s="1">
        <f>_xlfn.XLOOKUP(C2161,Contract!$A$2:$A$9,Contract!$B$2:$B$9)</f>
        <v>0.43</v>
      </c>
      <c r="S2161" s="1">
        <f t="shared" si="132"/>
        <v>451.5</v>
      </c>
      <c r="T2161" s="1">
        <f t="shared" si="133"/>
        <v>40.20999999999998</v>
      </c>
      <c r="U2161" s="1" t="str">
        <f t="shared" si="134"/>
        <v>Underpaid</v>
      </c>
      <c r="V2161" s="1" t="str">
        <f>_xlfn.XLOOKUP(C2161,Payers!$A$2:$A$9,Payers!$B$2:$B$9)</f>
        <v>Summit Health Commercial</v>
      </c>
      <c r="W2161" s="1" t="str">
        <f t="shared" si="135"/>
        <v>2026-09</v>
      </c>
    </row>
    <row r="2162" spans="1:23">
      <c r="A2162" s="1" t="s">
        <v>3831</v>
      </c>
      <c r="B2162" s="1" t="s">
        <v>3832</v>
      </c>
      <c r="C2162" s="1" t="s">
        <v>76</v>
      </c>
      <c r="D2162" s="1" t="s">
        <v>30</v>
      </c>
      <c r="E2162" s="1" t="s">
        <v>20</v>
      </c>
      <c r="F2162">
        <v>1</v>
      </c>
      <c r="G2162" s="2">
        <v>46182</v>
      </c>
      <c r="H2162" s="2">
        <v>46183</v>
      </c>
      <c r="I2162">
        <v>146.38</v>
      </c>
      <c r="J2162">
        <v>63.94</v>
      </c>
      <c r="K2162">
        <v>63.94</v>
      </c>
      <c r="L2162">
        <v>0</v>
      </c>
      <c r="M2162" s="1" t="s">
        <v>21</v>
      </c>
      <c r="N2162" s="1" t="s">
        <v>22</v>
      </c>
      <c r="O2162" s="2">
        <v>46221</v>
      </c>
      <c r="P2162" s="2">
        <v>46221</v>
      </c>
      <c r="Q2162">
        <f>_xlfn.XLOOKUP(E2162,CPT!$A$2:$A$13,CPT!$D$2:$D$13)</f>
        <v>145</v>
      </c>
      <c r="R2162" s="1">
        <f>_xlfn.XLOOKUP(C2162,Contract!$A$2:$A$9,Contract!$B$2:$B$9)</f>
        <v>0.43</v>
      </c>
      <c r="S2162" s="1">
        <f t="shared" si="132"/>
        <v>62.35</v>
      </c>
      <c r="T2162" s="1">
        <f t="shared" si="133"/>
        <v>-1.5899999999999963</v>
      </c>
      <c r="U2162" s="1" t="str">
        <f t="shared" si="134"/>
        <v>OK</v>
      </c>
      <c r="V2162" s="1" t="str">
        <f>_xlfn.XLOOKUP(C2162,Payers!$A$2:$A$9,Payers!$B$2:$B$9)</f>
        <v>Summit Health Commercial</v>
      </c>
      <c r="W2162" s="1" t="str">
        <f t="shared" si="135"/>
        <v>2026-06</v>
      </c>
    </row>
    <row r="2163" spans="1:23">
      <c r="A2163" s="1" t="s">
        <v>3833</v>
      </c>
      <c r="B2163" s="1" t="s">
        <v>2985</v>
      </c>
      <c r="C2163" s="1" t="s">
        <v>60</v>
      </c>
      <c r="D2163" s="1" t="s">
        <v>26</v>
      </c>
      <c r="E2163" s="1" t="s">
        <v>88</v>
      </c>
      <c r="F2163">
        <v>1</v>
      </c>
      <c r="G2163" s="2">
        <v>46071</v>
      </c>
      <c r="H2163" s="2">
        <v>46072</v>
      </c>
      <c r="I2163">
        <v>262.61</v>
      </c>
      <c r="J2163">
        <v>112.77</v>
      </c>
      <c r="K2163">
        <v>90.22</v>
      </c>
      <c r="L2163">
        <v>22.55</v>
      </c>
      <c r="M2163" s="1" t="s">
        <v>21</v>
      </c>
      <c r="N2163" s="1" t="s">
        <v>22</v>
      </c>
      <c r="O2163" s="2">
        <v>46094</v>
      </c>
      <c r="P2163" s="2">
        <v>46094</v>
      </c>
      <c r="Q2163">
        <f>_xlfn.XLOOKUP(E2163,CPT!$A$2:$A$13,CPT!$D$2:$D$13)</f>
        <v>260</v>
      </c>
      <c r="R2163" s="1">
        <f>_xlfn.XLOOKUP(C2163,Contract!$A$2:$A$9,Contract!$B$2:$B$9)</f>
        <v>0.45</v>
      </c>
      <c r="S2163" s="1">
        <f t="shared" si="132"/>
        <v>117</v>
      </c>
      <c r="T2163" s="1">
        <f t="shared" si="133"/>
        <v>4.230000000000004</v>
      </c>
      <c r="U2163" s="1" t="str">
        <f t="shared" si="134"/>
        <v>OK</v>
      </c>
      <c r="V2163" s="1" t="str">
        <f>_xlfn.XLOOKUP(C2163,Payers!$A$2:$A$9,Payers!$B$2:$B$9)</f>
        <v>Blue Horizon Commercial</v>
      </c>
      <c r="W2163" s="1" t="str">
        <f t="shared" si="135"/>
        <v>2026-02</v>
      </c>
    </row>
    <row r="2164" spans="1:23">
      <c r="A2164" s="1" t="s">
        <v>3834</v>
      </c>
      <c r="B2164" s="1" t="s">
        <v>3835</v>
      </c>
      <c r="C2164" s="1" t="s">
        <v>52</v>
      </c>
      <c r="D2164" s="1" t="s">
        <v>26</v>
      </c>
      <c r="E2164" s="1" t="s">
        <v>113</v>
      </c>
      <c r="F2164">
        <v>1</v>
      </c>
      <c r="G2164" s="2">
        <v>46043</v>
      </c>
      <c r="H2164" s="2">
        <v>46045</v>
      </c>
      <c r="I2164">
        <v>1073.4000000000001</v>
      </c>
      <c r="J2164">
        <v>505.26</v>
      </c>
      <c r="K2164">
        <v>454.73</v>
      </c>
      <c r="L2164">
        <v>50.53</v>
      </c>
      <c r="M2164" s="1" t="s">
        <v>21</v>
      </c>
      <c r="N2164" s="1" t="s">
        <v>22</v>
      </c>
      <c r="O2164" s="2">
        <v>46101</v>
      </c>
      <c r="P2164" s="2">
        <v>46101</v>
      </c>
      <c r="Q2164">
        <f>_xlfn.XLOOKUP(E2164,CPT!$A$2:$A$13,CPT!$D$2:$D$13)</f>
        <v>1050</v>
      </c>
      <c r="R2164" s="1">
        <f>_xlfn.XLOOKUP(C2164,Contract!$A$2:$A$9,Contract!$B$2:$B$9)</f>
        <v>0.47</v>
      </c>
      <c r="S2164" s="1">
        <f t="shared" si="132"/>
        <v>493.5</v>
      </c>
      <c r="T2164" s="1">
        <f t="shared" si="133"/>
        <v>-11.759999999999991</v>
      </c>
      <c r="U2164" s="1" t="str">
        <f t="shared" si="134"/>
        <v>OK</v>
      </c>
      <c r="V2164" s="1" t="str">
        <f>_xlfn.XLOOKUP(C2164,Payers!$A$2:$A$9,Payers!$B$2:$B$9)</f>
        <v>Keystone Commercial PPO</v>
      </c>
      <c r="W2164" s="1" t="str">
        <f t="shared" si="135"/>
        <v>2026-01</v>
      </c>
    </row>
    <row r="2165" spans="1:23">
      <c r="A2165" s="1" t="s">
        <v>3836</v>
      </c>
      <c r="B2165" s="1" t="s">
        <v>3837</v>
      </c>
      <c r="C2165" s="1" t="s">
        <v>52</v>
      </c>
      <c r="D2165" s="1" t="s">
        <v>30</v>
      </c>
      <c r="E2165" s="1" t="s">
        <v>31</v>
      </c>
      <c r="F2165">
        <v>4</v>
      </c>
      <c r="G2165" s="2">
        <v>46118</v>
      </c>
      <c r="H2165" s="2">
        <v>46129</v>
      </c>
      <c r="I2165">
        <v>246.4</v>
      </c>
      <c r="J2165">
        <v>113.19</v>
      </c>
      <c r="K2165">
        <v>90.55</v>
      </c>
      <c r="L2165">
        <v>22.64</v>
      </c>
      <c r="M2165" s="1" t="s">
        <v>21</v>
      </c>
      <c r="N2165" s="1" t="s">
        <v>22</v>
      </c>
      <c r="O2165" s="2">
        <v>46173</v>
      </c>
      <c r="P2165" s="2">
        <v>46173</v>
      </c>
      <c r="Q2165">
        <f>_xlfn.XLOOKUP(E2165,CPT!$A$2:$A$13,CPT!$D$2:$D$13)</f>
        <v>62</v>
      </c>
      <c r="R2165" s="1">
        <f>_xlfn.XLOOKUP(C2165,Contract!$A$2:$A$9,Contract!$B$2:$B$9)</f>
        <v>0.47</v>
      </c>
      <c r="S2165" s="1">
        <f t="shared" si="132"/>
        <v>116.56</v>
      </c>
      <c r="T2165" s="1">
        <f t="shared" si="133"/>
        <v>3.3700000000000045</v>
      </c>
      <c r="U2165" s="1" t="str">
        <f t="shared" si="134"/>
        <v>OK</v>
      </c>
      <c r="V2165" s="1" t="str">
        <f>_xlfn.XLOOKUP(C2165,Payers!$A$2:$A$9,Payers!$B$2:$B$9)</f>
        <v>Keystone Commercial PPO</v>
      </c>
      <c r="W2165" s="1" t="str">
        <f t="shared" si="135"/>
        <v>2026-04</v>
      </c>
    </row>
    <row r="2166" spans="1:23">
      <c r="A2166" s="1" t="s">
        <v>3838</v>
      </c>
      <c r="B2166" s="1" t="s">
        <v>890</v>
      </c>
      <c r="C2166" s="1" t="s">
        <v>60</v>
      </c>
      <c r="D2166" s="1" t="s">
        <v>26</v>
      </c>
      <c r="E2166" s="1" t="s">
        <v>113</v>
      </c>
      <c r="F2166">
        <v>1</v>
      </c>
      <c r="G2166" s="2">
        <v>46073</v>
      </c>
      <c r="H2166" s="2">
        <v>46077</v>
      </c>
      <c r="I2166">
        <v>1069.79</v>
      </c>
      <c r="J2166">
        <v>530.9</v>
      </c>
      <c r="K2166">
        <v>530.9</v>
      </c>
      <c r="L2166">
        <v>0</v>
      </c>
      <c r="M2166" s="1" t="s">
        <v>21</v>
      </c>
      <c r="N2166" s="1" t="s">
        <v>22</v>
      </c>
      <c r="O2166" s="2">
        <v>46113</v>
      </c>
      <c r="P2166" s="2">
        <v>46113</v>
      </c>
      <c r="Q2166">
        <f>_xlfn.XLOOKUP(E2166,CPT!$A$2:$A$13,CPT!$D$2:$D$13)</f>
        <v>1050</v>
      </c>
      <c r="R2166" s="1">
        <f>_xlfn.XLOOKUP(C2166,Contract!$A$2:$A$9,Contract!$B$2:$B$9)</f>
        <v>0.45</v>
      </c>
      <c r="S2166" s="1">
        <f t="shared" si="132"/>
        <v>472.5</v>
      </c>
      <c r="T2166" s="1">
        <f t="shared" si="133"/>
        <v>-58.399999999999977</v>
      </c>
      <c r="U2166" s="1" t="str">
        <f t="shared" si="134"/>
        <v>OK</v>
      </c>
      <c r="V2166" s="1" t="str">
        <f>_xlfn.XLOOKUP(C2166,Payers!$A$2:$A$9,Payers!$B$2:$B$9)</f>
        <v>Blue Horizon Commercial</v>
      </c>
      <c r="W2166" s="1" t="str">
        <f t="shared" si="135"/>
        <v>2026-02</v>
      </c>
    </row>
    <row r="2167" spans="1:23">
      <c r="A2167" s="1" t="s">
        <v>3839</v>
      </c>
      <c r="B2167" s="1" t="s">
        <v>3840</v>
      </c>
      <c r="C2167" s="1" t="s">
        <v>25</v>
      </c>
      <c r="D2167" s="1" t="s">
        <v>26</v>
      </c>
      <c r="E2167" s="1" t="s">
        <v>113</v>
      </c>
      <c r="F2167">
        <v>1</v>
      </c>
      <c r="G2167" s="2">
        <v>46221</v>
      </c>
      <c r="H2167" s="2">
        <v>46223</v>
      </c>
      <c r="I2167">
        <v>1044.8800000000001</v>
      </c>
      <c r="J2167">
        <v>418.14</v>
      </c>
      <c r="K2167">
        <v>418.14</v>
      </c>
      <c r="L2167">
        <v>0</v>
      </c>
      <c r="M2167" s="1" t="s">
        <v>21</v>
      </c>
      <c r="N2167" s="1" t="s">
        <v>22</v>
      </c>
      <c r="O2167" s="2">
        <v>46241</v>
      </c>
      <c r="P2167" s="2">
        <v>46241</v>
      </c>
      <c r="Q2167">
        <f>_xlfn.XLOOKUP(E2167,CPT!$A$2:$A$13,CPT!$D$2:$D$13)</f>
        <v>1050</v>
      </c>
      <c r="R2167" s="1">
        <f>_xlfn.XLOOKUP(C2167,Contract!$A$2:$A$9,Contract!$B$2:$B$9)</f>
        <v>0.36</v>
      </c>
      <c r="S2167" s="1">
        <f t="shared" si="132"/>
        <v>378</v>
      </c>
      <c r="T2167" s="1">
        <f t="shared" si="133"/>
        <v>-40.139999999999986</v>
      </c>
      <c r="U2167" s="1" t="str">
        <f t="shared" si="134"/>
        <v>OK</v>
      </c>
      <c r="V2167" s="1" t="str">
        <f>_xlfn.XLOOKUP(C2167,Payers!$A$2:$A$9,Payers!$B$2:$B$9)</f>
        <v>Medicare Part B</v>
      </c>
      <c r="W2167" s="1" t="str">
        <f t="shared" si="135"/>
        <v>2026-07</v>
      </c>
    </row>
    <row r="2168" spans="1:23">
      <c r="A2168" s="1" t="s">
        <v>3841</v>
      </c>
      <c r="B2168" s="1" t="s">
        <v>1310</v>
      </c>
      <c r="C2168" s="1" t="s">
        <v>18</v>
      </c>
      <c r="D2168" s="1" t="s">
        <v>37</v>
      </c>
      <c r="E2168" s="1" t="s">
        <v>48</v>
      </c>
      <c r="F2168">
        <v>1</v>
      </c>
      <c r="G2168" s="2">
        <v>46160</v>
      </c>
      <c r="H2168" s="2">
        <v>46165</v>
      </c>
      <c r="I2168">
        <v>429.47</v>
      </c>
      <c r="M2168" s="1" t="s">
        <v>32</v>
      </c>
      <c r="N2168" s="1" t="s">
        <v>124</v>
      </c>
      <c r="O2168" s="2">
        <v>46210</v>
      </c>
      <c r="P2168" s="2"/>
      <c r="Q2168">
        <f>_xlfn.XLOOKUP(E2168,CPT!$A$2:$A$13,CPT!$D$2:$D$13)</f>
        <v>420</v>
      </c>
      <c r="R2168" s="1">
        <f>_xlfn.XLOOKUP(C2168,Contract!$A$2:$A$9,Contract!$B$2:$B$9)</f>
        <v>0.38</v>
      </c>
      <c r="S2168" s="1">
        <f t="shared" si="132"/>
        <v>159.6</v>
      </c>
      <c r="T2168" s="1" t="str">
        <f t="shared" si="133"/>
        <v/>
      </c>
      <c r="U2168" s="1" t="str">
        <f t="shared" si="134"/>
        <v/>
      </c>
      <c r="V2168" s="1" t="str">
        <f>_xlfn.XLOOKUP(C2168,Payers!$A$2:$A$9,Payers!$B$2:$B$9)</f>
        <v>Sunshine Medicare Advantage</v>
      </c>
      <c r="W2168" s="1" t="str">
        <f t="shared" si="135"/>
        <v>2026-05</v>
      </c>
    </row>
    <row r="2169" spans="1:23">
      <c r="A2169" s="1" t="s">
        <v>3842</v>
      </c>
      <c r="B2169" s="1" t="s">
        <v>3843</v>
      </c>
      <c r="C2169" s="1" t="s">
        <v>47</v>
      </c>
      <c r="D2169" s="1" t="s">
        <v>26</v>
      </c>
      <c r="E2169" s="1" t="s">
        <v>185</v>
      </c>
      <c r="F2169">
        <v>1</v>
      </c>
      <c r="G2169" s="2">
        <v>45968</v>
      </c>
      <c r="H2169" s="2">
        <v>45969</v>
      </c>
      <c r="I2169">
        <v>1124.54</v>
      </c>
      <c r="J2169">
        <v>341.33</v>
      </c>
      <c r="K2169">
        <v>307.2</v>
      </c>
      <c r="L2169">
        <v>34.130000000000003</v>
      </c>
      <c r="M2169" s="1" t="s">
        <v>21</v>
      </c>
      <c r="N2169" s="1" t="s">
        <v>22</v>
      </c>
      <c r="O2169" s="2">
        <v>46005</v>
      </c>
      <c r="P2169" s="2">
        <v>46005</v>
      </c>
      <c r="Q2169">
        <f>_xlfn.XLOOKUP(E2169,CPT!$A$2:$A$13,CPT!$D$2:$D$13)</f>
        <v>1150</v>
      </c>
      <c r="R2169" s="1">
        <f>_xlfn.XLOOKUP(C2169,Contract!$A$2:$A$9,Contract!$B$2:$B$9)</f>
        <v>0.28000000000000003</v>
      </c>
      <c r="S2169" s="1">
        <f t="shared" si="132"/>
        <v>322</v>
      </c>
      <c r="T2169" s="1">
        <f t="shared" si="133"/>
        <v>-19.329999999999984</v>
      </c>
      <c r="U2169" s="1" t="str">
        <f t="shared" si="134"/>
        <v>OK</v>
      </c>
      <c r="V2169" s="1" t="str">
        <f>_xlfn.XLOOKUP(C2169,Payers!$A$2:$A$9,Payers!$B$2:$B$9)</f>
        <v>Coastal Medicaid MCO</v>
      </c>
      <c r="W2169" s="1" t="str">
        <f t="shared" si="135"/>
        <v>2025-11</v>
      </c>
    </row>
    <row r="2170" spans="1:23">
      <c r="A2170" s="1" t="s">
        <v>3844</v>
      </c>
      <c r="B2170" s="1" t="s">
        <v>2260</v>
      </c>
      <c r="C2170" s="1" t="s">
        <v>60</v>
      </c>
      <c r="D2170" s="1" t="s">
        <v>26</v>
      </c>
      <c r="E2170" s="1" t="s">
        <v>44</v>
      </c>
      <c r="F2170">
        <v>1</v>
      </c>
      <c r="G2170" s="2">
        <v>46183</v>
      </c>
      <c r="H2170" s="2">
        <v>46200</v>
      </c>
      <c r="I2170">
        <v>4788.8999999999996</v>
      </c>
      <c r="J2170">
        <v>2392.75</v>
      </c>
      <c r="K2170">
        <v>2153.4699999999998</v>
      </c>
      <c r="L2170">
        <v>239.28</v>
      </c>
      <c r="M2170" s="1" t="s">
        <v>21</v>
      </c>
      <c r="N2170" s="1" t="s">
        <v>22</v>
      </c>
      <c r="O2170" s="2">
        <v>46221</v>
      </c>
      <c r="P2170" s="2">
        <v>46221</v>
      </c>
      <c r="Q2170">
        <f>_xlfn.XLOOKUP(E2170,CPT!$A$2:$A$13,CPT!$D$2:$D$13)</f>
        <v>4800</v>
      </c>
      <c r="R2170" s="1">
        <f>_xlfn.XLOOKUP(C2170,Contract!$A$2:$A$9,Contract!$B$2:$B$9)</f>
        <v>0.45</v>
      </c>
      <c r="S2170" s="1">
        <f t="shared" si="132"/>
        <v>2160</v>
      </c>
      <c r="T2170" s="1">
        <f t="shared" si="133"/>
        <v>-232.75</v>
      </c>
      <c r="U2170" s="1" t="str">
        <f t="shared" si="134"/>
        <v>OK</v>
      </c>
      <c r="V2170" s="1" t="str">
        <f>_xlfn.XLOOKUP(C2170,Payers!$A$2:$A$9,Payers!$B$2:$B$9)</f>
        <v>Blue Horizon Commercial</v>
      </c>
      <c r="W2170" s="1" t="str">
        <f t="shared" si="135"/>
        <v>2026-06</v>
      </c>
    </row>
    <row r="2171" spans="1:23">
      <c r="A2171" s="1" t="s">
        <v>3845</v>
      </c>
      <c r="B2171" s="1" t="s">
        <v>2081</v>
      </c>
      <c r="C2171" s="1" t="s">
        <v>25</v>
      </c>
      <c r="D2171" s="1" t="s">
        <v>30</v>
      </c>
      <c r="E2171" s="1" t="s">
        <v>20</v>
      </c>
      <c r="F2171">
        <v>1</v>
      </c>
      <c r="G2171" s="2">
        <v>46001</v>
      </c>
      <c r="H2171" s="2">
        <v>46009</v>
      </c>
      <c r="I2171">
        <v>143.9</v>
      </c>
      <c r="J2171">
        <v>51.14</v>
      </c>
      <c r="K2171">
        <v>51.14</v>
      </c>
      <c r="L2171">
        <v>0</v>
      </c>
      <c r="M2171" s="1" t="s">
        <v>21</v>
      </c>
      <c r="N2171" s="1" t="s">
        <v>22</v>
      </c>
      <c r="O2171" s="2">
        <v>46019</v>
      </c>
      <c r="P2171" s="2">
        <v>46019</v>
      </c>
      <c r="Q2171">
        <f>_xlfn.XLOOKUP(E2171,CPT!$A$2:$A$13,CPT!$D$2:$D$13)</f>
        <v>145</v>
      </c>
      <c r="R2171" s="1">
        <f>_xlfn.XLOOKUP(C2171,Contract!$A$2:$A$9,Contract!$B$2:$B$9)</f>
        <v>0.36</v>
      </c>
      <c r="S2171" s="1">
        <f t="shared" si="132"/>
        <v>52.2</v>
      </c>
      <c r="T2171" s="1">
        <f t="shared" si="133"/>
        <v>1.0600000000000023</v>
      </c>
      <c r="U2171" s="1" t="str">
        <f t="shared" si="134"/>
        <v>OK</v>
      </c>
      <c r="V2171" s="1" t="str">
        <f>_xlfn.XLOOKUP(C2171,Payers!$A$2:$A$9,Payers!$B$2:$B$9)</f>
        <v>Medicare Part B</v>
      </c>
      <c r="W2171" s="1" t="str">
        <f t="shared" si="135"/>
        <v>2025-12</v>
      </c>
    </row>
    <row r="2172" spans="1:23">
      <c r="A2172" s="1" t="s">
        <v>3846</v>
      </c>
      <c r="B2172" s="1" t="s">
        <v>3847</v>
      </c>
      <c r="C2172" s="1" t="s">
        <v>60</v>
      </c>
      <c r="D2172" s="1" t="s">
        <v>37</v>
      </c>
      <c r="E2172" s="1" t="s">
        <v>57</v>
      </c>
      <c r="F2172">
        <v>1</v>
      </c>
      <c r="G2172" s="2">
        <v>46080</v>
      </c>
      <c r="H2172" s="2">
        <v>46085</v>
      </c>
      <c r="I2172">
        <v>209.41</v>
      </c>
      <c r="J2172">
        <v>108.45</v>
      </c>
      <c r="K2172">
        <v>86.76</v>
      </c>
      <c r="L2172">
        <v>21.69</v>
      </c>
      <c r="M2172" s="1" t="s">
        <v>21</v>
      </c>
      <c r="N2172" s="1" t="s">
        <v>22</v>
      </c>
      <c r="O2172" s="2">
        <v>46116</v>
      </c>
      <c r="P2172" s="2">
        <v>46116</v>
      </c>
      <c r="Q2172">
        <f>_xlfn.XLOOKUP(E2172,CPT!$A$2:$A$13,CPT!$D$2:$D$13)</f>
        <v>210</v>
      </c>
      <c r="R2172" s="1">
        <f>_xlfn.XLOOKUP(C2172,Contract!$A$2:$A$9,Contract!$B$2:$B$9)</f>
        <v>0.45</v>
      </c>
      <c r="S2172" s="1">
        <f t="shared" si="132"/>
        <v>94.5</v>
      </c>
      <c r="T2172" s="1">
        <f t="shared" si="133"/>
        <v>-13.950000000000003</v>
      </c>
      <c r="U2172" s="1" t="str">
        <f t="shared" si="134"/>
        <v>OK</v>
      </c>
      <c r="V2172" s="1" t="str">
        <f>_xlfn.XLOOKUP(C2172,Payers!$A$2:$A$9,Payers!$B$2:$B$9)</f>
        <v>Blue Horizon Commercial</v>
      </c>
      <c r="W2172" s="1" t="str">
        <f t="shared" si="135"/>
        <v>2026-02</v>
      </c>
    </row>
    <row r="2173" spans="1:23">
      <c r="A2173" s="1" t="s">
        <v>3848</v>
      </c>
      <c r="B2173" s="1" t="s">
        <v>1025</v>
      </c>
      <c r="C2173" s="1" t="s">
        <v>18</v>
      </c>
      <c r="D2173" s="1" t="s">
        <v>37</v>
      </c>
      <c r="E2173" s="1" t="s">
        <v>38</v>
      </c>
      <c r="F2173">
        <v>20</v>
      </c>
      <c r="G2173" s="2">
        <v>46221</v>
      </c>
      <c r="H2173" s="2">
        <v>46227</v>
      </c>
      <c r="I2173">
        <v>28680.98</v>
      </c>
      <c r="J2173">
        <v>10629.86</v>
      </c>
      <c r="K2173">
        <v>8503.89</v>
      </c>
      <c r="L2173">
        <v>2125.9699999999998</v>
      </c>
      <c r="M2173" s="1" t="s">
        <v>21</v>
      </c>
      <c r="N2173" s="1" t="s">
        <v>22</v>
      </c>
      <c r="O2173" s="2">
        <v>46288</v>
      </c>
      <c r="P2173" s="2">
        <v>46288</v>
      </c>
      <c r="Q2173">
        <f>_xlfn.XLOOKUP(E2173,CPT!$A$2:$A$13,CPT!$D$2:$D$13)</f>
        <v>1450</v>
      </c>
      <c r="R2173" s="1">
        <f>_xlfn.XLOOKUP(C2173,Contract!$A$2:$A$9,Contract!$B$2:$B$9)</f>
        <v>0.38</v>
      </c>
      <c r="S2173" s="1">
        <f t="shared" si="132"/>
        <v>11020</v>
      </c>
      <c r="T2173" s="1">
        <f t="shared" si="133"/>
        <v>390.13999999999942</v>
      </c>
      <c r="U2173" s="1" t="str">
        <f t="shared" si="134"/>
        <v>OK</v>
      </c>
      <c r="V2173" s="1" t="str">
        <f>_xlfn.XLOOKUP(C2173,Payers!$A$2:$A$9,Payers!$B$2:$B$9)</f>
        <v>Sunshine Medicare Advantage</v>
      </c>
      <c r="W2173" s="1" t="str">
        <f t="shared" si="135"/>
        <v>2026-07</v>
      </c>
    </row>
    <row r="2174" spans="1:23">
      <c r="A2174" s="1" t="s">
        <v>3849</v>
      </c>
      <c r="B2174" s="1" t="s">
        <v>3850</v>
      </c>
      <c r="C2174" s="1" t="s">
        <v>25</v>
      </c>
      <c r="D2174" s="1" t="s">
        <v>19</v>
      </c>
      <c r="E2174" s="1" t="s">
        <v>41</v>
      </c>
      <c r="F2174">
        <v>1</v>
      </c>
      <c r="G2174" s="2">
        <v>46274</v>
      </c>
      <c r="H2174" s="2">
        <v>46282</v>
      </c>
      <c r="I2174">
        <v>37.18</v>
      </c>
      <c r="M2174" s="1" t="s">
        <v>69</v>
      </c>
      <c r="N2174" s="1" t="s">
        <v>22</v>
      </c>
      <c r="O2174" s="2"/>
      <c r="P2174" s="2"/>
      <c r="Q2174">
        <f>_xlfn.XLOOKUP(E2174,CPT!$A$2:$A$13,CPT!$D$2:$D$13)</f>
        <v>38</v>
      </c>
      <c r="R2174" s="1">
        <f>_xlfn.XLOOKUP(C2174,Contract!$A$2:$A$9,Contract!$B$2:$B$9)</f>
        <v>0.36</v>
      </c>
      <c r="S2174" s="1">
        <f t="shared" si="132"/>
        <v>13.68</v>
      </c>
      <c r="T2174" s="1" t="str">
        <f t="shared" si="133"/>
        <v/>
      </c>
      <c r="U2174" s="1" t="str">
        <f t="shared" si="134"/>
        <v/>
      </c>
      <c r="V2174" s="1" t="str">
        <f>_xlfn.XLOOKUP(C2174,Payers!$A$2:$A$9,Payers!$B$2:$B$9)</f>
        <v>Medicare Part B</v>
      </c>
      <c r="W2174" s="1" t="str">
        <f t="shared" si="135"/>
        <v>2026-09</v>
      </c>
    </row>
    <row r="2175" spans="1:23">
      <c r="A2175" s="1" t="s">
        <v>3851</v>
      </c>
      <c r="B2175" s="1" t="s">
        <v>3852</v>
      </c>
      <c r="C2175" s="1" t="s">
        <v>60</v>
      </c>
      <c r="D2175" s="1" t="s">
        <v>30</v>
      </c>
      <c r="E2175" s="1" t="s">
        <v>31</v>
      </c>
      <c r="F2175">
        <v>4</v>
      </c>
      <c r="G2175" s="2">
        <v>45956</v>
      </c>
      <c r="H2175" s="2">
        <v>45958</v>
      </c>
      <c r="I2175">
        <v>250.62</v>
      </c>
      <c r="J2175">
        <v>123.91</v>
      </c>
      <c r="K2175">
        <v>123.91</v>
      </c>
      <c r="L2175">
        <v>0</v>
      </c>
      <c r="M2175" s="1" t="s">
        <v>21</v>
      </c>
      <c r="N2175" s="1" t="s">
        <v>22</v>
      </c>
      <c r="O2175" s="2">
        <v>45989</v>
      </c>
      <c r="P2175" s="2">
        <v>45989</v>
      </c>
      <c r="Q2175">
        <f>_xlfn.XLOOKUP(E2175,CPT!$A$2:$A$13,CPT!$D$2:$D$13)</f>
        <v>62</v>
      </c>
      <c r="R2175" s="1">
        <f>_xlfn.XLOOKUP(C2175,Contract!$A$2:$A$9,Contract!$B$2:$B$9)</f>
        <v>0.45</v>
      </c>
      <c r="S2175" s="1">
        <f t="shared" si="132"/>
        <v>111.6</v>
      </c>
      <c r="T2175" s="1">
        <f t="shared" si="133"/>
        <v>-12.310000000000002</v>
      </c>
      <c r="U2175" s="1" t="str">
        <f t="shared" si="134"/>
        <v>OK</v>
      </c>
      <c r="V2175" s="1" t="str">
        <f>_xlfn.XLOOKUP(C2175,Payers!$A$2:$A$9,Payers!$B$2:$B$9)</f>
        <v>Blue Horizon Commercial</v>
      </c>
      <c r="W2175" s="1" t="str">
        <f t="shared" si="135"/>
        <v>2025-10</v>
      </c>
    </row>
    <row r="2176" spans="1:23">
      <c r="A2176" s="1" t="s">
        <v>3853</v>
      </c>
      <c r="B2176" s="1" t="s">
        <v>3854</v>
      </c>
      <c r="C2176" s="1" t="s">
        <v>52</v>
      </c>
      <c r="D2176" s="1" t="s">
        <v>30</v>
      </c>
      <c r="E2176" s="1" t="s">
        <v>31</v>
      </c>
      <c r="F2176">
        <v>4</v>
      </c>
      <c r="G2176" s="2">
        <v>46162</v>
      </c>
      <c r="H2176" s="2">
        <v>46163</v>
      </c>
      <c r="I2176">
        <v>249.13</v>
      </c>
      <c r="M2176" s="1" t="s">
        <v>32</v>
      </c>
      <c r="N2176" s="1" t="s">
        <v>49</v>
      </c>
      <c r="O2176" s="2">
        <v>46190</v>
      </c>
      <c r="P2176" s="2"/>
      <c r="Q2176">
        <f>_xlfn.XLOOKUP(E2176,CPT!$A$2:$A$13,CPT!$D$2:$D$13)</f>
        <v>62</v>
      </c>
      <c r="R2176" s="1">
        <f>_xlfn.XLOOKUP(C2176,Contract!$A$2:$A$9,Contract!$B$2:$B$9)</f>
        <v>0.47</v>
      </c>
      <c r="S2176" s="1">
        <f t="shared" si="132"/>
        <v>116.56</v>
      </c>
      <c r="T2176" s="1" t="str">
        <f t="shared" si="133"/>
        <v/>
      </c>
      <c r="U2176" s="1" t="str">
        <f t="shared" si="134"/>
        <v/>
      </c>
      <c r="V2176" s="1" t="str">
        <f>_xlfn.XLOOKUP(C2176,Payers!$A$2:$A$9,Payers!$B$2:$B$9)</f>
        <v>Keystone Commercial PPO</v>
      </c>
      <c r="W2176" s="1" t="str">
        <f t="shared" si="135"/>
        <v>2026-05</v>
      </c>
    </row>
    <row r="2177" spans="1:23">
      <c r="A2177" s="1" t="s">
        <v>3855</v>
      </c>
      <c r="B2177" s="1" t="s">
        <v>3856</v>
      </c>
      <c r="C2177" s="1" t="s">
        <v>47</v>
      </c>
      <c r="D2177" s="1" t="s">
        <v>37</v>
      </c>
      <c r="E2177" s="1" t="s">
        <v>57</v>
      </c>
      <c r="F2177">
        <v>1</v>
      </c>
      <c r="G2177" s="2">
        <v>46153</v>
      </c>
      <c r="H2177" s="2">
        <v>46157</v>
      </c>
      <c r="I2177">
        <v>214.75</v>
      </c>
      <c r="M2177" s="1" t="s">
        <v>32</v>
      </c>
      <c r="N2177" s="1" t="s">
        <v>49</v>
      </c>
      <c r="O2177" s="2">
        <v>46234</v>
      </c>
      <c r="P2177" s="2"/>
      <c r="Q2177">
        <f>_xlfn.XLOOKUP(E2177,CPT!$A$2:$A$13,CPT!$D$2:$D$13)</f>
        <v>210</v>
      </c>
      <c r="R2177" s="1">
        <f>_xlfn.XLOOKUP(C2177,Contract!$A$2:$A$9,Contract!$B$2:$B$9)</f>
        <v>0.28000000000000003</v>
      </c>
      <c r="S2177" s="1">
        <f t="shared" si="132"/>
        <v>58.8</v>
      </c>
      <c r="T2177" s="1" t="str">
        <f t="shared" si="133"/>
        <v/>
      </c>
      <c r="U2177" s="1" t="str">
        <f t="shared" si="134"/>
        <v/>
      </c>
      <c r="V2177" s="1" t="str">
        <f>_xlfn.XLOOKUP(C2177,Payers!$A$2:$A$9,Payers!$B$2:$B$9)</f>
        <v>Coastal Medicaid MCO</v>
      </c>
      <c r="W2177" s="1" t="str">
        <f t="shared" si="135"/>
        <v>2026-05</v>
      </c>
    </row>
    <row r="2178" spans="1:23">
      <c r="A2178" s="1" t="s">
        <v>3857</v>
      </c>
      <c r="B2178" s="1" t="s">
        <v>1004</v>
      </c>
      <c r="C2178" s="1" t="s">
        <v>47</v>
      </c>
      <c r="D2178" s="1" t="s">
        <v>30</v>
      </c>
      <c r="E2178" s="1" t="s">
        <v>31</v>
      </c>
      <c r="F2178">
        <v>1</v>
      </c>
      <c r="G2178" s="2">
        <v>46005</v>
      </c>
      <c r="H2178" s="2">
        <v>46136</v>
      </c>
      <c r="I2178">
        <v>62.45</v>
      </c>
      <c r="M2178" s="1" t="s">
        <v>32</v>
      </c>
      <c r="N2178" s="1" t="s">
        <v>137</v>
      </c>
      <c r="O2178" s="2">
        <v>46218</v>
      </c>
      <c r="P2178" s="2"/>
      <c r="Q2178">
        <f>_xlfn.XLOOKUP(E2178,CPT!$A$2:$A$13,CPT!$D$2:$D$13)</f>
        <v>62</v>
      </c>
      <c r="R2178" s="1">
        <f>_xlfn.XLOOKUP(C2178,Contract!$A$2:$A$9,Contract!$B$2:$B$9)</f>
        <v>0.28000000000000003</v>
      </c>
      <c r="S2178" s="1">
        <f t="shared" ref="S2178:S2241" si="136">ROUND(Q2178*F2178*R2178,2)</f>
        <v>17.36</v>
      </c>
      <c r="T2178" s="1" t="str">
        <f t="shared" ref="T2178:T2241" si="137">IF(M2178="Paid",S2178-J2178,"")</f>
        <v/>
      </c>
      <c r="U2178" s="1" t="str">
        <f t="shared" ref="U2178:U2241" si="138">IF(M2178&lt;&gt;"Paid","",IF(T2178&gt;S2178*0.05,"Underpaid","OK"))</f>
        <v/>
      </c>
      <c r="V2178" s="1" t="str">
        <f>_xlfn.XLOOKUP(C2178,Payers!$A$2:$A$9,Payers!$B$2:$B$9)</f>
        <v>Coastal Medicaid MCO</v>
      </c>
      <c r="W2178" s="1" t="str">
        <f t="shared" ref="W2178:W2241" si="139">TEXT(G2178,"yyyy-mm")</f>
        <v>2025-12</v>
      </c>
    </row>
    <row r="2179" spans="1:23">
      <c r="A2179" s="1" t="s">
        <v>3858</v>
      </c>
      <c r="B2179" s="1" t="s">
        <v>3381</v>
      </c>
      <c r="C2179" s="1" t="s">
        <v>76</v>
      </c>
      <c r="D2179" s="1" t="s">
        <v>26</v>
      </c>
      <c r="E2179" s="1" t="s">
        <v>185</v>
      </c>
      <c r="F2179">
        <v>1</v>
      </c>
      <c r="G2179" s="2">
        <v>45987</v>
      </c>
      <c r="H2179" s="2">
        <v>45994</v>
      </c>
      <c r="I2179">
        <v>1148.29</v>
      </c>
      <c r="J2179">
        <v>520.04999999999995</v>
      </c>
      <c r="K2179">
        <v>520.04999999999995</v>
      </c>
      <c r="L2179">
        <v>0</v>
      </c>
      <c r="M2179" s="1" t="s">
        <v>21</v>
      </c>
      <c r="N2179" s="1" t="s">
        <v>22</v>
      </c>
      <c r="O2179" s="2">
        <v>46003</v>
      </c>
      <c r="P2179" s="2">
        <v>46003</v>
      </c>
      <c r="Q2179">
        <f>_xlfn.XLOOKUP(E2179,CPT!$A$2:$A$13,CPT!$D$2:$D$13)</f>
        <v>1150</v>
      </c>
      <c r="R2179" s="1">
        <f>_xlfn.XLOOKUP(C2179,Contract!$A$2:$A$9,Contract!$B$2:$B$9)</f>
        <v>0.43</v>
      </c>
      <c r="S2179" s="1">
        <f t="shared" si="136"/>
        <v>494.5</v>
      </c>
      <c r="T2179" s="1">
        <f t="shared" si="137"/>
        <v>-25.549999999999955</v>
      </c>
      <c r="U2179" s="1" t="str">
        <f t="shared" si="138"/>
        <v>OK</v>
      </c>
      <c r="V2179" s="1" t="str">
        <f>_xlfn.XLOOKUP(C2179,Payers!$A$2:$A$9,Payers!$B$2:$B$9)</f>
        <v>Summit Health Commercial</v>
      </c>
      <c r="W2179" s="1" t="str">
        <f t="shared" si="139"/>
        <v>2025-11</v>
      </c>
    </row>
    <row r="2180" spans="1:23">
      <c r="A2180" s="1" t="s">
        <v>3859</v>
      </c>
      <c r="B2180" s="1" t="s">
        <v>3860</v>
      </c>
      <c r="C2180" s="1" t="s">
        <v>76</v>
      </c>
      <c r="D2180" s="1" t="s">
        <v>19</v>
      </c>
      <c r="E2180" s="1" t="s">
        <v>20</v>
      </c>
      <c r="F2180">
        <v>1</v>
      </c>
      <c r="G2180" s="2">
        <v>46070</v>
      </c>
      <c r="H2180" s="2">
        <v>46072</v>
      </c>
      <c r="I2180">
        <v>142.76</v>
      </c>
      <c r="J2180">
        <v>61.2</v>
      </c>
      <c r="K2180">
        <v>55.08</v>
      </c>
      <c r="L2180">
        <v>6.12</v>
      </c>
      <c r="M2180" s="1" t="s">
        <v>21</v>
      </c>
      <c r="N2180" s="1" t="s">
        <v>22</v>
      </c>
      <c r="O2180" s="2">
        <v>46109</v>
      </c>
      <c r="P2180" s="2">
        <v>46109</v>
      </c>
      <c r="Q2180">
        <f>_xlfn.XLOOKUP(E2180,CPT!$A$2:$A$13,CPT!$D$2:$D$13)</f>
        <v>145</v>
      </c>
      <c r="R2180" s="1">
        <f>_xlfn.XLOOKUP(C2180,Contract!$A$2:$A$9,Contract!$B$2:$B$9)</f>
        <v>0.43</v>
      </c>
      <c r="S2180" s="1">
        <f t="shared" si="136"/>
        <v>62.35</v>
      </c>
      <c r="T2180" s="1">
        <f t="shared" si="137"/>
        <v>1.1499999999999986</v>
      </c>
      <c r="U2180" s="1" t="str">
        <f t="shared" si="138"/>
        <v>OK</v>
      </c>
      <c r="V2180" s="1" t="str">
        <f>_xlfn.XLOOKUP(C2180,Payers!$A$2:$A$9,Payers!$B$2:$B$9)</f>
        <v>Summit Health Commercial</v>
      </c>
      <c r="W2180" s="1" t="str">
        <f t="shared" si="139"/>
        <v>2026-02</v>
      </c>
    </row>
    <row r="2181" spans="1:23">
      <c r="A2181" s="1" t="s">
        <v>3861</v>
      </c>
      <c r="B2181" s="1" t="s">
        <v>2960</v>
      </c>
      <c r="C2181" s="1" t="s">
        <v>76</v>
      </c>
      <c r="D2181" s="1" t="s">
        <v>19</v>
      </c>
      <c r="E2181" s="1" t="s">
        <v>20</v>
      </c>
      <c r="F2181">
        <v>1</v>
      </c>
      <c r="G2181" s="2">
        <v>46261</v>
      </c>
      <c r="H2181" s="2">
        <v>46263</v>
      </c>
      <c r="I2181">
        <v>142.54</v>
      </c>
      <c r="M2181" s="1" t="s">
        <v>69</v>
      </c>
      <c r="N2181" s="1" t="s">
        <v>22</v>
      </c>
      <c r="O2181" s="2"/>
      <c r="P2181" s="2"/>
      <c r="Q2181">
        <f>_xlfn.XLOOKUP(E2181,CPT!$A$2:$A$13,CPT!$D$2:$D$13)</f>
        <v>145</v>
      </c>
      <c r="R2181" s="1">
        <f>_xlfn.XLOOKUP(C2181,Contract!$A$2:$A$9,Contract!$B$2:$B$9)</f>
        <v>0.43</v>
      </c>
      <c r="S2181" s="1">
        <f t="shared" si="136"/>
        <v>62.35</v>
      </c>
      <c r="T2181" s="1" t="str">
        <f t="shared" si="137"/>
        <v/>
      </c>
      <c r="U2181" s="1" t="str">
        <f t="shared" si="138"/>
        <v/>
      </c>
      <c r="V2181" s="1" t="str">
        <f>_xlfn.XLOOKUP(C2181,Payers!$A$2:$A$9,Payers!$B$2:$B$9)</f>
        <v>Summit Health Commercial</v>
      </c>
      <c r="W2181" s="1" t="str">
        <f t="shared" si="139"/>
        <v>2026-08</v>
      </c>
    </row>
    <row r="2182" spans="1:23">
      <c r="A2182" s="1" t="s">
        <v>3862</v>
      </c>
      <c r="B2182" s="1" t="s">
        <v>1169</v>
      </c>
      <c r="C2182" s="1" t="s">
        <v>60</v>
      </c>
      <c r="D2182" s="1" t="s">
        <v>26</v>
      </c>
      <c r="E2182" s="1" t="s">
        <v>41</v>
      </c>
      <c r="F2182">
        <v>1</v>
      </c>
      <c r="G2182" s="2">
        <v>46137</v>
      </c>
      <c r="H2182" s="2">
        <v>46139</v>
      </c>
      <c r="I2182">
        <v>38.04</v>
      </c>
      <c r="J2182">
        <v>15.04</v>
      </c>
      <c r="K2182">
        <v>13.54</v>
      </c>
      <c r="L2182">
        <v>1.5</v>
      </c>
      <c r="M2182" s="1" t="s">
        <v>21</v>
      </c>
      <c r="N2182" s="1" t="s">
        <v>22</v>
      </c>
      <c r="O2182" s="2">
        <v>46171</v>
      </c>
      <c r="P2182" s="2">
        <v>46171</v>
      </c>
      <c r="Q2182">
        <f>_xlfn.XLOOKUP(E2182,CPT!$A$2:$A$13,CPT!$D$2:$D$13)</f>
        <v>38</v>
      </c>
      <c r="R2182" s="1">
        <f>_xlfn.XLOOKUP(C2182,Contract!$A$2:$A$9,Contract!$B$2:$B$9)</f>
        <v>0.45</v>
      </c>
      <c r="S2182" s="1">
        <f t="shared" si="136"/>
        <v>17.100000000000001</v>
      </c>
      <c r="T2182" s="1">
        <f t="shared" si="137"/>
        <v>2.0600000000000023</v>
      </c>
      <c r="U2182" s="1" t="str">
        <f t="shared" si="138"/>
        <v>Underpaid</v>
      </c>
      <c r="V2182" s="1" t="str">
        <f>_xlfn.XLOOKUP(C2182,Payers!$A$2:$A$9,Payers!$B$2:$B$9)</f>
        <v>Blue Horizon Commercial</v>
      </c>
      <c r="W2182" s="1" t="str">
        <f t="shared" si="139"/>
        <v>2026-04</v>
      </c>
    </row>
    <row r="2183" spans="1:23">
      <c r="A2183" s="1" t="s">
        <v>3863</v>
      </c>
      <c r="B2183" s="1" t="s">
        <v>790</v>
      </c>
      <c r="C2183" s="1" t="s">
        <v>60</v>
      </c>
      <c r="D2183" s="1" t="s">
        <v>26</v>
      </c>
      <c r="E2183" s="1" t="s">
        <v>27</v>
      </c>
      <c r="F2183">
        <v>1</v>
      </c>
      <c r="G2183" s="2">
        <v>46167</v>
      </c>
      <c r="H2183" s="2">
        <v>46172</v>
      </c>
      <c r="I2183">
        <v>244.18</v>
      </c>
      <c r="J2183">
        <v>113.52</v>
      </c>
      <c r="K2183">
        <v>113.52</v>
      </c>
      <c r="L2183">
        <v>0</v>
      </c>
      <c r="M2183" s="1" t="s">
        <v>21</v>
      </c>
      <c r="N2183" s="1" t="s">
        <v>22</v>
      </c>
      <c r="O2183" s="2">
        <v>46192</v>
      </c>
      <c r="P2183" s="2">
        <v>46192</v>
      </c>
      <c r="Q2183">
        <f>_xlfn.XLOOKUP(E2183,CPT!$A$2:$A$13,CPT!$D$2:$D$13)</f>
        <v>240</v>
      </c>
      <c r="R2183" s="1">
        <f>_xlfn.XLOOKUP(C2183,Contract!$A$2:$A$9,Contract!$B$2:$B$9)</f>
        <v>0.45</v>
      </c>
      <c r="S2183" s="1">
        <f t="shared" si="136"/>
        <v>108</v>
      </c>
      <c r="T2183" s="1">
        <f t="shared" si="137"/>
        <v>-5.519999999999996</v>
      </c>
      <c r="U2183" s="1" t="str">
        <f t="shared" si="138"/>
        <v>OK</v>
      </c>
      <c r="V2183" s="1" t="str">
        <f>_xlfn.XLOOKUP(C2183,Payers!$A$2:$A$9,Payers!$B$2:$B$9)</f>
        <v>Blue Horizon Commercial</v>
      </c>
      <c r="W2183" s="1" t="str">
        <f t="shared" si="139"/>
        <v>2026-05</v>
      </c>
    </row>
    <row r="2184" spans="1:23">
      <c r="A2184" s="1" t="s">
        <v>3864</v>
      </c>
      <c r="B2184" s="1" t="s">
        <v>778</v>
      </c>
      <c r="C2184" s="1" t="s">
        <v>60</v>
      </c>
      <c r="D2184" s="1" t="s">
        <v>37</v>
      </c>
      <c r="E2184" s="1" t="s">
        <v>48</v>
      </c>
      <c r="F2184">
        <v>1</v>
      </c>
      <c r="G2184" s="2">
        <v>46118</v>
      </c>
      <c r="H2184" s="2">
        <v>46120</v>
      </c>
      <c r="I2184">
        <v>420.4</v>
      </c>
      <c r="J2184">
        <v>190.2</v>
      </c>
      <c r="K2184">
        <v>152.16</v>
      </c>
      <c r="L2184">
        <v>38.04</v>
      </c>
      <c r="M2184" s="1" t="s">
        <v>21</v>
      </c>
      <c r="N2184" s="1" t="s">
        <v>22</v>
      </c>
      <c r="O2184" s="2">
        <v>46144</v>
      </c>
      <c r="P2184" s="2">
        <v>46144</v>
      </c>
      <c r="Q2184">
        <f>_xlfn.XLOOKUP(E2184,CPT!$A$2:$A$13,CPT!$D$2:$D$13)</f>
        <v>420</v>
      </c>
      <c r="R2184" s="1">
        <f>_xlfn.XLOOKUP(C2184,Contract!$A$2:$A$9,Contract!$B$2:$B$9)</f>
        <v>0.45</v>
      </c>
      <c r="S2184" s="1">
        <f t="shared" si="136"/>
        <v>189</v>
      </c>
      <c r="T2184" s="1">
        <f t="shared" si="137"/>
        <v>-1.1999999999999886</v>
      </c>
      <c r="U2184" s="1" t="str">
        <f t="shared" si="138"/>
        <v>OK</v>
      </c>
      <c r="V2184" s="1" t="str">
        <f>_xlfn.XLOOKUP(C2184,Payers!$A$2:$A$9,Payers!$B$2:$B$9)</f>
        <v>Blue Horizon Commercial</v>
      </c>
      <c r="W2184" s="1" t="str">
        <f t="shared" si="139"/>
        <v>2026-04</v>
      </c>
    </row>
    <row r="2185" spans="1:23">
      <c r="A2185" s="1" t="s">
        <v>3865</v>
      </c>
      <c r="B2185" s="1" t="s">
        <v>1555</v>
      </c>
      <c r="C2185" s="1" t="s">
        <v>18</v>
      </c>
      <c r="D2185" s="1" t="s">
        <v>19</v>
      </c>
      <c r="E2185" s="1" t="s">
        <v>20</v>
      </c>
      <c r="F2185">
        <v>1</v>
      </c>
      <c r="G2185" s="2">
        <v>45945</v>
      </c>
      <c r="H2185" s="2">
        <v>45961</v>
      </c>
      <c r="I2185">
        <v>143.55000000000001</v>
      </c>
      <c r="M2185" s="1" t="s">
        <v>32</v>
      </c>
      <c r="N2185" s="1" t="s">
        <v>33</v>
      </c>
      <c r="O2185" s="2">
        <v>46016</v>
      </c>
      <c r="P2185" s="2"/>
      <c r="Q2185">
        <f>_xlfn.XLOOKUP(E2185,CPT!$A$2:$A$13,CPT!$D$2:$D$13)</f>
        <v>145</v>
      </c>
      <c r="R2185" s="1">
        <f>_xlfn.XLOOKUP(C2185,Contract!$A$2:$A$9,Contract!$B$2:$B$9)</f>
        <v>0.38</v>
      </c>
      <c r="S2185" s="1">
        <f t="shared" si="136"/>
        <v>55.1</v>
      </c>
      <c r="T2185" s="1" t="str">
        <f t="shared" si="137"/>
        <v/>
      </c>
      <c r="U2185" s="1" t="str">
        <f t="shared" si="138"/>
        <v/>
      </c>
      <c r="V2185" s="1" t="str">
        <f>_xlfn.XLOOKUP(C2185,Payers!$A$2:$A$9,Payers!$B$2:$B$9)</f>
        <v>Sunshine Medicare Advantage</v>
      </c>
      <c r="W2185" s="1" t="str">
        <f t="shared" si="139"/>
        <v>2025-10</v>
      </c>
    </row>
    <row r="2186" spans="1:23">
      <c r="A2186" s="1" t="s">
        <v>3866</v>
      </c>
      <c r="B2186" s="1" t="s">
        <v>3867</v>
      </c>
      <c r="C2186" s="1" t="s">
        <v>76</v>
      </c>
      <c r="D2186" s="1" t="s">
        <v>19</v>
      </c>
      <c r="E2186" s="1" t="s">
        <v>57</v>
      </c>
      <c r="F2186">
        <v>1</v>
      </c>
      <c r="G2186" s="2">
        <v>46053</v>
      </c>
      <c r="H2186" s="2">
        <v>46057</v>
      </c>
      <c r="I2186">
        <v>216.14</v>
      </c>
      <c r="J2186">
        <v>99.91</v>
      </c>
      <c r="K2186">
        <v>79.930000000000007</v>
      </c>
      <c r="L2186">
        <v>19.98</v>
      </c>
      <c r="M2186" s="1" t="s">
        <v>21</v>
      </c>
      <c r="N2186" s="1" t="s">
        <v>22</v>
      </c>
      <c r="O2186" s="2">
        <v>46091</v>
      </c>
      <c r="P2186" s="2">
        <v>46091</v>
      </c>
      <c r="Q2186">
        <f>_xlfn.XLOOKUP(E2186,CPT!$A$2:$A$13,CPT!$D$2:$D$13)</f>
        <v>210</v>
      </c>
      <c r="R2186" s="1">
        <f>_xlfn.XLOOKUP(C2186,Contract!$A$2:$A$9,Contract!$B$2:$B$9)</f>
        <v>0.43</v>
      </c>
      <c r="S2186" s="1">
        <f t="shared" si="136"/>
        <v>90.3</v>
      </c>
      <c r="T2186" s="1">
        <f t="shared" si="137"/>
        <v>-9.61</v>
      </c>
      <c r="U2186" s="1" t="str">
        <f t="shared" si="138"/>
        <v>OK</v>
      </c>
      <c r="V2186" s="1" t="str">
        <f>_xlfn.XLOOKUP(C2186,Payers!$A$2:$A$9,Payers!$B$2:$B$9)</f>
        <v>Summit Health Commercial</v>
      </c>
      <c r="W2186" s="1" t="str">
        <f t="shared" si="139"/>
        <v>2026-01</v>
      </c>
    </row>
    <row r="2187" spans="1:23">
      <c r="A2187" s="1" t="s">
        <v>3868</v>
      </c>
      <c r="B2187" s="1" t="s">
        <v>3201</v>
      </c>
      <c r="C2187" s="1" t="s">
        <v>47</v>
      </c>
      <c r="D2187" s="1" t="s">
        <v>26</v>
      </c>
      <c r="E2187" s="1" t="s">
        <v>113</v>
      </c>
      <c r="F2187">
        <v>1</v>
      </c>
      <c r="G2187" s="2">
        <v>46289</v>
      </c>
      <c r="H2187" s="2">
        <v>46293</v>
      </c>
      <c r="I2187">
        <v>1048.8599999999999</v>
      </c>
      <c r="M2187" s="1" t="s">
        <v>69</v>
      </c>
      <c r="N2187" s="1" t="s">
        <v>22</v>
      </c>
      <c r="O2187" s="2"/>
      <c r="P2187" s="2"/>
      <c r="Q2187">
        <f>_xlfn.XLOOKUP(E2187,CPT!$A$2:$A$13,CPT!$D$2:$D$13)</f>
        <v>1050</v>
      </c>
      <c r="R2187" s="1">
        <f>_xlfn.XLOOKUP(C2187,Contract!$A$2:$A$9,Contract!$B$2:$B$9)</f>
        <v>0.28000000000000003</v>
      </c>
      <c r="S2187" s="1">
        <f t="shared" si="136"/>
        <v>294</v>
      </c>
      <c r="T2187" s="1" t="str">
        <f t="shared" si="137"/>
        <v/>
      </c>
      <c r="U2187" s="1" t="str">
        <f t="shared" si="138"/>
        <v/>
      </c>
      <c r="V2187" s="1" t="str">
        <f>_xlfn.XLOOKUP(C2187,Payers!$A$2:$A$9,Payers!$B$2:$B$9)</f>
        <v>Coastal Medicaid MCO</v>
      </c>
      <c r="W2187" s="1" t="str">
        <f t="shared" si="139"/>
        <v>2026-09</v>
      </c>
    </row>
    <row r="2188" spans="1:23">
      <c r="A2188" s="1" t="s">
        <v>3869</v>
      </c>
      <c r="B2188" s="1" t="s">
        <v>3870</v>
      </c>
      <c r="C2188" s="1" t="s">
        <v>25</v>
      </c>
      <c r="D2188" s="1" t="s">
        <v>19</v>
      </c>
      <c r="E2188" s="1" t="s">
        <v>41</v>
      </c>
      <c r="F2188">
        <v>1</v>
      </c>
      <c r="G2188" s="2">
        <v>46037</v>
      </c>
      <c r="H2188" s="2">
        <v>46046</v>
      </c>
      <c r="I2188">
        <v>36.869999999999997</v>
      </c>
      <c r="J2188">
        <v>11.83</v>
      </c>
      <c r="K2188">
        <v>9.4600000000000009</v>
      </c>
      <c r="L2188">
        <v>2.37</v>
      </c>
      <c r="M2188" s="1" t="s">
        <v>21</v>
      </c>
      <c r="N2188" s="1" t="s">
        <v>22</v>
      </c>
      <c r="O2188" s="2">
        <v>46060</v>
      </c>
      <c r="P2188" s="2">
        <v>46060</v>
      </c>
      <c r="Q2188">
        <f>_xlfn.XLOOKUP(E2188,CPT!$A$2:$A$13,CPT!$D$2:$D$13)</f>
        <v>38</v>
      </c>
      <c r="R2188" s="1">
        <f>_xlfn.XLOOKUP(C2188,Contract!$A$2:$A$9,Contract!$B$2:$B$9)</f>
        <v>0.36</v>
      </c>
      <c r="S2188" s="1">
        <f t="shared" si="136"/>
        <v>13.68</v>
      </c>
      <c r="T2188" s="1">
        <f t="shared" si="137"/>
        <v>1.8499999999999996</v>
      </c>
      <c r="U2188" s="1" t="str">
        <f t="shared" si="138"/>
        <v>Underpaid</v>
      </c>
      <c r="V2188" s="1" t="str">
        <f>_xlfn.XLOOKUP(C2188,Payers!$A$2:$A$9,Payers!$B$2:$B$9)</f>
        <v>Medicare Part B</v>
      </c>
      <c r="W2188" s="1" t="str">
        <f t="shared" si="139"/>
        <v>2026-01</v>
      </c>
    </row>
    <row r="2189" spans="1:23">
      <c r="A2189" s="1" t="s">
        <v>3871</v>
      </c>
      <c r="B2189" s="1" t="s">
        <v>73</v>
      </c>
      <c r="C2189" s="1" t="s">
        <v>52</v>
      </c>
      <c r="D2189" s="1" t="s">
        <v>19</v>
      </c>
      <c r="E2189" s="1" t="s">
        <v>41</v>
      </c>
      <c r="F2189">
        <v>1</v>
      </c>
      <c r="G2189" s="2">
        <v>46217</v>
      </c>
      <c r="H2189" s="2">
        <v>46219</v>
      </c>
      <c r="I2189">
        <v>38.71</v>
      </c>
      <c r="J2189">
        <v>19.079999999999998</v>
      </c>
      <c r="K2189">
        <v>19.079999999999998</v>
      </c>
      <c r="L2189">
        <v>0</v>
      </c>
      <c r="M2189" s="1" t="s">
        <v>21</v>
      </c>
      <c r="N2189" s="1" t="s">
        <v>22</v>
      </c>
      <c r="O2189" s="2">
        <v>46263</v>
      </c>
      <c r="P2189" s="2">
        <v>46263</v>
      </c>
      <c r="Q2189">
        <f>_xlfn.XLOOKUP(E2189,CPT!$A$2:$A$13,CPT!$D$2:$D$13)</f>
        <v>38</v>
      </c>
      <c r="R2189" s="1">
        <f>_xlfn.XLOOKUP(C2189,Contract!$A$2:$A$9,Contract!$B$2:$B$9)</f>
        <v>0.47</v>
      </c>
      <c r="S2189" s="1">
        <f t="shared" si="136"/>
        <v>17.86</v>
      </c>
      <c r="T2189" s="1">
        <f t="shared" si="137"/>
        <v>-1.2199999999999989</v>
      </c>
      <c r="U2189" s="1" t="str">
        <f t="shared" si="138"/>
        <v>OK</v>
      </c>
      <c r="V2189" s="1" t="str">
        <f>_xlfn.XLOOKUP(C2189,Payers!$A$2:$A$9,Payers!$B$2:$B$9)</f>
        <v>Keystone Commercial PPO</v>
      </c>
      <c r="W2189" s="1" t="str">
        <f t="shared" si="139"/>
        <v>2026-07</v>
      </c>
    </row>
    <row r="2190" spans="1:23">
      <c r="A2190" s="1" t="s">
        <v>3872</v>
      </c>
      <c r="B2190" s="1" t="s">
        <v>3873</v>
      </c>
      <c r="C2190" s="1" t="s">
        <v>52</v>
      </c>
      <c r="D2190" s="1" t="s">
        <v>26</v>
      </c>
      <c r="E2190" s="1" t="s">
        <v>44</v>
      </c>
      <c r="F2190">
        <v>1</v>
      </c>
      <c r="G2190" s="2">
        <v>46084</v>
      </c>
      <c r="H2190" s="2">
        <v>46098</v>
      </c>
      <c r="I2190">
        <v>4778.82</v>
      </c>
      <c r="M2190" s="1" t="s">
        <v>32</v>
      </c>
      <c r="N2190" s="1" t="s">
        <v>49</v>
      </c>
      <c r="O2190" s="2">
        <v>46144</v>
      </c>
      <c r="P2190" s="2"/>
      <c r="Q2190">
        <f>_xlfn.XLOOKUP(E2190,CPT!$A$2:$A$13,CPT!$D$2:$D$13)</f>
        <v>4800</v>
      </c>
      <c r="R2190" s="1">
        <f>_xlfn.XLOOKUP(C2190,Contract!$A$2:$A$9,Contract!$B$2:$B$9)</f>
        <v>0.47</v>
      </c>
      <c r="S2190" s="1">
        <f t="shared" si="136"/>
        <v>2256</v>
      </c>
      <c r="T2190" s="1" t="str">
        <f t="shared" si="137"/>
        <v/>
      </c>
      <c r="U2190" s="1" t="str">
        <f t="shared" si="138"/>
        <v/>
      </c>
      <c r="V2190" s="1" t="str">
        <f>_xlfn.XLOOKUP(C2190,Payers!$A$2:$A$9,Payers!$B$2:$B$9)</f>
        <v>Keystone Commercial PPO</v>
      </c>
      <c r="W2190" s="1" t="str">
        <f t="shared" si="139"/>
        <v>2026-03</v>
      </c>
    </row>
    <row r="2191" spans="1:23">
      <c r="A2191" s="1" t="s">
        <v>3874</v>
      </c>
      <c r="B2191" s="1" t="s">
        <v>544</v>
      </c>
      <c r="C2191" s="1" t="s">
        <v>36</v>
      </c>
      <c r="D2191" s="1" t="s">
        <v>26</v>
      </c>
      <c r="E2191" s="1" t="s">
        <v>41</v>
      </c>
      <c r="F2191">
        <v>1</v>
      </c>
      <c r="G2191" s="2">
        <v>46258</v>
      </c>
      <c r="H2191" s="2">
        <v>46266</v>
      </c>
      <c r="I2191">
        <v>37.9</v>
      </c>
      <c r="M2191" s="1" t="s">
        <v>69</v>
      </c>
      <c r="N2191" s="1" t="s">
        <v>22</v>
      </c>
      <c r="O2191" s="2"/>
      <c r="P2191" s="2"/>
      <c r="Q2191">
        <f>_xlfn.XLOOKUP(E2191,CPT!$A$2:$A$13,CPT!$D$2:$D$13)</f>
        <v>38</v>
      </c>
      <c r="R2191" s="1">
        <f>_xlfn.XLOOKUP(C2191,Contract!$A$2:$A$9,Contract!$B$2:$B$9)</f>
        <v>0.27</v>
      </c>
      <c r="S2191" s="1">
        <f t="shared" si="136"/>
        <v>10.26</v>
      </c>
      <c r="T2191" s="1" t="str">
        <f t="shared" si="137"/>
        <v/>
      </c>
      <c r="U2191" s="1" t="str">
        <f t="shared" si="138"/>
        <v/>
      </c>
      <c r="V2191" s="1" t="str">
        <f>_xlfn.XLOOKUP(C2191,Payers!$A$2:$A$9,Payers!$B$2:$B$9)</f>
        <v>Florida Medicaid</v>
      </c>
      <c r="W2191" s="1" t="str">
        <f t="shared" si="139"/>
        <v>2026-08</v>
      </c>
    </row>
    <row r="2192" spans="1:23">
      <c r="A2192" s="1" t="s">
        <v>3875</v>
      </c>
      <c r="B2192" s="1" t="s">
        <v>3876</v>
      </c>
      <c r="C2192" s="1" t="s">
        <v>52</v>
      </c>
      <c r="D2192" s="1" t="s">
        <v>30</v>
      </c>
      <c r="E2192" s="1" t="s">
        <v>91</v>
      </c>
      <c r="F2192">
        <v>1</v>
      </c>
      <c r="G2192" s="2">
        <v>45990</v>
      </c>
      <c r="H2192" s="2">
        <v>45993</v>
      </c>
      <c r="I2192">
        <v>59.32</v>
      </c>
      <c r="M2192" s="1" t="s">
        <v>32</v>
      </c>
      <c r="N2192" s="1" t="s">
        <v>168</v>
      </c>
      <c r="O2192" s="2">
        <v>46045</v>
      </c>
      <c r="P2192" s="2"/>
      <c r="Q2192">
        <f>_xlfn.XLOOKUP(E2192,CPT!$A$2:$A$13,CPT!$D$2:$D$13)</f>
        <v>58</v>
      </c>
      <c r="R2192" s="1">
        <f>_xlfn.XLOOKUP(C2192,Contract!$A$2:$A$9,Contract!$B$2:$B$9)</f>
        <v>0.47</v>
      </c>
      <c r="S2192" s="1">
        <f t="shared" si="136"/>
        <v>27.26</v>
      </c>
      <c r="T2192" s="1" t="str">
        <f t="shared" si="137"/>
        <v/>
      </c>
      <c r="U2192" s="1" t="str">
        <f t="shared" si="138"/>
        <v/>
      </c>
      <c r="V2192" s="1" t="str">
        <f>_xlfn.XLOOKUP(C2192,Payers!$A$2:$A$9,Payers!$B$2:$B$9)</f>
        <v>Keystone Commercial PPO</v>
      </c>
      <c r="W2192" s="1" t="str">
        <f t="shared" si="139"/>
        <v>2025-11</v>
      </c>
    </row>
    <row r="2193" spans="1:23">
      <c r="A2193" s="1" t="s">
        <v>3877</v>
      </c>
      <c r="B2193" s="1" t="s">
        <v>1396</v>
      </c>
      <c r="C2193" s="1" t="s">
        <v>60</v>
      </c>
      <c r="D2193" s="1" t="s">
        <v>26</v>
      </c>
      <c r="E2193" s="1" t="s">
        <v>88</v>
      </c>
      <c r="F2193">
        <v>1</v>
      </c>
      <c r="G2193" s="2">
        <v>45955</v>
      </c>
      <c r="H2193" s="2">
        <v>45961</v>
      </c>
      <c r="I2193">
        <v>265.11</v>
      </c>
      <c r="J2193">
        <v>107.92</v>
      </c>
      <c r="K2193">
        <v>97.13</v>
      </c>
      <c r="L2193">
        <v>10.79</v>
      </c>
      <c r="M2193" s="1" t="s">
        <v>21</v>
      </c>
      <c r="N2193" s="1" t="s">
        <v>22</v>
      </c>
      <c r="O2193" s="2">
        <v>45986</v>
      </c>
      <c r="P2193" s="2">
        <v>45986</v>
      </c>
      <c r="Q2193">
        <f>_xlfn.XLOOKUP(E2193,CPT!$A$2:$A$13,CPT!$D$2:$D$13)</f>
        <v>260</v>
      </c>
      <c r="R2193" s="1">
        <f>_xlfn.XLOOKUP(C2193,Contract!$A$2:$A$9,Contract!$B$2:$B$9)</f>
        <v>0.45</v>
      </c>
      <c r="S2193" s="1">
        <f t="shared" si="136"/>
        <v>117</v>
      </c>
      <c r="T2193" s="1">
        <f t="shared" si="137"/>
        <v>9.0799999999999983</v>
      </c>
      <c r="U2193" s="1" t="str">
        <f t="shared" si="138"/>
        <v>Underpaid</v>
      </c>
      <c r="V2193" s="1" t="str">
        <f>_xlfn.XLOOKUP(C2193,Payers!$A$2:$A$9,Payers!$B$2:$B$9)</f>
        <v>Blue Horizon Commercial</v>
      </c>
      <c r="W2193" s="1" t="str">
        <f t="shared" si="139"/>
        <v>2025-10</v>
      </c>
    </row>
    <row r="2194" spans="1:23">
      <c r="A2194" s="1" t="s">
        <v>3878</v>
      </c>
      <c r="B2194" s="1" t="s">
        <v>3879</v>
      </c>
      <c r="C2194" s="1" t="s">
        <v>79</v>
      </c>
      <c r="D2194" s="1" t="s">
        <v>26</v>
      </c>
      <c r="E2194" s="1" t="s">
        <v>41</v>
      </c>
      <c r="F2194">
        <v>1</v>
      </c>
      <c r="G2194" s="2">
        <v>46109</v>
      </c>
      <c r="H2194" s="2">
        <v>46112</v>
      </c>
      <c r="I2194">
        <v>38.54</v>
      </c>
      <c r="M2194" s="1" t="s">
        <v>69</v>
      </c>
      <c r="N2194" s="1" t="s">
        <v>22</v>
      </c>
      <c r="O2194" s="2"/>
      <c r="P2194" s="2"/>
      <c r="Q2194">
        <f>_xlfn.XLOOKUP(E2194,CPT!$A$2:$A$13,CPT!$D$2:$D$13)</f>
        <v>38</v>
      </c>
      <c r="R2194" s="1">
        <f>_xlfn.XLOOKUP(C2194,Contract!$A$2:$A$9,Contract!$B$2:$B$9)</f>
        <v>1</v>
      </c>
      <c r="S2194" s="1">
        <f t="shared" si="136"/>
        <v>38</v>
      </c>
      <c r="T2194" s="1" t="str">
        <f t="shared" si="137"/>
        <v/>
      </c>
      <c r="U2194" s="1" t="str">
        <f t="shared" si="138"/>
        <v/>
      </c>
      <c r="V2194" s="1" t="str">
        <f>_xlfn.XLOOKUP(C2194,Payers!$A$2:$A$9,Payers!$B$2:$B$9)</f>
        <v>Self-Pay</v>
      </c>
      <c r="W2194" s="1" t="str">
        <f t="shared" si="139"/>
        <v>2026-03</v>
      </c>
    </row>
    <row r="2195" spans="1:23">
      <c r="A2195" s="1" t="s">
        <v>3880</v>
      </c>
      <c r="B2195" s="1" t="s">
        <v>3881</v>
      </c>
      <c r="C2195" s="1" t="s">
        <v>47</v>
      </c>
      <c r="D2195" s="1" t="s">
        <v>30</v>
      </c>
      <c r="E2195" s="1" t="s">
        <v>20</v>
      </c>
      <c r="F2195">
        <v>1</v>
      </c>
      <c r="G2195" s="2">
        <v>45992</v>
      </c>
      <c r="H2195" s="2">
        <v>45996</v>
      </c>
      <c r="I2195">
        <v>146.55000000000001</v>
      </c>
      <c r="J2195">
        <v>43.56</v>
      </c>
      <c r="K2195">
        <v>34.85</v>
      </c>
      <c r="L2195">
        <v>8.7100000000000009</v>
      </c>
      <c r="M2195" s="1" t="s">
        <v>21</v>
      </c>
      <c r="N2195" s="1" t="s">
        <v>22</v>
      </c>
      <c r="O2195" s="2">
        <v>46011</v>
      </c>
      <c r="P2195" s="2">
        <v>46011</v>
      </c>
      <c r="Q2195">
        <f>_xlfn.XLOOKUP(E2195,CPT!$A$2:$A$13,CPT!$D$2:$D$13)</f>
        <v>145</v>
      </c>
      <c r="R2195" s="1">
        <f>_xlfn.XLOOKUP(C2195,Contract!$A$2:$A$9,Contract!$B$2:$B$9)</f>
        <v>0.28000000000000003</v>
      </c>
      <c r="S2195" s="1">
        <f t="shared" si="136"/>
        <v>40.6</v>
      </c>
      <c r="T2195" s="1">
        <f t="shared" si="137"/>
        <v>-2.9600000000000009</v>
      </c>
      <c r="U2195" s="1" t="str">
        <f t="shared" si="138"/>
        <v>OK</v>
      </c>
      <c r="V2195" s="1" t="str">
        <f>_xlfn.XLOOKUP(C2195,Payers!$A$2:$A$9,Payers!$B$2:$B$9)</f>
        <v>Coastal Medicaid MCO</v>
      </c>
      <c r="W2195" s="1" t="str">
        <f t="shared" si="139"/>
        <v>2025-12</v>
      </c>
    </row>
    <row r="2196" spans="1:23">
      <c r="A2196" s="1" t="s">
        <v>3882</v>
      </c>
      <c r="B2196" s="1" t="s">
        <v>2677</v>
      </c>
      <c r="C2196" s="1" t="s">
        <v>18</v>
      </c>
      <c r="D2196" s="1" t="s">
        <v>37</v>
      </c>
      <c r="E2196" s="1" t="s">
        <v>48</v>
      </c>
      <c r="F2196">
        <v>1</v>
      </c>
      <c r="G2196" s="2">
        <v>46139</v>
      </c>
      <c r="H2196" s="2">
        <v>46143</v>
      </c>
      <c r="I2196">
        <v>414.86</v>
      </c>
      <c r="J2196">
        <v>152.63999999999999</v>
      </c>
      <c r="K2196">
        <v>137.38</v>
      </c>
      <c r="L2196">
        <v>15.26</v>
      </c>
      <c r="M2196" s="1" t="s">
        <v>21</v>
      </c>
      <c r="N2196" s="1" t="s">
        <v>22</v>
      </c>
      <c r="O2196" s="2">
        <v>46201</v>
      </c>
      <c r="P2196" s="2">
        <v>46201</v>
      </c>
      <c r="Q2196">
        <f>_xlfn.XLOOKUP(E2196,CPT!$A$2:$A$13,CPT!$D$2:$D$13)</f>
        <v>420</v>
      </c>
      <c r="R2196" s="1">
        <f>_xlfn.XLOOKUP(C2196,Contract!$A$2:$A$9,Contract!$B$2:$B$9)</f>
        <v>0.38</v>
      </c>
      <c r="S2196" s="1">
        <f t="shared" si="136"/>
        <v>159.6</v>
      </c>
      <c r="T2196" s="1">
        <f t="shared" si="137"/>
        <v>6.960000000000008</v>
      </c>
      <c r="U2196" s="1" t="str">
        <f t="shared" si="138"/>
        <v>OK</v>
      </c>
      <c r="V2196" s="1" t="str">
        <f>_xlfn.XLOOKUP(C2196,Payers!$A$2:$A$9,Payers!$B$2:$B$9)</f>
        <v>Sunshine Medicare Advantage</v>
      </c>
      <c r="W2196" s="1" t="str">
        <f t="shared" si="139"/>
        <v>2026-04</v>
      </c>
    </row>
    <row r="2197" spans="1:23">
      <c r="A2197" s="1" t="s">
        <v>3883</v>
      </c>
      <c r="B2197" s="1" t="s">
        <v>2836</v>
      </c>
      <c r="C2197" s="1" t="s">
        <v>76</v>
      </c>
      <c r="D2197" s="1" t="s">
        <v>26</v>
      </c>
      <c r="E2197" s="1" t="s">
        <v>41</v>
      </c>
      <c r="F2197">
        <v>1</v>
      </c>
      <c r="G2197" s="2">
        <v>46013</v>
      </c>
      <c r="H2197" s="2">
        <v>46021</v>
      </c>
      <c r="I2197">
        <v>38.99</v>
      </c>
      <c r="J2197">
        <v>19.190000000000001</v>
      </c>
      <c r="K2197">
        <v>15.35</v>
      </c>
      <c r="L2197">
        <v>3.84</v>
      </c>
      <c r="M2197" s="1" t="s">
        <v>21</v>
      </c>
      <c r="N2197" s="1" t="s">
        <v>22</v>
      </c>
      <c r="O2197" s="2">
        <v>46047</v>
      </c>
      <c r="P2197" s="2">
        <v>46047</v>
      </c>
      <c r="Q2197">
        <f>_xlfn.XLOOKUP(E2197,CPT!$A$2:$A$13,CPT!$D$2:$D$13)</f>
        <v>38</v>
      </c>
      <c r="R2197" s="1">
        <f>_xlfn.XLOOKUP(C2197,Contract!$A$2:$A$9,Contract!$B$2:$B$9)</f>
        <v>0.43</v>
      </c>
      <c r="S2197" s="1">
        <f t="shared" si="136"/>
        <v>16.34</v>
      </c>
      <c r="T2197" s="1">
        <f t="shared" si="137"/>
        <v>-2.8500000000000014</v>
      </c>
      <c r="U2197" s="1" t="str">
        <f t="shared" si="138"/>
        <v>OK</v>
      </c>
      <c r="V2197" s="1" t="str">
        <f>_xlfn.XLOOKUP(C2197,Payers!$A$2:$A$9,Payers!$B$2:$B$9)</f>
        <v>Summit Health Commercial</v>
      </c>
      <c r="W2197" s="1" t="str">
        <f t="shared" si="139"/>
        <v>2025-12</v>
      </c>
    </row>
    <row r="2198" spans="1:23">
      <c r="A2198" s="1" t="s">
        <v>3884</v>
      </c>
      <c r="B2198" s="1" t="s">
        <v>3801</v>
      </c>
      <c r="C2198" s="1" t="s">
        <v>36</v>
      </c>
      <c r="D2198" s="1" t="s">
        <v>37</v>
      </c>
      <c r="E2198" s="1" t="s">
        <v>38</v>
      </c>
      <c r="F2198">
        <v>10</v>
      </c>
      <c r="G2198" s="2">
        <v>46250</v>
      </c>
      <c r="H2198" s="2">
        <v>46251</v>
      </c>
      <c r="I2198">
        <v>14897.75</v>
      </c>
      <c r="J2198">
        <v>4121.82</v>
      </c>
      <c r="K2198">
        <v>4121.82</v>
      </c>
      <c r="L2198">
        <v>0</v>
      </c>
      <c r="M2198" s="1" t="s">
        <v>21</v>
      </c>
      <c r="N2198" s="1" t="s">
        <v>22</v>
      </c>
      <c r="O2198" s="2">
        <v>46291</v>
      </c>
      <c r="P2198" s="2">
        <v>46291</v>
      </c>
      <c r="Q2198">
        <f>_xlfn.XLOOKUP(E2198,CPT!$A$2:$A$13,CPT!$D$2:$D$13)</f>
        <v>1450</v>
      </c>
      <c r="R2198" s="1">
        <f>_xlfn.XLOOKUP(C2198,Contract!$A$2:$A$9,Contract!$B$2:$B$9)</f>
        <v>0.27</v>
      </c>
      <c r="S2198" s="1">
        <f t="shared" si="136"/>
        <v>3915</v>
      </c>
      <c r="T2198" s="1">
        <f t="shared" si="137"/>
        <v>-206.81999999999971</v>
      </c>
      <c r="U2198" s="1" t="str">
        <f t="shared" si="138"/>
        <v>OK</v>
      </c>
      <c r="V2198" s="1" t="str">
        <f>_xlfn.XLOOKUP(C2198,Payers!$A$2:$A$9,Payers!$B$2:$B$9)</f>
        <v>Florida Medicaid</v>
      </c>
      <c r="W2198" s="1" t="str">
        <f t="shared" si="139"/>
        <v>2026-08</v>
      </c>
    </row>
    <row r="2199" spans="1:23">
      <c r="A2199" s="1" t="s">
        <v>3885</v>
      </c>
      <c r="B2199" s="1" t="s">
        <v>1177</v>
      </c>
      <c r="C2199" s="1" t="s">
        <v>76</v>
      </c>
      <c r="D2199" s="1" t="s">
        <v>26</v>
      </c>
      <c r="E2199" s="1" t="s">
        <v>41</v>
      </c>
      <c r="F2199">
        <v>1</v>
      </c>
      <c r="G2199" s="2">
        <v>46274</v>
      </c>
      <c r="H2199" s="2">
        <v>46275</v>
      </c>
      <c r="I2199">
        <v>37.409999999999997</v>
      </c>
      <c r="M2199" s="1" t="s">
        <v>69</v>
      </c>
      <c r="N2199" s="1" t="s">
        <v>22</v>
      </c>
      <c r="O2199" s="2"/>
      <c r="P2199" s="2"/>
      <c r="Q2199">
        <f>_xlfn.XLOOKUP(E2199,CPT!$A$2:$A$13,CPT!$D$2:$D$13)</f>
        <v>38</v>
      </c>
      <c r="R2199" s="1">
        <f>_xlfn.XLOOKUP(C2199,Contract!$A$2:$A$9,Contract!$B$2:$B$9)</f>
        <v>0.43</v>
      </c>
      <c r="S2199" s="1">
        <f t="shared" si="136"/>
        <v>16.34</v>
      </c>
      <c r="T2199" s="1" t="str">
        <f t="shared" si="137"/>
        <v/>
      </c>
      <c r="U2199" s="1" t="str">
        <f t="shared" si="138"/>
        <v/>
      </c>
      <c r="V2199" s="1" t="str">
        <f>_xlfn.XLOOKUP(C2199,Payers!$A$2:$A$9,Payers!$B$2:$B$9)</f>
        <v>Summit Health Commercial</v>
      </c>
      <c r="W2199" s="1" t="str">
        <f t="shared" si="139"/>
        <v>2026-09</v>
      </c>
    </row>
    <row r="2200" spans="1:23">
      <c r="A2200" s="1" t="s">
        <v>3886</v>
      </c>
      <c r="B2200" s="1" t="s">
        <v>3070</v>
      </c>
      <c r="C2200" s="1" t="s">
        <v>60</v>
      </c>
      <c r="D2200" s="1" t="s">
        <v>26</v>
      </c>
      <c r="E2200" s="1" t="s">
        <v>185</v>
      </c>
      <c r="F2200">
        <v>1</v>
      </c>
      <c r="G2200" s="2">
        <v>46290</v>
      </c>
      <c r="H2200" s="2">
        <v>46291</v>
      </c>
      <c r="I2200">
        <v>1122.1400000000001</v>
      </c>
      <c r="M2200" s="1" t="s">
        <v>69</v>
      </c>
      <c r="N2200" s="1" t="s">
        <v>22</v>
      </c>
      <c r="O2200" s="2"/>
      <c r="P2200" s="2"/>
      <c r="Q2200">
        <f>_xlfn.XLOOKUP(E2200,CPT!$A$2:$A$13,CPT!$D$2:$D$13)</f>
        <v>1150</v>
      </c>
      <c r="R2200" s="1">
        <f>_xlfn.XLOOKUP(C2200,Contract!$A$2:$A$9,Contract!$B$2:$B$9)</f>
        <v>0.45</v>
      </c>
      <c r="S2200" s="1">
        <f t="shared" si="136"/>
        <v>517.5</v>
      </c>
      <c r="T2200" s="1" t="str">
        <f t="shared" si="137"/>
        <v/>
      </c>
      <c r="U2200" s="1" t="str">
        <f t="shared" si="138"/>
        <v/>
      </c>
      <c r="V2200" s="1" t="str">
        <f>_xlfn.XLOOKUP(C2200,Payers!$A$2:$A$9,Payers!$B$2:$B$9)</f>
        <v>Blue Horizon Commercial</v>
      </c>
      <c r="W2200" s="1" t="str">
        <f t="shared" si="139"/>
        <v>2026-09</v>
      </c>
    </row>
    <row r="2201" spans="1:23">
      <c r="A2201" s="1" t="s">
        <v>3887</v>
      </c>
      <c r="B2201" s="1" t="s">
        <v>3835</v>
      </c>
      <c r="C2201" s="1" t="s">
        <v>25</v>
      </c>
      <c r="D2201" s="1" t="s">
        <v>26</v>
      </c>
      <c r="E2201" s="1" t="s">
        <v>185</v>
      </c>
      <c r="F2201">
        <v>1</v>
      </c>
      <c r="G2201" s="2">
        <v>46037</v>
      </c>
      <c r="H2201" s="2">
        <v>46045</v>
      </c>
      <c r="I2201">
        <v>1161.69</v>
      </c>
      <c r="J2201">
        <v>430.94</v>
      </c>
      <c r="K2201">
        <v>430.94</v>
      </c>
      <c r="L2201">
        <v>0</v>
      </c>
      <c r="M2201" s="1" t="s">
        <v>21</v>
      </c>
      <c r="N2201" s="1" t="s">
        <v>22</v>
      </c>
      <c r="O2201" s="2">
        <v>46063</v>
      </c>
      <c r="P2201" s="2">
        <v>46063</v>
      </c>
      <c r="Q2201">
        <f>_xlfn.XLOOKUP(E2201,CPT!$A$2:$A$13,CPT!$D$2:$D$13)</f>
        <v>1150</v>
      </c>
      <c r="R2201" s="1">
        <f>_xlfn.XLOOKUP(C2201,Contract!$A$2:$A$9,Contract!$B$2:$B$9)</f>
        <v>0.36</v>
      </c>
      <c r="S2201" s="1">
        <f t="shared" si="136"/>
        <v>414</v>
      </c>
      <c r="T2201" s="1">
        <f t="shared" si="137"/>
        <v>-16.939999999999998</v>
      </c>
      <c r="U2201" s="1" t="str">
        <f t="shared" si="138"/>
        <v>OK</v>
      </c>
      <c r="V2201" s="1" t="str">
        <f>_xlfn.XLOOKUP(C2201,Payers!$A$2:$A$9,Payers!$B$2:$B$9)</f>
        <v>Medicare Part B</v>
      </c>
      <c r="W2201" s="1" t="str">
        <f t="shared" si="139"/>
        <v>2026-01</v>
      </c>
    </row>
    <row r="2202" spans="1:23">
      <c r="A2202" s="1" t="s">
        <v>3888</v>
      </c>
      <c r="B2202" s="1" t="s">
        <v>906</v>
      </c>
      <c r="C2202" s="1" t="s">
        <v>52</v>
      </c>
      <c r="D2202" s="1" t="s">
        <v>26</v>
      </c>
      <c r="E2202" s="1" t="s">
        <v>27</v>
      </c>
      <c r="F2202">
        <v>1</v>
      </c>
      <c r="G2202" s="2">
        <v>46036</v>
      </c>
      <c r="H2202" s="2">
        <v>46045</v>
      </c>
      <c r="I2202">
        <v>237.96</v>
      </c>
      <c r="J2202">
        <v>98.72</v>
      </c>
      <c r="K2202">
        <v>98.72</v>
      </c>
      <c r="L2202">
        <v>0</v>
      </c>
      <c r="M2202" s="1" t="s">
        <v>21</v>
      </c>
      <c r="N2202" s="1" t="s">
        <v>22</v>
      </c>
      <c r="O2202" s="2">
        <v>46076</v>
      </c>
      <c r="P2202" s="2">
        <v>46076</v>
      </c>
      <c r="Q2202">
        <f>_xlfn.XLOOKUP(E2202,CPT!$A$2:$A$13,CPT!$D$2:$D$13)</f>
        <v>240</v>
      </c>
      <c r="R2202" s="1">
        <f>_xlfn.XLOOKUP(C2202,Contract!$A$2:$A$9,Contract!$B$2:$B$9)</f>
        <v>0.47</v>
      </c>
      <c r="S2202" s="1">
        <f t="shared" si="136"/>
        <v>112.8</v>
      </c>
      <c r="T2202" s="1">
        <f t="shared" si="137"/>
        <v>14.079999999999998</v>
      </c>
      <c r="U2202" s="1" t="str">
        <f t="shared" si="138"/>
        <v>Underpaid</v>
      </c>
      <c r="V2202" s="1" t="str">
        <f>_xlfn.XLOOKUP(C2202,Payers!$A$2:$A$9,Payers!$B$2:$B$9)</f>
        <v>Keystone Commercial PPO</v>
      </c>
      <c r="W2202" s="1" t="str">
        <f t="shared" si="139"/>
        <v>2026-01</v>
      </c>
    </row>
    <row r="2203" spans="1:23">
      <c r="A2203" s="1" t="s">
        <v>3889</v>
      </c>
      <c r="B2203" s="1" t="s">
        <v>3890</v>
      </c>
      <c r="C2203" s="1" t="s">
        <v>18</v>
      </c>
      <c r="D2203" s="1" t="s">
        <v>19</v>
      </c>
      <c r="E2203" s="1" t="s">
        <v>88</v>
      </c>
      <c r="F2203">
        <v>1</v>
      </c>
      <c r="G2203" s="2">
        <v>46053</v>
      </c>
      <c r="H2203" s="2">
        <v>46054</v>
      </c>
      <c r="I2203">
        <v>264.87</v>
      </c>
      <c r="M2203" s="1" t="s">
        <v>32</v>
      </c>
      <c r="N2203" s="1" t="s">
        <v>49</v>
      </c>
      <c r="O2203" s="2">
        <v>46098</v>
      </c>
      <c r="P2203" s="2"/>
      <c r="Q2203">
        <f>_xlfn.XLOOKUP(E2203,CPT!$A$2:$A$13,CPT!$D$2:$D$13)</f>
        <v>260</v>
      </c>
      <c r="R2203" s="1">
        <f>_xlfn.XLOOKUP(C2203,Contract!$A$2:$A$9,Contract!$B$2:$B$9)</f>
        <v>0.38</v>
      </c>
      <c r="S2203" s="1">
        <f t="shared" si="136"/>
        <v>98.8</v>
      </c>
      <c r="T2203" s="1" t="str">
        <f t="shared" si="137"/>
        <v/>
      </c>
      <c r="U2203" s="1" t="str">
        <f t="shared" si="138"/>
        <v/>
      </c>
      <c r="V2203" s="1" t="str">
        <f>_xlfn.XLOOKUP(C2203,Payers!$A$2:$A$9,Payers!$B$2:$B$9)</f>
        <v>Sunshine Medicare Advantage</v>
      </c>
      <c r="W2203" s="1" t="str">
        <f t="shared" si="139"/>
        <v>2026-01</v>
      </c>
    </row>
    <row r="2204" spans="1:23">
      <c r="A2204" s="1" t="s">
        <v>3891</v>
      </c>
      <c r="B2204" s="1" t="s">
        <v>3892</v>
      </c>
      <c r="C2204" s="1" t="s">
        <v>25</v>
      </c>
      <c r="D2204" s="1" t="s">
        <v>26</v>
      </c>
      <c r="E2204" s="1" t="s">
        <v>113</v>
      </c>
      <c r="F2204">
        <v>1</v>
      </c>
      <c r="G2204" s="2">
        <v>46066</v>
      </c>
      <c r="H2204" s="2">
        <v>46070</v>
      </c>
      <c r="I2204">
        <v>1072.57</v>
      </c>
      <c r="M2204" s="1" t="s">
        <v>32</v>
      </c>
      <c r="N2204" s="1" t="s">
        <v>33</v>
      </c>
      <c r="O2204" s="2">
        <v>46087</v>
      </c>
      <c r="P2204" s="2"/>
      <c r="Q2204">
        <f>_xlfn.XLOOKUP(E2204,CPT!$A$2:$A$13,CPT!$D$2:$D$13)</f>
        <v>1050</v>
      </c>
      <c r="R2204" s="1">
        <f>_xlfn.XLOOKUP(C2204,Contract!$A$2:$A$9,Contract!$B$2:$B$9)</f>
        <v>0.36</v>
      </c>
      <c r="S2204" s="1">
        <f t="shared" si="136"/>
        <v>378</v>
      </c>
      <c r="T2204" s="1" t="str">
        <f t="shared" si="137"/>
        <v/>
      </c>
      <c r="U2204" s="1" t="str">
        <f t="shared" si="138"/>
        <v/>
      </c>
      <c r="V2204" s="1" t="str">
        <f>_xlfn.XLOOKUP(C2204,Payers!$A$2:$A$9,Payers!$B$2:$B$9)</f>
        <v>Medicare Part B</v>
      </c>
      <c r="W2204" s="1" t="str">
        <f t="shared" si="139"/>
        <v>2026-02</v>
      </c>
    </row>
    <row r="2205" spans="1:23">
      <c r="A2205" s="1" t="s">
        <v>3893</v>
      </c>
      <c r="B2205" s="1" t="s">
        <v>337</v>
      </c>
      <c r="C2205" s="1" t="s">
        <v>60</v>
      </c>
      <c r="D2205" s="1" t="s">
        <v>37</v>
      </c>
      <c r="E2205" s="1" t="s">
        <v>57</v>
      </c>
      <c r="F2205">
        <v>1</v>
      </c>
      <c r="G2205" s="2">
        <v>46210</v>
      </c>
      <c r="H2205" s="2">
        <v>46211</v>
      </c>
      <c r="I2205">
        <v>208.63</v>
      </c>
      <c r="J2205">
        <v>101.08</v>
      </c>
      <c r="K2205">
        <v>101.08</v>
      </c>
      <c r="L2205">
        <v>0</v>
      </c>
      <c r="M2205" s="1" t="s">
        <v>21</v>
      </c>
      <c r="N2205" s="1" t="s">
        <v>22</v>
      </c>
      <c r="O2205" s="2">
        <v>46241</v>
      </c>
      <c r="P2205" s="2">
        <v>46241</v>
      </c>
      <c r="Q2205">
        <f>_xlfn.XLOOKUP(E2205,CPT!$A$2:$A$13,CPT!$D$2:$D$13)</f>
        <v>210</v>
      </c>
      <c r="R2205" s="1">
        <f>_xlfn.XLOOKUP(C2205,Contract!$A$2:$A$9,Contract!$B$2:$B$9)</f>
        <v>0.45</v>
      </c>
      <c r="S2205" s="1">
        <f t="shared" si="136"/>
        <v>94.5</v>
      </c>
      <c r="T2205" s="1">
        <f t="shared" si="137"/>
        <v>-6.5799999999999983</v>
      </c>
      <c r="U2205" s="1" t="str">
        <f t="shared" si="138"/>
        <v>OK</v>
      </c>
      <c r="V2205" s="1" t="str">
        <f>_xlfn.XLOOKUP(C2205,Payers!$A$2:$A$9,Payers!$B$2:$B$9)</f>
        <v>Blue Horizon Commercial</v>
      </c>
      <c r="W2205" s="1" t="str">
        <f t="shared" si="139"/>
        <v>2026-07</v>
      </c>
    </row>
    <row r="2206" spans="1:23">
      <c r="A2206" s="1" t="s">
        <v>3894</v>
      </c>
      <c r="B2206" s="1" t="s">
        <v>3895</v>
      </c>
      <c r="C2206" s="1" t="s">
        <v>25</v>
      </c>
      <c r="D2206" s="1" t="s">
        <v>26</v>
      </c>
      <c r="E2206" s="1" t="s">
        <v>88</v>
      </c>
      <c r="F2206">
        <v>1</v>
      </c>
      <c r="G2206" s="2">
        <v>46104</v>
      </c>
      <c r="H2206" s="2">
        <v>46111</v>
      </c>
      <c r="I2206">
        <v>256.56</v>
      </c>
      <c r="J2206">
        <v>81.290000000000006</v>
      </c>
      <c r="K2206">
        <v>81.290000000000006</v>
      </c>
      <c r="L2206">
        <v>0</v>
      </c>
      <c r="M2206" s="1" t="s">
        <v>21</v>
      </c>
      <c r="N2206" s="1" t="s">
        <v>22</v>
      </c>
      <c r="O2206" s="2">
        <v>46132</v>
      </c>
      <c r="P2206" s="2">
        <v>46132</v>
      </c>
      <c r="Q2206">
        <f>_xlfn.XLOOKUP(E2206,CPT!$A$2:$A$13,CPT!$D$2:$D$13)</f>
        <v>260</v>
      </c>
      <c r="R2206" s="1">
        <f>_xlfn.XLOOKUP(C2206,Contract!$A$2:$A$9,Contract!$B$2:$B$9)</f>
        <v>0.36</v>
      </c>
      <c r="S2206" s="1">
        <f t="shared" si="136"/>
        <v>93.6</v>
      </c>
      <c r="T2206" s="1">
        <f t="shared" si="137"/>
        <v>12.309999999999988</v>
      </c>
      <c r="U2206" s="1" t="str">
        <f t="shared" si="138"/>
        <v>Underpaid</v>
      </c>
      <c r="V2206" s="1" t="str">
        <f>_xlfn.XLOOKUP(C2206,Payers!$A$2:$A$9,Payers!$B$2:$B$9)</f>
        <v>Medicare Part B</v>
      </c>
      <c r="W2206" s="1" t="str">
        <f t="shared" si="139"/>
        <v>2026-03</v>
      </c>
    </row>
    <row r="2207" spans="1:23">
      <c r="A2207" s="1" t="s">
        <v>3896</v>
      </c>
      <c r="B2207" s="1" t="s">
        <v>669</v>
      </c>
      <c r="C2207" s="1" t="s">
        <v>60</v>
      </c>
      <c r="D2207" s="1" t="s">
        <v>37</v>
      </c>
      <c r="E2207" s="1" t="s">
        <v>38</v>
      </c>
      <c r="F2207">
        <v>30</v>
      </c>
      <c r="G2207" s="2">
        <v>46094</v>
      </c>
      <c r="H2207" s="2">
        <v>46104</v>
      </c>
      <c r="I2207">
        <v>44400.49</v>
      </c>
      <c r="J2207">
        <v>21302.799999999999</v>
      </c>
      <c r="K2207">
        <v>21302.799999999999</v>
      </c>
      <c r="L2207">
        <v>0</v>
      </c>
      <c r="M2207" s="1" t="s">
        <v>21</v>
      </c>
      <c r="N2207" s="1" t="s">
        <v>22</v>
      </c>
      <c r="O2207" s="2">
        <v>46130</v>
      </c>
      <c r="P2207" s="2">
        <v>46130</v>
      </c>
      <c r="Q2207">
        <f>_xlfn.XLOOKUP(E2207,CPT!$A$2:$A$13,CPT!$D$2:$D$13)</f>
        <v>1450</v>
      </c>
      <c r="R2207" s="1">
        <f>_xlfn.XLOOKUP(C2207,Contract!$A$2:$A$9,Contract!$B$2:$B$9)</f>
        <v>0.45</v>
      </c>
      <c r="S2207" s="1">
        <f t="shared" si="136"/>
        <v>19575</v>
      </c>
      <c r="T2207" s="1">
        <f t="shared" si="137"/>
        <v>-1727.7999999999993</v>
      </c>
      <c r="U2207" s="1" t="str">
        <f t="shared" si="138"/>
        <v>OK</v>
      </c>
      <c r="V2207" s="1" t="str">
        <f>_xlfn.XLOOKUP(C2207,Payers!$A$2:$A$9,Payers!$B$2:$B$9)</f>
        <v>Blue Horizon Commercial</v>
      </c>
      <c r="W2207" s="1" t="str">
        <f t="shared" si="139"/>
        <v>2026-03</v>
      </c>
    </row>
    <row r="2208" spans="1:23">
      <c r="A2208" s="1" t="s">
        <v>3897</v>
      </c>
      <c r="B2208" s="1" t="s">
        <v>24</v>
      </c>
      <c r="C2208" s="1" t="s">
        <v>60</v>
      </c>
      <c r="D2208" s="1" t="s">
        <v>26</v>
      </c>
      <c r="E2208" s="1" t="s">
        <v>88</v>
      </c>
      <c r="F2208">
        <v>1</v>
      </c>
      <c r="G2208" s="2">
        <v>45950</v>
      </c>
      <c r="H2208" s="2">
        <v>45953</v>
      </c>
      <c r="I2208">
        <v>261.39</v>
      </c>
      <c r="J2208">
        <v>107.92</v>
      </c>
      <c r="K2208">
        <v>107.92</v>
      </c>
      <c r="L2208">
        <v>0</v>
      </c>
      <c r="M2208" s="1" t="s">
        <v>21</v>
      </c>
      <c r="N2208" s="1" t="s">
        <v>22</v>
      </c>
      <c r="O2208" s="2">
        <v>45971</v>
      </c>
      <c r="P2208" s="2">
        <v>45971</v>
      </c>
      <c r="Q2208">
        <f>_xlfn.XLOOKUP(E2208,CPT!$A$2:$A$13,CPT!$D$2:$D$13)</f>
        <v>260</v>
      </c>
      <c r="R2208" s="1">
        <f>_xlfn.XLOOKUP(C2208,Contract!$A$2:$A$9,Contract!$B$2:$B$9)</f>
        <v>0.45</v>
      </c>
      <c r="S2208" s="1">
        <f t="shared" si="136"/>
        <v>117</v>
      </c>
      <c r="T2208" s="1">
        <f t="shared" si="137"/>
        <v>9.0799999999999983</v>
      </c>
      <c r="U2208" s="1" t="str">
        <f t="shared" si="138"/>
        <v>Underpaid</v>
      </c>
      <c r="V2208" s="1" t="str">
        <f>_xlfn.XLOOKUP(C2208,Payers!$A$2:$A$9,Payers!$B$2:$B$9)</f>
        <v>Blue Horizon Commercial</v>
      </c>
      <c r="W2208" s="1" t="str">
        <f t="shared" si="139"/>
        <v>2025-10</v>
      </c>
    </row>
    <row r="2209" spans="1:23">
      <c r="A2209" s="1" t="s">
        <v>3898</v>
      </c>
      <c r="B2209" s="1" t="s">
        <v>969</v>
      </c>
      <c r="C2209" s="1" t="s">
        <v>79</v>
      </c>
      <c r="D2209" s="1" t="s">
        <v>30</v>
      </c>
      <c r="E2209" s="1" t="s">
        <v>20</v>
      </c>
      <c r="F2209">
        <v>1</v>
      </c>
      <c r="G2209" s="2">
        <v>46019</v>
      </c>
      <c r="H2209" s="2">
        <v>46036</v>
      </c>
      <c r="I2209">
        <v>145.22999999999999</v>
      </c>
      <c r="M2209" s="1" t="s">
        <v>69</v>
      </c>
      <c r="N2209" s="1" t="s">
        <v>22</v>
      </c>
      <c r="O2209" s="2"/>
      <c r="P2209" s="2"/>
      <c r="Q2209">
        <f>_xlfn.XLOOKUP(E2209,CPT!$A$2:$A$13,CPT!$D$2:$D$13)</f>
        <v>145</v>
      </c>
      <c r="R2209" s="1">
        <f>_xlfn.XLOOKUP(C2209,Contract!$A$2:$A$9,Contract!$B$2:$B$9)</f>
        <v>1</v>
      </c>
      <c r="S2209" s="1">
        <f t="shared" si="136"/>
        <v>145</v>
      </c>
      <c r="T2209" s="1" t="str">
        <f t="shared" si="137"/>
        <v/>
      </c>
      <c r="U2209" s="1" t="str">
        <f t="shared" si="138"/>
        <v/>
      </c>
      <c r="V2209" s="1" t="str">
        <f>_xlfn.XLOOKUP(C2209,Payers!$A$2:$A$9,Payers!$B$2:$B$9)</f>
        <v>Self-Pay</v>
      </c>
      <c r="W2209" s="1" t="str">
        <f t="shared" si="139"/>
        <v>2025-12</v>
      </c>
    </row>
    <row r="2210" spans="1:23">
      <c r="A2210" s="1" t="s">
        <v>3899</v>
      </c>
      <c r="B2210" s="1" t="s">
        <v>386</v>
      </c>
      <c r="C2210" s="1" t="s">
        <v>25</v>
      </c>
      <c r="D2210" s="1" t="s">
        <v>19</v>
      </c>
      <c r="E2210" s="1" t="s">
        <v>57</v>
      </c>
      <c r="F2210">
        <v>1</v>
      </c>
      <c r="G2210" s="2">
        <v>45956</v>
      </c>
      <c r="H2210" s="2">
        <v>45958</v>
      </c>
      <c r="I2210">
        <v>211.53</v>
      </c>
      <c r="J2210">
        <v>81.040000000000006</v>
      </c>
      <c r="K2210">
        <v>81.040000000000006</v>
      </c>
      <c r="L2210">
        <v>0</v>
      </c>
      <c r="M2210" s="1" t="s">
        <v>21</v>
      </c>
      <c r="N2210" s="1" t="s">
        <v>22</v>
      </c>
      <c r="O2210" s="2">
        <v>45972</v>
      </c>
      <c r="P2210" s="2">
        <v>45972</v>
      </c>
      <c r="Q2210">
        <f>_xlfn.XLOOKUP(E2210,CPT!$A$2:$A$13,CPT!$D$2:$D$13)</f>
        <v>210</v>
      </c>
      <c r="R2210" s="1">
        <f>_xlfn.XLOOKUP(C2210,Contract!$A$2:$A$9,Contract!$B$2:$B$9)</f>
        <v>0.36</v>
      </c>
      <c r="S2210" s="1">
        <f t="shared" si="136"/>
        <v>75.599999999999994</v>
      </c>
      <c r="T2210" s="1">
        <f t="shared" si="137"/>
        <v>-5.4400000000000119</v>
      </c>
      <c r="U2210" s="1" t="str">
        <f t="shared" si="138"/>
        <v>OK</v>
      </c>
      <c r="V2210" s="1" t="str">
        <f>_xlfn.XLOOKUP(C2210,Payers!$A$2:$A$9,Payers!$B$2:$B$9)</f>
        <v>Medicare Part B</v>
      </c>
      <c r="W2210" s="1" t="str">
        <f t="shared" si="139"/>
        <v>2025-10</v>
      </c>
    </row>
    <row r="2211" spans="1:23">
      <c r="A2211" s="1" t="s">
        <v>3900</v>
      </c>
      <c r="B2211" s="1" t="s">
        <v>1687</v>
      </c>
      <c r="C2211" s="1" t="s">
        <v>60</v>
      </c>
      <c r="D2211" s="1" t="s">
        <v>37</v>
      </c>
      <c r="E2211" s="1" t="s">
        <v>48</v>
      </c>
      <c r="F2211">
        <v>1</v>
      </c>
      <c r="G2211" s="2">
        <v>46260</v>
      </c>
      <c r="H2211" s="2">
        <v>46267</v>
      </c>
      <c r="I2211">
        <v>408.02</v>
      </c>
      <c r="M2211" s="1" t="s">
        <v>32</v>
      </c>
      <c r="N2211" s="1" t="s">
        <v>124</v>
      </c>
      <c r="O2211" s="2">
        <v>46288</v>
      </c>
      <c r="P2211" s="2"/>
      <c r="Q2211">
        <f>_xlfn.XLOOKUP(E2211,CPT!$A$2:$A$13,CPT!$D$2:$D$13)</f>
        <v>420</v>
      </c>
      <c r="R2211" s="1">
        <f>_xlfn.XLOOKUP(C2211,Contract!$A$2:$A$9,Contract!$B$2:$B$9)</f>
        <v>0.45</v>
      </c>
      <c r="S2211" s="1">
        <f t="shared" si="136"/>
        <v>189</v>
      </c>
      <c r="T2211" s="1" t="str">
        <f t="shared" si="137"/>
        <v/>
      </c>
      <c r="U2211" s="1" t="str">
        <f t="shared" si="138"/>
        <v/>
      </c>
      <c r="V2211" s="1" t="str">
        <f>_xlfn.XLOOKUP(C2211,Payers!$A$2:$A$9,Payers!$B$2:$B$9)</f>
        <v>Blue Horizon Commercial</v>
      </c>
      <c r="W2211" s="1" t="str">
        <f t="shared" si="139"/>
        <v>2026-08</v>
      </c>
    </row>
    <row r="2212" spans="1:23">
      <c r="A2212" s="1" t="s">
        <v>3901</v>
      </c>
      <c r="B2212" s="1" t="s">
        <v>1806</v>
      </c>
      <c r="C2212" s="1" t="s">
        <v>36</v>
      </c>
      <c r="D2212" s="1" t="s">
        <v>19</v>
      </c>
      <c r="E2212" s="1" t="s">
        <v>88</v>
      </c>
      <c r="F2212">
        <v>1</v>
      </c>
      <c r="G2212" s="2">
        <v>46288</v>
      </c>
      <c r="H2212" s="2">
        <v>46294</v>
      </c>
      <c r="I2212">
        <v>267.51</v>
      </c>
      <c r="M2212" s="1" t="s">
        <v>69</v>
      </c>
      <c r="N2212" s="1" t="s">
        <v>22</v>
      </c>
      <c r="O2212" s="2"/>
      <c r="P2212" s="2"/>
      <c r="Q2212">
        <f>_xlfn.XLOOKUP(E2212,CPT!$A$2:$A$13,CPT!$D$2:$D$13)</f>
        <v>260</v>
      </c>
      <c r="R2212" s="1">
        <f>_xlfn.XLOOKUP(C2212,Contract!$A$2:$A$9,Contract!$B$2:$B$9)</f>
        <v>0.27</v>
      </c>
      <c r="S2212" s="1">
        <f t="shared" si="136"/>
        <v>70.2</v>
      </c>
      <c r="T2212" s="1" t="str">
        <f t="shared" si="137"/>
        <v/>
      </c>
      <c r="U2212" s="1" t="str">
        <f t="shared" si="138"/>
        <v/>
      </c>
      <c r="V2212" s="1" t="str">
        <f>_xlfn.XLOOKUP(C2212,Payers!$A$2:$A$9,Payers!$B$2:$B$9)</f>
        <v>Florida Medicaid</v>
      </c>
      <c r="W2212" s="1" t="str">
        <f t="shared" si="139"/>
        <v>2026-09</v>
      </c>
    </row>
    <row r="2213" spans="1:23">
      <c r="A2213" s="1" t="s">
        <v>3902</v>
      </c>
      <c r="B2213" s="1" t="s">
        <v>3903</v>
      </c>
      <c r="C2213" s="1" t="s">
        <v>60</v>
      </c>
      <c r="D2213" s="1" t="s">
        <v>30</v>
      </c>
      <c r="E2213" s="1" t="s">
        <v>31</v>
      </c>
      <c r="F2213">
        <v>4</v>
      </c>
      <c r="G2213" s="2">
        <v>46109</v>
      </c>
      <c r="H2213" s="2">
        <v>46110</v>
      </c>
      <c r="I2213">
        <v>248.72</v>
      </c>
      <c r="J2213">
        <v>124.53</v>
      </c>
      <c r="K2213">
        <v>99.62</v>
      </c>
      <c r="L2213">
        <v>24.91</v>
      </c>
      <c r="M2213" s="1" t="s">
        <v>21</v>
      </c>
      <c r="N2213" s="1" t="s">
        <v>22</v>
      </c>
      <c r="O2213" s="2">
        <v>46134</v>
      </c>
      <c r="P2213" s="2">
        <v>46134</v>
      </c>
      <c r="Q2213">
        <f>_xlfn.XLOOKUP(E2213,CPT!$A$2:$A$13,CPT!$D$2:$D$13)</f>
        <v>62</v>
      </c>
      <c r="R2213" s="1">
        <f>_xlfn.XLOOKUP(C2213,Contract!$A$2:$A$9,Contract!$B$2:$B$9)</f>
        <v>0.45</v>
      </c>
      <c r="S2213" s="1">
        <f t="shared" si="136"/>
        <v>111.6</v>
      </c>
      <c r="T2213" s="1">
        <f t="shared" si="137"/>
        <v>-12.930000000000007</v>
      </c>
      <c r="U2213" s="1" t="str">
        <f t="shared" si="138"/>
        <v>OK</v>
      </c>
      <c r="V2213" s="1" t="str">
        <f>_xlfn.XLOOKUP(C2213,Payers!$A$2:$A$9,Payers!$B$2:$B$9)</f>
        <v>Blue Horizon Commercial</v>
      </c>
      <c r="W2213" s="1" t="str">
        <f t="shared" si="139"/>
        <v>2026-03</v>
      </c>
    </row>
    <row r="2214" spans="1:23">
      <c r="A2214" s="1" t="s">
        <v>3904</v>
      </c>
      <c r="B2214" s="1" t="s">
        <v>3473</v>
      </c>
      <c r="C2214" s="1" t="s">
        <v>52</v>
      </c>
      <c r="D2214" s="1" t="s">
        <v>30</v>
      </c>
      <c r="E2214" s="1" t="s">
        <v>20</v>
      </c>
      <c r="F2214">
        <v>1</v>
      </c>
      <c r="G2214" s="2">
        <v>46188</v>
      </c>
      <c r="H2214" s="2">
        <v>46189</v>
      </c>
      <c r="I2214">
        <v>143.16999999999999</v>
      </c>
      <c r="J2214">
        <v>72.849999999999994</v>
      </c>
      <c r="K2214">
        <v>72.849999999999994</v>
      </c>
      <c r="L2214">
        <v>0</v>
      </c>
      <c r="M2214" s="1" t="s">
        <v>21</v>
      </c>
      <c r="N2214" s="1" t="s">
        <v>22</v>
      </c>
      <c r="O2214" s="2">
        <v>46243</v>
      </c>
      <c r="P2214" s="2">
        <v>46243</v>
      </c>
      <c r="Q2214">
        <f>_xlfn.XLOOKUP(E2214,CPT!$A$2:$A$13,CPT!$D$2:$D$13)</f>
        <v>145</v>
      </c>
      <c r="R2214" s="1">
        <f>_xlfn.XLOOKUP(C2214,Contract!$A$2:$A$9,Contract!$B$2:$B$9)</f>
        <v>0.47</v>
      </c>
      <c r="S2214" s="1">
        <f t="shared" si="136"/>
        <v>68.150000000000006</v>
      </c>
      <c r="T2214" s="1">
        <f t="shared" si="137"/>
        <v>-4.6999999999999886</v>
      </c>
      <c r="U2214" s="1" t="str">
        <f t="shared" si="138"/>
        <v>OK</v>
      </c>
      <c r="V2214" s="1" t="str">
        <f>_xlfn.XLOOKUP(C2214,Payers!$A$2:$A$9,Payers!$B$2:$B$9)</f>
        <v>Keystone Commercial PPO</v>
      </c>
      <c r="W2214" s="1" t="str">
        <f t="shared" si="139"/>
        <v>2026-06</v>
      </c>
    </row>
    <row r="2215" spans="1:23">
      <c r="A2215" s="1" t="s">
        <v>3905</v>
      </c>
      <c r="B2215" s="1" t="s">
        <v>3906</v>
      </c>
      <c r="C2215" s="1" t="s">
        <v>47</v>
      </c>
      <c r="D2215" s="1" t="s">
        <v>30</v>
      </c>
      <c r="E2215" s="1" t="s">
        <v>20</v>
      </c>
      <c r="F2215">
        <v>1</v>
      </c>
      <c r="G2215" s="2">
        <v>46262</v>
      </c>
      <c r="H2215" s="2">
        <v>46268</v>
      </c>
      <c r="I2215">
        <v>140.9</v>
      </c>
      <c r="M2215" s="1" t="s">
        <v>69</v>
      </c>
      <c r="N2215" s="1" t="s">
        <v>22</v>
      </c>
      <c r="O2215" s="2"/>
      <c r="P2215" s="2"/>
      <c r="Q2215">
        <f>_xlfn.XLOOKUP(E2215,CPT!$A$2:$A$13,CPT!$D$2:$D$13)</f>
        <v>145</v>
      </c>
      <c r="R2215" s="1">
        <f>_xlfn.XLOOKUP(C2215,Contract!$A$2:$A$9,Contract!$B$2:$B$9)</f>
        <v>0.28000000000000003</v>
      </c>
      <c r="S2215" s="1">
        <f t="shared" si="136"/>
        <v>40.6</v>
      </c>
      <c r="T2215" s="1" t="str">
        <f t="shared" si="137"/>
        <v/>
      </c>
      <c r="U2215" s="1" t="str">
        <f t="shared" si="138"/>
        <v/>
      </c>
      <c r="V2215" s="1" t="str">
        <f>_xlfn.XLOOKUP(C2215,Payers!$A$2:$A$9,Payers!$B$2:$B$9)</f>
        <v>Coastal Medicaid MCO</v>
      </c>
      <c r="W2215" s="1" t="str">
        <f t="shared" si="139"/>
        <v>2026-08</v>
      </c>
    </row>
    <row r="2216" spans="1:23">
      <c r="A2216" s="1" t="s">
        <v>3907</v>
      </c>
      <c r="B2216" s="1" t="s">
        <v>3609</v>
      </c>
      <c r="C2216" s="1" t="s">
        <v>76</v>
      </c>
      <c r="D2216" s="1" t="s">
        <v>19</v>
      </c>
      <c r="E2216" s="1" t="s">
        <v>41</v>
      </c>
      <c r="F2216">
        <v>1</v>
      </c>
      <c r="G2216" s="2">
        <v>45995</v>
      </c>
      <c r="H2216" s="2">
        <v>45999</v>
      </c>
      <c r="I2216">
        <v>38.36</v>
      </c>
      <c r="J2216">
        <v>15.94</v>
      </c>
      <c r="K2216">
        <v>14.35</v>
      </c>
      <c r="L2216">
        <v>1.59</v>
      </c>
      <c r="M2216" s="1" t="s">
        <v>21</v>
      </c>
      <c r="N2216" s="1" t="s">
        <v>22</v>
      </c>
      <c r="O2216" s="2">
        <v>46032</v>
      </c>
      <c r="P2216" s="2">
        <v>46032</v>
      </c>
      <c r="Q2216">
        <f>_xlfn.XLOOKUP(E2216,CPT!$A$2:$A$13,CPT!$D$2:$D$13)</f>
        <v>38</v>
      </c>
      <c r="R2216" s="1">
        <f>_xlfn.XLOOKUP(C2216,Contract!$A$2:$A$9,Contract!$B$2:$B$9)</f>
        <v>0.43</v>
      </c>
      <c r="S2216" s="1">
        <f t="shared" si="136"/>
        <v>16.34</v>
      </c>
      <c r="T2216" s="1">
        <f t="shared" si="137"/>
        <v>0.40000000000000036</v>
      </c>
      <c r="U2216" s="1" t="str">
        <f t="shared" si="138"/>
        <v>OK</v>
      </c>
      <c r="V2216" s="1" t="str">
        <f>_xlfn.XLOOKUP(C2216,Payers!$A$2:$A$9,Payers!$B$2:$B$9)</f>
        <v>Summit Health Commercial</v>
      </c>
      <c r="W2216" s="1" t="str">
        <f t="shared" si="139"/>
        <v>2025-12</v>
      </c>
    </row>
    <row r="2217" spans="1:23">
      <c r="A2217" s="1" t="s">
        <v>3908</v>
      </c>
      <c r="B2217" s="1" t="s">
        <v>3909</v>
      </c>
      <c r="C2217" s="1" t="s">
        <v>76</v>
      </c>
      <c r="D2217" s="1" t="s">
        <v>26</v>
      </c>
      <c r="E2217" s="1" t="s">
        <v>41</v>
      </c>
      <c r="F2217">
        <v>1</v>
      </c>
      <c r="G2217" s="2">
        <v>46258</v>
      </c>
      <c r="H2217" s="2">
        <v>46269</v>
      </c>
      <c r="I2217">
        <v>37.229999999999997</v>
      </c>
      <c r="M2217" s="1" t="s">
        <v>69</v>
      </c>
      <c r="N2217" s="1" t="s">
        <v>22</v>
      </c>
      <c r="O2217" s="2"/>
      <c r="P2217" s="2"/>
      <c r="Q2217">
        <f>_xlfn.XLOOKUP(E2217,CPT!$A$2:$A$13,CPT!$D$2:$D$13)</f>
        <v>38</v>
      </c>
      <c r="R2217" s="1">
        <f>_xlfn.XLOOKUP(C2217,Contract!$A$2:$A$9,Contract!$B$2:$B$9)</f>
        <v>0.43</v>
      </c>
      <c r="S2217" s="1">
        <f t="shared" si="136"/>
        <v>16.34</v>
      </c>
      <c r="T2217" s="1" t="str">
        <f t="shared" si="137"/>
        <v/>
      </c>
      <c r="U2217" s="1" t="str">
        <f t="shared" si="138"/>
        <v/>
      </c>
      <c r="V2217" s="1" t="str">
        <f>_xlfn.XLOOKUP(C2217,Payers!$A$2:$A$9,Payers!$B$2:$B$9)</f>
        <v>Summit Health Commercial</v>
      </c>
      <c r="W2217" s="1" t="str">
        <f t="shared" si="139"/>
        <v>2026-08</v>
      </c>
    </row>
    <row r="2218" spans="1:23">
      <c r="A2218" s="1" t="s">
        <v>3910</v>
      </c>
      <c r="B2218" s="1" t="s">
        <v>3911</v>
      </c>
      <c r="C2218" s="1" t="s">
        <v>52</v>
      </c>
      <c r="D2218" s="1" t="s">
        <v>19</v>
      </c>
      <c r="E2218" s="1" t="s">
        <v>41</v>
      </c>
      <c r="F2218">
        <v>1</v>
      </c>
      <c r="G2218" s="2">
        <v>46284</v>
      </c>
      <c r="H2218" s="2">
        <v>46288</v>
      </c>
      <c r="I2218">
        <v>38.03</v>
      </c>
      <c r="M2218" s="1" t="s">
        <v>69</v>
      </c>
      <c r="N2218" s="1" t="s">
        <v>22</v>
      </c>
      <c r="O2218" s="2"/>
      <c r="P2218" s="2"/>
      <c r="Q2218">
        <f>_xlfn.XLOOKUP(E2218,CPT!$A$2:$A$13,CPT!$D$2:$D$13)</f>
        <v>38</v>
      </c>
      <c r="R2218" s="1">
        <f>_xlfn.XLOOKUP(C2218,Contract!$A$2:$A$9,Contract!$B$2:$B$9)</f>
        <v>0.47</v>
      </c>
      <c r="S2218" s="1">
        <f t="shared" si="136"/>
        <v>17.86</v>
      </c>
      <c r="T2218" s="1" t="str">
        <f t="shared" si="137"/>
        <v/>
      </c>
      <c r="U2218" s="1" t="str">
        <f t="shared" si="138"/>
        <v/>
      </c>
      <c r="V2218" s="1" t="str">
        <f>_xlfn.XLOOKUP(C2218,Payers!$A$2:$A$9,Payers!$B$2:$B$9)</f>
        <v>Keystone Commercial PPO</v>
      </c>
      <c r="W2218" s="1" t="str">
        <f t="shared" si="139"/>
        <v>2026-09</v>
      </c>
    </row>
    <row r="2219" spans="1:23">
      <c r="A2219" s="1" t="s">
        <v>3912</v>
      </c>
      <c r="B2219" s="1" t="s">
        <v>2176</v>
      </c>
      <c r="C2219" s="1" t="s">
        <v>25</v>
      </c>
      <c r="D2219" s="1" t="s">
        <v>26</v>
      </c>
      <c r="E2219" s="1" t="s">
        <v>57</v>
      </c>
      <c r="F2219">
        <v>1</v>
      </c>
      <c r="G2219" s="2">
        <v>46259</v>
      </c>
      <c r="H2219" s="2">
        <v>46268</v>
      </c>
      <c r="I2219">
        <v>211.29</v>
      </c>
      <c r="J2219">
        <v>78.650000000000006</v>
      </c>
      <c r="K2219">
        <v>62.92</v>
      </c>
      <c r="L2219">
        <v>15.73</v>
      </c>
      <c r="M2219" s="1" t="s">
        <v>21</v>
      </c>
      <c r="N2219" s="1" t="s">
        <v>22</v>
      </c>
      <c r="O2219" s="2">
        <v>46293</v>
      </c>
      <c r="P2219" s="2">
        <v>46293</v>
      </c>
      <c r="Q2219">
        <f>_xlfn.XLOOKUP(E2219,CPT!$A$2:$A$13,CPT!$D$2:$D$13)</f>
        <v>210</v>
      </c>
      <c r="R2219" s="1">
        <f>_xlfn.XLOOKUP(C2219,Contract!$A$2:$A$9,Contract!$B$2:$B$9)</f>
        <v>0.36</v>
      </c>
      <c r="S2219" s="1">
        <f t="shared" si="136"/>
        <v>75.599999999999994</v>
      </c>
      <c r="T2219" s="1">
        <f t="shared" si="137"/>
        <v>-3.0500000000000114</v>
      </c>
      <c r="U2219" s="1" t="str">
        <f t="shared" si="138"/>
        <v>OK</v>
      </c>
      <c r="V2219" s="1" t="str">
        <f>_xlfn.XLOOKUP(C2219,Payers!$A$2:$A$9,Payers!$B$2:$B$9)</f>
        <v>Medicare Part B</v>
      </c>
      <c r="W2219" s="1" t="str">
        <f t="shared" si="139"/>
        <v>2026-08</v>
      </c>
    </row>
    <row r="2220" spans="1:23">
      <c r="A2220" s="1" t="s">
        <v>3913</v>
      </c>
      <c r="B2220" s="1" t="s">
        <v>1574</v>
      </c>
      <c r="C2220" s="1" t="s">
        <v>36</v>
      </c>
      <c r="D2220" s="1" t="s">
        <v>19</v>
      </c>
      <c r="E2220" s="1" t="s">
        <v>57</v>
      </c>
      <c r="F2220">
        <v>1</v>
      </c>
      <c r="G2220" s="2">
        <v>46220</v>
      </c>
      <c r="H2220" s="2">
        <v>46221</v>
      </c>
      <c r="I2220">
        <v>210.45</v>
      </c>
      <c r="J2220">
        <v>56.41</v>
      </c>
      <c r="K2220">
        <v>45.13</v>
      </c>
      <c r="L2220">
        <v>11.28</v>
      </c>
      <c r="M2220" s="1" t="s">
        <v>21</v>
      </c>
      <c r="N2220" s="1" t="s">
        <v>22</v>
      </c>
      <c r="O2220" s="2">
        <v>46248</v>
      </c>
      <c r="P2220" s="2">
        <v>46248</v>
      </c>
      <c r="Q2220">
        <f>_xlfn.XLOOKUP(E2220,CPT!$A$2:$A$13,CPT!$D$2:$D$13)</f>
        <v>210</v>
      </c>
      <c r="R2220" s="1">
        <f>_xlfn.XLOOKUP(C2220,Contract!$A$2:$A$9,Contract!$B$2:$B$9)</f>
        <v>0.27</v>
      </c>
      <c r="S2220" s="1">
        <f t="shared" si="136"/>
        <v>56.7</v>
      </c>
      <c r="T2220" s="1">
        <f t="shared" si="137"/>
        <v>0.29000000000000625</v>
      </c>
      <c r="U2220" s="1" t="str">
        <f t="shared" si="138"/>
        <v>OK</v>
      </c>
      <c r="V2220" s="1" t="str">
        <f>_xlfn.XLOOKUP(C2220,Payers!$A$2:$A$9,Payers!$B$2:$B$9)</f>
        <v>Florida Medicaid</v>
      </c>
      <c r="W2220" s="1" t="str">
        <f t="shared" si="139"/>
        <v>2026-07</v>
      </c>
    </row>
    <row r="2221" spans="1:23">
      <c r="A2221" s="1" t="s">
        <v>3914</v>
      </c>
      <c r="B2221" s="1" t="s">
        <v>3675</v>
      </c>
      <c r="C2221" s="1" t="s">
        <v>36</v>
      </c>
      <c r="D2221" s="1" t="s">
        <v>26</v>
      </c>
      <c r="E2221" s="1" t="s">
        <v>27</v>
      </c>
      <c r="F2221">
        <v>1</v>
      </c>
      <c r="G2221" s="2">
        <v>46216</v>
      </c>
      <c r="H2221" s="2">
        <v>46222</v>
      </c>
      <c r="I2221">
        <v>238.12</v>
      </c>
      <c r="M2221" s="1" t="s">
        <v>32</v>
      </c>
      <c r="N2221" s="1" t="s">
        <v>33</v>
      </c>
      <c r="O2221" s="2">
        <v>46264</v>
      </c>
      <c r="P2221" s="2"/>
      <c r="Q2221">
        <f>_xlfn.XLOOKUP(E2221,CPT!$A$2:$A$13,CPT!$D$2:$D$13)</f>
        <v>240</v>
      </c>
      <c r="R2221" s="1">
        <f>_xlfn.XLOOKUP(C2221,Contract!$A$2:$A$9,Contract!$B$2:$B$9)</f>
        <v>0.27</v>
      </c>
      <c r="S2221" s="1">
        <f t="shared" si="136"/>
        <v>64.8</v>
      </c>
      <c r="T2221" s="1" t="str">
        <f t="shared" si="137"/>
        <v/>
      </c>
      <c r="U2221" s="1" t="str">
        <f t="shared" si="138"/>
        <v/>
      </c>
      <c r="V2221" s="1" t="str">
        <f>_xlfn.XLOOKUP(C2221,Payers!$A$2:$A$9,Payers!$B$2:$B$9)</f>
        <v>Florida Medicaid</v>
      </c>
      <c r="W2221" s="1" t="str">
        <f t="shared" si="139"/>
        <v>2026-07</v>
      </c>
    </row>
    <row r="2222" spans="1:23">
      <c r="A2222" s="1" t="s">
        <v>3915</v>
      </c>
      <c r="B2222" s="1" t="s">
        <v>3916</v>
      </c>
      <c r="C2222" s="1" t="s">
        <v>52</v>
      </c>
      <c r="D2222" s="1" t="s">
        <v>26</v>
      </c>
      <c r="E2222" s="1" t="s">
        <v>44</v>
      </c>
      <c r="F2222">
        <v>1</v>
      </c>
      <c r="G2222" s="2">
        <v>46129</v>
      </c>
      <c r="H2222" s="2">
        <v>46133</v>
      </c>
      <c r="I2222">
        <v>4750.9399999999996</v>
      </c>
      <c r="M2222" s="1" t="s">
        <v>32</v>
      </c>
      <c r="N2222" s="1" t="s">
        <v>315</v>
      </c>
      <c r="O2222" s="2">
        <v>46150</v>
      </c>
      <c r="P2222" s="2"/>
      <c r="Q2222">
        <f>_xlfn.XLOOKUP(E2222,CPT!$A$2:$A$13,CPT!$D$2:$D$13)</f>
        <v>4800</v>
      </c>
      <c r="R2222" s="1">
        <f>_xlfn.XLOOKUP(C2222,Contract!$A$2:$A$9,Contract!$B$2:$B$9)</f>
        <v>0.47</v>
      </c>
      <c r="S2222" s="1">
        <f t="shared" si="136"/>
        <v>2256</v>
      </c>
      <c r="T2222" s="1" t="str">
        <f t="shared" si="137"/>
        <v/>
      </c>
      <c r="U2222" s="1" t="str">
        <f t="shared" si="138"/>
        <v/>
      </c>
      <c r="V2222" s="1" t="str">
        <f>_xlfn.XLOOKUP(C2222,Payers!$A$2:$A$9,Payers!$B$2:$B$9)</f>
        <v>Keystone Commercial PPO</v>
      </c>
      <c r="W2222" s="1" t="str">
        <f t="shared" si="139"/>
        <v>2026-04</v>
      </c>
    </row>
    <row r="2223" spans="1:23">
      <c r="A2223" s="1" t="s">
        <v>3917</v>
      </c>
      <c r="B2223" s="1" t="s">
        <v>855</v>
      </c>
      <c r="C2223" s="1" t="s">
        <v>25</v>
      </c>
      <c r="D2223" s="1" t="s">
        <v>19</v>
      </c>
      <c r="E2223" s="1" t="s">
        <v>20</v>
      </c>
      <c r="F2223">
        <v>1</v>
      </c>
      <c r="G2223" s="2">
        <v>46156</v>
      </c>
      <c r="H2223" s="2">
        <v>46157</v>
      </c>
      <c r="I2223">
        <v>141.35</v>
      </c>
      <c r="J2223">
        <v>51.29</v>
      </c>
      <c r="K2223">
        <v>51.29</v>
      </c>
      <c r="L2223">
        <v>0</v>
      </c>
      <c r="M2223" s="1" t="s">
        <v>21</v>
      </c>
      <c r="N2223" s="1" t="s">
        <v>22</v>
      </c>
      <c r="O2223" s="2">
        <v>46167</v>
      </c>
      <c r="P2223" s="2">
        <v>46167</v>
      </c>
      <c r="Q2223">
        <f>_xlfn.XLOOKUP(E2223,CPT!$A$2:$A$13,CPT!$D$2:$D$13)</f>
        <v>145</v>
      </c>
      <c r="R2223" s="1">
        <f>_xlfn.XLOOKUP(C2223,Contract!$A$2:$A$9,Contract!$B$2:$B$9)</f>
        <v>0.36</v>
      </c>
      <c r="S2223" s="1">
        <f t="shared" si="136"/>
        <v>52.2</v>
      </c>
      <c r="T2223" s="1">
        <f t="shared" si="137"/>
        <v>0.91000000000000369</v>
      </c>
      <c r="U2223" s="1" t="str">
        <f t="shared" si="138"/>
        <v>OK</v>
      </c>
      <c r="V2223" s="1" t="str">
        <f>_xlfn.XLOOKUP(C2223,Payers!$A$2:$A$9,Payers!$B$2:$B$9)</f>
        <v>Medicare Part B</v>
      </c>
      <c r="W2223" s="1" t="str">
        <f t="shared" si="139"/>
        <v>2026-05</v>
      </c>
    </row>
    <row r="2224" spans="1:23">
      <c r="A2224" s="1" t="s">
        <v>3918</v>
      </c>
      <c r="B2224" s="1" t="s">
        <v>305</v>
      </c>
      <c r="C2224" s="1" t="s">
        <v>18</v>
      </c>
      <c r="D2224" s="1" t="s">
        <v>30</v>
      </c>
      <c r="E2224" s="1" t="s">
        <v>91</v>
      </c>
      <c r="F2224">
        <v>4</v>
      </c>
      <c r="G2224" s="2">
        <v>45933</v>
      </c>
      <c r="H2224" s="2">
        <v>45935</v>
      </c>
      <c r="I2224">
        <v>233.44</v>
      </c>
      <c r="J2224">
        <v>89.93</v>
      </c>
      <c r="K2224">
        <v>71.94</v>
      </c>
      <c r="L2224">
        <v>17.989999999999998</v>
      </c>
      <c r="M2224" s="1" t="s">
        <v>21</v>
      </c>
      <c r="N2224" s="1" t="s">
        <v>22</v>
      </c>
      <c r="O2224" s="2">
        <v>45958</v>
      </c>
      <c r="P2224" s="2">
        <v>45958</v>
      </c>
      <c r="Q2224">
        <f>_xlfn.XLOOKUP(E2224,CPT!$A$2:$A$13,CPT!$D$2:$D$13)</f>
        <v>58</v>
      </c>
      <c r="R2224" s="1">
        <f>_xlfn.XLOOKUP(C2224,Contract!$A$2:$A$9,Contract!$B$2:$B$9)</f>
        <v>0.38</v>
      </c>
      <c r="S2224" s="1">
        <f t="shared" si="136"/>
        <v>88.16</v>
      </c>
      <c r="T2224" s="1">
        <f t="shared" si="137"/>
        <v>-1.7700000000000102</v>
      </c>
      <c r="U2224" s="1" t="str">
        <f t="shared" si="138"/>
        <v>OK</v>
      </c>
      <c r="V2224" s="1" t="str">
        <f>_xlfn.XLOOKUP(C2224,Payers!$A$2:$A$9,Payers!$B$2:$B$9)</f>
        <v>Sunshine Medicare Advantage</v>
      </c>
      <c r="W2224" s="1" t="str">
        <f t="shared" si="139"/>
        <v>2025-10</v>
      </c>
    </row>
    <row r="2225" spans="1:23">
      <c r="A2225" s="1" t="s">
        <v>3919</v>
      </c>
      <c r="B2225" s="1" t="s">
        <v>3920</v>
      </c>
      <c r="C2225" s="1" t="s">
        <v>25</v>
      </c>
      <c r="D2225" s="1" t="s">
        <v>19</v>
      </c>
      <c r="E2225" s="1" t="s">
        <v>20</v>
      </c>
      <c r="F2225">
        <v>1</v>
      </c>
      <c r="G2225" s="2">
        <v>46259</v>
      </c>
      <c r="H2225" s="2">
        <v>46260</v>
      </c>
      <c r="I2225">
        <v>140.79</v>
      </c>
      <c r="J2225">
        <v>44.75</v>
      </c>
      <c r="K2225">
        <v>44.75</v>
      </c>
      <c r="L2225">
        <v>0</v>
      </c>
      <c r="M2225" s="1" t="s">
        <v>21</v>
      </c>
      <c r="N2225" s="1" t="s">
        <v>22</v>
      </c>
      <c r="O2225" s="2">
        <v>46281</v>
      </c>
      <c r="P2225" s="2">
        <v>46281</v>
      </c>
      <c r="Q2225">
        <f>_xlfn.XLOOKUP(E2225,CPT!$A$2:$A$13,CPT!$D$2:$D$13)</f>
        <v>145</v>
      </c>
      <c r="R2225" s="1">
        <f>_xlfn.XLOOKUP(C2225,Contract!$A$2:$A$9,Contract!$B$2:$B$9)</f>
        <v>0.36</v>
      </c>
      <c r="S2225" s="1">
        <f t="shared" si="136"/>
        <v>52.2</v>
      </c>
      <c r="T2225" s="1">
        <f t="shared" si="137"/>
        <v>7.4500000000000028</v>
      </c>
      <c r="U2225" s="1" t="str">
        <f t="shared" si="138"/>
        <v>Underpaid</v>
      </c>
      <c r="V2225" s="1" t="str">
        <f>_xlfn.XLOOKUP(C2225,Payers!$A$2:$A$9,Payers!$B$2:$B$9)</f>
        <v>Medicare Part B</v>
      </c>
      <c r="W2225" s="1" t="str">
        <f t="shared" si="139"/>
        <v>2026-08</v>
      </c>
    </row>
    <row r="2226" spans="1:23">
      <c r="A2226" s="1" t="s">
        <v>3921</v>
      </c>
      <c r="B2226" s="1" t="s">
        <v>981</v>
      </c>
      <c r="C2226" s="1" t="s">
        <v>25</v>
      </c>
      <c r="D2226" s="1" t="s">
        <v>19</v>
      </c>
      <c r="E2226" s="1" t="s">
        <v>20</v>
      </c>
      <c r="F2226">
        <v>1</v>
      </c>
      <c r="G2226" s="2">
        <v>46131</v>
      </c>
      <c r="H2226" s="2">
        <v>46132</v>
      </c>
      <c r="I2226">
        <v>147.91999999999999</v>
      </c>
      <c r="J2226">
        <v>54.44</v>
      </c>
      <c r="K2226">
        <v>49</v>
      </c>
      <c r="L2226">
        <v>5.44</v>
      </c>
      <c r="M2226" s="1" t="s">
        <v>21</v>
      </c>
      <c r="N2226" s="1" t="s">
        <v>22</v>
      </c>
      <c r="O2226" s="2">
        <v>46155</v>
      </c>
      <c r="P2226" s="2">
        <v>46155</v>
      </c>
      <c r="Q2226">
        <f>_xlfn.XLOOKUP(E2226,CPT!$A$2:$A$13,CPT!$D$2:$D$13)</f>
        <v>145</v>
      </c>
      <c r="R2226" s="1">
        <f>_xlfn.XLOOKUP(C2226,Contract!$A$2:$A$9,Contract!$B$2:$B$9)</f>
        <v>0.36</v>
      </c>
      <c r="S2226" s="1">
        <f t="shared" si="136"/>
        <v>52.2</v>
      </c>
      <c r="T2226" s="1">
        <f t="shared" si="137"/>
        <v>-2.2399999999999949</v>
      </c>
      <c r="U2226" s="1" t="str">
        <f t="shared" si="138"/>
        <v>OK</v>
      </c>
      <c r="V2226" s="1" t="str">
        <f>_xlfn.XLOOKUP(C2226,Payers!$A$2:$A$9,Payers!$B$2:$B$9)</f>
        <v>Medicare Part B</v>
      </c>
      <c r="W2226" s="1" t="str">
        <f t="shared" si="139"/>
        <v>2026-04</v>
      </c>
    </row>
    <row r="2227" spans="1:23">
      <c r="A2227" s="1" t="s">
        <v>3922</v>
      </c>
      <c r="B2227" s="1" t="s">
        <v>973</v>
      </c>
      <c r="C2227" s="1" t="s">
        <v>60</v>
      </c>
      <c r="D2227" s="1" t="s">
        <v>30</v>
      </c>
      <c r="E2227" s="1" t="s">
        <v>31</v>
      </c>
      <c r="F2227">
        <v>2</v>
      </c>
      <c r="G2227" s="2">
        <v>46027</v>
      </c>
      <c r="H2227" s="2">
        <v>46034</v>
      </c>
      <c r="I2227">
        <v>124.78</v>
      </c>
      <c r="M2227" s="1" t="s">
        <v>32</v>
      </c>
      <c r="N2227" s="1" t="s">
        <v>33</v>
      </c>
      <c r="O2227" s="2">
        <v>46060</v>
      </c>
      <c r="P2227" s="2"/>
      <c r="Q2227">
        <f>_xlfn.XLOOKUP(E2227,CPT!$A$2:$A$13,CPT!$D$2:$D$13)</f>
        <v>62</v>
      </c>
      <c r="R2227" s="1">
        <f>_xlfn.XLOOKUP(C2227,Contract!$A$2:$A$9,Contract!$B$2:$B$9)</f>
        <v>0.45</v>
      </c>
      <c r="S2227" s="1">
        <f t="shared" si="136"/>
        <v>55.8</v>
      </c>
      <c r="T2227" s="1" t="str">
        <f t="shared" si="137"/>
        <v/>
      </c>
      <c r="U2227" s="1" t="str">
        <f t="shared" si="138"/>
        <v/>
      </c>
      <c r="V2227" s="1" t="str">
        <f>_xlfn.XLOOKUP(C2227,Payers!$A$2:$A$9,Payers!$B$2:$B$9)</f>
        <v>Blue Horizon Commercial</v>
      </c>
      <c r="W2227" s="1" t="str">
        <f t="shared" si="139"/>
        <v>2026-01</v>
      </c>
    </row>
    <row r="2228" spans="1:23">
      <c r="A2228" s="1" t="s">
        <v>3923</v>
      </c>
      <c r="B2228" s="1" t="s">
        <v>3556</v>
      </c>
      <c r="C2228" s="1" t="s">
        <v>47</v>
      </c>
      <c r="D2228" s="1" t="s">
        <v>19</v>
      </c>
      <c r="E2228" s="1" t="s">
        <v>20</v>
      </c>
      <c r="F2228">
        <v>1</v>
      </c>
      <c r="G2228" s="2">
        <v>46064</v>
      </c>
      <c r="H2228" s="2">
        <v>46074</v>
      </c>
      <c r="I2228">
        <v>147.47999999999999</v>
      </c>
      <c r="J2228">
        <v>40.17</v>
      </c>
      <c r="K2228">
        <v>32.14</v>
      </c>
      <c r="L2228">
        <v>8.0299999999999994</v>
      </c>
      <c r="M2228" s="1" t="s">
        <v>21</v>
      </c>
      <c r="N2228" s="1" t="s">
        <v>22</v>
      </c>
      <c r="O2228" s="2">
        <v>46133</v>
      </c>
      <c r="P2228" s="2">
        <v>46133</v>
      </c>
      <c r="Q2228">
        <f>_xlfn.XLOOKUP(E2228,CPT!$A$2:$A$13,CPT!$D$2:$D$13)</f>
        <v>145</v>
      </c>
      <c r="R2228" s="1">
        <f>_xlfn.XLOOKUP(C2228,Contract!$A$2:$A$9,Contract!$B$2:$B$9)</f>
        <v>0.28000000000000003</v>
      </c>
      <c r="S2228" s="1">
        <f t="shared" si="136"/>
        <v>40.6</v>
      </c>
      <c r="T2228" s="1">
        <f t="shared" si="137"/>
        <v>0.42999999999999972</v>
      </c>
      <c r="U2228" s="1" t="str">
        <f t="shared" si="138"/>
        <v>OK</v>
      </c>
      <c r="V2228" s="1" t="str">
        <f>_xlfn.XLOOKUP(C2228,Payers!$A$2:$A$9,Payers!$B$2:$B$9)</f>
        <v>Coastal Medicaid MCO</v>
      </c>
      <c r="W2228" s="1" t="str">
        <f t="shared" si="139"/>
        <v>2026-02</v>
      </c>
    </row>
    <row r="2229" spans="1:23">
      <c r="A2229" s="1" t="s">
        <v>3924</v>
      </c>
      <c r="B2229" s="1" t="s">
        <v>2367</v>
      </c>
      <c r="C2229" s="1" t="s">
        <v>18</v>
      </c>
      <c r="D2229" s="1" t="s">
        <v>26</v>
      </c>
      <c r="E2229" s="1" t="s">
        <v>44</v>
      </c>
      <c r="F2229">
        <v>1</v>
      </c>
      <c r="G2229" s="2">
        <v>46078</v>
      </c>
      <c r="H2229" s="2">
        <v>46083</v>
      </c>
      <c r="I2229">
        <v>4942.3100000000004</v>
      </c>
      <c r="M2229" s="1" t="s">
        <v>32</v>
      </c>
      <c r="N2229" s="1" t="s">
        <v>168</v>
      </c>
      <c r="O2229" s="2">
        <v>46163</v>
      </c>
      <c r="P2229" s="2"/>
      <c r="Q2229">
        <f>_xlfn.XLOOKUP(E2229,CPT!$A$2:$A$13,CPT!$D$2:$D$13)</f>
        <v>4800</v>
      </c>
      <c r="R2229" s="1">
        <f>_xlfn.XLOOKUP(C2229,Contract!$A$2:$A$9,Contract!$B$2:$B$9)</f>
        <v>0.38</v>
      </c>
      <c r="S2229" s="1">
        <f t="shared" si="136"/>
        <v>1824</v>
      </c>
      <c r="T2229" s="1" t="str">
        <f t="shared" si="137"/>
        <v/>
      </c>
      <c r="U2229" s="1" t="str">
        <f t="shared" si="138"/>
        <v/>
      </c>
      <c r="V2229" s="1" t="str">
        <f>_xlfn.XLOOKUP(C2229,Payers!$A$2:$A$9,Payers!$B$2:$B$9)</f>
        <v>Sunshine Medicare Advantage</v>
      </c>
      <c r="W2229" s="1" t="str">
        <f t="shared" si="139"/>
        <v>2026-02</v>
      </c>
    </row>
    <row r="2230" spans="1:23">
      <c r="A2230" s="1" t="s">
        <v>3925</v>
      </c>
      <c r="B2230" s="1" t="s">
        <v>2522</v>
      </c>
      <c r="C2230" s="1" t="s">
        <v>47</v>
      </c>
      <c r="D2230" s="1" t="s">
        <v>26</v>
      </c>
      <c r="E2230" s="1" t="s">
        <v>113</v>
      </c>
      <c r="F2230">
        <v>1</v>
      </c>
      <c r="G2230" s="2">
        <v>46236</v>
      </c>
      <c r="H2230" s="2">
        <v>46239</v>
      </c>
      <c r="I2230">
        <v>1041.6500000000001</v>
      </c>
      <c r="M2230" s="1" t="s">
        <v>69</v>
      </c>
      <c r="N2230" s="1" t="s">
        <v>22</v>
      </c>
      <c r="O2230" s="2"/>
      <c r="P2230" s="2"/>
      <c r="Q2230">
        <f>_xlfn.XLOOKUP(E2230,CPT!$A$2:$A$13,CPT!$D$2:$D$13)</f>
        <v>1050</v>
      </c>
      <c r="R2230" s="1">
        <f>_xlfn.XLOOKUP(C2230,Contract!$A$2:$A$9,Contract!$B$2:$B$9)</f>
        <v>0.28000000000000003</v>
      </c>
      <c r="S2230" s="1">
        <f t="shared" si="136"/>
        <v>294</v>
      </c>
      <c r="T2230" s="1" t="str">
        <f t="shared" si="137"/>
        <v/>
      </c>
      <c r="U2230" s="1" t="str">
        <f t="shared" si="138"/>
        <v/>
      </c>
      <c r="V2230" s="1" t="str">
        <f>_xlfn.XLOOKUP(C2230,Payers!$A$2:$A$9,Payers!$B$2:$B$9)</f>
        <v>Coastal Medicaid MCO</v>
      </c>
      <c r="W2230" s="1" t="str">
        <f t="shared" si="139"/>
        <v>2026-08</v>
      </c>
    </row>
    <row r="2231" spans="1:23">
      <c r="A2231" s="1" t="s">
        <v>3926</v>
      </c>
      <c r="B2231" s="1" t="s">
        <v>2106</v>
      </c>
      <c r="C2231" s="1" t="s">
        <v>25</v>
      </c>
      <c r="D2231" s="1" t="s">
        <v>37</v>
      </c>
      <c r="E2231" s="1" t="s">
        <v>48</v>
      </c>
      <c r="F2231">
        <v>1</v>
      </c>
      <c r="G2231" s="2">
        <v>46060</v>
      </c>
      <c r="H2231" s="2">
        <v>46061</v>
      </c>
      <c r="I2231">
        <v>431.08</v>
      </c>
      <c r="J2231">
        <v>134.21</v>
      </c>
      <c r="K2231">
        <v>107.37</v>
      </c>
      <c r="L2231">
        <v>26.84</v>
      </c>
      <c r="M2231" s="1" t="s">
        <v>21</v>
      </c>
      <c r="N2231" s="1" t="s">
        <v>22</v>
      </c>
      <c r="O2231" s="2">
        <v>46080</v>
      </c>
      <c r="P2231" s="2">
        <v>46080</v>
      </c>
      <c r="Q2231">
        <f>_xlfn.XLOOKUP(E2231,CPT!$A$2:$A$13,CPT!$D$2:$D$13)</f>
        <v>420</v>
      </c>
      <c r="R2231" s="1">
        <f>_xlfn.XLOOKUP(C2231,Contract!$A$2:$A$9,Contract!$B$2:$B$9)</f>
        <v>0.36</v>
      </c>
      <c r="S2231" s="1">
        <f t="shared" si="136"/>
        <v>151.19999999999999</v>
      </c>
      <c r="T2231" s="1">
        <f t="shared" si="137"/>
        <v>16.989999999999981</v>
      </c>
      <c r="U2231" s="1" t="str">
        <f t="shared" si="138"/>
        <v>Underpaid</v>
      </c>
      <c r="V2231" s="1" t="str">
        <f>_xlfn.XLOOKUP(C2231,Payers!$A$2:$A$9,Payers!$B$2:$B$9)</f>
        <v>Medicare Part B</v>
      </c>
      <c r="W2231" s="1" t="str">
        <f t="shared" si="139"/>
        <v>2026-02</v>
      </c>
    </row>
    <row r="2232" spans="1:23">
      <c r="A2232" s="1" t="s">
        <v>3927</v>
      </c>
      <c r="B2232" s="1" t="s">
        <v>3658</v>
      </c>
      <c r="C2232" s="1" t="s">
        <v>76</v>
      </c>
      <c r="D2232" s="1" t="s">
        <v>19</v>
      </c>
      <c r="E2232" s="1" t="s">
        <v>41</v>
      </c>
      <c r="F2232">
        <v>1</v>
      </c>
      <c r="G2232" s="2">
        <v>46194</v>
      </c>
      <c r="H2232" s="2">
        <v>46200</v>
      </c>
      <c r="I2232">
        <v>37.31</v>
      </c>
      <c r="J2232">
        <v>14.45</v>
      </c>
      <c r="K2232">
        <v>14.45</v>
      </c>
      <c r="L2232">
        <v>0</v>
      </c>
      <c r="M2232" s="1" t="s">
        <v>21</v>
      </c>
      <c r="N2232" s="1" t="s">
        <v>22</v>
      </c>
      <c r="O2232" s="2">
        <v>46227</v>
      </c>
      <c r="P2232" s="2">
        <v>46227</v>
      </c>
      <c r="Q2232">
        <f>_xlfn.XLOOKUP(E2232,CPT!$A$2:$A$13,CPT!$D$2:$D$13)</f>
        <v>38</v>
      </c>
      <c r="R2232" s="1">
        <f>_xlfn.XLOOKUP(C2232,Contract!$A$2:$A$9,Contract!$B$2:$B$9)</f>
        <v>0.43</v>
      </c>
      <c r="S2232" s="1">
        <f t="shared" si="136"/>
        <v>16.34</v>
      </c>
      <c r="T2232" s="1">
        <f t="shared" si="137"/>
        <v>1.8900000000000006</v>
      </c>
      <c r="U2232" s="1" t="str">
        <f t="shared" si="138"/>
        <v>Underpaid</v>
      </c>
      <c r="V2232" s="1" t="str">
        <f>_xlfn.XLOOKUP(C2232,Payers!$A$2:$A$9,Payers!$B$2:$B$9)</f>
        <v>Summit Health Commercial</v>
      </c>
      <c r="W2232" s="1" t="str">
        <f t="shared" si="139"/>
        <v>2026-06</v>
      </c>
    </row>
    <row r="2233" spans="1:23">
      <c r="A2233" s="1" t="s">
        <v>3928</v>
      </c>
      <c r="B2233" s="1" t="s">
        <v>3505</v>
      </c>
      <c r="C2233" s="1" t="s">
        <v>25</v>
      </c>
      <c r="D2233" s="1" t="s">
        <v>30</v>
      </c>
      <c r="E2233" s="1" t="s">
        <v>91</v>
      </c>
      <c r="F2233">
        <v>4</v>
      </c>
      <c r="G2233" s="2">
        <v>46150</v>
      </c>
      <c r="H2233" s="2">
        <v>46153</v>
      </c>
      <c r="I2233">
        <v>227.27</v>
      </c>
      <c r="J2233">
        <v>79.06</v>
      </c>
      <c r="K2233">
        <v>71.150000000000006</v>
      </c>
      <c r="L2233">
        <v>7.91</v>
      </c>
      <c r="M2233" s="1" t="s">
        <v>21</v>
      </c>
      <c r="N2233" s="1" t="s">
        <v>22</v>
      </c>
      <c r="O2233" s="2">
        <v>46179</v>
      </c>
      <c r="P2233" s="2">
        <v>46179</v>
      </c>
      <c r="Q2233">
        <f>_xlfn.XLOOKUP(E2233,CPT!$A$2:$A$13,CPT!$D$2:$D$13)</f>
        <v>58</v>
      </c>
      <c r="R2233" s="1">
        <f>_xlfn.XLOOKUP(C2233,Contract!$A$2:$A$9,Contract!$B$2:$B$9)</f>
        <v>0.36</v>
      </c>
      <c r="S2233" s="1">
        <f t="shared" si="136"/>
        <v>83.52</v>
      </c>
      <c r="T2233" s="1">
        <f t="shared" si="137"/>
        <v>4.4599999999999937</v>
      </c>
      <c r="U2233" s="1" t="str">
        <f t="shared" si="138"/>
        <v>Underpaid</v>
      </c>
      <c r="V2233" s="1" t="str">
        <f>_xlfn.XLOOKUP(C2233,Payers!$A$2:$A$9,Payers!$B$2:$B$9)</f>
        <v>Medicare Part B</v>
      </c>
      <c r="W2233" s="1" t="str">
        <f t="shared" si="139"/>
        <v>2026-05</v>
      </c>
    </row>
    <row r="2234" spans="1:23">
      <c r="A2234" s="1" t="s">
        <v>3929</v>
      </c>
      <c r="B2234" s="1" t="s">
        <v>3930</v>
      </c>
      <c r="C2234" s="1" t="s">
        <v>60</v>
      </c>
      <c r="D2234" s="1" t="s">
        <v>26</v>
      </c>
      <c r="E2234" s="1" t="s">
        <v>57</v>
      </c>
      <c r="F2234">
        <v>1</v>
      </c>
      <c r="G2234" s="2">
        <v>46270</v>
      </c>
      <c r="H2234" s="2">
        <v>46273</v>
      </c>
      <c r="I2234">
        <v>213.92</v>
      </c>
      <c r="J2234">
        <v>81.430000000000007</v>
      </c>
      <c r="K2234">
        <v>81.430000000000007</v>
      </c>
      <c r="L2234">
        <v>0</v>
      </c>
      <c r="M2234" s="1" t="s">
        <v>21</v>
      </c>
      <c r="N2234" s="1" t="s">
        <v>22</v>
      </c>
      <c r="O2234" s="2">
        <v>46289</v>
      </c>
      <c r="P2234" s="2">
        <v>46289</v>
      </c>
      <c r="Q2234">
        <f>_xlfn.XLOOKUP(E2234,CPT!$A$2:$A$13,CPT!$D$2:$D$13)</f>
        <v>210</v>
      </c>
      <c r="R2234" s="1">
        <f>_xlfn.XLOOKUP(C2234,Contract!$A$2:$A$9,Contract!$B$2:$B$9)</f>
        <v>0.45</v>
      </c>
      <c r="S2234" s="1">
        <f t="shared" si="136"/>
        <v>94.5</v>
      </c>
      <c r="T2234" s="1">
        <f t="shared" si="137"/>
        <v>13.069999999999993</v>
      </c>
      <c r="U2234" s="1" t="str">
        <f t="shared" si="138"/>
        <v>Underpaid</v>
      </c>
      <c r="V2234" s="1" t="str">
        <f>_xlfn.XLOOKUP(C2234,Payers!$A$2:$A$9,Payers!$B$2:$B$9)</f>
        <v>Blue Horizon Commercial</v>
      </c>
      <c r="W2234" s="1" t="str">
        <f t="shared" si="139"/>
        <v>2026-09</v>
      </c>
    </row>
    <row r="2235" spans="1:23">
      <c r="A2235" s="1" t="s">
        <v>3931</v>
      </c>
      <c r="B2235" s="1" t="s">
        <v>492</v>
      </c>
      <c r="C2235" s="1" t="s">
        <v>76</v>
      </c>
      <c r="D2235" s="1" t="s">
        <v>37</v>
      </c>
      <c r="E2235" s="1" t="s">
        <v>57</v>
      </c>
      <c r="F2235">
        <v>1</v>
      </c>
      <c r="G2235" s="2">
        <v>46243</v>
      </c>
      <c r="H2235" s="2">
        <v>46248</v>
      </c>
      <c r="I2235">
        <v>210.77</v>
      </c>
      <c r="J2235">
        <v>84.52</v>
      </c>
      <c r="K2235">
        <v>67.62</v>
      </c>
      <c r="L2235">
        <v>16.899999999999999</v>
      </c>
      <c r="M2235" s="1" t="s">
        <v>21</v>
      </c>
      <c r="N2235" s="1" t="s">
        <v>22</v>
      </c>
      <c r="O2235" s="2">
        <v>46279</v>
      </c>
      <c r="P2235" s="2">
        <v>46279</v>
      </c>
      <c r="Q2235">
        <f>_xlfn.XLOOKUP(E2235,CPT!$A$2:$A$13,CPT!$D$2:$D$13)</f>
        <v>210</v>
      </c>
      <c r="R2235" s="1">
        <f>_xlfn.XLOOKUP(C2235,Contract!$A$2:$A$9,Contract!$B$2:$B$9)</f>
        <v>0.43</v>
      </c>
      <c r="S2235" s="1">
        <f t="shared" si="136"/>
        <v>90.3</v>
      </c>
      <c r="T2235" s="1">
        <f t="shared" si="137"/>
        <v>5.7800000000000011</v>
      </c>
      <c r="U2235" s="1" t="str">
        <f t="shared" si="138"/>
        <v>Underpaid</v>
      </c>
      <c r="V2235" s="1" t="str">
        <f>_xlfn.XLOOKUP(C2235,Payers!$A$2:$A$9,Payers!$B$2:$B$9)</f>
        <v>Summit Health Commercial</v>
      </c>
      <c r="W2235" s="1" t="str">
        <f t="shared" si="139"/>
        <v>2026-08</v>
      </c>
    </row>
    <row r="2236" spans="1:23">
      <c r="A2236" s="1" t="s">
        <v>3932</v>
      </c>
      <c r="B2236" s="1" t="s">
        <v>3933</v>
      </c>
      <c r="C2236" s="1" t="s">
        <v>60</v>
      </c>
      <c r="D2236" s="1" t="s">
        <v>37</v>
      </c>
      <c r="E2236" s="1" t="s">
        <v>57</v>
      </c>
      <c r="F2236">
        <v>1</v>
      </c>
      <c r="G2236" s="2">
        <v>45943</v>
      </c>
      <c r="H2236" s="2">
        <v>45950</v>
      </c>
      <c r="I2236">
        <v>213.32</v>
      </c>
      <c r="J2236">
        <v>82.84</v>
      </c>
      <c r="K2236">
        <v>82.84</v>
      </c>
      <c r="L2236">
        <v>0</v>
      </c>
      <c r="M2236" s="1" t="s">
        <v>21</v>
      </c>
      <c r="N2236" s="1" t="s">
        <v>22</v>
      </c>
      <c r="O2236" s="2">
        <v>45980</v>
      </c>
      <c r="P2236" s="2">
        <v>45980</v>
      </c>
      <c r="Q2236">
        <f>_xlfn.XLOOKUP(E2236,CPT!$A$2:$A$13,CPT!$D$2:$D$13)</f>
        <v>210</v>
      </c>
      <c r="R2236" s="1">
        <f>_xlfn.XLOOKUP(C2236,Contract!$A$2:$A$9,Contract!$B$2:$B$9)</f>
        <v>0.45</v>
      </c>
      <c r="S2236" s="1">
        <f t="shared" si="136"/>
        <v>94.5</v>
      </c>
      <c r="T2236" s="1">
        <f t="shared" si="137"/>
        <v>11.659999999999997</v>
      </c>
      <c r="U2236" s="1" t="str">
        <f t="shared" si="138"/>
        <v>Underpaid</v>
      </c>
      <c r="V2236" s="1" t="str">
        <f>_xlfn.XLOOKUP(C2236,Payers!$A$2:$A$9,Payers!$B$2:$B$9)</f>
        <v>Blue Horizon Commercial</v>
      </c>
      <c r="W2236" s="1" t="str">
        <f t="shared" si="139"/>
        <v>2025-10</v>
      </c>
    </row>
    <row r="2237" spans="1:23">
      <c r="A2237" s="1" t="s">
        <v>3934</v>
      </c>
      <c r="B2237" s="1" t="s">
        <v>2541</v>
      </c>
      <c r="C2237" s="1" t="s">
        <v>60</v>
      </c>
      <c r="D2237" s="1" t="s">
        <v>26</v>
      </c>
      <c r="E2237" s="1" t="s">
        <v>113</v>
      </c>
      <c r="F2237">
        <v>1</v>
      </c>
      <c r="G2237" s="2">
        <v>45935</v>
      </c>
      <c r="H2237" s="2">
        <v>45936</v>
      </c>
      <c r="I2237">
        <v>1021.72</v>
      </c>
      <c r="M2237" s="1" t="s">
        <v>32</v>
      </c>
      <c r="N2237" s="1" t="s">
        <v>124</v>
      </c>
      <c r="O2237" s="2">
        <v>45963</v>
      </c>
      <c r="P2237" s="2"/>
      <c r="Q2237">
        <f>_xlfn.XLOOKUP(E2237,CPT!$A$2:$A$13,CPT!$D$2:$D$13)</f>
        <v>1050</v>
      </c>
      <c r="R2237" s="1">
        <f>_xlfn.XLOOKUP(C2237,Contract!$A$2:$A$9,Contract!$B$2:$B$9)</f>
        <v>0.45</v>
      </c>
      <c r="S2237" s="1">
        <f t="shared" si="136"/>
        <v>472.5</v>
      </c>
      <c r="T2237" s="1" t="str">
        <f t="shared" si="137"/>
        <v/>
      </c>
      <c r="U2237" s="1" t="str">
        <f t="shared" si="138"/>
        <v/>
      </c>
      <c r="V2237" s="1" t="str">
        <f>_xlfn.XLOOKUP(C2237,Payers!$A$2:$A$9,Payers!$B$2:$B$9)</f>
        <v>Blue Horizon Commercial</v>
      </c>
      <c r="W2237" s="1" t="str">
        <f t="shared" si="139"/>
        <v>2025-10</v>
      </c>
    </row>
    <row r="2238" spans="1:23">
      <c r="A2238" s="1" t="s">
        <v>3935</v>
      </c>
      <c r="B2238" s="1" t="s">
        <v>3936</v>
      </c>
      <c r="C2238" s="1" t="s">
        <v>60</v>
      </c>
      <c r="D2238" s="1" t="s">
        <v>37</v>
      </c>
      <c r="E2238" s="1" t="s">
        <v>48</v>
      </c>
      <c r="F2238">
        <v>1</v>
      </c>
      <c r="G2238" s="2">
        <v>46181</v>
      </c>
      <c r="H2238" s="2">
        <v>46189</v>
      </c>
      <c r="I2238">
        <v>430.26</v>
      </c>
      <c r="J2238">
        <v>179.74</v>
      </c>
      <c r="K2238">
        <v>179.74</v>
      </c>
      <c r="L2238">
        <v>0</v>
      </c>
      <c r="M2238" s="1" t="s">
        <v>21</v>
      </c>
      <c r="N2238" s="1" t="s">
        <v>22</v>
      </c>
      <c r="O2238" s="2">
        <v>46218</v>
      </c>
      <c r="P2238" s="2">
        <v>46218</v>
      </c>
      <c r="Q2238">
        <f>_xlfn.XLOOKUP(E2238,CPT!$A$2:$A$13,CPT!$D$2:$D$13)</f>
        <v>420</v>
      </c>
      <c r="R2238" s="1">
        <f>_xlfn.XLOOKUP(C2238,Contract!$A$2:$A$9,Contract!$B$2:$B$9)</f>
        <v>0.45</v>
      </c>
      <c r="S2238" s="1">
        <f t="shared" si="136"/>
        <v>189</v>
      </c>
      <c r="T2238" s="1">
        <f t="shared" si="137"/>
        <v>9.2599999999999909</v>
      </c>
      <c r="U2238" s="1" t="str">
        <f t="shared" si="138"/>
        <v>OK</v>
      </c>
      <c r="V2238" s="1" t="str">
        <f>_xlfn.XLOOKUP(C2238,Payers!$A$2:$A$9,Payers!$B$2:$B$9)</f>
        <v>Blue Horizon Commercial</v>
      </c>
      <c r="W2238" s="1" t="str">
        <f t="shared" si="139"/>
        <v>2026-06</v>
      </c>
    </row>
    <row r="2239" spans="1:23">
      <c r="A2239" s="1" t="s">
        <v>3937</v>
      </c>
      <c r="B2239" s="1" t="s">
        <v>3216</v>
      </c>
      <c r="C2239" s="1" t="s">
        <v>60</v>
      </c>
      <c r="D2239" s="1" t="s">
        <v>19</v>
      </c>
      <c r="E2239" s="1" t="s">
        <v>20</v>
      </c>
      <c r="F2239">
        <v>1</v>
      </c>
      <c r="G2239" s="2">
        <v>46001</v>
      </c>
      <c r="H2239" s="2">
        <v>46021</v>
      </c>
      <c r="I2239">
        <v>143.57</v>
      </c>
      <c r="M2239" s="1" t="s">
        <v>32</v>
      </c>
      <c r="N2239" s="1" t="s">
        <v>33</v>
      </c>
      <c r="O2239" s="2">
        <v>46041</v>
      </c>
      <c r="P2239" s="2"/>
      <c r="Q2239">
        <f>_xlfn.XLOOKUP(E2239,CPT!$A$2:$A$13,CPT!$D$2:$D$13)</f>
        <v>145</v>
      </c>
      <c r="R2239" s="1">
        <f>_xlfn.XLOOKUP(C2239,Contract!$A$2:$A$9,Contract!$B$2:$B$9)</f>
        <v>0.45</v>
      </c>
      <c r="S2239" s="1">
        <f t="shared" si="136"/>
        <v>65.25</v>
      </c>
      <c r="T2239" s="1" t="str">
        <f t="shared" si="137"/>
        <v/>
      </c>
      <c r="U2239" s="1" t="str">
        <f t="shared" si="138"/>
        <v/>
      </c>
      <c r="V2239" s="1" t="str">
        <f>_xlfn.XLOOKUP(C2239,Payers!$A$2:$A$9,Payers!$B$2:$B$9)</f>
        <v>Blue Horizon Commercial</v>
      </c>
      <c r="W2239" s="1" t="str">
        <f t="shared" si="139"/>
        <v>2025-12</v>
      </c>
    </row>
    <row r="2240" spans="1:23">
      <c r="A2240" s="1" t="s">
        <v>3938</v>
      </c>
      <c r="B2240" s="1" t="s">
        <v>1796</v>
      </c>
      <c r="C2240" s="1" t="s">
        <v>60</v>
      </c>
      <c r="D2240" s="1" t="s">
        <v>26</v>
      </c>
      <c r="E2240" s="1" t="s">
        <v>185</v>
      </c>
      <c r="F2240">
        <v>1</v>
      </c>
      <c r="G2240" s="2">
        <v>46025</v>
      </c>
      <c r="H2240" s="2">
        <v>46026</v>
      </c>
      <c r="I2240">
        <v>1181.7</v>
      </c>
      <c r="M2240" s="1" t="s">
        <v>32</v>
      </c>
      <c r="N2240" s="1" t="s">
        <v>315</v>
      </c>
      <c r="O2240" s="2">
        <v>46063</v>
      </c>
      <c r="P2240" s="2"/>
      <c r="Q2240">
        <f>_xlfn.XLOOKUP(E2240,CPT!$A$2:$A$13,CPT!$D$2:$D$13)</f>
        <v>1150</v>
      </c>
      <c r="R2240" s="1">
        <f>_xlfn.XLOOKUP(C2240,Contract!$A$2:$A$9,Contract!$B$2:$B$9)</f>
        <v>0.45</v>
      </c>
      <c r="S2240" s="1">
        <f t="shared" si="136"/>
        <v>517.5</v>
      </c>
      <c r="T2240" s="1" t="str">
        <f t="shared" si="137"/>
        <v/>
      </c>
      <c r="U2240" s="1" t="str">
        <f t="shared" si="138"/>
        <v/>
      </c>
      <c r="V2240" s="1" t="str">
        <f>_xlfn.XLOOKUP(C2240,Payers!$A$2:$A$9,Payers!$B$2:$B$9)</f>
        <v>Blue Horizon Commercial</v>
      </c>
      <c r="W2240" s="1" t="str">
        <f t="shared" si="139"/>
        <v>2026-01</v>
      </c>
    </row>
    <row r="2241" spans="1:23">
      <c r="A2241" s="1" t="s">
        <v>3939</v>
      </c>
      <c r="B2241" s="1" t="s">
        <v>3940</v>
      </c>
      <c r="C2241" s="1" t="s">
        <v>36</v>
      </c>
      <c r="D2241" s="1" t="s">
        <v>37</v>
      </c>
      <c r="E2241" s="1" t="s">
        <v>38</v>
      </c>
      <c r="F2241">
        <v>20</v>
      </c>
      <c r="G2241" s="2">
        <v>46182</v>
      </c>
      <c r="H2241" s="2">
        <v>46189</v>
      </c>
      <c r="I2241">
        <v>28457.279999999999</v>
      </c>
      <c r="J2241">
        <v>6728.66</v>
      </c>
      <c r="K2241">
        <v>6728.66</v>
      </c>
      <c r="L2241">
        <v>0</v>
      </c>
      <c r="M2241" s="1" t="s">
        <v>21</v>
      </c>
      <c r="N2241" s="1" t="s">
        <v>22</v>
      </c>
      <c r="O2241" s="2">
        <v>46220</v>
      </c>
      <c r="P2241" s="2">
        <v>46220</v>
      </c>
      <c r="Q2241">
        <f>_xlfn.XLOOKUP(E2241,CPT!$A$2:$A$13,CPT!$D$2:$D$13)</f>
        <v>1450</v>
      </c>
      <c r="R2241" s="1">
        <f>_xlfn.XLOOKUP(C2241,Contract!$A$2:$A$9,Contract!$B$2:$B$9)</f>
        <v>0.27</v>
      </c>
      <c r="S2241" s="1">
        <f t="shared" si="136"/>
        <v>7830</v>
      </c>
      <c r="T2241" s="1">
        <f t="shared" si="137"/>
        <v>1101.3400000000001</v>
      </c>
      <c r="U2241" s="1" t="str">
        <f t="shared" si="138"/>
        <v>Underpaid</v>
      </c>
      <c r="V2241" s="1" t="str">
        <f>_xlfn.XLOOKUP(C2241,Payers!$A$2:$A$9,Payers!$B$2:$B$9)</f>
        <v>Florida Medicaid</v>
      </c>
      <c r="W2241" s="1" t="str">
        <f t="shared" si="139"/>
        <v>2026-06</v>
      </c>
    </row>
    <row r="2242" spans="1:23">
      <c r="A2242" s="1" t="s">
        <v>3941</v>
      </c>
      <c r="B2242" s="1" t="s">
        <v>3942</v>
      </c>
      <c r="C2242" s="1" t="s">
        <v>60</v>
      </c>
      <c r="D2242" s="1" t="s">
        <v>37</v>
      </c>
      <c r="E2242" s="1" t="s">
        <v>57</v>
      </c>
      <c r="F2242">
        <v>1</v>
      </c>
      <c r="G2242" s="2">
        <v>46016</v>
      </c>
      <c r="H2242" s="2">
        <v>46017</v>
      </c>
      <c r="I2242">
        <v>208.75</v>
      </c>
      <c r="J2242">
        <v>87.05</v>
      </c>
      <c r="K2242">
        <v>69.64</v>
      </c>
      <c r="L2242">
        <v>17.41</v>
      </c>
      <c r="M2242" s="1" t="s">
        <v>21</v>
      </c>
      <c r="N2242" s="1" t="s">
        <v>22</v>
      </c>
      <c r="O2242" s="2">
        <v>46029</v>
      </c>
      <c r="P2242" s="2">
        <v>46029</v>
      </c>
      <c r="Q2242">
        <f>_xlfn.XLOOKUP(E2242,CPT!$A$2:$A$13,CPT!$D$2:$D$13)</f>
        <v>210</v>
      </c>
      <c r="R2242" s="1">
        <f>_xlfn.XLOOKUP(C2242,Contract!$A$2:$A$9,Contract!$B$2:$B$9)</f>
        <v>0.45</v>
      </c>
      <c r="S2242" s="1">
        <f t="shared" ref="S2242:S2305" si="140">ROUND(Q2242*F2242*R2242,2)</f>
        <v>94.5</v>
      </c>
      <c r="T2242" s="1">
        <f t="shared" ref="T2242:T2305" si="141">IF(M2242="Paid",S2242-J2242,"")</f>
        <v>7.4500000000000028</v>
      </c>
      <c r="U2242" s="1" t="str">
        <f t="shared" ref="U2242:U2305" si="142">IF(M2242&lt;&gt;"Paid","",IF(T2242&gt;S2242*0.05,"Underpaid","OK"))</f>
        <v>Underpaid</v>
      </c>
      <c r="V2242" s="1" t="str">
        <f>_xlfn.XLOOKUP(C2242,Payers!$A$2:$A$9,Payers!$B$2:$B$9)</f>
        <v>Blue Horizon Commercial</v>
      </c>
      <c r="W2242" s="1" t="str">
        <f t="shared" ref="W2242:W2305" si="143">TEXT(G2242,"yyyy-mm")</f>
        <v>2025-12</v>
      </c>
    </row>
    <row r="2243" spans="1:23">
      <c r="A2243" s="1" t="s">
        <v>3943</v>
      </c>
      <c r="B2243" s="1" t="s">
        <v>3944</v>
      </c>
      <c r="C2243" s="1" t="s">
        <v>60</v>
      </c>
      <c r="D2243" s="1" t="s">
        <v>30</v>
      </c>
      <c r="E2243" s="1" t="s">
        <v>91</v>
      </c>
      <c r="F2243">
        <v>3</v>
      </c>
      <c r="G2243" s="2">
        <v>45957</v>
      </c>
      <c r="H2243" s="2">
        <v>45959</v>
      </c>
      <c r="I2243">
        <v>172.57</v>
      </c>
      <c r="J2243">
        <v>74.03</v>
      </c>
      <c r="K2243">
        <v>66.63</v>
      </c>
      <c r="L2243">
        <v>7.4</v>
      </c>
      <c r="M2243" s="1" t="s">
        <v>21</v>
      </c>
      <c r="N2243" s="1" t="s">
        <v>22</v>
      </c>
      <c r="O2243" s="2">
        <v>45981</v>
      </c>
      <c r="P2243" s="2">
        <v>45981</v>
      </c>
      <c r="Q2243">
        <f>_xlfn.XLOOKUP(E2243,CPT!$A$2:$A$13,CPT!$D$2:$D$13)</f>
        <v>58</v>
      </c>
      <c r="R2243" s="1">
        <f>_xlfn.XLOOKUP(C2243,Contract!$A$2:$A$9,Contract!$B$2:$B$9)</f>
        <v>0.45</v>
      </c>
      <c r="S2243" s="1">
        <f t="shared" si="140"/>
        <v>78.3</v>
      </c>
      <c r="T2243" s="1">
        <f t="shared" si="141"/>
        <v>4.269999999999996</v>
      </c>
      <c r="U2243" s="1" t="str">
        <f t="shared" si="142"/>
        <v>Underpaid</v>
      </c>
      <c r="V2243" s="1" t="str">
        <f>_xlfn.XLOOKUP(C2243,Payers!$A$2:$A$9,Payers!$B$2:$B$9)</f>
        <v>Blue Horizon Commercial</v>
      </c>
      <c r="W2243" s="1" t="str">
        <f t="shared" si="143"/>
        <v>2025-10</v>
      </c>
    </row>
    <row r="2244" spans="1:23">
      <c r="A2244" s="1" t="s">
        <v>3945</v>
      </c>
      <c r="B2244" s="1" t="s">
        <v>3946</v>
      </c>
      <c r="C2244" s="1" t="s">
        <v>25</v>
      </c>
      <c r="D2244" s="1" t="s">
        <v>30</v>
      </c>
      <c r="E2244" s="1" t="s">
        <v>91</v>
      </c>
      <c r="F2244">
        <v>1</v>
      </c>
      <c r="G2244" s="2">
        <v>46151</v>
      </c>
      <c r="H2244" s="2">
        <v>46158</v>
      </c>
      <c r="I2244">
        <v>59.04</v>
      </c>
      <c r="J2244">
        <v>20.09</v>
      </c>
      <c r="K2244">
        <v>18.079999999999998</v>
      </c>
      <c r="L2244">
        <v>2.0099999999999998</v>
      </c>
      <c r="M2244" s="1" t="s">
        <v>21</v>
      </c>
      <c r="N2244" s="1" t="s">
        <v>22</v>
      </c>
      <c r="O2244" s="2">
        <v>46183</v>
      </c>
      <c r="P2244" s="2">
        <v>46183</v>
      </c>
      <c r="Q2244">
        <f>_xlfn.XLOOKUP(E2244,CPT!$A$2:$A$13,CPT!$D$2:$D$13)</f>
        <v>58</v>
      </c>
      <c r="R2244" s="1">
        <f>_xlfn.XLOOKUP(C2244,Contract!$A$2:$A$9,Contract!$B$2:$B$9)</f>
        <v>0.36</v>
      </c>
      <c r="S2244" s="1">
        <f t="shared" si="140"/>
        <v>20.88</v>
      </c>
      <c r="T2244" s="1">
        <f t="shared" si="141"/>
        <v>0.78999999999999915</v>
      </c>
      <c r="U2244" s="1" t="str">
        <f t="shared" si="142"/>
        <v>OK</v>
      </c>
      <c r="V2244" s="1" t="str">
        <f>_xlfn.XLOOKUP(C2244,Payers!$A$2:$A$9,Payers!$B$2:$B$9)</f>
        <v>Medicare Part B</v>
      </c>
      <c r="W2244" s="1" t="str">
        <f t="shared" si="143"/>
        <v>2026-05</v>
      </c>
    </row>
    <row r="2245" spans="1:23">
      <c r="A2245" s="1" t="s">
        <v>3947</v>
      </c>
      <c r="B2245" s="1" t="s">
        <v>2481</v>
      </c>
      <c r="C2245" s="1" t="s">
        <v>18</v>
      </c>
      <c r="D2245" s="1" t="s">
        <v>30</v>
      </c>
      <c r="E2245" s="1" t="s">
        <v>91</v>
      </c>
      <c r="F2245">
        <v>4</v>
      </c>
      <c r="G2245" s="2">
        <v>46043</v>
      </c>
      <c r="H2245" s="2">
        <v>46044</v>
      </c>
      <c r="I2245">
        <v>231.36</v>
      </c>
      <c r="M2245" s="1" t="s">
        <v>32</v>
      </c>
      <c r="N2245" s="1" t="s">
        <v>33</v>
      </c>
      <c r="O2245" s="2">
        <v>46106</v>
      </c>
      <c r="P2245" s="2"/>
      <c r="Q2245">
        <f>_xlfn.XLOOKUP(E2245,CPT!$A$2:$A$13,CPT!$D$2:$D$13)</f>
        <v>58</v>
      </c>
      <c r="R2245" s="1">
        <f>_xlfn.XLOOKUP(C2245,Contract!$A$2:$A$9,Contract!$B$2:$B$9)</f>
        <v>0.38</v>
      </c>
      <c r="S2245" s="1">
        <f t="shared" si="140"/>
        <v>88.16</v>
      </c>
      <c r="T2245" s="1" t="str">
        <f t="shared" si="141"/>
        <v/>
      </c>
      <c r="U2245" s="1" t="str">
        <f t="shared" si="142"/>
        <v/>
      </c>
      <c r="V2245" s="1" t="str">
        <f>_xlfn.XLOOKUP(C2245,Payers!$A$2:$A$9,Payers!$B$2:$B$9)</f>
        <v>Sunshine Medicare Advantage</v>
      </c>
      <c r="W2245" s="1" t="str">
        <f t="shared" si="143"/>
        <v>2026-01</v>
      </c>
    </row>
    <row r="2246" spans="1:23">
      <c r="A2246" s="1" t="s">
        <v>3948</v>
      </c>
      <c r="B2246" s="1" t="s">
        <v>3949</v>
      </c>
      <c r="C2246" s="1" t="s">
        <v>18</v>
      </c>
      <c r="D2246" s="1" t="s">
        <v>30</v>
      </c>
      <c r="E2246" s="1" t="s">
        <v>31</v>
      </c>
      <c r="F2246">
        <v>1</v>
      </c>
      <c r="G2246" s="2">
        <v>46174</v>
      </c>
      <c r="H2246" s="2">
        <v>46180</v>
      </c>
      <c r="I2246">
        <v>63.72</v>
      </c>
      <c r="J2246">
        <v>26.35</v>
      </c>
      <c r="K2246">
        <v>21.08</v>
      </c>
      <c r="L2246">
        <v>5.27</v>
      </c>
      <c r="M2246" s="1" t="s">
        <v>21</v>
      </c>
      <c r="N2246" s="1" t="s">
        <v>22</v>
      </c>
      <c r="O2246" s="2">
        <v>46231</v>
      </c>
      <c r="P2246" s="2">
        <v>46231</v>
      </c>
      <c r="Q2246">
        <f>_xlfn.XLOOKUP(E2246,CPT!$A$2:$A$13,CPT!$D$2:$D$13)</f>
        <v>62</v>
      </c>
      <c r="R2246" s="1">
        <f>_xlfn.XLOOKUP(C2246,Contract!$A$2:$A$9,Contract!$B$2:$B$9)</f>
        <v>0.38</v>
      </c>
      <c r="S2246" s="1">
        <f t="shared" si="140"/>
        <v>23.56</v>
      </c>
      <c r="T2246" s="1">
        <f t="shared" si="141"/>
        <v>-2.7900000000000027</v>
      </c>
      <c r="U2246" s="1" t="str">
        <f t="shared" si="142"/>
        <v>OK</v>
      </c>
      <c r="V2246" s="1" t="str">
        <f>_xlfn.XLOOKUP(C2246,Payers!$A$2:$A$9,Payers!$B$2:$B$9)</f>
        <v>Sunshine Medicare Advantage</v>
      </c>
      <c r="W2246" s="1" t="str">
        <f t="shared" si="143"/>
        <v>2026-06</v>
      </c>
    </row>
    <row r="2247" spans="1:23">
      <c r="A2247" s="1" t="s">
        <v>3950</v>
      </c>
      <c r="B2247" s="1" t="s">
        <v>3951</v>
      </c>
      <c r="C2247" s="1" t="s">
        <v>52</v>
      </c>
      <c r="D2247" s="1" t="s">
        <v>19</v>
      </c>
      <c r="E2247" s="1" t="s">
        <v>20</v>
      </c>
      <c r="F2247">
        <v>1</v>
      </c>
      <c r="G2247" s="2">
        <v>46266</v>
      </c>
      <c r="H2247" s="2">
        <v>46267</v>
      </c>
      <c r="I2247">
        <v>144.5</v>
      </c>
      <c r="M2247" s="1" t="s">
        <v>69</v>
      </c>
      <c r="N2247" s="1" t="s">
        <v>22</v>
      </c>
      <c r="O2247" s="2"/>
      <c r="P2247" s="2"/>
      <c r="Q2247">
        <f>_xlfn.XLOOKUP(E2247,CPT!$A$2:$A$13,CPT!$D$2:$D$13)</f>
        <v>145</v>
      </c>
      <c r="R2247" s="1">
        <f>_xlfn.XLOOKUP(C2247,Contract!$A$2:$A$9,Contract!$B$2:$B$9)</f>
        <v>0.47</v>
      </c>
      <c r="S2247" s="1">
        <f t="shared" si="140"/>
        <v>68.150000000000006</v>
      </c>
      <c r="T2247" s="1" t="str">
        <f t="shared" si="141"/>
        <v/>
      </c>
      <c r="U2247" s="1" t="str">
        <f t="shared" si="142"/>
        <v/>
      </c>
      <c r="V2247" s="1" t="str">
        <f>_xlfn.XLOOKUP(C2247,Payers!$A$2:$A$9,Payers!$B$2:$B$9)</f>
        <v>Keystone Commercial PPO</v>
      </c>
      <c r="W2247" s="1" t="str">
        <f t="shared" si="143"/>
        <v>2026-09</v>
      </c>
    </row>
    <row r="2248" spans="1:23">
      <c r="A2248" s="1" t="s">
        <v>3952</v>
      </c>
      <c r="B2248" s="1" t="s">
        <v>3953</v>
      </c>
      <c r="C2248" s="1" t="s">
        <v>25</v>
      </c>
      <c r="D2248" s="1" t="s">
        <v>19</v>
      </c>
      <c r="E2248" s="1" t="s">
        <v>20</v>
      </c>
      <c r="F2248">
        <v>1</v>
      </c>
      <c r="G2248" s="2">
        <v>46151</v>
      </c>
      <c r="H2248" s="2">
        <v>46158</v>
      </c>
      <c r="I2248">
        <v>142.74</v>
      </c>
      <c r="J2248">
        <v>53.28</v>
      </c>
      <c r="K2248">
        <v>42.62</v>
      </c>
      <c r="L2248">
        <v>10.66</v>
      </c>
      <c r="M2248" s="1" t="s">
        <v>21</v>
      </c>
      <c r="N2248" s="1" t="s">
        <v>22</v>
      </c>
      <c r="O2248" s="2">
        <v>46174</v>
      </c>
      <c r="P2248" s="2">
        <v>46174</v>
      </c>
      <c r="Q2248">
        <f>_xlfn.XLOOKUP(E2248,CPT!$A$2:$A$13,CPT!$D$2:$D$13)</f>
        <v>145</v>
      </c>
      <c r="R2248" s="1">
        <f>_xlfn.XLOOKUP(C2248,Contract!$A$2:$A$9,Contract!$B$2:$B$9)</f>
        <v>0.36</v>
      </c>
      <c r="S2248" s="1">
        <f t="shared" si="140"/>
        <v>52.2</v>
      </c>
      <c r="T2248" s="1">
        <f t="shared" si="141"/>
        <v>-1.0799999999999983</v>
      </c>
      <c r="U2248" s="1" t="str">
        <f t="shared" si="142"/>
        <v>OK</v>
      </c>
      <c r="V2248" s="1" t="str">
        <f>_xlfn.XLOOKUP(C2248,Payers!$A$2:$A$9,Payers!$B$2:$B$9)</f>
        <v>Medicare Part B</v>
      </c>
      <c r="W2248" s="1" t="str">
        <f t="shared" si="143"/>
        <v>2026-05</v>
      </c>
    </row>
    <row r="2249" spans="1:23">
      <c r="A2249" s="1" t="s">
        <v>3954</v>
      </c>
      <c r="B2249" s="1" t="s">
        <v>570</v>
      </c>
      <c r="C2249" s="1" t="s">
        <v>18</v>
      </c>
      <c r="D2249" s="1" t="s">
        <v>26</v>
      </c>
      <c r="E2249" s="1" t="s">
        <v>88</v>
      </c>
      <c r="F2249">
        <v>1</v>
      </c>
      <c r="G2249" s="2">
        <v>46246</v>
      </c>
      <c r="H2249" s="2">
        <v>46250</v>
      </c>
      <c r="I2249">
        <v>265.02</v>
      </c>
      <c r="M2249" s="1" t="s">
        <v>69</v>
      </c>
      <c r="N2249" s="1" t="s">
        <v>22</v>
      </c>
      <c r="O2249" s="2"/>
      <c r="P2249" s="2"/>
      <c r="Q2249">
        <f>_xlfn.XLOOKUP(E2249,CPT!$A$2:$A$13,CPT!$D$2:$D$13)</f>
        <v>260</v>
      </c>
      <c r="R2249" s="1">
        <f>_xlfn.XLOOKUP(C2249,Contract!$A$2:$A$9,Contract!$B$2:$B$9)</f>
        <v>0.38</v>
      </c>
      <c r="S2249" s="1">
        <f t="shared" si="140"/>
        <v>98.8</v>
      </c>
      <c r="T2249" s="1" t="str">
        <f t="shared" si="141"/>
        <v/>
      </c>
      <c r="U2249" s="1" t="str">
        <f t="shared" si="142"/>
        <v/>
      </c>
      <c r="V2249" s="1" t="str">
        <f>_xlfn.XLOOKUP(C2249,Payers!$A$2:$A$9,Payers!$B$2:$B$9)</f>
        <v>Sunshine Medicare Advantage</v>
      </c>
      <c r="W2249" s="1" t="str">
        <f t="shared" si="143"/>
        <v>2026-08</v>
      </c>
    </row>
    <row r="2250" spans="1:23">
      <c r="A2250" s="1" t="s">
        <v>3955</v>
      </c>
      <c r="B2250" s="1" t="s">
        <v>871</v>
      </c>
      <c r="C2250" s="1" t="s">
        <v>52</v>
      </c>
      <c r="D2250" s="1" t="s">
        <v>37</v>
      </c>
      <c r="E2250" s="1" t="s">
        <v>48</v>
      </c>
      <c r="F2250">
        <v>1</v>
      </c>
      <c r="G2250" s="2">
        <v>46277</v>
      </c>
      <c r="H2250" s="2">
        <v>46289</v>
      </c>
      <c r="I2250">
        <v>427.66</v>
      </c>
      <c r="M2250" s="1" t="s">
        <v>69</v>
      </c>
      <c r="N2250" s="1" t="s">
        <v>22</v>
      </c>
      <c r="O2250" s="2"/>
      <c r="P2250" s="2"/>
      <c r="Q2250">
        <f>_xlfn.XLOOKUP(E2250,CPT!$A$2:$A$13,CPT!$D$2:$D$13)</f>
        <v>420</v>
      </c>
      <c r="R2250" s="1">
        <f>_xlfn.XLOOKUP(C2250,Contract!$A$2:$A$9,Contract!$B$2:$B$9)</f>
        <v>0.47</v>
      </c>
      <c r="S2250" s="1">
        <f t="shared" si="140"/>
        <v>197.4</v>
      </c>
      <c r="T2250" s="1" t="str">
        <f t="shared" si="141"/>
        <v/>
      </c>
      <c r="U2250" s="1" t="str">
        <f t="shared" si="142"/>
        <v/>
      </c>
      <c r="V2250" s="1" t="str">
        <f>_xlfn.XLOOKUP(C2250,Payers!$A$2:$A$9,Payers!$B$2:$B$9)</f>
        <v>Keystone Commercial PPO</v>
      </c>
      <c r="W2250" s="1" t="str">
        <f t="shared" si="143"/>
        <v>2026-09</v>
      </c>
    </row>
    <row r="2251" spans="1:23">
      <c r="A2251" s="1" t="s">
        <v>3956</v>
      </c>
      <c r="B2251" s="1" t="s">
        <v>3957</v>
      </c>
      <c r="C2251" s="1" t="s">
        <v>79</v>
      </c>
      <c r="D2251" s="1" t="s">
        <v>30</v>
      </c>
      <c r="E2251" s="1" t="s">
        <v>20</v>
      </c>
      <c r="F2251">
        <v>1</v>
      </c>
      <c r="G2251" s="2">
        <v>46088</v>
      </c>
      <c r="H2251" s="2">
        <v>46201</v>
      </c>
      <c r="I2251">
        <v>145.02000000000001</v>
      </c>
      <c r="M2251" s="1" t="s">
        <v>69</v>
      </c>
      <c r="N2251" s="1" t="s">
        <v>22</v>
      </c>
      <c r="O2251" s="2"/>
      <c r="P2251" s="2"/>
      <c r="Q2251">
        <f>_xlfn.XLOOKUP(E2251,CPT!$A$2:$A$13,CPT!$D$2:$D$13)</f>
        <v>145</v>
      </c>
      <c r="R2251" s="1">
        <f>_xlfn.XLOOKUP(C2251,Contract!$A$2:$A$9,Contract!$B$2:$B$9)</f>
        <v>1</v>
      </c>
      <c r="S2251" s="1">
        <f t="shared" si="140"/>
        <v>145</v>
      </c>
      <c r="T2251" s="1" t="str">
        <f t="shared" si="141"/>
        <v/>
      </c>
      <c r="U2251" s="1" t="str">
        <f t="shared" si="142"/>
        <v/>
      </c>
      <c r="V2251" s="1" t="str">
        <f>_xlfn.XLOOKUP(C2251,Payers!$A$2:$A$9,Payers!$B$2:$B$9)</f>
        <v>Self-Pay</v>
      </c>
      <c r="W2251" s="1" t="str">
        <f t="shared" si="143"/>
        <v>2026-03</v>
      </c>
    </row>
    <row r="2252" spans="1:23">
      <c r="A2252" s="1" t="s">
        <v>3958</v>
      </c>
      <c r="B2252" s="1" t="s">
        <v>3959</v>
      </c>
      <c r="C2252" s="1" t="s">
        <v>76</v>
      </c>
      <c r="D2252" s="1" t="s">
        <v>19</v>
      </c>
      <c r="E2252" s="1" t="s">
        <v>57</v>
      </c>
      <c r="F2252">
        <v>1</v>
      </c>
      <c r="G2252" s="2">
        <v>46118</v>
      </c>
      <c r="H2252" s="2">
        <v>46123</v>
      </c>
      <c r="I2252">
        <v>204.28</v>
      </c>
      <c r="J2252">
        <v>95.08</v>
      </c>
      <c r="K2252">
        <v>95.08</v>
      </c>
      <c r="L2252">
        <v>0</v>
      </c>
      <c r="M2252" s="1" t="s">
        <v>21</v>
      </c>
      <c r="N2252" s="1" t="s">
        <v>22</v>
      </c>
      <c r="O2252" s="2">
        <v>46155</v>
      </c>
      <c r="P2252" s="2">
        <v>46155</v>
      </c>
      <c r="Q2252">
        <f>_xlfn.XLOOKUP(E2252,CPT!$A$2:$A$13,CPT!$D$2:$D$13)</f>
        <v>210</v>
      </c>
      <c r="R2252" s="1">
        <f>_xlfn.XLOOKUP(C2252,Contract!$A$2:$A$9,Contract!$B$2:$B$9)</f>
        <v>0.43</v>
      </c>
      <c r="S2252" s="1">
        <f t="shared" si="140"/>
        <v>90.3</v>
      </c>
      <c r="T2252" s="1">
        <f t="shared" si="141"/>
        <v>-4.7800000000000011</v>
      </c>
      <c r="U2252" s="1" t="str">
        <f t="shared" si="142"/>
        <v>OK</v>
      </c>
      <c r="V2252" s="1" t="str">
        <f>_xlfn.XLOOKUP(C2252,Payers!$A$2:$A$9,Payers!$B$2:$B$9)</f>
        <v>Summit Health Commercial</v>
      </c>
      <c r="W2252" s="1" t="str">
        <f t="shared" si="143"/>
        <v>2026-04</v>
      </c>
    </row>
    <row r="2253" spans="1:23">
      <c r="A2253" s="1" t="s">
        <v>3960</v>
      </c>
      <c r="B2253" s="1" t="s">
        <v>3961</v>
      </c>
      <c r="C2253" s="1" t="s">
        <v>52</v>
      </c>
      <c r="D2253" s="1" t="s">
        <v>19</v>
      </c>
      <c r="E2253" s="1" t="s">
        <v>88</v>
      </c>
      <c r="F2253">
        <v>1</v>
      </c>
      <c r="G2253" s="2">
        <v>46169</v>
      </c>
      <c r="H2253" s="2">
        <v>46173</v>
      </c>
      <c r="I2253">
        <v>255.08</v>
      </c>
      <c r="M2253" s="1" t="s">
        <v>32</v>
      </c>
      <c r="N2253" s="1" t="s">
        <v>124</v>
      </c>
      <c r="O2253" s="2">
        <v>46228</v>
      </c>
      <c r="P2253" s="2"/>
      <c r="Q2253">
        <f>_xlfn.XLOOKUP(E2253,CPT!$A$2:$A$13,CPT!$D$2:$D$13)</f>
        <v>260</v>
      </c>
      <c r="R2253" s="1">
        <f>_xlfn.XLOOKUP(C2253,Contract!$A$2:$A$9,Contract!$B$2:$B$9)</f>
        <v>0.47</v>
      </c>
      <c r="S2253" s="1">
        <f t="shared" si="140"/>
        <v>122.2</v>
      </c>
      <c r="T2253" s="1" t="str">
        <f t="shared" si="141"/>
        <v/>
      </c>
      <c r="U2253" s="1" t="str">
        <f t="shared" si="142"/>
        <v/>
      </c>
      <c r="V2253" s="1" t="str">
        <f>_xlfn.XLOOKUP(C2253,Payers!$A$2:$A$9,Payers!$B$2:$B$9)</f>
        <v>Keystone Commercial PPO</v>
      </c>
      <c r="W2253" s="1" t="str">
        <f t="shared" si="143"/>
        <v>2026-05</v>
      </c>
    </row>
    <row r="2254" spans="1:23">
      <c r="A2254" s="1" t="s">
        <v>3962</v>
      </c>
      <c r="B2254" s="1" t="s">
        <v>3963</v>
      </c>
      <c r="C2254" s="1" t="s">
        <v>25</v>
      </c>
      <c r="D2254" s="1" t="s">
        <v>19</v>
      </c>
      <c r="E2254" s="1" t="s">
        <v>57</v>
      </c>
      <c r="F2254">
        <v>1</v>
      </c>
      <c r="G2254" s="2">
        <v>46058</v>
      </c>
      <c r="H2254" s="2">
        <v>46062</v>
      </c>
      <c r="I2254">
        <v>209.19</v>
      </c>
      <c r="J2254">
        <v>82.23</v>
      </c>
      <c r="K2254">
        <v>82.23</v>
      </c>
      <c r="L2254">
        <v>0</v>
      </c>
      <c r="M2254" s="1" t="s">
        <v>21</v>
      </c>
      <c r="N2254" s="1" t="s">
        <v>22</v>
      </c>
      <c r="O2254" s="2">
        <v>46086</v>
      </c>
      <c r="P2254" s="2">
        <v>46086</v>
      </c>
      <c r="Q2254">
        <f>_xlfn.XLOOKUP(E2254,CPT!$A$2:$A$13,CPT!$D$2:$D$13)</f>
        <v>210</v>
      </c>
      <c r="R2254" s="1">
        <f>_xlfn.XLOOKUP(C2254,Contract!$A$2:$A$9,Contract!$B$2:$B$9)</f>
        <v>0.36</v>
      </c>
      <c r="S2254" s="1">
        <f t="shared" si="140"/>
        <v>75.599999999999994</v>
      </c>
      <c r="T2254" s="1">
        <f t="shared" si="141"/>
        <v>-6.6300000000000097</v>
      </c>
      <c r="U2254" s="1" t="str">
        <f t="shared" si="142"/>
        <v>OK</v>
      </c>
      <c r="V2254" s="1" t="str">
        <f>_xlfn.XLOOKUP(C2254,Payers!$A$2:$A$9,Payers!$B$2:$B$9)</f>
        <v>Medicare Part B</v>
      </c>
      <c r="W2254" s="1" t="str">
        <f t="shared" si="143"/>
        <v>2026-02</v>
      </c>
    </row>
    <row r="2255" spans="1:23">
      <c r="A2255" s="1" t="s">
        <v>3964</v>
      </c>
      <c r="B2255" s="1" t="s">
        <v>3965</v>
      </c>
      <c r="C2255" s="1" t="s">
        <v>52</v>
      </c>
      <c r="D2255" s="1" t="s">
        <v>30</v>
      </c>
      <c r="E2255" s="1" t="s">
        <v>91</v>
      </c>
      <c r="F2255">
        <v>4</v>
      </c>
      <c r="G2255" s="2">
        <v>46278</v>
      </c>
      <c r="H2255" s="2">
        <v>46279</v>
      </c>
      <c r="I2255">
        <v>226.53</v>
      </c>
      <c r="M2255" s="1" t="s">
        <v>69</v>
      </c>
      <c r="N2255" s="1" t="s">
        <v>22</v>
      </c>
      <c r="O2255" s="2"/>
      <c r="P2255" s="2"/>
      <c r="Q2255">
        <f>_xlfn.XLOOKUP(E2255,CPT!$A$2:$A$13,CPT!$D$2:$D$13)</f>
        <v>58</v>
      </c>
      <c r="R2255" s="1">
        <f>_xlfn.XLOOKUP(C2255,Contract!$A$2:$A$9,Contract!$B$2:$B$9)</f>
        <v>0.47</v>
      </c>
      <c r="S2255" s="1">
        <f t="shared" si="140"/>
        <v>109.04</v>
      </c>
      <c r="T2255" s="1" t="str">
        <f t="shared" si="141"/>
        <v/>
      </c>
      <c r="U2255" s="1" t="str">
        <f t="shared" si="142"/>
        <v/>
      </c>
      <c r="V2255" s="1" t="str">
        <f>_xlfn.XLOOKUP(C2255,Payers!$A$2:$A$9,Payers!$B$2:$B$9)</f>
        <v>Keystone Commercial PPO</v>
      </c>
      <c r="W2255" s="1" t="str">
        <f t="shared" si="143"/>
        <v>2026-09</v>
      </c>
    </row>
    <row r="2256" spans="1:23">
      <c r="A2256" s="1" t="s">
        <v>3966</v>
      </c>
      <c r="B2256" s="1" t="s">
        <v>1534</v>
      </c>
      <c r="C2256" s="1" t="s">
        <v>47</v>
      </c>
      <c r="D2256" s="1" t="s">
        <v>19</v>
      </c>
      <c r="E2256" s="1" t="s">
        <v>41</v>
      </c>
      <c r="F2256">
        <v>1</v>
      </c>
      <c r="G2256" s="2">
        <v>46104</v>
      </c>
      <c r="H2256" s="2">
        <v>46114</v>
      </c>
      <c r="I2256">
        <v>38.700000000000003</v>
      </c>
      <c r="M2256" s="1" t="s">
        <v>32</v>
      </c>
      <c r="N2256" s="1" t="s">
        <v>33</v>
      </c>
      <c r="O2256" s="2">
        <v>46150</v>
      </c>
      <c r="P2256" s="2"/>
      <c r="Q2256">
        <f>_xlfn.XLOOKUP(E2256,CPT!$A$2:$A$13,CPT!$D$2:$D$13)</f>
        <v>38</v>
      </c>
      <c r="R2256" s="1">
        <f>_xlfn.XLOOKUP(C2256,Contract!$A$2:$A$9,Contract!$B$2:$B$9)</f>
        <v>0.28000000000000003</v>
      </c>
      <c r="S2256" s="1">
        <f t="shared" si="140"/>
        <v>10.64</v>
      </c>
      <c r="T2256" s="1" t="str">
        <f t="shared" si="141"/>
        <v/>
      </c>
      <c r="U2256" s="1" t="str">
        <f t="shared" si="142"/>
        <v/>
      </c>
      <c r="V2256" s="1" t="str">
        <f>_xlfn.XLOOKUP(C2256,Payers!$A$2:$A$9,Payers!$B$2:$B$9)</f>
        <v>Coastal Medicaid MCO</v>
      </c>
      <c r="W2256" s="1" t="str">
        <f t="shared" si="143"/>
        <v>2026-03</v>
      </c>
    </row>
    <row r="2257" spans="1:23">
      <c r="A2257" s="1" t="s">
        <v>3967</v>
      </c>
      <c r="B2257" s="1" t="s">
        <v>1102</v>
      </c>
      <c r="C2257" s="1" t="s">
        <v>60</v>
      </c>
      <c r="D2257" s="1" t="s">
        <v>37</v>
      </c>
      <c r="E2257" s="1" t="s">
        <v>48</v>
      </c>
      <c r="F2257">
        <v>1</v>
      </c>
      <c r="G2257" s="2">
        <v>46247</v>
      </c>
      <c r="H2257" s="2">
        <v>46248</v>
      </c>
      <c r="I2257">
        <v>411.32</v>
      </c>
      <c r="J2257">
        <v>179.17</v>
      </c>
      <c r="K2257">
        <v>179.17</v>
      </c>
      <c r="L2257">
        <v>0</v>
      </c>
      <c r="M2257" s="1" t="s">
        <v>21</v>
      </c>
      <c r="N2257" s="1" t="s">
        <v>22</v>
      </c>
      <c r="O2257" s="2">
        <v>46281</v>
      </c>
      <c r="P2257" s="2">
        <v>46281</v>
      </c>
      <c r="Q2257">
        <f>_xlfn.XLOOKUP(E2257,CPT!$A$2:$A$13,CPT!$D$2:$D$13)</f>
        <v>420</v>
      </c>
      <c r="R2257" s="1">
        <f>_xlfn.XLOOKUP(C2257,Contract!$A$2:$A$9,Contract!$B$2:$B$9)</f>
        <v>0.45</v>
      </c>
      <c r="S2257" s="1">
        <f t="shared" si="140"/>
        <v>189</v>
      </c>
      <c r="T2257" s="1">
        <f t="shared" si="141"/>
        <v>9.8300000000000125</v>
      </c>
      <c r="U2257" s="1" t="str">
        <f t="shared" si="142"/>
        <v>Underpaid</v>
      </c>
      <c r="V2257" s="1" t="str">
        <f>_xlfn.XLOOKUP(C2257,Payers!$A$2:$A$9,Payers!$B$2:$B$9)</f>
        <v>Blue Horizon Commercial</v>
      </c>
      <c r="W2257" s="1" t="str">
        <f t="shared" si="143"/>
        <v>2026-08</v>
      </c>
    </row>
    <row r="2258" spans="1:23">
      <c r="A2258" s="1" t="s">
        <v>3968</v>
      </c>
      <c r="B2258" s="1" t="s">
        <v>3969</v>
      </c>
      <c r="C2258" s="1" t="s">
        <v>18</v>
      </c>
      <c r="D2258" s="1" t="s">
        <v>26</v>
      </c>
      <c r="E2258" s="1" t="s">
        <v>57</v>
      </c>
      <c r="F2258">
        <v>1</v>
      </c>
      <c r="G2258" s="2">
        <v>46153</v>
      </c>
      <c r="H2258" s="2">
        <v>46154</v>
      </c>
      <c r="I2258">
        <v>213.5</v>
      </c>
      <c r="M2258" s="1" t="s">
        <v>32</v>
      </c>
      <c r="N2258" s="1" t="s">
        <v>33</v>
      </c>
      <c r="O2258" s="2">
        <v>46205</v>
      </c>
      <c r="P2258" s="2"/>
      <c r="Q2258">
        <f>_xlfn.XLOOKUP(E2258,CPT!$A$2:$A$13,CPT!$D$2:$D$13)</f>
        <v>210</v>
      </c>
      <c r="R2258" s="1">
        <f>_xlfn.XLOOKUP(C2258,Contract!$A$2:$A$9,Contract!$B$2:$B$9)</f>
        <v>0.38</v>
      </c>
      <c r="S2258" s="1">
        <f t="shared" si="140"/>
        <v>79.8</v>
      </c>
      <c r="T2258" s="1" t="str">
        <f t="shared" si="141"/>
        <v/>
      </c>
      <c r="U2258" s="1" t="str">
        <f t="shared" si="142"/>
        <v/>
      </c>
      <c r="V2258" s="1" t="str">
        <f>_xlfn.XLOOKUP(C2258,Payers!$A$2:$A$9,Payers!$B$2:$B$9)</f>
        <v>Sunshine Medicare Advantage</v>
      </c>
      <c r="W2258" s="1" t="str">
        <f t="shared" si="143"/>
        <v>2026-05</v>
      </c>
    </row>
    <row r="2259" spans="1:23">
      <c r="A2259" s="1" t="s">
        <v>3970</v>
      </c>
      <c r="B2259" s="1" t="s">
        <v>920</v>
      </c>
      <c r="C2259" s="1" t="s">
        <v>76</v>
      </c>
      <c r="D2259" s="1" t="s">
        <v>26</v>
      </c>
      <c r="E2259" s="1" t="s">
        <v>185</v>
      </c>
      <c r="F2259">
        <v>1</v>
      </c>
      <c r="G2259" s="2">
        <v>45936</v>
      </c>
      <c r="H2259" s="2">
        <v>45937</v>
      </c>
      <c r="I2259">
        <v>1171.31</v>
      </c>
      <c r="M2259" s="1" t="s">
        <v>32</v>
      </c>
      <c r="N2259" s="1" t="s">
        <v>33</v>
      </c>
      <c r="O2259" s="2">
        <v>45969</v>
      </c>
      <c r="P2259" s="2"/>
      <c r="Q2259">
        <f>_xlfn.XLOOKUP(E2259,CPT!$A$2:$A$13,CPT!$D$2:$D$13)</f>
        <v>1150</v>
      </c>
      <c r="R2259" s="1">
        <f>_xlfn.XLOOKUP(C2259,Contract!$A$2:$A$9,Contract!$B$2:$B$9)</f>
        <v>0.43</v>
      </c>
      <c r="S2259" s="1">
        <f t="shared" si="140"/>
        <v>494.5</v>
      </c>
      <c r="T2259" s="1" t="str">
        <f t="shared" si="141"/>
        <v/>
      </c>
      <c r="U2259" s="1" t="str">
        <f t="shared" si="142"/>
        <v/>
      </c>
      <c r="V2259" s="1" t="str">
        <f>_xlfn.XLOOKUP(C2259,Payers!$A$2:$A$9,Payers!$B$2:$B$9)</f>
        <v>Summit Health Commercial</v>
      </c>
      <c r="W2259" s="1" t="str">
        <f t="shared" si="143"/>
        <v>2025-10</v>
      </c>
    </row>
    <row r="2260" spans="1:23">
      <c r="A2260" s="1" t="s">
        <v>3971</v>
      </c>
      <c r="B2260" s="1" t="s">
        <v>3972</v>
      </c>
      <c r="C2260" s="1" t="s">
        <v>25</v>
      </c>
      <c r="D2260" s="1" t="s">
        <v>37</v>
      </c>
      <c r="E2260" s="1" t="s">
        <v>48</v>
      </c>
      <c r="F2260">
        <v>1</v>
      </c>
      <c r="G2260" s="2">
        <v>45959</v>
      </c>
      <c r="H2260" s="2">
        <v>45961</v>
      </c>
      <c r="I2260">
        <v>411.69</v>
      </c>
      <c r="J2260">
        <v>160.25</v>
      </c>
      <c r="K2260">
        <v>160.25</v>
      </c>
      <c r="L2260">
        <v>0</v>
      </c>
      <c r="M2260" s="1" t="s">
        <v>21</v>
      </c>
      <c r="N2260" s="1" t="s">
        <v>22</v>
      </c>
      <c r="O2260" s="2">
        <v>45986</v>
      </c>
      <c r="P2260" s="2">
        <v>45986</v>
      </c>
      <c r="Q2260">
        <f>_xlfn.XLOOKUP(E2260,CPT!$A$2:$A$13,CPT!$D$2:$D$13)</f>
        <v>420</v>
      </c>
      <c r="R2260" s="1">
        <f>_xlfn.XLOOKUP(C2260,Contract!$A$2:$A$9,Contract!$B$2:$B$9)</f>
        <v>0.36</v>
      </c>
      <c r="S2260" s="1">
        <f t="shared" si="140"/>
        <v>151.19999999999999</v>
      </c>
      <c r="T2260" s="1">
        <f t="shared" si="141"/>
        <v>-9.0500000000000114</v>
      </c>
      <c r="U2260" s="1" t="str">
        <f t="shared" si="142"/>
        <v>OK</v>
      </c>
      <c r="V2260" s="1" t="str">
        <f>_xlfn.XLOOKUP(C2260,Payers!$A$2:$A$9,Payers!$B$2:$B$9)</f>
        <v>Medicare Part B</v>
      </c>
      <c r="W2260" s="1" t="str">
        <f t="shared" si="143"/>
        <v>2025-10</v>
      </c>
    </row>
    <row r="2261" spans="1:23">
      <c r="A2261" s="1" t="s">
        <v>3973</v>
      </c>
      <c r="B2261" s="1" t="s">
        <v>3974</v>
      </c>
      <c r="C2261" s="1" t="s">
        <v>18</v>
      </c>
      <c r="D2261" s="1" t="s">
        <v>26</v>
      </c>
      <c r="E2261" s="1" t="s">
        <v>44</v>
      </c>
      <c r="F2261">
        <v>1</v>
      </c>
      <c r="G2261" s="2">
        <v>46036</v>
      </c>
      <c r="H2261" s="2">
        <v>46041</v>
      </c>
      <c r="I2261">
        <v>4734.67</v>
      </c>
      <c r="J2261">
        <v>1725.36</v>
      </c>
      <c r="K2261">
        <v>1725.36</v>
      </c>
      <c r="L2261">
        <v>0</v>
      </c>
      <c r="M2261" s="1" t="s">
        <v>21</v>
      </c>
      <c r="N2261" s="1" t="s">
        <v>22</v>
      </c>
      <c r="O2261" s="2">
        <v>46099</v>
      </c>
      <c r="P2261" s="2">
        <v>46099</v>
      </c>
      <c r="Q2261">
        <f>_xlfn.XLOOKUP(E2261,CPT!$A$2:$A$13,CPT!$D$2:$D$13)</f>
        <v>4800</v>
      </c>
      <c r="R2261" s="1">
        <f>_xlfn.XLOOKUP(C2261,Contract!$A$2:$A$9,Contract!$B$2:$B$9)</f>
        <v>0.38</v>
      </c>
      <c r="S2261" s="1">
        <f t="shared" si="140"/>
        <v>1824</v>
      </c>
      <c r="T2261" s="1">
        <f t="shared" si="141"/>
        <v>98.6400000000001</v>
      </c>
      <c r="U2261" s="1" t="str">
        <f t="shared" si="142"/>
        <v>Underpaid</v>
      </c>
      <c r="V2261" s="1" t="str">
        <f>_xlfn.XLOOKUP(C2261,Payers!$A$2:$A$9,Payers!$B$2:$B$9)</f>
        <v>Sunshine Medicare Advantage</v>
      </c>
      <c r="W2261" s="1" t="str">
        <f t="shared" si="143"/>
        <v>2026-01</v>
      </c>
    </row>
    <row r="2262" spans="1:23">
      <c r="A2262" s="1" t="s">
        <v>3975</v>
      </c>
      <c r="B2262" s="1" t="s">
        <v>2097</v>
      </c>
      <c r="C2262" s="1" t="s">
        <v>76</v>
      </c>
      <c r="D2262" s="1" t="s">
        <v>37</v>
      </c>
      <c r="E2262" s="1" t="s">
        <v>38</v>
      </c>
      <c r="F2262">
        <v>5</v>
      </c>
      <c r="G2262" s="2">
        <v>46148</v>
      </c>
      <c r="H2262" s="2">
        <v>46157</v>
      </c>
      <c r="I2262">
        <v>7051.92</v>
      </c>
      <c r="J2262">
        <v>3169.48</v>
      </c>
      <c r="K2262">
        <v>2852.53</v>
      </c>
      <c r="L2262">
        <v>316.95</v>
      </c>
      <c r="M2262" s="1" t="s">
        <v>21</v>
      </c>
      <c r="N2262" s="1" t="s">
        <v>22</v>
      </c>
      <c r="O2262" s="2">
        <v>46185</v>
      </c>
      <c r="P2262" s="2">
        <v>46185</v>
      </c>
      <c r="Q2262">
        <f>_xlfn.XLOOKUP(E2262,CPT!$A$2:$A$13,CPT!$D$2:$D$13)</f>
        <v>1450</v>
      </c>
      <c r="R2262" s="1">
        <f>_xlfn.XLOOKUP(C2262,Contract!$A$2:$A$9,Contract!$B$2:$B$9)</f>
        <v>0.43</v>
      </c>
      <c r="S2262" s="1">
        <f t="shared" si="140"/>
        <v>3117.5</v>
      </c>
      <c r="T2262" s="1">
        <f t="shared" si="141"/>
        <v>-51.980000000000018</v>
      </c>
      <c r="U2262" s="1" t="str">
        <f t="shared" si="142"/>
        <v>OK</v>
      </c>
      <c r="V2262" s="1" t="str">
        <f>_xlfn.XLOOKUP(C2262,Payers!$A$2:$A$9,Payers!$B$2:$B$9)</f>
        <v>Summit Health Commercial</v>
      </c>
      <c r="W2262" s="1" t="str">
        <f t="shared" si="143"/>
        <v>2026-05</v>
      </c>
    </row>
    <row r="2263" spans="1:23">
      <c r="A2263" s="1" t="s">
        <v>3976</v>
      </c>
      <c r="B2263" s="1" t="s">
        <v>3977</v>
      </c>
      <c r="C2263" s="1" t="s">
        <v>76</v>
      </c>
      <c r="D2263" s="1" t="s">
        <v>26</v>
      </c>
      <c r="E2263" s="1" t="s">
        <v>185</v>
      </c>
      <c r="F2263">
        <v>1</v>
      </c>
      <c r="G2263" s="2">
        <v>45982</v>
      </c>
      <c r="H2263" s="2">
        <v>45983</v>
      </c>
      <c r="I2263">
        <v>1153.1400000000001</v>
      </c>
      <c r="M2263" s="1" t="s">
        <v>32</v>
      </c>
      <c r="N2263" s="1" t="s">
        <v>315</v>
      </c>
      <c r="O2263" s="2">
        <v>46016</v>
      </c>
      <c r="P2263" s="2"/>
      <c r="Q2263">
        <f>_xlfn.XLOOKUP(E2263,CPT!$A$2:$A$13,CPT!$D$2:$D$13)</f>
        <v>1150</v>
      </c>
      <c r="R2263" s="1">
        <f>_xlfn.XLOOKUP(C2263,Contract!$A$2:$A$9,Contract!$B$2:$B$9)</f>
        <v>0.43</v>
      </c>
      <c r="S2263" s="1">
        <f t="shared" si="140"/>
        <v>494.5</v>
      </c>
      <c r="T2263" s="1" t="str">
        <f t="shared" si="141"/>
        <v/>
      </c>
      <c r="U2263" s="1" t="str">
        <f t="shared" si="142"/>
        <v/>
      </c>
      <c r="V2263" s="1" t="str">
        <f>_xlfn.XLOOKUP(C2263,Payers!$A$2:$A$9,Payers!$B$2:$B$9)</f>
        <v>Summit Health Commercial</v>
      </c>
      <c r="W2263" s="1" t="str">
        <f t="shared" si="143"/>
        <v>2025-11</v>
      </c>
    </row>
    <row r="2264" spans="1:23">
      <c r="A2264" s="1" t="s">
        <v>3978</v>
      </c>
      <c r="B2264" s="1" t="s">
        <v>3979</v>
      </c>
      <c r="C2264" s="1" t="s">
        <v>60</v>
      </c>
      <c r="D2264" s="1" t="s">
        <v>26</v>
      </c>
      <c r="E2264" s="1" t="s">
        <v>41</v>
      </c>
      <c r="F2264">
        <v>1</v>
      </c>
      <c r="G2264" s="2">
        <v>46275</v>
      </c>
      <c r="H2264" s="2">
        <v>46276</v>
      </c>
      <c r="I2264">
        <v>37.74</v>
      </c>
      <c r="M2264" s="1" t="s">
        <v>69</v>
      </c>
      <c r="N2264" s="1" t="s">
        <v>22</v>
      </c>
      <c r="O2264" s="2"/>
      <c r="P2264" s="2"/>
      <c r="Q2264">
        <f>_xlfn.XLOOKUP(E2264,CPT!$A$2:$A$13,CPT!$D$2:$D$13)</f>
        <v>38</v>
      </c>
      <c r="R2264" s="1">
        <f>_xlfn.XLOOKUP(C2264,Contract!$A$2:$A$9,Contract!$B$2:$B$9)</f>
        <v>0.45</v>
      </c>
      <c r="S2264" s="1">
        <f t="shared" si="140"/>
        <v>17.100000000000001</v>
      </c>
      <c r="T2264" s="1" t="str">
        <f t="shared" si="141"/>
        <v/>
      </c>
      <c r="U2264" s="1" t="str">
        <f t="shared" si="142"/>
        <v/>
      </c>
      <c r="V2264" s="1" t="str">
        <f>_xlfn.XLOOKUP(C2264,Payers!$A$2:$A$9,Payers!$B$2:$B$9)</f>
        <v>Blue Horizon Commercial</v>
      </c>
      <c r="W2264" s="1" t="str">
        <f t="shared" si="143"/>
        <v>2026-09</v>
      </c>
    </row>
    <row r="2265" spans="1:23">
      <c r="A2265" s="1" t="s">
        <v>3980</v>
      </c>
      <c r="B2265" s="1" t="s">
        <v>3268</v>
      </c>
      <c r="C2265" s="1" t="s">
        <v>25</v>
      </c>
      <c r="D2265" s="1" t="s">
        <v>19</v>
      </c>
      <c r="E2265" s="1" t="s">
        <v>20</v>
      </c>
      <c r="F2265">
        <v>1</v>
      </c>
      <c r="G2265" s="2">
        <v>46290</v>
      </c>
      <c r="H2265" s="2">
        <v>46292</v>
      </c>
      <c r="I2265">
        <v>144.82</v>
      </c>
      <c r="M2265" s="1" t="s">
        <v>69</v>
      </c>
      <c r="N2265" s="1" t="s">
        <v>22</v>
      </c>
      <c r="O2265" s="2"/>
      <c r="P2265" s="2"/>
      <c r="Q2265">
        <f>_xlfn.XLOOKUP(E2265,CPT!$A$2:$A$13,CPT!$D$2:$D$13)</f>
        <v>145</v>
      </c>
      <c r="R2265" s="1">
        <f>_xlfn.XLOOKUP(C2265,Contract!$A$2:$A$9,Contract!$B$2:$B$9)</f>
        <v>0.36</v>
      </c>
      <c r="S2265" s="1">
        <f t="shared" si="140"/>
        <v>52.2</v>
      </c>
      <c r="T2265" s="1" t="str">
        <f t="shared" si="141"/>
        <v/>
      </c>
      <c r="U2265" s="1" t="str">
        <f t="shared" si="142"/>
        <v/>
      </c>
      <c r="V2265" s="1" t="str">
        <f>_xlfn.XLOOKUP(C2265,Payers!$A$2:$A$9,Payers!$B$2:$B$9)</f>
        <v>Medicare Part B</v>
      </c>
      <c r="W2265" s="1" t="str">
        <f t="shared" si="143"/>
        <v>2026-09</v>
      </c>
    </row>
    <row r="2266" spans="1:23">
      <c r="A2266" s="1" t="s">
        <v>3981</v>
      </c>
      <c r="B2266" s="1" t="s">
        <v>3432</v>
      </c>
      <c r="C2266" s="1" t="s">
        <v>25</v>
      </c>
      <c r="D2266" s="1" t="s">
        <v>19</v>
      </c>
      <c r="E2266" s="1" t="s">
        <v>88</v>
      </c>
      <c r="F2266">
        <v>1</v>
      </c>
      <c r="G2266" s="2">
        <v>46150</v>
      </c>
      <c r="H2266" s="2">
        <v>46151</v>
      </c>
      <c r="I2266">
        <v>259.72000000000003</v>
      </c>
      <c r="M2266" s="1" t="s">
        <v>32</v>
      </c>
      <c r="N2266" s="1" t="s">
        <v>33</v>
      </c>
      <c r="O2266" s="2">
        <v>46167</v>
      </c>
      <c r="P2266" s="2"/>
      <c r="Q2266">
        <f>_xlfn.XLOOKUP(E2266,CPT!$A$2:$A$13,CPT!$D$2:$D$13)</f>
        <v>260</v>
      </c>
      <c r="R2266" s="1">
        <f>_xlfn.XLOOKUP(C2266,Contract!$A$2:$A$9,Contract!$B$2:$B$9)</f>
        <v>0.36</v>
      </c>
      <c r="S2266" s="1">
        <f t="shared" si="140"/>
        <v>93.6</v>
      </c>
      <c r="T2266" s="1" t="str">
        <f t="shared" si="141"/>
        <v/>
      </c>
      <c r="U2266" s="1" t="str">
        <f t="shared" si="142"/>
        <v/>
      </c>
      <c r="V2266" s="1" t="str">
        <f>_xlfn.XLOOKUP(C2266,Payers!$A$2:$A$9,Payers!$B$2:$B$9)</f>
        <v>Medicare Part B</v>
      </c>
      <c r="W2266" s="1" t="str">
        <f t="shared" si="143"/>
        <v>2026-05</v>
      </c>
    </row>
    <row r="2267" spans="1:23">
      <c r="A2267" s="1" t="s">
        <v>3982</v>
      </c>
      <c r="B2267" s="1" t="s">
        <v>3983</v>
      </c>
      <c r="C2267" s="1" t="s">
        <v>76</v>
      </c>
      <c r="D2267" s="1" t="s">
        <v>19</v>
      </c>
      <c r="E2267" s="1" t="s">
        <v>41</v>
      </c>
      <c r="F2267">
        <v>1</v>
      </c>
      <c r="G2267" s="2">
        <v>46218</v>
      </c>
      <c r="H2267" s="2">
        <v>46225</v>
      </c>
      <c r="I2267">
        <v>37.69</v>
      </c>
      <c r="J2267">
        <v>16.97</v>
      </c>
      <c r="K2267">
        <v>15.27</v>
      </c>
      <c r="L2267">
        <v>1.7</v>
      </c>
      <c r="M2267" s="1" t="s">
        <v>21</v>
      </c>
      <c r="N2267" s="1" t="s">
        <v>22</v>
      </c>
      <c r="O2267" s="2">
        <v>46240</v>
      </c>
      <c r="P2267" s="2">
        <v>46240</v>
      </c>
      <c r="Q2267">
        <f>_xlfn.XLOOKUP(E2267,CPT!$A$2:$A$13,CPT!$D$2:$D$13)</f>
        <v>38</v>
      </c>
      <c r="R2267" s="1">
        <f>_xlfn.XLOOKUP(C2267,Contract!$A$2:$A$9,Contract!$B$2:$B$9)</f>
        <v>0.43</v>
      </c>
      <c r="S2267" s="1">
        <f t="shared" si="140"/>
        <v>16.34</v>
      </c>
      <c r="T2267" s="1">
        <f t="shared" si="141"/>
        <v>-0.62999999999999901</v>
      </c>
      <c r="U2267" s="1" t="str">
        <f t="shared" si="142"/>
        <v>OK</v>
      </c>
      <c r="V2267" s="1" t="str">
        <f>_xlfn.XLOOKUP(C2267,Payers!$A$2:$A$9,Payers!$B$2:$B$9)</f>
        <v>Summit Health Commercial</v>
      </c>
      <c r="W2267" s="1" t="str">
        <f t="shared" si="143"/>
        <v>2026-07</v>
      </c>
    </row>
    <row r="2268" spans="1:23">
      <c r="A2268" s="1" t="s">
        <v>3984</v>
      </c>
      <c r="B2268" s="1" t="s">
        <v>1285</v>
      </c>
      <c r="C2268" s="1" t="s">
        <v>60</v>
      </c>
      <c r="D2268" s="1" t="s">
        <v>26</v>
      </c>
      <c r="E2268" s="1" t="s">
        <v>113</v>
      </c>
      <c r="F2268">
        <v>1</v>
      </c>
      <c r="G2268" s="2">
        <v>46121</v>
      </c>
      <c r="H2268" s="2">
        <v>46122</v>
      </c>
      <c r="I2268">
        <v>1023.6</v>
      </c>
      <c r="J2268">
        <v>496.94</v>
      </c>
      <c r="K2268">
        <v>447.25</v>
      </c>
      <c r="L2268">
        <v>49.69</v>
      </c>
      <c r="M2268" s="1" t="s">
        <v>21</v>
      </c>
      <c r="N2268" s="1" t="s">
        <v>22</v>
      </c>
      <c r="O2268" s="2">
        <v>46139</v>
      </c>
      <c r="P2268" s="2">
        <v>46139</v>
      </c>
      <c r="Q2268">
        <f>_xlfn.XLOOKUP(E2268,CPT!$A$2:$A$13,CPT!$D$2:$D$13)</f>
        <v>1050</v>
      </c>
      <c r="R2268" s="1">
        <f>_xlfn.XLOOKUP(C2268,Contract!$A$2:$A$9,Contract!$B$2:$B$9)</f>
        <v>0.45</v>
      </c>
      <c r="S2268" s="1">
        <f t="shared" si="140"/>
        <v>472.5</v>
      </c>
      <c r="T2268" s="1">
        <f t="shared" si="141"/>
        <v>-24.439999999999998</v>
      </c>
      <c r="U2268" s="1" t="str">
        <f t="shared" si="142"/>
        <v>OK</v>
      </c>
      <c r="V2268" s="1" t="str">
        <f>_xlfn.XLOOKUP(C2268,Payers!$A$2:$A$9,Payers!$B$2:$B$9)</f>
        <v>Blue Horizon Commercial</v>
      </c>
      <c r="W2268" s="1" t="str">
        <f t="shared" si="143"/>
        <v>2026-04</v>
      </c>
    </row>
    <row r="2269" spans="1:23">
      <c r="A2269" s="1" t="s">
        <v>3985</v>
      </c>
      <c r="B2269" s="1" t="s">
        <v>3986</v>
      </c>
      <c r="C2269" s="1" t="s">
        <v>52</v>
      </c>
      <c r="D2269" s="1" t="s">
        <v>26</v>
      </c>
      <c r="E2269" s="1" t="s">
        <v>185</v>
      </c>
      <c r="F2269">
        <v>1</v>
      </c>
      <c r="G2269" s="2">
        <v>46172</v>
      </c>
      <c r="H2269" s="2">
        <v>46175</v>
      </c>
      <c r="I2269">
        <v>1125.28</v>
      </c>
      <c r="J2269">
        <v>585.08000000000004</v>
      </c>
      <c r="K2269">
        <v>585.08000000000004</v>
      </c>
      <c r="L2269">
        <v>0</v>
      </c>
      <c r="M2269" s="1" t="s">
        <v>21</v>
      </c>
      <c r="N2269" s="1" t="s">
        <v>22</v>
      </c>
      <c r="O2269" s="2">
        <v>46203</v>
      </c>
      <c r="P2269" s="2">
        <v>46203</v>
      </c>
      <c r="Q2269">
        <f>_xlfn.XLOOKUP(E2269,CPT!$A$2:$A$13,CPT!$D$2:$D$13)</f>
        <v>1150</v>
      </c>
      <c r="R2269" s="1">
        <f>_xlfn.XLOOKUP(C2269,Contract!$A$2:$A$9,Contract!$B$2:$B$9)</f>
        <v>0.47</v>
      </c>
      <c r="S2269" s="1">
        <f t="shared" si="140"/>
        <v>540.5</v>
      </c>
      <c r="T2269" s="1">
        <f t="shared" si="141"/>
        <v>-44.580000000000041</v>
      </c>
      <c r="U2269" s="1" t="str">
        <f t="shared" si="142"/>
        <v>OK</v>
      </c>
      <c r="V2269" s="1" t="str">
        <f>_xlfn.XLOOKUP(C2269,Payers!$A$2:$A$9,Payers!$B$2:$B$9)</f>
        <v>Keystone Commercial PPO</v>
      </c>
      <c r="W2269" s="1" t="str">
        <f t="shared" si="143"/>
        <v>2026-05</v>
      </c>
    </row>
    <row r="2270" spans="1:23">
      <c r="A2270" s="1" t="s">
        <v>3987</v>
      </c>
      <c r="B2270" s="1" t="s">
        <v>1782</v>
      </c>
      <c r="C2270" s="1" t="s">
        <v>60</v>
      </c>
      <c r="D2270" s="1" t="s">
        <v>19</v>
      </c>
      <c r="E2270" s="1" t="s">
        <v>20</v>
      </c>
      <c r="F2270">
        <v>1</v>
      </c>
      <c r="G2270" s="2">
        <v>46159</v>
      </c>
      <c r="H2270" s="2">
        <v>46166</v>
      </c>
      <c r="I2270">
        <v>147.04</v>
      </c>
      <c r="J2270">
        <v>69.790000000000006</v>
      </c>
      <c r="K2270">
        <v>55.83</v>
      </c>
      <c r="L2270">
        <v>13.96</v>
      </c>
      <c r="M2270" s="1" t="s">
        <v>21</v>
      </c>
      <c r="N2270" s="1" t="s">
        <v>22</v>
      </c>
      <c r="O2270" s="2">
        <v>46180</v>
      </c>
      <c r="P2270" s="2">
        <v>46180</v>
      </c>
      <c r="Q2270">
        <f>_xlfn.XLOOKUP(E2270,CPT!$A$2:$A$13,CPT!$D$2:$D$13)</f>
        <v>145</v>
      </c>
      <c r="R2270" s="1">
        <f>_xlfn.XLOOKUP(C2270,Contract!$A$2:$A$9,Contract!$B$2:$B$9)</f>
        <v>0.45</v>
      </c>
      <c r="S2270" s="1">
        <f t="shared" si="140"/>
        <v>65.25</v>
      </c>
      <c r="T2270" s="1">
        <f t="shared" si="141"/>
        <v>-4.5400000000000063</v>
      </c>
      <c r="U2270" s="1" t="str">
        <f t="shared" si="142"/>
        <v>OK</v>
      </c>
      <c r="V2270" s="1" t="str">
        <f>_xlfn.XLOOKUP(C2270,Payers!$A$2:$A$9,Payers!$B$2:$B$9)</f>
        <v>Blue Horizon Commercial</v>
      </c>
      <c r="W2270" s="1" t="str">
        <f t="shared" si="143"/>
        <v>2026-05</v>
      </c>
    </row>
    <row r="2271" spans="1:23">
      <c r="A2271" s="1" t="s">
        <v>3988</v>
      </c>
      <c r="B2271" s="1" t="s">
        <v>3989</v>
      </c>
      <c r="C2271" s="1" t="s">
        <v>60</v>
      </c>
      <c r="D2271" s="1" t="s">
        <v>19</v>
      </c>
      <c r="E2271" s="1" t="s">
        <v>41</v>
      </c>
      <c r="F2271">
        <v>1</v>
      </c>
      <c r="G2271" s="2">
        <v>46136</v>
      </c>
      <c r="H2271" s="2">
        <v>46138</v>
      </c>
      <c r="I2271">
        <v>38.6</v>
      </c>
      <c r="J2271">
        <v>17.61</v>
      </c>
      <c r="K2271">
        <v>17.61</v>
      </c>
      <c r="L2271">
        <v>0</v>
      </c>
      <c r="M2271" s="1" t="s">
        <v>21</v>
      </c>
      <c r="N2271" s="1" t="s">
        <v>22</v>
      </c>
      <c r="O2271" s="2">
        <v>46165</v>
      </c>
      <c r="P2271" s="2">
        <v>46165</v>
      </c>
      <c r="Q2271">
        <f>_xlfn.XLOOKUP(E2271,CPT!$A$2:$A$13,CPT!$D$2:$D$13)</f>
        <v>38</v>
      </c>
      <c r="R2271" s="1">
        <f>_xlfn.XLOOKUP(C2271,Contract!$A$2:$A$9,Contract!$B$2:$B$9)</f>
        <v>0.45</v>
      </c>
      <c r="S2271" s="1">
        <f t="shared" si="140"/>
        <v>17.100000000000001</v>
      </c>
      <c r="T2271" s="1">
        <f t="shared" si="141"/>
        <v>-0.50999999999999801</v>
      </c>
      <c r="U2271" s="1" t="str">
        <f t="shared" si="142"/>
        <v>OK</v>
      </c>
      <c r="V2271" s="1" t="str">
        <f>_xlfn.XLOOKUP(C2271,Payers!$A$2:$A$9,Payers!$B$2:$B$9)</f>
        <v>Blue Horizon Commercial</v>
      </c>
      <c r="W2271" s="1" t="str">
        <f t="shared" si="143"/>
        <v>2026-04</v>
      </c>
    </row>
    <row r="2272" spans="1:23">
      <c r="A2272" s="1" t="s">
        <v>3990</v>
      </c>
      <c r="B2272" s="1" t="s">
        <v>3991</v>
      </c>
      <c r="C2272" s="1" t="s">
        <v>52</v>
      </c>
      <c r="D2272" s="1" t="s">
        <v>19</v>
      </c>
      <c r="E2272" s="1" t="s">
        <v>57</v>
      </c>
      <c r="F2272">
        <v>1</v>
      </c>
      <c r="G2272" s="2">
        <v>46031</v>
      </c>
      <c r="H2272" s="2">
        <v>46039</v>
      </c>
      <c r="I2272">
        <v>210.56</v>
      </c>
      <c r="J2272">
        <v>92.88</v>
      </c>
      <c r="K2272">
        <v>92.88</v>
      </c>
      <c r="L2272">
        <v>0</v>
      </c>
      <c r="M2272" s="1" t="s">
        <v>21</v>
      </c>
      <c r="N2272" s="1" t="s">
        <v>22</v>
      </c>
      <c r="O2272" s="2">
        <v>46092</v>
      </c>
      <c r="P2272" s="2">
        <v>46092</v>
      </c>
      <c r="Q2272">
        <f>_xlfn.XLOOKUP(E2272,CPT!$A$2:$A$13,CPT!$D$2:$D$13)</f>
        <v>210</v>
      </c>
      <c r="R2272" s="1">
        <f>_xlfn.XLOOKUP(C2272,Contract!$A$2:$A$9,Contract!$B$2:$B$9)</f>
        <v>0.47</v>
      </c>
      <c r="S2272" s="1">
        <f t="shared" si="140"/>
        <v>98.7</v>
      </c>
      <c r="T2272" s="1">
        <f t="shared" si="141"/>
        <v>5.8200000000000074</v>
      </c>
      <c r="U2272" s="1" t="str">
        <f t="shared" si="142"/>
        <v>Underpaid</v>
      </c>
      <c r="V2272" s="1" t="str">
        <f>_xlfn.XLOOKUP(C2272,Payers!$A$2:$A$9,Payers!$B$2:$B$9)</f>
        <v>Keystone Commercial PPO</v>
      </c>
      <c r="W2272" s="1" t="str">
        <f t="shared" si="143"/>
        <v>2026-01</v>
      </c>
    </row>
    <row r="2273" spans="1:23">
      <c r="A2273" s="1" t="s">
        <v>3992</v>
      </c>
      <c r="B2273" s="1" t="s">
        <v>121</v>
      </c>
      <c r="C2273" s="1" t="s">
        <v>18</v>
      </c>
      <c r="D2273" s="1" t="s">
        <v>37</v>
      </c>
      <c r="E2273" s="1" t="s">
        <v>57</v>
      </c>
      <c r="F2273">
        <v>1</v>
      </c>
      <c r="G2273" s="2">
        <v>46078</v>
      </c>
      <c r="H2273" s="2">
        <v>46092</v>
      </c>
      <c r="I2273">
        <v>212.11</v>
      </c>
      <c r="J2273">
        <v>88.39</v>
      </c>
      <c r="K2273">
        <v>70.709999999999994</v>
      </c>
      <c r="L2273">
        <v>17.68</v>
      </c>
      <c r="M2273" s="1" t="s">
        <v>21</v>
      </c>
      <c r="N2273" s="1" t="s">
        <v>22</v>
      </c>
      <c r="O2273" s="2">
        <v>46143</v>
      </c>
      <c r="P2273" s="2">
        <v>46143</v>
      </c>
      <c r="Q2273">
        <f>_xlfn.XLOOKUP(E2273,CPT!$A$2:$A$13,CPT!$D$2:$D$13)</f>
        <v>210</v>
      </c>
      <c r="R2273" s="1">
        <f>_xlfn.XLOOKUP(C2273,Contract!$A$2:$A$9,Contract!$B$2:$B$9)</f>
        <v>0.38</v>
      </c>
      <c r="S2273" s="1">
        <f t="shared" si="140"/>
        <v>79.8</v>
      </c>
      <c r="T2273" s="1">
        <f t="shared" si="141"/>
        <v>-8.5900000000000034</v>
      </c>
      <c r="U2273" s="1" t="str">
        <f t="shared" si="142"/>
        <v>OK</v>
      </c>
      <c r="V2273" s="1" t="str">
        <f>_xlfn.XLOOKUP(C2273,Payers!$A$2:$A$9,Payers!$B$2:$B$9)</f>
        <v>Sunshine Medicare Advantage</v>
      </c>
      <c r="W2273" s="1" t="str">
        <f t="shared" si="143"/>
        <v>2026-02</v>
      </c>
    </row>
    <row r="2274" spans="1:23">
      <c r="A2274" s="1" t="s">
        <v>3993</v>
      </c>
      <c r="B2274" s="1" t="s">
        <v>3994</v>
      </c>
      <c r="C2274" s="1" t="s">
        <v>18</v>
      </c>
      <c r="D2274" s="1" t="s">
        <v>19</v>
      </c>
      <c r="E2274" s="1" t="s">
        <v>57</v>
      </c>
      <c r="F2274">
        <v>1</v>
      </c>
      <c r="G2274" s="2">
        <v>45931</v>
      </c>
      <c r="H2274" s="2">
        <v>45936</v>
      </c>
      <c r="I2274">
        <v>207.44</v>
      </c>
      <c r="M2274" s="1" t="s">
        <v>32</v>
      </c>
      <c r="N2274" s="1" t="s">
        <v>124</v>
      </c>
      <c r="O2274" s="2">
        <v>45984</v>
      </c>
      <c r="P2274" s="2"/>
      <c r="Q2274">
        <f>_xlfn.XLOOKUP(E2274,CPT!$A$2:$A$13,CPT!$D$2:$D$13)</f>
        <v>210</v>
      </c>
      <c r="R2274" s="1">
        <f>_xlfn.XLOOKUP(C2274,Contract!$A$2:$A$9,Contract!$B$2:$B$9)</f>
        <v>0.38</v>
      </c>
      <c r="S2274" s="1">
        <f t="shared" si="140"/>
        <v>79.8</v>
      </c>
      <c r="T2274" s="1" t="str">
        <f t="shared" si="141"/>
        <v/>
      </c>
      <c r="U2274" s="1" t="str">
        <f t="shared" si="142"/>
        <v/>
      </c>
      <c r="V2274" s="1" t="str">
        <f>_xlfn.XLOOKUP(C2274,Payers!$A$2:$A$9,Payers!$B$2:$B$9)</f>
        <v>Sunshine Medicare Advantage</v>
      </c>
      <c r="W2274" s="1" t="str">
        <f t="shared" si="143"/>
        <v>2025-10</v>
      </c>
    </row>
    <row r="2275" spans="1:23">
      <c r="A2275" s="1" t="s">
        <v>3995</v>
      </c>
      <c r="B2275" s="1" t="s">
        <v>3996</v>
      </c>
      <c r="C2275" s="1" t="s">
        <v>79</v>
      </c>
      <c r="D2275" s="1" t="s">
        <v>26</v>
      </c>
      <c r="E2275" s="1" t="s">
        <v>113</v>
      </c>
      <c r="F2275">
        <v>1</v>
      </c>
      <c r="G2275" s="2">
        <v>46146</v>
      </c>
      <c r="H2275" s="2">
        <v>46157</v>
      </c>
      <c r="I2275">
        <v>1031.55</v>
      </c>
      <c r="M2275" s="1" t="s">
        <v>69</v>
      </c>
      <c r="N2275" s="1" t="s">
        <v>22</v>
      </c>
      <c r="O2275" s="2"/>
      <c r="P2275" s="2"/>
      <c r="Q2275">
        <f>_xlfn.XLOOKUP(E2275,CPT!$A$2:$A$13,CPT!$D$2:$D$13)</f>
        <v>1050</v>
      </c>
      <c r="R2275" s="1">
        <f>_xlfn.XLOOKUP(C2275,Contract!$A$2:$A$9,Contract!$B$2:$B$9)</f>
        <v>1</v>
      </c>
      <c r="S2275" s="1">
        <f t="shared" si="140"/>
        <v>1050</v>
      </c>
      <c r="T2275" s="1" t="str">
        <f t="shared" si="141"/>
        <v/>
      </c>
      <c r="U2275" s="1" t="str">
        <f t="shared" si="142"/>
        <v/>
      </c>
      <c r="V2275" s="1" t="str">
        <f>_xlfn.XLOOKUP(C2275,Payers!$A$2:$A$9,Payers!$B$2:$B$9)</f>
        <v>Self-Pay</v>
      </c>
      <c r="W2275" s="1" t="str">
        <f t="shared" si="143"/>
        <v>2026-05</v>
      </c>
    </row>
    <row r="2276" spans="1:23">
      <c r="A2276" s="1" t="s">
        <v>3997</v>
      </c>
      <c r="B2276" s="1" t="s">
        <v>410</v>
      </c>
      <c r="C2276" s="1" t="s">
        <v>25</v>
      </c>
      <c r="D2276" s="1" t="s">
        <v>19</v>
      </c>
      <c r="E2276" s="1" t="s">
        <v>41</v>
      </c>
      <c r="F2276">
        <v>1</v>
      </c>
      <c r="G2276" s="2">
        <v>46220</v>
      </c>
      <c r="H2276" s="2">
        <v>46223</v>
      </c>
      <c r="I2276">
        <v>37.74</v>
      </c>
      <c r="J2276">
        <v>11.57</v>
      </c>
      <c r="K2276">
        <v>11.57</v>
      </c>
      <c r="L2276">
        <v>0</v>
      </c>
      <c r="M2276" s="1" t="s">
        <v>21</v>
      </c>
      <c r="N2276" s="1" t="s">
        <v>22</v>
      </c>
      <c r="O2276" s="2">
        <v>46236</v>
      </c>
      <c r="P2276" s="2">
        <v>46236</v>
      </c>
      <c r="Q2276">
        <f>_xlfn.XLOOKUP(E2276,CPT!$A$2:$A$13,CPT!$D$2:$D$13)</f>
        <v>38</v>
      </c>
      <c r="R2276" s="1">
        <f>_xlfn.XLOOKUP(C2276,Contract!$A$2:$A$9,Contract!$B$2:$B$9)</f>
        <v>0.36</v>
      </c>
      <c r="S2276" s="1">
        <f t="shared" si="140"/>
        <v>13.68</v>
      </c>
      <c r="T2276" s="1">
        <f t="shared" si="141"/>
        <v>2.1099999999999994</v>
      </c>
      <c r="U2276" s="1" t="str">
        <f t="shared" si="142"/>
        <v>Underpaid</v>
      </c>
      <c r="V2276" s="1" t="str">
        <f>_xlfn.XLOOKUP(C2276,Payers!$A$2:$A$9,Payers!$B$2:$B$9)</f>
        <v>Medicare Part B</v>
      </c>
      <c r="W2276" s="1" t="str">
        <f t="shared" si="143"/>
        <v>2026-07</v>
      </c>
    </row>
    <row r="2277" spans="1:23">
      <c r="A2277" s="1" t="s">
        <v>3998</v>
      </c>
      <c r="B2277" s="1" t="s">
        <v>629</v>
      </c>
      <c r="C2277" s="1" t="s">
        <v>60</v>
      </c>
      <c r="D2277" s="1" t="s">
        <v>26</v>
      </c>
      <c r="E2277" s="1" t="s">
        <v>27</v>
      </c>
      <c r="F2277">
        <v>1</v>
      </c>
      <c r="G2277" s="2">
        <v>46280</v>
      </c>
      <c r="H2277" s="2">
        <v>46285</v>
      </c>
      <c r="I2277">
        <v>241.49</v>
      </c>
      <c r="M2277" s="1" t="s">
        <v>69</v>
      </c>
      <c r="N2277" s="1" t="s">
        <v>22</v>
      </c>
      <c r="O2277" s="2"/>
      <c r="P2277" s="2"/>
      <c r="Q2277">
        <f>_xlfn.XLOOKUP(E2277,CPT!$A$2:$A$13,CPT!$D$2:$D$13)</f>
        <v>240</v>
      </c>
      <c r="R2277" s="1">
        <f>_xlfn.XLOOKUP(C2277,Contract!$A$2:$A$9,Contract!$B$2:$B$9)</f>
        <v>0.45</v>
      </c>
      <c r="S2277" s="1">
        <f t="shared" si="140"/>
        <v>108</v>
      </c>
      <c r="T2277" s="1" t="str">
        <f t="shared" si="141"/>
        <v/>
      </c>
      <c r="U2277" s="1" t="str">
        <f t="shared" si="142"/>
        <v/>
      </c>
      <c r="V2277" s="1" t="str">
        <f>_xlfn.XLOOKUP(C2277,Payers!$A$2:$A$9,Payers!$B$2:$B$9)</f>
        <v>Blue Horizon Commercial</v>
      </c>
      <c r="W2277" s="1" t="str">
        <f t="shared" si="143"/>
        <v>2026-09</v>
      </c>
    </row>
    <row r="2278" spans="1:23">
      <c r="A2278" s="1" t="s">
        <v>3999</v>
      </c>
      <c r="B2278" s="1" t="s">
        <v>4000</v>
      </c>
      <c r="C2278" s="1" t="s">
        <v>25</v>
      </c>
      <c r="D2278" s="1" t="s">
        <v>26</v>
      </c>
      <c r="E2278" s="1" t="s">
        <v>185</v>
      </c>
      <c r="F2278">
        <v>1</v>
      </c>
      <c r="G2278" s="2">
        <v>46023</v>
      </c>
      <c r="H2278" s="2">
        <v>46024</v>
      </c>
      <c r="I2278">
        <v>1167.03</v>
      </c>
      <c r="J2278">
        <v>483.89</v>
      </c>
      <c r="K2278">
        <v>483.89</v>
      </c>
      <c r="L2278">
        <v>0</v>
      </c>
      <c r="M2278" s="1" t="s">
        <v>21</v>
      </c>
      <c r="N2278" s="1" t="s">
        <v>22</v>
      </c>
      <c r="O2278" s="2">
        <v>46035</v>
      </c>
      <c r="P2278" s="2">
        <v>46035</v>
      </c>
      <c r="Q2278">
        <f>_xlfn.XLOOKUP(E2278,CPT!$A$2:$A$13,CPT!$D$2:$D$13)</f>
        <v>1150</v>
      </c>
      <c r="R2278" s="1">
        <f>_xlfn.XLOOKUP(C2278,Contract!$A$2:$A$9,Contract!$B$2:$B$9)</f>
        <v>0.36</v>
      </c>
      <c r="S2278" s="1">
        <f t="shared" si="140"/>
        <v>414</v>
      </c>
      <c r="T2278" s="1">
        <f t="shared" si="141"/>
        <v>-69.889999999999986</v>
      </c>
      <c r="U2278" s="1" t="str">
        <f t="shared" si="142"/>
        <v>OK</v>
      </c>
      <c r="V2278" s="1" t="str">
        <f>_xlfn.XLOOKUP(C2278,Payers!$A$2:$A$9,Payers!$B$2:$B$9)</f>
        <v>Medicare Part B</v>
      </c>
      <c r="W2278" s="1" t="str">
        <f t="shared" si="143"/>
        <v>2026-01</v>
      </c>
    </row>
    <row r="2279" spans="1:23">
      <c r="A2279" s="1" t="s">
        <v>4001</v>
      </c>
      <c r="B2279" s="1" t="s">
        <v>4002</v>
      </c>
      <c r="C2279" s="1" t="s">
        <v>76</v>
      </c>
      <c r="D2279" s="1" t="s">
        <v>30</v>
      </c>
      <c r="E2279" s="1" t="s">
        <v>91</v>
      </c>
      <c r="F2279">
        <v>1</v>
      </c>
      <c r="G2279" s="2">
        <v>46045</v>
      </c>
      <c r="H2279" s="2">
        <v>46183</v>
      </c>
      <c r="I2279">
        <v>56.48</v>
      </c>
      <c r="M2279" s="1" t="s">
        <v>32</v>
      </c>
      <c r="N2279" s="1" t="s">
        <v>137</v>
      </c>
      <c r="O2279" s="2">
        <v>46207</v>
      </c>
      <c r="P2279" s="2"/>
      <c r="Q2279">
        <f>_xlfn.XLOOKUP(E2279,CPT!$A$2:$A$13,CPT!$D$2:$D$13)</f>
        <v>58</v>
      </c>
      <c r="R2279" s="1">
        <f>_xlfn.XLOOKUP(C2279,Contract!$A$2:$A$9,Contract!$B$2:$B$9)</f>
        <v>0.43</v>
      </c>
      <c r="S2279" s="1">
        <f t="shared" si="140"/>
        <v>24.94</v>
      </c>
      <c r="T2279" s="1" t="str">
        <f t="shared" si="141"/>
        <v/>
      </c>
      <c r="U2279" s="1" t="str">
        <f t="shared" si="142"/>
        <v/>
      </c>
      <c r="V2279" s="1" t="str">
        <f>_xlfn.XLOOKUP(C2279,Payers!$A$2:$A$9,Payers!$B$2:$B$9)</f>
        <v>Summit Health Commercial</v>
      </c>
      <c r="W2279" s="1" t="str">
        <f t="shared" si="143"/>
        <v>2026-01</v>
      </c>
    </row>
    <row r="2280" spans="1:23">
      <c r="A2280" s="1" t="s">
        <v>4003</v>
      </c>
      <c r="B2280" s="1" t="s">
        <v>1045</v>
      </c>
      <c r="C2280" s="1" t="s">
        <v>52</v>
      </c>
      <c r="D2280" s="1" t="s">
        <v>19</v>
      </c>
      <c r="E2280" s="1" t="s">
        <v>57</v>
      </c>
      <c r="F2280">
        <v>1</v>
      </c>
      <c r="G2280" s="2">
        <v>46074</v>
      </c>
      <c r="H2280" s="2">
        <v>46077</v>
      </c>
      <c r="I2280">
        <v>209.75</v>
      </c>
      <c r="M2280" s="1" t="s">
        <v>32</v>
      </c>
      <c r="N2280" s="1" t="s">
        <v>98</v>
      </c>
      <c r="O2280" s="2">
        <v>46086</v>
      </c>
      <c r="P2280" s="2"/>
      <c r="Q2280">
        <f>_xlfn.XLOOKUP(E2280,CPT!$A$2:$A$13,CPT!$D$2:$D$13)</f>
        <v>210</v>
      </c>
      <c r="R2280" s="1">
        <f>_xlfn.XLOOKUP(C2280,Contract!$A$2:$A$9,Contract!$B$2:$B$9)</f>
        <v>0.47</v>
      </c>
      <c r="S2280" s="1">
        <f t="shared" si="140"/>
        <v>98.7</v>
      </c>
      <c r="T2280" s="1" t="str">
        <f t="shared" si="141"/>
        <v/>
      </c>
      <c r="U2280" s="1" t="str">
        <f t="shared" si="142"/>
        <v/>
      </c>
      <c r="V2280" s="1" t="str">
        <f>_xlfn.XLOOKUP(C2280,Payers!$A$2:$A$9,Payers!$B$2:$B$9)</f>
        <v>Keystone Commercial PPO</v>
      </c>
      <c r="W2280" s="1" t="str">
        <f t="shared" si="143"/>
        <v>2026-02</v>
      </c>
    </row>
    <row r="2281" spans="1:23">
      <c r="A2281" s="1" t="s">
        <v>4004</v>
      </c>
      <c r="B2281" s="1" t="s">
        <v>4005</v>
      </c>
      <c r="C2281" s="1" t="s">
        <v>76</v>
      </c>
      <c r="D2281" s="1" t="s">
        <v>30</v>
      </c>
      <c r="E2281" s="1" t="s">
        <v>91</v>
      </c>
      <c r="F2281">
        <v>3</v>
      </c>
      <c r="G2281" s="2">
        <v>46160</v>
      </c>
      <c r="H2281" s="2">
        <v>46167</v>
      </c>
      <c r="I2281">
        <v>175.18</v>
      </c>
      <c r="J2281">
        <v>82.64</v>
      </c>
      <c r="K2281">
        <v>66.11</v>
      </c>
      <c r="L2281">
        <v>16.53</v>
      </c>
      <c r="M2281" s="1" t="s">
        <v>21</v>
      </c>
      <c r="N2281" s="1" t="s">
        <v>22</v>
      </c>
      <c r="O2281" s="2">
        <v>46184</v>
      </c>
      <c r="P2281" s="2">
        <v>46184</v>
      </c>
      <c r="Q2281">
        <f>_xlfn.XLOOKUP(E2281,CPT!$A$2:$A$13,CPT!$D$2:$D$13)</f>
        <v>58</v>
      </c>
      <c r="R2281" s="1">
        <f>_xlfn.XLOOKUP(C2281,Contract!$A$2:$A$9,Contract!$B$2:$B$9)</f>
        <v>0.43</v>
      </c>
      <c r="S2281" s="1">
        <f t="shared" si="140"/>
        <v>74.819999999999993</v>
      </c>
      <c r="T2281" s="1">
        <f t="shared" si="141"/>
        <v>-7.8200000000000074</v>
      </c>
      <c r="U2281" s="1" t="str">
        <f t="shared" si="142"/>
        <v>OK</v>
      </c>
      <c r="V2281" s="1" t="str">
        <f>_xlfn.XLOOKUP(C2281,Payers!$A$2:$A$9,Payers!$B$2:$B$9)</f>
        <v>Summit Health Commercial</v>
      </c>
      <c r="W2281" s="1" t="str">
        <f t="shared" si="143"/>
        <v>2026-05</v>
      </c>
    </row>
    <row r="2282" spans="1:23">
      <c r="A2282" s="1" t="s">
        <v>4006</v>
      </c>
      <c r="B2282" s="1" t="s">
        <v>1592</v>
      </c>
      <c r="C2282" s="1" t="s">
        <v>25</v>
      </c>
      <c r="D2282" s="1" t="s">
        <v>19</v>
      </c>
      <c r="E2282" s="1" t="s">
        <v>41</v>
      </c>
      <c r="F2282">
        <v>1</v>
      </c>
      <c r="G2282" s="2">
        <v>45960</v>
      </c>
      <c r="H2282" s="2">
        <v>45971</v>
      </c>
      <c r="I2282">
        <v>37.58</v>
      </c>
      <c r="J2282">
        <v>13.49</v>
      </c>
      <c r="K2282">
        <v>10.79</v>
      </c>
      <c r="L2282">
        <v>2.7</v>
      </c>
      <c r="M2282" s="1" t="s">
        <v>21</v>
      </c>
      <c r="N2282" s="1" t="s">
        <v>22</v>
      </c>
      <c r="O2282" s="2">
        <v>45994</v>
      </c>
      <c r="P2282" s="2">
        <v>45994</v>
      </c>
      <c r="Q2282">
        <f>_xlfn.XLOOKUP(E2282,CPT!$A$2:$A$13,CPT!$D$2:$D$13)</f>
        <v>38</v>
      </c>
      <c r="R2282" s="1">
        <f>_xlfn.XLOOKUP(C2282,Contract!$A$2:$A$9,Contract!$B$2:$B$9)</f>
        <v>0.36</v>
      </c>
      <c r="S2282" s="1">
        <f t="shared" si="140"/>
        <v>13.68</v>
      </c>
      <c r="T2282" s="1">
        <f t="shared" si="141"/>
        <v>0.1899999999999995</v>
      </c>
      <c r="U2282" s="1" t="str">
        <f t="shared" si="142"/>
        <v>OK</v>
      </c>
      <c r="V2282" s="1" t="str">
        <f>_xlfn.XLOOKUP(C2282,Payers!$A$2:$A$9,Payers!$B$2:$B$9)</f>
        <v>Medicare Part B</v>
      </c>
      <c r="W2282" s="1" t="str">
        <f t="shared" si="143"/>
        <v>2025-10</v>
      </c>
    </row>
    <row r="2283" spans="1:23">
      <c r="A2283" s="1" t="s">
        <v>4007</v>
      </c>
      <c r="B2283" s="1" t="s">
        <v>3768</v>
      </c>
      <c r="C2283" s="1" t="s">
        <v>76</v>
      </c>
      <c r="D2283" s="1" t="s">
        <v>26</v>
      </c>
      <c r="E2283" s="1" t="s">
        <v>113</v>
      </c>
      <c r="F2283">
        <v>1</v>
      </c>
      <c r="G2283" s="2">
        <v>45979</v>
      </c>
      <c r="H2283" s="2">
        <v>45983</v>
      </c>
      <c r="I2283">
        <v>1053.33</v>
      </c>
      <c r="M2283" s="1" t="s">
        <v>32</v>
      </c>
      <c r="N2283" s="1" t="s">
        <v>124</v>
      </c>
      <c r="O2283" s="2">
        <v>46022</v>
      </c>
      <c r="P2283" s="2"/>
      <c r="Q2283">
        <f>_xlfn.XLOOKUP(E2283,CPT!$A$2:$A$13,CPT!$D$2:$D$13)</f>
        <v>1050</v>
      </c>
      <c r="R2283" s="1">
        <f>_xlfn.XLOOKUP(C2283,Contract!$A$2:$A$9,Contract!$B$2:$B$9)</f>
        <v>0.43</v>
      </c>
      <c r="S2283" s="1">
        <f t="shared" si="140"/>
        <v>451.5</v>
      </c>
      <c r="T2283" s="1" t="str">
        <f t="shared" si="141"/>
        <v/>
      </c>
      <c r="U2283" s="1" t="str">
        <f t="shared" si="142"/>
        <v/>
      </c>
      <c r="V2283" s="1" t="str">
        <f>_xlfn.XLOOKUP(C2283,Payers!$A$2:$A$9,Payers!$B$2:$B$9)</f>
        <v>Summit Health Commercial</v>
      </c>
      <c r="W2283" s="1" t="str">
        <f t="shared" si="143"/>
        <v>2025-11</v>
      </c>
    </row>
    <row r="2284" spans="1:23">
      <c r="A2284" s="1" t="s">
        <v>4008</v>
      </c>
      <c r="B2284" s="1" t="s">
        <v>4009</v>
      </c>
      <c r="C2284" s="1" t="s">
        <v>76</v>
      </c>
      <c r="D2284" s="1" t="s">
        <v>30</v>
      </c>
      <c r="E2284" s="1" t="s">
        <v>20</v>
      </c>
      <c r="F2284">
        <v>1</v>
      </c>
      <c r="G2284" s="2">
        <v>46055</v>
      </c>
      <c r="H2284" s="2">
        <v>46058</v>
      </c>
      <c r="I2284">
        <v>141.47</v>
      </c>
      <c r="J2284">
        <v>59.74</v>
      </c>
      <c r="K2284">
        <v>47.79</v>
      </c>
      <c r="L2284">
        <v>11.95</v>
      </c>
      <c r="M2284" s="1" t="s">
        <v>21</v>
      </c>
      <c r="N2284" s="1" t="s">
        <v>22</v>
      </c>
      <c r="O2284" s="2">
        <v>46107</v>
      </c>
      <c r="P2284" s="2">
        <v>46107</v>
      </c>
      <c r="Q2284">
        <f>_xlfn.XLOOKUP(E2284,CPT!$A$2:$A$13,CPT!$D$2:$D$13)</f>
        <v>145</v>
      </c>
      <c r="R2284" s="1">
        <f>_xlfn.XLOOKUP(C2284,Contract!$A$2:$A$9,Contract!$B$2:$B$9)</f>
        <v>0.43</v>
      </c>
      <c r="S2284" s="1">
        <f t="shared" si="140"/>
        <v>62.35</v>
      </c>
      <c r="T2284" s="1">
        <f t="shared" si="141"/>
        <v>2.6099999999999994</v>
      </c>
      <c r="U2284" s="1" t="str">
        <f t="shared" si="142"/>
        <v>OK</v>
      </c>
      <c r="V2284" s="1" t="str">
        <f>_xlfn.XLOOKUP(C2284,Payers!$A$2:$A$9,Payers!$B$2:$B$9)</f>
        <v>Summit Health Commercial</v>
      </c>
      <c r="W2284" s="1" t="str">
        <f t="shared" si="143"/>
        <v>2026-02</v>
      </c>
    </row>
    <row r="2285" spans="1:23">
      <c r="A2285" s="1" t="s">
        <v>4010</v>
      </c>
      <c r="B2285" s="1" t="s">
        <v>4011</v>
      </c>
      <c r="C2285" s="1" t="s">
        <v>18</v>
      </c>
      <c r="D2285" s="1" t="s">
        <v>26</v>
      </c>
      <c r="E2285" s="1" t="s">
        <v>44</v>
      </c>
      <c r="F2285">
        <v>1</v>
      </c>
      <c r="G2285" s="2">
        <v>45983</v>
      </c>
      <c r="H2285" s="2">
        <v>45985</v>
      </c>
      <c r="I2285">
        <v>4776.54</v>
      </c>
      <c r="J2285">
        <v>1820.21</v>
      </c>
      <c r="K2285">
        <v>1820.21</v>
      </c>
      <c r="L2285">
        <v>0</v>
      </c>
      <c r="M2285" s="1" t="s">
        <v>21</v>
      </c>
      <c r="N2285" s="1" t="s">
        <v>22</v>
      </c>
      <c r="O2285" s="2">
        <v>46028</v>
      </c>
      <c r="P2285" s="2">
        <v>46028</v>
      </c>
      <c r="Q2285">
        <f>_xlfn.XLOOKUP(E2285,CPT!$A$2:$A$13,CPT!$D$2:$D$13)</f>
        <v>4800</v>
      </c>
      <c r="R2285" s="1">
        <f>_xlfn.XLOOKUP(C2285,Contract!$A$2:$A$9,Contract!$B$2:$B$9)</f>
        <v>0.38</v>
      </c>
      <c r="S2285" s="1">
        <f t="shared" si="140"/>
        <v>1824</v>
      </c>
      <c r="T2285" s="1">
        <f t="shared" si="141"/>
        <v>3.7899999999999636</v>
      </c>
      <c r="U2285" s="1" t="str">
        <f t="shared" si="142"/>
        <v>OK</v>
      </c>
      <c r="V2285" s="1" t="str">
        <f>_xlfn.XLOOKUP(C2285,Payers!$A$2:$A$9,Payers!$B$2:$B$9)</f>
        <v>Sunshine Medicare Advantage</v>
      </c>
      <c r="W2285" s="1" t="str">
        <f t="shared" si="143"/>
        <v>2025-11</v>
      </c>
    </row>
    <row r="2286" spans="1:23">
      <c r="A2286" s="1" t="s">
        <v>4012</v>
      </c>
      <c r="B2286" s="1" t="s">
        <v>4013</v>
      </c>
      <c r="C2286" s="1" t="s">
        <v>25</v>
      </c>
      <c r="D2286" s="1" t="s">
        <v>19</v>
      </c>
      <c r="E2286" s="1" t="s">
        <v>57</v>
      </c>
      <c r="F2286">
        <v>1</v>
      </c>
      <c r="G2286" s="2">
        <v>46284</v>
      </c>
      <c r="H2286" s="2">
        <v>46289</v>
      </c>
      <c r="I2286">
        <v>212.65</v>
      </c>
      <c r="J2286">
        <v>65.92</v>
      </c>
      <c r="K2286">
        <v>65.92</v>
      </c>
      <c r="L2286">
        <v>0</v>
      </c>
      <c r="M2286" s="1" t="s">
        <v>21</v>
      </c>
      <c r="N2286" s="1" t="s">
        <v>22</v>
      </c>
      <c r="O2286" s="2">
        <v>46294</v>
      </c>
      <c r="P2286" s="2">
        <v>46294</v>
      </c>
      <c r="Q2286">
        <f>_xlfn.XLOOKUP(E2286,CPT!$A$2:$A$13,CPT!$D$2:$D$13)</f>
        <v>210</v>
      </c>
      <c r="R2286" s="1">
        <f>_xlfn.XLOOKUP(C2286,Contract!$A$2:$A$9,Contract!$B$2:$B$9)</f>
        <v>0.36</v>
      </c>
      <c r="S2286" s="1">
        <f t="shared" si="140"/>
        <v>75.599999999999994</v>
      </c>
      <c r="T2286" s="1">
        <f t="shared" si="141"/>
        <v>9.6799999999999926</v>
      </c>
      <c r="U2286" s="1" t="str">
        <f t="shared" si="142"/>
        <v>Underpaid</v>
      </c>
      <c r="V2286" s="1" t="str">
        <f>_xlfn.XLOOKUP(C2286,Payers!$A$2:$A$9,Payers!$B$2:$B$9)</f>
        <v>Medicare Part B</v>
      </c>
      <c r="W2286" s="1" t="str">
        <f t="shared" si="143"/>
        <v>2026-09</v>
      </c>
    </row>
    <row r="2287" spans="1:23">
      <c r="A2287" s="1" t="s">
        <v>4014</v>
      </c>
      <c r="B2287" s="1" t="s">
        <v>4015</v>
      </c>
      <c r="C2287" s="1" t="s">
        <v>36</v>
      </c>
      <c r="D2287" s="1" t="s">
        <v>37</v>
      </c>
      <c r="E2287" s="1" t="s">
        <v>57</v>
      </c>
      <c r="F2287">
        <v>1</v>
      </c>
      <c r="G2287" s="2">
        <v>46186</v>
      </c>
      <c r="H2287" s="2">
        <v>46205</v>
      </c>
      <c r="I2287">
        <v>204.67</v>
      </c>
      <c r="J2287">
        <v>60.34</v>
      </c>
      <c r="K2287">
        <v>60.34</v>
      </c>
      <c r="L2287">
        <v>0</v>
      </c>
      <c r="M2287" s="1" t="s">
        <v>21</v>
      </c>
      <c r="N2287" s="1" t="s">
        <v>22</v>
      </c>
      <c r="O2287" s="2">
        <v>46239</v>
      </c>
      <c r="P2287" s="2">
        <v>46239</v>
      </c>
      <c r="Q2287">
        <f>_xlfn.XLOOKUP(E2287,CPT!$A$2:$A$13,CPT!$D$2:$D$13)</f>
        <v>210</v>
      </c>
      <c r="R2287" s="1">
        <f>_xlfn.XLOOKUP(C2287,Contract!$A$2:$A$9,Contract!$B$2:$B$9)</f>
        <v>0.27</v>
      </c>
      <c r="S2287" s="1">
        <f t="shared" si="140"/>
        <v>56.7</v>
      </c>
      <c r="T2287" s="1">
        <f t="shared" si="141"/>
        <v>-3.6400000000000006</v>
      </c>
      <c r="U2287" s="1" t="str">
        <f t="shared" si="142"/>
        <v>OK</v>
      </c>
      <c r="V2287" s="1" t="str">
        <f>_xlfn.XLOOKUP(C2287,Payers!$A$2:$A$9,Payers!$B$2:$B$9)</f>
        <v>Florida Medicaid</v>
      </c>
      <c r="W2287" s="1" t="str">
        <f t="shared" si="143"/>
        <v>2026-06</v>
      </c>
    </row>
    <row r="2288" spans="1:23">
      <c r="A2288" s="1" t="s">
        <v>4016</v>
      </c>
      <c r="B2288" s="1" t="s">
        <v>4017</v>
      </c>
      <c r="C2288" s="1" t="s">
        <v>52</v>
      </c>
      <c r="D2288" s="1" t="s">
        <v>19</v>
      </c>
      <c r="E2288" s="1" t="s">
        <v>57</v>
      </c>
      <c r="F2288">
        <v>1</v>
      </c>
      <c r="G2288" s="2">
        <v>45992</v>
      </c>
      <c r="H2288" s="2">
        <v>45994</v>
      </c>
      <c r="I2288">
        <v>213.81</v>
      </c>
      <c r="J2288">
        <v>112.37</v>
      </c>
      <c r="K2288">
        <v>112.37</v>
      </c>
      <c r="L2288">
        <v>0</v>
      </c>
      <c r="M2288" s="1" t="s">
        <v>21</v>
      </c>
      <c r="N2288" s="1" t="s">
        <v>22</v>
      </c>
      <c r="O2288" s="2">
        <v>46030</v>
      </c>
      <c r="P2288" s="2">
        <v>46030</v>
      </c>
      <c r="Q2288">
        <f>_xlfn.XLOOKUP(E2288,CPT!$A$2:$A$13,CPT!$D$2:$D$13)</f>
        <v>210</v>
      </c>
      <c r="R2288" s="1">
        <f>_xlfn.XLOOKUP(C2288,Contract!$A$2:$A$9,Contract!$B$2:$B$9)</f>
        <v>0.47</v>
      </c>
      <c r="S2288" s="1">
        <f t="shared" si="140"/>
        <v>98.7</v>
      </c>
      <c r="T2288" s="1">
        <f t="shared" si="141"/>
        <v>-13.670000000000002</v>
      </c>
      <c r="U2288" s="1" t="str">
        <f t="shared" si="142"/>
        <v>OK</v>
      </c>
      <c r="V2288" s="1" t="str">
        <f>_xlfn.XLOOKUP(C2288,Payers!$A$2:$A$9,Payers!$B$2:$B$9)</f>
        <v>Keystone Commercial PPO</v>
      </c>
      <c r="W2288" s="1" t="str">
        <f t="shared" si="143"/>
        <v>2025-12</v>
      </c>
    </row>
    <row r="2289" spans="1:23">
      <c r="A2289" s="1" t="s">
        <v>4018</v>
      </c>
      <c r="B2289" s="1" t="s">
        <v>1282</v>
      </c>
      <c r="C2289" s="1" t="s">
        <v>76</v>
      </c>
      <c r="D2289" s="1" t="s">
        <v>37</v>
      </c>
      <c r="E2289" s="1" t="s">
        <v>38</v>
      </c>
      <c r="F2289">
        <v>10</v>
      </c>
      <c r="G2289" s="2">
        <v>46275</v>
      </c>
      <c r="H2289" s="2">
        <v>46281</v>
      </c>
      <c r="I2289">
        <v>14588.2</v>
      </c>
      <c r="M2289" s="1" t="s">
        <v>69</v>
      </c>
      <c r="N2289" s="1" t="s">
        <v>22</v>
      </c>
      <c r="O2289" s="2"/>
      <c r="P2289" s="2"/>
      <c r="Q2289">
        <f>_xlfn.XLOOKUP(E2289,CPT!$A$2:$A$13,CPT!$D$2:$D$13)</f>
        <v>1450</v>
      </c>
      <c r="R2289" s="1">
        <f>_xlfn.XLOOKUP(C2289,Contract!$A$2:$A$9,Contract!$B$2:$B$9)</f>
        <v>0.43</v>
      </c>
      <c r="S2289" s="1">
        <f t="shared" si="140"/>
        <v>6235</v>
      </c>
      <c r="T2289" s="1" t="str">
        <f t="shared" si="141"/>
        <v/>
      </c>
      <c r="U2289" s="1" t="str">
        <f t="shared" si="142"/>
        <v/>
      </c>
      <c r="V2289" s="1" t="str">
        <f>_xlfn.XLOOKUP(C2289,Payers!$A$2:$A$9,Payers!$B$2:$B$9)</f>
        <v>Summit Health Commercial</v>
      </c>
      <c r="W2289" s="1" t="str">
        <f t="shared" si="143"/>
        <v>2026-09</v>
      </c>
    </row>
    <row r="2290" spans="1:23">
      <c r="A2290" s="1" t="s">
        <v>4019</v>
      </c>
      <c r="B2290" s="1" t="s">
        <v>176</v>
      </c>
      <c r="C2290" s="1" t="s">
        <v>52</v>
      </c>
      <c r="D2290" s="1" t="s">
        <v>26</v>
      </c>
      <c r="E2290" s="1" t="s">
        <v>41</v>
      </c>
      <c r="F2290">
        <v>1</v>
      </c>
      <c r="G2290" s="2">
        <v>46051</v>
      </c>
      <c r="H2290" s="2">
        <v>46061</v>
      </c>
      <c r="I2290">
        <v>38.409999999999997</v>
      </c>
      <c r="J2290">
        <v>20.02</v>
      </c>
      <c r="K2290">
        <v>20.02</v>
      </c>
      <c r="L2290">
        <v>0</v>
      </c>
      <c r="M2290" s="1" t="s">
        <v>21</v>
      </c>
      <c r="N2290" s="1" t="s">
        <v>22</v>
      </c>
      <c r="O2290" s="2">
        <v>46121</v>
      </c>
      <c r="P2290" s="2">
        <v>46121</v>
      </c>
      <c r="Q2290">
        <f>_xlfn.XLOOKUP(E2290,CPT!$A$2:$A$13,CPT!$D$2:$D$13)</f>
        <v>38</v>
      </c>
      <c r="R2290" s="1">
        <f>_xlfn.XLOOKUP(C2290,Contract!$A$2:$A$9,Contract!$B$2:$B$9)</f>
        <v>0.47</v>
      </c>
      <c r="S2290" s="1">
        <f t="shared" si="140"/>
        <v>17.86</v>
      </c>
      <c r="T2290" s="1">
        <f t="shared" si="141"/>
        <v>-2.16</v>
      </c>
      <c r="U2290" s="1" t="str">
        <f t="shared" si="142"/>
        <v>OK</v>
      </c>
      <c r="V2290" s="1" t="str">
        <f>_xlfn.XLOOKUP(C2290,Payers!$A$2:$A$9,Payers!$B$2:$B$9)</f>
        <v>Keystone Commercial PPO</v>
      </c>
      <c r="W2290" s="1" t="str">
        <f t="shared" si="143"/>
        <v>2026-01</v>
      </c>
    </row>
    <row r="2291" spans="1:23">
      <c r="A2291" s="1" t="s">
        <v>4020</v>
      </c>
      <c r="B2291" s="1" t="s">
        <v>4021</v>
      </c>
      <c r="C2291" s="1" t="s">
        <v>47</v>
      </c>
      <c r="D2291" s="1" t="s">
        <v>19</v>
      </c>
      <c r="E2291" s="1" t="s">
        <v>57</v>
      </c>
      <c r="F2291">
        <v>1</v>
      </c>
      <c r="G2291" s="2">
        <v>46106</v>
      </c>
      <c r="H2291" s="2">
        <v>46113</v>
      </c>
      <c r="I2291">
        <v>205.03</v>
      </c>
      <c r="M2291" s="1" t="s">
        <v>32</v>
      </c>
      <c r="N2291" s="1" t="s">
        <v>98</v>
      </c>
      <c r="O2291" s="2">
        <v>46203</v>
      </c>
      <c r="P2291" s="2"/>
      <c r="Q2291">
        <f>_xlfn.XLOOKUP(E2291,CPT!$A$2:$A$13,CPT!$D$2:$D$13)</f>
        <v>210</v>
      </c>
      <c r="R2291" s="1">
        <f>_xlfn.XLOOKUP(C2291,Contract!$A$2:$A$9,Contract!$B$2:$B$9)</f>
        <v>0.28000000000000003</v>
      </c>
      <c r="S2291" s="1">
        <f t="shared" si="140"/>
        <v>58.8</v>
      </c>
      <c r="T2291" s="1" t="str">
        <f t="shared" si="141"/>
        <v/>
      </c>
      <c r="U2291" s="1" t="str">
        <f t="shared" si="142"/>
        <v/>
      </c>
      <c r="V2291" s="1" t="str">
        <f>_xlfn.XLOOKUP(C2291,Payers!$A$2:$A$9,Payers!$B$2:$B$9)</f>
        <v>Coastal Medicaid MCO</v>
      </c>
      <c r="W2291" s="1" t="str">
        <f t="shared" si="143"/>
        <v>2026-03</v>
      </c>
    </row>
    <row r="2292" spans="1:23">
      <c r="A2292" s="1" t="s">
        <v>4022</v>
      </c>
      <c r="B2292" s="1" t="s">
        <v>2495</v>
      </c>
      <c r="C2292" s="1" t="s">
        <v>18</v>
      </c>
      <c r="D2292" s="1" t="s">
        <v>30</v>
      </c>
      <c r="E2292" s="1" t="s">
        <v>20</v>
      </c>
      <c r="F2292">
        <v>1</v>
      </c>
      <c r="G2292" s="2">
        <v>46061</v>
      </c>
      <c r="H2292" s="2">
        <v>46070</v>
      </c>
      <c r="I2292">
        <v>147.88999999999999</v>
      </c>
      <c r="J2292">
        <v>49.64</v>
      </c>
      <c r="K2292">
        <v>49.64</v>
      </c>
      <c r="L2292">
        <v>0</v>
      </c>
      <c r="M2292" s="1" t="s">
        <v>21</v>
      </c>
      <c r="N2292" s="1" t="s">
        <v>22</v>
      </c>
      <c r="O2292" s="2">
        <v>46119</v>
      </c>
      <c r="P2292" s="2">
        <v>46119</v>
      </c>
      <c r="Q2292">
        <f>_xlfn.XLOOKUP(E2292,CPT!$A$2:$A$13,CPT!$D$2:$D$13)</f>
        <v>145</v>
      </c>
      <c r="R2292" s="1">
        <f>_xlfn.XLOOKUP(C2292,Contract!$A$2:$A$9,Contract!$B$2:$B$9)</f>
        <v>0.38</v>
      </c>
      <c r="S2292" s="1">
        <f t="shared" si="140"/>
        <v>55.1</v>
      </c>
      <c r="T2292" s="1">
        <f t="shared" si="141"/>
        <v>5.4600000000000009</v>
      </c>
      <c r="U2292" s="1" t="str">
        <f t="shared" si="142"/>
        <v>Underpaid</v>
      </c>
      <c r="V2292" s="1" t="str">
        <f>_xlfn.XLOOKUP(C2292,Payers!$A$2:$A$9,Payers!$B$2:$B$9)</f>
        <v>Sunshine Medicare Advantage</v>
      </c>
      <c r="W2292" s="1" t="str">
        <f t="shared" si="143"/>
        <v>2026-02</v>
      </c>
    </row>
    <row r="2293" spans="1:23">
      <c r="A2293" s="1" t="s">
        <v>4023</v>
      </c>
      <c r="B2293" s="1" t="s">
        <v>4024</v>
      </c>
      <c r="C2293" s="1" t="s">
        <v>18</v>
      </c>
      <c r="D2293" s="1" t="s">
        <v>30</v>
      </c>
      <c r="E2293" s="1" t="s">
        <v>31</v>
      </c>
      <c r="F2293">
        <v>1</v>
      </c>
      <c r="G2293" s="2">
        <v>46133</v>
      </c>
      <c r="H2293" s="2">
        <v>46135</v>
      </c>
      <c r="I2293">
        <v>62.27</v>
      </c>
      <c r="J2293">
        <v>25.47</v>
      </c>
      <c r="K2293">
        <v>22.92</v>
      </c>
      <c r="L2293">
        <v>2.5499999999999998</v>
      </c>
      <c r="M2293" s="1" t="s">
        <v>21</v>
      </c>
      <c r="N2293" s="1" t="s">
        <v>22</v>
      </c>
      <c r="O2293" s="2">
        <v>46177</v>
      </c>
      <c r="P2293" s="2">
        <v>46177</v>
      </c>
      <c r="Q2293">
        <f>_xlfn.XLOOKUP(E2293,CPT!$A$2:$A$13,CPT!$D$2:$D$13)</f>
        <v>62</v>
      </c>
      <c r="R2293" s="1">
        <f>_xlfn.XLOOKUP(C2293,Contract!$A$2:$A$9,Contract!$B$2:$B$9)</f>
        <v>0.38</v>
      </c>
      <c r="S2293" s="1">
        <f t="shared" si="140"/>
        <v>23.56</v>
      </c>
      <c r="T2293" s="1">
        <f t="shared" si="141"/>
        <v>-1.9100000000000001</v>
      </c>
      <c r="U2293" s="1" t="str">
        <f t="shared" si="142"/>
        <v>OK</v>
      </c>
      <c r="V2293" s="1" t="str">
        <f>_xlfn.XLOOKUP(C2293,Payers!$A$2:$A$9,Payers!$B$2:$B$9)</f>
        <v>Sunshine Medicare Advantage</v>
      </c>
      <c r="W2293" s="1" t="str">
        <f t="shared" si="143"/>
        <v>2026-04</v>
      </c>
    </row>
    <row r="2294" spans="1:23">
      <c r="A2294" s="1" t="s">
        <v>4025</v>
      </c>
      <c r="B2294" s="1" t="s">
        <v>4026</v>
      </c>
      <c r="C2294" s="1" t="s">
        <v>76</v>
      </c>
      <c r="D2294" s="1" t="s">
        <v>26</v>
      </c>
      <c r="E2294" s="1" t="s">
        <v>185</v>
      </c>
      <c r="F2294">
        <v>1</v>
      </c>
      <c r="G2294" s="2">
        <v>45957</v>
      </c>
      <c r="H2294" s="2">
        <v>45958</v>
      </c>
      <c r="I2294">
        <v>1157.1099999999999</v>
      </c>
      <c r="J2294">
        <v>490.09</v>
      </c>
      <c r="K2294">
        <v>441.08</v>
      </c>
      <c r="L2294">
        <v>49.01</v>
      </c>
      <c r="M2294" s="1" t="s">
        <v>21</v>
      </c>
      <c r="N2294" s="1" t="s">
        <v>22</v>
      </c>
      <c r="O2294" s="2">
        <v>45978</v>
      </c>
      <c r="P2294" s="2">
        <v>45978</v>
      </c>
      <c r="Q2294">
        <f>_xlfn.XLOOKUP(E2294,CPT!$A$2:$A$13,CPT!$D$2:$D$13)</f>
        <v>1150</v>
      </c>
      <c r="R2294" s="1">
        <f>_xlfn.XLOOKUP(C2294,Contract!$A$2:$A$9,Contract!$B$2:$B$9)</f>
        <v>0.43</v>
      </c>
      <c r="S2294" s="1">
        <f t="shared" si="140"/>
        <v>494.5</v>
      </c>
      <c r="T2294" s="1">
        <f t="shared" si="141"/>
        <v>4.410000000000025</v>
      </c>
      <c r="U2294" s="1" t="str">
        <f t="shared" si="142"/>
        <v>OK</v>
      </c>
      <c r="V2294" s="1" t="str">
        <f>_xlfn.XLOOKUP(C2294,Payers!$A$2:$A$9,Payers!$B$2:$B$9)</f>
        <v>Summit Health Commercial</v>
      </c>
      <c r="W2294" s="1" t="str">
        <f t="shared" si="143"/>
        <v>2025-10</v>
      </c>
    </row>
    <row r="2295" spans="1:23">
      <c r="A2295" s="1" t="s">
        <v>4027</v>
      </c>
      <c r="B2295" s="1" t="s">
        <v>3002</v>
      </c>
      <c r="C2295" s="1" t="s">
        <v>25</v>
      </c>
      <c r="D2295" s="1" t="s">
        <v>30</v>
      </c>
      <c r="E2295" s="1" t="s">
        <v>31</v>
      </c>
      <c r="F2295">
        <v>4</v>
      </c>
      <c r="G2295" s="2">
        <v>46150</v>
      </c>
      <c r="H2295" s="2">
        <v>46152</v>
      </c>
      <c r="I2295">
        <v>250.4</v>
      </c>
      <c r="J2295">
        <v>79.92</v>
      </c>
      <c r="K2295">
        <v>71.930000000000007</v>
      </c>
      <c r="L2295">
        <v>7.99</v>
      </c>
      <c r="M2295" s="1" t="s">
        <v>21</v>
      </c>
      <c r="N2295" s="1" t="s">
        <v>22</v>
      </c>
      <c r="O2295" s="2">
        <v>46174</v>
      </c>
      <c r="P2295" s="2">
        <v>46174</v>
      </c>
      <c r="Q2295">
        <f>_xlfn.XLOOKUP(E2295,CPT!$A$2:$A$13,CPT!$D$2:$D$13)</f>
        <v>62</v>
      </c>
      <c r="R2295" s="1">
        <f>_xlfn.XLOOKUP(C2295,Contract!$A$2:$A$9,Contract!$B$2:$B$9)</f>
        <v>0.36</v>
      </c>
      <c r="S2295" s="1">
        <f t="shared" si="140"/>
        <v>89.28</v>
      </c>
      <c r="T2295" s="1">
        <f t="shared" si="141"/>
        <v>9.36</v>
      </c>
      <c r="U2295" s="1" t="str">
        <f t="shared" si="142"/>
        <v>Underpaid</v>
      </c>
      <c r="V2295" s="1" t="str">
        <f>_xlfn.XLOOKUP(C2295,Payers!$A$2:$A$9,Payers!$B$2:$B$9)</f>
        <v>Medicare Part B</v>
      </c>
      <c r="W2295" s="1" t="str">
        <f t="shared" si="143"/>
        <v>2026-05</v>
      </c>
    </row>
    <row r="2296" spans="1:23">
      <c r="A2296" s="1" t="s">
        <v>4028</v>
      </c>
      <c r="B2296" s="1" t="s">
        <v>4029</v>
      </c>
      <c r="C2296" s="1" t="s">
        <v>25</v>
      </c>
      <c r="D2296" s="1" t="s">
        <v>26</v>
      </c>
      <c r="E2296" s="1" t="s">
        <v>41</v>
      </c>
      <c r="F2296">
        <v>1</v>
      </c>
      <c r="G2296" s="2">
        <v>46021</v>
      </c>
      <c r="H2296" s="2">
        <v>46024</v>
      </c>
      <c r="I2296">
        <v>38.46</v>
      </c>
      <c r="J2296">
        <v>15.53</v>
      </c>
      <c r="K2296">
        <v>15.53</v>
      </c>
      <c r="L2296">
        <v>0</v>
      </c>
      <c r="M2296" s="1" t="s">
        <v>21</v>
      </c>
      <c r="N2296" s="1" t="s">
        <v>22</v>
      </c>
      <c r="O2296" s="2">
        <v>46035</v>
      </c>
      <c r="P2296" s="2">
        <v>46035</v>
      </c>
      <c r="Q2296">
        <f>_xlfn.XLOOKUP(E2296,CPT!$A$2:$A$13,CPT!$D$2:$D$13)</f>
        <v>38</v>
      </c>
      <c r="R2296" s="1">
        <f>_xlfn.XLOOKUP(C2296,Contract!$A$2:$A$9,Contract!$B$2:$B$9)</f>
        <v>0.36</v>
      </c>
      <c r="S2296" s="1">
        <f t="shared" si="140"/>
        <v>13.68</v>
      </c>
      <c r="T2296" s="1">
        <f t="shared" si="141"/>
        <v>-1.8499999999999996</v>
      </c>
      <c r="U2296" s="1" t="str">
        <f t="shared" si="142"/>
        <v>OK</v>
      </c>
      <c r="V2296" s="1" t="str">
        <f>_xlfn.XLOOKUP(C2296,Payers!$A$2:$A$9,Payers!$B$2:$B$9)</f>
        <v>Medicare Part B</v>
      </c>
      <c r="W2296" s="1" t="str">
        <f t="shared" si="143"/>
        <v>2025-12</v>
      </c>
    </row>
    <row r="2297" spans="1:23">
      <c r="A2297" s="1" t="s">
        <v>4030</v>
      </c>
      <c r="B2297" s="1" t="s">
        <v>4031</v>
      </c>
      <c r="C2297" s="1" t="s">
        <v>60</v>
      </c>
      <c r="D2297" s="1" t="s">
        <v>19</v>
      </c>
      <c r="E2297" s="1" t="s">
        <v>20</v>
      </c>
      <c r="F2297">
        <v>1</v>
      </c>
      <c r="G2297" s="2">
        <v>46036</v>
      </c>
      <c r="H2297" s="2">
        <v>46040</v>
      </c>
      <c r="I2297">
        <v>142.53</v>
      </c>
      <c r="J2297">
        <v>62.72</v>
      </c>
      <c r="K2297">
        <v>62.72</v>
      </c>
      <c r="L2297">
        <v>0</v>
      </c>
      <c r="M2297" s="1" t="s">
        <v>21</v>
      </c>
      <c r="N2297" s="1" t="s">
        <v>22</v>
      </c>
      <c r="O2297" s="2">
        <v>46085</v>
      </c>
      <c r="P2297" s="2">
        <v>46085</v>
      </c>
      <c r="Q2297">
        <f>_xlfn.XLOOKUP(E2297,CPT!$A$2:$A$13,CPT!$D$2:$D$13)</f>
        <v>145</v>
      </c>
      <c r="R2297" s="1">
        <f>_xlfn.XLOOKUP(C2297,Contract!$A$2:$A$9,Contract!$B$2:$B$9)</f>
        <v>0.45</v>
      </c>
      <c r="S2297" s="1">
        <f t="shared" si="140"/>
        <v>65.25</v>
      </c>
      <c r="T2297" s="1">
        <f t="shared" si="141"/>
        <v>2.5300000000000011</v>
      </c>
      <c r="U2297" s="1" t="str">
        <f t="shared" si="142"/>
        <v>OK</v>
      </c>
      <c r="V2297" s="1" t="str">
        <f>_xlfn.XLOOKUP(C2297,Payers!$A$2:$A$9,Payers!$B$2:$B$9)</f>
        <v>Blue Horizon Commercial</v>
      </c>
      <c r="W2297" s="1" t="str">
        <f t="shared" si="143"/>
        <v>2026-01</v>
      </c>
    </row>
    <row r="2298" spans="1:23">
      <c r="A2298" s="1" t="s">
        <v>4032</v>
      </c>
      <c r="B2298" s="1" t="s">
        <v>3407</v>
      </c>
      <c r="C2298" s="1" t="s">
        <v>52</v>
      </c>
      <c r="D2298" s="1" t="s">
        <v>37</v>
      </c>
      <c r="E2298" s="1" t="s">
        <v>38</v>
      </c>
      <c r="F2298">
        <v>20</v>
      </c>
      <c r="G2298" s="2">
        <v>46046</v>
      </c>
      <c r="H2298" s="2">
        <v>46051</v>
      </c>
      <c r="I2298">
        <v>29825.84</v>
      </c>
      <c r="M2298" s="1" t="s">
        <v>32</v>
      </c>
      <c r="N2298" s="1" t="s">
        <v>315</v>
      </c>
      <c r="O2298" s="2">
        <v>46108</v>
      </c>
      <c r="P2298" s="2"/>
      <c r="Q2298">
        <f>_xlfn.XLOOKUP(E2298,CPT!$A$2:$A$13,CPT!$D$2:$D$13)</f>
        <v>1450</v>
      </c>
      <c r="R2298" s="1">
        <f>_xlfn.XLOOKUP(C2298,Contract!$A$2:$A$9,Contract!$B$2:$B$9)</f>
        <v>0.47</v>
      </c>
      <c r="S2298" s="1">
        <f t="shared" si="140"/>
        <v>13630</v>
      </c>
      <c r="T2298" s="1" t="str">
        <f t="shared" si="141"/>
        <v/>
      </c>
      <c r="U2298" s="1" t="str">
        <f t="shared" si="142"/>
        <v/>
      </c>
      <c r="V2298" s="1" t="str">
        <f>_xlfn.XLOOKUP(C2298,Payers!$A$2:$A$9,Payers!$B$2:$B$9)</f>
        <v>Keystone Commercial PPO</v>
      </c>
      <c r="W2298" s="1" t="str">
        <f t="shared" si="143"/>
        <v>2026-01</v>
      </c>
    </row>
    <row r="2299" spans="1:23">
      <c r="A2299" s="1" t="s">
        <v>4033</v>
      </c>
      <c r="B2299" s="1" t="s">
        <v>2594</v>
      </c>
      <c r="C2299" s="1" t="s">
        <v>47</v>
      </c>
      <c r="D2299" s="1" t="s">
        <v>26</v>
      </c>
      <c r="E2299" s="1" t="s">
        <v>41</v>
      </c>
      <c r="F2299">
        <v>1</v>
      </c>
      <c r="G2299" s="2">
        <v>46025</v>
      </c>
      <c r="H2299" s="2">
        <v>46028</v>
      </c>
      <c r="I2299">
        <v>38.53</v>
      </c>
      <c r="M2299" s="1" t="s">
        <v>32</v>
      </c>
      <c r="N2299" s="1" t="s">
        <v>33</v>
      </c>
      <c r="O2299" s="2">
        <v>46120</v>
      </c>
      <c r="P2299" s="2"/>
      <c r="Q2299">
        <f>_xlfn.XLOOKUP(E2299,CPT!$A$2:$A$13,CPT!$D$2:$D$13)</f>
        <v>38</v>
      </c>
      <c r="R2299" s="1">
        <f>_xlfn.XLOOKUP(C2299,Contract!$A$2:$A$9,Contract!$B$2:$B$9)</f>
        <v>0.28000000000000003</v>
      </c>
      <c r="S2299" s="1">
        <f t="shared" si="140"/>
        <v>10.64</v>
      </c>
      <c r="T2299" s="1" t="str">
        <f t="shared" si="141"/>
        <v/>
      </c>
      <c r="U2299" s="1" t="str">
        <f t="shared" si="142"/>
        <v/>
      </c>
      <c r="V2299" s="1" t="str">
        <f>_xlfn.XLOOKUP(C2299,Payers!$A$2:$A$9,Payers!$B$2:$B$9)</f>
        <v>Coastal Medicaid MCO</v>
      </c>
      <c r="W2299" s="1" t="str">
        <f t="shared" si="143"/>
        <v>2026-01</v>
      </c>
    </row>
    <row r="2300" spans="1:23">
      <c r="A2300" s="1" t="s">
        <v>4034</v>
      </c>
      <c r="B2300" s="1" t="s">
        <v>64</v>
      </c>
      <c r="C2300" s="1" t="s">
        <v>60</v>
      </c>
      <c r="D2300" s="1" t="s">
        <v>26</v>
      </c>
      <c r="E2300" s="1" t="s">
        <v>185</v>
      </c>
      <c r="F2300">
        <v>1</v>
      </c>
      <c r="G2300" s="2">
        <v>46214</v>
      </c>
      <c r="H2300" s="2">
        <v>46216</v>
      </c>
      <c r="I2300">
        <v>1175.71</v>
      </c>
      <c r="J2300">
        <v>556.75</v>
      </c>
      <c r="K2300">
        <v>501.07</v>
      </c>
      <c r="L2300">
        <v>55.68</v>
      </c>
      <c r="M2300" s="1" t="s">
        <v>21</v>
      </c>
      <c r="N2300" s="1" t="s">
        <v>22</v>
      </c>
      <c r="O2300" s="2">
        <v>46247</v>
      </c>
      <c r="P2300" s="2">
        <v>46247</v>
      </c>
      <c r="Q2300">
        <f>_xlfn.XLOOKUP(E2300,CPT!$A$2:$A$13,CPT!$D$2:$D$13)</f>
        <v>1150</v>
      </c>
      <c r="R2300" s="1">
        <f>_xlfn.XLOOKUP(C2300,Contract!$A$2:$A$9,Contract!$B$2:$B$9)</f>
        <v>0.45</v>
      </c>
      <c r="S2300" s="1">
        <f t="shared" si="140"/>
        <v>517.5</v>
      </c>
      <c r="T2300" s="1">
        <f t="shared" si="141"/>
        <v>-39.25</v>
      </c>
      <c r="U2300" s="1" t="str">
        <f t="shared" si="142"/>
        <v>OK</v>
      </c>
      <c r="V2300" s="1" t="str">
        <f>_xlfn.XLOOKUP(C2300,Payers!$A$2:$A$9,Payers!$B$2:$B$9)</f>
        <v>Blue Horizon Commercial</v>
      </c>
      <c r="W2300" s="1" t="str">
        <f t="shared" si="143"/>
        <v>2026-07</v>
      </c>
    </row>
    <row r="2301" spans="1:23">
      <c r="A2301" s="1" t="s">
        <v>4035</v>
      </c>
      <c r="B2301" s="1" t="s">
        <v>1944</v>
      </c>
      <c r="C2301" s="1" t="s">
        <v>52</v>
      </c>
      <c r="D2301" s="1" t="s">
        <v>37</v>
      </c>
      <c r="E2301" s="1" t="s">
        <v>48</v>
      </c>
      <c r="F2301">
        <v>1</v>
      </c>
      <c r="G2301" s="2">
        <v>46110</v>
      </c>
      <c r="H2301" s="2">
        <v>46122</v>
      </c>
      <c r="I2301">
        <v>425.08</v>
      </c>
      <c r="M2301" s="1" t="s">
        <v>32</v>
      </c>
      <c r="N2301" s="1" t="s">
        <v>33</v>
      </c>
      <c r="O2301" s="2">
        <v>46176</v>
      </c>
      <c r="P2301" s="2"/>
      <c r="Q2301">
        <f>_xlfn.XLOOKUP(E2301,CPT!$A$2:$A$13,CPT!$D$2:$D$13)</f>
        <v>420</v>
      </c>
      <c r="R2301" s="1">
        <f>_xlfn.XLOOKUP(C2301,Contract!$A$2:$A$9,Contract!$B$2:$B$9)</f>
        <v>0.47</v>
      </c>
      <c r="S2301" s="1">
        <f t="shared" si="140"/>
        <v>197.4</v>
      </c>
      <c r="T2301" s="1" t="str">
        <f t="shared" si="141"/>
        <v/>
      </c>
      <c r="U2301" s="1" t="str">
        <f t="shared" si="142"/>
        <v/>
      </c>
      <c r="V2301" s="1" t="str">
        <f>_xlfn.XLOOKUP(C2301,Payers!$A$2:$A$9,Payers!$B$2:$B$9)</f>
        <v>Keystone Commercial PPO</v>
      </c>
      <c r="W2301" s="1" t="str">
        <f t="shared" si="143"/>
        <v>2026-03</v>
      </c>
    </row>
    <row r="2302" spans="1:23">
      <c r="A2302" s="1" t="s">
        <v>4036</v>
      </c>
      <c r="B2302" s="1" t="s">
        <v>4037</v>
      </c>
      <c r="C2302" s="1" t="s">
        <v>60</v>
      </c>
      <c r="D2302" s="1" t="s">
        <v>19</v>
      </c>
      <c r="E2302" s="1" t="s">
        <v>88</v>
      </c>
      <c r="F2302">
        <v>1</v>
      </c>
      <c r="G2302" s="2">
        <v>46225</v>
      </c>
      <c r="H2302" s="2">
        <v>46227</v>
      </c>
      <c r="I2302">
        <v>256.64999999999998</v>
      </c>
      <c r="J2302">
        <v>119.84</v>
      </c>
      <c r="K2302">
        <v>119.84</v>
      </c>
      <c r="L2302">
        <v>0</v>
      </c>
      <c r="M2302" s="1" t="s">
        <v>21</v>
      </c>
      <c r="N2302" s="1" t="s">
        <v>22</v>
      </c>
      <c r="O2302" s="2">
        <v>46252</v>
      </c>
      <c r="P2302" s="2">
        <v>46252</v>
      </c>
      <c r="Q2302">
        <f>_xlfn.XLOOKUP(E2302,CPT!$A$2:$A$13,CPT!$D$2:$D$13)</f>
        <v>260</v>
      </c>
      <c r="R2302" s="1">
        <f>_xlfn.XLOOKUP(C2302,Contract!$A$2:$A$9,Contract!$B$2:$B$9)</f>
        <v>0.45</v>
      </c>
      <c r="S2302" s="1">
        <f t="shared" si="140"/>
        <v>117</v>
      </c>
      <c r="T2302" s="1">
        <f t="shared" si="141"/>
        <v>-2.8400000000000034</v>
      </c>
      <c r="U2302" s="1" t="str">
        <f t="shared" si="142"/>
        <v>OK</v>
      </c>
      <c r="V2302" s="1" t="str">
        <f>_xlfn.XLOOKUP(C2302,Payers!$A$2:$A$9,Payers!$B$2:$B$9)</f>
        <v>Blue Horizon Commercial</v>
      </c>
      <c r="W2302" s="1" t="str">
        <f t="shared" si="143"/>
        <v>2026-07</v>
      </c>
    </row>
    <row r="2303" spans="1:23">
      <c r="A2303" s="1" t="s">
        <v>4038</v>
      </c>
      <c r="B2303" s="1" t="s">
        <v>1423</v>
      </c>
      <c r="C2303" s="1" t="s">
        <v>36</v>
      </c>
      <c r="D2303" s="1" t="s">
        <v>26</v>
      </c>
      <c r="E2303" s="1" t="s">
        <v>185</v>
      </c>
      <c r="F2303">
        <v>1</v>
      </c>
      <c r="G2303" s="2">
        <v>45999</v>
      </c>
      <c r="H2303" s="2">
        <v>46001</v>
      </c>
      <c r="I2303">
        <v>1136.21</v>
      </c>
      <c r="M2303" s="1" t="s">
        <v>32</v>
      </c>
      <c r="N2303" s="1" t="s">
        <v>33</v>
      </c>
      <c r="O2303" s="2">
        <v>46037</v>
      </c>
      <c r="P2303" s="2"/>
      <c r="Q2303">
        <f>_xlfn.XLOOKUP(E2303,CPT!$A$2:$A$13,CPT!$D$2:$D$13)</f>
        <v>1150</v>
      </c>
      <c r="R2303" s="1">
        <f>_xlfn.XLOOKUP(C2303,Contract!$A$2:$A$9,Contract!$B$2:$B$9)</f>
        <v>0.27</v>
      </c>
      <c r="S2303" s="1">
        <f t="shared" si="140"/>
        <v>310.5</v>
      </c>
      <c r="T2303" s="1" t="str">
        <f t="shared" si="141"/>
        <v/>
      </c>
      <c r="U2303" s="1" t="str">
        <f t="shared" si="142"/>
        <v/>
      </c>
      <c r="V2303" s="1" t="str">
        <f>_xlfn.XLOOKUP(C2303,Payers!$A$2:$A$9,Payers!$B$2:$B$9)</f>
        <v>Florida Medicaid</v>
      </c>
      <c r="W2303" s="1" t="str">
        <f t="shared" si="143"/>
        <v>2025-12</v>
      </c>
    </row>
    <row r="2304" spans="1:23">
      <c r="A2304" s="1" t="s">
        <v>4039</v>
      </c>
      <c r="B2304" s="1" t="s">
        <v>3705</v>
      </c>
      <c r="C2304" s="1" t="s">
        <v>60</v>
      </c>
      <c r="D2304" s="1" t="s">
        <v>19</v>
      </c>
      <c r="E2304" s="1" t="s">
        <v>88</v>
      </c>
      <c r="F2304">
        <v>1</v>
      </c>
      <c r="G2304" s="2">
        <v>46226</v>
      </c>
      <c r="H2304" s="2">
        <v>46227</v>
      </c>
      <c r="I2304">
        <v>261.45999999999998</v>
      </c>
      <c r="J2304">
        <v>105.74</v>
      </c>
      <c r="K2304">
        <v>84.59</v>
      </c>
      <c r="L2304">
        <v>21.15</v>
      </c>
      <c r="M2304" s="1" t="s">
        <v>21</v>
      </c>
      <c r="N2304" s="1" t="s">
        <v>22</v>
      </c>
      <c r="O2304" s="2">
        <v>46241</v>
      </c>
      <c r="P2304" s="2">
        <v>46241</v>
      </c>
      <c r="Q2304">
        <f>_xlfn.XLOOKUP(E2304,CPT!$A$2:$A$13,CPT!$D$2:$D$13)</f>
        <v>260</v>
      </c>
      <c r="R2304" s="1">
        <f>_xlfn.XLOOKUP(C2304,Contract!$A$2:$A$9,Contract!$B$2:$B$9)</f>
        <v>0.45</v>
      </c>
      <c r="S2304" s="1">
        <f t="shared" si="140"/>
        <v>117</v>
      </c>
      <c r="T2304" s="1">
        <f t="shared" si="141"/>
        <v>11.260000000000005</v>
      </c>
      <c r="U2304" s="1" t="str">
        <f t="shared" si="142"/>
        <v>Underpaid</v>
      </c>
      <c r="V2304" s="1" t="str">
        <f>_xlfn.XLOOKUP(C2304,Payers!$A$2:$A$9,Payers!$B$2:$B$9)</f>
        <v>Blue Horizon Commercial</v>
      </c>
      <c r="W2304" s="1" t="str">
        <f t="shared" si="143"/>
        <v>2026-07</v>
      </c>
    </row>
    <row r="2305" spans="1:23">
      <c r="A2305" s="1" t="s">
        <v>4040</v>
      </c>
      <c r="B2305" s="1" t="s">
        <v>4041</v>
      </c>
      <c r="C2305" s="1" t="s">
        <v>25</v>
      </c>
      <c r="D2305" s="1" t="s">
        <v>37</v>
      </c>
      <c r="E2305" s="1" t="s">
        <v>48</v>
      </c>
      <c r="F2305">
        <v>1</v>
      </c>
      <c r="G2305" s="2">
        <v>46016</v>
      </c>
      <c r="H2305" s="2">
        <v>46018</v>
      </c>
      <c r="I2305">
        <v>421.76</v>
      </c>
      <c r="J2305">
        <v>132.62</v>
      </c>
      <c r="K2305">
        <v>119.36</v>
      </c>
      <c r="L2305">
        <v>13.26</v>
      </c>
      <c r="M2305" s="1" t="s">
        <v>21</v>
      </c>
      <c r="N2305" s="1" t="s">
        <v>22</v>
      </c>
      <c r="O2305" s="2">
        <v>46037</v>
      </c>
      <c r="P2305" s="2">
        <v>46037</v>
      </c>
      <c r="Q2305">
        <f>_xlfn.XLOOKUP(E2305,CPT!$A$2:$A$13,CPT!$D$2:$D$13)</f>
        <v>420</v>
      </c>
      <c r="R2305" s="1">
        <f>_xlfn.XLOOKUP(C2305,Contract!$A$2:$A$9,Contract!$B$2:$B$9)</f>
        <v>0.36</v>
      </c>
      <c r="S2305" s="1">
        <f t="shared" si="140"/>
        <v>151.19999999999999</v>
      </c>
      <c r="T2305" s="1">
        <f t="shared" si="141"/>
        <v>18.579999999999984</v>
      </c>
      <c r="U2305" s="1" t="str">
        <f t="shared" si="142"/>
        <v>Underpaid</v>
      </c>
      <c r="V2305" s="1" t="str">
        <f>_xlfn.XLOOKUP(C2305,Payers!$A$2:$A$9,Payers!$B$2:$B$9)</f>
        <v>Medicare Part B</v>
      </c>
      <c r="W2305" s="1" t="str">
        <f t="shared" si="143"/>
        <v>2025-12</v>
      </c>
    </row>
    <row r="2306" spans="1:23">
      <c r="A2306" s="1" t="s">
        <v>4042</v>
      </c>
      <c r="B2306" s="1" t="s">
        <v>4043</v>
      </c>
      <c r="C2306" s="1" t="s">
        <v>36</v>
      </c>
      <c r="D2306" s="1" t="s">
        <v>30</v>
      </c>
      <c r="E2306" s="1" t="s">
        <v>20</v>
      </c>
      <c r="F2306">
        <v>1</v>
      </c>
      <c r="G2306" s="2">
        <v>46029</v>
      </c>
      <c r="H2306" s="2">
        <v>46030</v>
      </c>
      <c r="I2306">
        <v>145.94999999999999</v>
      </c>
      <c r="J2306">
        <v>43.01</v>
      </c>
      <c r="K2306">
        <v>43.01</v>
      </c>
      <c r="L2306">
        <v>0</v>
      </c>
      <c r="M2306" s="1" t="s">
        <v>21</v>
      </c>
      <c r="N2306" s="1" t="s">
        <v>22</v>
      </c>
      <c r="O2306" s="2">
        <v>46082</v>
      </c>
      <c r="P2306" s="2">
        <v>46082</v>
      </c>
      <c r="Q2306">
        <f>_xlfn.XLOOKUP(E2306,CPT!$A$2:$A$13,CPT!$D$2:$D$13)</f>
        <v>145</v>
      </c>
      <c r="R2306" s="1">
        <f>_xlfn.XLOOKUP(C2306,Contract!$A$2:$A$9,Contract!$B$2:$B$9)</f>
        <v>0.27</v>
      </c>
      <c r="S2306" s="1">
        <f t="shared" ref="S2306:S2369" si="144">ROUND(Q2306*F2306*R2306,2)</f>
        <v>39.15</v>
      </c>
      <c r="T2306" s="1">
        <f t="shared" ref="T2306:T2369" si="145">IF(M2306="Paid",S2306-J2306,"")</f>
        <v>-3.8599999999999994</v>
      </c>
      <c r="U2306" s="1" t="str">
        <f t="shared" ref="U2306:U2369" si="146">IF(M2306&lt;&gt;"Paid","",IF(T2306&gt;S2306*0.05,"Underpaid","OK"))</f>
        <v>OK</v>
      </c>
      <c r="V2306" s="1" t="str">
        <f>_xlfn.XLOOKUP(C2306,Payers!$A$2:$A$9,Payers!$B$2:$B$9)</f>
        <v>Florida Medicaid</v>
      </c>
      <c r="W2306" s="1" t="str">
        <f t="shared" ref="W2306:W2369" si="147">TEXT(G2306,"yyyy-mm")</f>
        <v>2026-01</v>
      </c>
    </row>
    <row r="2307" spans="1:23">
      <c r="A2307" s="1" t="s">
        <v>4044</v>
      </c>
      <c r="B2307" s="1" t="s">
        <v>3429</v>
      </c>
      <c r="C2307" s="1" t="s">
        <v>18</v>
      </c>
      <c r="D2307" s="1" t="s">
        <v>26</v>
      </c>
      <c r="E2307" s="1" t="s">
        <v>113</v>
      </c>
      <c r="F2307">
        <v>1</v>
      </c>
      <c r="G2307" s="2">
        <v>46193</v>
      </c>
      <c r="H2307" s="2">
        <v>46195</v>
      </c>
      <c r="I2307">
        <v>1065.4100000000001</v>
      </c>
      <c r="M2307" s="1" t="s">
        <v>32</v>
      </c>
      <c r="N2307" s="1" t="s">
        <v>168</v>
      </c>
      <c r="O2307" s="2">
        <v>46263</v>
      </c>
      <c r="P2307" s="2"/>
      <c r="Q2307">
        <f>_xlfn.XLOOKUP(E2307,CPT!$A$2:$A$13,CPT!$D$2:$D$13)</f>
        <v>1050</v>
      </c>
      <c r="R2307" s="1">
        <f>_xlfn.XLOOKUP(C2307,Contract!$A$2:$A$9,Contract!$B$2:$B$9)</f>
        <v>0.38</v>
      </c>
      <c r="S2307" s="1">
        <f t="shared" si="144"/>
        <v>399</v>
      </c>
      <c r="T2307" s="1" t="str">
        <f t="shared" si="145"/>
        <v/>
      </c>
      <c r="U2307" s="1" t="str">
        <f t="shared" si="146"/>
        <v/>
      </c>
      <c r="V2307" s="1" t="str">
        <f>_xlfn.XLOOKUP(C2307,Payers!$A$2:$A$9,Payers!$B$2:$B$9)</f>
        <v>Sunshine Medicare Advantage</v>
      </c>
      <c r="W2307" s="1" t="str">
        <f t="shared" si="147"/>
        <v>2026-06</v>
      </c>
    </row>
    <row r="2308" spans="1:23">
      <c r="A2308" s="1" t="s">
        <v>4045</v>
      </c>
      <c r="B2308" s="1" t="s">
        <v>669</v>
      </c>
      <c r="C2308" s="1" t="s">
        <v>60</v>
      </c>
      <c r="D2308" s="1" t="s">
        <v>30</v>
      </c>
      <c r="E2308" s="1" t="s">
        <v>91</v>
      </c>
      <c r="F2308">
        <v>1</v>
      </c>
      <c r="G2308" s="2">
        <v>46120</v>
      </c>
      <c r="H2308" s="2">
        <v>46126</v>
      </c>
      <c r="I2308">
        <v>59.53</v>
      </c>
      <c r="J2308">
        <v>24.74</v>
      </c>
      <c r="K2308">
        <v>22.27</v>
      </c>
      <c r="L2308">
        <v>2.4700000000000002</v>
      </c>
      <c r="M2308" s="1" t="s">
        <v>21</v>
      </c>
      <c r="N2308" s="1" t="s">
        <v>22</v>
      </c>
      <c r="O2308" s="2">
        <v>46162</v>
      </c>
      <c r="P2308" s="2">
        <v>46162</v>
      </c>
      <c r="Q2308">
        <f>_xlfn.XLOOKUP(E2308,CPT!$A$2:$A$13,CPT!$D$2:$D$13)</f>
        <v>58</v>
      </c>
      <c r="R2308" s="1">
        <f>_xlfn.XLOOKUP(C2308,Contract!$A$2:$A$9,Contract!$B$2:$B$9)</f>
        <v>0.45</v>
      </c>
      <c r="S2308" s="1">
        <f t="shared" si="144"/>
        <v>26.1</v>
      </c>
      <c r="T2308" s="1">
        <f t="shared" si="145"/>
        <v>1.360000000000003</v>
      </c>
      <c r="U2308" s="1" t="str">
        <f t="shared" si="146"/>
        <v>Underpaid</v>
      </c>
      <c r="V2308" s="1" t="str">
        <f>_xlfn.XLOOKUP(C2308,Payers!$A$2:$A$9,Payers!$B$2:$B$9)</f>
        <v>Blue Horizon Commercial</v>
      </c>
      <c r="W2308" s="1" t="str">
        <f t="shared" si="147"/>
        <v>2026-04</v>
      </c>
    </row>
    <row r="2309" spans="1:23">
      <c r="A2309" s="1" t="s">
        <v>4046</v>
      </c>
      <c r="B2309" s="1" t="s">
        <v>4047</v>
      </c>
      <c r="C2309" s="1" t="s">
        <v>76</v>
      </c>
      <c r="D2309" s="1" t="s">
        <v>26</v>
      </c>
      <c r="E2309" s="1" t="s">
        <v>185</v>
      </c>
      <c r="F2309">
        <v>1</v>
      </c>
      <c r="G2309" s="2">
        <v>46218</v>
      </c>
      <c r="H2309" s="2">
        <v>46230</v>
      </c>
      <c r="I2309">
        <v>1127.69</v>
      </c>
      <c r="J2309">
        <v>490.26</v>
      </c>
      <c r="K2309">
        <v>441.23</v>
      </c>
      <c r="L2309">
        <v>49.03</v>
      </c>
      <c r="M2309" s="1" t="s">
        <v>21</v>
      </c>
      <c r="N2309" s="1" t="s">
        <v>22</v>
      </c>
      <c r="O2309" s="2">
        <v>46264</v>
      </c>
      <c r="P2309" s="2">
        <v>46264</v>
      </c>
      <c r="Q2309">
        <f>_xlfn.XLOOKUP(E2309,CPT!$A$2:$A$13,CPT!$D$2:$D$13)</f>
        <v>1150</v>
      </c>
      <c r="R2309" s="1">
        <f>_xlfn.XLOOKUP(C2309,Contract!$A$2:$A$9,Contract!$B$2:$B$9)</f>
        <v>0.43</v>
      </c>
      <c r="S2309" s="1">
        <f t="shared" si="144"/>
        <v>494.5</v>
      </c>
      <c r="T2309" s="1">
        <f t="shared" si="145"/>
        <v>4.2400000000000091</v>
      </c>
      <c r="U2309" s="1" t="str">
        <f t="shared" si="146"/>
        <v>OK</v>
      </c>
      <c r="V2309" s="1" t="str">
        <f>_xlfn.XLOOKUP(C2309,Payers!$A$2:$A$9,Payers!$B$2:$B$9)</f>
        <v>Summit Health Commercial</v>
      </c>
      <c r="W2309" s="1" t="str">
        <f t="shared" si="147"/>
        <v>2026-07</v>
      </c>
    </row>
    <row r="2310" spans="1:23">
      <c r="A2310" s="1" t="s">
        <v>4048</v>
      </c>
      <c r="B2310" s="1" t="s">
        <v>542</v>
      </c>
      <c r="C2310" s="1" t="s">
        <v>76</v>
      </c>
      <c r="D2310" s="1" t="s">
        <v>19</v>
      </c>
      <c r="E2310" s="1" t="s">
        <v>57</v>
      </c>
      <c r="F2310">
        <v>1</v>
      </c>
      <c r="G2310" s="2">
        <v>45942</v>
      </c>
      <c r="H2310" s="2">
        <v>45944</v>
      </c>
      <c r="I2310">
        <v>210.98</v>
      </c>
      <c r="J2310">
        <v>100.09</v>
      </c>
      <c r="K2310">
        <v>90.08</v>
      </c>
      <c r="L2310">
        <v>10.01</v>
      </c>
      <c r="M2310" s="1" t="s">
        <v>21</v>
      </c>
      <c r="N2310" s="1" t="s">
        <v>22</v>
      </c>
      <c r="O2310" s="2">
        <v>45960</v>
      </c>
      <c r="P2310" s="2">
        <v>45960</v>
      </c>
      <c r="Q2310">
        <f>_xlfn.XLOOKUP(E2310,CPT!$A$2:$A$13,CPT!$D$2:$D$13)</f>
        <v>210</v>
      </c>
      <c r="R2310" s="1">
        <f>_xlfn.XLOOKUP(C2310,Contract!$A$2:$A$9,Contract!$B$2:$B$9)</f>
        <v>0.43</v>
      </c>
      <c r="S2310" s="1">
        <f t="shared" si="144"/>
        <v>90.3</v>
      </c>
      <c r="T2310" s="1">
        <f t="shared" si="145"/>
        <v>-9.7900000000000063</v>
      </c>
      <c r="U2310" s="1" t="str">
        <f t="shared" si="146"/>
        <v>OK</v>
      </c>
      <c r="V2310" s="1" t="str">
        <f>_xlfn.XLOOKUP(C2310,Payers!$A$2:$A$9,Payers!$B$2:$B$9)</f>
        <v>Summit Health Commercial</v>
      </c>
      <c r="W2310" s="1" t="str">
        <f t="shared" si="147"/>
        <v>2025-10</v>
      </c>
    </row>
    <row r="2311" spans="1:23">
      <c r="A2311" s="1" t="s">
        <v>4049</v>
      </c>
      <c r="B2311" s="1" t="s">
        <v>1763</v>
      </c>
      <c r="C2311" s="1" t="s">
        <v>36</v>
      </c>
      <c r="D2311" s="1" t="s">
        <v>26</v>
      </c>
      <c r="E2311" s="1" t="s">
        <v>113</v>
      </c>
      <c r="F2311">
        <v>1</v>
      </c>
      <c r="G2311" s="2">
        <v>45935</v>
      </c>
      <c r="H2311" s="2">
        <v>45938</v>
      </c>
      <c r="I2311">
        <v>1034.17</v>
      </c>
      <c r="J2311">
        <v>311.68</v>
      </c>
      <c r="K2311">
        <v>249.34</v>
      </c>
      <c r="L2311">
        <v>62.34</v>
      </c>
      <c r="M2311" s="1" t="s">
        <v>21</v>
      </c>
      <c r="N2311" s="1" t="s">
        <v>22</v>
      </c>
      <c r="O2311" s="2">
        <v>45957</v>
      </c>
      <c r="P2311" s="2">
        <v>45957</v>
      </c>
      <c r="Q2311">
        <f>_xlfn.XLOOKUP(E2311,CPT!$A$2:$A$13,CPT!$D$2:$D$13)</f>
        <v>1050</v>
      </c>
      <c r="R2311" s="1">
        <f>_xlfn.XLOOKUP(C2311,Contract!$A$2:$A$9,Contract!$B$2:$B$9)</f>
        <v>0.27</v>
      </c>
      <c r="S2311" s="1">
        <f t="shared" si="144"/>
        <v>283.5</v>
      </c>
      <c r="T2311" s="1">
        <f t="shared" si="145"/>
        <v>-28.180000000000007</v>
      </c>
      <c r="U2311" s="1" t="str">
        <f t="shared" si="146"/>
        <v>OK</v>
      </c>
      <c r="V2311" s="1" t="str">
        <f>_xlfn.XLOOKUP(C2311,Payers!$A$2:$A$9,Payers!$B$2:$B$9)</f>
        <v>Florida Medicaid</v>
      </c>
      <c r="W2311" s="1" t="str">
        <f t="shared" si="147"/>
        <v>2025-10</v>
      </c>
    </row>
    <row r="2312" spans="1:23">
      <c r="A2312" s="1" t="s">
        <v>4050</v>
      </c>
      <c r="B2312" s="1" t="s">
        <v>521</v>
      </c>
      <c r="C2312" s="1" t="s">
        <v>25</v>
      </c>
      <c r="D2312" s="1" t="s">
        <v>26</v>
      </c>
      <c r="E2312" s="1" t="s">
        <v>185</v>
      </c>
      <c r="F2312">
        <v>1</v>
      </c>
      <c r="G2312" s="2">
        <v>46171</v>
      </c>
      <c r="H2312" s="2">
        <v>46172</v>
      </c>
      <c r="I2312">
        <v>1143.44</v>
      </c>
      <c r="J2312">
        <v>450.39</v>
      </c>
      <c r="K2312">
        <v>405.35</v>
      </c>
      <c r="L2312">
        <v>45.04</v>
      </c>
      <c r="M2312" s="1" t="s">
        <v>21</v>
      </c>
      <c r="N2312" s="1" t="s">
        <v>22</v>
      </c>
      <c r="O2312" s="2">
        <v>46189</v>
      </c>
      <c r="P2312" s="2">
        <v>46189</v>
      </c>
      <c r="Q2312">
        <f>_xlfn.XLOOKUP(E2312,CPT!$A$2:$A$13,CPT!$D$2:$D$13)</f>
        <v>1150</v>
      </c>
      <c r="R2312" s="1">
        <f>_xlfn.XLOOKUP(C2312,Contract!$A$2:$A$9,Contract!$B$2:$B$9)</f>
        <v>0.36</v>
      </c>
      <c r="S2312" s="1">
        <f t="shared" si="144"/>
        <v>414</v>
      </c>
      <c r="T2312" s="1">
        <f t="shared" si="145"/>
        <v>-36.389999999999986</v>
      </c>
      <c r="U2312" s="1" t="str">
        <f t="shared" si="146"/>
        <v>OK</v>
      </c>
      <c r="V2312" s="1" t="str">
        <f>_xlfn.XLOOKUP(C2312,Payers!$A$2:$A$9,Payers!$B$2:$B$9)</f>
        <v>Medicare Part B</v>
      </c>
      <c r="W2312" s="1" t="str">
        <f t="shared" si="147"/>
        <v>2026-05</v>
      </c>
    </row>
    <row r="2313" spans="1:23">
      <c r="A2313" s="1" t="s">
        <v>4051</v>
      </c>
      <c r="B2313" s="1" t="s">
        <v>1118</v>
      </c>
      <c r="C2313" s="1" t="s">
        <v>47</v>
      </c>
      <c r="D2313" s="1" t="s">
        <v>26</v>
      </c>
      <c r="E2313" s="1" t="s">
        <v>27</v>
      </c>
      <c r="F2313">
        <v>1</v>
      </c>
      <c r="G2313" s="2">
        <v>46039</v>
      </c>
      <c r="H2313" s="2">
        <v>46057</v>
      </c>
      <c r="I2313">
        <v>246.26</v>
      </c>
      <c r="J2313">
        <v>71.069999999999993</v>
      </c>
      <c r="K2313">
        <v>56.86</v>
      </c>
      <c r="L2313">
        <v>14.21</v>
      </c>
      <c r="M2313" s="1" t="s">
        <v>21</v>
      </c>
      <c r="N2313" s="1" t="s">
        <v>22</v>
      </c>
      <c r="O2313" s="2">
        <v>46117</v>
      </c>
      <c r="P2313" s="2">
        <v>46117</v>
      </c>
      <c r="Q2313">
        <f>_xlfn.XLOOKUP(E2313,CPT!$A$2:$A$13,CPT!$D$2:$D$13)</f>
        <v>240</v>
      </c>
      <c r="R2313" s="1">
        <f>_xlfn.XLOOKUP(C2313,Contract!$A$2:$A$9,Contract!$B$2:$B$9)</f>
        <v>0.28000000000000003</v>
      </c>
      <c r="S2313" s="1">
        <f t="shared" si="144"/>
        <v>67.2</v>
      </c>
      <c r="T2313" s="1">
        <f t="shared" si="145"/>
        <v>-3.8699999999999903</v>
      </c>
      <c r="U2313" s="1" t="str">
        <f t="shared" si="146"/>
        <v>OK</v>
      </c>
      <c r="V2313" s="1" t="str">
        <f>_xlfn.XLOOKUP(C2313,Payers!$A$2:$A$9,Payers!$B$2:$B$9)</f>
        <v>Coastal Medicaid MCO</v>
      </c>
      <c r="W2313" s="1" t="str">
        <f t="shared" si="147"/>
        <v>2026-01</v>
      </c>
    </row>
    <row r="2314" spans="1:23">
      <c r="A2314" s="1" t="s">
        <v>4052</v>
      </c>
      <c r="B2314" s="1" t="s">
        <v>4053</v>
      </c>
      <c r="C2314" s="1" t="s">
        <v>52</v>
      </c>
      <c r="D2314" s="1" t="s">
        <v>19</v>
      </c>
      <c r="E2314" s="1" t="s">
        <v>41</v>
      </c>
      <c r="F2314">
        <v>1</v>
      </c>
      <c r="G2314" s="2">
        <v>46232</v>
      </c>
      <c r="H2314" s="2">
        <v>46236</v>
      </c>
      <c r="I2314">
        <v>38.090000000000003</v>
      </c>
      <c r="M2314" s="1" t="s">
        <v>69</v>
      </c>
      <c r="N2314" s="1" t="s">
        <v>22</v>
      </c>
      <c r="O2314" s="2"/>
      <c r="P2314" s="2"/>
      <c r="Q2314">
        <f>_xlfn.XLOOKUP(E2314,CPT!$A$2:$A$13,CPT!$D$2:$D$13)</f>
        <v>38</v>
      </c>
      <c r="R2314" s="1">
        <f>_xlfn.XLOOKUP(C2314,Contract!$A$2:$A$9,Contract!$B$2:$B$9)</f>
        <v>0.47</v>
      </c>
      <c r="S2314" s="1">
        <f t="shared" si="144"/>
        <v>17.86</v>
      </c>
      <c r="T2314" s="1" t="str">
        <f t="shared" si="145"/>
        <v/>
      </c>
      <c r="U2314" s="1" t="str">
        <f t="shared" si="146"/>
        <v/>
      </c>
      <c r="V2314" s="1" t="str">
        <f>_xlfn.XLOOKUP(C2314,Payers!$A$2:$A$9,Payers!$B$2:$B$9)</f>
        <v>Keystone Commercial PPO</v>
      </c>
      <c r="W2314" s="1" t="str">
        <f t="shared" si="147"/>
        <v>2026-07</v>
      </c>
    </row>
    <row r="2315" spans="1:23">
      <c r="A2315" s="1" t="s">
        <v>4054</v>
      </c>
      <c r="B2315" s="1" t="s">
        <v>4055</v>
      </c>
      <c r="C2315" s="1" t="s">
        <v>47</v>
      </c>
      <c r="D2315" s="1" t="s">
        <v>26</v>
      </c>
      <c r="E2315" s="1" t="s">
        <v>44</v>
      </c>
      <c r="F2315">
        <v>1</v>
      </c>
      <c r="G2315" s="2">
        <v>46152</v>
      </c>
      <c r="H2315" s="2">
        <v>46153</v>
      </c>
      <c r="I2315">
        <v>4824.26</v>
      </c>
      <c r="M2315" s="1" t="s">
        <v>32</v>
      </c>
      <c r="N2315" s="1" t="s">
        <v>49</v>
      </c>
      <c r="O2315" s="2">
        <v>46231</v>
      </c>
      <c r="P2315" s="2"/>
      <c r="Q2315">
        <f>_xlfn.XLOOKUP(E2315,CPT!$A$2:$A$13,CPT!$D$2:$D$13)</f>
        <v>4800</v>
      </c>
      <c r="R2315" s="1">
        <f>_xlfn.XLOOKUP(C2315,Contract!$A$2:$A$9,Contract!$B$2:$B$9)</f>
        <v>0.28000000000000003</v>
      </c>
      <c r="S2315" s="1">
        <f t="shared" si="144"/>
        <v>1344</v>
      </c>
      <c r="T2315" s="1" t="str">
        <f t="shared" si="145"/>
        <v/>
      </c>
      <c r="U2315" s="1" t="str">
        <f t="shared" si="146"/>
        <v/>
      </c>
      <c r="V2315" s="1" t="str">
        <f>_xlfn.XLOOKUP(C2315,Payers!$A$2:$A$9,Payers!$B$2:$B$9)</f>
        <v>Coastal Medicaid MCO</v>
      </c>
      <c r="W2315" s="1" t="str">
        <f t="shared" si="147"/>
        <v>2026-05</v>
      </c>
    </row>
    <row r="2316" spans="1:23">
      <c r="A2316" s="1" t="s">
        <v>4056</v>
      </c>
      <c r="B2316" s="1" t="s">
        <v>3224</v>
      </c>
      <c r="C2316" s="1" t="s">
        <v>76</v>
      </c>
      <c r="D2316" s="1" t="s">
        <v>26</v>
      </c>
      <c r="E2316" s="1" t="s">
        <v>27</v>
      </c>
      <c r="F2316">
        <v>1</v>
      </c>
      <c r="G2316" s="2">
        <v>46160</v>
      </c>
      <c r="H2316" s="2">
        <v>46162</v>
      </c>
      <c r="I2316">
        <v>234.28</v>
      </c>
      <c r="J2316">
        <v>97.63</v>
      </c>
      <c r="K2316">
        <v>87.87</v>
      </c>
      <c r="L2316">
        <v>9.76</v>
      </c>
      <c r="M2316" s="1" t="s">
        <v>21</v>
      </c>
      <c r="N2316" s="1" t="s">
        <v>22</v>
      </c>
      <c r="O2316" s="2">
        <v>46193</v>
      </c>
      <c r="P2316" s="2">
        <v>46193</v>
      </c>
      <c r="Q2316">
        <f>_xlfn.XLOOKUP(E2316,CPT!$A$2:$A$13,CPT!$D$2:$D$13)</f>
        <v>240</v>
      </c>
      <c r="R2316" s="1">
        <f>_xlfn.XLOOKUP(C2316,Contract!$A$2:$A$9,Contract!$B$2:$B$9)</f>
        <v>0.43</v>
      </c>
      <c r="S2316" s="1">
        <f t="shared" si="144"/>
        <v>103.2</v>
      </c>
      <c r="T2316" s="1">
        <f t="shared" si="145"/>
        <v>5.5700000000000074</v>
      </c>
      <c r="U2316" s="1" t="str">
        <f t="shared" si="146"/>
        <v>Underpaid</v>
      </c>
      <c r="V2316" s="1" t="str">
        <f>_xlfn.XLOOKUP(C2316,Payers!$A$2:$A$9,Payers!$B$2:$B$9)</f>
        <v>Summit Health Commercial</v>
      </c>
      <c r="W2316" s="1" t="str">
        <f t="shared" si="147"/>
        <v>2026-05</v>
      </c>
    </row>
    <row r="2317" spans="1:23">
      <c r="A2317" s="1" t="s">
        <v>4057</v>
      </c>
      <c r="B2317" s="1" t="s">
        <v>2222</v>
      </c>
      <c r="C2317" s="1" t="s">
        <v>47</v>
      </c>
      <c r="D2317" s="1" t="s">
        <v>19</v>
      </c>
      <c r="E2317" s="1" t="s">
        <v>41</v>
      </c>
      <c r="F2317">
        <v>1</v>
      </c>
      <c r="G2317" s="2">
        <v>46282</v>
      </c>
      <c r="H2317" s="2">
        <v>46285</v>
      </c>
      <c r="I2317">
        <v>37.08</v>
      </c>
      <c r="M2317" s="1" t="s">
        <v>69</v>
      </c>
      <c r="N2317" s="1" t="s">
        <v>22</v>
      </c>
      <c r="O2317" s="2"/>
      <c r="P2317" s="2"/>
      <c r="Q2317">
        <f>_xlfn.XLOOKUP(E2317,CPT!$A$2:$A$13,CPT!$D$2:$D$13)</f>
        <v>38</v>
      </c>
      <c r="R2317" s="1">
        <f>_xlfn.XLOOKUP(C2317,Contract!$A$2:$A$9,Contract!$B$2:$B$9)</f>
        <v>0.28000000000000003</v>
      </c>
      <c r="S2317" s="1">
        <f t="shared" si="144"/>
        <v>10.64</v>
      </c>
      <c r="T2317" s="1" t="str">
        <f t="shared" si="145"/>
        <v/>
      </c>
      <c r="U2317" s="1" t="str">
        <f t="shared" si="146"/>
        <v/>
      </c>
      <c r="V2317" s="1" t="str">
        <f>_xlfn.XLOOKUP(C2317,Payers!$A$2:$A$9,Payers!$B$2:$B$9)</f>
        <v>Coastal Medicaid MCO</v>
      </c>
      <c r="W2317" s="1" t="str">
        <f t="shared" si="147"/>
        <v>2026-09</v>
      </c>
    </row>
    <row r="2318" spans="1:23">
      <c r="A2318" s="1" t="s">
        <v>4058</v>
      </c>
      <c r="B2318" s="1" t="s">
        <v>3733</v>
      </c>
      <c r="C2318" s="1" t="s">
        <v>76</v>
      </c>
      <c r="D2318" s="1" t="s">
        <v>37</v>
      </c>
      <c r="E2318" s="1" t="s">
        <v>38</v>
      </c>
      <c r="F2318">
        <v>20</v>
      </c>
      <c r="G2318" s="2">
        <v>46037</v>
      </c>
      <c r="H2318" s="2">
        <v>46042</v>
      </c>
      <c r="I2318">
        <v>29192.61</v>
      </c>
      <c r="J2318">
        <v>12546.32</v>
      </c>
      <c r="K2318">
        <v>11291.69</v>
      </c>
      <c r="L2318">
        <v>1254.6300000000001</v>
      </c>
      <c r="M2318" s="1" t="s">
        <v>21</v>
      </c>
      <c r="N2318" s="1" t="s">
        <v>22</v>
      </c>
      <c r="O2318" s="2">
        <v>46100</v>
      </c>
      <c r="P2318" s="2">
        <v>46100</v>
      </c>
      <c r="Q2318">
        <f>_xlfn.XLOOKUP(E2318,CPT!$A$2:$A$13,CPT!$D$2:$D$13)</f>
        <v>1450</v>
      </c>
      <c r="R2318" s="1">
        <f>_xlfn.XLOOKUP(C2318,Contract!$A$2:$A$9,Contract!$B$2:$B$9)</f>
        <v>0.43</v>
      </c>
      <c r="S2318" s="1">
        <f t="shared" si="144"/>
        <v>12470</v>
      </c>
      <c r="T2318" s="1">
        <f t="shared" si="145"/>
        <v>-76.319999999999709</v>
      </c>
      <c r="U2318" s="1" t="str">
        <f t="shared" si="146"/>
        <v>OK</v>
      </c>
      <c r="V2318" s="1" t="str">
        <f>_xlfn.XLOOKUP(C2318,Payers!$A$2:$A$9,Payers!$B$2:$B$9)</f>
        <v>Summit Health Commercial</v>
      </c>
      <c r="W2318" s="1" t="str">
        <f t="shared" si="147"/>
        <v>2026-01</v>
      </c>
    </row>
    <row r="2319" spans="1:23">
      <c r="A2319" s="1" t="s">
        <v>4059</v>
      </c>
      <c r="B2319" s="1" t="s">
        <v>4060</v>
      </c>
      <c r="C2319" s="1" t="s">
        <v>25</v>
      </c>
      <c r="D2319" s="1" t="s">
        <v>37</v>
      </c>
      <c r="E2319" s="1" t="s">
        <v>38</v>
      </c>
      <c r="F2319">
        <v>30</v>
      </c>
      <c r="G2319" s="2">
        <v>46140</v>
      </c>
      <c r="H2319" s="2">
        <v>46144</v>
      </c>
      <c r="I2319">
        <v>44431.44</v>
      </c>
      <c r="J2319">
        <v>15918.05</v>
      </c>
      <c r="K2319">
        <v>14326.24</v>
      </c>
      <c r="L2319">
        <v>1591.81</v>
      </c>
      <c r="M2319" s="1" t="s">
        <v>21</v>
      </c>
      <c r="N2319" s="1" t="s">
        <v>22</v>
      </c>
      <c r="O2319" s="2">
        <v>46163</v>
      </c>
      <c r="P2319" s="2">
        <v>46163</v>
      </c>
      <c r="Q2319">
        <f>_xlfn.XLOOKUP(E2319,CPT!$A$2:$A$13,CPT!$D$2:$D$13)</f>
        <v>1450</v>
      </c>
      <c r="R2319" s="1">
        <f>_xlfn.XLOOKUP(C2319,Contract!$A$2:$A$9,Contract!$B$2:$B$9)</f>
        <v>0.36</v>
      </c>
      <c r="S2319" s="1">
        <f t="shared" si="144"/>
        <v>15660</v>
      </c>
      <c r="T2319" s="1">
        <f t="shared" si="145"/>
        <v>-258.04999999999927</v>
      </c>
      <c r="U2319" s="1" t="str">
        <f t="shared" si="146"/>
        <v>OK</v>
      </c>
      <c r="V2319" s="1" t="str">
        <f>_xlfn.XLOOKUP(C2319,Payers!$A$2:$A$9,Payers!$B$2:$B$9)</f>
        <v>Medicare Part B</v>
      </c>
      <c r="W2319" s="1" t="str">
        <f t="shared" si="147"/>
        <v>2026-04</v>
      </c>
    </row>
    <row r="2320" spans="1:23">
      <c r="A2320" s="1" t="s">
        <v>4061</v>
      </c>
      <c r="B2320" s="1" t="s">
        <v>1256</v>
      </c>
      <c r="C2320" s="1" t="s">
        <v>18</v>
      </c>
      <c r="D2320" s="1" t="s">
        <v>26</v>
      </c>
      <c r="E2320" s="1" t="s">
        <v>41</v>
      </c>
      <c r="F2320">
        <v>1</v>
      </c>
      <c r="G2320" s="2">
        <v>46066</v>
      </c>
      <c r="H2320" s="2">
        <v>46073</v>
      </c>
      <c r="I2320">
        <v>38.909999999999997</v>
      </c>
      <c r="J2320">
        <v>14.75</v>
      </c>
      <c r="K2320">
        <v>13.27</v>
      </c>
      <c r="L2320">
        <v>1.48</v>
      </c>
      <c r="M2320" s="1" t="s">
        <v>21</v>
      </c>
      <c r="N2320" s="1" t="s">
        <v>22</v>
      </c>
      <c r="O2320" s="2">
        <v>46118</v>
      </c>
      <c r="P2320" s="2">
        <v>46118</v>
      </c>
      <c r="Q2320">
        <f>_xlfn.XLOOKUP(E2320,CPT!$A$2:$A$13,CPT!$D$2:$D$13)</f>
        <v>38</v>
      </c>
      <c r="R2320" s="1">
        <f>_xlfn.XLOOKUP(C2320,Contract!$A$2:$A$9,Contract!$B$2:$B$9)</f>
        <v>0.38</v>
      </c>
      <c r="S2320" s="1">
        <f t="shared" si="144"/>
        <v>14.44</v>
      </c>
      <c r="T2320" s="1">
        <f t="shared" si="145"/>
        <v>-0.3100000000000005</v>
      </c>
      <c r="U2320" s="1" t="str">
        <f t="shared" si="146"/>
        <v>OK</v>
      </c>
      <c r="V2320" s="1" t="str">
        <f>_xlfn.XLOOKUP(C2320,Payers!$A$2:$A$9,Payers!$B$2:$B$9)</f>
        <v>Sunshine Medicare Advantage</v>
      </c>
      <c r="W2320" s="1" t="str">
        <f t="shared" si="147"/>
        <v>2026-02</v>
      </c>
    </row>
    <row r="2321" spans="1:23">
      <c r="A2321" s="1" t="s">
        <v>4062</v>
      </c>
      <c r="B2321" s="1" t="s">
        <v>4063</v>
      </c>
      <c r="C2321" s="1" t="s">
        <v>79</v>
      </c>
      <c r="D2321" s="1" t="s">
        <v>19</v>
      </c>
      <c r="E2321" s="1" t="s">
        <v>88</v>
      </c>
      <c r="F2321">
        <v>1</v>
      </c>
      <c r="G2321" s="2">
        <v>45997</v>
      </c>
      <c r="H2321" s="2">
        <v>46013</v>
      </c>
      <c r="I2321">
        <v>257.35000000000002</v>
      </c>
      <c r="M2321" s="1" t="s">
        <v>69</v>
      </c>
      <c r="N2321" s="1" t="s">
        <v>22</v>
      </c>
      <c r="O2321" s="2"/>
      <c r="P2321" s="2"/>
      <c r="Q2321">
        <f>_xlfn.XLOOKUP(E2321,CPT!$A$2:$A$13,CPT!$D$2:$D$13)</f>
        <v>260</v>
      </c>
      <c r="R2321" s="1">
        <f>_xlfn.XLOOKUP(C2321,Contract!$A$2:$A$9,Contract!$B$2:$B$9)</f>
        <v>1</v>
      </c>
      <c r="S2321" s="1">
        <f t="shared" si="144"/>
        <v>260</v>
      </c>
      <c r="T2321" s="1" t="str">
        <f t="shared" si="145"/>
        <v/>
      </c>
      <c r="U2321" s="1" t="str">
        <f t="shared" si="146"/>
        <v/>
      </c>
      <c r="V2321" s="1" t="str">
        <f>_xlfn.XLOOKUP(C2321,Payers!$A$2:$A$9,Payers!$B$2:$B$9)</f>
        <v>Self-Pay</v>
      </c>
      <c r="W2321" s="1" t="str">
        <f t="shared" si="147"/>
        <v>2025-12</v>
      </c>
    </row>
    <row r="2322" spans="1:23">
      <c r="A2322" s="1" t="s">
        <v>4064</v>
      </c>
      <c r="B2322" s="1" t="s">
        <v>4065</v>
      </c>
      <c r="C2322" s="1" t="s">
        <v>52</v>
      </c>
      <c r="D2322" s="1" t="s">
        <v>30</v>
      </c>
      <c r="E2322" s="1" t="s">
        <v>91</v>
      </c>
      <c r="F2322">
        <v>2</v>
      </c>
      <c r="G2322" s="2">
        <v>46019</v>
      </c>
      <c r="H2322" s="2">
        <v>46021</v>
      </c>
      <c r="I2322">
        <v>118.61</v>
      </c>
      <c r="M2322" s="1" t="s">
        <v>32</v>
      </c>
      <c r="N2322" s="1" t="s">
        <v>124</v>
      </c>
      <c r="O2322" s="2">
        <v>46054</v>
      </c>
      <c r="P2322" s="2"/>
      <c r="Q2322">
        <f>_xlfn.XLOOKUP(E2322,CPT!$A$2:$A$13,CPT!$D$2:$D$13)</f>
        <v>58</v>
      </c>
      <c r="R2322" s="1">
        <f>_xlfn.XLOOKUP(C2322,Contract!$A$2:$A$9,Contract!$B$2:$B$9)</f>
        <v>0.47</v>
      </c>
      <c r="S2322" s="1">
        <f t="shared" si="144"/>
        <v>54.52</v>
      </c>
      <c r="T2322" s="1" t="str">
        <f t="shared" si="145"/>
        <v/>
      </c>
      <c r="U2322" s="1" t="str">
        <f t="shared" si="146"/>
        <v/>
      </c>
      <c r="V2322" s="1" t="str">
        <f>_xlfn.XLOOKUP(C2322,Payers!$A$2:$A$9,Payers!$B$2:$B$9)</f>
        <v>Keystone Commercial PPO</v>
      </c>
      <c r="W2322" s="1" t="str">
        <f t="shared" si="147"/>
        <v>2025-12</v>
      </c>
    </row>
    <row r="2323" spans="1:23">
      <c r="A2323" s="1" t="s">
        <v>4066</v>
      </c>
      <c r="B2323" s="1" t="s">
        <v>1839</v>
      </c>
      <c r="C2323" s="1" t="s">
        <v>18</v>
      </c>
      <c r="D2323" s="1" t="s">
        <v>19</v>
      </c>
      <c r="E2323" s="1" t="s">
        <v>20</v>
      </c>
      <c r="F2323">
        <v>1</v>
      </c>
      <c r="G2323" s="2">
        <v>46031</v>
      </c>
      <c r="H2323" s="2">
        <v>46033</v>
      </c>
      <c r="I2323">
        <v>143.46</v>
      </c>
      <c r="M2323" s="1" t="s">
        <v>32</v>
      </c>
      <c r="N2323" s="1" t="s">
        <v>281</v>
      </c>
      <c r="O2323" s="2">
        <v>46083</v>
      </c>
      <c r="P2323" s="2"/>
      <c r="Q2323">
        <f>_xlfn.XLOOKUP(E2323,CPT!$A$2:$A$13,CPT!$D$2:$D$13)</f>
        <v>145</v>
      </c>
      <c r="R2323" s="1">
        <f>_xlfn.XLOOKUP(C2323,Contract!$A$2:$A$9,Contract!$B$2:$B$9)</f>
        <v>0.38</v>
      </c>
      <c r="S2323" s="1">
        <f t="shared" si="144"/>
        <v>55.1</v>
      </c>
      <c r="T2323" s="1" t="str">
        <f t="shared" si="145"/>
        <v/>
      </c>
      <c r="U2323" s="1" t="str">
        <f t="shared" si="146"/>
        <v/>
      </c>
      <c r="V2323" s="1" t="str">
        <f>_xlfn.XLOOKUP(C2323,Payers!$A$2:$A$9,Payers!$B$2:$B$9)</f>
        <v>Sunshine Medicare Advantage</v>
      </c>
      <c r="W2323" s="1" t="str">
        <f t="shared" si="147"/>
        <v>2026-01</v>
      </c>
    </row>
    <row r="2324" spans="1:23">
      <c r="A2324" s="1" t="s">
        <v>4067</v>
      </c>
      <c r="B2324" s="1" t="s">
        <v>1163</v>
      </c>
      <c r="C2324" s="1" t="s">
        <v>25</v>
      </c>
      <c r="D2324" s="1" t="s">
        <v>26</v>
      </c>
      <c r="E2324" s="1" t="s">
        <v>27</v>
      </c>
      <c r="F2324">
        <v>1</v>
      </c>
      <c r="G2324" s="2">
        <v>46238</v>
      </c>
      <c r="H2324" s="2">
        <v>46252</v>
      </c>
      <c r="I2324">
        <v>237.6</v>
      </c>
      <c r="J2324">
        <v>77.78</v>
      </c>
      <c r="K2324">
        <v>70</v>
      </c>
      <c r="L2324">
        <v>7.78</v>
      </c>
      <c r="M2324" s="1" t="s">
        <v>21</v>
      </c>
      <c r="N2324" s="1" t="s">
        <v>22</v>
      </c>
      <c r="O2324" s="2">
        <v>46270</v>
      </c>
      <c r="P2324" s="2">
        <v>46270</v>
      </c>
      <c r="Q2324">
        <f>_xlfn.XLOOKUP(E2324,CPT!$A$2:$A$13,CPT!$D$2:$D$13)</f>
        <v>240</v>
      </c>
      <c r="R2324" s="1">
        <f>_xlfn.XLOOKUP(C2324,Contract!$A$2:$A$9,Contract!$B$2:$B$9)</f>
        <v>0.36</v>
      </c>
      <c r="S2324" s="1">
        <f t="shared" si="144"/>
        <v>86.4</v>
      </c>
      <c r="T2324" s="1">
        <f t="shared" si="145"/>
        <v>8.6200000000000045</v>
      </c>
      <c r="U2324" s="1" t="str">
        <f t="shared" si="146"/>
        <v>Underpaid</v>
      </c>
      <c r="V2324" s="1" t="str">
        <f>_xlfn.XLOOKUP(C2324,Payers!$A$2:$A$9,Payers!$B$2:$B$9)</f>
        <v>Medicare Part B</v>
      </c>
      <c r="W2324" s="1" t="str">
        <f t="shared" si="147"/>
        <v>2026-08</v>
      </c>
    </row>
    <row r="2325" spans="1:23">
      <c r="A2325" s="1" t="s">
        <v>4068</v>
      </c>
      <c r="B2325" s="1" t="s">
        <v>430</v>
      </c>
      <c r="C2325" s="1" t="s">
        <v>52</v>
      </c>
      <c r="D2325" s="1" t="s">
        <v>30</v>
      </c>
      <c r="E2325" s="1" t="s">
        <v>20</v>
      </c>
      <c r="F2325">
        <v>1</v>
      </c>
      <c r="G2325" s="2">
        <v>46110</v>
      </c>
      <c r="H2325" s="2">
        <v>46218</v>
      </c>
      <c r="I2325">
        <v>145.21</v>
      </c>
      <c r="M2325" s="1" t="s">
        <v>32</v>
      </c>
      <c r="N2325" s="1" t="s">
        <v>137</v>
      </c>
      <c r="O2325" s="2">
        <v>46243</v>
      </c>
      <c r="P2325" s="2"/>
      <c r="Q2325">
        <f>_xlfn.XLOOKUP(E2325,CPT!$A$2:$A$13,CPT!$D$2:$D$13)</f>
        <v>145</v>
      </c>
      <c r="R2325" s="1">
        <f>_xlfn.XLOOKUP(C2325,Contract!$A$2:$A$9,Contract!$B$2:$B$9)</f>
        <v>0.47</v>
      </c>
      <c r="S2325" s="1">
        <f t="shared" si="144"/>
        <v>68.150000000000006</v>
      </c>
      <c r="T2325" s="1" t="str">
        <f t="shared" si="145"/>
        <v/>
      </c>
      <c r="U2325" s="1" t="str">
        <f t="shared" si="146"/>
        <v/>
      </c>
      <c r="V2325" s="1" t="str">
        <f>_xlfn.XLOOKUP(C2325,Payers!$A$2:$A$9,Payers!$B$2:$B$9)</f>
        <v>Keystone Commercial PPO</v>
      </c>
      <c r="W2325" s="1" t="str">
        <f t="shared" si="147"/>
        <v>2026-03</v>
      </c>
    </row>
    <row r="2326" spans="1:23">
      <c r="A2326" s="1" t="s">
        <v>4069</v>
      </c>
      <c r="B2326" s="1" t="s">
        <v>1449</v>
      </c>
      <c r="C2326" s="1" t="s">
        <v>52</v>
      </c>
      <c r="D2326" s="1" t="s">
        <v>30</v>
      </c>
      <c r="E2326" s="1" t="s">
        <v>20</v>
      </c>
      <c r="F2326">
        <v>1</v>
      </c>
      <c r="G2326" s="2">
        <v>46060</v>
      </c>
      <c r="H2326" s="2">
        <v>46062</v>
      </c>
      <c r="I2326">
        <v>143.30000000000001</v>
      </c>
      <c r="J2326">
        <v>67.89</v>
      </c>
      <c r="K2326">
        <v>67.89</v>
      </c>
      <c r="L2326">
        <v>0</v>
      </c>
      <c r="M2326" s="1" t="s">
        <v>21</v>
      </c>
      <c r="N2326" s="1" t="s">
        <v>22</v>
      </c>
      <c r="O2326" s="2">
        <v>46088</v>
      </c>
      <c r="P2326" s="2">
        <v>46088</v>
      </c>
      <c r="Q2326">
        <f>_xlfn.XLOOKUP(E2326,CPT!$A$2:$A$13,CPT!$D$2:$D$13)</f>
        <v>145</v>
      </c>
      <c r="R2326" s="1">
        <f>_xlfn.XLOOKUP(C2326,Contract!$A$2:$A$9,Contract!$B$2:$B$9)</f>
        <v>0.47</v>
      </c>
      <c r="S2326" s="1">
        <f t="shared" si="144"/>
        <v>68.150000000000006</v>
      </c>
      <c r="T2326" s="1">
        <f t="shared" si="145"/>
        <v>0.26000000000000512</v>
      </c>
      <c r="U2326" s="1" t="str">
        <f t="shared" si="146"/>
        <v>OK</v>
      </c>
      <c r="V2326" s="1" t="str">
        <f>_xlfn.XLOOKUP(C2326,Payers!$A$2:$A$9,Payers!$B$2:$B$9)</f>
        <v>Keystone Commercial PPO</v>
      </c>
      <c r="W2326" s="1" t="str">
        <f t="shared" si="147"/>
        <v>2026-02</v>
      </c>
    </row>
    <row r="2327" spans="1:23">
      <c r="A2327" s="1" t="s">
        <v>4070</v>
      </c>
      <c r="B2327" s="1" t="s">
        <v>4071</v>
      </c>
      <c r="C2327" s="1" t="s">
        <v>18</v>
      </c>
      <c r="D2327" s="1" t="s">
        <v>26</v>
      </c>
      <c r="E2327" s="1" t="s">
        <v>88</v>
      </c>
      <c r="F2327">
        <v>1</v>
      </c>
      <c r="G2327" s="2">
        <v>46008</v>
      </c>
      <c r="H2327" s="2">
        <v>46010</v>
      </c>
      <c r="I2327">
        <v>255.26</v>
      </c>
      <c r="J2327">
        <v>85.15</v>
      </c>
      <c r="K2327">
        <v>85.15</v>
      </c>
      <c r="L2327">
        <v>0</v>
      </c>
      <c r="M2327" s="1" t="s">
        <v>21</v>
      </c>
      <c r="N2327" s="1" t="s">
        <v>22</v>
      </c>
      <c r="O2327" s="2">
        <v>46047</v>
      </c>
      <c r="P2327" s="2">
        <v>46047</v>
      </c>
      <c r="Q2327">
        <f>_xlfn.XLOOKUP(E2327,CPT!$A$2:$A$13,CPT!$D$2:$D$13)</f>
        <v>260</v>
      </c>
      <c r="R2327" s="1">
        <f>_xlfn.XLOOKUP(C2327,Contract!$A$2:$A$9,Contract!$B$2:$B$9)</f>
        <v>0.38</v>
      </c>
      <c r="S2327" s="1">
        <f t="shared" si="144"/>
        <v>98.8</v>
      </c>
      <c r="T2327" s="1">
        <f t="shared" si="145"/>
        <v>13.649999999999991</v>
      </c>
      <c r="U2327" s="1" t="str">
        <f t="shared" si="146"/>
        <v>Underpaid</v>
      </c>
      <c r="V2327" s="1" t="str">
        <f>_xlfn.XLOOKUP(C2327,Payers!$A$2:$A$9,Payers!$B$2:$B$9)</f>
        <v>Sunshine Medicare Advantage</v>
      </c>
      <c r="W2327" s="1" t="str">
        <f t="shared" si="147"/>
        <v>2025-12</v>
      </c>
    </row>
    <row r="2328" spans="1:23">
      <c r="A2328" s="1" t="s">
        <v>4072</v>
      </c>
      <c r="B2328" s="1" t="s">
        <v>4073</v>
      </c>
      <c r="C2328" s="1" t="s">
        <v>47</v>
      </c>
      <c r="D2328" s="1" t="s">
        <v>30</v>
      </c>
      <c r="E2328" s="1" t="s">
        <v>31</v>
      </c>
      <c r="F2328">
        <v>1</v>
      </c>
      <c r="G2328" s="2">
        <v>46085</v>
      </c>
      <c r="H2328" s="2">
        <v>46088</v>
      </c>
      <c r="I2328">
        <v>63.36</v>
      </c>
      <c r="M2328" s="1" t="s">
        <v>32</v>
      </c>
      <c r="N2328" s="1" t="s">
        <v>124</v>
      </c>
      <c r="O2328" s="2">
        <v>46149</v>
      </c>
      <c r="P2328" s="2"/>
      <c r="Q2328">
        <f>_xlfn.XLOOKUP(E2328,CPT!$A$2:$A$13,CPT!$D$2:$D$13)</f>
        <v>62</v>
      </c>
      <c r="R2328" s="1">
        <f>_xlfn.XLOOKUP(C2328,Contract!$A$2:$A$9,Contract!$B$2:$B$9)</f>
        <v>0.28000000000000003</v>
      </c>
      <c r="S2328" s="1">
        <f t="shared" si="144"/>
        <v>17.36</v>
      </c>
      <c r="T2328" s="1" t="str">
        <f t="shared" si="145"/>
        <v/>
      </c>
      <c r="U2328" s="1" t="str">
        <f t="shared" si="146"/>
        <v/>
      </c>
      <c r="V2328" s="1" t="str">
        <f>_xlfn.XLOOKUP(C2328,Payers!$A$2:$A$9,Payers!$B$2:$B$9)</f>
        <v>Coastal Medicaid MCO</v>
      </c>
      <c r="W2328" s="1" t="str">
        <f t="shared" si="147"/>
        <v>2026-03</v>
      </c>
    </row>
    <row r="2329" spans="1:23">
      <c r="A2329" s="1" t="s">
        <v>4074</v>
      </c>
      <c r="B2329" s="1" t="s">
        <v>1443</v>
      </c>
      <c r="C2329" s="1" t="s">
        <v>52</v>
      </c>
      <c r="D2329" s="1" t="s">
        <v>30</v>
      </c>
      <c r="E2329" s="1" t="s">
        <v>20</v>
      </c>
      <c r="F2329">
        <v>1</v>
      </c>
      <c r="G2329" s="2">
        <v>46184</v>
      </c>
      <c r="H2329" s="2">
        <v>46187</v>
      </c>
      <c r="I2329">
        <v>142.96</v>
      </c>
      <c r="J2329">
        <v>62.77</v>
      </c>
      <c r="K2329">
        <v>56.49</v>
      </c>
      <c r="L2329">
        <v>6.28</v>
      </c>
      <c r="M2329" s="1" t="s">
        <v>21</v>
      </c>
      <c r="N2329" s="1" t="s">
        <v>22</v>
      </c>
      <c r="O2329" s="2">
        <v>46245</v>
      </c>
      <c r="P2329" s="2">
        <v>46245</v>
      </c>
      <c r="Q2329">
        <f>_xlfn.XLOOKUP(E2329,CPT!$A$2:$A$13,CPT!$D$2:$D$13)</f>
        <v>145</v>
      </c>
      <c r="R2329" s="1">
        <f>_xlfn.XLOOKUP(C2329,Contract!$A$2:$A$9,Contract!$B$2:$B$9)</f>
        <v>0.47</v>
      </c>
      <c r="S2329" s="1">
        <f t="shared" si="144"/>
        <v>68.150000000000006</v>
      </c>
      <c r="T2329" s="1">
        <f t="shared" si="145"/>
        <v>5.3800000000000026</v>
      </c>
      <c r="U2329" s="1" t="str">
        <f t="shared" si="146"/>
        <v>Underpaid</v>
      </c>
      <c r="V2329" s="1" t="str">
        <f>_xlfn.XLOOKUP(C2329,Payers!$A$2:$A$9,Payers!$B$2:$B$9)</f>
        <v>Keystone Commercial PPO</v>
      </c>
      <c r="W2329" s="1" t="str">
        <f t="shared" si="147"/>
        <v>2026-06</v>
      </c>
    </row>
    <row r="2330" spans="1:23">
      <c r="A2330" s="1" t="s">
        <v>4075</v>
      </c>
      <c r="B2330" s="1" t="s">
        <v>486</v>
      </c>
      <c r="C2330" s="1" t="s">
        <v>18</v>
      </c>
      <c r="D2330" s="1" t="s">
        <v>30</v>
      </c>
      <c r="E2330" s="1" t="s">
        <v>91</v>
      </c>
      <c r="F2330">
        <v>1</v>
      </c>
      <c r="G2330" s="2">
        <v>46060</v>
      </c>
      <c r="H2330" s="2">
        <v>46067</v>
      </c>
      <c r="I2330">
        <v>59.61</v>
      </c>
      <c r="J2330">
        <v>23.21</v>
      </c>
      <c r="K2330">
        <v>23.21</v>
      </c>
      <c r="L2330">
        <v>0</v>
      </c>
      <c r="M2330" s="1" t="s">
        <v>21</v>
      </c>
      <c r="N2330" s="1" t="s">
        <v>22</v>
      </c>
      <c r="O2330" s="2">
        <v>46116</v>
      </c>
      <c r="P2330" s="2">
        <v>46116</v>
      </c>
      <c r="Q2330">
        <f>_xlfn.XLOOKUP(E2330,CPT!$A$2:$A$13,CPT!$D$2:$D$13)</f>
        <v>58</v>
      </c>
      <c r="R2330" s="1">
        <f>_xlfn.XLOOKUP(C2330,Contract!$A$2:$A$9,Contract!$B$2:$B$9)</f>
        <v>0.38</v>
      </c>
      <c r="S2330" s="1">
        <f t="shared" si="144"/>
        <v>22.04</v>
      </c>
      <c r="T2330" s="1">
        <f t="shared" si="145"/>
        <v>-1.1700000000000017</v>
      </c>
      <c r="U2330" s="1" t="str">
        <f t="shared" si="146"/>
        <v>OK</v>
      </c>
      <c r="V2330" s="1" t="str">
        <f>_xlfn.XLOOKUP(C2330,Payers!$A$2:$A$9,Payers!$B$2:$B$9)</f>
        <v>Sunshine Medicare Advantage</v>
      </c>
      <c r="W2330" s="1" t="str">
        <f t="shared" si="147"/>
        <v>2026-02</v>
      </c>
    </row>
    <row r="2331" spans="1:23">
      <c r="A2331" s="1" t="s">
        <v>4076</v>
      </c>
      <c r="B2331" s="1" t="s">
        <v>3718</v>
      </c>
      <c r="C2331" s="1" t="s">
        <v>52</v>
      </c>
      <c r="D2331" s="1" t="s">
        <v>30</v>
      </c>
      <c r="E2331" s="1" t="s">
        <v>91</v>
      </c>
      <c r="F2331">
        <v>1</v>
      </c>
      <c r="G2331" s="2">
        <v>46112</v>
      </c>
      <c r="H2331" s="2">
        <v>46115</v>
      </c>
      <c r="I2331">
        <v>57.33</v>
      </c>
      <c r="M2331" s="1" t="s">
        <v>32</v>
      </c>
      <c r="N2331" s="1" t="s">
        <v>33</v>
      </c>
      <c r="O2331" s="2">
        <v>46170</v>
      </c>
      <c r="P2331" s="2"/>
      <c r="Q2331">
        <f>_xlfn.XLOOKUP(E2331,CPT!$A$2:$A$13,CPT!$D$2:$D$13)</f>
        <v>58</v>
      </c>
      <c r="R2331" s="1">
        <f>_xlfn.XLOOKUP(C2331,Contract!$A$2:$A$9,Contract!$B$2:$B$9)</f>
        <v>0.47</v>
      </c>
      <c r="S2331" s="1">
        <f t="shared" si="144"/>
        <v>27.26</v>
      </c>
      <c r="T2331" s="1" t="str">
        <f t="shared" si="145"/>
        <v/>
      </c>
      <c r="U2331" s="1" t="str">
        <f t="shared" si="146"/>
        <v/>
      </c>
      <c r="V2331" s="1" t="str">
        <f>_xlfn.XLOOKUP(C2331,Payers!$A$2:$A$9,Payers!$B$2:$B$9)</f>
        <v>Keystone Commercial PPO</v>
      </c>
      <c r="W2331" s="1" t="str">
        <f t="shared" si="147"/>
        <v>2026-03</v>
      </c>
    </row>
    <row r="2332" spans="1:23">
      <c r="A2332" s="1" t="s">
        <v>4077</v>
      </c>
      <c r="B2332" s="1" t="s">
        <v>2118</v>
      </c>
      <c r="C2332" s="1" t="s">
        <v>25</v>
      </c>
      <c r="D2332" s="1" t="s">
        <v>26</v>
      </c>
      <c r="E2332" s="1" t="s">
        <v>27</v>
      </c>
      <c r="F2332">
        <v>1</v>
      </c>
      <c r="G2332" s="2">
        <v>45947</v>
      </c>
      <c r="H2332" s="2">
        <v>45948</v>
      </c>
      <c r="I2332">
        <v>242.06</v>
      </c>
      <c r="J2332">
        <v>93.61</v>
      </c>
      <c r="K2332">
        <v>84.25</v>
      </c>
      <c r="L2332">
        <v>9.36</v>
      </c>
      <c r="M2332" s="1" t="s">
        <v>21</v>
      </c>
      <c r="N2332" s="1" t="s">
        <v>22</v>
      </c>
      <c r="O2332" s="2">
        <v>45967</v>
      </c>
      <c r="P2332" s="2">
        <v>45967</v>
      </c>
      <c r="Q2332">
        <f>_xlfn.XLOOKUP(E2332,CPT!$A$2:$A$13,CPT!$D$2:$D$13)</f>
        <v>240</v>
      </c>
      <c r="R2332" s="1">
        <f>_xlfn.XLOOKUP(C2332,Contract!$A$2:$A$9,Contract!$B$2:$B$9)</f>
        <v>0.36</v>
      </c>
      <c r="S2332" s="1">
        <f t="shared" si="144"/>
        <v>86.4</v>
      </c>
      <c r="T2332" s="1">
        <f t="shared" si="145"/>
        <v>-7.2099999999999937</v>
      </c>
      <c r="U2332" s="1" t="str">
        <f t="shared" si="146"/>
        <v>OK</v>
      </c>
      <c r="V2332" s="1" t="str">
        <f>_xlfn.XLOOKUP(C2332,Payers!$A$2:$A$9,Payers!$B$2:$B$9)</f>
        <v>Medicare Part B</v>
      </c>
      <c r="W2332" s="1" t="str">
        <f t="shared" si="147"/>
        <v>2025-10</v>
      </c>
    </row>
    <row r="2333" spans="1:23">
      <c r="A2333" s="1" t="s">
        <v>4078</v>
      </c>
      <c r="B2333" s="1" t="s">
        <v>4079</v>
      </c>
      <c r="C2333" s="1" t="s">
        <v>18</v>
      </c>
      <c r="D2333" s="1" t="s">
        <v>19</v>
      </c>
      <c r="E2333" s="1" t="s">
        <v>57</v>
      </c>
      <c r="F2333">
        <v>1</v>
      </c>
      <c r="G2333" s="2">
        <v>46065</v>
      </c>
      <c r="H2333" s="2">
        <v>46068</v>
      </c>
      <c r="I2333">
        <v>208.03</v>
      </c>
      <c r="J2333">
        <v>75.45</v>
      </c>
      <c r="K2333">
        <v>60.36</v>
      </c>
      <c r="L2333">
        <v>15.09</v>
      </c>
      <c r="M2333" s="1" t="s">
        <v>21</v>
      </c>
      <c r="N2333" s="1" t="s">
        <v>22</v>
      </c>
      <c r="O2333" s="2">
        <v>46105</v>
      </c>
      <c r="P2333" s="2">
        <v>46105</v>
      </c>
      <c r="Q2333">
        <f>_xlfn.XLOOKUP(E2333,CPT!$A$2:$A$13,CPT!$D$2:$D$13)</f>
        <v>210</v>
      </c>
      <c r="R2333" s="1">
        <f>_xlfn.XLOOKUP(C2333,Contract!$A$2:$A$9,Contract!$B$2:$B$9)</f>
        <v>0.38</v>
      </c>
      <c r="S2333" s="1">
        <f t="shared" si="144"/>
        <v>79.8</v>
      </c>
      <c r="T2333" s="1">
        <f t="shared" si="145"/>
        <v>4.3499999999999943</v>
      </c>
      <c r="U2333" s="1" t="str">
        <f t="shared" si="146"/>
        <v>Underpaid</v>
      </c>
      <c r="V2333" s="1" t="str">
        <f>_xlfn.XLOOKUP(C2333,Payers!$A$2:$A$9,Payers!$B$2:$B$9)</f>
        <v>Sunshine Medicare Advantage</v>
      </c>
      <c r="W2333" s="1" t="str">
        <f t="shared" si="147"/>
        <v>2026-02</v>
      </c>
    </row>
    <row r="2334" spans="1:23">
      <c r="A2334" s="1" t="s">
        <v>4080</v>
      </c>
      <c r="B2334" s="1" t="s">
        <v>4081</v>
      </c>
      <c r="C2334" s="1" t="s">
        <v>47</v>
      </c>
      <c r="D2334" s="1" t="s">
        <v>26</v>
      </c>
      <c r="E2334" s="1" t="s">
        <v>57</v>
      </c>
      <c r="F2334">
        <v>1</v>
      </c>
      <c r="G2334" s="2">
        <v>46277</v>
      </c>
      <c r="H2334" s="2">
        <v>46280</v>
      </c>
      <c r="I2334">
        <v>205.34</v>
      </c>
      <c r="M2334" s="1" t="s">
        <v>69</v>
      </c>
      <c r="N2334" s="1" t="s">
        <v>22</v>
      </c>
      <c r="O2334" s="2"/>
      <c r="P2334" s="2"/>
      <c r="Q2334">
        <f>_xlfn.XLOOKUP(E2334,CPT!$A$2:$A$13,CPT!$D$2:$D$13)</f>
        <v>210</v>
      </c>
      <c r="R2334" s="1">
        <f>_xlfn.XLOOKUP(C2334,Contract!$A$2:$A$9,Contract!$B$2:$B$9)</f>
        <v>0.28000000000000003</v>
      </c>
      <c r="S2334" s="1">
        <f t="shared" si="144"/>
        <v>58.8</v>
      </c>
      <c r="T2334" s="1" t="str">
        <f t="shared" si="145"/>
        <v/>
      </c>
      <c r="U2334" s="1" t="str">
        <f t="shared" si="146"/>
        <v/>
      </c>
      <c r="V2334" s="1" t="str">
        <f>_xlfn.XLOOKUP(C2334,Payers!$A$2:$A$9,Payers!$B$2:$B$9)</f>
        <v>Coastal Medicaid MCO</v>
      </c>
      <c r="W2334" s="1" t="str">
        <f t="shared" si="147"/>
        <v>2026-09</v>
      </c>
    </row>
    <row r="2335" spans="1:23">
      <c r="A2335" s="1" t="s">
        <v>4082</v>
      </c>
      <c r="B2335" s="1" t="s">
        <v>1423</v>
      </c>
      <c r="C2335" s="1" t="s">
        <v>76</v>
      </c>
      <c r="D2335" s="1" t="s">
        <v>30</v>
      </c>
      <c r="E2335" s="1" t="s">
        <v>31</v>
      </c>
      <c r="F2335">
        <v>3</v>
      </c>
      <c r="G2335" s="2">
        <v>45945</v>
      </c>
      <c r="H2335" s="2">
        <v>45946</v>
      </c>
      <c r="I2335">
        <v>188.64</v>
      </c>
      <c r="J2335">
        <v>82.77</v>
      </c>
      <c r="K2335">
        <v>74.489999999999995</v>
      </c>
      <c r="L2335">
        <v>8.2799999999999994</v>
      </c>
      <c r="M2335" s="1" t="s">
        <v>21</v>
      </c>
      <c r="N2335" s="1" t="s">
        <v>22</v>
      </c>
      <c r="O2335" s="2">
        <v>45970</v>
      </c>
      <c r="P2335" s="2">
        <v>45970</v>
      </c>
      <c r="Q2335">
        <f>_xlfn.XLOOKUP(E2335,CPT!$A$2:$A$13,CPT!$D$2:$D$13)</f>
        <v>62</v>
      </c>
      <c r="R2335" s="1">
        <f>_xlfn.XLOOKUP(C2335,Contract!$A$2:$A$9,Contract!$B$2:$B$9)</f>
        <v>0.43</v>
      </c>
      <c r="S2335" s="1">
        <f t="shared" si="144"/>
        <v>79.98</v>
      </c>
      <c r="T2335" s="1">
        <f t="shared" si="145"/>
        <v>-2.789999999999992</v>
      </c>
      <c r="U2335" s="1" t="str">
        <f t="shared" si="146"/>
        <v>OK</v>
      </c>
      <c r="V2335" s="1" t="str">
        <f>_xlfn.XLOOKUP(C2335,Payers!$A$2:$A$9,Payers!$B$2:$B$9)</f>
        <v>Summit Health Commercial</v>
      </c>
      <c r="W2335" s="1" t="str">
        <f t="shared" si="147"/>
        <v>2025-10</v>
      </c>
    </row>
    <row r="2336" spans="1:23">
      <c r="A2336" s="1" t="s">
        <v>4083</v>
      </c>
      <c r="B2336" s="1" t="s">
        <v>3214</v>
      </c>
      <c r="C2336" s="1" t="s">
        <v>25</v>
      </c>
      <c r="D2336" s="1" t="s">
        <v>19</v>
      </c>
      <c r="E2336" s="1" t="s">
        <v>20</v>
      </c>
      <c r="F2336">
        <v>1</v>
      </c>
      <c r="G2336" s="2">
        <v>46237</v>
      </c>
      <c r="H2336" s="2">
        <v>46241</v>
      </c>
      <c r="I2336">
        <v>145.02000000000001</v>
      </c>
      <c r="J2336">
        <v>49.19</v>
      </c>
      <c r="K2336">
        <v>44.27</v>
      </c>
      <c r="L2336">
        <v>4.92</v>
      </c>
      <c r="M2336" s="1" t="s">
        <v>21</v>
      </c>
      <c r="N2336" s="1" t="s">
        <v>22</v>
      </c>
      <c r="O2336" s="2">
        <v>46264</v>
      </c>
      <c r="P2336" s="2">
        <v>46264</v>
      </c>
      <c r="Q2336">
        <f>_xlfn.XLOOKUP(E2336,CPT!$A$2:$A$13,CPT!$D$2:$D$13)</f>
        <v>145</v>
      </c>
      <c r="R2336" s="1">
        <f>_xlfn.XLOOKUP(C2336,Contract!$A$2:$A$9,Contract!$B$2:$B$9)</f>
        <v>0.36</v>
      </c>
      <c r="S2336" s="1">
        <f t="shared" si="144"/>
        <v>52.2</v>
      </c>
      <c r="T2336" s="1">
        <f t="shared" si="145"/>
        <v>3.0100000000000051</v>
      </c>
      <c r="U2336" s="1" t="str">
        <f t="shared" si="146"/>
        <v>Underpaid</v>
      </c>
      <c r="V2336" s="1" t="str">
        <f>_xlfn.XLOOKUP(C2336,Payers!$A$2:$A$9,Payers!$B$2:$B$9)</f>
        <v>Medicare Part B</v>
      </c>
      <c r="W2336" s="1" t="str">
        <f t="shared" si="147"/>
        <v>2026-08</v>
      </c>
    </row>
    <row r="2337" spans="1:23">
      <c r="A2337" s="1" t="s">
        <v>4084</v>
      </c>
      <c r="B2337" s="1" t="s">
        <v>4041</v>
      </c>
      <c r="C2337" s="1" t="s">
        <v>36</v>
      </c>
      <c r="D2337" s="1" t="s">
        <v>26</v>
      </c>
      <c r="E2337" s="1" t="s">
        <v>113</v>
      </c>
      <c r="F2337">
        <v>1</v>
      </c>
      <c r="G2337" s="2">
        <v>46072</v>
      </c>
      <c r="H2337" s="2">
        <v>46073</v>
      </c>
      <c r="I2337">
        <v>1043.81</v>
      </c>
      <c r="J2337">
        <v>279.23</v>
      </c>
      <c r="K2337">
        <v>223.38</v>
      </c>
      <c r="L2337">
        <v>55.85</v>
      </c>
      <c r="M2337" s="1" t="s">
        <v>21</v>
      </c>
      <c r="N2337" s="1" t="s">
        <v>22</v>
      </c>
      <c r="O2337" s="2">
        <v>46120</v>
      </c>
      <c r="P2337" s="2">
        <v>46120</v>
      </c>
      <c r="Q2337">
        <f>_xlfn.XLOOKUP(E2337,CPT!$A$2:$A$13,CPT!$D$2:$D$13)</f>
        <v>1050</v>
      </c>
      <c r="R2337" s="1">
        <f>_xlfn.XLOOKUP(C2337,Contract!$A$2:$A$9,Contract!$B$2:$B$9)</f>
        <v>0.27</v>
      </c>
      <c r="S2337" s="1">
        <f t="shared" si="144"/>
        <v>283.5</v>
      </c>
      <c r="T2337" s="1">
        <f t="shared" si="145"/>
        <v>4.2699999999999818</v>
      </c>
      <c r="U2337" s="1" t="str">
        <f t="shared" si="146"/>
        <v>OK</v>
      </c>
      <c r="V2337" s="1" t="str">
        <f>_xlfn.XLOOKUP(C2337,Payers!$A$2:$A$9,Payers!$B$2:$B$9)</f>
        <v>Florida Medicaid</v>
      </c>
      <c r="W2337" s="1" t="str">
        <f t="shared" si="147"/>
        <v>2026-02</v>
      </c>
    </row>
    <row r="2338" spans="1:23">
      <c r="A2338" s="1" t="s">
        <v>4085</v>
      </c>
      <c r="B2338" s="1" t="s">
        <v>4086</v>
      </c>
      <c r="C2338" s="1" t="s">
        <v>52</v>
      </c>
      <c r="D2338" s="1" t="s">
        <v>19</v>
      </c>
      <c r="E2338" s="1" t="s">
        <v>41</v>
      </c>
      <c r="F2338">
        <v>1</v>
      </c>
      <c r="G2338" s="2">
        <v>46273</v>
      </c>
      <c r="H2338" s="2">
        <v>46279</v>
      </c>
      <c r="I2338">
        <v>36.86</v>
      </c>
      <c r="M2338" s="1" t="s">
        <v>69</v>
      </c>
      <c r="N2338" s="1" t="s">
        <v>22</v>
      </c>
      <c r="O2338" s="2"/>
      <c r="P2338" s="2"/>
      <c r="Q2338">
        <f>_xlfn.XLOOKUP(E2338,CPT!$A$2:$A$13,CPT!$D$2:$D$13)</f>
        <v>38</v>
      </c>
      <c r="R2338" s="1">
        <f>_xlfn.XLOOKUP(C2338,Contract!$A$2:$A$9,Contract!$B$2:$B$9)</f>
        <v>0.47</v>
      </c>
      <c r="S2338" s="1">
        <f t="shared" si="144"/>
        <v>17.86</v>
      </c>
      <c r="T2338" s="1" t="str">
        <f t="shared" si="145"/>
        <v/>
      </c>
      <c r="U2338" s="1" t="str">
        <f t="shared" si="146"/>
        <v/>
      </c>
      <c r="V2338" s="1" t="str">
        <f>_xlfn.XLOOKUP(C2338,Payers!$A$2:$A$9,Payers!$B$2:$B$9)</f>
        <v>Keystone Commercial PPO</v>
      </c>
      <c r="W2338" s="1" t="str">
        <f t="shared" si="147"/>
        <v>2026-09</v>
      </c>
    </row>
    <row r="2339" spans="1:23">
      <c r="A2339" s="1" t="s">
        <v>4087</v>
      </c>
      <c r="B2339" s="1" t="s">
        <v>3515</v>
      </c>
      <c r="C2339" s="1" t="s">
        <v>18</v>
      </c>
      <c r="D2339" s="1" t="s">
        <v>19</v>
      </c>
      <c r="E2339" s="1" t="s">
        <v>57</v>
      </c>
      <c r="F2339">
        <v>1</v>
      </c>
      <c r="G2339" s="2">
        <v>45939</v>
      </c>
      <c r="H2339" s="2">
        <v>45944</v>
      </c>
      <c r="I2339">
        <v>213.03</v>
      </c>
      <c r="J2339">
        <v>77.510000000000005</v>
      </c>
      <c r="K2339">
        <v>69.760000000000005</v>
      </c>
      <c r="L2339">
        <v>7.75</v>
      </c>
      <c r="M2339" s="1" t="s">
        <v>21</v>
      </c>
      <c r="N2339" s="1" t="s">
        <v>22</v>
      </c>
      <c r="O2339" s="2">
        <v>45968</v>
      </c>
      <c r="P2339" s="2">
        <v>45968</v>
      </c>
      <c r="Q2339">
        <f>_xlfn.XLOOKUP(E2339,CPT!$A$2:$A$13,CPT!$D$2:$D$13)</f>
        <v>210</v>
      </c>
      <c r="R2339" s="1">
        <f>_xlfn.XLOOKUP(C2339,Contract!$A$2:$A$9,Contract!$B$2:$B$9)</f>
        <v>0.38</v>
      </c>
      <c r="S2339" s="1">
        <f t="shared" si="144"/>
        <v>79.8</v>
      </c>
      <c r="T2339" s="1">
        <f t="shared" si="145"/>
        <v>2.289999999999992</v>
      </c>
      <c r="U2339" s="1" t="str">
        <f t="shared" si="146"/>
        <v>OK</v>
      </c>
      <c r="V2339" s="1" t="str">
        <f>_xlfn.XLOOKUP(C2339,Payers!$A$2:$A$9,Payers!$B$2:$B$9)</f>
        <v>Sunshine Medicare Advantage</v>
      </c>
      <c r="W2339" s="1" t="str">
        <f t="shared" si="147"/>
        <v>2025-10</v>
      </c>
    </row>
    <row r="2340" spans="1:23">
      <c r="A2340" s="1" t="s">
        <v>4088</v>
      </c>
      <c r="B2340" s="1" t="s">
        <v>4089</v>
      </c>
      <c r="C2340" s="1" t="s">
        <v>76</v>
      </c>
      <c r="D2340" s="1" t="s">
        <v>19</v>
      </c>
      <c r="E2340" s="1" t="s">
        <v>20</v>
      </c>
      <c r="F2340">
        <v>1</v>
      </c>
      <c r="G2340" s="2">
        <v>46015</v>
      </c>
      <c r="H2340" s="2">
        <v>46020</v>
      </c>
      <c r="I2340">
        <v>146.75</v>
      </c>
      <c r="M2340" s="1" t="s">
        <v>32</v>
      </c>
      <c r="N2340" s="1" t="s">
        <v>33</v>
      </c>
      <c r="O2340" s="2">
        <v>46031</v>
      </c>
      <c r="P2340" s="2"/>
      <c r="Q2340">
        <f>_xlfn.XLOOKUP(E2340,CPT!$A$2:$A$13,CPT!$D$2:$D$13)</f>
        <v>145</v>
      </c>
      <c r="R2340" s="1">
        <f>_xlfn.XLOOKUP(C2340,Contract!$A$2:$A$9,Contract!$B$2:$B$9)</f>
        <v>0.43</v>
      </c>
      <c r="S2340" s="1">
        <f t="shared" si="144"/>
        <v>62.35</v>
      </c>
      <c r="T2340" s="1" t="str">
        <f t="shared" si="145"/>
        <v/>
      </c>
      <c r="U2340" s="1" t="str">
        <f t="shared" si="146"/>
        <v/>
      </c>
      <c r="V2340" s="1" t="str">
        <f>_xlfn.XLOOKUP(C2340,Payers!$A$2:$A$9,Payers!$B$2:$B$9)</f>
        <v>Summit Health Commercial</v>
      </c>
      <c r="W2340" s="1" t="str">
        <f t="shared" si="147"/>
        <v>2025-12</v>
      </c>
    </row>
    <row r="2341" spans="1:23">
      <c r="A2341" s="1" t="s">
        <v>4090</v>
      </c>
      <c r="B2341" s="1" t="s">
        <v>4091</v>
      </c>
      <c r="C2341" s="1" t="s">
        <v>76</v>
      </c>
      <c r="D2341" s="1" t="s">
        <v>30</v>
      </c>
      <c r="E2341" s="1" t="s">
        <v>31</v>
      </c>
      <c r="F2341">
        <v>1</v>
      </c>
      <c r="G2341" s="2">
        <v>46112</v>
      </c>
      <c r="H2341" s="2">
        <v>46113</v>
      </c>
      <c r="I2341">
        <v>60.94</v>
      </c>
      <c r="M2341" s="1" t="s">
        <v>32</v>
      </c>
      <c r="N2341" s="1" t="s">
        <v>124</v>
      </c>
      <c r="O2341" s="2">
        <v>46145</v>
      </c>
      <c r="P2341" s="2"/>
      <c r="Q2341">
        <f>_xlfn.XLOOKUP(E2341,CPT!$A$2:$A$13,CPT!$D$2:$D$13)</f>
        <v>62</v>
      </c>
      <c r="R2341" s="1">
        <f>_xlfn.XLOOKUP(C2341,Contract!$A$2:$A$9,Contract!$B$2:$B$9)</f>
        <v>0.43</v>
      </c>
      <c r="S2341" s="1">
        <f t="shared" si="144"/>
        <v>26.66</v>
      </c>
      <c r="T2341" s="1" t="str">
        <f t="shared" si="145"/>
        <v/>
      </c>
      <c r="U2341" s="1" t="str">
        <f t="shared" si="146"/>
        <v/>
      </c>
      <c r="V2341" s="1" t="str">
        <f>_xlfn.XLOOKUP(C2341,Payers!$A$2:$A$9,Payers!$B$2:$B$9)</f>
        <v>Summit Health Commercial</v>
      </c>
      <c r="W2341" s="1" t="str">
        <f t="shared" si="147"/>
        <v>2026-03</v>
      </c>
    </row>
    <row r="2342" spans="1:23">
      <c r="A2342" s="1" t="s">
        <v>4092</v>
      </c>
      <c r="B2342" s="1" t="s">
        <v>4093</v>
      </c>
      <c r="C2342" s="1" t="s">
        <v>60</v>
      </c>
      <c r="D2342" s="1" t="s">
        <v>37</v>
      </c>
      <c r="E2342" s="1" t="s">
        <v>48</v>
      </c>
      <c r="F2342">
        <v>1</v>
      </c>
      <c r="G2342" s="2">
        <v>46164</v>
      </c>
      <c r="H2342" s="2">
        <v>46166</v>
      </c>
      <c r="I2342">
        <v>414.94</v>
      </c>
      <c r="J2342">
        <v>168.6</v>
      </c>
      <c r="K2342">
        <v>168.6</v>
      </c>
      <c r="L2342">
        <v>0</v>
      </c>
      <c r="M2342" s="1" t="s">
        <v>21</v>
      </c>
      <c r="N2342" s="1" t="s">
        <v>22</v>
      </c>
      <c r="O2342" s="2">
        <v>46188</v>
      </c>
      <c r="P2342" s="2">
        <v>46188</v>
      </c>
      <c r="Q2342">
        <f>_xlfn.XLOOKUP(E2342,CPT!$A$2:$A$13,CPT!$D$2:$D$13)</f>
        <v>420</v>
      </c>
      <c r="R2342" s="1">
        <f>_xlfn.XLOOKUP(C2342,Contract!$A$2:$A$9,Contract!$B$2:$B$9)</f>
        <v>0.45</v>
      </c>
      <c r="S2342" s="1">
        <f t="shared" si="144"/>
        <v>189</v>
      </c>
      <c r="T2342" s="1">
        <f t="shared" si="145"/>
        <v>20.400000000000006</v>
      </c>
      <c r="U2342" s="1" t="str">
        <f t="shared" si="146"/>
        <v>Underpaid</v>
      </c>
      <c r="V2342" s="1" t="str">
        <f>_xlfn.XLOOKUP(C2342,Payers!$A$2:$A$9,Payers!$B$2:$B$9)</f>
        <v>Blue Horizon Commercial</v>
      </c>
      <c r="W2342" s="1" t="str">
        <f t="shared" si="147"/>
        <v>2026-05</v>
      </c>
    </row>
    <row r="2343" spans="1:23">
      <c r="A2343" s="1" t="s">
        <v>4094</v>
      </c>
      <c r="B2343" s="1" t="s">
        <v>4095</v>
      </c>
      <c r="C2343" s="1" t="s">
        <v>47</v>
      </c>
      <c r="D2343" s="1" t="s">
        <v>30</v>
      </c>
      <c r="E2343" s="1" t="s">
        <v>31</v>
      </c>
      <c r="F2343">
        <v>3</v>
      </c>
      <c r="G2343" s="2">
        <v>46046</v>
      </c>
      <c r="H2343" s="2">
        <v>46048</v>
      </c>
      <c r="I2343">
        <v>185.79</v>
      </c>
      <c r="M2343" s="1" t="s">
        <v>32</v>
      </c>
      <c r="N2343" s="1" t="s">
        <v>281</v>
      </c>
      <c r="O2343" s="2">
        <v>46099</v>
      </c>
      <c r="P2343" s="2"/>
      <c r="Q2343">
        <f>_xlfn.XLOOKUP(E2343,CPT!$A$2:$A$13,CPT!$D$2:$D$13)</f>
        <v>62</v>
      </c>
      <c r="R2343" s="1">
        <f>_xlfn.XLOOKUP(C2343,Contract!$A$2:$A$9,Contract!$B$2:$B$9)</f>
        <v>0.28000000000000003</v>
      </c>
      <c r="S2343" s="1">
        <f t="shared" si="144"/>
        <v>52.08</v>
      </c>
      <c r="T2343" s="1" t="str">
        <f t="shared" si="145"/>
        <v/>
      </c>
      <c r="U2343" s="1" t="str">
        <f t="shared" si="146"/>
        <v/>
      </c>
      <c r="V2343" s="1" t="str">
        <f>_xlfn.XLOOKUP(C2343,Payers!$A$2:$A$9,Payers!$B$2:$B$9)</f>
        <v>Coastal Medicaid MCO</v>
      </c>
      <c r="W2343" s="1" t="str">
        <f t="shared" si="147"/>
        <v>2026-01</v>
      </c>
    </row>
    <row r="2344" spans="1:23">
      <c r="A2344" s="1" t="s">
        <v>4096</v>
      </c>
      <c r="B2344" s="1" t="s">
        <v>4097</v>
      </c>
      <c r="C2344" s="1" t="s">
        <v>52</v>
      </c>
      <c r="D2344" s="1" t="s">
        <v>19</v>
      </c>
      <c r="E2344" s="1" t="s">
        <v>41</v>
      </c>
      <c r="F2344">
        <v>1</v>
      </c>
      <c r="G2344" s="2">
        <v>45979</v>
      </c>
      <c r="H2344" s="2">
        <v>45993</v>
      </c>
      <c r="I2344">
        <v>37.32</v>
      </c>
      <c r="J2344">
        <v>15.31</v>
      </c>
      <c r="K2344">
        <v>13.78</v>
      </c>
      <c r="L2344">
        <v>1.53</v>
      </c>
      <c r="M2344" s="1" t="s">
        <v>21</v>
      </c>
      <c r="N2344" s="1" t="s">
        <v>22</v>
      </c>
      <c r="O2344" s="2">
        <v>46037</v>
      </c>
      <c r="P2344" s="2">
        <v>46037</v>
      </c>
      <c r="Q2344">
        <f>_xlfn.XLOOKUP(E2344,CPT!$A$2:$A$13,CPT!$D$2:$D$13)</f>
        <v>38</v>
      </c>
      <c r="R2344" s="1">
        <f>_xlfn.XLOOKUP(C2344,Contract!$A$2:$A$9,Contract!$B$2:$B$9)</f>
        <v>0.47</v>
      </c>
      <c r="S2344" s="1">
        <f t="shared" si="144"/>
        <v>17.86</v>
      </c>
      <c r="T2344" s="1">
        <f t="shared" si="145"/>
        <v>2.5499999999999989</v>
      </c>
      <c r="U2344" s="1" t="str">
        <f t="shared" si="146"/>
        <v>Underpaid</v>
      </c>
      <c r="V2344" s="1" t="str">
        <f>_xlfn.XLOOKUP(C2344,Payers!$A$2:$A$9,Payers!$B$2:$B$9)</f>
        <v>Keystone Commercial PPO</v>
      </c>
      <c r="W2344" s="1" t="str">
        <f t="shared" si="147"/>
        <v>2025-11</v>
      </c>
    </row>
    <row r="2345" spans="1:23">
      <c r="A2345" s="1" t="s">
        <v>4098</v>
      </c>
      <c r="B2345" s="1" t="s">
        <v>4099</v>
      </c>
      <c r="C2345" s="1" t="s">
        <v>47</v>
      </c>
      <c r="D2345" s="1" t="s">
        <v>19</v>
      </c>
      <c r="E2345" s="1" t="s">
        <v>88</v>
      </c>
      <c r="F2345">
        <v>1</v>
      </c>
      <c r="G2345" s="2">
        <v>46145</v>
      </c>
      <c r="H2345" s="2">
        <v>46149</v>
      </c>
      <c r="I2345">
        <v>264.25</v>
      </c>
      <c r="M2345" s="1" t="s">
        <v>32</v>
      </c>
      <c r="N2345" s="1" t="s">
        <v>33</v>
      </c>
      <c r="O2345" s="2">
        <v>46207</v>
      </c>
      <c r="P2345" s="2"/>
      <c r="Q2345">
        <f>_xlfn.XLOOKUP(E2345,CPT!$A$2:$A$13,CPT!$D$2:$D$13)</f>
        <v>260</v>
      </c>
      <c r="R2345" s="1">
        <f>_xlfn.XLOOKUP(C2345,Contract!$A$2:$A$9,Contract!$B$2:$B$9)</f>
        <v>0.28000000000000003</v>
      </c>
      <c r="S2345" s="1">
        <f t="shared" si="144"/>
        <v>72.8</v>
      </c>
      <c r="T2345" s="1" t="str">
        <f t="shared" si="145"/>
        <v/>
      </c>
      <c r="U2345" s="1" t="str">
        <f t="shared" si="146"/>
        <v/>
      </c>
      <c r="V2345" s="1" t="str">
        <f>_xlfn.XLOOKUP(C2345,Payers!$A$2:$A$9,Payers!$B$2:$B$9)</f>
        <v>Coastal Medicaid MCO</v>
      </c>
      <c r="W2345" s="1" t="str">
        <f t="shared" si="147"/>
        <v>2026-05</v>
      </c>
    </row>
    <row r="2346" spans="1:23">
      <c r="A2346" s="1" t="s">
        <v>4100</v>
      </c>
      <c r="B2346" s="1" t="s">
        <v>4101</v>
      </c>
      <c r="C2346" s="1" t="s">
        <v>18</v>
      </c>
      <c r="D2346" s="1" t="s">
        <v>19</v>
      </c>
      <c r="E2346" s="1" t="s">
        <v>57</v>
      </c>
      <c r="F2346">
        <v>1</v>
      </c>
      <c r="G2346" s="2">
        <v>46181</v>
      </c>
      <c r="H2346" s="2">
        <v>46183</v>
      </c>
      <c r="I2346">
        <v>210.63</v>
      </c>
      <c r="J2346">
        <v>88.25</v>
      </c>
      <c r="K2346">
        <v>79.42</v>
      </c>
      <c r="L2346">
        <v>8.83</v>
      </c>
      <c r="M2346" s="1" t="s">
        <v>21</v>
      </c>
      <c r="N2346" s="1" t="s">
        <v>22</v>
      </c>
      <c r="O2346" s="2">
        <v>46254</v>
      </c>
      <c r="P2346" s="2">
        <v>46254</v>
      </c>
      <c r="Q2346">
        <f>_xlfn.XLOOKUP(E2346,CPT!$A$2:$A$13,CPT!$D$2:$D$13)</f>
        <v>210</v>
      </c>
      <c r="R2346" s="1">
        <f>_xlfn.XLOOKUP(C2346,Contract!$A$2:$A$9,Contract!$B$2:$B$9)</f>
        <v>0.38</v>
      </c>
      <c r="S2346" s="1">
        <f t="shared" si="144"/>
        <v>79.8</v>
      </c>
      <c r="T2346" s="1">
        <f t="shared" si="145"/>
        <v>-8.4500000000000028</v>
      </c>
      <c r="U2346" s="1" t="str">
        <f t="shared" si="146"/>
        <v>OK</v>
      </c>
      <c r="V2346" s="1" t="str">
        <f>_xlfn.XLOOKUP(C2346,Payers!$A$2:$A$9,Payers!$B$2:$B$9)</f>
        <v>Sunshine Medicare Advantage</v>
      </c>
      <c r="W2346" s="1" t="str">
        <f t="shared" si="147"/>
        <v>2026-06</v>
      </c>
    </row>
    <row r="2347" spans="1:23">
      <c r="A2347" s="1" t="s">
        <v>4102</v>
      </c>
      <c r="B2347" s="1" t="s">
        <v>263</v>
      </c>
      <c r="C2347" s="1" t="s">
        <v>47</v>
      </c>
      <c r="D2347" s="1" t="s">
        <v>30</v>
      </c>
      <c r="E2347" s="1" t="s">
        <v>31</v>
      </c>
      <c r="F2347">
        <v>2</v>
      </c>
      <c r="G2347" s="2">
        <v>46214</v>
      </c>
      <c r="H2347" s="2">
        <v>46221</v>
      </c>
      <c r="I2347">
        <v>122.74</v>
      </c>
      <c r="J2347">
        <v>30.1</v>
      </c>
      <c r="K2347">
        <v>24.08</v>
      </c>
      <c r="L2347">
        <v>6.02</v>
      </c>
      <c r="M2347" s="1" t="s">
        <v>21</v>
      </c>
      <c r="N2347" s="1" t="s">
        <v>22</v>
      </c>
      <c r="O2347" s="2">
        <v>46290</v>
      </c>
      <c r="P2347" s="2">
        <v>46290</v>
      </c>
      <c r="Q2347">
        <f>_xlfn.XLOOKUP(E2347,CPT!$A$2:$A$13,CPT!$D$2:$D$13)</f>
        <v>62</v>
      </c>
      <c r="R2347" s="1">
        <f>_xlfn.XLOOKUP(C2347,Contract!$A$2:$A$9,Contract!$B$2:$B$9)</f>
        <v>0.28000000000000003</v>
      </c>
      <c r="S2347" s="1">
        <f t="shared" si="144"/>
        <v>34.72</v>
      </c>
      <c r="T2347" s="1">
        <f t="shared" si="145"/>
        <v>4.6199999999999974</v>
      </c>
      <c r="U2347" s="1" t="str">
        <f t="shared" si="146"/>
        <v>Underpaid</v>
      </c>
      <c r="V2347" s="1" t="str">
        <f>_xlfn.XLOOKUP(C2347,Payers!$A$2:$A$9,Payers!$B$2:$B$9)</f>
        <v>Coastal Medicaid MCO</v>
      </c>
      <c r="W2347" s="1" t="str">
        <f t="shared" si="147"/>
        <v>2026-07</v>
      </c>
    </row>
    <row r="2348" spans="1:23">
      <c r="A2348" s="1" t="s">
        <v>4103</v>
      </c>
      <c r="B2348" s="1" t="s">
        <v>4104</v>
      </c>
      <c r="C2348" s="1" t="s">
        <v>60</v>
      </c>
      <c r="D2348" s="1" t="s">
        <v>37</v>
      </c>
      <c r="E2348" s="1" t="s">
        <v>38</v>
      </c>
      <c r="F2348">
        <v>5</v>
      </c>
      <c r="G2348" s="2">
        <v>46036</v>
      </c>
      <c r="H2348" s="2">
        <v>46038</v>
      </c>
      <c r="I2348">
        <v>7288.1</v>
      </c>
      <c r="J2348">
        <v>3353.05</v>
      </c>
      <c r="K2348">
        <v>3353.05</v>
      </c>
      <c r="L2348">
        <v>0</v>
      </c>
      <c r="M2348" s="1" t="s">
        <v>21</v>
      </c>
      <c r="N2348" s="1" t="s">
        <v>22</v>
      </c>
      <c r="O2348" s="2">
        <v>46053</v>
      </c>
      <c r="P2348" s="2">
        <v>46053</v>
      </c>
      <c r="Q2348">
        <f>_xlfn.XLOOKUP(E2348,CPT!$A$2:$A$13,CPT!$D$2:$D$13)</f>
        <v>1450</v>
      </c>
      <c r="R2348" s="1">
        <f>_xlfn.XLOOKUP(C2348,Contract!$A$2:$A$9,Contract!$B$2:$B$9)</f>
        <v>0.45</v>
      </c>
      <c r="S2348" s="1">
        <f t="shared" si="144"/>
        <v>3262.5</v>
      </c>
      <c r="T2348" s="1">
        <f t="shared" si="145"/>
        <v>-90.550000000000182</v>
      </c>
      <c r="U2348" s="1" t="str">
        <f t="shared" si="146"/>
        <v>OK</v>
      </c>
      <c r="V2348" s="1" t="str">
        <f>_xlfn.XLOOKUP(C2348,Payers!$A$2:$A$9,Payers!$B$2:$B$9)</f>
        <v>Blue Horizon Commercial</v>
      </c>
      <c r="W2348" s="1" t="str">
        <f t="shared" si="147"/>
        <v>2026-01</v>
      </c>
    </row>
    <row r="2349" spans="1:23">
      <c r="A2349" s="1" t="s">
        <v>4105</v>
      </c>
      <c r="B2349" s="1" t="s">
        <v>4106</v>
      </c>
      <c r="C2349" s="1" t="s">
        <v>79</v>
      </c>
      <c r="D2349" s="1" t="s">
        <v>26</v>
      </c>
      <c r="E2349" s="1" t="s">
        <v>57</v>
      </c>
      <c r="F2349">
        <v>1</v>
      </c>
      <c r="G2349" s="2">
        <v>45964</v>
      </c>
      <c r="H2349" s="2">
        <v>45973</v>
      </c>
      <c r="I2349">
        <v>214.02</v>
      </c>
      <c r="M2349" s="1" t="s">
        <v>69</v>
      </c>
      <c r="N2349" s="1" t="s">
        <v>22</v>
      </c>
      <c r="O2349" s="2"/>
      <c r="P2349" s="2"/>
      <c r="Q2349">
        <f>_xlfn.XLOOKUP(E2349,CPT!$A$2:$A$13,CPT!$D$2:$D$13)</f>
        <v>210</v>
      </c>
      <c r="R2349" s="1">
        <f>_xlfn.XLOOKUP(C2349,Contract!$A$2:$A$9,Contract!$B$2:$B$9)</f>
        <v>1</v>
      </c>
      <c r="S2349" s="1">
        <f t="shared" si="144"/>
        <v>210</v>
      </c>
      <c r="T2349" s="1" t="str">
        <f t="shared" si="145"/>
        <v/>
      </c>
      <c r="U2349" s="1" t="str">
        <f t="shared" si="146"/>
        <v/>
      </c>
      <c r="V2349" s="1" t="str">
        <f>_xlfn.XLOOKUP(C2349,Payers!$A$2:$A$9,Payers!$B$2:$B$9)</f>
        <v>Self-Pay</v>
      </c>
      <c r="W2349" s="1" t="str">
        <f t="shared" si="147"/>
        <v>2025-11</v>
      </c>
    </row>
    <row r="2350" spans="1:23">
      <c r="A2350" s="1" t="s">
        <v>4107</v>
      </c>
      <c r="B2350" s="1" t="s">
        <v>4108</v>
      </c>
      <c r="C2350" s="1" t="s">
        <v>76</v>
      </c>
      <c r="D2350" s="1" t="s">
        <v>30</v>
      </c>
      <c r="E2350" s="1" t="s">
        <v>31</v>
      </c>
      <c r="F2350">
        <v>1</v>
      </c>
      <c r="G2350" s="2">
        <v>46011</v>
      </c>
      <c r="H2350" s="2">
        <v>46020</v>
      </c>
      <c r="I2350">
        <v>62.7</v>
      </c>
      <c r="J2350">
        <v>24.65</v>
      </c>
      <c r="K2350">
        <v>24.65</v>
      </c>
      <c r="L2350">
        <v>0</v>
      </c>
      <c r="M2350" s="1" t="s">
        <v>21</v>
      </c>
      <c r="N2350" s="1" t="s">
        <v>22</v>
      </c>
      <c r="O2350" s="2">
        <v>46052</v>
      </c>
      <c r="P2350" s="2">
        <v>46052</v>
      </c>
      <c r="Q2350">
        <f>_xlfn.XLOOKUP(E2350,CPT!$A$2:$A$13,CPT!$D$2:$D$13)</f>
        <v>62</v>
      </c>
      <c r="R2350" s="1">
        <f>_xlfn.XLOOKUP(C2350,Contract!$A$2:$A$9,Contract!$B$2:$B$9)</f>
        <v>0.43</v>
      </c>
      <c r="S2350" s="1">
        <f t="shared" si="144"/>
        <v>26.66</v>
      </c>
      <c r="T2350" s="1">
        <f t="shared" si="145"/>
        <v>2.0100000000000016</v>
      </c>
      <c r="U2350" s="1" t="str">
        <f t="shared" si="146"/>
        <v>Underpaid</v>
      </c>
      <c r="V2350" s="1" t="str">
        <f>_xlfn.XLOOKUP(C2350,Payers!$A$2:$A$9,Payers!$B$2:$B$9)</f>
        <v>Summit Health Commercial</v>
      </c>
      <c r="W2350" s="1" t="str">
        <f t="shared" si="147"/>
        <v>2025-12</v>
      </c>
    </row>
    <row r="2351" spans="1:23">
      <c r="A2351" s="1" t="s">
        <v>4109</v>
      </c>
      <c r="B2351" s="1" t="s">
        <v>4110</v>
      </c>
      <c r="C2351" s="1" t="s">
        <v>60</v>
      </c>
      <c r="D2351" s="1" t="s">
        <v>26</v>
      </c>
      <c r="E2351" s="1" t="s">
        <v>185</v>
      </c>
      <c r="F2351">
        <v>1</v>
      </c>
      <c r="G2351" s="2">
        <v>46029</v>
      </c>
      <c r="H2351" s="2">
        <v>46048</v>
      </c>
      <c r="I2351">
        <v>1135.8699999999999</v>
      </c>
      <c r="J2351">
        <v>495.49</v>
      </c>
      <c r="K2351">
        <v>495.49</v>
      </c>
      <c r="L2351">
        <v>0</v>
      </c>
      <c r="M2351" s="1" t="s">
        <v>21</v>
      </c>
      <c r="N2351" s="1" t="s">
        <v>22</v>
      </c>
      <c r="O2351" s="2">
        <v>46073</v>
      </c>
      <c r="P2351" s="2">
        <v>46073</v>
      </c>
      <c r="Q2351">
        <f>_xlfn.XLOOKUP(E2351,CPT!$A$2:$A$13,CPT!$D$2:$D$13)</f>
        <v>1150</v>
      </c>
      <c r="R2351" s="1">
        <f>_xlfn.XLOOKUP(C2351,Contract!$A$2:$A$9,Contract!$B$2:$B$9)</f>
        <v>0.45</v>
      </c>
      <c r="S2351" s="1">
        <f t="shared" si="144"/>
        <v>517.5</v>
      </c>
      <c r="T2351" s="1">
        <f t="shared" si="145"/>
        <v>22.009999999999991</v>
      </c>
      <c r="U2351" s="1" t="str">
        <f t="shared" si="146"/>
        <v>OK</v>
      </c>
      <c r="V2351" s="1" t="str">
        <f>_xlfn.XLOOKUP(C2351,Payers!$A$2:$A$9,Payers!$B$2:$B$9)</f>
        <v>Blue Horizon Commercial</v>
      </c>
      <c r="W2351" s="1" t="str">
        <f t="shared" si="147"/>
        <v>2026-01</v>
      </c>
    </row>
    <row r="2352" spans="1:23">
      <c r="A2352" s="1" t="s">
        <v>4111</v>
      </c>
      <c r="B2352" s="1" t="s">
        <v>4112</v>
      </c>
      <c r="C2352" s="1" t="s">
        <v>76</v>
      </c>
      <c r="D2352" s="1" t="s">
        <v>26</v>
      </c>
      <c r="E2352" s="1" t="s">
        <v>41</v>
      </c>
      <c r="F2352">
        <v>1</v>
      </c>
      <c r="G2352" s="2">
        <v>46031</v>
      </c>
      <c r="H2352" s="2">
        <v>46044</v>
      </c>
      <c r="I2352">
        <v>38.799999999999997</v>
      </c>
      <c r="J2352">
        <v>14.21</v>
      </c>
      <c r="K2352">
        <v>14.21</v>
      </c>
      <c r="L2352">
        <v>0</v>
      </c>
      <c r="M2352" s="1" t="s">
        <v>21</v>
      </c>
      <c r="N2352" s="1" t="s">
        <v>22</v>
      </c>
      <c r="O2352" s="2">
        <v>46083</v>
      </c>
      <c r="P2352" s="2">
        <v>46083</v>
      </c>
      <c r="Q2352">
        <f>_xlfn.XLOOKUP(E2352,CPT!$A$2:$A$13,CPT!$D$2:$D$13)</f>
        <v>38</v>
      </c>
      <c r="R2352" s="1">
        <f>_xlfn.XLOOKUP(C2352,Contract!$A$2:$A$9,Contract!$B$2:$B$9)</f>
        <v>0.43</v>
      </c>
      <c r="S2352" s="1">
        <f t="shared" si="144"/>
        <v>16.34</v>
      </c>
      <c r="T2352" s="1">
        <f t="shared" si="145"/>
        <v>2.129999999999999</v>
      </c>
      <c r="U2352" s="1" t="str">
        <f t="shared" si="146"/>
        <v>Underpaid</v>
      </c>
      <c r="V2352" s="1" t="str">
        <f>_xlfn.XLOOKUP(C2352,Payers!$A$2:$A$9,Payers!$B$2:$B$9)</f>
        <v>Summit Health Commercial</v>
      </c>
      <c r="W2352" s="1" t="str">
        <f t="shared" si="147"/>
        <v>2026-01</v>
      </c>
    </row>
    <row r="2353" spans="1:23">
      <c r="A2353" s="1" t="s">
        <v>4113</v>
      </c>
      <c r="B2353" s="1" t="s">
        <v>197</v>
      </c>
      <c r="C2353" s="1" t="s">
        <v>18</v>
      </c>
      <c r="D2353" s="1" t="s">
        <v>19</v>
      </c>
      <c r="E2353" s="1" t="s">
        <v>20</v>
      </c>
      <c r="F2353">
        <v>1</v>
      </c>
      <c r="G2353" s="2">
        <v>45982</v>
      </c>
      <c r="H2353" s="2">
        <v>45986</v>
      </c>
      <c r="I2353">
        <v>148.43</v>
      </c>
      <c r="J2353">
        <v>55.14</v>
      </c>
      <c r="K2353">
        <v>49.63</v>
      </c>
      <c r="L2353">
        <v>5.51</v>
      </c>
      <c r="M2353" s="1" t="s">
        <v>21</v>
      </c>
      <c r="N2353" s="1" t="s">
        <v>22</v>
      </c>
      <c r="O2353" s="2">
        <v>46042</v>
      </c>
      <c r="P2353" s="2">
        <v>46042</v>
      </c>
      <c r="Q2353">
        <f>_xlfn.XLOOKUP(E2353,CPT!$A$2:$A$13,CPT!$D$2:$D$13)</f>
        <v>145</v>
      </c>
      <c r="R2353" s="1">
        <f>_xlfn.XLOOKUP(C2353,Contract!$A$2:$A$9,Contract!$B$2:$B$9)</f>
        <v>0.38</v>
      </c>
      <c r="S2353" s="1">
        <f t="shared" si="144"/>
        <v>55.1</v>
      </c>
      <c r="T2353" s="1">
        <f t="shared" si="145"/>
        <v>-3.9999999999999147E-2</v>
      </c>
      <c r="U2353" s="1" t="str">
        <f t="shared" si="146"/>
        <v>OK</v>
      </c>
      <c r="V2353" s="1" t="str">
        <f>_xlfn.XLOOKUP(C2353,Payers!$A$2:$A$9,Payers!$B$2:$B$9)</f>
        <v>Sunshine Medicare Advantage</v>
      </c>
      <c r="W2353" s="1" t="str">
        <f t="shared" si="147"/>
        <v>2025-11</v>
      </c>
    </row>
    <row r="2354" spans="1:23">
      <c r="A2354" s="1" t="s">
        <v>4114</v>
      </c>
      <c r="B2354" s="1" t="s">
        <v>4115</v>
      </c>
      <c r="C2354" s="1" t="s">
        <v>60</v>
      </c>
      <c r="D2354" s="1" t="s">
        <v>26</v>
      </c>
      <c r="E2354" s="1" t="s">
        <v>185</v>
      </c>
      <c r="F2354">
        <v>1</v>
      </c>
      <c r="G2354" s="2">
        <v>46216</v>
      </c>
      <c r="H2354" s="2">
        <v>46217</v>
      </c>
      <c r="I2354">
        <v>1166.7</v>
      </c>
      <c r="J2354">
        <v>466.44</v>
      </c>
      <c r="K2354">
        <v>419.8</v>
      </c>
      <c r="L2354">
        <v>46.64</v>
      </c>
      <c r="M2354" s="1" t="s">
        <v>21</v>
      </c>
      <c r="N2354" s="1" t="s">
        <v>22</v>
      </c>
      <c r="O2354" s="2">
        <v>46260</v>
      </c>
      <c r="P2354" s="2">
        <v>46260</v>
      </c>
      <c r="Q2354">
        <f>_xlfn.XLOOKUP(E2354,CPT!$A$2:$A$13,CPT!$D$2:$D$13)</f>
        <v>1150</v>
      </c>
      <c r="R2354" s="1">
        <f>_xlfn.XLOOKUP(C2354,Contract!$A$2:$A$9,Contract!$B$2:$B$9)</f>
        <v>0.45</v>
      </c>
      <c r="S2354" s="1">
        <f t="shared" si="144"/>
        <v>517.5</v>
      </c>
      <c r="T2354" s="1">
        <f t="shared" si="145"/>
        <v>51.06</v>
      </c>
      <c r="U2354" s="1" t="str">
        <f t="shared" si="146"/>
        <v>Underpaid</v>
      </c>
      <c r="V2354" s="1" t="str">
        <f>_xlfn.XLOOKUP(C2354,Payers!$A$2:$A$9,Payers!$B$2:$B$9)</f>
        <v>Blue Horizon Commercial</v>
      </c>
      <c r="W2354" s="1" t="str">
        <f t="shared" si="147"/>
        <v>2026-07</v>
      </c>
    </row>
    <row r="2355" spans="1:23">
      <c r="A2355" s="1" t="s">
        <v>4116</v>
      </c>
      <c r="B2355" s="1" t="s">
        <v>4117</v>
      </c>
      <c r="C2355" s="1" t="s">
        <v>76</v>
      </c>
      <c r="D2355" s="1" t="s">
        <v>26</v>
      </c>
      <c r="E2355" s="1" t="s">
        <v>113</v>
      </c>
      <c r="F2355">
        <v>1</v>
      </c>
      <c r="G2355" s="2">
        <v>45973</v>
      </c>
      <c r="H2355" s="2">
        <v>45983</v>
      </c>
      <c r="I2355">
        <v>1077.4000000000001</v>
      </c>
      <c r="J2355">
        <v>392.22</v>
      </c>
      <c r="K2355">
        <v>392.22</v>
      </c>
      <c r="L2355">
        <v>0</v>
      </c>
      <c r="M2355" s="1" t="s">
        <v>21</v>
      </c>
      <c r="N2355" s="1" t="s">
        <v>22</v>
      </c>
      <c r="O2355" s="2">
        <v>46007</v>
      </c>
      <c r="P2355" s="2">
        <v>46007</v>
      </c>
      <c r="Q2355">
        <f>_xlfn.XLOOKUP(E2355,CPT!$A$2:$A$13,CPT!$D$2:$D$13)</f>
        <v>1050</v>
      </c>
      <c r="R2355" s="1">
        <f>_xlfn.XLOOKUP(C2355,Contract!$A$2:$A$9,Contract!$B$2:$B$9)</f>
        <v>0.43</v>
      </c>
      <c r="S2355" s="1">
        <f t="shared" si="144"/>
        <v>451.5</v>
      </c>
      <c r="T2355" s="1">
        <f t="shared" si="145"/>
        <v>59.279999999999973</v>
      </c>
      <c r="U2355" s="1" t="str">
        <f t="shared" si="146"/>
        <v>Underpaid</v>
      </c>
      <c r="V2355" s="1" t="str">
        <f>_xlfn.XLOOKUP(C2355,Payers!$A$2:$A$9,Payers!$B$2:$B$9)</f>
        <v>Summit Health Commercial</v>
      </c>
      <c r="W2355" s="1" t="str">
        <f t="shared" si="147"/>
        <v>2025-11</v>
      </c>
    </row>
    <row r="2356" spans="1:23">
      <c r="A2356" s="1" t="s">
        <v>4118</v>
      </c>
      <c r="B2356" s="1" t="s">
        <v>3104</v>
      </c>
      <c r="C2356" s="1" t="s">
        <v>76</v>
      </c>
      <c r="D2356" s="1" t="s">
        <v>37</v>
      </c>
      <c r="E2356" s="1" t="s">
        <v>57</v>
      </c>
      <c r="F2356">
        <v>1</v>
      </c>
      <c r="G2356" s="2">
        <v>46246</v>
      </c>
      <c r="H2356" s="2">
        <v>46247</v>
      </c>
      <c r="I2356">
        <v>204.88</v>
      </c>
      <c r="J2356">
        <v>96.86</v>
      </c>
      <c r="K2356">
        <v>96.86</v>
      </c>
      <c r="L2356">
        <v>0</v>
      </c>
      <c r="M2356" s="1" t="s">
        <v>21</v>
      </c>
      <c r="N2356" s="1" t="s">
        <v>22</v>
      </c>
      <c r="O2356" s="2">
        <v>46275</v>
      </c>
      <c r="P2356" s="2">
        <v>46275</v>
      </c>
      <c r="Q2356">
        <f>_xlfn.XLOOKUP(E2356,CPT!$A$2:$A$13,CPT!$D$2:$D$13)</f>
        <v>210</v>
      </c>
      <c r="R2356" s="1">
        <f>_xlfn.XLOOKUP(C2356,Contract!$A$2:$A$9,Contract!$B$2:$B$9)</f>
        <v>0.43</v>
      </c>
      <c r="S2356" s="1">
        <f t="shared" si="144"/>
        <v>90.3</v>
      </c>
      <c r="T2356" s="1">
        <f t="shared" si="145"/>
        <v>-6.5600000000000023</v>
      </c>
      <c r="U2356" s="1" t="str">
        <f t="shared" si="146"/>
        <v>OK</v>
      </c>
      <c r="V2356" s="1" t="str">
        <f>_xlfn.XLOOKUP(C2356,Payers!$A$2:$A$9,Payers!$B$2:$B$9)</f>
        <v>Summit Health Commercial</v>
      </c>
      <c r="W2356" s="1" t="str">
        <f t="shared" si="147"/>
        <v>2026-08</v>
      </c>
    </row>
    <row r="2357" spans="1:23">
      <c r="A2357" s="1" t="s">
        <v>4119</v>
      </c>
      <c r="B2357" s="1" t="s">
        <v>4120</v>
      </c>
      <c r="C2357" s="1" t="s">
        <v>36</v>
      </c>
      <c r="D2357" s="1" t="s">
        <v>37</v>
      </c>
      <c r="E2357" s="1" t="s">
        <v>38</v>
      </c>
      <c r="F2357">
        <v>30</v>
      </c>
      <c r="G2357" s="2">
        <v>45994</v>
      </c>
      <c r="H2357" s="2">
        <v>45997</v>
      </c>
      <c r="I2357">
        <v>43592.78</v>
      </c>
      <c r="J2357">
        <v>10400.34</v>
      </c>
      <c r="K2357">
        <v>10400.34</v>
      </c>
      <c r="L2357">
        <v>0</v>
      </c>
      <c r="M2357" s="1" t="s">
        <v>21</v>
      </c>
      <c r="N2357" s="1" t="s">
        <v>22</v>
      </c>
      <c r="O2357" s="2">
        <v>46022</v>
      </c>
      <c r="P2357" s="2">
        <v>46022</v>
      </c>
      <c r="Q2357">
        <f>_xlfn.XLOOKUP(E2357,CPT!$A$2:$A$13,CPT!$D$2:$D$13)</f>
        <v>1450</v>
      </c>
      <c r="R2357" s="1">
        <f>_xlfn.XLOOKUP(C2357,Contract!$A$2:$A$9,Contract!$B$2:$B$9)</f>
        <v>0.27</v>
      </c>
      <c r="S2357" s="1">
        <f t="shared" si="144"/>
        <v>11745</v>
      </c>
      <c r="T2357" s="1">
        <f t="shared" si="145"/>
        <v>1344.6599999999999</v>
      </c>
      <c r="U2357" s="1" t="str">
        <f t="shared" si="146"/>
        <v>Underpaid</v>
      </c>
      <c r="V2357" s="1" t="str">
        <f>_xlfn.XLOOKUP(C2357,Payers!$A$2:$A$9,Payers!$B$2:$B$9)</f>
        <v>Florida Medicaid</v>
      </c>
      <c r="W2357" s="1" t="str">
        <f t="shared" si="147"/>
        <v>2025-12</v>
      </c>
    </row>
    <row r="2358" spans="1:23">
      <c r="A2358" s="1" t="s">
        <v>4121</v>
      </c>
      <c r="B2358" s="1" t="s">
        <v>2744</v>
      </c>
      <c r="C2358" s="1" t="s">
        <v>47</v>
      </c>
      <c r="D2358" s="1" t="s">
        <v>30</v>
      </c>
      <c r="E2358" s="1" t="s">
        <v>91</v>
      </c>
      <c r="F2358">
        <v>1</v>
      </c>
      <c r="G2358" s="2">
        <v>46136</v>
      </c>
      <c r="H2358" s="2">
        <v>46138</v>
      </c>
      <c r="I2358">
        <v>58.52</v>
      </c>
      <c r="J2358">
        <v>18.64</v>
      </c>
      <c r="K2358">
        <v>16.78</v>
      </c>
      <c r="L2358">
        <v>1.86</v>
      </c>
      <c r="M2358" s="1" t="s">
        <v>21</v>
      </c>
      <c r="N2358" s="1" t="s">
        <v>22</v>
      </c>
      <c r="O2358" s="2">
        <v>46210</v>
      </c>
      <c r="P2358" s="2">
        <v>46210</v>
      </c>
      <c r="Q2358">
        <f>_xlfn.XLOOKUP(E2358,CPT!$A$2:$A$13,CPT!$D$2:$D$13)</f>
        <v>58</v>
      </c>
      <c r="R2358" s="1">
        <f>_xlfn.XLOOKUP(C2358,Contract!$A$2:$A$9,Contract!$B$2:$B$9)</f>
        <v>0.28000000000000003</v>
      </c>
      <c r="S2358" s="1">
        <f t="shared" si="144"/>
        <v>16.239999999999998</v>
      </c>
      <c r="T2358" s="1">
        <f t="shared" si="145"/>
        <v>-2.4000000000000021</v>
      </c>
      <c r="U2358" s="1" t="str">
        <f t="shared" si="146"/>
        <v>OK</v>
      </c>
      <c r="V2358" s="1" t="str">
        <f>_xlfn.XLOOKUP(C2358,Payers!$A$2:$A$9,Payers!$B$2:$B$9)</f>
        <v>Coastal Medicaid MCO</v>
      </c>
      <c r="W2358" s="1" t="str">
        <f t="shared" si="147"/>
        <v>2026-04</v>
      </c>
    </row>
    <row r="2359" spans="1:23">
      <c r="A2359" s="1" t="s">
        <v>4122</v>
      </c>
      <c r="B2359" s="1" t="s">
        <v>4123</v>
      </c>
      <c r="C2359" s="1" t="s">
        <v>18</v>
      </c>
      <c r="D2359" s="1" t="s">
        <v>19</v>
      </c>
      <c r="E2359" s="1" t="s">
        <v>20</v>
      </c>
      <c r="F2359">
        <v>1</v>
      </c>
      <c r="G2359" s="2">
        <v>45936</v>
      </c>
      <c r="H2359" s="2">
        <v>45938</v>
      </c>
      <c r="I2359">
        <v>143.65</v>
      </c>
      <c r="J2359">
        <v>57.24</v>
      </c>
      <c r="K2359">
        <v>51.52</v>
      </c>
      <c r="L2359">
        <v>5.72</v>
      </c>
      <c r="M2359" s="1" t="s">
        <v>21</v>
      </c>
      <c r="N2359" s="1" t="s">
        <v>22</v>
      </c>
      <c r="O2359" s="2">
        <v>45991</v>
      </c>
      <c r="P2359" s="2">
        <v>45991</v>
      </c>
      <c r="Q2359">
        <f>_xlfn.XLOOKUP(E2359,CPT!$A$2:$A$13,CPT!$D$2:$D$13)</f>
        <v>145</v>
      </c>
      <c r="R2359" s="1">
        <f>_xlfn.XLOOKUP(C2359,Contract!$A$2:$A$9,Contract!$B$2:$B$9)</f>
        <v>0.38</v>
      </c>
      <c r="S2359" s="1">
        <f t="shared" si="144"/>
        <v>55.1</v>
      </c>
      <c r="T2359" s="1">
        <f t="shared" si="145"/>
        <v>-2.1400000000000006</v>
      </c>
      <c r="U2359" s="1" t="str">
        <f t="shared" si="146"/>
        <v>OK</v>
      </c>
      <c r="V2359" s="1" t="str">
        <f>_xlfn.XLOOKUP(C2359,Payers!$A$2:$A$9,Payers!$B$2:$B$9)</f>
        <v>Sunshine Medicare Advantage</v>
      </c>
      <c r="W2359" s="1" t="str">
        <f t="shared" si="147"/>
        <v>2025-10</v>
      </c>
    </row>
    <row r="2360" spans="1:23">
      <c r="A2360" s="1" t="s">
        <v>4124</v>
      </c>
      <c r="B2360" s="1" t="s">
        <v>2323</v>
      </c>
      <c r="C2360" s="1" t="s">
        <v>25</v>
      </c>
      <c r="D2360" s="1" t="s">
        <v>26</v>
      </c>
      <c r="E2360" s="1" t="s">
        <v>57</v>
      </c>
      <c r="F2360">
        <v>1</v>
      </c>
      <c r="G2360" s="2">
        <v>46164</v>
      </c>
      <c r="H2360" s="2">
        <v>46165</v>
      </c>
      <c r="I2360">
        <v>204.32</v>
      </c>
      <c r="J2360">
        <v>63.18</v>
      </c>
      <c r="K2360">
        <v>56.86</v>
      </c>
      <c r="L2360">
        <v>6.32</v>
      </c>
      <c r="M2360" s="1" t="s">
        <v>21</v>
      </c>
      <c r="N2360" s="1" t="s">
        <v>22</v>
      </c>
      <c r="O2360" s="2">
        <v>46179</v>
      </c>
      <c r="P2360" s="2">
        <v>46179</v>
      </c>
      <c r="Q2360">
        <f>_xlfn.XLOOKUP(E2360,CPT!$A$2:$A$13,CPT!$D$2:$D$13)</f>
        <v>210</v>
      </c>
      <c r="R2360" s="1">
        <f>_xlfn.XLOOKUP(C2360,Contract!$A$2:$A$9,Contract!$B$2:$B$9)</f>
        <v>0.36</v>
      </c>
      <c r="S2360" s="1">
        <f t="shared" si="144"/>
        <v>75.599999999999994</v>
      </c>
      <c r="T2360" s="1">
        <f t="shared" si="145"/>
        <v>12.419999999999995</v>
      </c>
      <c r="U2360" s="1" t="str">
        <f t="shared" si="146"/>
        <v>Underpaid</v>
      </c>
      <c r="V2360" s="1" t="str">
        <f>_xlfn.XLOOKUP(C2360,Payers!$A$2:$A$9,Payers!$B$2:$B$9)</f>
        <v>Medicare Part B</v>
      </c>
      <c r="W2360" s="1" t="str">
        <f t="shared" si="147"/>
        <v>2026-05</v>
      </c>
    </row>
    <row r="2361" spans="1:23">
      <c r="A2361" s="1" t="s">
        <v>4125</v>
      </c>
      <c r="B2361" s="1" t="s">
        <v>4126</v>
      </c>
      <c r="C2361" s="1" t="s">
        <v>18</v>
      </c>
      <c r="D2361" s="1" t="s">
        <v>26</v>
      </c>
      <c r="E2361" s="1" t="s">
        <v>113</v>
      </c>
      <c r="F2361">
        <v>1</v>
      </c>
      <c r="G2361" s="2">
        <v>46061</v>
      </c>
      <c r="H2361" s="2">
        <v>46065</v>
      </c>
      <c r="I2361">
        <v>1069.22</v>
      </c>
      <c r="J2361">
        <v>363.78</v>
      </c>
      <c r="K2361">
        <v>327.39999999999998</v>
      </c>
      <c r="L2361">
        <v>36.380000000000003</v>
      </c>
      <c r="M2361" s="1" t="s">
        <v>21</v>
      </c>
      <c r="N2361" s="1" t="s">
        <v>22</v>
      </c>
      <c r="O2361" s="2">
        <v>46103</v>
      </c>
      <c r="P2361" s="2">
        <v>46103</v>
      </c>
      <c r="Q2361">
        <f>_xlfn.XLOOKUP(E2361,CPT!$A$2:$A$13,CPT!$D$2:$D$13)</f>
        <v>1050</v>
      </c>
      <c r="R2361" s="1">
        <f>_xlfn.XLOOKUP(C2361,Contract!$A$2:$A$9,Contract!$B$2:$B$9)</f>
        <v>0.38</v>
      </c>
      <c r="S2361" s="1">
        <f t="shared" si="144"/>
        <v>399</v>
      </c>
      <c r="T2361" s="1">
        <f t="shared" si="145"/>
        <v>35.220000000000027</v>
      </c>
      <c r="U2361" s="1" t="str">
        <f t="shared" si="146"/>
        <v>Underpaid</v>
      </c>
      <c r="V2361" s="1" t="str">
        <f>_xlfn.XLOOKUP(C2361,Payers!$A$2:$A$9,Payers!$B$2:$B$9)</f>
        <v>Sunshine Medicare Advantage</v>
      </c>
      <c r="W2361" s="1" t="str">
        <f t="shared" si="147"/>
        <v>2026-02</v>
      </c>
    </row>
    <row r="2362" spans="1:23">
      <c r="A2362" s="1" t="s">
        <v>4127</v>
      </c>
      <c r="B2362" s="1" t="s">
        <v>2677</v>
      </c>
      <c r="C2362" s="1" t="s">
        <v>47</v>
      </c>
      <c r="D2362" s="1" t="s">
        <v>26</v>
      </c>
      <c r="E2362" s="1" t="s">
        <v>57</v>
      </c>
      <c r="F2362">
        <v>1</v>
      </c>
      <c r="G2362" s="2">
        <v>45953</v>
      </c>
      <c r="H2362" s="2">
        <v>45975</v>
      </c>
      <c r="I2362">
        <v>207.87</v>
      </c>
      <c r="J2362">
        <v>63.46</v>
      </c>
      <c r="K2362">
        <v>50.77</v>
      </c>
      <c r="L2362">
        <v>12.69</v>
      </c>
      <c r="M2362" s="1" t="s">
        <v>21</v>
      </c>
      <c r="N2362" s="1" t="s">
        <v>22</v>
      </c>
      <c r="O2362" s="2">
        <v>46077</v>
      </c>
      <c r="P2362" s="2">
        <v>46077</v>
      </c>
      <c r="Q2362">
        <f>_xlfn.XLOOKUP(E2362,CPT!$A$2:$A$13,CPT!$D$2:$D$13)</f>
        <v>210</v>
      </c>
      <c r="R2362" s="1">
        <f>_xlfn.XLOOKUP(C2362,Contract!$A$2:$A$9,Contract!$B$2:$B$9)</f>
        <v>0.28000000000000003</v>
      </c>
      <c r="S2362" s="1">
        <f t="shared" si="144"/>
        <v>58.8</v>
      </c>
      <c r="T2362" s="1">
        <f t="shared" si="145"/>
        <v>-4.6600000000000037</v>
      </c>
      <c r="U2362" s="1" t="str">
        <f t="shared" si="146"/>
        <v>OK</v>
      </c>
      <c r="V2362" s="1" t="str">
        <f>_xlfn.XLOOKUP(C2362,Payers!$A$2:$A$9,Payers!$B$2:$B$9)</f>
        <v>Coastal Medicaid MCO</v>
      </c>
      <c r="W2362" s="1" t="str">
        <f t="shared" si="147"/>
        <v>2025-10</v>
      </c>
    </row>
    <row r="2363" spans="1:23">
      <c r="A2363" s="1" t="s">
        <v>4128</v>
      </c>
      <c r="B2363" s="1" t="s">
        <v>4129</v>
      </c>
      <c r="C2363" s="1" t="s">
        <v>76</v>
      </c>
      <c r="D2363" s="1" t="s">
        <v>30</v>
      </c>
      <c r="E2363" s="1" t="s">
        <v>31</v>
      </c>
      <c r="F2363">
        <v>1</v>
      </c>
      <c r="G2363" s="2">
        <v>45945</v>
      </c>
      <c r="H2363" s="2">
        <v>45953</v>
      </c>
      <c r="I2363">
        <v>63.08</v>
      </c>
      <c r="J2363">
        <v>25.78</v>
      </c>
      <c r="K2363">
        <v>23.2</v>
      </c>
      <c r="L2363">
        <v>2.58</v>
      </c>
      <c r="M2363" s="1" t="s">
        <v>21</v>
      </c>
      <c r="N2363" s="1" t="s">
        <v>22</v>
      </c>
      <c r="O2363" s="2">
        <v>45988</v>
      </c>
      <c r="P2363" s="2">
        <v>45988</v>
      </c>
      <c r="Q2363">
        <f>_xlfn.XLOOKUP(E2363,CPT!$A$2:$A$13,CPT!$D$2:$D$13)</f>
        <v>62</v>
      </c>
      <c r="R2363" s="1">
        <f>_xlfn.XLOOKUP(C2363,Contract!$A$2:$A$9,Contract!$B$2:$B$9)</f>
        <v>0.43</v>
      </c>
      <c r="S2363" s="1">
        <f t="shared" si="144"/>
        <v>26.66</v>
      </c>
      <c r="T2363" s="1">
        <f t="shared" si="145"/>
        <v>0.87999999999999901</v>
      </c>
      <c r="U2363" s="1" t="str">
        <f t="shared" si="146"/>
        <v>OK</v>
      </c>
      <c r="V2363" s="1" t="str">
        <f>_xlfn.XLOOKUP(C2363,Payers!$A$2:$A$9,Payers!$B$2:$B$9)</f>
        <v>Summit Health Commercial</v>
      </c>
      <c r="W2363" s="1" t="str">
        <f t="shared" si="147"/>
        <v>2025-10</v>
      </c>
    </row>
    <row r="2364" spans="1:23">
      <c r="A2364" s="1" t="s">
        <v>4130</v>
      </c>
      <c r="B2364" s="1" t="s">
        <v>4131</v>
      </c>
      <c r="C2364" s="1" t="s">
        <v>76</v>
      </c>
      <c r="D2364" s="1" t="s">
        <v>26</v>
      </c>
      <c r="E2364" s="1" t="s">
        <v>44</v>
      </c>
      <c r="F2364">
        <v>1</v>
      </c>
      <c r="G2364" s="2">
        <v>46241</v>
      </c>
      <c r="H2364" s="2">
        <v>46242</v>
      </c>
      <c r="I2364">
        <v>4934.22</v>
      </c>
      <c r="J2364">
        <v>1950.03</v>
      </c>
      <c r="K2364">
        <v>1755.03</v>
      </c>
      <c r="L2364">
        <v>195</v>
      </c>
      <c r="M2364" s="1" t="s">
        <v>21</v>
      </c>
      <c r="N2364" s="1" t="s">
        <v>22</v>
      </c>
      <c r="O2364" s="2">
        <v>46283</v>
      </c>
      <c r="P2364" s="2">
        <v>46283</v>
      </c>
      <c r="Q2364">
        <f>_xlfn.XLOOKUP(E2364,CPT!$A$2:$A$13,CPT!$D$2:$D$13)</f>
        <v>4800</v>
      </c>
      <c r="R2364" s="1">
        <f>_xlfn.XLOOKUP(C2364,Contract!$A$2:$A$9,Contract!$B$2:$B$9)</f>
        <v>0.43</v>
      </c>
      <c r="S2364" s="1">
        <f t="shared" si="144"/>
        <v>2064</v>
      </c>
      <c r="T2364" s="1">
        <f t="shared" si="145"/>
        <v>113.97000000000003</v>
      </c>
      <c r="U2364" s="1" t="str">
        <f t="shared" si="146"/>
        <v>Underpaid</v>
      </c>
      <c r="V2364" s="1" t="str">
        <f>_xlfn.XLOOKUP(C2364,Payers!$A$2:$A$9,Payers!$B$2:$B$9)</f>
        <v>Summit Health Commercial</v>
      </c>
      <c r="W2364" s="1" t="str">
        <f t="shared" si="147"/>
        <v>2026-08</v>
      </c>
    </row>
    <row r="2365" spans="1:23">
      <c r="A2365" s="1" t="s">
        <v>4132</v>
      </c>
      <c r="B2365" s="1" t="s">
        <v>3835</v>
      </c>
      <c r="C2365" s="1" t="s">
        <v>60</v>
      </c>
      <c r="D2365" s="1" t="s">
        <v>19</v>
      </c>
      <c r="E2365" s="1" t="s">
        <v>88</v>
      </c>
      <c r="F2365">
        <v>1</v>
      </c>
      <c r="G2365" s="2">
        <v>45979</v>
      </c>
      <c r="H2365" s="2">
        <v>45981</v>
      </c>
      <c r="I2365">
        <v>266.25</v>
      </c>
      <c r="J2365">
        <v>117.26</v>
      </c>
      <c r="K2365">
        <v>117.26</v>
      </c>
      <c r="L2365">
        <v>0</v>
      </c>
      <c r="M2365" s="1" t="s">
        <v>21</v>
      </c>
      <c r="N2365" s="1" t="s">
        <v>22</v>
      </c>
      <c r="O2365" s="2">
        <v>46013</v>
      </c>
      <c r="P2365" s="2">
        <v>46013</v>
      </c>
      <c r="Q2365">
        <f>_xlfn.XLOOKUP(E2365,CPT!$A$2:$A$13,CPT!$D$2:$D$13)</f>
        <v>260</v>
      </c>
      <c r="R2365" s="1">
        <f>_xlfn.XLOOKUP(C2365,Contract!$A$2:$A$9,Contract!$B$2:$B$9)</f>
        <v>0.45</v>
      </c>
      <c r="S2365" s="1">
        <f t="shared" si="144"/>
        <v>117</v>
      </c>
      <c r="T2365" s="1">
        <f t="shared" si="145"/>
        <v>-0.26000000000000512</v>
      </c>
      <c r="U2365" s="1" t="str">
        <f t="shared" si="146"/>
        <v>OK</v>
      </c>
      <c r="V2365" s="1" t="str">
        <f>_xlfn.XLOOKUP(C2365,Payers!$A$2:$A$9,Payers!$B$2:$B$9)</f>
        <v>Blue Horizon Commercial</v>
      </c>
      <c r="W2365" s="1" t="str">
        <f t="shared" si="147"/>
        <v>2025-11</v>
      </c>
    </row>
    <row r="2366" spans="1:23">
      <c r="A2366" s="1" t="s">
        <v>4133</v>
      </c>
      <c r="B2366" s="1" t="s">
        <v>3032</v>
      </c>
      <c r="C2366" s="1" t="s">
        <v>25</v>
      </c>
      <c r="D2366" s="1" t="s">
        <v>19</v>
      </c>
      <c r="E2366" s="1" t="s">
        <v>41</v>
      </c>
      <c r="F2366">
        <v>1</v>
      </c>
      <c r="G2366" s="2">
        <v>46192</v>
      </c>
      <c r="H2366" s="2">
        <v>46201</v>
      </c>
      <c r="I2366">
        <v>37.869999999999997</v>
      </c>
      <c r="J2366">
        <v>14.47</v>
      </c>
      <c r="K2366">
        <v>14.47</v>
      </c>
      <c r="L2366">
        <v>0</v>
      </c>
      <c r="M2366" s="1" t="s">
        <v>21</v>
      </c>
      <c r="N2366" s="1" t="s">
        <v>22</v>
      </c>
      <c r="O2366" s="2">
        <v>46225</v>
      </c>
      <c r="P2366" s="2">
        <v>46225</v>
      </c>
      <c r="Q2366">
        <f>_xlfn.XLOOKUP(E2366,CPT!$A$2:$A$13,CPT!$D$2:$D$13)</f>
        <v>38</v>
      </c>
      <c r="R2366" s="1">
        <f>_xlfn.XLOOKUP(C2366,Contract!$A$2:$A$9,Contract!$B$2:$B$9)</f>
        <v>0.36</v>
      </c>
      <c r="S2366" s="1">
        <f t="shared" si="144"/>
        <v>13.68</v>
      </c>
      <c r="T2366" s="1">
        <f t="shared" si="145"/>
        <v>-0.79000000000000092</v>
      </c>
      <c r="U2366" s="1" t="str">
        <f t="shared" si="146"/>
        <v>OK</v>
      </c>
      <c r="V2366" s="1" t="str">
        <f>_xlfn.XLOOKUP(C2366,Payers!$A$2:$A$9,Payers!$B$2:$B$9)</f>
        <v>Medicare Part B</v>
      </c>
      <c r="W2366" s="1" t="str">
        <f t="shared" si="147"/>
        <v>2026-06</v>
      </c>
    </row>
    <row r="2367" spans="1:23">
      <c r="A2367" s="1" t="s">
        <v>4134</v>
      </c>
      <c r="B2367" s="1" t="s">
        <v>4126</v>
      </c>
      <c r="C2367" s="1" t="s">
        <v>79</v>
      </c>
      <c r="D2367" s="1" t="s">
        <v>26</v>
      </c>
      <c r="E2367" s="1" t="s">
        <v>41</v>
      </c>
      <c r="F2367">
        <v>1</v>
      </c>
      <c r="G2367" s="2">
        <v>46144</v>
      </c>
      <c r="H2367" s="2">
        <v>46153</v>
      </c>
      <c r="I2367">
        <v>38.340000000000003</v>
      </c>
      <c r="J2367">
        <v>38.340000000000003</v>
      </c>
      <c r="K2367">
        <v>38.340000000000003</v>
      </c>
      <c r="L2367">
        <v>0</v>
      </c>
      <c r="M2367" s="1" t="s">
        <v>21</v>
      </c>
      <c r="N2367" s="1" t="s">
        <v>22</v>
      </c>
      <c r="O2367" s="2">
        <v>46211</v>
      </c>
      <c r="P2367" s="2">
        <v>46211</v>
      </c>
      <c r="Q2367">
        <f>_xlfn.XLOOKUP(E2367,CPT!$A$2:$A$13,CPT!$D$2:$D$13)</f>
        <v>38</v>
      </c>
      <c r="R2367" s="1">
        <f>_xlfn.XLOOKUP(C2367,Contract!$A$2:$A$9,Contract!$B$2:$B$9)</f>
        <v>1</v>
      </c>
      <c r="S2367" s="1">
        <f t="shared" si="144"/>
        <v>38</v>
      </c>
      <c r="T2367" s="1">
        <f t="shared" si="145"/>
        <v>-0.34000000000000341</v>
      </c>
      <c r="U2367" s="1" t="str">
        <f t="shared" si="146"/>
        <v>OK</v>
      </c>
      <c r="V2367" s="1" t="str">
        <f>_xlfn.XLOOKUP(C2367,Payers!$A$2:$A$9,Payers!$B$2:$B$9)</f>
        <v>Self-Pay</v>
      </c>
      <c r="W2367" s="1" t="str">
        <f t="shared" si="147"/>
        <v>2026-05</v>
      </c>
    </row>
    <row r="2368" spans="1:23">
      <c r="A2368" s="1" t="s">
        <v>4135</v>
      </c>
      <c r="B2368" s="1" t="s">
        <v>66</v>
      </c>
      <c r="C2368" s="1" t="s">
        <v>47</v>
      </c>
      <c r="D2368" s="1" t="s">
        <v>30</v>
      </c>
      <c r="E2368" s="1" t="s">
        <v>20</v>
      </c>
      <c r="F2368">
        <v>1</v>
      </c>
      <c r="G2368" s="2">
        <v>46215</v>
      </c>
      <c r="H2368" s="2">
        <v>46226</v>
      </c>
      <c r="I2368">
        <v>143.97999999999999</v>
      </c>
      <c r="J2368">
        <v>42.24</v>
      </c>
      <c r="K2368">
        <v>42.24</v>
      </c>
      <c r="L2368">
        <v>0</v>
      </c>
      <c r="M2368" s="1" t="s">
        <v>21</v>
      </c>
      <c r="N2368" s="1" t="s">
        <v>22</v>
      </c>
      <c r="O2368" s="2">
        <v>46251</v>
      </c>
      <c r="P2368" s="2">
        <v>46251</v>
      </c>
      <c r="Q2368">
        <f>_xlfn.XLOOKUP(E2368,CPT!$A$2:$A$13,CPT!$D$2:$D$13)</f>
        <v>145</v>
      </c>
      <c r="R2368" s="1">
        <f>_xlfn.XLOOKUP(C2368,Contract!$A$2:$A$9,Contract!$B$2:$B$9)</f>
        <v>0.28000000000000003</v>
      </c>
      <c r="S2368" s="1">
        <f t="shared" si="144"/>
        <v>40.6</v>
      </c>
      <c r="T2368" s="1">
        <f t="shared" si="145"/>
        <v>-1.6400000000000006</v>
      </c>
      <c r="U2368" s="1" t="str">
        <f t="shared" si="146"/>
        <v>OK</v>
      </c>
      <c r="V2368" s="1" t="str">
        <f>_xlfn.XLOOKUP(C2368,Payers!$A$2:$A$9,Payers!$B$2:$B$9)</f>
        <v>Coastal Medicaid MCO</v>
      </c>
      <c r="W2368" s="1" t="str">
        <f t="shared" si="147"/>
        <v>2026-07</v>
      </c>
    </row>
    <row r="2369" spans="1:23">
      <c r="A2369" s="1" t="s">
        <v>4136</v>
      </c>
      <c r="B2369" s="1" t="s">
        <v>4137</v>
      </c>
      <c r="C2369" s="1" t="s">
        <v>76</v>
      </c>
      <c r="D2369" s="1" t="s">
        <v>19</v>
      </c>
      <c r="E2369" s="1" t="s">
        <v>57</v>
      </c>
      <c r="F2369">
        <v>1</v>
      </c>
      <c r="G2369" s="2">
        <v>46062</v>
      </c>
      <c r="H2369" s="2">
        <v>46065</v>
      </c>
      <c r="I2369">
        <v>214.5</v>
      </c>
      <c r="J2369">
        <v>99.27</v>
      </c>
      <c r="K2369">
        <v>99.27</v>
      </c>
      <c r="L2369">
        <v>0</v>
      </c>
      <c r="M2369" s="1" t="s">
        <v>21</v>
      </c>
      <c r="N2369" s="1" t="s">
        <v>22</v>
      </c>
      <c r="O2369" s="2">
        <v>46103</v>
      </c>
      <c r="P2369" s="2">
        <v>46103</v>
      </c>
      <c r="Q2369">
        <f>_xlfn.XLOOKUP(E2369,CPT!$A$2:$A$13,CPT!$D$2:$D$13)</f>
        <v>210</v>
      </c>
      <c r="R2369" s="1">
        <f>_xlfn.XLOOKUP(C2369,Contract!$A$2:$A$9,Contract!$B$2:$B$9)</f>
        <v>0.43</v>
      </c>
      <c r="S2369" s="1">
        <f t="shared" si="144"/>
        <v>90.3</v>
      </c>
      <c r="T2369" s="1">
        <f t="shared" si="145"/>
        <v>-8.9699999999999989</v>
      </c>
      <c r="U2369" s="1" t="str">
        <f t="shared" si="146"/>
        <v>OK</v>
      </c>
      <c r="V2369" s="1" t="str">
        <f>_xlfn.XLOOKUP(C2369,Payers!$A$2:$A$9,Payers!$B$2:$B$9)</f>
        <v>Summit Health Commercial</v>
      </c>
      <c r="W2369" s="1" t="str">
        <f t="shared" si="147"/>
        <v>2026-02</v>
      </c>
    </row>
    <row r="2370" spans="1:23">
      <c r="A2370" s="1" t="s">
        <v>4138</v>
      </c>
      <c r="B2370" s="1" t="s">
        <v>3037</v>
      </c>
      <c r="C2370" s="1" t="s">
        <v>25</v>
      </c>
      <c r="D2370" s="1" t="s">
        <v>26</v>
      </c>
      <c r="E2370" s="1" t="s">
        <v>41</v>
      </c>
      <c r="F2370">
        <v>1</v>
      </c>
      <c r="G2370" s="2">
        <v>46088</v>
      </c>
      <c r="H2370" s="2">
        <v>46093</v>
      </c>
      <c r="I2370">
        <v>37.03</v>
      </c>
      <c r="J2370">
        <v>13.16</v>
      </c>
      <c r="K2370">
        <v>11.84</v>
      </c>
      <c r="L2370">
        <v>1.32</v>
      </c>
      <c r="M2370" s="1" t="s">
        <v>21</v>
      </c>
      <c r="N2370" s="1" t="s">
        <v>22</v>
      </c>
      <c r="O2370" s="2">
        <v>46109</v>
      </c>
      <c r="P2370" s="2">
        <v>46109</v>
      </c>
      <c r="Q2370">
        <f>_xlfn.XLOOKUP(E2370,CPT!$A$2:$A$13,CPT!$D$2:$D$13)</f>
        <v>38</v>
      </c>
      <c r="R2370" s="1">
        <f>_xlfn.XLOOKUP(C2370,Contract!$A$2:$A$9,Contract!$B$2:$B$9)</f>
        <v>0.36</v>
      </c>
      <c r="S2370" s="1">
        <f t="shared" ref="S2370:S2433" si="148">ROUND(Q2370*F2370*R2370,2)</f>
        <v>13.68</v>
      </c>
      <c r="T2370" s="1">
        <f t="shared" ref="T2370:T2433" si="149">IF(M2370="Paid",S2370-J2370,"")</f>
        <v>0.51999999999999957</v>
      </c>
      <c r="U2370" s="1" t="str">
        <f t="shared" ref="U2370:U2433" si="150">IF(M2370&lt;&gt;"Paid","",IF(T2370&gt;S2370*0.05,"Underpaid","OK"))</f>
        <v>OK</v>
      </c>
      <c r="V2370" s="1" t="str">
        <f>_xlfn.XLOOKUP(C2370,Payers!$A$2:$A$9,Payers!$B$2:$B$9)</f>
        <v>Medicare Part B</v>
      </c>
      <c r="W2370" s="1" t="str">
        <f t="shared" ref="W2370:W2433" si="151">TEXT(G2370,"yyyy-mm")</f>
        <v>2026-03</v>
      </c>
    </row>
    <row r="2371" spans="1:23">
      <c r="A2371" s="1" t="s">
        <v>4139</v>
      </c>
      <c r="B2371" s="1" t="s">
        <v>4140</v>
      </c>
      <c r="C2371" s="1" t="s">
        <v>25</v>
      </c>
      <c r="D2371" s="1" t="s">
        <v>26</v>
      </c>
      <c r="E2371" s="1" t="s">
        <v>57</v>
      </c>
      <c r="F2371">
        <v>1</v>
      </c>
      <c r="G2371" s="2">
        <v>46232</v>
      </c>
      <c r="H2371" s="2">
        <v>46233</v>
      </c>
      <c r="I2371">
        <v>208.22</v>
      </c>
      <c r="J2371">
        <v>74.36</v>
      </c>
      <c r="K2371">
        <v>74.36</v>
      </c>
      <c r="L2371">
        <v>0</v>
      </c>
      <c r="M2371" s="1" t="s">
        <v>21</v>
      </c>
      <c r="N2371" s="1" t="s">
        <v>22</v>
      </c>
      <c r="O2371" s="2">
        <v>46250</v>
      </c>
      <c r="P2371" s="2">
        <v>46250</v>
      </c>
      <c r="Q2371">
        <f>_xlfn.XLOOKUP(E2371,CPT!$A$2:$A$13,CPT!$D$2:$D$13)</f>
        <v>210</v>
      </c>
      <c r="R2371" s="1">
        <f>_xlfn.XLOOKUP(C2371,Contract!$A$2:$A$9,Contract!$B$2:$B$9)</f>
        <v>0.36</v>
      </c>
      <c r="S2371" s="1">
        <f t="shared" si="148"/>
        <v>75.599999999999994</v>
      </c>
      <c r="T2371" s="1">
        <f t="shared" si="149"/>
        <v>1.2399999999999949</v>
      </c>
      <c r="U2371" s="1" t="str">
        <f t="shared" si="150"/>
        <v>OK</v>
      </c>
      <c r="V2371" s="1" t="str">
        <f>_xlfn.XLOOKUP(C2371,Payers!$A$2:$A$9,Payers!$B$2:$B$9)</f>
        <v>Medicare Part B</v>
      </c>
      <c r="W2371" s="1" t="str">
        <f t="shared" si="151"/>
        <v>2026-07</v>
      </c>
    </row>
    <row r="2372" spans="1:23">
      <c r="A2372" s="1" t="s">
        <v>4141</v>
      </c>
      <c r="B2372" s="1" t="s">
        <v>1219</v>
      </c>
      <c r="C2372" s="1" t="s">
        <v>60</v>
      </c>
      <c r="D2372" s="1" t="s">
        <v>19</v>
      </c>
      <c r="E2372" s="1" t="s">
        <v>57</v>
      </c>
      <c r="F2372">
        <v>1</v>
      </c>
      <c r="G2372" s="2">
        <v>46132</v>
      </c>
      <c r="H2372" s="2">
        <v>46139</v>
      </c>
      <c r="I2372">
        <v>209.92</v>
      </c>
      <c r="J2372">
        <v>94.77</v>
      </c>
      <c r="K2372">
        <v>75.819999999999993</v>
      </c>
      <c r="L2372">
        <v>18.95</v>
      </c>
      <c r="M2372" s="1" t="s">
        <v>21</v>
      </c>
      <c r="N2372" s="1" t="s">
        <v>22</v>
      </c>
      <c r="O2372" s="2">
        <v>46151</v>
      </c>
      <c r="P2372" s="2">
        <v>46151</v>
      </c>
      <c r="Q2372">
        <f>_xlfn.XLOOKUP(E2372,CPT!$A$2:$A$13,CPT!$D$2:$D$13)</f>
        <v>210</v>
      </c>
      <c r="R2372" s="1">
        <f>_xlfn.XLOOKUP(C2372,Contract!$A$2:$A$9,Contract!$B$2:$B$9)</f>
        <v>0.45</v>
      </c>
      <c r="S2372" s="1">
        <f t="shared" si="148"/>
        <v>94.5</v>
      </c>
      <c r="T2372" s="1">
        <f t="shared" si="149"/>
        <v>-0.26999999999999602</v>
      </c>
      <c r="U2372" s="1" t="str">
        <f t="shared" si="150"/>
        <v>OK</v>
      </c>
      <c r="V2372" s="1" t="str">
        <f>_xlfn.XLOOKUP(C2372,Payers!$A$2:$A$9,Payers!$B$2:$B$9)</f>
        <v>Blue Horizon Commercial</v>
      </c>
      <c r="W2372" s="1" t="str">
        <f t="shared" si="151"/>
        <v>2026-04</v>
      </c>
    </row>
    <row r="2373" spans="1:23">
      <c r="A2373" s="1" t="s">
        <v>4142</v>
      </c>
      <c r="B2373" s="1" t="s">
        <v>4143</v>
      </c>
      <c r="C2373" s="1" t="s">
        <v>18</v>
      </c>
      <c r="D2373" s="1" t="s">
        <v>37</v>
      </c>
      <c r="E2373" s="1" t="s">
        <v>48</v>
      </c>
      <c r="F2373">
        <v>1</v>
      </c>
      <c r="G2373" s="2">
        <v>46007</v>
      </c>
      <c r="H2373" s="2">
        <v>46008</v>
      </c>
      <c r="I2373">
        <v>422.34</v>
      </c>
      <c r="J2373">
        <v>183.62</v>
      </c>
      <c r="K2373">
        <v>183.62</v>
      </c>
      <c r="L2373">
        <v>0</v>
      </c>
      <c r="M2373" s="1" t="s">
        <v>21</v>
      </c>
      <c r="N2373" s="1" t="s">
        <v>22</v>
      </c>
      <c r="O2373" s="2">
        <v>46056</v>
      </c>
      <c r="P2373" s="2">
        <v>46056</v>
      </c>
      <c r="Q2373">
        <f>_xlfn.XLOOKUP(E2373,CPT!$A$2:$A$13,CPT!$D$2:$D$13)</f>
        <v>420</v>
      </c>
      <c r="R2373" s="1">
        <f>_xlfn.XLOOKUP(C2373,Contract!$A$2:$A$9,Contract!$B$2:$B$9)</f>
        <v>0.38</v>
      </c>
      <c r="S2373" s="1">
        <f t="shared" si="148"/>
        <v>159.6</v>
      </c>
      <c r="T2373" s="1">
        <f t="shared" si="149"/>
        <v>-24.02000000000001</v>
      </c>
      <c r="U2373" s="1" t="str">
        <f t="shared" si="150"/>
        <v>OK</v>
      </c>
      <c r="V2373" s="1" t="str">
        <f>_xlfn.XLOOKUP(C2373,Payers!$A$2:$A$9,Payers!$B$2:$B$9)</f>
        <v>Sunshine Medicare Advantage</v>
      </c>
      <c r="W2373" s="1" t="str">
        <f t="shared" si="151"/>
        <v>2025-12</v>
      </c>
    </row>
    <row r="2374" spans="1:23">
      <c r="A2374" s="1" t="s">
        <v>4144</v>
      </c>
      <c r="B2374" s="1" t="s">
        <v>90</v>
      </c>
      <c r="C2374" s="1" t="s">
        <v>18</v>
      </c>
      <c r="D2374" s="1" t="s">
        <v>19</v>
      </c>
      <c r="E2374" s="1" t="s">
        <v>57</v>
      </c>
      <c r="F2374">
        <v>1</v>
      </c>
      <c r="G2374" s="2">
        <v>45931</v>
      </c>
      <c r="H2374" s="2">
        <v>45932</v>
      </c>
      <c r="I2374">
        <v>213.28</v>
      </c>
      <c r="M2374" s="1" t="s">
        <v>32</v>
      </c>
      <c r="N2374" s="1" t="s">
        <v>33</v>
      </c>
      <c r="O2374" s="2">
        <v>45966</v>
      </c>
      <c r="P2374" s="2"/>
      <c r="Q2374">
        <f>_xlfn.XLOOKUP(E2374,CPT!$A$2:$A$13,CPT!$D$2:$D$13)</f>
        <v>210</v>
      </c>
      <c r="R2374" s="1">
        <f>_xlfn.XLOOKUP(C2374,Contract!$A$2:$A$9,Contract!$B$2:$B$9)</f>
        <v>0.38</v>
      </c>
      <c r="S2374" s="1">
        <f t="shared" si="148"/>
        <v>79.8</v>
      </c>
      <c r="T2374" s="1" t="str">
        <f t="shared" si="149"/>
        <v/>
      </c>
      <c r="U2374" s="1" t="str">
        <f t="shared" si="150"/>
        <v/>
      </c>
      <c r="V2374" s="1" t="str">
        <f>_xlfn.XLOOKUP(C2374,Payers!$A$2:$A$9,Payers!$B$2:$B$9)</f>
        <v>Sunshine Medicare Advantage</v>
      </c>
      <c r="W2374" s="1" t="str">
        <f t="shared" si="151"/>
        <v>2025-10</v>
      </c>
    </row>
    <row r="2375" spans="1:23">
      <c r="A2375" s="1" t="s">
        <v>4145</v>
      </c>
      <c r="B2375" s="1" t="s">
        <v>4146</v>
      </c>
      <c r="C2375" s="1" t="s">
        <v>25</v>
      </c>
      <c r="D2375" s="1" t="s">
        <v>19</v>
      </c>
      <c r="E2375" s="1" t="s">
        <v>20</v>
      </c>
      <c r="F2375">
        <v>1</v>
      </c>
      <c r="G2375" s="2">
        <v>46135</v>
      </c>
      <c r="H2375" s="2">
        <v>46142</v>
      </c>
      <c r="I2375">
        <v>143.07</v>
      </c>
      <c r="J2375">
        <v>59.09</v>
      </c>
      <c r="K2375">
        <v>53.18</v>
      </c>
      <c r="L2375">
        <v>5.91</v>
      </c>
      <c r="M2375" s="1" t="s">
        <v>21</v>
      </c>
      <c r="N2375" s="1" t="s">
        <v>22</v>
      </c>
      <c r="O2375" s="2">
        <v>46162</v>
      </c>
      <c r="P2375" s="2">
        <v>46162</v>
      </c>
      <c r="Q2375">
        <f>_xlfn.XLOOKUP(E2375,CPT!$A$2:$A$13,CPT!$D$2:$D$13)</f>
        <v>145</v>
      </c>
      <c r="R2375" s="1">
        <f>_xlfn.XLOOKUP(C2375,Contract!$A$2:$A$9,Contract!$B$2:$B$9)</f>
        <v>0.36</v>
      </c>
      <c r="S2375" s="1">
        <f t="shared" si="148"/>
        <v>52.2</v>
      </c>
      <c r="T2375" s="1">
        <f t="shared" si="149"/>
        <v>-6.8900000000000006</v>
      </c>
      <c r="U2375" s="1" t="str">
        <f t="shared" si="150"/>
        <v>OK</v>
      </c>
      <c r="V2375" s="1" t="str">
        <f>_xlfn.XLOOKUP(C2375,Payers!$A$2:$A$9,Payers!$B$2:$B$9)</f>
        <v>Medicare Part B</v>
      </c>
      <c r="W2375" s="1" t="str">
        <f t="shared" si="151"/>
        <v>2026-04</v>
      </c>
    </row>
    <row r="2376" spans="1:23">
      <c r="A2376" s="1" t="s">
        <v>4147</v>
      </c>
      <c r="B2376" s="1" t="s">
        <v>2365</v>
      </c>
      <c r="C2376" s="1" t="s">
        <v>52</v>
      </c>
      <c r="D2376" s="1" t="s">
        <v>26</v>
      </c>
      <c r="E2376" s="1" t="s">
        <v>27</v>
      </c>
      <c r="F2376">
        <v>1</v>
      </c>
      <c r="G2376" s="2">
        <v>46006</v>
      </c>
      <c r="H2376" s="2">
        <v>46008</v>
      </c>
      <c r="I2376">
        <v>233.94</v>
      </c>
      <c r="J2376">
        <v>125.59</v>
      </c>
      <c r="K2376">
        <v>113.03</v>
      </c>
      <c r="L2376">
        <v>12.56</v>
      </c>
      <c r="M2376" s="1" t="s">
        <v>21</v>
      </c>
      <c r="N2376" s="1" t="s">
        <v>22</v>
      </c>
      <c r="O2376" s="2">
        <v>46047</v>
      </c>
      <c r="P2376" s="2">
        <v>46047</v>
      </c>
      <c r="Q2376">
        <f>_xlfn.XLOOKUP(E2376,CPT!$A$2:$A$13,CPT!$D$2:$D$13)</f>
        <v>240</v>
      </c>
      <c r="R2376" s="1">
        <f>_xlfn.XLOOKUP(C2376,Contract!$A$2:$A$9,Contract!$B$2:$B$9)</f>
        <v>0.47</v>
      </c>
      <c r="S2376" s="1">
        <f t="shared" si="148"/>
        <v>112.8</v>
      </c>
      <c r="T2376" s="1">
        <f t="shared" si="149"/>
        <v>-12.790000000000006</v>
      </c>
      <c r="U2376" s="1" t="str">
        <f t="shared" si="150"/>
        <v>OK</v>
      </c>
      <c r="V2376" s="1" t="str">
        <f>_xlfn.XLOOKUP(C2376,Payers!$A$2:$A$9,Payers!$B$2:$B$9)</f>
        <v>Keystone Commercial PPO</v>
      </c>
      <c r="W2376" s="1" t="str">
        <f t="shared" si="151"/>
        <v>2025-12</v>
      </c>
    </row>
    <row r="2377" spans="1:23">
      <c r="A2377" s="1" t="s">
        <v>4148</v>
      </c>
      <c r="B2377" s="1" t="s">
        <v>4149</v>
      </c>
      <c r="C2377" s="1" t="s">
        <v>76</v>
      </c>
      <c r="D2377" s="1" t="s">
        <v>19</v>
      </c>
      <c r="E2377" s="1" t="s">
        <v>41</v>
      </c>
      <c r="F2377">
        <v>1</v>
      </c>
      <c r="G2377" s="2">
        <v>46293</v>
      </c>
      <c r="H2377" s="2">
        <v>46295</v>
      </c>
      <c r="I2377">
        <v>37.9</v>
      </c>
      <c r="M2377" s="1" t="s">
        <v>69</v>
      </c>
      <c r="N2377" s="1" t="s">
        <v>22</v>
      </c>
      <c r="O2377" s="2"/>
      <c r="P2377" s="2"/>
      <c r="Q2377">
        <f>_xlfn.XLOOKUP(E2377,CPT!$A$2:$A$13,CPT!$D$2:$D$13)</f>
        <v>38</v>
      </c>
      <c r="R2377" s="1">
        <f>_xlfn.XLOOKUP(C2377,Contract!$A$2:$A$9,Contract!$B$2:$B$9)</f>
        <v>0.43</v>
      </c>
      <c r="S2377" s="1">
        <f t="shared" si="148"/>
        <v>16.34</v>
      </c>
      <c r="T2377" s="1" t="str">
        <f t="shared" si="149"/>
        <v/>
      </c>
      <c r="U2377" s="1" t="str">
        <f t="shared" si="150"/>
        <v/>
      </c>
      <c r="V2377" s="1" t="str">
        <f>_xlfn.XLOOKUP(C2377,Payers!$A$2:$A$9,Payers!$B$2:$B$9)</f>
        <v>Summit Health Commercial</v>
      </c>
      <c r="W2377" s="1" t="str">
        <f t="shared" si="151"/>
        <v>2026-09</v>
      </c>
    </row>
    <row r="2378" spans="1:23">
      <c r="A2378" s="1" t="s">
        <v>4150</v>
      </c>
      <c r="B2378" s="1" t="s">
        <v>4151</v>
      </c>
      <c r="C2378" s="1" t="s">
        <v>76</v>
      </c>
      <c r="D2378" s="1" t="s">
        <v>26</v>
      </c>
      <c r="E2378" s="1" t="s">
        <v>27</v>
      </c>
      <c r="F2378">
        <v>1</v>
      </c>
      <c r="G2378" s="2">
        <v>46011</v>
      </c>
      <c r="H2378" s="2">
        <v>46013</v>
      </c>
      <c r="I2378">
        <v>238.97</v>
      </c>
      <c r="M2378" s="1" t="s">
        <v>32</v>
      </c>
      <c r="N2378" s="1" t="s">
        <v>168</v>
      </c>
      <c r="O2378" s="2">
        <v>46036</v>
      </c>
      <c r="P2378" s="2"/>
      <c r="Q2378">
        <f>_xlfn.XLOOKUP(E2378,CPT!$A$2:$A$13,CPT!$D$2:$D$13)</f>
        <v>240</v>
      </c>
      <c r="R2378" s="1">
        <f>_xlfn.XLOOKUP(C2378,Contract!$A$2:$A$9,Contract!$B$2:$B$9)</f>
        <v>0.43</v>
      </c>
      <c r="S2378" s="1">
        <f t="shared" si="148"/>
        <v>103.2</v>
      </c>
      <c r="T2378" s="1" t="str">
        <f t="shared" si="149"/>
        <v/>
      </c>
      <c r="U2378" s="1" t="str">
        <f t="shared" si="150"/>
        <v/>
      </c>
      <c r="V2378" s="1" t="str">
        <f>_xlfn.XLOOKUP(C2378,Payers!$A$2:$A$9,Payers!$B$2:$B$9)</f>
        <v>Summit Health Commercial</v>
      </c>
      <c r="W2378" s="1" t="str">
        <f t="shared" si="151"/>
        <v>2025-12</v>
      </c>
    </row>
    <row r="2379" spans="1:23">
      <c r="A2379" s="1" t="s">
        <v>4152</v>
      </c>
      <c r="B2379" s="1" t="s">
        <v>4153</v>
      </c>
      <c r="C2379" s="1" t="s">
        <v>36</v>
      </c>
      <c r="D2379" s="1" t="s">
        <v>26</v>
      </c>
      <c r="E2379" s="1" t="s">
        <v>185</v>
      </c>
      <c r="F2379">
        <v>1</v>
      </c>
      <c r="G2379" s="2">
        <v>46154</v>
      </c>
      <c r="H2379" s="2">
        <v>46155</v>
      </c>
      <c r="I2379">
        <v>1136.94</v>
      </c>
      <c r="J2379">
        <v>309.77999999999997</v>
      </c>
      <c r="K2379">
        <v>247.82</v>
      </c>
      <c r="L2379">
        <v>61.96</v>
      </c>
      <c r="M2379" s="1" t="s">
        <v>21</v>
      </c>
      <c r="N2379" s="1" t="s">
        <v>22</v>
      </c>
      <c r="O2379" s="2">
        <v>46185</v>
      </c>
      <c r="P2379" s="2">
        <v>46185</v>
      </c>
      <c r="Q2379">
        <f>_xlfn.XLOOKUP(E2379,CPT!$A$2:$A$13,CPT!$D$2:$D$13)</f>
        <v>1150</v>
      </c>
      <c r="R2379" s="1">
        <f>_xlfn.XLOOKUP(C2379,Contract!$A$2:$A$9,Contract!$B$2:$B$9)</f>
        <v>0.27</v>
      </c>
      <c r="S2379" s="1">
        <f t="shared" si="148"/>
        <v>310.5</v>
      </c>
      <c r="T2379" s="1">
        <f t="shared" si="149"/>
        <v>0.72000000000002728</v>
      </c>
      <c r="U2379" s="1" t="str">
        <f t="shared" si="150"/>
        <v>OK</v>
      </c>
      <c r="V2379" s="1" t="str">
        <f>_xlfn.XLOOKUP(C2379,Payers!$A$2:$A$9,Payers!$B$2:$B$9)</f>
        <v>Florida Medicaid</v>
      </c>
      <c r="W2379" s="1" t="str">
        <f t="shared" si="151"/>
        <v>2026-05</v>
      </c>
    </row>
    <row r="2380" spans="1:23">
      <c r="A2380" s="1" t="s">
        <v>4154</v>
      </c>
      <c r="B2380" s="1" t="s">
        <v>4155</v>
      </c>
      <c r="C2380" s="1" t="s">
        <v>47</v>
      </c>
      <c r="D2380" s="1" t="s">
        <v>30</v>
      </c>
      <c r="E2380" s="1" t="s">
        <v>31</v>
      </c>
      <c r="F2380">
        <v>3</v>
      </c>
      <c r="G2380" s="2">
        <v>45956</v>
      </c>
      <c r="H2380" s="2">
        <v>45958</v>
      </c>
      <c r="I2380">
        <v>191.08</v>
      </c>
      <c r="M2380" s="1" t="s">
        <v>32</v>
      </c>
      <c r="N2380" s="1" t="s">
        <v>281</v>
      </c>
      <c r="O2380" s="2">
        <v>46020</v>
      </c>
      <c r="P2380" s="2"/>
      <c r="Q2380">
        <f>_xlfn.XLOOKUP(E2380,CPT!$A$2:$A$13,CPT!$D$2:$D$13)</f>
        <v>62</v>
      </c>
      <c r="R2380" s="1">
        <f>_xlfn.XLOOKUP(C2380,Contract!$A$2:$A$9,Contract!$B$2:$B$9)</f>
        <v>0.28000000000000003</v>
      </c>
      <c r="S2380" s="1">
        <f t="shared" si="148"/>
        <v>52.08</v>
      </c>
      <c r="T2380" s="1" t="str">
        <f t="shared" si="149"/>
        <v/>
      </c>
      <c r="U2380" s="1" t="str">
        <f t="shared" si="150"/>
        <v/>
      </c>
      <c r="V2380" s="1" t="str">
        <f>_xlfn.XLOOKUP(C2380,Payers!$A$2:$A$9,Payers!$B$2:$B$9)</f>
        <v>Coastal Medicaid MCO</v>
      </c>
      <c r="W2380" s="1" t="str">
        <f t="shared" si="151"/>
        <v>2025-10</v>
      </c>
    </row>
    <row r="2381" spans="1:23">
      <c r="A2381" s="1" t="s">
        <v>4156</v>
      </c>
      <c r="B2381" s="1" t="s">
        <v>4157</v>
      </c>
      <c r="C2381" s="1" t="s">
        <v>60</v>
      </c>
      <c r="D2381" s="1" t="s">
        <v>19</v>
      </c>
      <c r="E2381" s="1" t="s">
        <v>57</v>
      </c>
      <c r="F2381">
        <v>1</v>
      </c>
      <c r="G2381" s="2">
        <v>46074</v>
      </c>
      <c r="H2381" s="2">
        <v>46077</v>
      </c>
      <c r="I2381">
        <v>205.52</v>
      </c>
      <c r="J2381">
        <v>100.88</v>
      </c>
      <c r="K2381">
        <v>100.88</v>
      </c>
      <c r="L2381">
        <v>0</v>
      </c>
      <c r="M2381" s="1" t="s">
        <v>21</v>
      </c>
      <c r="N2381" s="1" t="s">
        <v>22</v>
      </c>
      <c r="O2381" s="2">
        <v>46107</v>
      </c>
      <c r="P2381" s="2">
        <v>46107</v>
      </c>
      <c r="Q2381">
        <f>_xlfn.XLOOKUP(E2381,CPT!$A$2:$A$13,CPT!$D$2:$D$13)</f>
        <v>210</v>
      </c>
      <c r="R2381" s="1">
        <f>_xlfn.XLOOKUP(C2381,Contract!$A$2:$A$9,Contract!$B$2:$B$9)</f>
        <v>0.45</v>
      </c>
      <c r="S2381" s="1">
        <f t="shared" si="148"/>
        <v>94.5</v>
      </c>
      <c r="T2381" s="1">
        <f t="shared" si="149"/>
        <v>-6.3799999999999955</v>
      </c>
      <c r="U2381" s="1" t="str">
        <f t="shared" si="150"/>
        <v>OK</v>
      </c>
      <c r="V2381" s="1" t="str">
        <f>_xlfn.XLOOKUP(C2381,Payers!$A$2:$A$9,Payers!$B$2:$B$9)</f>
        <v>Blue Horizon Commercial</v>
      </c>
      <c r="W2381" s="1" t="str">
        <f t="shared" si="151"/>
        <v>2026-02</v>
      </c>
    </row>
    <row r="2382" spans="1:23">
      <c r="A2382" s="1" t="s">
        <v>4158</v>
      </c>
      <c r="B2382" s="1" t="s">
        <v>209</v>
      </c>
      <c r="C2382" s="1" t="s">
        <v>60</v>
      </c>
      <c r="D2382" s="1" t="s">
        <v>37</v>
      </c>
      <c r="E2382" s="1" t="s">
        <v>57</v>
      </c>
      <c r="F2382">
        <v>1</v>
      </c>
      <c r="G2382" s="2">
        <v>46126</v>
      </c>
      <c r="H2382" s="2">
        <v>46127</v>
      </c>
      <c r="I2382">
        <v>208.87</v>
      </c>
      <c r="J2382">
        <v>101.78</v>
      </c>
      <c r="K2382">
        <v>101.78</v>
      </c>
      <c r="L2382">
        <v>0</v>
      </c>
      <c r="M2382" s="1" t="s">
        <v>21</v>
      </c>
      <c r="N2382" s="1" t="s">
        <v>22</v>
      </c>
      <c r="O2382" s="2">
        <v>46143</v>
      </c>
      <c r="P2382" s="2">
        <v>46143</v>
      </c>
      <c r="Q2382">
        <f>_xlfn.XLOOKUP(E2382,CPT!$A$2:$A$13,CPT!$D$2:$D$13)</f>
        <v>210</v>
      </c>
      <c r="R2382" s="1">
        <f>_xlfn.XLOOKUP(C2382,Contract!$A$2:$A$9,Contract!$B$2:$B$9)</f>
        <v>0.45</v>
      </c>
      <c r="S2382" s="1">
        <f t="shared" si="148"/>
        <v>94.5</v>
      </c>
      <c r="T2382" s="1">
        <f t="shared" si="149"/>
        <v>-7.2800000000000011</v>
      </c>
      <c r="U2382" s="1" t="str">
        <f t="shared" si="150"/>
        <v>OK</v>
      </c>
      <c r="V2382" s="1" t="str">
        <f>_xlfn.XLOOKUP(C2382,Payers!$A$2:$A$9,Payers!$B$2:$B$9)</f>
        <v>Blue Horizon Commercial</v>
      </c>
      <c r="W2382" s="1" t="str">
        <f t="shared" si="151"/>
        <v>2026-04</v>
      </c>
    </row>
    <row r="2383" spans="1:23">
      <c r="A2383" s="1" t="s">
        <v>4159</v>
      </c>
      <c r="B2383" s="1" t="s">
        <v>4160</v>
      </c>
      <c r="C2383" s="1" t="s">
        <v>76</v>
      </c>
      <c r="D2383" s="1" t="s">
        <v>19</v>
      </c>
      <c r="E2383" s="1" t="s">
        <v>20</v>
      </c>
      <c r="F2383">
        <v>1</v>
      </c>
      <c r="G2383" s="2">
        <v>46035</v>
      </c>
      <c r="H2383" s="2">
        <v>46037</v>
      </c>
      <c r="I2383">
        <v>142.36000000000001</v>
      </c>
      <c r="M2383" s="1" t="s">
        <v>32</v>
      </c>
      <c r="N2383" s="1" t="s">
        <v>281</v>
      </c>
      <c r="O2383" s="2">
        <v>46074</v>
      </c>
      <c r="P2383" s="2"/>
      <c r="Q2383">
        <f>_xlfn.XLOOKUP(E2383,CPT!$A$2:$A$13,CPT!$D$2:$D$13)</f>
        <v>145</v>
      </c>
      <c r="R2383" s="1">
        <f>_xlfn.XLOOKUP(C2383,Contract!$A$2:$A$9,Contract!$B$2:$B$9)</f>
        <v>0.43</v>
      </c>
      <c r="S2383" s="1">
        <f t="shared" si="148"/>
        <v>62.35</v>
      </c>
      <c r="T2383" s="1" t="str">
        <f t="shared" si="149"/>
        <v/>
      </c>
      <c r="U2383" s="1" t="str">
        <f t="shared" si="150"/>
        <v/>
      </c>
      <c r="V2383" s="1" t="str">
        <f>_xlfn.XLOOKUP(C2383,Payers!$A$2:$A$9,Payers!$B$2:$B$9)</f>
        <v>Summit Health Commercial</v>
      </c>
      <c r="W2383" s="1" t="str">
        <f t="shared" si="151"/>
        <v>2026-01</v>
      </c>
    </row>
    <row r="2384" spans="1:23">
      <c r="A2384" s="1" t="s">
        <v>4161</v>
      </c>
      <c r="B2384" s="1" t="s">
        <v>875</v>
      </c>
      <c r="C2384" s="1" t="s">
        <v>79</v>
      </c>
      <c r="D2384" s="1" t="s">
        <v>19</v>
      </c>
      <c r="E2384" s="1" t="s">
        <v>41</v>
      </c>
      <c r="F2384">
        <v>1</v>
      </c>
      <c r="G2384" s="2">
        <v>46179</v>
      </c>
      <c r="H2384" s="2">
        <v>46181</v>
      </c>
      <c r="I2384">
        <v>37.1</v>
      </c>
      <c r="M2384" s="1" t="s">
        <v>69</v>
      </c>
      <c r="N2384" s="1" t="s">
        <v>22</v>
      </c>
      <c r="O2384" s="2"/>
      <c r="P2384" s="2"/>
      <c r="Q2384">
        <f>_xlfn.XLOOKUP(E2384,CPT!$A$2:$A$13,CPT!$D$2:$D$13)</f>
        <v>38</v>
      </c>
      <c r="R2384" s="1">
        <f>_xlfn.XLOOKUP(C2384,Contract!$A$2:$A$9,Contract!$B$2:$B$9)</f>
        <v>1</v>
      </c>
      <c r="S2384" s="1">
        <f t="shared" si="148"/>
        <v>38</v>
      </c>
      <c r="T2384" s="1" t="str">
        <f t="shared" si="149"/>
        <v/>
      </c>
      <c r="U2384" s="1" t="str">
        <f t="shared" si="150"/>
        <v/>
      </c>
      <c r="V2384" s="1" t="str">
        <f>_xlfn.XLOOKUP(C2384,Payers!$A$2:$A$9,Payers!$B$2:$B$9)</f>
        <v>Self-Pay</v>
      </c>
      <c r="W2384" s="1" t="str">
        <f t="shared" si="151"/>
        <v>2026-06</v>
      </c>
    </row>
    <row r="2385" spans="1:23">
      <c r="A2385" s="1" t="s">
        <v>4162</v>
      </c>
      <c r="B2385" s="1" t="s">
        <v>4163</v>
      </c>
      <c r="C2385" s="1" t="s">
        <v>25</v>
      </c>
      <c r="D2385" s="1" t="s">
        <v>30</v>
      </c>
      <c r="E2385" s="1" t="s">
        <v>31</v>
      </c>
      <c r="F2385">
        <v>2</v>
      </c>
      <c r="G2385" s="2">
        <v>46154</v>
      </c>
      <c r="H2385" s="2">
        <v>46165</v>
      </c>
      <c r="I2385">
        <v>126.65</v>
      </c>
      <c r="J2385">
        <v>48.44</v>
      </c>
      <c r="K2385">
        <v>38.75</v>
      </c>
      <c r="L2385">
        <v>9.69</v>
      </c>
      <c r="M2385" s="1" t="s">
        <v>21</v>
      </c>
      <c r="N2385" s="1" t="s">
        <v>22</v>
      </c>
      <c r="O2385" s="2">
        <v>46183</v>
      </c>
      <c r="P2385" s="2">
        <v>46183</v>
      </c>
      <c r="Q2385">
        <f>_xlfn.XLOOKUP(E2385,CPT!$A$2:$A$13,CPT!$D$2:$D$13)</f>
        <v>62</v>
      </c>
      <c r="R2385" s="1">
        <f>_xlfn.XLOOKUP(C2385,Contract!$A$2:$A$9,Contract!$B$2:$B$9)</f>
        <v>0.36</v>
      </c>
      <c r="S2385" s="1">
        <f t="shared" si="148"/>
        <v>44.64</v>
      </c>
      <c r="T2385" s="1">
        <f t="shared" si="149"/>
        <v>-3.7999999999999972</v>
      </c>
      <c r="U2385" s="1" t="str">
        <f t="shared" si="150"/>
        <v>OK</v>
      </c>
      <c r="V2385" s="1" t="str">
        <f>_xlfn.XLOOKUP(C2385,Payers!$A$2:$A$9,Payers!$B$2:$B$9)</f>
        <v>Medicare Part B</v>
      </c>
      <c r="W2385" s="1" t="str">
        <f t="shared" si="151"/>
        <v>2026-05</v>
      </c>
    </row>
    <row r="2386" spans="1:23">
      <c r="A2386" s="1" t="s">
        <v>4164</v>
      </c>
      <c r="B2386" s="1" t="s">
        <v>2897</v>
      </c>
      <c r="C2386" s="1" t="s">
        <v>18</v>
      </c>
      <c r="D2386" s="1" t="s">
        <v>26</v>
      </c>
      <c r="E2386" s="1" t="s">
        <v>185</v>
      </c>
      <c r="F2386">
        <v>1</v>
      </c>
      <c r="G2386" s="2">
        <v>46133</v>
      </c>
      <c r="H2386" s="2">
        <v>46141</v>
      </c>
      <c r="I2386">
        <v>1179.3399999999999</v>
      </c>
      <c r="M2386" s="1" t="s">
        <v>32</v>
      </c>
      <c r="N2386" s="1" t="s">
        <v>49</v>
      </c>
      <c r="O2386" s="2">
        <v>46184</v>
      </c>
      <c r="P2386" s="2"/>
      <c r="Q2386">
        <f>_xlfn.XLOOKUP(E2386,CPT!$A$2:$A$13,CPT!$D$2:$D$13)</f>
        <v>1150</v>
      </c>
      <c r="R2386" s="1">
        <f>_xlfn.XLOOKUP(C2386,Contract!$A$2:$A$9,Contract!$B$2:$B$9)</f>
        <v>0.38</v>
      </c>
      <c r="S2386" s="1">
        <f t="shared" si="148"/>
        <v>437</v>
      </c>
      <c r="T2386" s="1" t="str">
        <f t="shared" si="149"/>
        <v/>
      </c>
      <c r="U2386" s="1" t="str">
        <f t="shared" si="150"/>
        <v/>
      </c>
      <c r="V2386" s="1" t="str">
        <f>_xlfn.XLOOKUP(C2386,Payers!$A$2:$A$9,Payers!$B$2:$B$9)</f>
        <v>Sunshine Medicare Advantage</v>
      </c>
      <c r="W2386" s="1" t="str">
        <f t="shared" si="151"/>
        <v>2026-04</v>
      </c>
    </row>
    <row r="2387" spans="1:23">
      <c r="A2387" s="1" t="s">
        <v>4165</v>
      </c>
      <c r="B2387" s="1" t="s">
        <v>4166</v>
      </c>
      <c r="C2387" s="1" t="s">
        <v>36</v>
      </c>
      <c r="D2387" s="1" t="s">
        <v>19</v>
      </c>
      <c r="E2387" s="1" t="s">
        <v>57</v>
      </c>
      <c r="F2387">
        <v>1</v>
      </c>
      <c r="G2387" s="2">
        <v>46117</v>
      </c>
      <c r="H2387" s="2">
        <v>46118</v>
      </c>
      <c r="I2387">
        <v>213</v>
      </c>
      <c r="M2387" s="1" t="s">
        <v>32</v>
      </c>
      <c r="N2387" s="1" t="s">
        <v>281</v>
      </c>
      <c r="O2387" s="2">
        <v>46140</v>
      </c>
      <c r="P2387" s="2"/>
      <c r="Q2387">
        <f>_xlfn.XLOOKUP(E2387,CPT!$A$2:$A$13,CPT!$D$2:$D$13)</f>
        <v>210</v>
      </c>
      <c r="R2387" s="1">
        <f>_xlfn.XLOOKUP(C2387,Contract!$A$2:$A$9,Contract!$B$2:$B$9)</f>
        <v>0.27</v>
      </c>
      <c r="S2387" s="1">
        <f t="shared" si="148"/>
        <v>56.7</v>
      </c>
      <c r="T2387" s="1" t="str">
        <f t="shared" si="149"/>
        <v/>
      </c>
      <c r="U2387" s="1" t="str">
        <f t="shared" si="150"/>
        <v/>
      </c>
      <c r="V2387" s="1" t="str">
        <f>_xlfn.XLOOKUP(C2387,Payers!$A$2:$A$9,Payers!$B$2:$B$9)</f>
        <v>Florida Medicaid</v>
      </c>
      <c r="W2387" s="1" t="str">
        <f t="shared" si="151"/>
        <v>2026-04</v>
      </c>
    </row>
    <row r="2388" spans="1:23">
      <c r="A2388" s="1" t="s">
        <v>4167</v>
      </c>
      <c r="B2388" s="1" t="s">
        <v>4168</v>
      </c>
      <c r="C2388" s="1" t="s">
        <v>36</v>
      </c>
      <c r="D2388" s="1" t="s">
        <v>30</v>
      </c>
      <c r="E2388" s="1" t="s">
        <v>20</v>
      </c>
      <c r="F2388">
        <v>1</v>
      </c>
      <c r="G2388" s="2">
        <v>46042</v>
      </c>
      <c r="H2388" s="2">
        <v>46050</v>
      </c>
      <c r="I2388">
        <v>145.5</v>
      </c>
      <c r="J2388">
        <v>43.87</v>
      </c>
      <c r="K2388">
        <v>43.87</v>
      </c>
      <c r="L2388">
        <v>0</v>
      </c>
      <c r="M2388" s="1" t="s">
        <v>21</v>
      </c>
      <c r="N2388" s="1" t="s">
        <v>22</v>
      </c>
      <c r="O2388" s="2">
        <v>46085</v>
      </c>
      <c r="P2388" s="2">
        <v>46085</v>
      </c>
      <c r="Q2388">
        <f>_xlfn.XLOOKUP(E2388,CPT!$A$2:$A$13,CPT!$D$2:$D$13)</f>
        <v>145</v>
      </c>
      <c r="R2388" s="1">
        <f>_xlfn.XLOOKUP(C2388,Contract!$A$2:$A$9,Contract!$B$2:$B$9)</f>
        <v>0.27</v>
      </c>
      <c r="S2388" s="1">
        <f t="shared" si="148"/>
        <v>39.15</v>
      </c>
      <c r="T2388" s="1">
        <f t="shared" si="149"/>
        <v>-4.7199999999999989</v>
      </c>
      <c r="U2388" s="1" t="str">
        <f t="shared" si="150"/>
        <v>OK</v>
      </c>
      <c r="V2388" s="1" t="str">
        <f>_xlfn.XLOOKUP(C2388,Payers!$A$2:$A$9,Payers!$B$2:$B$9)</f>
        <v>Florida Medicaid</v>
      </c>
      <c r="W2388" s="1" t="str">
        <f t="shared" si="151"/>
        <v>2026-01</v>
      </c>
    </row>
    <row r="2389" spans="1:23">
      <c r="A2389" s="1" t="s">
        <v>4169</v>
      </c>
      <c r="B2389" s="1" t="s">
        <v>4170</v>
      </c>
      <c r="C2389" s="1" t="s">
        <v>60</v>
      </c>
      <c r="D2389" s="1" t="s">
        <v>26</v>
      </c>
      <c r="E2389" s="1" t="s">
        <v>185</v>
      </c>
      <c r="F2389">
        <v>1</v>
      </c>
      <c r="G2389" s="2">
        <v>46241</v>
      </c>
      <c r="H2389" s="2">
        <v>46244</v>
      </c>
      <c r="I2389">
        <v>1141.08</v>
      </c>
      <c r="J2389">
        <v>479.71</v>
      </c>
      <c r="K2389">
        <v>383.77</v>
      </c>
      <c r="L2389">
        <v>95.94</v>
      </c>
      <c r="M2389" s="1" t="s">
        <v>21</v>
      </c>
      <c r="N2389" s="1" t="s">
        <v>22</v>
      </c>
      <c r="O2389" s="2">
        <v>46270</v>
      </c>
      <c r="P2389" s="2">
        <v>46270</v>
      </c>
      <c r="Q2389">
        <f>_xlfn.XLOOKUP(E2389,CPT!$A$2:$A$13,CPT!$D$2:$D$13)</f>
        <v>1150</v>
      </c>
      <c r="R2389" s="1">
        <f>_xlfn.XLOOKUP(C2389,Contract!$A$2:$A$9,Contract!$B$2:$B$9)</f>
        <v>0.45</v>
      </c>
      <c r="S2389" s="1">
        <f t="shared" si="148"/>
        <v>517.5</v>
      </c>
      <c r="T2389" s="1">
        <f t="shared" si="149"/>
        <v>37.79000000000002</v>
      </c>
      <c r="U2389" s="1" t="str">
        <f t="shared" si="150"/>
        <v>Underpaid</v>
      </c>
      <c r="V2389" s="1" t="str">
        <f>_xlfn.XLOOKUP(C2389,Payers!$A$2:$A$9,Payers!$B$2:$B$9)</f>
        <v>Blue Horizon Commercial</v>
      </c>
      <c r="W2389" s="1" t="str">
        <f t="shared" si="151"/>
        <v>2026-08</v>
      </c>
    </row>
    <row r="2390" spans="1:23">
      <c r="A2390" s="1" t="s">
        <v>4171</v>
      </c>
      <c r="B2390" s="1" t="s">
        <v>1398</v>
      </c>
      <c r="C2390" s="1" t="s">
        <v>36</v>
      </c>
      <c r="D2390" s="1" t="s">
        <v>19</v>
      </c>
      <c r="E2390" s="1" t="s">
        <v>20</v>
      </c>
      <c r="F2390">
        <v>1</v>
      </c>
      <c r="G2390" s="2">
        <v>46106</v>
      </c>
      <c r="H2390" s="2">
        <v>46113</v>
      </c>
      <c r="I2390">
        <v>141.37</v>
      </c>
      <c r="J2390">
        <v>39</v>
      </c>
      <c r="K2390">
        <v>31.2</v>
      </c>
      <c r="L2390">
        <v>7.8</v>
      </c>
      <c r="M2390" s="1" t="s">
        <v>21</v>
      </c>
      <c r="N2390" s="1" t="s">
        <v>22</v>
      </c>
      <c r="O2390" s="2">
        <v>46164</v>
      </c>
      <c r="P2390" s="2">
        <v>46164</v>
      </c>
      <c r="Q2390">
        <f>_xlfn.XLOOKUP(E2390,CPT!$A$2:$A$13,CPT!$D$2:$D$13)</f>
        <v>145</v>
      </c>
      <c r="R2390" s="1">
        <f>_xlfn.XLOOKUP(C2390,Contract!$A$2:$A$9,Contract!$B$2:$B$9)</f>
        <v>0.27</v>
      </c>
      <c r="S2390" s="1">
        <f t="shared" si="148"/>
        <v>39.15</v>
      </c>
      <c r="T2390" s="1">
        <f t="shared" si="149"/>
        <v>0.14999999999999858</v>
      </c>
      <c r="U2390" s="1" t="str">
        <f t="shared" si="150"/>
        <v>OK</v>
      </c>
      <c r="V2390" s="1" t="str">
        <f>_xlfn.XLOOKUP(C2390,Payers!$A$2:$A$9,Payers!$B$2:$B$9)</f>
        <v>Florida Medicaid</v>
      </c>
      <c r="W2390" s="1" t="str">
        <f t="shared" si="151"/>
        <v>2026-03</v>
      </c>
    </row>
    <row r="2391" spans="1:23">
      <c r="A2391" s="1" t="s">
        <v>4172</v>
      </c>
      <c r="B2391" s="1" t="s">
        <v>4173</v>
      </c>
      <c r="C2391" s="1" t="s">
        <v>60</v>
      </c>
      <c r="D2391" s="1" t="s">
        <v>19</v>
      </c>
      <c r="E2391" s="1" t="s">
        <v>20</v>
      </c>
      <c r="F2391">
        <v>1</v>
      </c>
      <c r="G2391" s="2">
        <v>46277</v>
      </c>
      <c r="H2391" s="2">
        <v>46279</v>
      </c>
      <c r="I2391">
        <v>146.63999999999999</v>
      </c>
      <c r="M2391" s="1" t="s">
        <v>69</v>
      </c>
      <c r="N2391" s="1" t="s">
        <v>22</v>
      </c>
      <c r="O2391" s="2"/>
      <c r="P2391" s="2"/>
      <c r="Q2391">
        <f>_xlfn.XLOOKUP(E2391,CPT!$A$2:$A$13,CPT!$D$2:$D$13)</f>
        <v>145</v>
      </c>
      <c r="R2391" s="1">
        <f>_xlfn.XLOOKUP(C2391,Contract!$A$2:$A$9,Contract!$B$2:$B$9)</f>
        <v>0.45</v>
      </c>
      <c r="S2391" s="1">
        <f t="shared" si="148"/>
        <v>65.25</v>
      </c>
      <c r="T2391" s="1" t="str">
        <f t="shared" si="149"/>
        <v/>
      </c>
      <c r="U2391" s="1" t="str">
        <f t="shared" si="150"/>
        <v/>
      </c>
      <c r="V2391" s="1" t="str">
        <f>_xlfn.XLOOKUP(C2391,Payers!$A$2:$A$9,Payers!$B$2:$B$9)</f>
        <v>Blue Horizon Commercial</v>
      </c>
      <c r="W2391" s="1" t="str">
        <f t="shared" si="151"/>
        <v>2026-09</v>
      </c>
    </row>
    <row r="2392" spans="1:23">
      <c r="A2392" s="1" t="s">
        <v>4174</v>
      </c>
      <c r="B2392" s="1" t="s">
        <v>3972</v>
      </c>
      <c r="C2392" s="1" t="s">
        <v>60</v>
      </c>
      <c r="D2392" s="1" t="s">
        <v>26</v>
      </c>
      <c r="E2392" s="1" t="s">
        <v>41</v>
      </c>
      <c r="F2392">
        <v>1</v>
      </c>
      <c r="G2392" s="2">
        <v>46072</v>
      </c>
      <c r="H2392" s="2">
        <v>46073</v>
      </c>
      <c r="I2392">
        <v>38.270000000000003</v>
      </c>
      <c r="J2392">
        <v>18.61</v>
      </c>
      <c r="K2392">
        <v>14.89</v>
      </c>
      <c r="L2392">
        <v>3.72</v>
      </c>
      <c r="M2392" s="1" t="s">
        <v>21</v>
      </c>
      <c r="N2392" s="1" t="s">
        <v>22</v>
      </c>
      <c r="O2392" s="2">
        <v>46088</v>
      </c>
      <c r="P2392" s="2">
        <v>46088</v>
      </c>
      <c r="Q2392">
        <f>_xlfn.XLOOKUP(E2392,CPT!$A$2:$A$13,CPT!$D$2:$D$13)</f>
        <v>38</v>
      </c>
      <c r="R2392" s="1">
        <f>_xlfn.XLOOKUP(C2392,Contract!$A$2:$A$9,Contract!$B$2:$B$9)</f>
        <v>0.45</v>
      </c>
      <c r="S2392" s="1">
        <f t="shared" si="148"/>
        <v>17.100000000000001</v>
      </c>
      <c r="T2392" s="1">
        <f t="shared" si="149"/>
        <v>-1.509999999999998</v>
      </c>
      <c r="U2392" s="1" t="str">
        <f t="shared" si="150"/>
        <v>OK</v>
      </c>
      <c r="V2392" s="1" t="str">
        <f>_xlfn.XLOOKUP(C2392,Payers!$A$2:$A$9,Payers!$B$2:$B$9)</f>
        <v>Blue Horizon Commercial</v>
      </c>
      <c r="W2392" s="1" t="str">
        <f t="shared" si="151"/>
        <v>2026-02</v>
      </c>
    </row>
    <row r="2393" spans="1:23">
      <c r="A2393" s="1" t="s">
        <v>4175</v>
      </c>
      <c r="B2393" s="1" t="s">
        <v>1173</v>
      </c>
      <c r="C2393" s="1" t="s">
        <v>76</v>
      </c>
      <c r="D2393" s="1" t="s">
        <v>19</v>
      </c>
      <c r="E2393" s="1" t="s">
        <v>41</v>
      </c>
      <c r="F2393">
        <v>1</v>
      </c>
      <c r="G2393" s="2">
        <v>46094</v>
      </c>
      <c r="H2393" s="2">
        <v>46095</v>
      </c>
      <c r="I2393">
        <v>38.19</v>
      </c>
      <c r="M2393" s="1" t="s">
        <v>32</v>
      </c>
      <c r="N2393" s="1" t="s">
        <v>124</v>
      </c>
      <c r="O2393" s="2">
        <v>46125</v>
      </c>
      <c r="P2393" s="2"/>
      <c r="Q2393">
        <f>_xlfn.XLOOKUP(E2393,CPT!$A$2:$A$13,CPT!$D$2:$D$13)</f>
        <v>38</v>
      </c>
      <c r="R2393" s="1">
        <f>_xlfn.XLOOKUP(C2393,Contract!$A$2:$A$9,Contract!$B$2:$B$9)</f>
        <v>0.43</v>
      </c>
      <c r="S2393" s="1">
        <f t="shared" si="148"/>
        <v>16.34</v>
      </c>
      <c r="T2393" s="1" t="str">
        <f t="shared" si="149"/>
        <v/>
      </c>
      <c r="U2393" s="1" t="str">
        <f t="shared" si="150"/>
        <v/>
      </c>
      <c r="V2393" s="1" t="str">
        <f>_xlfn.XLOOKUP(C2393,Payers!$A$2:$A$9,Payers!$B$2:$B$9)</f>
        <v>Summit Health Commercial</v>
      </c>
      <c r="W2393" s="1" t="str">
        <f t="shared" si="151"/>
        <v>2026-03</v>
      </c>
    </row>
    <row r="2394" spans="1:23">
      <c r="A2394" s="1" t="s">
        <v>4176</v>
      </c>
      <c r="B2394" s="1" t="s">
        <v>3291</v>
      </c>
      <c r="C2394" s="1" t="s">
        <v>36</v>
      </c>
      <c r="D2394" s="1" t="s">
        <v>37</v>
      </c>
      <c r="E2394" s="1" t="s">
        <v>57</v>
      </c>
      <c r="F2394">
        <v>1</v>
      </c>
      <c r="G2394" s="2">
        <v>46044</v>
      </c>
      <c r="H2394" s="2">
        <v>46047</v>
      </c>
      <c r="I2394">
        <v>216.1</v>
      </c>
      <c r="J2394">
        <v>58.21</v>
      </c>
      <c r="K2394">
        <v>58.21</v>
      </c>
      <c r="L2394">
        <v>0</v>
      </c>
      <c r="M2394" s="1" t="s">
        <v>21</v>
      </c>
      <c r="N2394" s="1" t="s">
        <v>22</v>
      </c>
      <c r="O2394" s="2">
        <v>46080</v>
      </c>
      <c r="P2394" s="2">
        <v>46080</v>
      </c>
      <c r="Q2394">
        <f>_xlfn.XLOOKUP(E2394,CPT!$A$2:$A$13,CPT!$D$2:$D$13)</f>
        <v>210</v>
      </c>
      <c r="R2394" s="1">
        <f>_xlfn.XLOOKUP(C2394,Contract!$A$2:$A$9,Contract!$B$2:$B$9)</f>
        <v>0.27</v>
      </c>
      <c r="S2394" s="1">
        <f t="shared" si="148"/>
        <v>56.7</v>
      </c>
      <c r="T2394" s="1">
        <f t="shared" si="149"/>
        <v>-1.509999999999998</v>
      </c>
      <c r="U2394" s="1" t="str">
        <f t="shared" si="150"/>
        <v>OK</v>
      </c>
      <c r="V2394" s="1" t="str">
        <f>_xlfn.XLOOKUP(C2394,Payers!$A$2:$A$9,Payers!$B$2:$B$9)</f>
        <v>Florida Medicaid</v>
      </c>
      <c r="W2394" s="1" t="str">
        <f t="shared" si="151"/>
        <v>2026-01</v>
      </c>
    </row>
    <row r="2395" spans="1:23">
      <c r="A2395" s="1" t="s">
        <v>4177</v>
      </c>
      <c r="B2395" s="1" t="s">
        <v>4178</v>
      </c>
      <c r="C2395" s="1" t="s">
        <v>76</v>
      </c>
      <c r="D2395" s="1" t="s">
        <v>37</v>
      </c>
      <c r="E2395" s="1" t="s">
        <v>57</v>
      </c>
      <c r="F2395">
        <v>1</v>
      </c>
      <c r="G2395" s="2">
        <v>46244</v>
      </c>
      <c r="H2395" s="2">
        <v>46245</v>
      </c>
      <c r="I2395">
        <v>214.52</v>
      </c>
      <c r="J2395">
        <v>104.53</v>
      </c>
      <c r="K2395">
        <v>104.53</v>
      </c>
      <c r="L2395">
        <v>0</v>
      </c>
      <c r="M2395" s="1" t="s">
        <v>21</v>
      </c>
      <c r="N2395" s="1" t="s">
        <v>22</v>
      </c>
      <c r="O2395" s="2">
        <v>46285</v>
      </c>
      <c r="P2395" s="2">
        <v>46285</v>
      </c>
      <c r="Q2395">
        <f>_xlfn.XLOOKUP(E2395,CPT!$A$2:$A$13,CPT!$D$2:$D$13)</f>
        <v>210</v>
      </c>
      <c r="R2395" s="1">
        <f>_xlfn.XLOOKUP(C2395,Contract!$A$2:$A$9,Contract!$B$2:$B$9)</f>
        <v>0.43</v>
      </c>
      <c r="S2395" s="1">
        <f t="shared" si="148"/>
        <v>90.3</v>
      </c>
      <c r="T2395" s="1">
        <f t="shared" si="149"/>
        <v>-14.230000000000004</v>
      </c>
      <c r="U2395" s="1" t="str">
        <f t="shared" si="150"/>
        <v>OK</v>
      </c>
      <c r="V2395" s="1" t="str">
        <f>_xlfn.XLOOKUP(C2395,Payers!$A$2:$A$9,Payers!$B$2:$B$9)</f>
        <v>Summit Health Commercial</v>
      </c>
      <c r="W2395" s="1" t="str">
        <f t="shared" si="151"/>
        <v>2026-08</v>
      </c>
    </row>
    <row r="2396" spans="1:23">
      <c r="A2396" s="1" t="s">
        <v>4179</v>
      </c>
      <c r="B2396" s="1" t="s">
        <v>2051</v>
      </c>
      <c r="C2396" s="1" t="s">
        <v>60</v>
      </c>
      <c r="D2396" s="1" t="s">
        <v>30</v>
      </c>
      <c r="E2396" s="1" t="s">
        <v>91</v>
      </c>
      <c r="F2396">
        <v>2</v>
      </c>
      <c r="G2396" s="2">
        <v>46234</v>
      </c>
      <c r="H2396" s="2">
        <v>46255</v>
      </c>
      <c r="I2396">
        <v>115.77</v>
      </c>
      <c r="M2396" s="1" t="s">
        <v>32</v>
      </c>
      <c r="N2396" s="1" t="s">
        <v>49</v>
      </c>
      <c r="O2396" s="2">
        <v>46266</v>
      </c>
      <c r="P2396" s="2"/>
      <c r="Q2396">
        <f>_xlfn.XLOOKUP(E2396,CPT!$A$2:$A$13,CPT!$D$2:$D$13)</f>
        <v>58</v>
      </c>
      <c r="R2396" s="1">
        <f>_xlfn.XLOOKUP(C2396,Contract!$A$2:$A$9,Contract!$B$2:$B$9)</f>
        <v>0.45</v>
      </c>
      <c r="S2396" s="1">
        <f t="shared" si="148"/>
        <v>52.2</v>
      </c>
      <c r="T2396" s="1" t="str">
        <f t="shared" si="149"/>
        <v/>
      </c>
      <c r="U2396" s="1" t="str">
        <f t="shared" si="150"/>
        <v/>
      </c>
      <c r="V2396" s="1" t="str">
        <f>_xlfn.XLOOKUP(C2396,Payers!$A$2:$A$9,Payers!$B$2:$B$9)</f>
        <v>Blue Horizon Commercial</v>
      </c>
      <c r="W2396" s="1" t="str">
        <f t="shared" si="151"/>
        <v>2026-07</v>
      </c>
    </row>
    <row r="2397" spans="1:23">
      <c r="A2397" s="1" t="s">
        <v>4180</v>
      </c>
      <c r="B2397" s="1" t="s">
        <v>4181</v>
      </c>
      <c r="C2397" s="1" t="s">
        <v>76</v>
      </c>
      <c r="D2397" s="1" t="s">
        <v>37</v>
      </c>
      <c r="E2397" s="1" t="s">
        <v>57</v>
      </c>
      <c r="F2397">
        <v>1</v>
      </c>
      <c r="G2397" s="2">
        <v>46205</v>
      </c>
      <c r="H2397" s="2">
        <v>46206</v>
      </c>
      <c r="I2397">
        <v>209.8</v>
      </c>
      <c r="J2397">
        <v>88.8</v>
      </c>
      <c r="K2397">
        <v>79.92</v>
      </c>
      <c r="L2397">
        <v>8.8800000000000008</v>
      </c>
      <c r="M2397" s="1" t="s">
        <v>21</v>
      </c>
      <c r="N2397" s="1" t="s">
        <v>22</v>
      </c>
      <c r="O2397" s="2">
        <v>46242</v>
      </c>
      <c r="P2397" s="2">
        <v>46242</v>
      </c>
      <c r="Q2397">
        <f>_xlfn.XLOOKUP(E2397,CPT!$A$2:$A$13,CPT!$D$2:$D$13)</f>
        <v>210</v>
      </c>
      <c r="R2397" s="1">
        <f>_xlfn.XLOOKUP(C2397,Contract!$A$2:$A$9,Contract!$B$2:$B$9)</f>
        <v>0.43</v>
      </c>
      <c r="S2397" s="1">
        <f t="shared" si="148"/>
        <v>90.3</v>
      </c>
      <c r="T2397" s="1">
        <f t="shared" si="149"/>
        <v>1.5</v>
      </c>
      <c r="U2397" s="1" t="str">
        <f t="shared" si="150"/>
        <v>OK</v>
      </c>
      <c r="V2397" s="1" t="str">
        <f>_xlfn.XLOOKUP(C2397,Payers!$A$2:$A$9,Payers!$B$2:$B$9)</f>
        <v>Summit Health Commercial</v>
      </c>
      <c r="W2397" s="1" t="str">
        <f t="shared" si="151"/>
        <v>2026-07</v>
      </c>
    </row>
    <row r="2398" spans="1:23">
      <c r="A2398" s="1" t="s">
        <v>4182</v>
      </c>
      <c r="B2398" s="1" t="s">
        <v>2567</v>
      </c>
      <c r="C2398" s="1" t="s">
        <v>76</v>
      </c>
      <c r="D2398" s="1" t="s">
        <v>26</v>
      </c>
      <c r="E2398" s="1" t="s">
        <v>57</v>
      </c>
      <c r="F2398">
        <v>1</v>
      </c>
      <c r="G2398" s="2">
        <v>46262</v>
      </c>
      <c r="H2398" s="2">
        <v>46267</v>
      </c>
      <c r="I2398">
        <v>215.88</v>
      </c>
      <c r="J2398">
        <v>89.23</v>
      </c>
      <c r="K2398">
        <v>71.38</v>
      </c>
      <c r="L2398">
        <v>17.850000000000001</v>
      </c>
      <c r="M2398" s="1" t="s">
        <v>21</v>
      </c>
      <c r="N2398" s="1" t="s">
        <v>22</v>
      </c>
      <c r="O2398" s="2">
        <v>46292</v>
      </c>
      <c r="P2398" s="2">
        <v>46292</v>
      </c>
      <c r="Q2398">
        <f>_xlfn.XLOOKUP(E2398,CPT!$A$2:$A$13,CPT!$D$2:$D$13)</f>
        <v>210</v>
      </c>
      <c r="R2398" s="1">
        <f>_xlfn.XLOOKUP(C2398,Contract!$A$2:$A$9,Contract!$B$2:$B$9)</f>
        <v>0.43</v>
      </c>
      <c r="S2398" s="1">
        <f t="shared" si="148"/>
        <v>90.3</v>
      </c>
      <c r="T2398" s="1">
        <f t="shared" si="149"/>
        <v>1.0699999999999932</v>
      </c>
      <c r="U2398" s="1" t="str">
        <f t="shared" si="150"/>
        <v>OK</v>
      </c>
      <c r="V2398" s="1" t="str">
        <f>_xlfn.XLOOKUP(C2398,Payers!$A$2:$A$9,Payers!$B$2:$B$9)</f>
        <v>Summit Health Commercial</v>
      </c>
      <c r="W2398" s="1" t="str">
        <f t="shared" si="151"/>
        <v>2026-08</v>
      </c>
    </row>
    <row r="2399" spans="1:23">
      <c r="A2399" s="1" t="s">
        <v>4183</v>
      </c>
      <c r="B2399" s="1" t="s">
        <v>3708</v>
      </c>
      <c r="C2399" s="1" t="s">
        <v>60</v>
      </c>
      <c r="D2399" s="1" t="s">
        <v>19</v>
      </c>
      <c r="E2399" s="1" t="s">
        <v>88</v>
      </c>
      <c r="F2399">
        <v>1</v>
      </c>
      <c r="G2399" s="2">
        <v>46005</v>
      </c>
      <c r="H2399" s="2">
        <v>46019</v>
      </c>
      <c r="I2399">
        <v>260.57</v>
      </c>
      <c r="J2399">
        <v>99.66</v>
      </c>
      <c r="K2399">
        <v>89.69</v>
      </c>
      <c r="L2399">
        <v>9.9700000000000006</v>
      </c>
      <c r="M2399" s="1" t="s">
        <v>21</v>
      </c>
      <c r="N2399" s="1" t="s">
        <v>22</v>
      </c>
      <c r="O2399" s="2">
        <v>46057</v>
      </c>
      <c r="P2399" s="2">
        <v>46057</v>
      </c>
      <c r="Q2399">
        <f>_xlfn.XLOOKUP(E2399,CPT!$A$2:$A$13,CPT!$D$2:$D$13)</f>
        <v>260</v>
      </c>
      <c r="R2399" s="1">
        <f>_xlfn.XLOOKUP(C2399,Contract!$A$2:$A$9,Contract!$B$2:$B$9)</f>
        <v>0.45</v>
      </c>
      <c r="S2399" s="1">
        <f t="shared" si="148"/>
        <v>117</v>
      </c>
      <c r="T2399" s="1">
        <f t="shared" si="149"/>
        <v>17.340000000000003</v>
      </c>
      <c r="U2399" s="1" t="str">
        <f t="shared" si="150"/>
        <v>Underpaid</v>
      </c>
      <c r="V2399" s="1" t="str">
        <f>_xlfn.XLOOKUP(C2399,Payers!$A$2:$A$9,Payers!$B$2:$B$9)</f>
        <v>Blue Horizon Commercial</v>
      </c>
      <c r="W2399" s="1" t="str">
        <f t="shared" si="151"/>
        <v>2025-12</v>
      </c>
    </row>
    <row r="2400" spans="1:23">
      <c r="A2400" s="1" t="s">
        <v>4184</v>
      </c>
      <c r="B2400" s="1" t="s">
        <v>4185</v>
      </c>
      <c r="C2400" s="1" t="s">
        <v>36</v>
      </c>
      <c r="D2400" s="1" t="s">
        <v>37</v>
      </c>
      <c r="E2400" s="1" t="s">
        <v>48</v>
      </c>
      <c r="F2400">
        <v>1</v>
      </c>
      <c r="G2400" s="2">
        <v>46116</v>
      </c>
      <c r="H2400" s="2">
        <v>46117</v>
      </c>
      <c r="I2400">
        <v>430.78</v>
      </c>
      <c r="J2400">
        <v>99.82</v>
      </c>
      <c r="K2400">
        <v>89.84</v>
      </c>
      <c r="L2400">
        <v>9.98</v>
      </c>
      <c r="M2400" s="1" t="s">
        <v>21</v>
      </c>
      <c r="N2400" s="1" t="s">
        <v>22</v>
      </c>
      <c r="O2400" s="2">
        <v>46163</v>
      </c>
      <c r="P2400" s="2">
        <v>46163</v>
      </c>
      <c r="Q2400">
        <f>_xlfn.XLOOKUP(E2400,CPT!$A$2:$A$13,CPT!$D$2:$D$13)</f>
        <v>420</v>
      </c>
      <c r="R2400" s="1">
        <f>_xlfn.XLOOKUP(C2400,Contract!$A$2:$A$9,Contract!$B$2:$B$9)</f>
        <v>0.27</v>
      </c>
      <c r="S2400" s="1">
        <f t="shared" si="148"/>
        <v>113.4</v>
      </c>
      <c r="T2400" s="1">
        <f t="shared" si="149"/>
        <v>13.580000000000013</v>
      </c>
      <c r="U2400" s="1" t="str">
        <f t="shared" si="150"/>
        <v>Underpaid</v>
      </c>
      <c r="V2400" s="1" t="str">
        <f>_xlfn.XLOOKUP(C2400,Payers!$A$2:$A$9,Payers!$B$2:$B$9)</f>
        <v>Florida Medicaid</v>
      </c>
      <c r="W2400" s="1" t="str">
        <f t="shared" si="151"/>
        <v>2026-04</v>
      </c>
    </row>
    <row r="2401" spans="1:23">
      <c r="A2401" s="1" t="s">
        <v>4186</v>
      </c>
      <c r="B2401" s="1" t="s">
        <v>1341</v>
      </c>
      <c r="C2401" s="1" t="s">
        <v>76</v>
      </c>
      <c r="D2401" s="1" t="s">
        <v>37</v>
      </c>
      <c r="E2401" s="1" t="s">
        <v>38</v>
      </c>
      <c r="F2401">
        <v>10</v>
      </c>
      <c r="G2401" s="2">
        <v>46053</v>
      </c>
      <c r="H2401" s="2">
        <v>46058</v>
      </c>
      <c r="I2401">
        <v>14710.25</v>
      </c>
      <c r="J2401">
        <v>5901.16</v>
      </c>
      <c r="K2401">
        <v>5901.16</v>
      </c>
      <c r="L2401">
        <v>0</v>
      </c>
      <c r="M2401" s="1" t="s">
        <v>21</v>
      </c>
      <c r="N2401" s="1" t="s">
        <v>22</v>
      </c>
      <c r="O2401" s="2">
        <v>46069</v>
      </c>
      <c r="P2401" s="2">
        <v>46069</v>
      </c>
      <c r="Q2401">
        <f>_xlfn.XLOOKUP(E2401,CPT!$A$2:$A$13,CPT!$D$2:$D$13)</f>
        <v>1450</v>
      </c>
      <c r="R2401" s="1">
        <f>_xlfn.XLOOKUP(C2401,Contract!$A$2:$A$9,Contract!$B$2:$B$9)</f>
        <v>0.43</v>
      </c>
      <c r="S2401" s="1">
        <f t="shared" si="148"/>
        <v>6235</v>
      </c>
      <c r="T2401" s="1">
        <f t="shared" si="149"/>
        <v>333.84000000000015</v>
      </c>
      <c r="U2401" s="1" t="str">
        <f t="shared" si="150"/>
        <v>Underpaid</v>
      </c>
      <c r="V2401" s="1" t="str">
        <f>_xlfn.XLOOKUP(C2401,Payers!$A$2:$A$9,Payers!$B$2:$B$9)</f>
        <v>Summit Health Commercial</v>
      </c>
      <c r="W2401" s="1" t="str">
        <f t="shared" si="151"/>
        <v>2026-01</v>
      </c>
    </row>
    <row r="2402" spans="1:23">
      <c r="A2402" s="1" t="s">
        <v>4187</v>
      </c>
      <c r="B2402" s="1" t="s">
        <v>4188</v>
      </c>
      <c r="C2402" s="1" t="s">
        <v>76</v>
      </c>
      <c r="D2402" s="1" t="s">
        <v>26</v>
      </c>
      <c r="E2402" s="1" t="s">
        <v>88</v>
      </c>
      <c r="F2402">
        <v>1</v>
      </c>
      <c r="G2402" s="2">
        <v>46234</v>
      </c>
      <c r="H2402" s="2">
        <v>46237</v>
      </c>
      <c r="I2402">
        <v>267.75</v>
      </c>
      <c r="J2402">
        <v>105.72</v>
      </c>
      <c r="K2402">
        <v>84.58</v>
      </c>
      <c r="L2402">
        <v>21.14</v>
      </c>
      <c r="M2402" s="1" t="s">
        <v>21</v>
      </c>
      <c r="N2402" s="1" t="s">
        <v>22</v>
      </c>
      <c r="O2402" s="2">
        <v>46283</v>
      </c>
      <c r="P2402" s="2">
        <v>46283</v>
      </c>
      <c r="Q2402">
        <f>_xlfn.XLOOKUP(E2402,CPT!$A$2:$A$13,CPT!$D$2:$D$13)</f>
        <v>260</v>
      </c>
      <c r="R2402" s="1">
        <f>_xlfn.XLOOKUP(C2402,Contract!$A$2:$A$9,Contract!$B$2:$B$9)</f>
        <v>0.43</v>
      </c>
      <c r="S2402" s="1">
        <f t="shared" si="148"/>
        <v>111.8</v>
      </c>
      <c r="T2402" s="1">
        <f t="shared" si="149"/>
        <v>6.0799999999999983</v>
      </c>
      <c r="U2402" s="1" t="str">
        <f t="shared" si="150"/>
        <v>Underpaid</v>
      </c>
      <c r="V2402" s="1" t="str">
        <f>_xlfn.XLOOKUP(C2402,Payers!$A$2:$A$9,Payers!$B$2:$B$9)</f>
        <v>Summit Health Commercial</v>
      </c>
      <c r="W2402" s="1" t="str">
        <f t="shared" si="151"/>
        <v>2026-07</v>
      </c>
    </row>
    <row r="2403" spans="1:23">
      <c r="A2403" s="1" t="s">
        <v>4189</v>
      </c>
      <c r="B2403" s="1" t="s">
        <v>4190</v>
      </c>
      <c r="C2403" s="1" t="s">
        <v>76</v>
      </c>
      <c r="D2403" s="1" t="s">
        <v>30</v>
      </c>
      <c r="E2403" s="1" t="s">
        <v>20</v>
      </c>
      <c r="F2403">
        <v>1</v>
      </c>
      <c r="G2403" s="2">
        <v>46079</v>
      </c>
      <c r="H2403" s="2">
        <v>46081</v>
      </c>
      <c r="I2403">
        <v>141.72999999999999</v>
      </c>
      <c r="J2403">
        <v>51.95</v>
      </c>
      <c r="K2403">
        <v>51.95</v>
      </c>
      <c r="L2403">
        <v>0</v>
      </c>
      <c r="M2403" s="1" t="s">
        <v>21</v>
      </c>
      <c r="N2403" s="1" t="s">
        <v>22</v>
      </c>
      <c r="O2403" s="2">
        <v>46111</v>
      </c>
      <c r="P2403" s="2">
        <v>46111</v>
      </c>
      <c r="Q2403">
        <f>_xlfn.XLOOKUP(E2403,CPT!$A$2:$A$13,CPT!$D$2:$D$13)</f>
        <v>145</v>
      </c>
      <c r="R2403" s="1">
        <f>_xlfn.XLOOKUP(C2403,Contract!$A$2:$A$9,Contract!$B$2:$B$9)</f>
        <v>0.43</v>
      </c>
      <c r="S2403" s="1">
        <f t="shared" si="148"/>
        <v>62.35</v>
      </c>
      <c r="T2403" s="1">
        <f t="shared" si="149"/>
        <v>10.399999999999999</v>
      </c>
      <c r="U2403" s="1" t="str">
        <f t="shared" si="150"/>
        <v>Underpaid</v>
      </c>
      <c r="V2403" s="1" t="str">
        <f>_xlfn.XLOOKUP(C2403,Payers!$A$2:$A$9,Payers!$B$2:$B$9)</f>
        <v>Summit Health Commercial</v>
      </c>
      <c r="W2403" s="1" t="str">
        <f t="shared" si="151"/>
        <v>2026-02</v>
      </c>
    </row>
    <row r="2404" spans="1:23">
      <c r="A2404" s="1" t="s">
        <v>4191</v>
      </c>
      <c r="B2404" s="1" t="s">
        <v>3455</v>
      </c>
      <c r="C2404" s="1" t="s">
        <v>18</v>
      </c>
      <c r="D2404" s="1" t="s">
        <v>30</v>
      </c>
      <c r="E2404" s="1" t="s">
        <v>91</v>
      </c>
      <c r="F2404">
        <v>1</v>
      </c>
      <c r="G2404" s="2">
        <v>46137</v>
      </c>
      <c r="H2404" s="2">
        <v>46138</v>
      </c>
      <c r="I2404">
        <v>56.69</v>
      </c>
      <c r="J2404">
        <v>18.440000000000001</v>
      </c>
      <c r="K2404">
        <v>18.440000000000001</v>
      </c>
      <c r="L2404">
        <v>0</v>
      </c>
      <c r="M2404" s="1" t="s">
        <v>21</v>
      </c>
      <c r="N2404" s="1" t="s">
        <v>22</v>
      </c>
      <c r="O2404" s="2">
        <v>46169</v>
      </c>
      <c r="P2404" s="2">
        <v>46169</v>
      </c>
      <c r="Q2404">
        <f>_xlfn.XLOOKUP(E2404,CPT!$A$2:$A$13,CPT!$D$2:$D$13)</f>
        <v>58</v>
      </c>
      <c r="R2404" s="1">
        <f>_xlfn.XLOOKUP(C2404,Contract!$A$2:$A$9,Contract!$B$2:$B$9)</f>
        <v>0.38</v>
      </c>
      <c r="S2404" s="1">
        <f t="shared" si="148"/>
        <v>22.04</v>
      </c>
      <c r="T2404" s="1">
        <f t="shared" si="149"/>
        <v>3.5999999999999979</v>
      </c>
      <c r="U2404" s="1" t="str">
        <f t="shared" si="150"/>
        <v>Underpaid</v>
      </c>
      <c r="V2404" s="1" t="str">
        <f>_xlfn.XLOOKUP(C2404,Payers!$A$2:$A$9,Payers!$B$2:$B$9)</f>
        <v>Sunshine Medicare Advantage</v>
      </c>
      <c r="W2404" s="1" t="str">
        <f t="shared" si="151"/>
        <v>2026-04</v>
      </c>
    </row>
    <row r="2405" spans="1:23">
      <c r="A2405" s="1" t="s">
        <v>4192</v>
      </c>
      <c r="B2405" s="1" t="s">
        <v>4193</v>
      </c>
      <c r="C2405" s="1" t="s">
        <v>52</v>
      </c>
      <c r="D2405" s="1" t="s">
        <v>30</v>
      </c>
      <c r="E2405" s="1" t="s">
        <v>31</v>
      </c>
      <c r="F2405">
        <v>2</v>
      </c>
      <c r="G2405" s="2">
        <v>45949</v>
      </c>
      <c r="H2405" s="2">
        <v>45956</v>
      </c>
      <c r="I2405">
        <v>123.7</v>
      </c>
      <c r="M2405" s="1" t="s">
        <v>32</v>
      </c>
      <c r="N2405" s="1" t="s">
        <v>98</v>
      </c>
      <c r="O2405" s="2">
        <v>46005</v>
      </c>
      <c r="P2405" s="2"/>
      <c r="Q2405">
        <f>_xlfn.XLOOKUP(E2405,CPT!$A$2:$A$13,CPT!$D$2:$D$13)</f>
        <v>62</v>
      </c>
      <c r="R2405" s="1">
        <f>_xlfn.XLOOKUP(C2405,Contract!$A$2:$A$9,Contract!$B$2:$B$9)</f>
        <v>0.47</v>
      </c>
      <c r="S2405" s="1">
        <f t="shared" si="148"/>
        <v>58.28</v>
      </c>
      <c r="T2405" s="1" t="str">
        <f t="shared" si="149"/>
        <v/>
      </c>
      <c r="U2405" s="1" t="str">
        <f t="shared" si="150"/>
        <v/>
      </c>
      <c r="V2405" s="1" t="str">
        <f>_xlfn.XLOOKUP(C2405,Payers!$A$2:$A$9,Payers!$B$2:$B$9)</f>
        <v>Keystone Commercial PPO</v>
      </c>
      <c r="W2405" s="1" t="str">
        <f t="shared" si="151"/>
        <v>2025-10</v>
      </c>
    </row>
    <row r="2406" spans="1:23">
      <c r="A2406" s="1" t="s">
        <v>4194</v>
      </c>
      <c r="B2406" s="1" t="s">
        <v>2218</v>
      </c>
      <c r="C2406" s="1" t="s">
        <v>25</v>
      </c>
      <c r="D2406" s="1" t="s">
        <v>19</v>
      </c>
      <c r="E2406" s="1" t="s">
        <v>57</v>
      </c>
      <c r="F2406">
        <v>1</v>
      </c>
      <c r="G2406" s="2">
        <v>46230</v>
      </c>
      <c r="H2406" s="2">
        <v>46233</v>
      </c>
      <c r="I2406">
        <v>209.05</v>
      </c>
      <c r="J2406">
        <v>86.92</v>
      </c>
      <c r="K2406">
        <v>86.92</v>
      </c>
      <c r="L2406">
        <v>0</v>
      </c>
      <c r="M2406" s="1" t="s">
        <v>21</v>
      </c>
      <c r="N2406" s="1" t="s">
        <v>22</v>
      </c>
      <c r="O2406" s="2">
        <v>46252</v>
      </c>
      <c r="P2406" s="2">
        <v>46252</v>
      </c>
      <c r="Q2406">
        <f>_xlfn.XLOOKUP(E2406,CPT!$A$2:$A$13,CPT!$D$2:$D$13)</f>
        <v>210</v>
      </c>
      <c r="R2406" s="1">
        <f>_xlfn.XLOOKUP(C2406,Contract!$A$2:$A$9,Contract!$B$2:$B$9)</f>
        <v>0.36</v>
      </c>
      <c r="S2406" s="1">
        <f t="shared" si="148"/>
        <v>75.599999999999994</v>
      </c>
      <c r="T2406" s="1">
        <f t="shared" si="149"/>
        <v>-11.320000000000007</v>
      </c>
      <c r="U2406" s="1" t="str">
        <f t="shared" si="150"/>
        <v>OK</v>
      </c>
      <c r="V2406" s="1" t="str">
        <f>_xlfn.XLOOKUP(C2406,Payers!$A$2:$A$9,Payers!$B$2:$B$9)</f>
        <v>Medicare Part B</v>
      </c>
      <c r="W2406" s="1" t="str">
        <f t="shared" si="151"/>
        <v>2026-07</v>
      </c>
    </row>
    <row r="2407" spans="1:23">
      <c r="A2407" s="1" t="s">
        <v>4195</v>
      </c>
      <c r="B2407" s="1" t="s">
        <v>3573</v>
      </c>
      <c r="C2407" s="1" t="s">
        <v>18</v>
      </c>
      <c r="D2407" s="1" t="s">
        <v>30</v>
      </c>
      <c r="E2407" s="1" t="s">
        <v>91</v>
      </c>
      <c r="F2407">
        <v>2</v>
      </c>
      <c r="G2407" s="2">
        <v>46235</v>
      </c>
      <c r="H2407" s="2">
        <v>46236</v>
      </c>
      <c r="I2407">
        <v>112.84</v>
      </c>
      <c r="J2407">
        <v>39.33</v>
      </c>
      <c r="K2407">
        <v>39.33</v>
      </c>
      <c r="L2407">
        <v>0</v>
      </c>
      <c r="M2407" s="1" t="s">
        <v>21</v>
      </c>
      <c r="N2407" s="1" t="s">
        <v>22</v>
      </c>
      <c r="O2407" s="2">
        <v>46270</v>
      </c>
      <c r="P2407" s="2">
        <v>46270</v>
      </c>
      <c r="Q2407">
        <f>_xlfn.XLOOKUP(E2407,CPT!$A$2:$A$13,CPT!$D$2:$D$13)</f>
        <v>58</v>
      </c>
      <c r="R2407" s="1">
        <f>_xlfn.XLOOKUP(C2407,Contract!$A$2:$A$9,Contract!$B$2:$B$9)</f>
        <v>0.38</v>
      </c>
      <c r="S2407" s="1">
        <f t="shared" si="148"/>
        <v>44.08</v>
      </c>
      <c r="T2407" s="1">
        <f t="shared" si="149"/>
        <v>4.75</v>
      </c>
      <c r="U2407" s="1" t="str">
        <f t="shared" si="150"/>
        <v>Underpaid</v>
      </c>
      <c r="V2407" s="1" t="str">
        <f>_xlfn.XLOOKUP(C2407,Payers!$A$2:$A$9,Payers!$B$2:$B$9)</f>
        <v>Sunshine Medicare Advantage</v>
      </c>
      <c r="W2407" s="1" t="str">
        <f t="shared" si="151"/>
        <v>2026-08</v>
      </c>
    </row>
    <row r="2408" spans="1:23">
      <c r="A2408" s="1" t="s">
        <v>4196</v>
      </c>
      <c r="B2408" s="1" t="s">
        <v>3523</v>
      </c>
      <c r="C2408" s="1" t="s">
        <v>36</v>
      </c>
      <c r="D2408" s="1" t="s">
        <v>26</v>
      </c>
      <c r="E2408" s="1" t="s">
        <v>185</v>
      </c>
      <c r="F2408">
        <v>1</v>
      </c>
      <c r="G2408" s="2">
        <v>46030</v>
      </c>
      <c r="H2408" s="2">
        <v>46031</v>
      </c>
      <c r="I2408">
        <v>1157.73</v>
      </c>
      <c r="M2408" s="1" t="s">
        <v>32</v>
      </c>
      <c r="N2408" s="1" t="s">
        <v>33</v>
      </c>
      <c r="O2408" s="2">
        <v>46065</v>
      </c>
      <c r="P2408" s="2"/>
      <c r="Q2408">
        <f>_xlfn.XLOOKUP(E2408,CPT!$A$2:$A$13,CPT!$D$2:$D$13)</f>
        <v>1150</v>
      </c>
      <c r="R2408" s="1">
        <f>_xlfn.XLOOKUP(C2408,Contract!$A$2:$A$9,Contract!$B$2:$B$9)</f>
        <v>0.27</v>
      </c>
      <c r="S2408" s="1">
        <f t="shared" si="148"/>
        <v>310.5</v>
      </c>
      <c r="T2408" s="1" t="str">
        <f t="shared" si="149"/>
        <v/>
      </c>
      <c r="U2408" s="1" t="str">
        <f t="shared" si="150"/>
        <v/>
      </c>
      <c r="V2408" s="1" t="str">
        <f>_xlfn.XLOOKUP(C2408,Payers!$A$2:$A$9,Payers!$B$2:$B$9)</f>
        <v>Florida Medicaid</v>
      </c>
      <c r="W2408" s="1" t="str">
        <f t="shared" si="151"/>
        <v>2026-01</v>
      </c>
    </row>
    <row r="2409" spans="1:23">
      <c r="A2409" s="1" t="s">
        <v>4197</v>
      </c>
      <c r="B2409" s="1" t="s">
        <v>3095</v>
      </c>
      <c r="C2409" s="1" t="s">
        <v>36</v>
      </c>
      <c r="D2409" s="1" t="s">
        <v>26</v>
      </c>
      <c r="E2409" s="1" t="s">
        <v>113</v>
      </c>
      <c r="F2409">
        <v>1</v>
      </c>
      <c r="G2409" s="2">
        <v>46046</v>
      </c>
      <c r="H2409" s="2">
        <v>46051</v>
      </c>
      <c r="I2409">
        <v>1038.26</v>
      </c>
      <c r="J2409">
        <v>272.83</v>
      </c>
      <c r="K2409">
        <v>272.83</v>
      </c>
      <c r="L2409">
        <v>0</v>
      </c>
      <c r="M2409" s="1" t="s">
        <v>21</v>
      </c>
      <c r="N2409" s="1" t="s">
        <v>22</v>
      </c>
      <c r="O2409" s="2">
        <v>46103</v>
      </c>
      <c r="P2409" s="2">
        <v>46103</v>
      </c>
      <c r="Q2409">
        <f>_xlfn.XLOOKUP(E2409,CPT!$A$2:$A$13,CPT!$D$2:$D$13)</f>
        <v>1050</v>
      </c>
      <c r="R2409" s="1">
        <f>_xlfn.XLOOKUP(C2409,Contract!$A$2:$A$9,Contract!$B$2:$B$9)</f>
        <v>0.27</v>
      </c>
      <c r="S2409" s="1">
        <f t="shared" si="148"/>
        <v>283.5</v>
      </c>
      <c r="T2409" s="1">
        <f t="shared" si="149"/>
        <v>10.670000000000016</v>
      </c>
      <c r="U2409" s="1" t="str">
        <f t="shared" si="150"/>
        <v>OK</v>
      </c>
      <c r="V2409" s="1" t="str">
        <f>_xlfn.XLOOKUP(C2409,Payers!$A$2:$A$9,Payers!$B$2:$B$9)</f>
        <v>Florida Medicaid</v>
      </c>
      <c r="W2409" s="1" t="str">
        <f t="shared" si="151"/>
        <v>2026-01</v>
      </c>
    </row>
    <row r="2410" spans="1:23">
      <c r="A2410" s="1" t="s">
        <v>4198</v>
      </c>
      <c r="B2410" s="1" t="s">
        <v>4199</v>
      </c>
      <c r="C2410" s="1" t="s">
        <v>60</v>
      </c>
      <c r="D2410" s="1" t="s">
        <v>26</v>
      </c>
      <c r="E2410" s="1" t="s">
        <v>88</v>
      </c>
      <c r="F2410">
        <v>1</v>
      </c>
      <c r="G2410" s="2">
        <v>46272</v>
      </c>
      <c r="H2410" s="2">
        <v>46273</v>
      </c>
      <c r="I2410">
        <v>252.37</v>
      </c>
      <c r="M2410" s="1" t="s">
        <v>69</v>
      </c>
      <c r="N2410" s="1" t="s">
        <v>22</v>
      </c>
      <c r="O2410" s="2"/>
      <c r="P2410" s="2"/>
      <c r="Q2410">
        <f>_xlfn.XLOOKUP(E2410,CPT!$A$2:$A$13,CPT!$D$2:$D$13)</f>
        <v>260</v>
      </c>
      <c r="R2410" s="1">
        <f>_xlfn.XLOOKUP(C2410,Contract!$A$2:$A$9,Contract!$B$2:$B$9)</f>
        <v>0.45</v>
      </c>
      <c r="S2410" s="1">
        <f t="shared" si="148"/>
        <v>117</v>
      </c>
      <c r="T2410" s="1" t="str">
        <f t="shared" si="149"/>
        <v/>
      </c>
      <c r="U2410" s="1" t="str">
        <f t="shared" si="150"/>
        <v/>
      </c>
      <c r="V2410" s="1" t="str">
        <f>_xlfn.XLOOKUP(C2410,Payers!$A$2:$A$9,Payers!$B$2:$B$9)</f>
        <v>Blue Horizon Commercial</v>
      </c>
      <c r="W2410" s="1" t="str">
        <f t="shared" si="151"/>
        <v>2026-09</v>
      </c>
    </row>
    <row r="2411" spans="1:23">
      <c r="A2411" s="1" t="s">
        <v>4200</v>
      </c>
      <c r="B2411" s="1" t="s">
        <v>4201</v>
      </c>
      <c r="C2411" s="1" t="s">
        <v>36</v>
      </c>
      <c r="D2411" s="1" t="s">
        <v>30</v>
      </c>
      <c r="E2411" s="1" t="s">
        <v>20</v>
      </c>
      <c r="F2411">
        <v>1</v>
      </c>
      <c r="G2411" s="2">
        <v>46130</v>
      </c>
      <c r="H2411" s="2">
        <v>46133</v>
      </c>
      <c r="I2411">
        <v>147.82</v>
      </c>
      <c r="J2411">
        <v>45.48</v>
      </c>
      <c r="K2411">
        <v>36.380000000000003</v>
      </c>
      <c r="L2411">
        <v>9.1</v>
      </c>
      <c r="M2411" s="1" t="s">
        <v>21</v>
      </c>
      <c r="N2411" s="1" t="s">
        <v>22</v>
      </c>
      <c r="O2411" s="2">
        <v>46153</v>
      </c>
      <c r="P2411" s="2">
        <v>46153</v>
      </c>
      <c r="Q2411">
        <f>_xlfn.XLOOKUP(E2411,CPT!$A$2:$A$13,CPT!$D$2:$D$13)</f>
        <v>145</v>
      </c>
      <c r="R2411" s="1">
        <f>_xlfn.XLOOKUP(C2411,Contract!$A$2:$A$9,Contract!$B$2:$B$9)</f>
        <v>0.27</v>
      </c>
      <c r="S2411" s="1">
        <f t="shared" si="148"/>
        <v>39.15</v>
      </c>
      <c r="T2411" s="1">
        <f t="shared" si="149"/>
        <v>-6.3299999999999983</v>
      </c>
      <c r="U2411" s="1" t="str">
        <f t="shared" si="150"/>
        <v>OK</v>
      </c>
      <c r="V2411" s="1" t="str">
        <f>_xlfn.XLOOKUP(C2411,Payers!$A$2:$A$9,Payers!$B$2:$B$9)</f>
        <v>Florida Medicaid</v>
      </c>
      <c r="W2411" s="1" t="str">
        <f t="shared" si="151"/>
        <v>2026-04</v>
      </c>
    </row>
    <row r="2412" spans="1:23">
      <c r="A2412" s="1" t="s">
        <v>4202</v>
      </c>
      <c r="B2412" s="1" t="s">
        <v>1832</v>
      </c>
      <c r="C2412" s="1" t="s">
        <v>36</v>
      </c>
      <c r="D2412" s="1" t="s">
        <v>30</v>
      </c>
      <c r="E2412" s="1" t="s">
        <v>91</v>
      </c>
      <c r="F2412">
        <v>4</v>
      </c>
      <c r="G2412" s="2">
        <v>46066</v>
      </c>
      <c r="H2412" s="2">
        <v>46067</v>
      </c>
      <c r="I2412">
        <v>235.88</v>
      </c>
      <c r="J2412">
        <v>64.150000000000006</v>
      </c>
      <c r="K2412">
        <v>64.150000000000006</v>
      </c>
      <c r="L2412">
        <v>0</v>
      </c>
      <c r="M2412" s="1" t="s">
        <v>21</v>
      </c>
      <c r="N2412" s="1" t="s">
        <v>22</v>
      </c>
      <c r="O2412" s="2">
        <v>46092</v>
      </c>
      <c r="P2412" s="2">
        <v>46092</v>
      </c>
      <c r="Q2412">
        <f>_xlfn.XLOOKUP(E2412,CPT!$A$2:$A$13,CPT!$D$2:$D$13)</f>
        <v>58</v>
      </c>
      <c r="R2412" s="1">
        <f>_xlfn.XLOOKUP(C2412,Contract!$A$2:$A$9,Contract!$B$2:$B$9)</f>
        <v>0.27</v>
      </c>
      <c r="S2412" s="1">
        <f t="shared" si="148"/>
        <v>62.64</v>
      </c>
      <c r="T2412" s="1">
        <f t="shared" si="149"/>
        <v>-1.5100000000000051</v>
      </c>
      <c r="U2412" s="1" t="str">
        <f t="shared" si="150"/>
        <v>OK</v>
      </c>
      <c r="V2412" s="1" t="str">
        <f>_xlfn.XLOOKUP(C2412,Payers!$A$2:$A$9,Payers!$B$2:$B$9)</f>
        <v>Florida Medicaid</v>
      </c>
      <c r="W2412" s="1" t="str">
        <f t="shared" si="151"/>
        <v>2026-02</v>
      </c>
    </row>
    <row r="2413" spans="1:23">
      <c r="A2413" s="1" t="s">
        <v>4203</v>
      </c>
      <c r="B2413" s="1" t="s">
        <v>4204</v>
      </c>
      <c r="C2413" s="1" t="s">
        <v>79</v>
      </c>
      <c r="D2413" s="1" t="s">
        <v>26</v>
      </c>
      <c r="E2413" s="1" t="s">
        <v>57</v>
      </c>
      <c r="F2413">
        <v>1</v>
      </c>
      <c r="G2413" s="2">
        <v>46016</v>
      </c>
      <c r="H2413" s="2">
        <v>46020</v>
      </c>
      <c r="I2413">
        <v>204.65</v>
      </c>
      <c r="J2413">
        <v>204.65</v>
      </c>
      <c r="K2413">
        <v>204.65</v>
      </c>
      <c r="L2413">
        <v>0</v>
      </c>
      <c r="M2413" s="1" t="s">
        <v>21</v>
      </c>
      <c r="N2413" s="1" t="s">
        <v>22</v>
      </c>
      <c r="O2413" s="2">
        <v>46107</v>
      </c>
      <c r="P2413" s="2">
        <v>46107</v>
      </c>
      <c r="Q2413">
        <f>_xlfn.XLOOKUP(E2413,CPT!$A$2:$A$13,CPT!$D$2:$D$13)</f>
        <v>210</v>
      </c>
      <c r="R2413" s="1">
        <f>_xlfn.XLOOKUP(C2413,Contract!$A$2:$A$9,Contract!$B$2:$B$9)</f>
        <v>1</v>
      </c>
      <c r="S2413" s="1">
        <f t="shared" si="148"/>
        <v>210</v>
      </c>
      <c r="T2413" s="1">
        <f t="shared" si="149"/>
        <v>5.3499999999999943</v>
      </c>
      <c r="U2413" s="1" t="str">
        <f t="shared" si="150"/>
        <v>OK</v>
      </c>
      <c r="V2413" s="1" t="str">
        <f>_xlfn.XLOOKUP(C2413,Payers!$A$2:$A$9,Payers!$B$2:$B$9)</f>
        <v>Self-Pay</v>
      </c>
      <c r="W2413" s="1" t="str">
        <f t="shared" si="151"/>
        <v>2025-12</v>
      </c>
    </row>
    <row r="2414" spans="1:23">
      <c r="A2414" s="1" t="s">
        <v>4205</v>
      </c>
      <c r="B2414" s="1" t="s">
        <v>4206</v>
      </c>
      <c r="C2414" s="1" t="s">
        <v>25</v>
      </c>
      <c r="D2414" s="1" t="s">
        <v>19</v>
      </c>
      <c r="E2414" s="1" t="s">
        <v>20</v>
      </c>
      <c r="F2414">
        <v>1</v>
      </c>
      <c r="G2414" s="2">
        <v>46259</v>
      </c>
      <c r="H2414" s="2">
        <v>46266</v>
      </c>
      <c r="I2414">
        <v>145.41</v>
      </c>
      <c r="J2414">
        <v>49.63</v>
      </c>
      <c r="K2414">
        <v>44.67</v>
      </c>
      <c r="L2414">
        <v>4.96</v>
      </c>
      <c r="M2414" s="1" t="s">
        <v>21</v>
      </c>
      <c r="N2414" s="1" t="s">
        <v>22</v>
      </c>
      <c r="O2414" s="2">
        <v>46280</v>
      </c>
      <c r="P2414" s="2">
        <v>46280</v>
      </c>
      <c r="Q2414">
        <f>_xlfn.XLOOKUP(E2414,CPT!$A$2:$A$13,CPT!$D$2:$D$13)</f>
        <v>145</v>
      </c>
      <c r="R2414" s="1">
        <f>_xlfn.XLOOKUP(C2414,Contract!$A$2:$A$9,Contract!$B$2:$B$9)</f>
        <v>0.36</v>
      </c>
      <c r="S2414" s="1">
        <f t="shared" si="148"/>
        <v>52.2</v>
      </c>
      <c r="T2414" s="1">
        <f t="shared" si="149"/>
        <v>2.5700000000000003</v>
      </c>
      <c r="U2414" s="1" t="str">
        <f t="shared" si="150"/>
        <v>OK</v>
      </c>
      <c r="V2414" s="1" t="str">
        <f>_xlfn.XLOOKUP(C2414,Payers!$A$2:$A$9,Payers!$B$2:$B$9)</f>
        <v>Medicare Part B</v>
      </c>
      <c r="W2414" s="1" t="str">
        <f t="shared" si="151"/>
        <v>2026-08</v>
      </c>
    </row>
    <row r="2415" spans="1:23">
      <c r="A2415" s="1" t="s">
        <v>4207</v>
      </c>
      <c r="B2415" s="1" t="s">
        <v>4208</v>
      </c>
      <c r="C2415" s="1" t="s">
        <v>25</v>
      </c>
      <c r="D2415" s="1" t="s">
        <v>30</v>
      </c>
      <c r="E2415" s="1" t="s">
        <v>20</v>
      </c>
      <c r="F2415">
        <v>1</v>
      </c>
      <c r="G2415" s="2">
        <v>46124</v>
      </c>
      <c r="H2415" s="2">
        <v>46129</v>
      </c>
      <c r="I2415">
        <v>148.61000000000001</v>
      </c>
      <c r="J2415">
        <v>50.45</v>
      </c>
      <c r="K2415">
        <v>45.4</v>
      </c>
      <c r="L2415">
        <v>5.05</v>
      </c>
      <c r="M2415" s="1" t="s">
        <v>21</v>
      </c>
      <c r="N2415" s="1" t="s">
        <v>22</v>
      </c>
      <c r="O2415" s="2">
        <v>46143</v>
      </c>
      <c r="P2415" s="2">
        <v>46143</v>
      </c>
      <c r="Q2415">
        <f>_xlfn.XLOOKUP(E2415,CPT!$A$2:$A$13,CPT!$D$2:$D$13)</f>
        <v>145</v>
      </c>
      <c r="R2415" s="1">
        <f>_xlfn.XLOOKUP(C2415,Contract!$A$2:$A$9,Contract!$B$2:$B$9)</f>
        <v>0.36</v>
      </c>
      <c r="S2415" s="1">
        <f t="shared" si="148"/>
        <v>52.2</v>
      </c>
      <c r="T2415" s="1">
        <f t="shared" si="149"/>
        <v>1.75</v>
      </c>
      <c r="U2415" s="1" t="str">
        <f t="shared" si="150"/>
        <v>OK</v>
      </c>
      <c r="V2415" s="1" t="str">
        <f>_xlfn.XLOOKUP(C2415,Payers!$A$2:$A$9,Payers!$B$2:$B$9)</f>
        <v>Medicare Part B</v>
      </c>
      <c r="W2415" s="1" t="str">
        <f t="shared" si="151"/>
        <v>2026-04</v>
      </c>
    </row>
    <row r="2416" spans="1:23">
      <c r="A2416" s="1" t="s">
        <v>4209</v>
      </c>
      <c r="B2416" s="1" t="s">
        <v>1640</v>
      </c>
      <c r="C2416" s="1" t="s">
        <v>36</v>
      </c>
      <c r="D2416" s="1" t="s">
        <v>26</v>
      </c>
      <c r="E2416" s="1" t="s">
        <v>88</v>
      </c>
      <c r="F2416">
        <v>1</v>
      </c>
      <c r="G2416" s="2">
        <v>46283</v>
      </c>
      <c r="H2416" s="2">
        <v>46291</v>
      </c>
      <c r="I2416">
        <v>260.5</v>
      </c>
      <c r="M2416" s="1" t="s">
        <v>69</v>
      </c>
      <c r="N2416" s="1" t="s">
        <v>22</v>
      </c>
      <c r="O2416" s="2"/>
      <c r="P2416" s="2"/>
      <c r="Q2416">
        <f>_xlfn.XLOOKUP(E2416,CPT!$A$2:$A$13,CPT!$D$2:$D$13)</f>
        <v>260</v>
      </c>
      <c r="R2416" s="1">
        <f>_xlfn.XLOOKUP(C2416,Contract!$A$2:$A$9,Contract!$B$2:$B$9)</f>
        <v>0.27</v>
      </c>
      <c r="S2416" s="1">
        <f t="shared" si="148"/>
        <v>70.2</v>
      </c>
      <c r="T2416" s="1" t="str">
        <f t="shared" si="149"/>
        <v/>
      </c>
      <c r="U2416" s="1" t="str">
        <f t="shared" si="150"/>
        <v/>
      </c>
      <c r="V2416" s="1" t="str">
        <f>_xlfn.XLOOKUP(C2416,Payers!$A$2:$A$9,Payers!$B$2:$B$9)</f>
        <v>Florida Medicaid</v>
      </c>
      <c r="W2416" s="1" t="str">
        <f t="shared" si="151"/>
        <v>2026-09</v>
      </c>
    </row>
    <row r="2417" spans="1:23">
      <c r="A2417" s="1" t="s">
        <v>4210</v>
      </c>
      <c r="B2417" s="1" t="s">
        <v>4211</v>
      </c>
      <c r="C2417" s="1" t="s">
        <v>18</v>
      </c>
      <c r="D2417" s="1" t="s">
        <v>19</v>
      </c>
      <c r="E2417" s="1" t="s">
        <v>20</v>
      </c>
      <c r="F2417">
        <v>1</v>
      </c>
      <c r="G2417" s="2">
        <v>46004</v>
      </c>
      <c r="H2417" s="2">
        <v>46008</v>
      </c>
      <c r="I2417">
        <v>141.15</v>
      </c>
      <c r="J2417">
        <v>54.66</v>
      </c>
      <c r="K2417">
        <v>54.66</v>
      </c>
      <c r="L2417">
        <v>0</v>
      </c>
      <c r="M2417" s="1" t="s">
        <v>21</v>
      </c>
      <c r="N2417" s="1" t="s">
        <v>22</v>
      </c>
      <c r="O2417" s="2">
        <v>46094</v>
      </c>
      <c r="P2417" s="2">
        <v>46094</v>
      </c>
      <c r="Q2417">
        <f>_xlfn.XLOOKUP(E2417,CPT!$A$2:$A$13,CPT!$D$2:$D$13)</f>
        <v>145</v>
      </c>
      <c r="R2417" s="1">
        <f>_xlfn.XLOOKUP(C2417,Contract!$A$2:$A$9,Contract!$B$2:$B$9)</f>
        <v>0.38</v>
      </c>
      <c r="S2417" s="1">
        <f t="shared" si="148"/>
        <v>55.1</v>
      </c>
      <c r="T2417" s="1">
        <f t="shared" si="149"/>
        <v>0.44000000000000483</v>
      </c>
      <c r="U2417" s="1" t="str">
        <f t="shared" si="150"/>
        <v>OK</v>
      </c>
      <c r="V2417" s="1" t="str">
        <f>_xlfn.XLOOKUP(C2417,Payers!$A$2:$A$9,Payers!$B$2:$B$9)</f>
        <v>Sunshine Medicare Advantage</v>
      </c>
      <c r="W2417" s="1" t="str">
        <f t="shared" si="151"/>
        <v>2025-12</v>
      </c>
    </row>
    <row r="2418" spans="1:23">
      <c r="A2418" s="1" t="s">
        <v>4212</v>
      </c>
      <c r="B2418" s="1" t="s">
        <v>1316</v>
      </c>
      <c r="C2418" s="1" t="s">
        <v>52</v>
      </c>
      <c r="D2418" s="1" t="s">
        <v>30</v>
      </c>
      <c r="E2418" s="1" t="s">
        <v>20</v>
      </c>
      <c r="F2418">
        <v>1</v>
      </c>
      <c r="G2418" s="2">
        <v>46085</v>
      </c>
      <c r="H2418" s="2">
        <v>46089</v>
      </c>
      <c r="I2418">
        <v>147.44</v>
      </c>
      <c r="J2418">
        <v>79.180000000000007</v>
      </c>
      <c r="K2418">
        <v>79.180000000000007</v>
      </c>
      <c r="L2418">
        <v>0</v>
      </c>
      <c r="M2418" s="1" t="s">
        <v>21</v>
      </c>
      <c r="N2418" s="1" t="s">
        <v>22</v>
      </c>
      <c r="O2418" s="2">
        <v>46132</v>
      </c>
      <c r="P2418" s="2">
        <v>46132</v>
      </c>
      <c r="Q2418">
        <f>_xlfn.XLOOKUP(E2418,CPT!$A$2:$A$13,CPT!$D$2:$D$13)</f>
        <v>145</v>
      </c>
      <c r="R2418" s="1">
        <f>_xlfn.XLOOKUP(C2418,Contract!$A$2:$A$9,Contract!$B$2:$B$9)</f>
        <v>0.47</v>
      </c>
      <c r="S2418" s="1">
        <f t="shared" si="148"/>
        <v>68.150000000000006</v>
      </c>
      <c r="T2418" s="1">
        <f t="shared" si="149"/>
        <v>-11.030000000000001</v>
      </c>
      <c r="U2418" s="1" t="str">
        <f t="shared" si="150"/>
        <v>OK</v>
      </c>
      <c r="V2418" s="1" t="str">
        <f>_xlfn.XLOOKUP(C2418,Payers!$A$2:$A$9,Payers!$B$2:$B$9)</f>
        <v>Keystone Commercial PPO</v>
      </c>
      <c r="W2418" s="1" t="str">
        <f t="shared" si="151"/>
        <v>2026-03</v>
      </c>
    </row>
    <row r="2419" spans="1:23">
      <c r="A2419" s="1" t="s">
        <v>4213</v>
      </c>
      <c r="B2419" s="1" t="s">
        <v>4214</v>
      </c>
      <c r="C2419" s="1" t="s">
        <v>25</v>
      </c>
      <c r="D2419" s="1" t="s">
        <v>30</v>
      </c>
      <c r="E2419" s="1" t="s">
        <v>91</v>
      </c>
      <c r="F2419">
        <v>1</v>
      </c>
      <c r="G2419" s="2">
        <v>46055</v>
      </c>
      <c r="H2419" s="2">
        <v>46156</v>
      </c>
      <c r="I2419">
        <v>57.11</v>
      </c>
      <c r="M2419" s="1" t="s">
        <v>32</v>
      </c>
      <c r="N2419" s="1" t="s">
        <v>137</v>
      </c>
      <c r="O2419" s="2">
        <v>46182</v>
      </c>
      <c r="P2419" s="2"/>
      <c r="Q2419">
        <f>_xlfn.XLOOKUP(E2419,CPT!$A$2:$A$13,CPT!$D$2:$D$13)</f>
        <v>58</v>
      </c>
      <c r="R2419" s="1">
        <f>_xlfn.XLOOKUP(C2419,Contract!$A$2:$A$9,Contract!$B$2:$B$9)</f>
        <v>0.36</v>
      </c>
      <c r="S2419" s="1">
        <f t="shared" si="148"/>
        <v>20.88</v>
      </c>
      <c r="T2419" s="1" t="str">
        <f t="shared" si="149"/>
        <v/>
      </c>
      <c r="U2419" s="1" t="str">
        <f t="shared" si="150"/>
        <v/>
      </c>
      <c r="V2419" s="1" t="str">
        <f>_xlfn.XLOOKUP(C2419,Payers!$A$2:$A$9,Payers!$B$2:$B$9)</f>
        <v>Medicare Part B</v>
      </c>
      <c r="W2419" s="1" t="str">
        <f t="shared" si="151"/>
        <v>2026-02</v>
      </c>
    </row>
    <row r="2420" spans="1:23">
      <c r="A2420" s="1" t="s">
        <v>4215</v>
      </c>
      <c r="B2420" s="1" t="s">
        <v>4216</v>
      </c>
      <c r="C2420" s="1" t="s">
        <v>60</v>
      </c>
      <c r="D2420" s="1" t="s">
        <v>26</v>
      </c>
      <c r="E2420" s="1" t="s">
        <v>113</v>
      </c>
      <c r="F2420">
        <v>1</v>
      </c>
      <c r="G2420" s="2">
        <v>45931</v>
      </c>
      <c r="H2420" s="2">
        <v>45940</v>
      </c>
      <c r="I2420">
        <v>1050.51</v>
      </c>
      <c r="J2420">
        <v>442</v>
      </c>
      <c r="K2420">
        <v>442</v>
      </c>
      <c r="L2420">
        <v>0</v>
      </c>
      <c r="M2420" s="1" t="s">
        <v>21</v>
      </c>
      <c r="N2420" s="1" t="s">
        <v>22</v>
      </c>
      <c r="O2420" s="2">
        <v>45970</v>
      </c>
      <c r="P2420" s="2">
        <v>45970</v>
      </c>
      <c r="Q2420">
        <f>_xlfn.XLOOKUP(E2420,CPT!$A$2:$A$13,CPT!$D$2:$D$13)</f>
        <v>1050</v>
      </c>
      <c r="R2420" s="1">
        <f>_xlfn.XLOOKUP(C2420,Contract!$A$2:$A$9,Contract!$B$2:$B$9)</f>
        <v>0.45</v>
      </c>
      <c r="S2420" s="1">
        <f t="shared" si="148"/>
        <v>472.5</v>
      </c>
      <c r="T2420" s="1">
        <f t="shared" si="149"/>
        <v>30.5</v>
      </c>
      <c r="U2420" s="1" t="str">
        <f t="shared" si="150"/>
        <v>Underpaid</v>
      </c>
      <c r="V2420" s="1" t="str">
        <f>_xlfn.XLOOKUP(C2420,Payers!$A$2:$A$9,Payers!$B$2:$B$9)</f>
        <v>Blue Horizon Commercial</v>
      </c>
      <c r="W2420" s="1" t="str">
        <f t="shared" si="151"/>
        <v>2025-10</v>
      </c>
    </row>
    <row r="2421" spans="1:23">
      <c r="A2421" s="1" t="s">
        <v>4217</v>
      </c>
      <c r="B2421" s="1" t="s">
        <v>4218</v>
      </c>
      <c r="C2421" s="1" t="s">
        <v>52</v>
      </c>
      <c r="D2421" s="1" t="s">
        <v>37</v>
      </c>
      <c r="E2421" s="1" t="s">
        <v>48</v>
      </c>
      <c r="F2421">
        <v>1</v>
      </c>
      <c r="G2421" s="2">
        <v>46209</v>
      </c>
      <c r="H2421" s="2">
        <v>46212</v>
      </c>
      <c r="I2421">
        <v>413.38</v>
      </c>
      <c r="M2421" s="1" t="s">
        <v>32</v>
      </c>
      <c r="N2421" s="1" t="s">
        <v>33</v>
      </c>
      <c r="O2421" s="2">
        <v>46254</v>
      </c>
      <c r="P2421" s="2"/>
      <c r="Q2421">
        <f>_xlfn.XLOOKUP(E2421,CPT!$A$2:$A$13,CPT!$D$2:$D$13)</f>
        <v>420</v>
      </c>
      <c r="R2421" s="1">
        <f>_xlfn.XLOOKUP(C2421,Contract!$A$2:$A$9,Contract!$B$2:$B$9)</f>
        <v>0.47</v>
      </c>
      <c r="S2421" s="1">
        <f t="shared" si="148"/>
        <v>197.4</v>
      </c>
      <c r="T2421" s="1" t="str">
        <f t="shared" si="149"/>
        <v/>
      </c>
      <c r="U2421" s="1" t="str">
        <f t="shared" si="150"/>
        <v/>
      </c>
      <c r="V2421" s="1" t="str">
        <f>_xlfn.XLOOKUP(C2421,Payers!$A$2:$A$9,Payers!$B$2:$B$9)</f>
        <v>Keystone Commercial PPO</v>
      </c>
      <c r="W2421" s="1" t="str">
        <f t="shared" si="151"/>
        <v>2026-07</v>
      </c>
    </row>
    <row r="2422" spans="1:23">
      <c r="A2422" s="1" t="s">
        <v>4219</v>
      </c>
      <c r="B2422" s="1" t="s">
        <v>1706</v>
      </c>
      <c r="C2422" s="1" t="s">
        <v>25</v>
      </c>
      <c r="D2422" s="1" t="s">
        <v>37</v>
      </c>
      <c r="E2422" s="1" t="s">
        <v>38</v>
      </c>
      <c r="F2422">
        <v>5</v>
      </c>
      <c r="G2422" s="2">
        <v>46025</v>
      </c>
      <c r="H2422" s="2">
        <v>46026</v>
      </c>
      <c r="I2422">
        <v>7249.56</v>
      </c>
      <c r="J2422">
        <v>2890.42</v>
      </c>
      <c r="K2422">
        <v>2601.38</v>
      </c>
      <c r="L2422">
        <v>289.04000000000002</v>
      </c>
      <c r="M2422" s="1" t="s">
        <v>21</v>
      </c>
      <c r="N2422" s="1" t="s">
        <v>22</v>
      </c>
      <c r="O2422" s="2">
        <v>46042</v>
      </c>
      <c r="P2422" s="2">
        <v>46042</v>
      </c>
      <c r="Q2422">
        <f>_xlfn.XLOOKUP(E2422,CPT!$A$2:$A$13,CPT!$D$2:$D$13)</f>
        <v>1450</v>
      </c>
      <c r="R2422" s="1">
        <f>_xlfn.XLOOKUP(C2422,Contract!$A$2:$A$9,Contract!$B$2:$B$9)</f>
        <v>0.36</v>
      </c>
      <c r="S2422" s="1">
        <f t="shared" si="148"/>
        <v>2610</v>
      </c>
      <c r="T2422" s="1">
        <f t="shared" si="149"/>
        <v>-280.42000000000007</v>
      </c>
      <c r="U2422" s="1" t="str">
        <f t="shared" si="150"/>
        <v>OK</v>
      </c>
      <c r="V2422" s="1" t="str">
        <f>_xlfn.XLOOKUP(C2422,Payers!$A$2:$A$9,Payers!$B$2:$B$9)</f>
        <v>Medicare Part B</v>
      </c>
      <c r="W2422" s="1" t="str">
        <f t="shared" si="151"/>
        <v>2026-01</v>
      </c>
    </row>
    <row r="2423" spans="1:23">
      <c r="A2423" s="1" t="s">
        <v>4220</v>
      </c>
      <c r="B2423" s="1" t="s">
        <v>3257</v>
      </c>
      <c r="C2423" s="1" t="s">
        <v>60</v>
      </c>
      <c r="D2423" s="1" t="s">
        <v>19</v>
      </c>
      <c r="E2423" s="1" t="s">
        <v>57</v>
      </c>
      <c r="F2423">
        <v>1</v>
      </c>
      <c r="G2423" s="2">
        <v>46274</v>
      </c>
      <c r="H2423" s="2">
        <v>46282</v>
      </c>
      <c r="I2423">
        <v>205.74</v>
      </c>
      <c r="M2423" s="1" t="s">
        <v>69</v>
      </c>
      <c r="N2423" s="1" t="s">
        <v>22</v>
      </c>
      <c r="O2423" s="2"/>
      <c r="P2423" s="2"/>
      <c r="Q2423">
        <f>_xlfn.XLOOKUP(E2423,CPT!$A$2:$A$13,CPT!$D$2:$D$13)</f>
        <v>210</v>
      </c>
      <c r="R2423" s="1">
        <f>_xlfn.XLOOKUP(C2423,Contract!$A$2:$A$9,Contract!$B$2:$B$9)</f>
        <v>0.45</v>
      </c>
      <c r="S2423" s="1">
        <f t="shared" si="148"/>
        <v>94.5</v>
      </c>
      <c r="T2423" s="1" t="str">
        <f t="shared" si="149"/>
        <v/>
      </c>
      <c r="U2423" s="1" t="str">
        <f t="shared" si="150"/>
        <v/>
      </c>
      <c r="V2423" s="1" t="str">
        <f>_xlfn.XLOOKUP(C2423,Payers!$A$2:$A$9,Payers!$B$2:$B$9)</f>
        <v>Blue Horizon Commercial</v>
      </c>
      <c r="W2423" s="1" t="str">
        <f t="shared" si="151"/>
        <v>2026-09</v>
      </c>
    </row>
    <row r="2424" spans="1:23">
      <c r="A2424" s="1" t="s">
        <v>4221</v>
      </c>
      <c r="B2424" s="1" t="s">
        <v>2255</v>
      </c>
      <c r="C2424" s="1" t="s">
        <v>76</v>
      </c>
      <c r="D2424" s="1" t="s">
        <v>19</v>
      </c>
      <c r="E2424" s="1" t="s">
        <v>41</v>
      </c>
      <c r="F2424">
        <v>1</v>
      </c>
      <c r="G2424" s="2">
        <v>46232</v>
      </c>
      <c r="H2424" s="2">
        <v>46235</v>
      </c>
      <c r="I2424">
        <v>38.26</v>
      </c>
      <c r="J2424">
        <v>18.420000000000002</v>
      </c>
      <c r="K2424">
        <v>18.420000000000002</v>
      </c>
      <c r="L2424">
        <v>0</v>
      </c>
      <c r="M2424" s="1" t="s">
        <v>21</v>
      </c>
      <c r="N2424" s="1" t="s">
        <v>22</v>
      </c>
      <c r="O2424" s="2">
        <v>46267</v>
      </c>
      <c r="P2424" s="2">
        <v>46267</v>
      </c>
      <c r="Q2424">
        <f>_xlfn.XLOOKUP(E2424,CPT!$A$2:$A$13,CPT!$D$2:$D$13)</f>
        <v>38</v>
      </c>
      <c r="R2424" s="1">
        <f>_xlfn.XLOOKUP(C2424,Contract!$A$2:$A$9,Contract!$B$2:$B$9)</f>
        <v>0.43</v>
      </c>
      <c r="S2424" s="1">
        <f t="shared" si="148"/>
        <v>16.34</v>
      </c>
      <c r="T2424" s="1">
        <f t="shared" si="149"/>
        <v>-2.0800000000000018</v>
      </c>
      <c r="U2424" s="1" t="str">
        <f t="shared" si="150"/>
        <v>OK</v>
      </c>
      <c r="V2424" s="1" t="str">
        <f>_xlfn.XLOOKUP(C2424,Payers!$A$2:$A$9,Payers!$B$2:$B$9)</f>
        <v>Summit Health Commercial</v>
      </c>
      <c r="W2424" s="1" t="str">
        <f t="shared" si="151"/>
        <v>2026-07</v>
      </c>
    </row>
    <row r="2425" spans="1:23">
      <c r="A2425" s="1" t="s">
        <v>4222</v>
      </c>
      <c r="B2425" s="1" t="s">
        <v>782</v>
      </c>
      <c r="C2425" s="1" t="s">
        <v>36</v>
      </c>
      <c r="D2425" s="1" t="s">
        <v>37</v>
      </c>
      <c r="E2425" s="1" t="s">
        <v>48</v>
      </c>
      <c r="F2425">
        <v>1</v>
      </c>
      <c r="G2425" s="2">
        <v>46222</v>
      </c>
      <c r="H2425" s="2">
        <v>46226</v>
      </c>
      <c r="I2425">
        <v>408.24</v>
      </c>
      <c r="J2425">
        <v>109.76</v>
      </c>
      <c r="K2425">
        <v>109.76</v>
      </c>
      <c r="L2425">
        <v>0</v>
      </c>
      <c r="M2425" s="1" t="s">
        <v>21</v>
      </c>
      <c r="N2425" s="1" t="s">
        <v>22</v>
      </c>
      <c r="O2425" s="2">
        <v>46249</v>
      </c>
      <c r="P2425" s="2">
        <v>46249</v>
      </c>
      <c r="Q2425">
        <f>_xlfn.XLOOKUP(E2425,CPT!$A$2:$A$13,CPT!$D$2:$D$13)</f>
        <v>420</v>
      </c>
      <c r="R2425" s="1">
        <f>_xlfn.XLOOKUP(C2425,Contract!$A$2:$A$9,Contract!$B$2:$B$9)</f>
        <v>0.27</v>
      </c>
      <c r="S2425" s="1">
        <f t="shared" si="148"/>
        <v>113.4</v>
      </c>
      <c r="T2425" s="1">
        <f t="shared" si="149"/>
        <v>3.6400000000000006</v>
      </c>
      <c r="U2425" s="1" t="str">
        <f t="shared" si="150"/>
        <v>OK</v>
      </c>
      <c r="V2425" s="1" t="str">
        <f>_xlfn.XLOOKUP(C2425,Payers!$A$2:$A$9,Payers!$B$2:$B$9)</f>
        <v>Florida Medicaid</v>
      </c>
      <c r="W2425" s="1" t="str">
        <f t="shared" si="151"/>
        <v>2026-07</v>
      </c>
    </row>
    <row r="2426" spans="1:23">
      <c r="A2426" s="1" t="s">
        <v>4223</v>
      </c>
      <c r="B2426" s="1" t="s">
        <v>4224</v>
      </c>
      <c r="C2426" s="1" t="s">
        <v>36</v>
      </c>
      <c r="D2426" s="1" t="s">
        <v>26</v>
      </c>
      <c r="E2426" s="1" t="s">
        <v>185</v>
      </c>
      <c r="F2426">
        <v>1</v>
      </c>
      <c r="G2426" s="2">
        <v>45989</v>
      </c>
      <c r="H2426" s="2">
        <v>45993</v>
      </c>
      <c r="I2426">
        <v>1164.1600000000001</v>
      </c>
      <c r="J2426">
        <v>277.49</v>
      </c>
      <c r="K2426">
        <v>277.49</v>
      </c>
      <c r="L2426">
        <v>0</v>
      </c>
      <c r="M2426" s="1" t="s">
        <v>21</v>
      </c>
      <c r="N2426" s="1" t="s">
        <v>22</v>
      </c>
      <c r="O2426" s="2">
        <v>46054</v>
      </c>
      <c r="P2426" s="2">
        <v>46054</v>
      </c>
      <c r="Q2426">
        <f>_xlfn.XLOOKUP(E2426,CPT!$A$2:$A$13,CPT!$D$2:$D$13)</f>
        <v>1150</v>
      </c>
      <c r="R2426" s="1">
        <f>_xlfn.XLOOKUP(C2426,Contract!$A$2:$A$9,Contract!$B$2:$B$9)</f>
        <v>0.27</v>
      </c>
      <c r="S2426" s="1">
        <f t="shared" si="148"/>
        <v>310.5</v>
      </c>
      <c r="T2426" s="1">
        <f t="shared" si="149"/>
        <v>33.009999999999991</v>
      </c>
      <c r="U2426" s="1" t="str">
        <f t="shared" si="150"/>
        <v>Underpaid</v>
      </c>
      <c r="V2426" s="1" t="str">
        <f>_xlfn.XLOOKUP(C2426,Payers!$A$2:$A$9,Payers!$B$2:$B$9)</f>
        <v>Florida Medicaid</v>
      </c>
      <c r="W2426" s="1" t="str">
        <f t="shared" si="151"/>
        <v>2025-11</v>
      </c>
    </row>
    <row r="2427" spans="1:23">
      <c r="A2427" s="1" t="s">
        <v>4225</v>
      </c>
      <c r="B2427" s="1" t="s">
        <v>2282</v>
      </c>
      <c r="C2427" s="1" t="s">
        <v>25</v>
      </c>
      <c r="D2427" s="1" t="s">
        <v>19</v>
      </c>
      <c r="E2427" s="1" t="s">
        <v>57</v>
      </c>
      <c r="F2427">
        <v>1</v>
      </c>
      <c r="G2427" s="2">
        <v>46168</v>
      </c>
      <c r="H2427" s="2">
        <v>46171</v>
      </c>
      <c r="I2427">
        <v>215.73</v>
      </c>
      <c r="J2427">
        <v>88.79</v>
      </c>
      <c r="K2427">
        <v>88.79</v>
      </c>
      <c r="L2427">
        <v>0</v>
      </c>
      <c r="M2427" s="1" t="s">
        <v>21</v>
      </c>
      <c r="N2427" s="1" t="s">
        <v>22</v>
      </c>
      <c r="O2427" s="2">
        <v>46193</v>
      </c>
      <c r="P2427" s="2">
        <v>46193</v>
      </c>
      <c r="Q2427">
        <f>_xlfn.XLOOKUP(E2427,CPT!$A$2:$A$13,CPT!$D$2:$D$13)</f>
        <v>210</v>
      </c>
      <c r="R2427" s="1">
        <f>_xlfn.XLOOKUP(C2427,Contract!$A$2:$A$9,Contract!$B$2:$B$9)</f>
        <v>0.36</v>
      </c>
      <c r="S2427" s="1">
        <f t="shared" si="148"/>
        <v>75.599999999999994</v>
      </c>
      <c r="T2427" s="1">
        <f t="shared" si="149"/>
        <v>-13.190000000000012</v>
      </c>
      <c r="U2427" s="1" t="str">
        <f t="shared" si="150"/>
        <v>OK</v>
      </c>
      <c r="V2427" s="1" t="str">
        <f>_xlfn.XLOOKUP(C2427,Payers!$A$2:$A$9,Payers!$B$2:$B$9)</f>
        <v>Medicare Part B</v>
      </c>
      <c r="W2427" s="1" t="str">
        <f t="shared" si="151"/>
        <v>2026-05</v>
      </c>
    </row>
    <row r="2428" spans="1:23">
      <c r="A2428" s="1" t="s">
        <v>4226</v>
      </c>
      <c r="B2428" s="1" t="s">
        <v>4227</v>
      </c>
      <c r="C2428" s="1" t="s">
        <v>18</v>
      </c>
      <c r="D2428" s="1" t="s">
        <v>19</v>
      </c>
      <c r="E2428" s="1" t="s">
        <v>41</v>
      </c>
      <c r="F2428">
        <v>1</v>
      </c>
      <c r="G2428" s="2">
        <v>46105</v>
      </c>
      <c r="H2428" s="2">
        <v>46108</v>
      </c>
      <c r="I2428">
        <v>39.03</v>
      </c>
      <c r="M2428" s="1" t="s">
        <v>32</v>
      </c>
      <c r="N2428" s="1" t="s">
        <v>33</v>
      </c>
      <c r="O2428" s="2">
        <v>46157</v>
      </c>
      <c r="P2428" s="2"/>
      <c r="Q2428">
        <f>_xlfn.XLOOKUP(E2428,CPT!$A$2:$A$13,CPT!$D$2:$D$13)</f>
        <v>38</v>
      </c>
      <c r="R2428" s="1">
        <f>_xlfn.XLOOKUP(C2428,Contract!$A$2:$A$9,Contract!$B$2:$B$9)</f>
        <v>0.38</v>
      </c>
      <c r="S2428" s="1">
        <f t="shared" si="148"/>
        <v>14.44</v>
      </c>
      <c r="T2428" s="1" t="str">
        <f t="shared" si="149"/>
        <v/>
      </c>
      <c r="U2428" s="1" t="str">
        <f t="shared" si="150"/>
        <v/>
      </c>
      <c r="V2428" s="1" t="str">
        <f>_xlfn.XLOOKUP(C2428,Payers!$A$2:$A$9,Payers!$B$2:$B$9)</f>
        <v>Sunshine Medicare Advantage</v>
      </c>
      <c r="W2428" s="1" t="str">
        <f t="shared" si="151"/>
        <v>2026-03</v>
      </c>
    </row>
    <row r="2429" spans="1:23">
      <c r="A2429" s="1" t="s">
        <v>4228</v>
      </c>
      <c r="B2429" s="1" t="s">
        <v>4229</v>
      </c>
      <c r="C2429" s="1" t="s">
        <v>52</v>
      </c>
      <c r="D2429" s="1" t="s">
        <v>19</v>
      </c>
      <c r="E2429" s="1" t="s">
        <v>88</v>
      </c>
      <c r="F2429">
        <v>1</v>
      </c>
      <c r="G2429" s="2">
        <v>46003</v>
      </c>
      <c r="H2429" s="2">
        <v>46014</v>
      </c>
      <c r="I2429">
        <v>265.69</v>
      </c>
      <c r="J2429">
        <v>136.19</v>
      </c>
      <c r="K2429">
        <v>122.57</v>
      </c>
      <c r="L2429">
        <v>13.62</v>
      </c>
      <c r="M2429" s="1" t="s">
        <v>21</v>
      </c>
      <c r="N2429" s="1" t="s">
        <v>22</v>
      </c>
      <c r="O2429" s="2">
        <v>46036</v>
      </c>
      <c r="P2429" s="2">
        <v>46036</v>
      </c>
      <c r="Q2429">
        <f>_xlfn.XLOOKUP(E2429,CPT!$A$2:$A$13,CPT!$D$2:$D$13)</f>
        <v>260</v>
      </c>
      <c r="R2429" s="1">
        <f>_xlfn.XLOOKUP(C2429,Contract!$A$2:$A$9,Contract!$B$2:$B$9)</f>
        <v>0.47</v>
      </c>
      <c r="S2429" s="1">
        <f t="shared" si="148"/>
        <v>122.2</v>
      </c>
      <c r="T2429" s="1">
        <f t="shared" si="149"/>
        <v>-13.989999999999995</v>
      </c>
      <c r="U2429" s="1" t="str">
        <f t="shared" si="150"/>
        <v>OK</v>
      </c>
      <c r="V2429" s="1" t="str">
        <f>_xlfn.XLOOKUP(C2429,Payers!$A$2:$A$9,Payers!$B$2:$B$9)</f>
        <v>Keystone Commercial PPO</v>
      </c>
      <c r="W2429" s="1" t="str">
        <f t="shared" si="151"/>
        <v>2025-12</v>
      </c>
    </row>
    <row r="2430" spans="1:23">
      <c r="A2430" s="1" t="s">
        <v>4230</v>
      </c>
      <c r="B2430" s="1" t="s">
        <v>2646</v>
      </c>
      <c r="C2430" s="1" t="s">
        <v>36</v>
      </c>
      <c r="D2430" s="1" t="s">
        <v>26</v>
      </c>
      <c r="E2430" s="1" t="s">
        <v>27</v>
      </c>
      <c r="F2430">
        <v>1</v>
      </c>
      <c r="G2430" s="2">
        <v>46029</v>
      </c>
      <c r="H2430" s="2">
        <v>46033</v>
      </c>
      <c r="I2430">
        <v>242.63</v>
      </c>
      <c r="M2430" s="1" t="s">
        <v>32</v>
      </c>
      <c r="N2430" s="1" t="s">
        <v>124</v>
      </c>
      <c r="O2430" s="2">
        <v>46081</v>
      </c>
      <c r="P2430" s="2"/>
      <c r="Q2430">
        <f>_xlfn.XLOOKUP(E2430,CPT!$A$2:$A$13,CPT!$D$2:$D$13)</f>
        <v>240</v>
      </c>
      <c r="R2430" s="1">
        <f>_xlfn.XLOOKUP(C2430,Contract!$A$2:$A$9,Contract!$B$2:$B$9)</f>
        <v>0.27</v>
      </c>
      <c r="S2430" s="1">
        <f t="shared" si="148"/>
        <v>64.8</v>
      </c>
      <c r="T2430" s="1" t="str">
        <f t="shared" si="149"/>
        <v/>
      </c>
      <c r="U2430" s="1" t="str">
        <f t="shared" si="150"/>
        <v/>
      </c>
      <c r="V2430" s="1" t="str">
        <f>_xlfn.XLOOKUP(C2430,Payers!$A$2:$A$9,Payers!$B$2:$B$9)</f>
        <v>Florida Medicaid</v>
      </c>
      <c r="W2430" s="1" t="str">
        <f t="shared" si="151"/>
        <v>2026-01</v>
      </c>
    </row>
    <row r="2431" spans="1:23">
      <c r="A2431" s="1" t="s">
        <v>4231</v>
      </c>
      <c r="B2431" s="1" t="s">
        <v>1123</v>
      </c>
      <c r="C2431" s="1" t="s">
        <v>18</v>
      </c>
      <c r="D2431" s="1" t="s">
        <v>26</v>
      </c>
      <c r="E2431" s="1" t="s">
        <v>41</v>
      </c>
      <c r="F2431">
        <v>1</v>
      </c>
      <c r="G2431" s="2">
        <v>45993</v>
      </c>
      <c r="H2431" s="2">
        <v>45994</v>
      </c>
      <c r="I2431">
        <v>36.92</v>
      </c>
      <c r="M2431" s="1" t="s">
        <v>32</v>
      </c>
      <c r="N2431" s="1" t="s">
        <v>33</v>
      </c>
      <c r="O2431" s="2">
        <v>46036</v>
      </c>
      <c r="P2431" s="2"/>
      <c r="Q2431">
        <f>_xlfn.XLOOKUP(E2431,CPT!$A$2:$A$13,CPT!$D$2:$D$13)</f>
        <v>38</v>
      </c>
      <c r="R2431" s="1">
        <f>_xlfn.XLOOKUP(C2431,Contract!$A$2:$A$9,Contract!$B$2:$B$9)</f>
        <v>0.38</v>
      </c>
      <c r="S2431" s="1">
        <f t="shared" si="148"/>
        <v>14.44</v>
      </c>
      <c r="T2431" s="1" t="str">
        <f t="shared" si="149"/>
        <v/>
      </c>
      <c r="U2431" s="1" t="str">
        <f t="shared" si="150"/>
        <v/>
      </c>
      <c r="V2431" s="1" t="str">
        <f>_xlfn.XLOOKUP(C2431,Payers!$A$2:$A$9,Payers!$B$2:$B$9)</f>
        <v>Sunshine Medicare Advantage</v>
      </c>
      <c r="W2431" s="1" t="str">
        <f t="shared" si="151"/>
        <v>2025-12</v>
      </c>
    </row>
    <row r="2432" spans="1:23">
      <c r="A2432" s="1" t="s">
        <v>4232</v>
      </c>
      <c r="B2432" s="1" t="s">
        <v>3708</v>
      </c>
      <c r="C2432" s="1" t="s">
        <v>25</v>
      </c>
      <c r="D2432" s="1" t="s">
        <v>19</v>
      </c>
      <c r="E2432" s="1" t="s">
        <v>41</v>
      </c>
      <c r="F2432">
        <v>1</v>
      </c>
      <c r="G2432" s="2">
        <v>45937</v>
      </c>
      <c r="H2432" s="2">
        <v>45939</v>
      </c>
      <c r="I2432">
        <v>38.979999999999997</v>
      </c>
      <c r="J2432">
        <v>14.48</v>
      </c>
      <c r="K2432">
        <v>14.48</v>
      </c>
      <c r="L2432">
        <v>0</v>
      </c>
      <c r="M2432" s="1" t="s">
        <v>21</v>
      </c>
      <c r="N2432" s="1" t="s">
        <v>22</v>
      </c>
      <c r="O2432" s="2">
        <v>45967</v>
      </c>
      <c r="P2432" s="2">
        <v>45967</v>
      </c>
      <c r="Q2432">
        <f>_xlfn.XLOOKUP(E2432,CPT!$A$2:$A$13,CPT!$D$2:$D$13)</f>
        <v>38</v>
      </c>
      <c r="R2432" s="1">
        <f>_xlfn.XLOOKUP(C2432,Contract!$A$2:$A$9,Contract!$B$2:$B$9)</f>
        <v>0.36</v>
      </c>
      <c r="S2432" s="1">
        <f t="shared" si="148"/>
        <v>13.68</v>
      </c>
      <c r="T2432" s="1">
        <f t="shared" si="149"/>
        <v>-0.80000000000000071</v>
      </c>
      <c r="U2432" s="1" t="str">
        <f t="shared" si="150"/>
        <v>OK</v>
      </c>
      <c r="V2432" s="1" t="str">
        <f>_xlfn.XLOOKUP(C2432,Payers!$A$2:$A$9,Payers!$B$2:$B$9)</f>
        <v>Medicare Part B</v>
      </c>
      <c r="W2432" s="1" t="str">
        <f t="shared" si="151"/>
        <v>2025-10</v>
      </c>
    </row>
    <row r="2433" spans="1:23">
      <c r="A2433" s="1" t="s">
        <v>4233</v>
      </c>
      <c r="B2433" s="1" t="s">
        <v>4234</v>
      </c>
      <c r="C2433" s="1" t="s">
        <v>60</v>
      </c>
      <c r="D2433" s="1" t="s">
        <v>37</v>
      </c>
      <c r="E2433" s="1" t="s">
        <v>38</v>
      </c>
      <c r="F2433">
        <v>30</v>
      </c>
      <c r="G2433" s="2">
        <v>46141</v>
      </c>
      <c r="H2433" s="2">
        <v>46150</v>
      </c>
      <c r="I2433">
        <v>44563.72</v>
      </c>
      <c r="J2433">
        <v>17742.59</v>
      </c>
      <c r="K2433">
        <v>14194.07</v>
      </c>
      <c r="L2433">
        <v>3548.52</v>
      </c>
      <c r="M2433" s="1" t="s">
        <v>21</v>
      </c>
      <c r="N2433" s="1" t="s">
        <v>22</v>
      </c>
      <c r="O2433" s="2">
        <v>46189</v>
      </c>
      <c r="P2433" s="2">
        <v>46189</v>
      </c>
      <c r="Q2433">
        <f>_xlfn.XLOOKUP(E2433,CPT!$A$2:$A$13,CPT!$D$2:$D$13)</f>
        <v>1450</v>
      </c>
      <c r="R2433" s="1">
        <f>_xlfn.XLOOKUP(C2433,Contract!$A$2:$A$9,Contract!$B$2:$B$9)</f>
        <v>0.45</v>
      </c>
      <c r="S2433" s="1">
        <f t="shared" si="148"/>
        <v>19575</v>
      </c>
      <c r="T2433" s="1">
        <f t="shared" si="149"/>
        <v>1832.4099999999999</v>
      </c>
      <c r="U2433" s="1" t="str">
        <f t="shared" si="150"/>
        <v>Underpaid</v>
      </c>
      <c r="V2433" s="1" t="str">
        <f>_xlfn.XLOOKUP(C2433,Payers!$A$2:$A$9,Payers!$B$2:$B$9)</f>
        <v>Blue Horizon Commercial</v>
      </c>
      <c r="W2433" s="1" t="str">
        <f t="shared" si="151"/>
        <v>2026-04</v>
      </c>
    </row>
    <row r="2434" spans="1:23">
      <c r="A2434" s="1" t="s">
        <v>4235</v>
      </c>
      <c r="B2434" s="1" t="s">
        <v>738</v>
      </c>
      <c r="C2434" s="1" t="s">
        <v>76</v>
      </c>
      <c r="D2434" s="1" t="s">
        <v>26</v>
      </c>
      <c r="E2434" s="1" t="s">
        <v>113</v>
      </c>
      <c r="F2434">
        <v>1</v>
      </c>
      <c r="G2434" s="2">
        <v>46049</v>
      </c>
      <c r="H2434" s="2">
        <v>46053</v>
      </c>
      <c r="I2434">
        <v>1066.43</v>
      </c>
      <c r="J2434">
        <v>414.6</v>
      </c>
      <c r="K2434">
        <v>414.6</v>
      </c>
      <c r="L2434">
        <v>0</v>
      </c>
      <c r="M2434" s="1" t="s">
        <v>21</v>
      </c>
      <c r="N2434" s="1" t="s">
        <v>22</v>
      </c>
      <c r="O2434" s="2">
        <v>46073</v>
      </c>
      <c r="P2434" s="2">
        <v>46073</v>
      </c>
      <c r="Q2434">
        <f>_xlfn.XLOOKUP(E2434,CPT!$A$2:$A$13,CPT!$D$2:$D$13)</f>
        <v>1050</v>
      </c>
      <c r="R2434" s="1">
        <f>_xlfn.XLOOKUP(C2434,Contract!$A$2:$A$9,Contract!$B$2:$B$9)</f>
        <v>0.43</v>
      </c>
      <c r="S2434" s="1">
        <f t="shared" ref="S2434:S2497" si="152">ROUND(Q2434*F2434*R2434,2)</f>
        <v>451.5</v>
      </c>
      <c r="T2434" s="1">
        <f t="shared" ref="T2434:T2497" si="153">IF(M2434="Paid",S2434-J2434,"")</f>
        <v>36.899999999999977</v>
      </c>
      <c r="U2434" s="1" t="str">
        <f t="shared" ref="U2434:U2497" si="154">IF(M2434&lt;&gt;"Paid","",IF(T2434&gt;S2434*0.05,"Underpaid","OK"))</f>
        <v>Underpaid</v>
      </c>
      <c r="V2434" s="1" t="str">
        <f>_xlfn.XLOOKUP(C2434,Payers!$A$2:$A$9,Payers!$B$2:$B$9)</f>
        <v>Summit Health Commercial</v>
      </c>
      <c r="W2434" s="1" t="str">
        <f t="shared" ref="W2434:W2497" si="155">TEXT(G2434,"yyyy-mm")</f>
        <v>2026-01</v>
      </c>
    </row>
    <row r="2435" spans="1:23">
      <c r="A2435" s="1" t="s">
        <v>4236</v>
      </c>
      <c r="B2435" s="1" t="s">
        <v>4237</v>
      </c>
      <c r="C2435" s="1" t="s">
        <v>52</v>
      </c>
      <c r="D2435" s="1" t="s">
        <v>19</v>
      </c>
      <c r="E2435" s="1" t="s">
        <v>41</v>
      </c>
      <c r="F2435">
        <v>1</v>
      </c>
      <c r="G2435" s="2">
        <v>46272</v>
      </c>
      <c r="H2435" s="2">
        <v>46273</v>
      </c>
      <c r="I2435">
        <v>37.85</v>
      </c>
      <c r="M2435" s="1" t="s">
        <v>69</v>
      </c>
      <c r="N2435" s="1" t="s">
        <v>22</v>
      </c>
      <c r="O2435" s="2"/>
      <c r="P2435" s="2"/>
      <c r="Q2435">
        <f>_xlfn.XLOOKUP(E2435,CPT!$A$2:$A$13,CPT!$D$2:$D$13)</f>
        <v>38</v>
      </c>
      <c r="R2435" s="1">
        <f>_xlfn.XLOOKUP(C2435,Contract!$A$2:$A$9,Contract!$B$2:$B$9)</f>
        <v>0.47</v>
      </c>
      <c r="S2435" s="1">
        <f t="shared" si="152"/>
        <v>17.86</v>
      </c>
      <c r="T2435" s="1" t="str">
        <f t="shared" si="153"/>
        <v/>
      </c>
      <c r="U2435" s="1" t="str">
        <f t="shared" si="154"/>
        <v/>
      </c>
      <c r="V2435" s="1" t="str">
        <f>_xlfn.XLOOKUP(C2435,Payers!$A$2:$A$9,Payers!$B$2:$B$9)</f>
        <v>Keystone Commercial PPO</v>
      </c>
      <c r="W2435" s="1" t="str">
        <f t="shared" si="155"/>
        <v>2026-09</v>
      </c>
    </row>
    <row r="2436" spans="1:23">
      <c r="A2436" s="1" t="s">
        <v>4238</v>
      </c>
      <c r="B2436" s="1" t="s">
        <v>1849</v>
      </c>
      <c r="C2436" s="1" t="s">
        <v>36</v>
      </c>
      <c r="D2436" s="1" t="s">
        <v>30</v>
      </c>
      <c r="E2436" s="1" t="s">
        <v>20</v>
      </c>
      <c r="F2436">
        <v>1</v>
      </c>
      <c r="G2436" s="2">
        <v>46231</v>
      </c>
      <c r="H2436" s="2">
        <v>46234</v>
      </c>
      <c r="I2436">
        <v>147.6</v>
      </c>
      <c r="J2436">
        <v>44.1</v>
      </c>
      <c r="K2436">
        <v>44.1</v>
      </c>
      <c r="L2436">
        <v>0</v>
      </c>
      <c r="M2436" s="1" t="s">
        <v>21</v>
      </c>
      <c r="N2436" s="1" t="s">
        <v>22</v>
      </c>
      <c r="O2436" s="2">
        <v>46265</v>
      </c>
      <c r="P2436" s="2">
        <v>46265</v>
      </c>
      <c r="Q2436">
        <f>_xlfn.XLOOKUP(E2436,CPT!$A$2:$A$13,CPT!$D$2:$D$13)</f>
        <v>145</v>
      </c>
      <c r="R2436" s="1">
        <f>_xlfn.XLOOKUP(C2436,Contract!$A$2:$A$9,Contract!$B$2:$B$9)</f>
        <v>0.27</v>
      </c>
      <c r="S2436" s="1">
        <f t="shared" si="152"/>
        <v>39.15</v>
      </c>
      <c r="T2436" s="1">
        <f t="shared" si="153"/>
        <v>-4.9500000000000028</v>
      </c>
      <c r="U2436" s="1" t="str">
        <f t="shared" si="154"/>
        <v>OK</v>
      </c>
      <c r="V2436" s="1" t="str">
        <f>_xlfn.XLOOKUP(C2436,Payers!$A$2:$A$9,Payers!$B$2:$B$9)</f>
        <v>Florida Medicaid</v>
      </c>
      <c r="W2436" s="1" t="str">
        <f t="shared" si="155"/>
        <v>2026-07</v>
      </c>
    </row>
    <row r="2437" spans="1:23">
      <c r="A2437" s="1" t="s">
        <v>4239</v>
      </c>
      <c r="B2437" s="1" t="s">
        <v>4240</v>
      </c>
      <c r="C2437" s="1" t="s">
        <v>76</v>
      </c>
      <c r="D2437" s="1" t="s">
        <v>26</v>
      </c>
      <c r="E2437" s="1" t="s">
        <v>57</v>
      </c>
      <c r="F2437">
        <v>1</v>
      </c>
      <c r="G2437" s="2">
        <v>46146</v>
      </c>
      <c r="H2437" s="2">
        <v>46152</v>
      </c>
      <c r="I2437">
        <v>213.13</v>
      </c>
      <c r="J2437">
        <v>102.8</v>
      </c>
      <c r="K2437">
        <v>82.24</v>
      </c>
      <c r="L2437">
        <v>20.56</v>
      </c>
      <c r="M2437" s="1" t="s">
        <v>21</v>
      </c>
      <c r="N2437" s="1" t="s">
        <v>22</v>
      </c>
      <c r="O2437" s="2">
        <v>46175</v>
      </c>
      <c r="P2437" s="2">
        <v>46175</v>
      </c>
      <c r="Q2437">
        <f>_xlfn.XLOOKUP(E2437,CPT!$A$2:$A$13,CPT!$D$2:$D$13)</f>
        <v>210</v>
      </c>
      <c r="R2437" s="1">
        <f>_xlfn.XLOOKUP(C2437,Contract!$A$2:$A$9,Contract!$B$2:$B$9)</f>
        <v>0.43</v>
      </c>
      <c r="S2437" s="1">
        <f t="shared" si="152"/>
        <v>90.3</v>
      </c>
      <c r="T2437" s="1">
        <f t="shared" si="153"/>
        <v>-12.5</v>
      </c>
      <c r="U2437" s="1" t="str">
        <f t="shared" si="154"/>
        <v>OK</v>
      </c>
      <c r="V2437" s="1" t="str">
        <f>_xlfn.XLOOKUP(C2437,Payers!$A$2:$A$9,Payers!$B$2:$B$9)</f>
        <v>Summit Health Commercial</v>
      </c>
      <c r="W2437" s="1" t="str">
        <f t="shared" si="155"/>
        <v>2026-05</v>
      </c>
    </row>
    <row r="2438" spans="1:23">
      <c r="A2438" s="1" t="s">
        <v>4241</v>
      </c>
      <c r="B2438" s="1" t="s">
        <v>4242</v>
      </c>
      <c r="C2438" s="1" t="s">
        <v>60</v>
      </c>
      <c r="D2438" s="1" t="s">
        <v>30</v>
      </c>
      <c r="E2438" s="1" t="s">
        <v>91</v>
      </c>
      <c r="F2438">
        <v>1</v>
      </c>
      <c r="G2438" s="2">
        <v>45931</v>
      </c>
      <c r="H2438" s="2">
        <v>45941</v>
      </c>
      <c r="I2438">
        <v>58.15</v>
      </c>
      <c r="J2438">
        <v>27.8</v>
      </c>
      <c r="K2438">
        <v>27.8</v>
      </c>
      <c r="L2438">
        <v>0</v>
      </c>
      <c r="M2438" s="1" t="s">
        <v>21</v>
      </c>
      <c r="N2438" s="1" t="s">
        <v>22</v>
      </c>
      <c r="O2438" s="2">
        <v>45982</v>
      </c>
      <c r="P2438" s="2">
        <v>45982</v>
      </c>
      <c r="Q2438">
        <f>_xlfn.XLOOKUP(E2438,CPT!$A$2:$A$13,CPT!$D$2:$D$13)</f>
        <v>58</v>
      </c>
      <c r="R2438" s="1">
        <f>_xlfn.XLOOKUP(C2438,Contract!$A$2:$A$9,Contract!$B$2:$B$9)</f>
        <v>0.45</v>
      </c>
      <c r="S2438" s="1">
        <f t="shared" si="152"/>
        <v>26.1</v>
      </c>
      <c r="T2438" s="1">
        <f t="shared" si="153"/>
        <v>-1.6999999999999993</v>
      </c>
      <c r="U2438" s="1" t="str">
        <f t="shared" si="154"/>
        <v>OK</v>
      </c>
      <c r="V2438" s="1" t="str">
        <f>_xlfn.XLOOKUP(C2438,Payers!$A$2:$A$9,Payers!$B$2:$B$9)</f>
        <v>Blue Horizon Commercial</v>
      </c>
      <c r="W2438" s="1" t="str">
        <f t="shared" si="155"/>
        <v>2025-10</v>
      </c>
    </row>
    <row r="2439" spans="1:23">
      <c r="A2439" s="1" t="s">
        <v>4243</v>
      </c>
      <c r="B2439" s="1" t="s">
        <v>1605</v>
      </c>
      <c r="C2439" s="1" t="s">
        <v>79</v>
      </c>
      <c r="D2439" s="1" t="s">
        <v>26</v>
      </c>
      <c r="E2439" s="1" t="s">
        <v>88</v>
      </c>
      <c r="F2439">
        <v>1</v>
      </c>
      <c r="G2439" s="2">
        <v>46129</v>
      </c>
      <c r="H2439" s="2">
        <v>46131</v>
      </c>
      <c r="I2439">
        <v>252.5</v>
      </c>
      <c r="M2439" s="1" t="s">
        <v>69</v>
      </c>
      <c r="N2439" s="1" t="s">
        <v>22</v>
      </c>
      <c r="O2439" s="2"/>
      <c r="P2439" s="2"/>
      <c r="Q2439">
        <f>_xlfn.XLOOKUP(E2439,CPT!$A$2:$A$13,CPT!$D$2:$D$13)</f>
        <v>260</v>
      </c>
      <c r="R2439" s="1">
        <f>_xlfn.XLOOKUP(C2439,Contract!$A$2:$A$9,Contract!$B$2:$B$9)</f>
        <v>1</v>
      </c>
      <c r="S2439" s="1">
        <f t="shared" si="152"/>
        <v>260</v>
      </c>
      <c r="T2439" s="1" t="str">
        <f t="shared" si="153"/>
        <v/>
      </c>
      <c r="U2439" s="1" t="str">
        <f t="shared" si="154"/>
        <v/>
      </c>
      <c r="V2439" s="1" t="str">
        <f>_xlfn.XLOOKUP(C2439,Payers!$A$2:$A$9,Payers!$B$2:$B$9)</f>
        <v>Self-Pay</v>
      </c>
      <c r="W2439" s="1" t="str">
        <f t="shared" si="155"/>
        <v>2026-04</v>
      </c>
    </row>
    <row r="2440" spans="1:23">
      <c r="A2440" s="1" t="s">
        <v>4244</v>
      </c>
      <c r="B2440" s="1" t="s">
        <v>2931</v>
      </c>
      <c r="C2440" s="1" t="s">
        <v>36</v>
      </c>
      <c r="D2440" s="1" t="s">
        <v>19</v>
      </c>
      <c r="E2440" s="1" t="s">
        <v>88</v>
      </c>
      <c r="F2440">
        <v>1</v>
      </c>
      <c r="G2440" s="2">
        <v>46084</v>
      </c>
      <c r="H2440" s="2">
        <v>46087</v>
      </c>
      <c r="I2440">
        <v>264.72000000000003</v>
      </c>
      <c r="M2440" s="1" t="s">
        <v>32</v>
      </c>
      <c r="N2440" s="1" t="s">
        <v>33</v>
      </c>
      <c r="O2440" s="2">
        <v>46140</v>
      </c>
      <c r="P2440" s="2"/>
      <c r="Q2440">
        <f>_xlfn.XLOOKUP(E2440,CPT!$A$2:$A$13,CPT!$D$2:$D$13)</f>
        <v>260</v>
      </c>
      <c r="R2440" s="1">
        <f>_xlfn.XLOOKUP(C2440,Contract!$A$2:$A$9,Contract!$B$2:$B$9)</f>
        <v>0.27</v>
      </c>
      <c r="S2440" s="1">
        <f t="shared" si="152"/>
        <v>70.2</v>
      </c>
      <c r="T2440" s="1" t="str">
        <f t="shared" si="153"/>
        <v/>
      </c>
      <c r="U2440" s="1" t="str">
        <f t="shared" si="154"/>
        <v/>
      </c>
      <c r="V2440" s="1" t="str">
        <f>_xlfn.XLOOKUP(C2440,Payers!$A$2:$A$9,Payers!$B$2:$B$9)</f>
        <v>Florida Medicaid</v>
      </c>
      <c r="W2440" s="1" t="str">
        <f t="shared" si="155"/>
        <v>2026-03</v>
      </c>
    </row>
    <row r="2441" spans="1:23">
      <c r="A2441" s="1" t="s">
        <v>4245</v>
      </c>
      <c r="B2441" s="1" t="s">
        <v>3735</v>
      </c>
      <c r="C2441" s="1" t="s">
        <v>52</v>
      </c>
      <c r="D2441" s="1" t="s">
        <v>19</v>
      </c>
      <c r="E2441" s="1" t="s">
        <v>88</v>
      </c>
      <c r="F2441">
        <v>1</v>
      </c>
      <c r="G2441" s="2">
        <v>46167</v>
      </c>
      <c r="H2441" s="2">
        <v>46171</v>
      </c>
      <c r="I2441">
        <v>254.54</v>
      </c>
      <c r="J2441">
        <v>107.79</v>
      </c>
      <c r="K2441">
        <v>107.79</v>
      </c>
      <c r="L2441">
        <v>0</v>
      </c>
      <c r="M2441" s="1" t="s">
        <v>21</v>
      </c>
      <c r="N2441" s="1" t="s">
        <v>22</v>
      </c>
      <c r="O2441" s="2">
        <v>46215</v>
      </c>
      <c r="P2441" s="2">
        <v>46215</v>
      </c>
      <c r="Q2441">
        <f>_xlfn.XLOOKUP(E2441,CPT!$A$2:$A$13,CPT!$D$2:$D$13)</f>
        <v>260</v>
      </c>
      <c r="R2441" s="1">
        <f>_xlfn.XLOOKUP(C2441,Contract!$A$2:$A$9,Contract!$B$2:$B$9)</f>
        <v>0.47</v>
      </c>
      <c r="S2441" s="1">
        <f t="shared" si="152"/>
        <v>122.2</v>
      </c>
      <c r="T2441" s="1">
        <f t="shared" si="153"/>
        <v>14.409999999999997</v>
      </c>
      <c r="U2441" s="1" t="str">
        <f t="shared" si="154"/>
        <v>Underpaid</v>
      </c>
      <c r="V2441" s="1" t="str">
        <f>_xlfn.XLOOKUP(C2441,Payers!$A$2:$A$9,Payers!$B$2:$B$9)</f>
        <v>Keystone Commercial PPO</v>
      </c>
      <c r="W2441" s="1" t="str">
        <f t="shared" si="155"/>
        <v>2026-05</v>
      </c>
    </row>
    <row r="2442" spans="1:23">
      <c r="A2442" s="1" t="s">
        <v>4246</v>
      </c>
      <c r="B2442" s="1" t="s">
        <v>4247</v>
      </c>
      <c r="C2442" s="1" t="s">
        <v>47</v>
      </c>
      <c r="D2442" s="1" t="s">
        <v>19</v>
      </c>
      <c r="E2442" s="1" t="s">
        <v>88</v>
      </c>
      <c r="F2442">
        <v>1</v>
      </c>
      <c r="G2442" s="2">
        <v>46279</v>
      </c>
      <c r="H2442" s="2">
        <v>46280</v>
      </c>
      <c r="I2442">
        <v>252.59</v>
      </c>
      <c r="M2442" s="1" t="s">
        <v>69</v>
      </c>
      <c r="N2442" s="1" t="s">
        <v>22</v>
      </c>
      <c r="O2442" s="2"/>
      <c r="P2442" s="2"/>
      <c r="Q2442">
        <f>_xlfn.XLOOKUP(E2442,CPT!$A$2:$A$13,CPT!$D$2:$D$13)</f>
        <v>260</v>
      </c>
      <c r="R2442" s="1">
        <f>_xlfn.XLOOKUP(C2442,Contract!$A$2:$A$9,Contract!$B$2:$B$9)</f>
        <v>0.28000000000000003</v>
      </c>
      <c r="S2442" s="1">
        <f t="shared" si="152"/>
        <v>72.8</v>
      </c>
      <c r="T2442" s="1" t="str">
        <f t="shared" si="153"/>
        <v/>
      </c>
      <c r="U2442" s="1" t="str">
        <f t="shared" si="154"/>
        <v/>
      </c>
      <c r="V2442" s="1" t="str">
        <f>_xlfn.XLOOKUP(C2442,Payers!$A$2:$A$9,Payers!$B$2:$B$9)</f>
        <v>Coastal Medicaid MCO</v>
      </c>
      <c r="W2442" s="1" t="str">
        <f t="shared" si="155"/>
        <v>2026-09</v>
      </c>
    </row>
    <row r="2443" spans="1:23">
      <c r="A2443" s="1" t="s">
        <v>4248</v>
      </c>
      <c r="B2443" s="1" t="s">
        <v>4249</v>
      </c>
      <c r="C2443" s="1" t="s">
        <v>76</v>
      </c>
      <c r="D2443" s="1" t="s">
        <v>19</v>
      </c>
      <c r="E2443" s="1" t="s">
        <v>41</v>
      </c>
      <c r="F2443">
        <v>1</v>
      </c>
      <c r="G2443" s="2">
        <v>46233</v>
      </c>
      <c r="H2443" s="2">
        <v>46234</v>
      </c>
      <c r="I2443">
        <v>38.520000000000003</v>
      </c>
      <c r="J2443">
        <v>17.239999999999998</v>
      </c>
      <c r="K2443">
        <v>13.79</v>
      </c>
      <c r="L2443">
        <v>3.45</v>
      </c>
      <c r="M2443" s="1" t="s">
        <v>21</v>
      </c>
      <c r="N2443" s="1" t="s">
        <v>22</v>
      </c>
      <c r="O2443" s="2">
        <v>46278</v>
      </c>
      <c r="P2443" s="2">
        <v>46278</v>
      </c>
      <c r="Q2443">
        <f>_xlfn.XLOOKUP(E2443,CPT!$A$2:$A$13,CPT!$D$2:$D$13)</f>
        <v>38</v>
      </c>
      <c r="R2443" s="1">
        <f>_xlfn.XLOOKUP(C2443,Contract!$A$2:$A$9,Contract!$B$2:$B$9)</f>
        <v>0.43</v>
      </c>
      <c r="S2443" s="1">
        <f t="shared" si="152"/>
        <v>16.34</v>
      </c>
      <c r="T2443" s="1">
        <f t="shared" si="153"/>
        <v>-0.89999999999999858</v>
      </c>
      <c r="U2443" s="1" t="str">
        <f t="shared" si="154"/>
        <v>OK</v>
      </c>
      <c r="V2443" s="1" t="str">
        <f>_xlfn.XLOOKUP(C2443,Payers!$A$2:$A$9,Payers!$B$2:$B$9)</f>
        <v>Summit Health Commercial</v>
      </c>
      <c r="W2443" s="1" t="str">
        <f t="shared" si="155"/>
        <v>2026-07</v>
      </c>
    </row>
    <row r="2444" spans="1:23">
      <c r="A2444" s="1" t="s">
        <v>4250</v>
      </c>
      <c r="B2444" s="1" t="s">
        <v>4251</v>
      </c>
      <c r="C2444" s="1" t="s">
        <v>47</v>
      </c>
      <c r="D2444" s="1" t="s">
        <v>26</v>
      </c>
      <c r="E2444" s="1" t="s">
        <v>57</v>
      </c>
      <c r="F2444">
        <v>1</v>
      </c>
      <c r="G2444" s="2">
        <v>46211</v>
      </c>
      <c r="H2444" s="2">
        <v>46215</v>
      </c>
      <c r="I2444">
        <v>209.7</v>
      </c>
      <c r="J2444">
        <v>65.48</v>
      </c>
      <c r="K2444">
        <v>58.93</v>
      </c>
      <c r="L2444">
        <v>6.55</v>
      </c>
      <c r="M2444" s="1" t="s">
        <v>21</v>
      </c>
      <c r="N2444" s="1" t="s">
        <v>22</v>
      </c>
      <c r="O2444" s="2">
        <v>46291</v>
      </c>
      <c r="P2444" s="2">
        <v>46291</v>
      </c>
      <c r="Q2444">
        <f>_xlfn.XLOOKUP(E2444,CPT!$A$2:$A$13,CPT!$D$2:$D$13)</f>
        <v>210</v>
      </c>
      <c r="R2444" s="1">
        <f>_xlfn.XLOOKUP(C2444,Contract!$A$2:$A$9,Contract!$B$2:$B$9)</f>
        <v>0.28000000000000003</v>
      </c>
      <c r="S2444" s="1">
        <f t="shared" si="152"/>
        <v>58.8</v>
      </c>
      <c r="T2444" s="1">
        <f t="shared" si="153"/>
        <v>-6.6800000000000068</v>
      </c>
      <c r="U2444" s="1" t="str">
        <f t="shared" si="154"/>
        <v>OK</v>
      </c>
      <c r="V2444" s="1" t="str">
        <f>_xlfn.XLOOKUP(C2444,Payers!$A$2:$A$9,Payers!$B$2:$B$9)</f>
        <v>Coastal Medicaid MCO</v>
      </c>
      <c r="W2444" s="1" t="str">
        <f t="shared" si="155"/>
        <v>2026-07</v>
      </c>
    </row>
    <row r="2445" spans="1:23">
      <c r="A2445" s="1" t="s">
        <v>4252</v>
      </c>
      <c r="B2445" s="1" t="s">
        <v>4253</v>
      </c>
      <c r="C2445" s="1" t="s">
        <v>60</v>
      </c>
      <c r="D2445" s="1" t="s">
        <v>26</v>
      </c>
      <c r="E2445" s="1" t="s">
        <v>41</v>
      </c>
      <c r="F2445">
        <v>1</v>
      </c>
      <c r="G2445" s="2">
        <v>46220</v>
      </c>
      <c r="H2445" s="2">
        <v>46223</v>
      </c>
      <c r="I2445">
        <v>38.9</v>
      </c>
      <c r="J2445">
        <v>17.489999999999998</v>
      </c>
      <c r="K2445">
        <v>17.489999999999998</v>
      </c>
      <c r="L2445">
        <v>0</v>
      </c>
      <c r="M2445" s="1" t="s">
        <v>21</v>
      </c>
      <c r="N2445" s="1" t="s">
        <v>22</v>
      </c>
      <c r="O2445" s="2">
        <v>46245</v>
      </c>
      <c r="P2445" s="2">
        <v>46245</v>
      </c>
      <c r="Q2445">
        <f>_xlfn.XLOOKUP(E2445,CPT!$A$2:$A$13,CPT!$D$2:$D$13)</f>
        <v>38</v>
      </c>
      <c r="R2445" s="1">
        <f>_xlfn.XLOOKUP(C2445,Contract!$A$2:$A$9,Contract!$B$2:$B$9)</f>
        <v>0.45</v>
      </c>
      <c r="S2445" s="1">
        <f t="shared" si="152"/>
        <v>17.100000000000001</v>
      </c>
      <c r="T2445" s="1">
        <f t="shared" si="153"/>
        <v>-0.38999999999999702</v>
      </c>
      <c r="U2445" s="1" t="str">
        <f t="shared" si="154"/>
        <v>OK</v>
      </c>
      <c r="V2445" s="1" t="str">
        <f>_xlfn.XLOOKUP(C2445,Payers!$A$2:$A$9,Payers!$B$2:$B$9)</f>
        <v>Blue Horizon Commercial</v>
      </c>
      <c r="W2445" s="1" t="str">
        <f t="shared" si="155"/>
        <v>2026-07</v>
      </c>
    </row>
    <row r="2446" spans="1:23">
      <c r="A2446" s="1" t="s">
        <v>4254</v>
      </c>
      <c r="B2446" s="1" t="s">
        <v>2617</v>
      </c>
      <c r="C2446" s="1" t="s">
        <v>60</v>
      </c>
      <c r="D2446" s="1" t="s">
        <v>30</v>
      </c>
      <c r="E2446" s="1" t="s">
        <v>91</v>
      </c>
      <c r="F2446">
        <v>1</v>
      </c>
      <c r="G2446" s="2">
        <v>45974</v>
      </c>
      <c r="H2446" s="2">
        <v>45980</v>
      </c>
      <c r="I2446">
        <v>59.55</v>
      </c>
      <c r="J2446">
        <v>27.25</v>
      </c>
      <c r="K2446">
        <v>27.25</v>
      </c>
      <c r="L2446">
        <v>0</v>
      </c>
      <c r="M2446" s="1" t="s">
        <v>21</v>
      </c>
      <c r="N2446" s="1" t="s">
        <v>22</v>
      </c>
      <c r="O2446" s="2">
        <v>46003</v>
      </c>
      <c r="P2446" s="2">
        <v>46003</v>
      </c>
      <c r="Q2446">
        <f>_xlfn.XLOOKUP(E2446,CPT!$A$2:$A$13,CPT!$D$2:$D$13)</f>
        <v>58</v>
      </c>
      <c r="R2446" s="1">
        <f>_xlfn.XLOOKUP(C2446,Contract!$A$2:$A$9,Contract!$B$2:$B$9)</f>
        <v>0.45</v>
      </c>
      <c r="S2446" s="1">
        <f t="shared" si="152"/>
        <v>26.1</v>
      </c>
      <c r="T2446" s="1">
        <f t="shared" si="153"/>
        <v>-1.1499999999999986</v>
      </c>
      <c r="U2446" s="1" t="str">
        <f t="shared" si="154"/>
        <v>OK</v>
      </c>
      <c r="V2446" s="1" t="str">
        <f>_xlfn.XLOOKUP(C2446,Payers!$A$2:$A$9,Payers!$B$2:$B$9)</f>
        <v>Blue Horizon Commercial</v>
      </c>
      <c r="W2446" s="1" t="str">
        <f t="shared" si="155"/>
        <v>2025-11</v>
      </c>
    </row>
    <row r="2447" spans="1:23">
      <c r="A2447" s="1" t="s">
        <v>4255</v>
      </c>
      <c r="B2447" s="1" t="s">
        <v>536</v>
      </c>
      <c r="C2447" s="1" t="s">
        <v>76</v>
      </c>
      <c r="D2447" s="1" t="s">
        <v>19</v>
      </c>
      <c r="E2447" s="1" t="s">
        <v>57</v>
      </c>
      <c r="F2447">
        <v>1</v>
      </c>
      <c r="G2447" s="2">
        <v>46014</v>
      </c>
      <c r="H2447" s="2">
        <v>46019</v>
      </c>
      <c r="I2447">
        <v>206.62</v>
      </c>
      <c r="J2447">
        <v>76.02</v>
      </c>
      <c r="K2447">
        <v>76.02</v>
      </c>
      <c r="L2447">
        <v>0</v>
      </c>
      <c r="M2447" s="1" t="s">
        <v>21</v>
      </c>
      <c r="N2447" s="1" t="s">
        <v>22</v>
      </c>
      <c r="O2447" s="2">
        <v>46053</v>
      </c>
      <c r="P2447" s="2">
        <v>46053</v>
      </c>
      <c r="Q2447">
        <f>_xlfn.XLOOKUP(E2447,CPT!$A$2:$A$13,CPT!$D$2:$D$13)</f>
        <v>210</v>
      </c>
      <c r="R2447" s="1">
        <f>_xlfn.XLOOKUP(C2447,Contract!$A$2:$A$9,Contract!$B$2:$B$9)</f>
        <v>0.43</v>
      </c>
      <c r="S2447" s="1">
        <f t="shared" si="152"/>
        <v>90.3</v>
      </c>
      <c r="T2447" s="1">
        <f t="shared" si="153"/>
        <v>14.280000000000001</v>
      </c>
      <c r="U2447" s="1" t="str">
        <f t="shared" si="154"/>
        <v>Underpaid</v>
      </c>
      <c r="V2447" s="1" t="str">
        <f>_xlfn.XLOOKUP(C2447,Payers!$A$2:$A$9,Payers!$B$2:$B$9)</f>
        <v>Summit Health Commercial</v>
      </c>
      <c r="W2447" s="1" t="str">
        <f t="shared" si="155"/>
        <v>2025-12</v>
      </c>
    </row>
    <row r="2448" spans="1:23">
      <c r="A2448" s="1" t="s">
        <v>4256</v>
      </c>
      <c r="B2448" s="1" t="s">
        <v>2695</v>
      </c>
      <c r="C2448" s="1" t="s">
        <v>76</v>
      </c>
      <c r="D2448" s="1" t="s">
        <v>19</v>
      </c>
      <c r="E2448" s="1" t="s">
        <v>57</v>
      </c>
      <c r="F2448">
        <v>1</v>
      </c>
      <c r="G2448" s="2">
        <v>46125</v>
      </c>
      <c r="H2448" s="2">
        <v>46128</v>
      </c>
      <c r="I2448">
        <v>203.98</v>
      </c>
      <c r="J2448">
        <v>74.38</v>
      </c>
      <c r="K2448">
        <v>66.94</v>
      </c>
      <c r="L2448">
        <v>7.44</v>
      </c>
      <c r="M2448" s="1" t="s">
        <v>21</v>
      </c>
      <c r="N2448" s="1" t="s">
        <v>22</v>
      </c>
      <c r="O2448" s="2">
        <v>46173</v>
      </c>
      <c r="P2448" s="2">
        <v>46173</v>
      </c>
      <c r="Q2448">
        <f>_xlfn.XLOOKUP(E2448,CPT!$A$2:$A$13,CPT!$D$2:$D$13)</f>
        <v>210</v>
      </c>
      <c r="R2448" s="1">
        <f>_xlfn.XLOOKUP(C2448,Contract!$A$2:$A$9,Contract!$B$2:$B$9)</f>
        <v>0.43</v>
      </c>
      <c r="S2448" s="1">
        <f t="shared" si="152"/>
        <v>90.3</v>
      </c>
      <c r="T2448" s="1">
        <f t="shared" si="153"/>
        <v>15.920000000000002</v>
      </c>
      <c r="U2448" s="1" t="str">
        <f t="shared" si="154"/>
        <v>Underpaid</v>
      </c>
      <c r="V2448" s="1" t="str">
        <f>_xlfn.XLOOKUP(C2448,Payers!$A$2:$A$9,Payers!$B$2:$B$9)</f>
        <v>Summit Health Commercial</v>
      </c>
      <c r="W2448" s="1" t="str">
        <f t="shared" si="155"/>
        <v>2026-04</v>
      </c>
    </row>
    <row r="2449" spans="1:23">
      <c r="A2449" s="1" t="s">
        <v>4257</v>
      </c>
      <c r="B2449" s="1" t="s">
        <v>4258</v>
      </c>
      <c r="C2449" s="1" t="s">
        <v>76</v>
      </c>
      <c r="D2449" s="1" t="s">
        <v>26</v>
      </c>
      <c r="E2449" s="1" t="s">
        <v>88</v>
      </c>
      <c r="F2449">
        <v>1</v>
      </c>
      <c r="G2449" s="2">
        <v>46107</v>
      </c>
      <c r="H2449" s="2">
        <v>46108</v>
      </c>
      <c r="I2449">
        <v>262.41000000000003</v>
      </c>
      <c r="J2449">
        <v>125.44</v>
      </c>
      <c r="K2449">
        <v>112.9</v>
      </c>
      <c r="L2449">
        <v>12.54</v>
      </c>
      <c r="M2449" s="1" t="s">
        <v>21</v>
      </c>
      <c r="N2449" s="1" t="s">
        <v>22</v>
      </c>
      <c r="O2449" s="2">
        <v>46120</v>
      </c>
      <c r="P2449" s="2">
        <v>46120</v>
      </c>
      <c r="Q2449">
        <f>_xlfn.XLOOKUP(E2449,CPT!$A$2:$A$13,CPT!$D$2:$D$13)</f>
        <v>260</v>
      </c>
      <c r="R2449" s="1">
        <f>_xlfn.XLOOKUP(C2449,Contract!$A$2:$A$9,Contract!$B$2:$B$9)</f>
        <v>0.43</v>
      </c>
      <c r="S2449" s="1">
        <f t="shared" si="152"/>
        <v>111.8</v>
      </c>
      <c r="T2449" s="1">
        <f t="shared" si="153"/>
        <v>-13.64</v>
      </c>
      <c r="U2449" s="1" t="str">
        <f t="shared" si="154"/>
        <v>OK</v>
      </c>
      <c r="V2449" s="1" t="str">
        <f>_xlfn.XLOOKUP(C2449,Payers!$A$2:$A$9,Payers!$B$2:$B$9)</f>
        <v>Summit Health Commercial</v>
      </c>
      <c r="W2449" s="1" t="str">
        <f t="shared" si="155"/>
        <v>2026-03</v>
      </c>
    </row>
    <row r="2450" spans="1:23">
      <c r="A2450" s="1" t="s">
        <v>4259</v>
      </c>
      <c r="B2450" s="1" t="s">
        <v>871</v>
      </c>
      <c r="C2450" s="1" t="s">
        <v>60</v>
      </c>
      <c r="D2450" s="1" t="s">
        <v>26</v>
      </c>
      <c r="E2450" s="1" t="s">
        <v>185</v>
      </c>
      <c r="F2450">
        <v>1</v>
      </c>
      <c r="G2450" s="2">
        <v>46189</v>
      </c>
      <c r="H2450" s="2">
        <v>46192</v>
      </c>
      <c r="I2450">
        <v>1139.21</v>
      </c>
      <c r="J2450">
        <v>438.16</v>
      </c>
      <c r="K2450">
        <v>394.34</v>
      </c>
      <c r="L2450">
        <v>43.82</v>
      </c>
      <c r="M2450" s="1" t="s">
        <v>21</v>
      </c>
      <c r="N2450" s="1" t="s">
        <v>22</v>
      </c>
      <c r="O2450" s="2">
        <v>46205</v>
      </c>
      <c r="P2450" s="2">
        <v>46205</v>
      </c>
      <c r="Q2450">
        <f>_xlfn.XLOOKUP(E2450,CPT!$A$2:$A$13,CPT!$D$2:$D$13)</f>
        <v>1150</v>
      </c>
      <c r="R2450" s="1">
        <f>_xlfn.XLOOKUP(C2450,Contract!$A$2:$A$9,Contract!$B$2:$B$9)</f>
        <v>0.45</v>
      </c>
      <c r="S2450" s="1">
        <f t="shared" si="152"/>
        <v>517.5</v>
      </c>
      <c r="T2450" s="1">
        <f t="shared" si="153"/>
        <v>79.339999999999975</v>
      </c>
      <c r="U2450" s="1" t="str">
        <f t="shared" si="154"/>
        <v>Underpaid</v>
      </c>
      <c r="V2450" s="1" t="str">
        <f>_xlfn.XLOOKUP(C2450,Payers!$A$2:$A$9,Payers!$B$2:$B$9)</f>
        <v>Blue Horizon Commercial</v>
      </c>
      <c r="W2450" s="1" t="str">
        <f t="shared" si="155"/>
        <v>2026-06</v>
      </c>
    </row>
    <row r="2451" spans="1:23">
      <c r="A2451" s="1" t="s">
        <v>4260</v>
      </c>
      <c r="B2451" s="1" t="s">
        <v>971</v>
      </c>
      <c r="C2451" s="1" t="s">
        <v>76</v>
      </c>
      <c r="D2451" s="1" t="s">
        <v>30</v>
      </c>
      <c r="E2451" s="1" t="s">
        <v>20</v>
      </c>
      <c r="F2451">
        <v>1</v>
      </c>
      <c r="G2451" s="2">
        <v>46203</v>
      </c>
      <c r="H2451" s="2">
        <v>46215</v>
      </c>
      <c r="I2451">
        <v>144.82</v>
      </c>
      <c r="M2451" s="1" t="s">
        <v>32</v>
      </c>
      <c r="N2451" s="1" t="s">
        <v>98</v>
      </c>
      <c r="O2451" s="2">
        <v>46262</v>
      </c>
      <c r="P2451" s="2"/>
      <c r="Q2451">
        <f>_xlfn.XLOOKUP(E2451,CPT!$A$2:$A$13,CPT!$D$2:$D$13)</f>
        <v>145</v>
      </c>
      <c r="R2451" s="1">
        <f>_xlfn.XLOOKUP(C2451,Contract!$A$2:$A$9,Contract!$B$2:$B$9)</f>
        <v>0.43</v>
      </c>
      <c r="S2451" s="1">
        <f t="shared" si="152"/>
        <v>62.35</v>
      </c>
      <c r="T2451" s="1" t="str">
        <f t="shared" si="153"/>
        <v/>
      </c>
      <c r="U2451" s="1" t="str">
        <f t="shared" si="154"/>
        <v/>
      </c>
      <c r="V2451" s="1" t="str">
        <f>_xlfn.XLOOKUP(C2451,Payers!$A$2:$A$9,Payers!$B$2:$B$9)</f>
        <v>Summit Health Commercial</v>
      </c>
      <c r="W2451" s="1" t="str">
        <f t="shared" si="155"/>
        <v>2026-06</v>
      </c>
    </row>
    <row r="2452" spans="1:23">
      <c r="A2452" s="1" t="s">
        <v>4261</v>
      </c>
      <c r="B2452" s="1" t="s">
        <v>534</v>
      </c>
      <c r="C2452" s="1" t="s">
        <v>79</v>
      </c>
      <c r="D2452" s="1" t="s">
        <v>26</v>
      </c>
      <c r="E2452" s="1" t="s">
        <v>185</v>
      </c>
      <c r="F2452">
        <v>1</v>
      </c>
      <c r="G2452" s="2">
        <v>46004</v>
      </c>
      <c r="H2452" s="2">
        <v>46005</v>
      </c>
      <c r="I2452">
        <v>1152.03</v>
      </c>
      <c r="M2452" s="1" t="s">
        <v>69</v>
      </c>
      <c r="N2452" s="1" t="s">
        <v>22</v>
      </c>
      <c r="O2452" s="2"/>
      <c r="P2452" s="2"/>
      <c r="Q2452">
        <f>_xlfn.XLOOKUP(E2452,CPT!$A$2:$A$13,CPT!$D$2:$D$13)</f>
        <v>1150</v>
      </c>
      <c r="R2452" s="1">
        <f>_xlfn.XLOOKUP(C2452,Contract!$A$2:$A$9,Contract!$B$2:$B$9)</f>
        <v>1</v>
      </c>
      <c r="S2452" s="1">
        <f t="shared" si="152"/>
        <v>1150</v>
      </c>
      <c r="T2452" s="1" t="str">
        <f t="shared" si="153"/>
        <v/>
      </c>
      <c r="U2452" s="1" t="str">
        <f t="shared" si="154"/>
        <v/>
      </c>
      <c r="V2452" s="1" t="str">
        <f>_xlfn.XLOOKUP(C2452,Payers!$A$2:$A$9,Payers!$B$2:$B$9)</f>
        <v>Self-Pay</v>
      </c>
      <c r="W2452" s="1" t="str">
        <f t="shared" si="155"/>
        <v>2025-12</v>
      </c>
    </row>
    <row r="2453" spans="1:23">
      <c r="A2453" s="1" t="s">
        <v>4262</v>
      </c>
      <c r="B2453" s="1" t="s">
        <v>4263</v>
      </c>
      <c r="C2453" s="1" t="s">
        <v>52</v>
      </c>
      <c r="D2453" s="1" t="s">
        <v>19</v>
      </c>
      <c r="E2453" s="1" t="s">
        <v>20</v>
      </c>
      <c r="F2453">
        <v>1</v>
      </c>
      <c r="G2453" s="2">
        <v>46148</v>
      </c>
      <c r="H2453" s="2">
        <v>46153</v>
      </c>
      <c r="I2453">
        <v>145.44</v>
      </c>
      <c r="J2453">
        <v>66.52</v>
      </c>
      <c r="K2453">
        <v>66.52</v>
      </c>
      <c r="L2453">
        <v>0</v>
      </c>
      <c r="M2453" s="1" t="s">
        <v>21</v>
      </c>
      <c r="N2453" s="1" t="s">
        <v>22</v>
      </c>
      <c r="O2453" s="2">
        <v>46205</v>
      </c>
      <c r="P2453" s="2">
        <v>46205</v>
      </c>
      <c r="Q2453">
        <f>_xlfn.XLOOKUP(E2453,CPT!$A$2:$A$13,CPT!$D$2:$D$13)</f>
        <v>145</v>
      </c>
      <c r="R2453" s="1">
        <f>_xlfn.XLOOKUP(C2453,Contract!$A$2:$A$9,Contract!$B$2:$B$9)</f>
        <v>0.47</v>
      </c>
      <c r="S2453" s="1">
        <f t="shared" si="152"/>
        <v>68.150000000000006</v>
      </c>
      <c r="T2453" s="1">
        <f t="shared" si="153"/>
        <v>1.6300000000000097</v>
      </c>
      <c r="U2453" s="1" t="str">
        <f t="shared" si="154"/>
        <v>OK</v>
      </c>
      <c r="V2453" s="1" t="str">
        <f>_xlfn.XLOOKUP(C2453,Payers!$A$2:$A$9,Payers!$B$2:$B$9)</f>
        <v>Keystone Commercial PPO</v>
      </c>
      <c r="W2453" s="1" t="str">
        <f t="shared" si="155"/>
        <v>2026-05</v>
      </c>
    </row>
    <row r="2454" spans="1:23">
      <c r="A2454" s="1" t="s">
        <v>4264</v>
      </c>
      <c r="B2454" s="1" t="s">
        <v>4137</v>
      </c>
      <c r="C2454" s="1" t="s">
        <v>47</v>
      </c>
      <c r="D2454" s="1" t="s">
        <v>26</v>
      </c>
      <c r="E2454" s="1" t="s">
        <v>27</v>
      </c>
      <c r="F2454">
        <v>1</v>
      </c>
      <c r="G2454" s="2">
        <v>46017</v>
      </c>
      <c r="H2454" s="2">
        <v>46026</v>
      </c>
      <c r="I2454">
        <v>234.56</v>
      </c>
      <c r="J2454">
        <v>55.96</v>
      </c>
      <c r="K2454">
        <v>50.36</v>
      </c>
      <c r="L2454">
        <v>5.6</v>
      </c>
      <c r="M2454" s="1" t="s">
        <v>21</v>
      </c>
      <c r="N2454" s="1" t="s">
        <v>22</v>
      </c>
      <c r="O2454" s="2">
        <v>46107</v>
      </c>
      <c r="P2454" s="2">
        <v>46107</v>
      </c>
      <c r="Q2454">
        <f>_xlfn.XLOOKUP(E2454,CPT!$A$2:$A$13,CPT!$D$2:$D$13)</f>
        <v>240</v>
      </c>
      <c r="R2454" s="1">
        <f>_xlfn.XLOOKUP(C2454,Contract!$A$2:$A$9,Contract!$B$2:$B$9)</f>
        <v>0.28000000000000003</v>
      </c>
      <c r="S2454" s="1">
        <f t="shared" si="152"/>
        <v>67.2</v>
      </c>
      <c r="T2454" s="1">
        <f t="shared" si="153"/>
        <v>11.240000000000002</v>
      </c>
      <c r="U2454" s="1" t="str">
        <f t="shared" si="154"/>
        <v>Underpaid</v>
      </c>
      <c r="V2454" s="1" t="str">
        <f>_xlfn.XLOOKUP(C2454,Payers!$A$2:$A$9,Payers!$B$2:$B$9)</f>
        <v>Coastal Medicaid MCO</v>
      </c>
      <c r="W2454" s="1" t="str">
        <f t="shared" si="155"/>
        <v>2025-12</v>
      </c>
    </row>
    <row r="2455" spans="1:23">
      <c r="A2455" s="1" t="s">
        <v>4265</v>
      </c>
      <c r="B2455" s="1" t="s">
        <v>4266</v>
      </c>
      <c r="C2455" s="1" t="s">
        <v>47</v>
      </c>
      <c r="D2455" s="1" t="s">
        <v>19</v>
      </c>
      <c r="E2455" s="1" t="s">
        <v>41</v>
      </c>
      <c r="F2455">
        <v>1</v>
      </c>
      <c r="G2455" s="2">
        <v>46234</v>
      </c>
      <c r="H2455" s="2">
        <v>46239</v>
      </c>
      <c r="I2455">
        <v>38.630000000000003</v>
      </c>
      <c r="J2455">
        <v>10.68</v>
      </c>
      <c r="K2455">
        <v>8.5399999999999991</v>
      </c>
      <c r="L2455">
        <v>2.14</v>
      </c>
      <c r="M2455" s="1" t="s">
        <v>21</v>
      </c>
      <c r="N2455" s="1" t="s">
        <v>22</v>
      </c>
      <c r="O2455" s="2">
        <v>46284</v>
      </c>
      <c r="P2455" s="2">
        <v>46284</v>
      </c>
      <c r="Q2455">
        <f>_xlfn.XLOOKUP(E2455,CPT!$A$2:$A$13,CPT!$D$2:$D$13)</f>
        <v>38</v>
      </c>
      <c r="R2455" s="1">
        <f>_xlfn.XLOOKUP(C2455,Contract!$A$2:$A$9,Contract!$B$2:$B$9)</f>
        <v>0.28000000000000003</v>
      </c>
      <c r="S2455" s="1">
        <f t="shared" si="152"/>
        <v>10.64</v>
      </c>
      <c r="T2455" s="1">
        <f t="shared" si="153"/>
        <v>-3.9999999999999147E-2</v>
      </c>
      <c r="U2455" s="1" t="str">
        <f t="shared" si="154"/>
        <v>OK</v>
      </c>
      <c r="V2455" s="1" t="str">
        <f>_xlfn.XLOOKUP(C2455,Payers!$A$2:$A$9,Payers!$B$2:$B$9)</f>
        <v>Coastal Medicaid MCO</v>
      </c>
      <c r="W2455" s="1" t="str">
        <f t="shared" si="155"/>
        <v>2026-07</v>
      </c>
    </row>
    <row r="2456" spans="1:23">
      <c r="A2456" s="1" t="s">
        <v>4267</v>
      </c>
      <c r="B2456" s="1" t="s">
        <v>2663</v>
      </c>
      <c r="C2456" s="1" t="s">
        <v>60</v>
      </c>
      <c r="D2456" s="1" t="s">
        <v>19</v>
      </c>
      <c r="E2456" s="1" t="s">
        <v>41</v>
      </c>
      <c r="F2456">
        <v>1</v>
      </c>
      <c r="G2456" s="2">
        <v>45988</v>
      </c>
      <c r="H2456" s="2">
        <v>45993</v>
      </c>
      <c r="I2456">
        <v>37.94</v>
      </c>
      <c r="J2456">
        <v>16.010000000000002</v>
      </c>
      <c r="K2456">
        <v>16.010000000000002</v>
      </c>
      <c r="L2456">
        <v>0</v>
      </c>
      <c r="M2456" s="1" t="s">
        <v>21</v>
      </c>
      <c r="N2456" s="1" t="s">
        <v>22</v>
      </c>
      <c r="O2456" s="2">
        <v>46015</v>
      </c>
      <c r="P2456" s="2">
        <v>46015</v>
      </c>
      <c r="Q2456">
        <f>_xlfn.XLOOKUP(E2456,CPT!$A$2:$A$13,CPT!$D$2:$D$13)</f>
        <v>38</v>
      </c>
      <c r="R2456" s="1">
        <f>_xlfn.XLOOKUP(C2456,Contract!$A$2:$A$9,Contract!$B$2:$B$9)</f>
        <v>0.45</v>
      </c>
      <c r="S2456" s="1">
        <f t="shared" si="152"/>
        <v>17.100000000000001</v>
      </c>
      <c r="T2456" s="1">
        <f t="shared" si="153"/>
        <v>1.0899999999999999</v>
      </c>
      <c r="U2456" s="1" t="str">
        <f t="shared" si="154"/>
        <v>Underpaid</v>
      </c>
      <c r="V2456" s="1" t="str">
        <f>_xlfn.XLOOKUP(C2456,Payers!$A$2:$A$9,Payers!$B$2:$B$9)</f>
        <v>Blue Horizon Commercial</v>
      </c>
      <c r="W2456" s="1" t="str">
        <f t="shared" si="155"/>
        <v>2025-11</v>
      </c>
    </row>
    <row r="2457" spans="1:23">
      <c r="A2457" s="1" t="s">
        <v>4268</v>
      </c>
      <c r="B2457" s="1" t="s">
        <v>833</v>
      </c>
      <c r="C2457" s="1" t="s">
        <v>52</v>
      </c>
      <c r="D2457" s="1" t="s">
        <v>19</v>
      </c>
      <c r="E2457" s="1" t="s">
        <v>20</v>
      </c>
      <c r="F2457">
        <v>1</v>
      </c>
      <c r="G2457" s="2">
        <v>45940</v>
      </c>
      <c r="H2457" s="2">
        <v>45945</v>
      </c>
      <c r="I2457">
        <v>143.47</v>
      </c>
      <c r="M2457" s="1" t="s">
        <v>32</v>
      </c>
      <c r="N2457" s="1" t="s">
        <v>124</v>
      </c>
      <c r="O2457" s="2">
        <v>45994</v>
      </c>
      <c r="P2457" s="2"/>
      <c r="Q2457">
        <f>_xlfn.XLOOKUP(E2457,CPT!$A$2:$A$13,CPT!$D$2:$D$13)</f>
        <v>145</v>
      </c>
      <c r="R2457" s="1">
        <f>_xlfn.XLOOKUP(C2457,Contract!$A$2:$A$9,Contract!$B$2:$B$9)</f>
        <v>0.47</v>
      </c>
      <c r="S2457" s="1">
        <f t="shared" si="152"/>
        <v>68.150000000000006</v>
      </c>
      <c r="T2457" s="1" t="str">
        <f t="shared" si="153"/>
        <v/>
      </c>
      <c r="U2457" s="1" t="str">
        <f t="shared" si="154"/>
        <v/>
      </c>
      <c r="V2457" s="1" t="str">
        <f>_xlfn.XLOOKUP(C2457,Payers!$A$2:$A$9,Payers!$B$2:$B$9)</f>
        <v>Keystone Commercial PPO</v>
      </c>
      <c r="W2457" s="1" t="str">
        <f t="shared" si="155"/>
        <v>2025-10</v>
      </c>
    </row>
    <row r="2458" spans="1:23">
      <c r="A2458" s="1" t="s">
        <v>4269</v>
      </c>
      <c r="B2458" s="1" t="s">
        <v>4270</v>
      </c>
      <c r="C2458" s="1" t="s">
        <v>18</v>
      </c>
      <c r="D2458" s="1" t="s">
        <v>37</v>
      </c>
      <c r="E2458" s="1" t="s">
        <v>57</v>
      </c>
      <c r="F2458">
        <v>1</v>
      </c>
      <c r="G2458" s="2">
        <v>45973</v>
      </c>
      <c r="H2458" s="2">
        <v>45976</v>
      </c>
      <c r="I2458">
        <v>212.81</v>
      </c>
      <c r="J2458">
        <v>92.72</v>
      </c>
      <c r="K2458">
        <v>74.180000000000007</v>
      </c>
      <c r="L2458">
        <v>18.54</v>
      </c>
      <c r="M2458" s="1" t="s">
        <v>21</v>
      </c>
      <c r="N2458" s="1" t="s">
        <v>22</v>
      </c>
      <c r="O2458" s="2">
        <v>46039</v>
      </c>
      <c r="P2458" s="2">
        <v>46039</v>
      </c>
      <c r="Q2458">
        <f>_xlfn.XLOOKUP(E2458,CPT!$A$2:$A$13,CPT!$D$2:$D$13)</f>
        <v>210</v>
      </c>
      <c r="R2458" s="1">
        <f>_xlfn.XLOOKUP(C2458,Contract!$A$2:$A$9,Contract!$B$2:$B$9)</f>
        <v>0.38</v>
      </c>
      <c r="S2458" s="1">
        <f t="shared" si="152"/>
        <v>79.8</v>
      </c>
      <c r="T2458" s="1">
        <f t="shared" si="153"/>
        <v>-12.920000000000002</v>
      </c>
      <c r="U2458" s="1" t="str">
        <f t="shared" si="154"/>
        <v>OK</v>
      </c>
      <c r="V2458" s="1" t="str">
        <f>_xlfn.XLOOKUP(C2458,Payers!$A$2:$A$9,Payers!$B$2:$B$9)</f>
        <v>Sunshine Medicare Advantage</v>
      </c>
      <c r="W2458" s="1" t="str">
        <f t="shared" si="155"/>
        <v>2025-11</v>
      </c>
    </row>
    <row r="2459" spans="1:23">
      <c r="A2459" s="1" t="s">
        <v>4271</v>
      </c>
      <c r="B2459" s="1" t="s">
        <v>4272</v>
      </c>
      <c r="C2459" s="1" t="s">
        <v>18</v>
      </c>
      <c r="D2459" s="1" t="s">
        <v>26</v>
      </c>
      <c r="E2459" s="1" t="s">
        <v>44</v>
      </c>
      <c r="F2459">
        <v>1</v>
      </c>
      <c r="G2459" s="2">
        <v>45959</v>
      </c>
      <c r="H2459" s="2">
        <v>45961</v>
      </c>
      <c r="I2459">
        <v>4906.1099999999997</v>
      </c>
      <c r="J2459">
        <v>2095.1999999999998</v>
      </c>
      <c r="K2459">
        <v>1885.68</v>
      </c>
      <c r="L2459">
        <v>209.52</v>
      </c>
      <c r="M2459" s="1" t="s">
        <v>21</v>
      </c>
      <c r="N2459" s="1" t="s">
        <v>22</v>
      </c>
      <c r="O2459" s="2">
        <v>46018</v>
      </c>
      <c r="P2459" s="2">
        <v>46018</v>
      </c>
      <c r="Q2459">
        <f>_xlfn.XLOOKUP(E2459,CPT!$A$2:$A$13,CPT!$D$2:$D$13)</f>
        <v>4800</v>
      </c>
      <c r="R2459" s="1">
        <f>_xlfn.XLOOKUP(C2459,Contract!$A$2:$A$9,Contract!$B$2:$B$9)</f>
        <v>0.38</v>
      </c>
      <c r="S2459" s="1">
        <f t="shared" si="152"/>
        <v>1824</v>
      </c>
      <c r="T2459" s="1">
        <f t="shared" si="153"/>
        <v>-271.19999999999982</v>
      </c>
      <c r="U2459" s="1" t="str">
        <f t="shared" si="154"/>
        <v>OK</v>
      </c>
      <c r="V2459" s="1" t="str">
        <f>_xlfn.XLOOKUP(C2459,Payers!$A$2:$A$9,Payers!$B$2:$B$9)</f>
        <v>Sunshine Medicare Advantage</v>
      </c>
      <c r="W2459" s="1" t="str">
        <f t="shared" si="155"/>
        <v>2025-10</v>
      </c>
    </row>
    <row r="2460" spans="1:23">
      <c r="A2460" s="1" t="s">
        <v>4273</v>
      </c>
      <c r="B2460" s="1" t="s">
        <v>4274</v>
      </c>
      <c r="C2460" s="1" t="s">
        <v>76</v>
      </c>
      <c r="D2460" s="1" t="s">
        <v>37</v>
      </c>
      <c r="E2460" s="1" t="s">
        <v>38</v>
      </c>
      <c r="F2460">
        <v>30</v>
      </c>
      <c r="G2460" s="2">
        <v>46138</v>
      </c>
      <c r="H2460" s="2">
        <v>46139</v>
      </c>
      <c r="I2460">
        <v>42854.97</v>
      </c>
      <c r="M2460" s="1" t="s">
        <v>32</v>
      </c>
      <c r="N2460" s="1" t="s">
        <v>168</v>
      </c>
      <c r="O2460" s="2">
        <v>46150</v>
      </c>
      <c r="P2460" s="2"/>
      <c r="Q2460">
        <f>_xlfn.XLOOKUP(E2460,CPT!$A$2:$A$13,CPT!$D$2:$D$13)</f>
        <v>1450</v>
      </c>
      <c r="R2460" s="1">
        <f>_xlfn.XLOOKUP(C2460,Contract!$A$2:$A$9,Contract!$B$2:$B$9)</f>
        <v>0.43</v>
      </c>
      <c r="S2460" s="1">
        <f t="shared" si="152"/>
        <v>18705</v>
      </c>
      <c r="T2460" s="1" t="str">
        <f t="shared" si="153"/>
        <v/>
      </c>
      <c r="U2460" s="1" t="str">
        <f t="shared" si="154"/>
        <v/>
      </c>
      <c r="V2460" s="1" t="str">
        <f>_xlfn.XLOOKUP(C2460,Payers!$A$2:$A$9,Payers!$B$2:$B$9)</f>
        <v>Summit Health Commercial</v>
      </c>
      <c r="W2460" s="1" t="str">
        <f t="shared" si="155"/>
        <v>2026-04</v>
      </c>
    </row>
    <row r="2461" spans="1:23">
      <c r="A2461" s="1" t="s">
        <v>4275</v>
      </c>
      <c r="B2461" s="1" t="s">
        <v>951</v>
      </c>
      <c r="C2461" s="1" t="s">
        <v>60</v>
      </c>
      <c r="D2461" s="1" t="s">
        <v>19</v>
      </c>
      <c r="E2461" s="1" t="s">
        <v>41</v>
      </c>
      <c r="F2461">
        <v>1</v>
      </c>
      <c r="G2461" s="2">
        <v>46052</v>
      </c>
      <c r="H2461" s="2">
        <v>46053</v>
      </c>
      <c r="I2461">
        <v>38.43</v>
      </c>
      <c r="J2461">
        <v>18.07</v>
      </c>
      <c r="K2461">
        <v>14.46</v>
      </c>
      <c r="L2461">
        <v>3.61</v>
      </c>
      <c r="M2461" s="1" t="s">
        <v>21</v>
      </c>
      <c r="N2461" s="1" t="s">
        <v>22</v>
      </c>
      <c r="O2461" s="2">
        <v>46083</v>
      </c>
      <c r="P2461" s="2">
        <v>46083</v>
      </c>
      <c r="Q2461">
        <f>_xlfn.XLOOKUP(E2461,CPT!$A$2:$A$13,CPT!$D$2:$D$13)</f>
        <v>38</v>
      </c>
      <c r="R2461" s="1">
        <f>_xlfn.XLOOKUP(C2461,Contract!$A$2:$A$9,Contract!$B$2:$B$9)</f>
        <v>0.45</v>
      </c>
      <c r="S2461" s="1">
        <f t="shared" si="152"/>
        <v>17.100000000000001</v>
      </c>
      <c r="T2461" s="1">
        <f t="shared" si="153"/>
        <v>-0.96999999999999886</v>
      </c>
      <c r="U2461" s="1" t="str">
        <f t="shared" si="154"/>
        <v>OK</v>
      </c>
      <c r="V2461" s="1" t="str">
        <f>_xlfn.XLOOKUP(C2461,Payers!$A$2:$A$9,Payers!$B$2:$B$9)</f>
        <v>Blue Horizon Commercial</v>
      </c>
      <c r="W2461" s="1" t="str">
        <f t="shared" si="155"/>
        <v>2026-01</v>
      </c>
    </row>
    <row r="2462" spans="1:23">
      <c r="A2462" s="1" t="s">
        <v>4276</v>
      </c>
      <c r="B2462" s="1" t="s">
        <v>2477</v>
      </c>
      <c r="C2462" s="1" t="s">
        <v>76</v>
      </c>
      <c r="D2462" s="1" t="s">
        <v>37</v>
      </c>
      <c r="E2462" s="1" t="s">
        <v>48</v>
      </c>
      <c r="F2462">
        <v>1</v>
      </c>
      <c r="G2462" s="2">
        <v>46235</v>
      </c>
      <c r="H2462" s="2">
        <v>46236</v>
      </c>
      <c r="I2462">
        <v>411.27</v>
      </c>
      <c r="J2462">
        <v>163.12</v>
      </c>
      <c r="K2462">
        <v>163.12</v>
      </c>
      <c r="L2462">
        <v>0</v>
      </c>
      <c r="M2462" s="1" t="s">
        <v>21</v>
      </c>
      <c r="N2462" s="1" t="s">
        <v>22</v>
      </c>
      <c r="O2462" s="2">
        <v>46263</v>
      </c>
      <c r="P2462" s="2">
        <v>46263</v>
      </c>
      <c r="Q2462">
        <f>_xlfn.XLOOKUP(E2462,CPT!$A$2:$A$13,CPT!$D$2:$D$13)</f>
        <v>420</v>
      </c>
      <c r="R2462" s="1">
        <f>_xlfn.XLOOKUP(C2462,Contract!$A$2:$A$9,Contract!$B$2:$B$9)</f>
        <v>0.43</v>
      </c>
      <c r="S2462" s="1">
        <f t="shared" si="152"/>
        <v>180.6</v>
      </c>
      <c r="T2462" s="1">
        <f t="shared" si="153"/>
        <v>17.47999999999999</v>
      </c>
      <c r="U2462" s="1" t="str">
        <f t="shared" si="154"/>
        <v>Underpaid</v>
      </c>
      <c r="V2462" s="1" t="str">
        <f>_xlfn.XLOOKUP(C2462,Payers!$A$2:$A$9,Payers!$B$2:$B$9)</f>
        <v>Summit Health Commercial</v>
      </c>
      <c r="W2462" s="1" t="str">
        <f t="shared" si="155"/>
        <v>2026-08</v>
      </c>
    </row>
    <row r="2463" spans="1:23">
      <c r="A2463" s="1" t="s">
        <v>4277</v>
      </c>
      <c r="B2463" s="1" t="s">
        <v>4278</v>
      </c>
      <c r="C2463" s="1" t="s">
        <v>60</v>
      </c>
      <c r="D2463" s="1" t="s">
        <v>19</v>
      </c>
      <c r="E2463" s="1" t="s">
        <v>20</v>
      </c>
      <c r="F2463">
        <v>1</v>
      </c>
      <c r="G2463" s="2">
        <v>45953</v>
      </c>
      <c r="H2463" s="2">
        <v>45957</v>
      </c>
      <c r="I2463">
        <v>146.93</v>
      </c>
      <c r="J2463">
        <v>76.02</v>
      </c>
      <c r="K2463">
        <v>60.82</v>
      </c>
      <c r="L2463">
        <v>15.2</v>
      </c>
      <c r="M2463" s="1" t="s">
        <v>21</v>
      </c>
      <c r="N2463" s="1" t="s">
        <v>22</v>
      </c>
      <c r="O2463" s="2">
        <v>45978</v>
      </c>
      <c r="P2463" s="2">
        <v>45978</v>
      </c>
      <c r="Q2463">
        <f>_xlfn.XLOOKUP(E2463,CPT!$A$2:$A$13,CPT!$D$2:$D$13)</f>
        <v>145</v>
      </c>
      <c r="R2463" s="1">
        <f>_xlfn.XLOOKUP(C2463,Contract!$A$2:$A$9,Contract!$B$2:$B$9)</f>
        <v>0.45</v>
      </c>
      <c r="S2463" s="1">
        <f t="shared" si="152"/>
        <v>65.25</v>
      </c>
      <c r="T2463" s="1">
        <f t="shared" si="153"/>
        <v>-10.769999999999996</v>
      </c>
      <c r="U2463" s="1" t="str">
        <f t="shared" si="154"/>
        <v>OK</v>
      </c>
      <c r="V2463" s="1" t="str">
        <f>_xlfn.XLOOKUP(C2463,Payers!$A$2:$A$9,Payers!$B$2:$B$9)</f>
        <v>Blue Horizon Commercial</v>
      </c>
      <c r="W2463" s="1" t="str">
        <f t="shared" si="155"/>
        <v>2025-10</v>
      </c>
    </row>
    <row r="2464" spans="1:23">
      <c r="A2464" s="1" t="s">
        <v>4279</v>
      </c>
      <c r="B2464" s="1" t="s">
        <v>4280</v>
      </c>
      <c r="C2464" s="1" t="s">
        <v>60</v>
      </c>
      <c r="D2464" s="1" t="s">
        <v>26</v>
      </c>
      <c r="E2464" s="1" t="s">
        <v>27</v>
      </c>
      <c r="F2464">
        <v>1</v>
      </c>
      <c r="G2464" s="2">
        <v>45968</v>
      </c>
      <c r="H2464" s="2">
        <v>45969</v>
      </c>
      <c r="I2464">
        <v>241.03</v>
      </c>
      <c r="J2464">
        <v>96.81</v>
      </c>
      <c r="K2464">
        <v>96.81</v>
      </c>
      <c r="L2464">
        <v>0</v>
      </c>
      <c r="M2464" s="1" t="s">
        <v>21</v>
      </c>
      <c r="N2464" s="1" t="s">
        <v>22</v>
      </c>
      <c r="O2464" s="2">
        <v>45995</v>
      </c>
      <c r="P2464" s="2">
        <v>45995</v>
      </c>
      <c r="Q2464">
        <f>_xlfn.XLOOKUP(E2464,CPT!$A$2:$A$13,CPT!$D$2:$D$13)</f>
        <v>240</v>
      </c>
      <c r="R2464" s="1">
        <f>_xlfn.XLOOKUP(C2464,Contract!$A$2:$A$9,Contract!$B$2:$B$9)</f>
        <v>0.45</v>
      </c>
      <c r="S2464" s="1">
        <f t="shared" si="152"/>
        <v>108</v>
      </c>
      <c r="T2464" s="1">
        <f t="shared" si="153"/>
        <v>11.189999999999998</v>
      </c>
      <c r="U2464" s="1" t="str">
        <f t="shared" si="154"/>
        <v>Underpaid</v>
      </c>
      <c r="V2464" s="1" t="str">
        <f>_xlfn.XLOOKUP(C2464,Payers!$A$2:$A$9,Payers!$B$2:$B$9)</f>
        <v>Blue Horizon Commercial</v>
      </c>
      <c r="W2464" s="1" t="str">
        <f t="shared" si="155"/>
        <v>2025-11</v>
      </c>
    </row>
    <row r="2465" spans="1:23">
      <c r="A2465" s="1" t="s">
        <v>4281</v>
      </c>
      <c r="B2465" s="1" t="s">
        <v>562</v>
      </c>
      <c r="C2465" s="1" t="s">
        <v>52</v>
      </c>
      <c r="D2465" s="1" t="s">
        <v>37</v>
      </c>
      <c r="E2465" s="1" t="s">
        <v>57</v>
      </c>
      <c r="F2465">
        <v>1</v>
      </c>
      <c r="G2465" s="2">
        <v>45932</v>
      </c>
      <c r="H2465" s="2">
        <v>45936</v>
      </c>
      <c r="I2465">
        <v>214.17</v>
      </c>
      <c r="J2465">
        <v>109.19</v>
      </c>
      <c r="K2465">
        <v>98.27</v>
      </c>
      <c r="L2465">
        <v>10.92</v>
      </c>
      <c r="M2465" s="1" t="s">
        <v>21</v>
      </c>
      <c r="N2465" s="1" t="s">
        <v>22</v>
      </c>
      <c r="O2465" s="2">
        <v>45968</v>
      </c>
      <c r="P2465" s="2">
        <v>45968</v>
      </c>
      <c r="Q2465">
        <f>_xlfn.XLOOKUP(E2465,CPT!$A$2:$A$13,CPT!$D$2:$D$13)</f>
        <v>210</v>
      </c>
      <c r="R2465" s="1">
        <f>_xlfn.XLOOKUP(C2465,Contract!$A$2:$A$9,Contract!$B$2:$B$9)</f>
        <v>0.47</v>
      </c>
      <c r="S2465" s="1">
        <f t="shared" si="152"/>
        <v>98.7</v>
      </c>
      <c r="T2465" s="1">
        <f t="shared" si="153"/>
        <v>-10.489999999999995</v>
      </c>
      <c r="U2465" s="1" t="str">
        <f t="shared" si="154"/>
        <v>OK</v>
      </c>
      <c r="V2465" s="1" t="str">
        <f>_xlfn.XLOOKUP(C2465,Payers!$A$2:$A$9,Payers!$B$2:$B$9)</f>
        <v>Keystone Commercial PPO</v>
      </c>
      <c r="W2465" s="1" t="str">
        <f t="shared" si="155"/>
        <v>2025-10</v>
      </c>
    </row>
    <row r="2466" spans="1:23">
      <c r="A2466" s="1" t="s">
        <v>4282</v>
      </c>
      <c r="B2466" s="1" t="s">
        <v>4283</v>
      </c>
      <c r="C2466" s="1" t="s">
        <v>76</v>
      </c>
      <c r="D2466" s="1" t="s">
        <v>26</v>
      </c>
      <c r="E2466" s="1" t="s">
        <v>88</v>
      </c>
      <c r="F2466">
        <v>1</v>
      </c>
      <c r="G2466" s="2">
        <v>46254</v>
      </c>
      <c r="H2466" s="2">
        <v>46264</v>
      </c>
      <c r="I2466">
        <v>266.37</v>
      </c>
      <c r="M2466" s="1" t="s">
        <v>69</v>
      </c>
      <c r="N2466" s="1" t="s">
        <v>22</v>
      </c>
      <c r="O2466" s="2"/>
      <c r="P2466" s="2"/>
      <c r="Q2466">
        <f>_xlfn.XLOOKUP(E2466,CPT!$A$2:$A$13,CPT!$D$2:$D$13)</f>
        <v>260</v>
      </c>
      <c r="R2466" s="1">
        <f>_xlfn.XLOOKUP(C2466,Contract!$A$2:$A$9,Contract!$B$2:$B$9)</f>
        <v>0.43</v>
      </c>
      <c r="S2466" s="1">
        <f t="shared" si="152"/>
        <v>111.8</v>
      </c>
      <c r="T2466" s="1" t="str">
        <f t="shared" si="153"/>
        <v/>
      </c>
      <c r="U2466" s="1" t="str">
        <f t="shared" si="154"/>
        <v/>
      </c>
      <c r="V2466" s="1" t="str">
        <f>_xlfn.XLOOKUP(C2466,Payers!$A$2:$A$9,Payers!$B$2:$B$9)</f>
        <v>Summit Health Commercial</v>
      </c>
      <c r="W2466" s="1" t="str">
        <f t="shared" si="155"/>
        <v>2026-08</v>
      </c>
    </row>
    <row r="2467" spans="1:23">
      <c r="A2467" s="1" t="s">
        <v>4284</v>
      </c>
      <c r="B2467" s="1" t="s">
        <v>4285</v>
      </c>
      <c r="C2467" s="1" t="s">
        <v>25</v>
      </c>
      <c r="D2467" s="1" t="s">
        <v>19</v>
      </c>
      <c r="E2467" s="1" t="s">
        <v>88</v>
      </c>
      <c r="F2467">
        <v>1</v>
      </c>
      <c r="G2467" s="2">
        <v>45940</v>
      </c>
      <c r="H2467" s="2">
        <v>45943</v>
      </c>
      <c r="I2467">
        <v>266.3</v>
      </c>
      <c r="J2467">
        <v>94.66</v>
      </c>
      <c r="K2467">
        <v>94.66</v>
      </c>
      <c r="L2467">
        <v>0</v>
      </c>
      <c r="M2467" s="1" t="s">
        <v>21</v>
      </c>
      <c r="N2467" s="1" t="s">
        <v>22</v>
      </c>
      <c r="O2467" s="2">
        <v>45952</v>
      </c>
      <c r="P2467" s="2">
        <v>45952</v>
      </c>
      <c r="Q2467">
        <f>_xlfn.XLOOKUP(E2467,CPT!$A$2:$A$13,CPT!$D$2:$D$13)</f>
        <v>260</v>
      </c>
      <c r="R2467" s="1">
        <f>_xlfn.XLOOKUP(C2467,Contract!$A$2:$A$9,Contract!$B$2:$B$9)</f>
        <v>0.36</v>
      </c>
      <c r="S2467" s="1">
        <f t="shared" si="152"/>
        <v>93.6</v>
      </c>
      <c r="T2467" s="1">
        <f t="shared" si="153"/>
        <v>-1.0600000000000023</v>
      </c>
      <c r="U2467" s="1" t="str">
        <f t="shared" si="154"/>
        <v>OK</v>
      </c>
      <c r="V2467" s="1" t="str">
        <f>_xlfn.XLOOKUP(C2467,Payers!$A$2:$A$9,Payers!$B$2:$B$9)</f>
        <v>Medicare Part B</v>
      </c>
      <c r="W2467" s="1" t="str">
        <f t="shared" si="155"/>
        <v>2025-10</v>
      </c>
    </row>
    <row r="2468" spans="1:23">
      <c r="A2468" s="1" t="s">
        <v>4286</v>
      </c>
      <c r="B2468" s="1" t="s">
        <v>2970</v>
      </c>
      <c r="C2468" s="1" t="s">
        <v>76</v>
      </c>
      <c r="D2468" s="1" t="s">
        <v>30</v>
      </c>
      <c r="E2468" s="1" t="s">
        <v>31</v>
      </c>
      <c r="F2468">
        <v>1</v>
      </c>
      <c r="G2468" s="2">
        <v>46170</v>
      </c>
      <c r="H2468" s="2">
        <v>46171</v>
      </c>
      <c r="I2468">
        <v>62.31</v>
      </c>
      <c r="J2468">
        <v>26.78</v>
      </c>
      <c r="K2468">
        <v>26.78</v>
      </c>
      <c r="L2468">
        <v>0</v>
      </c>
      <c r="M2468" s="1" t="s">
        <v>21</v>
      </c>
      <c r="N2468" s="1" t="s">
        <v>22</v>
      </c>
      <c r="O2468" s="2">
        <v>46188</v>
      </c>
      <c r="P2468" s="2">
        <v>46188</v>
      </c>
      <c r="Q2468">
        <f>_xlfn.XLOOKUP(E2468,CPT!$A$2:$A$13,CPT!$D$2:$D$13)</f>
        <v>62</v>
      </c>
      <c r="R2468" s="1">
        <f>_xlfn.XLOOKUP(C2468,Contract!$A$2:$A$9,Contract!$B$2:$B$9)</f>
        <v>0.43</v>
      </c>
      <c r="S2468" s="1">
        <f t="shared" si="152"/>
        <v>26.66</v>
      </c>
      <c r="T2468" s="1">
        <f t="shared" si="153"/>
        <v>-0.12000000000000099</v>
      </c>
      <c r="U2468" s="1" t="str">
        <f t="shared" si="154"/>
        <v>OK</v>
      </c>
      <c r="V2468" s="1" t="str">
        <f>_xlfn.XLOOKUP(C2468,Payers!$A$2:$A$9,Payers!$B$2:$B$9)</f>
        <v>Summit Health Commercial</v>
      </c>
      <c r="W2468" s="1" t="str">
        <f t="shared" si="155"/>
        <v>2026-05</v>
      </c>
    </row>
    <row r="2469" spans="1:23">
      <c r="A2469" s="1" t="s">
        <v>4287</v>
      </c>
      <c r="B2469" s="1" t="s">
        <v>4288</v>
      </c>
      <c r="C2469" s="1" t="s">
        <v>18</v>
      </c>
      <c r="D2469" s="1" t="s">
        <v>37</v>
      </c>
      <c r="E2469" s="1" t="s">
        <v>48</v>
      </c>
      <c r="F2469">
        <v>1</v>
      </c>
      <c r="G2469" s="2">
        <v>46051</v>
      </c>
      <c r="H2469" s="2">
        <v>46056</v>
      </c>
      <c r="I2469">
        <v>426.55</v>
      </c>
      <c r="J2469">
        <v>161.18</v>
      </c>
      <c r="K2469">
        <v>161.18</v>
      </c>
      <c r="L2469">
        <v>0</v>
      </c>
      <c r="M2469" s="1" t="s">
        <v>21</v>
      </c>
      <c r="N2469" s="1" t="s">
        <v>22</v>
      </c>
      <c r="O2469" s="2">
        <v>46101</v>
      </c>
      <c r="P2469" s="2">
        <v>46101</v>
      </c>
      <c r="Q2469">
        <f>_xlfn.XLOOKUP(E2469,CPT!$A$2:$A$13,CPT!$D$2:$D$13)</f>
        <v>420</v>
      </c>
      <c r="R2469" s="1">
        <f>_xlfn.XLOOKUP(C2469,Contract!$A$2:$A$9,Contract!$B$2:$B$9)</f>
        <v>0.38</v>
      </c>
      <c r="S2469" s="1">
        <f t="shared" si="152"/>
        <v>159.6</v>
      </c>
      <c r="T2469" s="1">
        <f t="shared" si="153"/>
        <v>-1.5800000000000125</v>
      </c>
      <c r="U2469" s="1" t="str">
        <f t="shared" si="154"/>
        <v>OK</v>
      </c>
      <c r="V2469" s="1" t="str">
        <f>_xlfn.XLOOKUP(C2469,Payers!$A$2:$A$9,Payers!$B$2:$B$9)</f>
        <v>Sunshine Medicare Advantage</v>
      </c>
      <c r="W2469" s="1" t="str">
        <f t="shared" si="155"/>
        <v>2026-01</v>
      </c>
    </row>
    <row r="2470" spans="1:23">
      <c r="A2470" s="1" t="s">
        <v>4289</v>
      </c>
      <c r="B2470" s="1" t="s">
        <v>4290</v>
      </c>
      <c r="C2470" s="1" t="s">
        <v>25</v>
      </c>
      <c r="D2470" s="1" t="s">
        <v>26</v>
      </c>
      <c r="E2470" s="1" t="s">
        <v>57</v>
      </c>
      <c r="F2470">
        <v>1</v>
      </c>
      <c r="G2470" s="2">
        <v>46032</v>
      </c>
      <c r="H2470" s="2">
        <v>46034</v>
      </c>
      <c r="I2470">
        <v>211.63</v>
      </c>
      <c r="J2470">
        <v>85.59</v>
      </c>
      <c r="K2470">
        <v>68.47</v>
      </c>
      <c r="L2470">
        <v>17.12</v>
      </c>
      <c r="M2470" s="1" t="s">
        <v>21</v>
      </c>
      <c r="N2470" s="1" t="s">
        <v>22</v>
      </c>
      <c r="O2470" s="2">
        <v>46048</v>
      </c>
      <c r="P2470" s="2">
        <v>46048</v>
      </c>
      <c r="Q2470">
        <f>_xlfn.XLOOKUP(E2470,CPT!$A$2:$A$13,CPT!$D$2:$D$13)</f>
        <v>210</v>
      </c>
      <c r="R2470" s="1">
        <f>_xlfn.XLOOKUP(C2470,Contract!$A$2:$A$9,Contract!$B$2:$B$9)</f>
        <v>0.36</v>
      </c>
      <c r="S2470" s="1">
        <f t="shared" si="152"/>
        <v>75.599999999999994</v>
      </c>
      <c r="T2470" s="1">
        <f t="shared" si="153"/>
        <v>-9.9900000000000091</v>
      </c>
      <c r="U2470" s="1" t="str">
        <f t="shared" si="154"/>
        <v>OK</v>
      </c>
      <c r="V2470" s="1" t="str">
        <f>_xlfn.XLOOKUP(C2470,Payers!$A$2:$A$9,Payers!$B$2:$B$9)</f>
        <v>Medicare Part B</v>
      </c>
      <c r="W2470" s="1" t="str">
        <f t="shared" si="155"/>
        <v>2026-01</v>
      </c>
    </row>
    <row r="2471" spans="1:23">
      <c r="A2471" s="1" t="s">
        <v>4291</v>
      </c>
      <c r="B2471" s="1" t="s">
        <v>4292</v>
      </c>
      <c r="C2471" s="1" t="s">
        <v>36</v>
      </c>
      <c r="D2471" s="1" t="s">
        <v>19</v>
      </c>
      <c r="E2471" s="1" t="s">
        <v>20</v>
      </c>
      <c r="F2471">
        <v>1</v>
      </c>
      <c r="G2471" s="2">
        <v>46245</v>
      </c>
      <c r="H2471" s="2">
        <v>46246</v>
      </c>
      <c r="I2471">
        <v>148.62</v>
      </c>
      <c r="J2471">
        <v>37.26</v>
      </c>
      <c r="K2471">
        <v>37.26</v>
      </c>
      <c r="L2471">
        <v>0</v>
      </c>
      <c r="M2471" s="1" t="s">
        <v>21</v>
      </c>
      <c r="N2471" s="1" t="s">
        <v>22</v>
      </c>
      <c r="O2471" s="2">
        <v>46285</v>
      </c>
      <c r="P2471" s="2">
        <v>46285</v>
      </c>
      <c r="Q2471">
        <f>_xlfn.XLOOKUP(E2471,CPT!$A$2:$A$13,CPT!$D$2:$D$13)</f>
        <v>145</v>
      </c>
      <c r="R2471" s="1">
        <f>_xlfn.XLOOKUP(C2471,Contract!$A$2:$A$9,Contract!$B$2:$B$9)</f>
        <v>0.27</v>
      </c>
      <c r="S2471" s="1">
        <f t="shared" si="152"/>
        <v>39.15</v>
      </c>
      <c r="T2471" s="1">
        <f t="shared" si="153"/>
        <v>1.8900000000000006</v>
      </c>
      <c r="U2471" s="1" t="str">
        <f t="shared" si="154"/>
        <v>OK</v>
      </c>
      <c r="V2471" s="1" t="str">
        <f>_xlfn.XLOOKUP(C2471,Payers!$A$2:$A$9,Payers!$B$2:$B$9)</f>
        <v>Florida Medicaid</v>
      </c>
      <c r="W2471" s="1" t="str">
        <f t="shared" si="155"/>
        <v>2026-08</v>
      </c>
    </row>
    <row r="2472" spans="1:23">
      <c r="A2472" s="1" t="s">
        <v>4293</v>
      </c>
      <c r="B2472" s="1" t="s">
        <v>4294</v>
      </c>
      <c r="C2472" s="1" t="s">
        <v>52</v>
      </c>
      <c r="D2472" s="1" t="s">
        <v>26</v>
      </c>
      <c r="E2472" s="1" t="s">
        <v>185</v>
      </c>
      <c r="F2472">
        <v>1</v>
      </c>
      <c r="G2472" s="2">
        <v>46145</v>
      </c>
      <c r="H2472" s="2">
        <v>46149</v>
      </c>
      <c r="I2472">
        <v>1181.81</v>
      </c>
      <c r="J2472">
        <v>570.15</v>
      </c>
      <c r="K2472">
        <v>513.13</v>
      </c>
      <c r="L2472">
        <v>57.02</v>
      </c>
      <c r="M2472" s="1" t="s">
        <v>21</v>
      </c>
      <c r="N2472" s="1" t="s">
        <v>22</v>
      </c>
      <c r="O2472" s="2">
        <v>46198</v>
      </c>
      <c r="P2472" s="2">
        <v>46198</v>
      </c>
      <c r="Q2472">
        <f>_xlfn.XLOOKUP(E2472,CPT!$A$2:$A$13,CPT!$D$2:$D$13)</f>
        <v>1150</v>
      </c>
      <c r="R2472" s="1">
        <f>_xlfn.XLOOKUP(C2472,Contract!$A$2:$A$9,Contract!$B$2:$B$9)</f>
        <v>0.47</v>
      </c>
      <c r="S2472" s="1">
        <f t="shared" si="152"/>
        <v>540.5</v>
      </c>
      <c r="T2472" s="1">
        <f t="shared" si="153"/>
        <v>-29.649999999999977</v>
      </c>
      <c r="U2472" s="1" t="str">
        <f t="shared" si="154"/>
        <v>OK</v>
      </c>
      <c r="V2472" s="1" t="str">
        <f>_xlfn.XLOOKUP(C2472,Payers!$A$2:$A$9,Payers!$B$2:$B$9)</f>
        <v>Keystone Commercial PPO</v>
      </c>
      <c r="W2472" s="1" t="str">
        <f t="shared" si="155"/>
        <v>2026-05</v>
      </c>
    </row>
    <row r="2473" spans="1:23">
      <c r="A2473" s="1" t="s">
        <v>4295</v>
      </c>
      <c r="B2473" s="1" t="s">
        <v>1586</v>
      </c>
      <c r="C2473" s="1" t="s">
        <v>60</v>
      </c>
      <c r="D2473" s="1" t="s">
        <v>26</v>
      </c>
      <c r="E2473" s="1" t="s">
        <v>113</v>
      </c>
      <c r="F2473">
        <v>1</v>
      </c>
      <c r="G2473" s="2">
        <v>46016</v>
      </c>
      <c r="H2473" s="2">
        <v>46021</v>
      </c>
      <c r="I2473">
        <v>1044.05</v>
      </c>
      <c r="J2473">
        <v>518.54</v>
      </c>
      <c r="K2473">
        <v>518.54</v>
      </c>
      <c r="L2473">
        <v>0</v>
      </c>
      <c r="M2473" s="1" t="s">
        <v>21</v>
      </c>
      <c r="N2473" s="1" t="s">
        <v>22</v>
      </c>
      <c r="O2473" s="2">
        <v>46049</v>
      </c>
      <c r="P2473" s="2">
        <v>46049</v>
      </c>
      <c r="Q2473">
        <f>_xlfn.XLOOKUP(E2473,CPT!$A$2:$A$13,CPT!$D$2:$D$13)</f>
        <v>1050</v>
      </c>
      <c r="R2473" s="1">
        <f>_xlfn.XLOOKUP(C2473,Contract!$A$2:$A$9,Contract!$B$2:$B$9)</f>
        <v>0.45</v>
      </c>
      <c r="S2473" s="1">
        <f t="shared" si="152"/>
        <v>472.5</v>
      </c>
      <c r="T2473" s="1">
        <f t="shared" si="153"/>
        <v>-46.039999999999964</v>
      </c>
      <c r="U2473" s="1" t="str">
        <f t="shared" si="154"/>
        <v>OK</v>
      </c>
      <c r="V2473" s="1" t="str">
        <f>_xlfn.XLOOKUP(C2473,Payers!$A$2:$A$9,Payers!$B$2:$B$9)</f>
        <v>Blue Horizon Commercial</v>
      </c>
      <c r="W2473" s="1" t="str">
        <f t="shared" si="155"/>
        <v>2025-12</v>
      </c>
    </row>
    <row r="2474" spans="1:23">
      <c r="A2474" s="1" t="s">
        <v>4296</v>
      </c>
      <c r="B2474" s="1" t="s">
        <v>4297</v>
      </c>
      <c r="C2474" s="1" t="s">
        <v>47</v>
      </c>
      <c r="D2474" s="1" t="s">
        <v>26</v>
      </c>
      <c r="E2474" s="1" t="s">
        <v>57</v>
      </c>
      <c r="F2474">
        <v>1</v>
      </c>
      <c r="G2474" s="2">
        <v>46044</v>
      </c>
      <c r="H2474" s="2">
        <v>46048</v>
      </c>
      <c r="I2474">
        <v>208.9</v>
      </c>
      <c r="M2474" s="1" t="s">
        <v>32</v>
      </c>
      <c r="N2474" s="1" t="s">
        <v>168</v>
      </c>
      <c r="O2474" s="2">
        <v>46105</v>
      </c>
      <c r="P2474" s="2"/>
      <c r="Q2474">
        <f>_xlfn.XLOOKUP(E2474,CPT!$A$2:$A$13,CPT!$D$2:$D$13)</f>
        <v>210</v>
      </c>
      <c r="R2474" s="1">
        <f>_xlfn.XLOOKUP(C2474,Contract!$A$2:$A$9,Contract!$B$2:$B$9)</f>
        <v>0.28000000000000003</v>
      </c>
      <c r="S2474" s="1">
        <f t="shared" si="152"/>
        <v>58.8</v>
      </c>
      <c r="T2474" s="1" t="str">
        <f t="shared" si="153"/>
        <v/>
      </c>
      <c r="U2474" s="1" t="str">
        <f t="shared" si="154"/>
        <v/>
      </c>
      <c r="V2474" s="1" t="str">
        <f>_xlfn.XLOOKUP(C2474,Payers!$A$2:$A$9,Payers!$B$2:$B$9)</f>
        <v>Coastal Medicaid MCO</v>
      </c>
      <c r="W2474" s="1" t="str">
        <f t="shared" si="155"/>
        <v>2026-01</v>
      </c>
    </row>
    <row r="2475" spans="1:23">
      <c r="A2475" s="1" t="s">
        <v>4298</v>
      </c>
      <c r="B2475" s="1" t="s">
        <v>4299</v>
      </c>
      <c r="C2475" s="1" t="s">
        <v>52</v>
      </c>
      <c r="D2475" s="1" t="s">
        <v>37</v>
      </c>
      <c r="E2475" s="1" t="s">
        <v>38</v>
      </c>
      <c r="F2475">
        <v>5</v>
      </c>
      <c r="G2475" s="2">
        <v>45986</v>
      </c>
      <c r="H2475" s="2">
        <v>45987</v>
      </c>
      <c r="I2475">
        <v>7359.68</v>
      </c>
      <c r="M2475" s="1" t="s">
        <v>32</v>
      </c>
      <c r="N2475" s="1" t="s">
        <v>315</v>
      </c>
      <c r="O2475" s="2">
        <v>46057</v>
      </c>
      <c r="P2475" s="2"/>
      <c r="Q2475">
        <f>_xlfn.XLOOKUP(E2475,CPT!$A$2:$A$13,CPT!$D$2:$D$13)</f>
        <v>1450</v>
      </c>
      <c r="R2475" s="1">
        <f>_xlfn.XLOOKUP(C2475,Contract!$A$2:$A$9,Contract!$B$2:$B$9)</f>
        <v>0.47</v>
      </c>
      <c r="S2475" s="1">
        <f t="shared" si="152"/>
        <v>3407.5</v>
      </c>
      <c r="T2475" s="1" t="str">
        <f t="shared" si="153"/>
        <v/>
      </c>
      <c r="U2475" s="1" t="str">
        <f t="shared" si="154"/>
        <v/>
      </c>
      <c r="V2475" s="1" t="str">
        <f>_xlfn.XLOOKUP(C2475,Payers!$A$2:$A$9,Payers!$B$2:$B$9)</f>
        <v>Keystone Commercial PPO</v>
      </c>
      <c r="W2475" s="1" t="str">
        <f t="shared" si="155"/>
        <v>2025-11</v>
      </c>
    </row>
    <row r="2476" spans="1:23">
      <c r="A2476" s="1" t="s">
        <v>4300</v>
      </c>
      <c r="B2476" s="1" t="s">
        <v>4301</v>
      </c>
      <c r="C2476" s="1" t="s">
        <v>79</v>
      </c>
      <c r="D2476" s="1" t="s">
        <v>26</v>
      </c>
      <c r="E2476" s="1" t="s">
        <v>27</v>
      </c>
      <c r="F2476">
        <v>1</v>
      </c>
      <c r="G2476" s="2">
        <v>45937</v>
      </c>
      <c r="H2476" s="2">
        <v>45942</v>
      </c>
      <c r="I2476">
        <v>245.45</v>
      </c>
      <c r="M2476" s="1" t="s">
        <v>69</v>
      </c>
      <c r="N2476" s="1" t="s">
        <v>22</v>
      </c>
      <c r="O2476" s="2"/>
      <c r="P2476" s="2"/>
      <c r="Q2476">
        <f>_xlfn.XLOOKUP(E2476,CPT!$A$2:$A$13,CPT!$D$2:$D$13)</f>
        <v>240</v>
      </c>
      <c r="R2476" s="1">
        <f>_xlfn.XLOOKUP(C2476,Contract!$A$2:$A$9,Contract!$B$2:$B$9)</f>
        <v>1</v>
      </c>
      <c r="S2476" s="1">
        <f t="shared" si="152"/>
        <v>240</v>
      </c>
      <c r="T2476" s="1" t="str">
        <f t="shared" si="153"/>
        <v/>
      </c>
      <c r="U2476" s="1" t="str">
        <f t="shared" si="154"/>
        <v/>
      </c>
      <c r="V2476" s="1" t="str">
        <f>_xlfn.XLOOKUP(C2476,Payers!$A$2:$A$9,Payers!$B$2:$B$9)</f>
        <v>Self-Pay</v>
      </c>
      <c r="W2476" s="1" t="str">
        <f t="shared" si="155"/>
        <v>2025-10</v>
      </c>
    </row>
    <row r="2477" spans="1:23">
      <c r="A2477" s="1" t="s">
        <v>4302</v>
      </c>
      <c r="B2477" s="1" t="s">
        <v>2807</v>
      </c>
      <c r="C2477" s="1" t="s">
        <v>52</v>
      </c>
      <c r="D2477" s="1" t="s">
        <v>19</v>
      </c>
      <c r="E2477" s="1" t="s">
        <v>88</v>
      </c>
      <c r="F2477">
        <v>1</v>
      </c>
      <c r="G2477" s="2">
        <v>46087</v>
      </c>
      <c r="H2477" s="2">
        <v>46091</v>
      </c>
      <c r="I2477">
        <v>254.75</v>
      </c>
      <c r="J2477">
        <v>132.88</v>
      </c>
      <c r="K2477">
        <v>119.59</v>
      </c>
      <c r="L2477">
        <v>13.29</v>
      </c>
      <c r="M2477" s="1" t="s">
        <v>21</v>
      </c>
      <c r="N2477" s="1" t="s">
        <v>22</v>
      </c>
      <c r="O2477" s="2">
        <v>46149</v>
      </c>
      <c r="P2477" s="2">
        <v>46149</v>
      </c>
      <c r="Q2477">
        <f>_xlfn.XLOOKUP(E2477,CPT!$A$2:$A$13,CPT!$D$2:$D$13)</f>
        <v>260</v>
      </c>
      <c r="R2477" s="1">
        <f>_xlfn.XLOOKUP(C2477,Contract!$A$2:$A$9,Contract!$B$2:$B$9)</f>
        <v>0.47</v>
      </c>
      <c r="S2477" s="1">
        <f t="shared" si="152"/>
        <v>122.2</v>
      </c>
      <c r="T2477" s="1">
        <f t="shared" si="153"/>
        <v>-10.679999999999993</v>
      </c>
      <c r="U2477" s="1" t="str">
        <f t="shared" si="154"/>
        <v>OK</v>
      </c>
      <c r="V2477" s="1" t="str">
        <f>_xlfn.XLOOKUP(C2477,Payers!$A$2:$A$9,Payers!$B$2:$B$9)</f>
        <v>Keystone Commercial PPO</v>
      </c>
      <c r="W2477" s="1" t="str">
        <f t="shared" si="155"/>
        <v>2026-03</v>
      </c>
    </row>
    <row r="2478" spans="1:23">
      <c r="A2478" s="1" t="s">
        <v>4303</v>
      </c>
      <c r="B2478" s="1" t="s">
        <v>4304</v>
      </c>
      <c r="C2478" s="1" t="s">
        <v>47</v>
      </c>
      <c r="D2478" s="1" t="s">
        <v>19</v>
      </c>
      <c r="E2478" s="1" t="s">
        <v>41</v>
      </c>
      <c r="F2478">
        <v>1</v>
      </c>
      <c r="G2478" s="2">
        <v>46177</v>
      </c>
      <c r="H2478" s="2">
        <v>46184</v>
      </c>
      <c r="I2478">
        <v>38.659999999999997</v>
      </c>
      <c r="M2478" s="1" t="s">
        <v>32</v>
      </c>
      <c r="N2478" s="1" t="s">
        <v>124</v>
      </c>
      <c r="O2478" s="2">
        <v>46256</v>
      </c>
      <c r="P2478" s="2"/>
      <c r="Q2478">
        <f>_xlfn.XLOOKUP(E2478,CPT!$A$2:$A$13,CPT!$D$2:$D$13)</f>
        <v>38</v>
      </c>
      <c r="R2478" s="1">
        <f>_xlfn.XLOOKUP(C2478,Contract!$A$2:$A$9,Contract!$B$2:$B$9)</f>
        <v>0.28000000000000003</v>
      </c>
      <c r="S2478" s="1">
        <f t="shared" si="152"/>
        <v>10.64</v>
      </c>
      <c r="T2478" s="1" t="str">
        <f t="shared" si="153"/>
        <v/>
      </c>
      <c r="U2478" s="1" t="str">
        <f t="shared" si="154"/>
        <v/>
      </c>
      <c r="V2478" s="1" t="str">
        <f>_xlfn.XLOOKUP(C2478,Payers!$A$2:$A$9,Payers!$B$2:$B$9)</f>
        <v>Coastal Medicaid MCO</v>
      </c>
      <c r="W2478" s="1" t="str">
        <f t="shared" si="155"/>
        <v>2026-06</v>
      </c>
    </row>
    <row r="2479" spans="1:23">
      <c r="A2479" s="1" t="s">
        <v>4305</v>
      </c>
      <c r="B2479" s="1" t="s">
        <v>4146</v>
      </c>
      <c r="C2479" s="1" t="s">
        <v>52</v>
      </c>
      <c r="D2479" s="1" t="s">
        <v>26</v>
      </c>
      <c r="E2479" s="1" t="s">
        <v>185</v>
      </c>
      <c r="F2479">
        <v>1</v>
      </c>
      <c r="G2479" s="2">
        <v>46051</v>
      </c>
      <c r="H2479" s="2">
        <v>46052</v>
      </c>
      <c r="I2479">
        <v>1143.29</v>
      </c>
      <c r="J2479">
        <v>480.25</v>
      </c>
      <c r="K2479">
        <v>480.25</v>
      </c>
      <c r="L2479">
        <v>0</v>
      </c>
      <c r="M2479" s="1" t="s">
        <v>21</v>
      </c>
      <c r="N2479" s="1" t="s">
        <v>22</v>
      </c>
      <c r="O2479" s="2">
        <v>46098</v>
      </c>
      <c r="P2479" s="2">
        <v>46098</v>
      </c>
      <c r="Q2479">
        <f>_xlfn.XLOOKUP(E2479,CPT!$A$2:$A$13,CPT!$D$2:$D$13)</f>
        <v>1150</v>
      </c>
      <c r="R2479" s="1">
        <f>_xlfn.XLOOKUP(C2479,Contract!$A$2:$A$9,Contract!$B$2:$B$9)</f>
        <v>0.47</v>
      </c>
      <c r="S2479" s="1">
        <f t="shared" si="152"/>
        <v>540.5</v>
      </c>
      <c r="T2479" s="1">
        <f t="shared" si="153"/>
        <v>60.25</v>
      </c>
      <c r="U2479" s="1" t="str">
        <f t="shared" si="154"/>
        <v>Underpaid</v>
      </c>
      <c r="V2479" s="1" t="str">
        <f>_xlfn.XLOOKUP(C2479,Payers!$A$2:$A$9,Payers!$B$2:$B$9)</f>
        <v>Keystone Commercial PPO</v>
      </c>
      <c r="W2479" s="1" t="str">
        <f t="shared" si="155"/>
        <v>2026-01</v>
      </c>
    </row>
    <row r="2480" spans="1:23">
      <c r="A2480" s="1" t="s">
        <v>4306</v>
      </c>
      <c r="B2480" s="1" t="s">
        <v>4110</v>
      </c>
      <c r="C2480" s="1" t="s">
        <v>60</v>
      </c>
      <c r="D2480" s="1" t="s">
        <v>26</v>
      </c>
      <c r="E2480" s="1" t="s">
        <v>41</v>
      </c>
      <c r="F2480">
        <v>1</v>
      </c>
      <c r="G2480" s="2">
        <v>46084</v>
      </c>
      <c r="H2480" s="2">
        <v>46087</v>
      </c>
      <c r="I2480">
        <v>38.78</v>
      </c>
      <c r="J2480">
        <v>18.239999999999998</v>
      </c>
      <c r="K2480">
        <v>14.59</v>
      </c>
      <c r="L2480">
        <v>3.65</v>
      </c>
      <c r="M2480" s="1" t="s">
        <v>21</v>
      </c>
      <c r="N2480" s="1" t="s">
        <v>22</v>
      </c>
      <c r="O2480" s="2">
        <v>46112</v>
      </c>
      <c r="P2480" s="2">
        <v>46112</v>
      </c>
      <c r="Q2480">
        <f>_xlfn.XLOOKUP(E2480,CPT!$A$2:$A$13,CPT!$D$2:$D$13)</f>
        <v>38</v>
      </c>
      <c r="R2480" s="1">
        <f>_xlfn.XLOOKUP(C2480,Contract!$A$2:$A$9,Contract!$B$2:$B$9)</f>
        <v>0.45</v>
      </c>
      <c r="S2480" s="1">
        <f t="shared" si="152"/>
        <v>17.100000000000001</v>
      </c>
      <c r="T2480" s="1">
        <f t="shared" si="153"/>
        <v>-1.139999999999997</v>
      </c>
      <c r="U2480" s="1" t="str">
        <f t="shared" si="154"/>
        <v>OK</v>
      </c>
      <c r="V2480" s="1" t="str">
        <f>_xlfn.XLOOKUP(C2480,Payers!$A$2:$A$9,Payers!$B$2:$B$9)</f>
        <v>Blue Horizon Commercial</v>
      </c>
      <c r="W2480" s="1" t="str">
        <f t="shared" si="155"/>
        <v>2026-03</v>
      </c>
    </row>
    <row r="2481" spans="1:23">
      <c r="A2481" s="1" t="s">
        <v>4307</v>
      </c>
      <c r="B2481" s="1" t="s">
        <v>4308</v>
      </c>
      <c r="C2481" s="1" t="s">
        <v>76</v>
      </c>
      <c r="D2481" s="1" t="s">
        <v>30</v>
      </c>
      <c r="E2481" s="1" t="s">
        <v>20</v>
      </c>
      <c r="F2481">
        <v>1</v>
      </c>
      <c r="G2481" s="2">
        <v>46064</v>
      </c>
      <c r="H2481" s="2">
        <v>46065</v>
      </c>
      <c r="I2481">
        <v>146.38</v>
      </c>
      <c r="J2481">
        <v>57.68</v>
      </c>
      <c r="K2481">
        <v>46.14</v>
      </c>
      <c r="L2481">
        <v>11.54</v>
      </c>
      <c r="M2481" s="1" t="s">
        <v>21</v>
      </c>
      <c r="N2481" s="1" t="s">
        <v>22</v>
      </c>
      <c r="O2481" s="2">
        <v>46106</v>
      </c>
      <c r="P2481" s="2">
        <v>46106</v>
      </c>
      <c r="Q2481">
        <f>_xlfn.XLOOKUP(E2481,CPT!$A$2:$A$13,CPT!$D$2:$D$13)</f>
        <v>145</v>
      </c>
      <c r="R2481" s="1">
        <f>_xlfn.XLOOKUP(C2481,Contract!$A$2:$A$9,Contract!$B$2:$B$9)</f>
        <v>0.43</v>
      </c>
      <c r="S2481" s="1">
        <f t="shared" si="152"/>
        <v>62.35</v>
      </c>
      <c r="T2481" s="1">
        <f t="shared" si="153"/>
        <v>4.6700000000000017</v>
      </c>
      <c r="U2481" s="1" t="str">
        <f t="shared" si="154"/>
        <v>Underpaid</v>
      </c>
      <c r="V2481" s="1" t="str">
        <f>_xlfn.XLOOKUP(C2481,Payers!$A$2:$A$9,Payers!$B$2:$B$9)</f>
        <v>Summit Health Commercial</v>
      </c>
      <c r="W2481" s="1" t="str">
        <f t="shared" si="155"/>
        <v>2026-02</v>
      </c>
    </row>
    <row r="2482" spans="1:23">
      <c r="A2482" s="1" t="s">
        <v>4309</v>
      </c>
      <c r="B2482" s="1" t="s">
        <v>4310</v>
      </c>
      <c r="C2482" s="1" t="s">
        <v>18</v>
      </c>
      <c r="D2482" s="1" t="s">
        <v>19</v>
      </c>
      <c r="E2482" s="1" t="s">
        <v>57</v>
      </c>
      <c r="F2482">
        <v>1</v>
      </c>
      <c r="G2482" s="2">
        <v>45962</v>
      </c>
      <c r="H2482" s="2">
        <v>45965</v>
      </c>
      <c r="I2482">
        <v>212.96</v>
      </c>
      <c r="J2482">
        <v>90.66</v>
      </c>
      <c r="K2482">
        <v>90.66</v>
      </c>
      <c r="L2482">
        <v>0</v>
      </c>
      <c r="M2482" s="1" t="s">
        <v>21</v>
      </c>
      <c r="N2482" s="1" t="s">
        <v>22</v>
      </c>
      <c r="O2482" s="2">
        <v>46027</v>
      </c>
      <c r="P2482" s="2">
        <v>46027</v>
      </c>
      <c r="Q2482">
        <f>_xlfn.XLOOKUP(E2482,CPT!$A$2:$A$13,CPT!$D$2:$D$13)</f>
        <v>210</v>
      </c>
      <c r="R2482" s="1">
        <f>_xlfn.XLOOKUP(C2482,Contract!$A$2:$A$9,Contract!$B$2:$B$9)</f>
        <v>0.38</v>
      </c>
      <c r="S2482" s="1">
        <f t="shared" si="152"/>
        <v>79.8</v>
      </c>
      <c r="T2482" s="1">
        <f t="shared" si="153"/>
        <v>-10.86</v>
      </c>
      <c r="U2482" s="1" t="str">
        <f t="shared" si="154"/>
        <v>OK</v>
      </c>
      <c r="V2482" s="1" t="str">
        <f>_xlfn.XLOOKUP(C2482,Payers!$A$2:$A$9,Payers!$B$2:$B$9)</f>
        <v>Sunshine Medicare Advantage</v>
      </c>
      <c r="W2482" s="1" t="str">
        <f t="shared" si="155"/>
        <v>2025-11</v>
      </c>
    </row>
    <row r="2483" spans="1:23">
      <c r="A2483" s="1" t="s">
        <v>4311</v>
      </c>
      <c r="B2483" s="1" t="s">
        <v>4312</v>
      </c>
      <c r="C2483" s="1" t="s">
        <v>25</v>
      </c>
      <c r="D2483" s="1" t="s">
        <v>30</v>
      </c>
      <c r="E2483" s="1" t="s">
        <v>20</v>
      </c>
      <c r="F2483">
        <v>1</v>
      </c>
      <c r="G2483" s="2">
        <v>46231</v>
      </c>
      <c r="H2483" s="2">
        <v>46233</v>
      </c>
      <c r="I2483">
        <v>140.82</v>
      </c>
      <c r="J2483">
        <v>52.11</v>
      </c>
      <c r="K2483">
        <v>52.11</v>
      </c>
      <c r="L2483">
        <v>0</v>
      </c>
      <c r="M2483" s="1" t="s">
        <v>21</v>
      </c>
      <c r="N2483" s="1" t="s">
        <v>22</v>
      </c>
      <c r="O2483" s="2">
        <v>46249</v>
      </c>
      <c r="P2483" s="2">
        <v>46249</v>
      </c>
      <c r="Q2483">
        <f>_xlfn.XLOOKUP(E2483,CPT!$A$2:$A$13,CPT!$D$2:$D$13)</f>
        <v>145</v>
      </c>
      <c r="R2483" s="1">
        <f>_xlfn.XLOOKUP(C2483,Contract!$A$2:$A$9,Contract!$B$2:$B$9)</f>
        <v>0.36</v>
      </c>
      <c r="S2483" s="1">
        <f t="shared" si="152"/>
        <v>52.2</v>
      </c>
      <c r="T2483" s="1">
        <f t="shared" si="153"/>
        <v>9.0000000000003411E-2</v>
      </c>
      <c r="U2483" s="1" t="str">
        <f t="shared" si="154"/>
        <v>OK</v>
      </c>
      <c r="V2483" s="1" t="str">
        <f>_xlfn.XLOOKUP(C2483,Payers!$A$2:$A$9,Payers!$B$2:$B$9)</f>
        <v>Medicare Part B</v>
      </c>
      <c r="W2483" s="1" t="str">
        <f t="shared" si="155"/>
        <v>2026-07</v>
      </c>
    </row>
    <row r="2484" spans="1:23">
      <c r="A2484" s="1" t="s">
        <v>4313</v>
      </c>
      <c r="B2484" s="1" t="s">
        <v>4314</v>
      </c>
      <c r="C2484" s="1" t="s">
        <v>60</v>
      </c>
      <c r="D2484" s="1" t="s">
        <v>30</v>
      </c>
      <c r="E2484" s="1" t="s">
        <v>91</v>
      </c>
      <c r="F2484">
        <v>3</v>
      </c>
      <c r="G2484" s="2">
        <v>46171</v>
      </c>
      <c r="H2484" s="2">
        <v>46173</v>
      </c>
      <c r="I2484">
        <v>176.02</v>
      </c>
      <c r="J2484">
        <v>87.24</v>
      </c>
      <c r="K2484">
        <v>87.24</v>
      </c>
      <c r="L2484">
        <v>0</v>
      </c>
      <c r="M2484" s="1" t="s">
        <v>21</v>
      </c>
      <c r="N2484" s="1" t="s">
        <v>22</v>
      </c>
      <c r="O2484" s="2">
        <v>46205</v>
      </c>
      <c r="P2484" s="2">
        <v>46205</v>
      </c>
      <c r="Q2484">
        <f>_xlfn.XLOOKUP(E2484,CPT!$A$2:$A$13,CPT!$D$2:$D$13)</f>
        <v>58</v>
      </c>
      <c r="R2484" s="1">
        <f>_xlfn.XLOOKUP(C2484,Contract!$A$2:$A$9,Contract!$B$2:$B$9)</f>
        <v>0.45</v>
      </c>
      <c r="S2484" s="1">
        <f t="shared" si="152"/>
        <v>78.3</v>
      </c>
      <c r="T2484" s="1">
        <f t="shared" si="153"/>
        <v>-8.9399999999999977</v>
      </c>
      <c r="U2484" s="1" t="str">
        <f t="shared" si="154"/>
        <v>OK</v>
      </c>
      <c r="V2484" s="1" t="str">
        <f>_xlfn.XLOOKUP(C2484,Payers!$A$2:$A$9,Payers!$B$2:$B$9)</f>
        <v>Blue Horizon Commercial</v>
      </c>
      <c r="W2484" s="1" t="str">
        <f t="shared" si="155"/>
        <v>2026-05</v>
      </c>
    </row>
    <row r="2485" spans="1:23">
      <c r="A2485" s="1" t="s">
        <v>4315</v>
      </c>
      <c r="B2485" s="1" t="s">
        <v>4316</v>
      </c>
      <c r="C2485" s="1" t="s">
        <v>76</v>
      </c>
      <c r="D2485" s="1" t="s">
        <v>26</v>
      </c>
      <c r="E2485" s="1" t="s">
        <v>185</v>
      </c>
      <c r="F2485">
        <v>1</v>
      </c>
      <c r="G2485" s="2">
        <v>46278</v>
      </c>
      <c r="H2485" s="2">
        <v>46279</v>
      </c>
      <c r="I2485">
        <v>1129.8699999999999</v>
      </c>
      <c r="M2485" s="1" t="s">
        <v>69</v>
      </c>
      <c r="N2485" s="1" t="s">
        <v>22</v>
      </c>
      <c r="O2485" s="2"/>
      <c r="P2485" s="2"/>
      <c r="Q2485">
        <f>_xlfn.XLOOKUP(E2485,CPT!$A$2:$A$13,CPT!$D$2:$D$13)</f>
        <v>1150</v>
      </c>
      <c r="R2485" s="1">
        <f>_xlfn.XLOOKUP(C2485,Contract!$A$2:$A$9,Contract!$B$2:$B$9)</f>
        <v>0.43</v>
      </c>
      <c r="S2485" s="1">
        <f t="shared" si="152"/>
        <v>494.5</v>
      </c>
      <c r="T2485" s="1" t="str">
        <f t="shared" si="153"/>
        <v/>
      </c>
      <c r="U2485" s="1" t="str">
        <f t="shared" si="154"/>
        <v/>
      </c>
      <c r="V2485" s="1" t="str">
        <f>_xlfn.XLOOKUP(C2485,Payers!$A$2:$A$9,Payers!$B$2:$B$9)</f>
        <v>Summit Health Commercial</v>
      </c>
      <c r="W2485" s="1" t="str">
        <f t="shared" si="155"/>
        <v>2026-09</v>
      </c>
    </row>
    <row r="2486" spans="1:23">
      <c r="A2486" s="1" t="s">
        <v>4317</v>
      </c>
      <c r="B2486" s="1" t="s">
        <v>3733</v>
      </c>
      <c r="C2486" s="1" t="s">
        <v>47</v>
      </c>
      <c r="D2486" s="1" t="s">
        <v>26</v>
      </c>
      <c r="E2486" s="1" t="s">
        <v>113</v>
      </c>
      <c r="F2486">
        <v>1</v>
      </c>
      <c r="G2486" s="2">
        <v>45942</v>
      </c>
      <c r="H2486" s="2">
        <v>45946</v>
      </c>
      <c r="I2486">
        <v>1058.4100000000001</v>
      </c>
      <c r="M2486" s="1" t="s">
        <v>32</v>
      </c>
      <c r="N2486" s="1" t="s">
        <v>168</v>
      </c>
      <c r="O2486" s="2">
        <v>46007</v>
      </c>
      <c r="P2486" s="2"/>
      <c r="Q2486">
        <f>_xlfn.XLOOKUP(E2486,CPT!$A$2:$A$13,CPT!$D$2:$D$13)</f>
        <v>1050</v>
      </c>
      <c r="R2486" s="1">
        <f>_xlfn.XLOOKUP(C2486,Contract!$A$2:$A$9,Contract!$B$2:$B$9)</f>
        <v>0.28000000000000003</v>
      </c>
      <c r="S2486" s="1">
        <f t="shared" si="152"/>
        <v>294</v>
      </c>
      <c r="T2486" s="1" t="str">
        <f t="shared" si="153"/>
        <v/>
      </c>
      <c r="U2486" s="1" t="str">
        <f t="shared" si="154"/>
        <v/>
      </c>
      <c r="V2486" s="1" t="str">
        <f>_xlfn.XLOOKUP(C2486,Payers!$A$2:$A$9,Payers!$B$2:$B$9)</f>
        <v>Coastal Medicaid MCO</v>
      </c>
      <c r="W2486" s="1" t="str">
        <f t="shared" si="155"/>
        <v>2025-10</v>
      </c>
    </row>
    <row r="2487" spans="1:23">
      <c r="A2487" s="1" t="s">
        <v>4318</v>
      </c>
      <c r="B2487" s="1" t="s">
        <v>4319</v>
      </c>
      <c r="C2487" s="1" t="s">
        <v>76</v>
      </c>
      <c r="D2487" s="1" t="s">
        <v>19</v>
      </c>
      <c r="E2487" s="1" t="s">
        <v>57</v>
      </c>
      <c r="F2487">
        <v>1</v>
      </c>
      <c r="G2487" s="2">
        <v>45998</v>
      </c>
      <c r="H2487" s="2">
        <v>46005</v>
      </c>
      <c r="I2487">
        <v>207.82</v>
      </c>
      <c r="J2487">
        <v>77.5</v>
      </c>
      <c r="K2487">
        <v>69.75</v>
      </c>
      <c r="L2487">
        <v>7.75</v>
      </c>
      <c r="M2487" s="1" t="s">
        <v>21</v>
      </c>
      <c r="N2487" s="1" t="s">
        <v>22</v>
      </c>
      <c r="O2487" s="2">
        <v>46045</v>
      </c>
      <c r="P2487" s="2">
        <v>46045</v>
      </c>
      <c r="Q2487">
        <f>_xlfn.XLOOKUP(E2487,CPT!$A$2:$A$13,CPT!$D$2:$D$13)</f>
        <v>210</v>
      </c>
      <c r="R2487" s="1">
        <f>_xlfn.XLOOKUP(C2487,Contract!$A$2:$A$9,Contract!$B$2:$B$9)</f>
        <v>0.43</v>
      </c>
      <c r="S2487" s="1">
        <f t="shared" si="152"/>
        <v>90.3</v>
      </c>
      <c r="T2487" s="1">
        <f t="shared" si="153"/>
        <v>12.799999999999997</v>
      </c>
      <c r="U2487" s="1" t="str">
        <f t="shared" si="154"/>
        <v>Underpaid</v>
      </c>
      <c r="V2487" s="1" t="str">
        <f>_xlfn.XLOOKUP(C2487,Payers!$A$2:$A$9,Payers!$B$2:$B$9)</f>
        <v>Summit Health Commercial</v>
      </c>
      <c r="W2487" s="1" t="str">
        <f t="shared" si="155"/>
        <v>2025-12</v>
      </c>
    </row>
    <row r="2488" spans="1:23">
      <c r="A2488" s="1" t="s">
        <v>4320</v>
      </c>
      <c r="B2488" s="1" t="s">
        <v>3604</v>
      </c>
      <c r="C2488" s="1" t="s">
        <v>60</v>
      </c>
      <c r="D2488" s="1" t="s">
        <v>19</v>
      </c>
      <c r="E2488" s="1" t="s">
        <v>41</v>
      </c>
      <c r="F2488">
        <v>1</v>
      </c>
      <c r="G2488" s="2">
        <v>46231</v>
      </c>
      <c r="H2488" s="2">
        <v>46233</v>
      </c>
      <c r="I2488">
        <v>39.04</v>
      </c>
      <c r="J2488">
        <v>15.12</v>
      </c>
      <c r="K2488">
        <v>13.61</v>
      </c>
      <c r="L2488">
        <v>1.51</v>
      </c>
      <c r="M2488" s="1" t="s">
        <v>21</v>
      </c>
      <c r="N2488" s="1" t="s">
        <v>22</v>
      </c>
      <c r="O2488" s="2">
        <v>46271</v>
      </c>
      <c r="P2488" s="2">
        <v>46271</v>
      </c>
      <c r="Q2488">
        <f>_xlfn.XLOOKUP(E2488,CPT!$A$2:$A$13,CPT!$D$2:$D$13)</f>
        <v>38</v>
      </c>
      <c r="R2488" s="1">
        <f>_xlfn.XLOOKUP(C2488,Contract!$A$2:$A$9,Contract!$B$2:$B$9)</f>
        <v>0.45</v>
      </c>
      <c r="S2488" s="1">
        <f t="shared" si="152"/>
        <v>17.100000000000001</v>
      </c>
      <c r="T2488" s="1">
        <f t="shared" si="153"/>
        <v>1.9800000000000022</v>
      </c>
      <c r="U2488" s="1" t="str">
        <f t="shared" si="154"/>
        <v>Underpaid</v>
      </c>
      <c r="V2488" s="1" t="str">
        <f>_xlfn.XLOOKUP(C2488,Payers!$A$2:$A$9,Payers!$B$2:$B$9)</f>
        <v>Blue Horizon Commercial</v>
      </c>
      <c r="W2488" s="1" t="str">
        <f t="shared" si="155"/>
        <v>2026-07</v>
      </c>
    </row>
    <row r="2489" spans="1:23">
      <c r="A2489" s="1" t="s">
        <v>4321</v>
      </c>
      <c r="B2489" s="1" t="s">
        <v>1449</v>
      </c>
      <c r="C2489" s="1" t="s">
        <v>60</v>
      </c>
      <c r="D2489" s="1" t="s">
        <v>19</v>
      </c>
      <c r="E2489" s="1" t="s">
        <v>20</v>
      </c>
      <c r="F2489">
        <v>1</v>
      </c>
      <c r="G2489" s="2">
        <v>46248</v>
      </c>
      <c r="H2489" s="2">
        <v>46255</v>
      </c>
      <c r="I2489">
        <v>142.01</v>
      </c>
      <c r="M2489" s="1" t="s">
        <v>69</v>
      </c>
      <c r="N2489" s="1" t="s">
        <v>22</v>
      </c>
      <c r="O2489" s="2"/>
      <c r="P2489" s="2"/>
      <c r="Q2489">
        <f>_xlfn.XLOOKUP(E2489,CPT!$A$2:$A$13,CPT!$D$2:$D$13)</f>
        <v>145</v>
      </c>
      <c r="R2489" s="1">
        <f>_xlfn.XLOOKUP(C2489,Contract!$A$2:$A$9,Contract!$B$2:$B$9)</f>
        <v>0.45</v>
      </c>
      <c r="S2489" s="1">
        <f t="shared" si="152"/>
        <v>65.25</v>
      </c>
      <c r="T2489" s="1" t="str">
        <f t="shared" si="153"/>
        <v/>
      </c>
      <c r="U2489" s="1" t="str">
        <f t="shared" si="154"/>
        <v/>
      </c>
      <c r="V2489" s="1" t="str">
        <f>_xlfn.XLOOKUP(C2489,Payers!$A$2:$A$9,Payers!$B$2:$B$9)</f>
        <v>Blue Horizon Commercial</v>
      </c>
      <c r="W2489" s="1" t="str">
        <f t="shared" si="155"/>
        <v>2026-08</v>
      </c>
    </row>
    <row r="2490" spans="1:23">
      <c r="A2490" s="1" t="s">
        <v>4322</v>
      </c>
      <c r="B2490" s="1" t="s">
        <v>4323</v>
      </c>
      <c r="C2490" s="1" t="s">
        <v>47</v>
      </c>
      <c r="D2490" s="1" t="s">
        <v>19</v>
      </c>
      <c r="E2490" s="1" t="s">
        <v>20</v>
      </c>
      <c r="F2490">
        <v>1</v>
      </c>
      <c r="G2490" s="2">
        <v>46195</v>
      </c>
      <c r="H2490" s="2">
        <v>46196</v>
      </c>
      <c r="I2490">
        <v>141.31</v>
      </c>
      <c r="M2490" s="1" t="s">
        <v>32</v>
      </c>
      <c r="N2490" s="1" t="s">
        <v>49</v>
      </c>
      <c r="O2490" s="2">
        <v>46254</v>
      </c>
      <c r="P2490" s="2"/>
      <c r="Q2490">
        <f>_xlfn.XLOOKUP(E2490,CPT!$A$2:$A$13,CPT!$D$2:$D$13)</f>
        <v>145</v>
      </c>
      <c r="R2490" s="1">
        <f>_xlfn.XLOOKUP(C2490,Contract!$A$2:$A$9,Contract!$B$2:$B$9)</f>
        <v>0.28000000000000003</v>
      </c>
      <c r="S2490" s="1">
        <f t="shared" si="152"/>
        <v>40.6</v>
      </c>
      <c r="T2490" s="1" t="str">
        <f t="shared" si="153"/>
        <v/>
      </c>
      <c r="U2490" s="1" t="str">
        <f t="shared" si="154"/>
        <v/>
      </c>
      <c r="V2490" s="1" t="str">
        <f>_xlfn.XLOOKUP(C2490,Payers!$A$2:$A$9,Payers!$B$2:$B$9)</f>
        <v>Coastal Medicaid MCO</v>
      </c>
      <c r="W2490" s="1" t="str">
        <f t="shared" si="155"/>
        <v>2026-06</v>
      </c>
    </row>
    <row r="2491" spans="1:23">
      <c r="A2491" s="1" t="s">
        <v>4324</v>
      </c>
      <c r="B2491" s="1" t="s">
        <v>4325</v>
      </c>
      <c r="C2491" s="1" t="s">
        <v>25</v>
      </c>
      <c r="D2491" s="1" t="s">
        <v>37</v>
      </c>
      <c r="E2491" s="1" t="s">
        <v>48</v>
      </c>
      <c r="F2491">
        <v>1</v>
      </c>
      <c r="G2491" s="2">
        <v>46061</v>
      </c>
      <c r="H2491" s="2">
        <v>46076</v>
      </c>
      <c r="I2491">
        <v>430.88</v>
      </c>
      <c r="J2491">
        <v>173.19</v>
      </c>
      <c r="K2491">
        <v>173.19</v>
      </c>
      <c r="L2491">
        <v>0</v>
      </c>
      <c r="M2491" s="1" t="s">
        <v>21</v>
      </c>
      <c r="N2491" s="1" t="s">
        <v>22</v>
      </c>
      <c r="O2491" s="2">
        <v>46094</v>
      </c>
      <c r="P2491" s="2">
        <v>46094</v>
      </c>
      <c r="Q2491">
        <f>_xlfn.XLOOKUP(E2491,CPT!$A$2:$A$13,CPT!$D$2:$D$13)</f>
        <v>420</v>
      </c>
      <c r="R2491" s="1">
        <f>_xlfn.XLOOKUP(C2491,Contract!$A$2:$A$9,Contract!$B$2:$B$9)</f>
        <v>0.36</v>
      </c>
      <c r="S2491" s="1">
        <f t="shared" si="152"/>
        <v>151.19999999999999</v>
      </c>
      <c r="T2491" s="1">
        <f t="shared" si="153"/>
        <v>-21.990000000000009</v>
      </c>
      <c r="U2491" s="1" t="str">
        <f t="shared" si="154"/>
        <v>OK</v>
      </c>
      <c r="V2491" s="1" t="str">
        <f>_xlfn.XLOOKUP(C2491,Payers!$A$2:$A$9,Payers!$B$2:$B$9)</f>
        <v>Medicare Part B</v>
      </c>
      <c r="W2491" s="1" t="str">
        <f t="shared" si="155"/>
        <v>2026-02</v>
      </c>
    </row>
    <row r="2492" spans="1:23">
      <c r="A2492" s="1" t="s">
        <v>4326</v>
      </c>
      <c r="B2492" s="1" t="s">
        <v>4327</v>
      </c>
      <c r="C2492" s="1" t="s">
        <v>76</v>
      </c>
      <c r="D2492" s="1" t="s">
        <v>37</v>
      </c>
      <c r="E2492" s="1" t="s">
        <v>48</v>
      </c>
      <c r="F2492">
        <v>1</v>
      </c>
      <c r="G2492" s="2">
        <v>45993</v>
      </c>
      <c r="H2492" s="2">
        <v>45995</v>
      </c>
      <c r="I2492">
        <v>429.93</v>
      </c>
      <c r="J2492">
        <v>165.14</v>
      </c>
      <c r="K2492">
        <v>148.63</v>
      </c>
      <c r="L2492">
        <v>16.510000000000002</v>
      </c>
      <c r="M2492" s="1" t="s">
        <v>21</v>
      </c>
      <c r="N2492" s="1" t="s">
        <v>22</v>
      </c>
      <c r="O2492" s="2">
        <v>46013</v>
      </c>
      <c r="P2492" s="2">
        <v>46013</v>
      </c>
      <c r="Q2492">
        <f>_xlfn.XLOOKUP(E2492,CPT!$A$2:$A$13,CPT!$D$2:$D$13)</f>
        <v>420</v>
      </c>
      <c r="R2492" s="1">
        <f>_xlfn.XLOOKUP(C2492,Contract!$A$2:$A$9,Contract!$B$2:$B$9)</f>
        <v>0.43</v>
      </c>
      <c r="S2492" s="1">
        <f t="shared" si="152"/>
        <v>180.6</v>
      </c>
      <c r="T2492" s="1">
        <f t="shared" si="153"/>
        <v>15.460000000000008</v>
      </c>
      <c r="U2492" s="1" t="str">
        <f t="shared" si="154"/>
        <v>Underpaid</v>
      </c>
      <c r="V2492" s="1" t="str">
        <f>_xlfn.XLOOKUP(C2492,Payers!$A$2:$A$9,Payers!$B$2:$B$9)</f>
        <v>Summit Health Commercial</v>
      </c>
      <c r="W2492" s="1" t="str">
        <f t="shared" si="155"/>
        <v>2025-12</v>
      </c>
    </row>
    <row r="2493" spans="1:23">
      <c r="A2493" s="1" t="s">
        <v>4328</v>
      </c>
      <c r="B2493" s="1" t="s">
        <v>4329</v>
      </c>
      <c r="C2493" s="1" t="s">
        <v>36</v>
      </c>
      <c r="D2493" s="1" t="s">
        <v>26</v>
      </c>
      <c r="E2493" s="1" t="s">
        <v>44</v>
      </c>
      <c r="F2493">
        <v>1</v>
      </c>
      <c r="G2493" s="2">
        <v>45992</v>
      </c>
      <c r="H2493" s="2">
        <v>45993</v>
      </c>
      <c r="I2493">
        <v>4870.55</v>
      </c>
      <c r="J2493">
        <v>1385.15</v>
      </c>
      <c r="K2493">
        <v>1246.6300000000001</v>
      </c>
      <c r="L2493">
        <v>138.52000000000001</v>
      </c>
      <c r="M2493" s="1" t="s">
        <v>21</v>
      </c>
      <c r="N2493" s="1" t="s">
        <v>22</v>
      </c>
      <c r="O2493" s="2">
        <v>46031</v>
      </c>
      <c r="P2493" s="2">
        <v>46031</v>
      </c>
      <c r="Q2493">
        <f>_xlfn.XLOOKUP(E2493,CPT!$A$2:$A$13,CPT!$D$2:$D$13)</f>
        <v>4800</v>
      </c>
      <c r="R2493" s="1">
        <f>_xlfn.XLOOKUP(C2493,Contract!$A$2:$A$9,Contract!$B$2:$B$9)</f>
        <v>0.27</v>
      </c>
      <c r="S2493" s="1">
        <f t="shared" si="152"/>
        <v>1296</v>
      </c>
      <c r="T2493" s="1">
        <f t="shared" si="153"/>
        <v>-89.150000000000091</v>
      </c>
      <c r="U2493" s="1" t="str">
        <f t="shared" si="154"/>
        <v>OK</v>
      </c>
      <c r="V2493" s="1" t="str">
        <f>_xlfn.XLOOKUP(C2493,Payers!$A$2:$A$9,Payers!$B$2:$B$9)</f>
        <v>Florida Medicaid</v>
      </c>
      <c r="W2493" s="1" t="str">
        <f t="shared" si="155"/>
        <v>2025-12</v>
      </c>
    </row>
    <row r="2494" spans="1:23">
      <c r="A2494" s="1" t="s">
        <v>4330</v>
      </c>
      <c r="B2494" s="1" t="s">
        <v>455</v>
      </c>
      <c r="C2494" s="1" t="s">
        <v>60</v>
      </c>
      <c r="D2494" s="1" t="s">
        <v>19</v>
      </c>
      <c r="E2494" s="1" t="s">
        <v>88</v>
      </c>
      <c r="F2494">
        <v>1</v>
      </c>
      <c r="G2494" s="2">
        <v>45931</v>
      </c>
      <c r="H2494" s="2">
        <v>45943</v>
      </c>
      <c r="I2494">
        <v>259.35000000000002</v>
      </c>
      <c r="J2494">
        <v>109.05</v>
      </c>
      <c r="K2494">
        <v>87.24</v>
      </c>
      <c r="L2494">
        <v>21.81</v>
      </c>
      <c r="M2494" s="1" t="s">
        <v>21</v>
      </c>
      <c r="N2494" s="1" t="s">
        <v>22</v>
      </c>
      <c r="O2494" s="2">
        <v>45981</v>
      </c>
      <c r="P2494" s="2">
        <v>45981</v>
      </c>
      <c r="Q2494">
        <f>_xlfn.XLOOKUP(E2494,CPT!$A$2:$A$13,CPT!$D$2:$D$13)</f>
        <v>260</v>
      </c>
      <c r="R2494" s="1">
        <f>_xlfn.XLOOKUP(C2494,Contract!$A$2:$A$9,Contract!$B$2:$B$9)</f>
        <v>0.45</v>
      </c>
      <c r="S2494" s="1">
        <f t="shared" si="152"/>
        <v>117</v>
      </c>
      <c r="T2494" s="1">
        <f t="shared" si="153"/>
        <v>7.9500000000000028</v>
      </c>
      <c r="U2494" s="1" t="str">
        <f t="shared" si="154"/>
        <v>Underpaid</v>
      </c>
      <c r="V2494" s="1" t="str">
        <f>_xlfn.XLOOKUP(C2494,Payers!$A$2:$A$9,Payers!$B$2:$B$9)</f>
        <v>Blue Horizon Commercial</v>
      </c>
      <c r="W2494" s="1" t="str">
        <f t="shared" si="155"/>
        <v>2025-10</v>
      </c>
    </row>
    <row r="2495" spans="1:23">
      <c r="A2495" s="1" t="s">
        <v>4331</v>
      </c>
      <c r="B2495" s="1" t="s">
        <v>4332</v>
      </c>
      <c r="C2495" s="1" t="s">
        <v>25</v>
      </c>
      <c r="D2495" s="1" t="s">
        <v>30</v>
      </c>
      <c r="E2495" s="1" t="s">
        <v>20</v>
      </c>
      <c r="F2495">
        <v>1</v>
      </c>
      <c r="G2495" s="2">
        <v>46235</v>
      </c>
      <c r="H2495" s="2">
        <v>46244</v>
      </c>
      <c r="I2495">
        <v>144.52000000000001</v>
      </c>
      <c r="J2495">
        <v>55.15</v>
      </c>
      <c r="K2495">
        <v>44.12</v>
      </c>
      <c r="L2495">
        <v>11.03</v>
      </c>
      <c r="M2495" s="1" t="s">
        <v>21</v>
      </c>
      <c r="N2495" s="1" t="s">
        <v>22</v>
      </c>
      <c r="O2495" s="2">
        <v>46264</v>
      </c>
      <c r="P2495" s="2">
        <v>46264</v>
      </c>
      <c r="Q2495">
        <f>_xlfn.XLOOKUP(E2495,CPT!$A$2:$A$13,CPT!$D$2:$D$13)</f>
        <v>145</v>
      </c>
      <c r="R2495" s="1">
        <f>_xlfn.XLOOKUP(C2495,Contract!$A$2:$A$9,Contract!$B$2:$B$9)</f>
        <v>0.36</v>
      </c>
      <c r="S2495" s="1">
        <f t="shared" si="152"/>
        <v>52.2</v>
      </c>
      <c r="T2495" s="1">
        <f t="shared" si="153"/>
        <v>-2.9499999999999957</v>
      </c>
      <c r="U2495" s="1" t="str">
        <f t="shared" si="154"/>
        <v>OK</v>
      </c>
      <c r="V2495" s="1" t="str">
        <f>_xlfn.XLOOKUP(C2495,Payers!$A$2:$A$9,Payers!$B$2:$B$9)</f>
        <v>Medicare Part B</v>
      </c>
      <c r="W2495" s="1" t="str">
        <f t="shared" si="155"/>
        <v>2026-08</v>
      </c>
    </row>
    <row r="2496" spans="1:23">
      <c r="A2496" s="1" t="s">
        <v>4333</v>
      </c>
      <c r="B2496" s="1" t="s">
        <v>1224</v>
      </c>
      <c r="C2496" s="1" t="s">
        <v>60</v>
      </c>
      <c r="D2496" s="1" t="s">
        <v>30</v>
      </c>
      <c r="E2496" s="1" t="s">
        <v>20</v>
      </c>
      <c r="F2496">
        <v>1</v>
      </c>
      <c r="G2496" s="2">
        <v>46234</v>
      </c>
      <c r="H2496" s="2">
        <v>46235</v>
      </c>
      <c r="I2496">
        <v>140.97999999999999</v>
      </c>
      <c r="J2496">
        <v>61.81</v>
      </c>
      <c r="K2496">
        <v>61.81</v>
      </c>
      <c r="L2496">
        <v>0</v>
      </c>
      <c r="M2496" s="1" t="s">
        <v>21</v>
      </c>
      <c r="N2496" s="1" t="s">
        <v>22</v>
      </c>
      <c r="O2496" s="2">
        <v>46265</v>
      </c>
      <c r="P2496" s="2">
        <v>46265</v>
      </c>
      <c r="Q2496">
        <f>_xlfn.XLOOKUP(E2496,CPT!$A$2:$A$13,CPT!$D$2:$D$13)</f>
        <v>145</v>
      </c>
      <c r="R2496" s="1">
        <f>_xlfn.XLOOKUP(C2496,Contract!$A$2:$A$9,Contract!$B$2:$B$9)</f>
        <v>0.45</v>
      </c>
      <c r="S2496" s="1">
        <f t="shared" si="152"/>
        <v>65.25</v>
      </c>
      <c r="T2496" s="1">
        <f t="shared" si="153"/>
        <v>3.4399999999999977</v>
      </c>
      <c r="U2496" s="1" t="str">
        <f t="shared" si="154"/>
        <v>Underpaid</v>
      </c>
      <c r="V2496" s="1" t="str">
        <f>_xlfn.XLOOKUP(C2496,Payers!$A$2:$A$9,Payers!$B$2:$B$9)</f>
        <v>Blue Horizon Commercial</v>
      </c>
      <c r="W2496" s="1" t="str">
        <f t="shared" si="155"/>
        <v>2026-07</v>
      </c>
    </row>
    <row r="2497" spans="1:23">
      <c r="A2497" s="1" t="s">
        <v>4334</v>
      </c>
      <c r="B2497" s="1" t="s">
        <v>1434</v>
      </c>
      <c r="C2497" s="1" t="s">
        <v>52</v>
      </c>
      <c r="D2497" s="1" t="s">
        <v>26</v>
      </c>
      <c r="E2497" s="1" t="s">
        <v>44</v>
      </c>
      <c r="F2497">
        <v>1</v>
      </c>
      <c r="G2497" s="2">
        <v>46187</v>
      </c>
      <c r="H2497" s="2">
        <v>46191</v>
      </c>
      <c r="I2497">
        <v>4816.49</v>
      </c>
      <c r="M2497" s="1" t="s">
        <v>32</v>
      </c>
      <c r="N2497" s="1" t="s">
        <v>315</v>
      </c>
      <c r="O2497" s="2">
        <v>46238</v>
      </c>
      <c r="P2497" s="2"/>
      <c r="Q2497">
        <f>_xlfn.XLOOKUP(E2497,CPT!$A$2:$A$13,CPT!$D$2:$D$13)</f>
        <v>4800</v>
      </c>
      <c r="R2497" s="1">
        <f>_xlfn.XLOOKUP(C2497,Contract!$A$2:$A$9,Contract!$B$2:$B$9)</f>
        <v>0.47</v>
      </c>
      <c r="S2497" s="1">
        <f t="shared" si="152"/>
        <v>2256</v>
      </c>
      <c r="T2497" s="1" t="str">
        <f t="shared" si="153"/>
        <v/>
      </c>
      <c r="U2497" s="1" t="str">
        <f t="shared" si="154"/>
        <v/>
      </c>
      <c r="V2497" s="1" t="str">
        <f>_xlfn.XLOOKUP(C2497,Payers!$A$2:$A$9,Payers!$B$2:$B$9)</f>
        <v>Keystone Commercial PPO</v>
      </c>
      <c r="W2497" s="1" t="str">
        <f t="shared" si="155"/>
        <v>2026-06</v>
      </c>
    </row>
    <row r="2498" spans="1:23">
      <c r="A2498" s="1" t="s">
        <v>4335</v>
      </c>
      <c r="B2498" s="1" t="s">
        <v>657</v>
      </c>
      <c r="C2498" s="1" t="s">
        <v>25</v>
      </c>
      <c r="D2498" s="1" t="s">
        <v>19</v>
      </c>
      <c r="E2498" s="1" t="s">
        <v>57</v>
      </c>
      <c r="F2498">
        <v>1</v>
      </c>
      <c r="G2498" s="2">
        <v>45989</v>
      </c>
      <c r="H2498" s="2">
        <v>45992</v>
      </c>
      <c r="I2498">
        <v>208.84</v>
      </c>
      <c r="J2498">
        <v>80.650000000000006</v>
      </c>
      <c r="K2498">
        <v>72.58</v>
      </c>
      <c r="L2498">
        <v>8.07</v>
      </c>
      <c r="M2498" s="1" t="s">
        <v>21</v>
      </c>
      <c r="N2498" s="1" t="s">
        <v>22</v>
      </c>
      <c r="O2498" s="2">
        <v>46018</v>
      </c>
      <c r="P2498" s="2">
        <v>46018</v>
      </c>
      <c r="Q2498">
        <f>_xlfn.XLOOKUP(E2498,CPT!$A$2:$A$13,CPT!$D$2:$D$13)</f>
        <v>210</v>
      </c>
      <c r="R2498" s="1">
        <f>_xlfn.XLOOKUP(C2498,Contract!$A$2:$A$9,Contract!$B$2:$B$9)</f>
        <v>0.36</v>
      </c>
      <c r="S2498" s="1">
        <f t="shared" ref="S2498:S2561" si="156">ROUND(Q2498*F2498*R2498,2)</f>
        <v>75.599999999999994</v>
      </c>
      <c r="T2498" s="1">
        <f t="shared" ref="T2498:T2561" si="157">IF(M2498="Paid",S2498-J2498,"")</f>
        <v>-5.0500000000000114</v>
      </c>
      <c r="U2498" s="1" t="str">
        <f t="shared" ref="U2498:U2561" si="158">IF(M2498&lt;&gt;"Paid","",IF(T2498&gt;S2498*0.05,"Underpaid","OK"))</f>
        <v>OK</v>
      </c>
      <c r="V2498" s="1" t="str">
        <f>_xlfn.XLOOKUP(C2498,Payers!$A$2:$A$9,Payers!$B$2:$B$9)</f>
        <v>Medicare Part B</v>
      </c>
      <c r="W2498" s="1" t="str">
        <f t="shared" ref="W2498:W2561" si="159">TEXT(G2498,"yyyy-mm")</f>
        <v>2025-11</v>
      </c>
    </row>
    <row r="2499" spans="1:23">
      <c r="A2499" s="1" t="s">
        <v>4336</v>
      </c>
      <c r="B2499" s="1" t="s">
        <v>4337</v>
      </c>
      <c r="C2499" s="1" t="s">
        <v>79</v>
      </c>
      <c r="D2499" s="1" t="s">
        <v>30</v>
      </c>
      <c r="E2499" s="1" t="s">
        <v>31</v>
      </c>
      <c r="F2499">
        <v>1</v>
      </c>
      <c r="G2499" s="2">
        <v>46252</v>
      </c>
      <c r="H2499" s="2">
        <v>46254</v>
      </c>
      <c r="I2499">
        <v>62.6</v>
      </c>
      <c r="M2499" s="1" t="s">
        <v>69</v>
      </c>
      <c r="N2499" s="1" t="s">
        <v>22</v>
      </c>
      <c r="O2499" s="2"/>
      <c r="P2499" s="2"/>
      <c r="Q2499">
        <f>_xlfn.XLOOKUP(E2499,CPT!$A$2:$A$13,CPT!$D$2:$D$13)</f>
        <v>62</v>
      </c>
      <c r="R2499" s="1">
        <f>_xlfn.XLOOKUP(C2499,Contract!$A$2:$A$9,Contract!$B$2:$B$9)</f>
        <v>1</v>
      </c>
      <c r="S2499" s="1">
        <f t="shared" si="156"/>
        <v>62</v>
      </c>
      <c r="T2499" s="1" t="str">
        <f t="shared" si="157"/>
        <v/>
      </c>
      <c r="U2499" s="1" t="str">
        <f t="shared" si="158"/>
        <v/>
      </c>
      <c r="V2499" s="1" t="str">
        <f>_xlfn.XLOOKUP(C2499,Payers!$A$2:$A$9,Payers!$B$2:$B$9)</f>
        <v>Self-Pay</v>
      </c>
      <c r="W2499" s="1" t="str">
        <f t="shared" si="159"/>
        <v>2026-08</v>
      </c>
    </row>
    <row r="2500" spans="1:23">
      <c r="A2500" s="1" t="s">
        <v>4338</v>
      </c>
      <c r="B2500" s="1" t="s">
        <v>3180</v>
      </c>
      <c r="C2500" s="1" t="s">
        <v>52</v>
      </c>
      <c r="D2500" s="1" t="s">
        <v>37</v>
      </c>
      <c r="E2500" s="1" t="s">
        <v>48</v>
      </c>
      <c r="F2500">
        <v>1</v>
      </c>
      <c r="G2500" s="2">
        <v>46199</v>
      </c>
      <c r="H2500" s="2">
        <v>46202</v>
      </c>
      <c r="I2500">
        <v>408.26</v>
      </c>
      <c r="M2500" s="1" t="s">
        <v>32</v>
      </c>
      <c r="N2500" s="1" t="s">
        <v>49</v>
      </c>
      <c r="O2500" s="2">
        <v>46240</v>
      </c>
      <c r="P2500" s="2"/>
      <c r="Q2500">
        <f>_xlfn.XLOOKUP(E2500,CPT!$A$2:$A$13,CPT!$D$2:$D$13)</f>
        <v>420</v>
      </c>
      <c r="R2500" s="1">
        <f>_xlfn.XLOOKUP(C2500,Contract!$A$2:$A$9,Contract!$B$2:$B$9)</f>
        <v>0.47</v>
      </c>
      <c r="S2500" s="1">
        <f t="shared" si="156"/>
        <v>197.4</v>
      </c>
      <c r="T2500" s="1" t="str">
        <f t="shared" si="157"/>
        <v/>
      </c>
      <c r="U2500" s="1" t="str">
        <f t="shared" si="158"/>
        <v/>
      </c>
      <c r="V2500" s="1" t="str">
        <f>_xlfn.XLOOKUP(C2500,Payers!$A$2:$A$9,Payers!$B$2:$B$9)</f>
        <v>Keystone Commercial PPO</v>
      </c>
      <c r="W2500" s="1" t="str">
        <f t="shared" si="159"/>
        <v>2026-06</v>
      </c>
    </row>
    <row r="2501" spans="1:23">
      <c r="A2501" s="1" t="s">
        <v>4339</v>
      </c>
      <c r="B2501" s="1" t="s">
        <v>4340</v>
      </c>
      <c r="C2501" s="1" t="s">
        <v>52</v>
      </c>
      <c r="D2501" s="1" t="s">
        <v>30</v>
      </c>
      <c r="E2501" s="1" t="s">
        <v>91</v>
      </c>
      <c r="F2501">
        <v>1</v>
      </c>
      <c r="G2501" s="2">
        <v>46254</v>
      </c>
      <c r="H2501" s="2">
        <v>46256</v>
      </c>
      <c r="I2501">
        <v>57.85</v>
      </c>
      <c r="J2501">
        <v>24.98</v>
      </c>
      <c r="K2501">
        <v>24.98</v>
      </c>
      <c r="L2501">
        <v>0</v>
      </c>
      <c r="M2501" s="1" t="s">
        <v>21</v>
      </c>
      <c r="N2501" s="1" t="s">
        <v>22</v>
      </c>
      <c r="O2501" s="2">
        <v>46262</v>
      </c>
      <c r="P2501" s="2">
        <v>46262</v>
      </c>
      <c r="Q2501">
        <f>_xlfn.XLOOKUP(E2501,CPT!$A$2:$A$13,CPT!$D$2:$D$13)</f>
        <v>58</v>
      </c>
      <c r="R2501" s="1">
        <f>_xlfn.XLOOKUP(C2501,Contract!$A$2:$A$9,Contract!$B$2:$B$9)</f>
        <v>0.47</v>
      </c>
      <c r="S2501" s="1">
        <f t="shared" si="156"/>
        <v>27.26</v>
      </c>
      <c r="T2501" s="1">
        <f t="shared" si="157"/>
        <v>2.2800000000000011</v>
      </c>
      <c r="U2501" s="1" t="str">
        <f t="shared" si="158"/>
        <v>Underpaid</v>
      </c>
      <c r="V2501" s="1" t="str">
        <f>_xlfn.XLOOKUP(C2501,Payers!$A$2:$A$9,Payers!$B$2:$B$9)</f>
        <v>Keystone Commercial PPO</v>
      </c>
      <c r="W2501" s="1" t="str">
        <f t="shared" si="159"/>
        <v>2026-08</v>
      </c>
    </row>
    <row r="2502" spans="1:23">
      <c r="A2502" s="1" t="s">
        <v>4341</v>
      </c>
      <c r="B2502" s="1" t="s">
        <v>1824</v>
      </c>
      <c r="C2502" s="1" t="s">
        <v>76</v>
      </c>
      <c r="D2502" s="1" t="s">
        <v>26</v>
      </c>
      <c r="E2502" s="1" t="s">
        <v>44</v>
      </c>
      <c r="F2502">
        <v>1</v>
      </c>
      <c r="G2502" s="2">
        <v>46158</v>
      </c>
      <c r="H2502" s="2">
        <v>46161</v>
      </c>
      <c r="I2502">
        <v>4930.26</v>
      </c>
      <c r="J2502">
        <v>2192.15</v>
      </c>
      <c r="K2502">
        <v>1972.93</v>
      </c>
      <c r="L2502">
        <v>219.22</v>
      </c>
      <c r="M2502" s="1" t="s">
        <v>21</v>
      </c>
      <c r="N2502" s="1" t="s">
        <v>22</v>
      </c>
      <c r="O2502" s="2">
        <v>46188</v>
      </c>
      <c r="P2502" s="2">
        <v>46188</v>
      </c>
      <c r="Q2502">
        <f>_xlfn.XLOOKUP(E2502,CPT!$A$2:$A$13,CPT!$D$2:$D$13)</f>
        <v>4800</v>
      </c>
      <c r="R2502" s="1">
        <f>_xlfn.XLOOKUP(C2502,Contract!$A$2:$A$9,Contract!$B$2:$B$9)</f>
        <v>0.43</v>
      </c>
      <c r="S2502" s="1">
        <f t="shared" si="156"/>
        <v>2064</v>
      </c>
      <c r="T2502" s="1">
        <f t="shared" si="157"/>
        <v>-128.15000000000009</v>
      </c>
      <c r="U2502" s="1" t="str">
        <f t="shared" si="158"/>
        <v>OK</v>
      </c>
      <c r="V2502" s="1" t="str">
        <f>_xlfn.XLOOKUP(C2502,Payers!$A$2:$A$9,Payers!$B$2:$B$9)</f>
        <v>Summit Health Commercial</v>
      </c>
      <c r="W2502" s="1" t="str">
        <f t="shared" si="159"/>
        <v>2026-05</v>
      </c>
    </row>
    <row r="2503" spans="1:23">
      <c r="A2503" s="1" t="s">
        <v>4342</v>
      </c>
      <c r="B2503" s="1" t="s">
        <v>4343</v>
      </c>
      <c r="C2503" s="1" t="s">
        <v>25</v>
      </c>
      <c r="D2503" s="1" t="s">
        <v>30</v>
      </c>
      <c r="E2503" s="1" t="s">
        <v>20</v>
      </c>
      <c r="F2503">
        <v>1</v>
      </c>
      <c r="G2503" s="2">
        <v>46141</v>
      </c>
      <c r="H2503" s="2">
        <v>46142</v>
      </c>
      <c r="I2503">
        <v>144.66</v>
      </c>
      <c r="J2503">
        <v>44.55</v>
      </c>
      <c r="K2503">
        <v>35.64</v>
      </c>
      <c r="L2503">
        <v>8.91</v>
      </c>
      <c r="M2503" s="1" t="s">
        <v>21</v>
      </c>
      <c r="N2503" s="1" t="s">
        <v>22</v>
      </c>
      <c r="O2503" s="2">
        <v>46158</v>
      </c>
      <c r="P2503" s="2">
        <v>46158</v>
      </c>
      <c r="Q2503">
        <f>_xlfn.XLOOKUP(E2503,CPT!$A$2:$A$13,CPT!$D$2:$D$13)</f>
        <v>145</v>
      </c>
      <c r="R2503" s="1">
        <f>_xlfn.XLOOKUP(C2503,Contract!$A$2:$A$9,Contract!$B$2:$B$9)</f>
        <v>0.36</v>
      </c>
      <c r="S2503" s="1">
        <f t="shared" si="156"/>
        <v>52.2</v>
      </c>
      <c r="T2503" s="1">
        <f t="shared" si="157"/>
        <v>7.6500000000000057</v>
      </c>
      <c r="U2503" s="1" t="str">
        <f t="shared" si="158"/>
        <v>Underpaid</v>
      </c>
      <c r="V2503" s="1" t="str">
        <f>_xlfn.XLOOKUP(C2503,Payers!$A$2:$A$9,Payers!$B$2:$B$9)</f>
        <v>Medicare Part B</v>
      </c>
      <c r="W2503" s="1" t="str">
        <f t="shared" si="159"/>
        <v>2026-04</v>
      </c>
    </row>
    <row r="2504" spans="1:23">
      <c r="A2504" s="1" t="s">
        <v>4344</v>
      </c>
      <c r="B2504" s="1" t="s">
        <v>526</v>
      </c>
      <c r="C2504" s="1" t="s">
        <v>52</v>
      </c>
      <c r="D2504" s="1" t="s">
        <v>19</v>
      </c>
      <c r="E2504" s="1" t="s">
        <v>41</v>
      </c>
      <c r="F2504">
        <v>1</v>
      </c>
      <c r="G2504" s="2">
        <v>45966</v>
      </c>
      <c r="H2504" s="2">
        <v>45968</v>
      </c>
      <c r="I2504">
        <v>38.840000000000003</v>
      </c>
      <c r="J2504">
        <v>16.07</v>
      </c>
      <c r="K2504">
        <v>16.07</v>
      </c>
      <c r="L2504">
        <v>0</v>
      </c>
      <c r="M2504" s="1" t="s">
        <v>21</v>
      </c>
      <c r="N2504" s="1" t="s">
        <v>22</v>
      </c>
      <c r="O2504" s="2">
        <v>46001</v>
      </c>
      <c r="P2504" s="2">
        <v>46001</v>
      </c>
      <c r="Q2504">
        <f>_xlfn.XLOOKUP(E2504,CPT!$A$2:$A$13,CPT!$D$2:$D$13)</f>
        <v>38</v>
      </c>
      <c r="R2504" s="1">
        <f>_xlfn.XLOOKUP(C2504,Contract!$A$2:$A$9,Contract!$B$2:$B$9)</f>
        <v>0.47</v>
      </c>
      <c r="S2504" s="1">
        <f t="shared" si="156"/>
        <v>17.86</v>
      </c>
      <c r="T2504" s="1">
        <f t="shared" si="157"/>
        <v>1.7899999999999991</v>
      </c>
      <c r="U2504" s="1" t="str">
        <f t="shared" si="158"/>
        <v>Underpaid</v>
      </c>
      <c r="V2504" s="1" t="str">
        <f>_xlfn.XLOOKUP(C2504,Payers!$A$2:$A$9,Payers!$B$2:$B$9)</f>
        <v>Keystone Commercial PPO</v>
      </c>
      <c r="W2504" s="1" t="str">
        <f t="shared" si="159"/>
        <v>2025-11</v>
      </c>
    </row>
    <row r="2505" spans="1:23">
      <c r="A2505" s="1" t="s">
        <v>4345</v>
      </c>
      <c r="B2505" s="1" t="s">
        <v>4346</v>
      </c>
      <c r="C2505" s="1" t="s">
        <v>36</v>
      </c>
      <c r="D2505" s="1" t="s">
        <v>37</v>
      </c>
      <c r="E2505" s="1" t="s">
        <v>48</v>
      </c>
      <c r="F2505">
        <v>1</v>
      </c>
      <c r="G2505" s="2">
        <v>46037</v>
      </c>
      <c r="H2505" s="2">
        <v>46039</v>
      </c>
      <c r="I2505">
        <v>432.52</v>
      </c>
      <c r="J2505">
        <v>116.92</v>
      </c>
      <c r="K2505">
        <v>93.54</v>
      </c>
      <c r="L2505">
        <v>23.38</v>
      </c>
      <c r="M2505" s="1" t="s">
        <v>21</v>
      </c>
      <c r="N2505" s="1" t="s">
        <v>22</v>
      </c>
      <c r="O2505" s="2">
        <v>46084</v>
      </c>
      <c r="P2505" s="2">
        <v>46084</v>
      </c>
      <c r="Q2505">
        <f>_xlfn.XLOOKUP(E2505,CPT!$A$2:$A$13,CPT!$D$2:$D$13)</f>
        <v>420</v>
      </c>
      <c r="R2505" s="1">
        <f>_xlfn.XLOOKUP(C2505,Contract!$A$2:$A$9,Contract!$B$2:$B$9)</f>
        <v>0.27</v>
      </c>
      <c r="S2505" s="1">
        <f t="shared" si="156"/>
        <v>113.4</v>
      </c>
      <c r="T2505" s="1">
        <f t="shared" si="157"/>
        <v>-3.519999999999996</v>
      </c>
      <c r="U2505" s="1" t="str">
        <f t="shared" si="158"/>
        <v>OK</v>
      </c>
      <c r="V2505" s="1" t="str">
        <f>_xlfn.XLOOKUP(C2505,Payers!$A$2:$A$9,Payers!$B$2:$B$9)</f>
        <v>Florida Medicaid</v>
      </c>
      <c r="W2505" s="1" t="str">
        <f t="shared" si="159"/>
        <v>2026-01</v>
      </c>
    </row>
    <row r="2506" spans="1:23">
      <c r="A2506" s="1" t="s">
        <v>4347</v>
      </c>
      <c r="B2506" s="1" t="s">
        <v>4348</v>
      </c>
      <c r="C2506" s="1" t="s">
        <v>60</v>
      </c>
      <c r="D2506" s="1" t="s">
        <v>19</v>
      </c>
      <c r="E2506" s="1" t="s">
        <v>57</v>
      </c>
      <c r="F2506">
        <v>1</v>
      </c>
      <c r="G2506" s="2">
        <v>45947</v>
      </c>
      <c r="H2506" s="2">
        <v>45951</v>
      </c>
      <c r="I2506">
        <v>205.4</v>
      </c>
      <c r="J2506">
        <v>90.37</v>
      </c>
      <c r="K2506">
        <v>72.3</v>
      </c>
      <c r="L2506">
        <v>18.07</v>
      </c>
      <c r="M2506" s="1" t="s">
        <v>21</v>
      </c>
      <c r="N2506" s="1" t="s">
        <v>22</v>
      </c>
      <c r="O2506" s="2">
        <v>45979</v>
      </c>
      <c r="P2506" s="2">
        <v>45979</v>
      </c>
      <c r="Q2506">
        <f>_xlfn.XLOOKUP(E2506,CPT!$A$2:$A$13,CPT!$D$2:$D$13)</f>
        <v>210</v>
      </c>
      <c r="R2506" s="1">
        <f>_xlfn.XLOOKUP(C2506,Contract!$A$2:$A$9,Contract!$B$2:$B$9)</f>
        <v>0.45</v>
      </c>
      <c r="S2506" s="1">
        <f t="shared" si="156"/>
        <v>94.5</v>
      </c>
      <c r="T2506" s="1">
        <f t="shared" si="157"/>
        <v>4.1299999999999955</v>
      </c>
      <c r="U2506" s="1" t="str">
        <f t="shared" si="158"/>
        <v>OK</v>
      </c>
      <c r="V2506" s="1" t="str">
        <f>_xlfn.XLOOKUP(C2506,Payers!$A$2:$A$9,Payers!$B$2:$B$9)</f>
        <v>Blue Horizon Commercial</v>
      </c>
      <c r="W2506" s="1" t="str">
        <f t="shared" si="159"/>
        <v>2025-10</v>
      </c>
    </row>
    <row r="2507" spans="1:23">
      <c r="A2507" s="1" t="s">
        <v>4349</v>
      </c>
      <c r="B2507" s="1" t="s">
        <v>2854</v>
      </c>
      <c r="C2507" s="1" t="s">
        <v>60</v>
      </c>
      <c r="D2507" s="1" t="s">
        <v>19</v>
      </c>
      <c r="E2507" s="1" t="s">
        <v>57</v>
      </c>
      <c r="F2507">
        <v>1</v>
      </c>
      <c r="G2507" s="2">
        <v>46033</v>
      </c>
      <c r="H2507" s="2">
        <v>46036</v>
      </c>
      <c r="I2507">
        <v>204.95</v>
      </c>
      <c r="J2507">
        <v>80.989999999999995</v>
      </c>
      <c r="K2507">
        <v>80.989999999999995</v>
      </c>
      <c r="L2507">
        <v>0</v>
      </c>
      <c r="M2507" s="1" t="s">
        <v>21</v>
      </c>
      <c r="N2507" s="1" t="s">
        <v>22</v>
      </c>
      <c r="O2507" s="2">
        <v>46058</v>
      </c>
      <c r="P2507" s="2">
        <v>46058</v>
      </c>
      <c r="Q2507">
        <f>_xlfn.XLOOKUP(E2507,CPT!$A$2:$A$13,CPT!$D$2:$D$13)</f>
        <v>210</v>
      </c>
      <c r="R2507" s="1">
        <f>_xlfn.XLOOKUP(C2507,Contract!$A$2:$A$9,Contract!$B$2:$B$9)</f>
        <v>0.45</v>
      </c>
      <c r="S2507" s="1">
        <f t="shared" si="156"/>
        <v>94.5</v>
      </c>
      <c r="T2507" s="1">
        <f t="shared" si="157"/>
        <v>13.510000000000005</v>
      </c>
      <c r="U2507" s="1" t="str">
        <f t="shared" si="158"/>
        <v>Underpaid</v>
      </c>
      <c r="V2507" s="1" t="str">
        <f>_xlfn.XLOOKUP(C2507,Payers!$A$2:$A$9,Payers!$B$2:$B$9)</f>
        <v>Blue Horizon Commercial</v>
      </c>
      <c r="W2507" s="1" t="str">
        <f t="shared" si="159"/>
        <v>2026-01</v>
      </c>
    </row>
    <row r="2508" spans="1:23">
      <c r="A2508" s="1" t="s">
        <v>4350</v>
      </c>
      <c r="B2508" s="1" t="s">
        <v>4351</v>
      </c>
      <c r="C2508" s="1" t="s">
        <v>76</v>
      </c>
      <c r="D2508" s="1" t="s">
        <v>19</v>
      </c>
      <c r="E2508" s="1" t="s">
        <v>88</v>
      </c>
      <c r="F2508">
        <v>1</v>
      </c>
      <c r="G2508" s="2">
        <v>46177</v>
      </c>
      <c r="H2508" s="2">
        <v>46178</v>
      </c>
      <c r="I2508">
        <v>262.7</v>
      </c>
      <c r="M2508" s="1" t="s">
        <v>32</v>
      </c>
      <c r="N2508" s="1" t="s">
        <v>33</v>
      </c>
      <c r="O2508" s="2">
        <v>46232</v>
      </c>
      <c r="P2508" s="2"/>
      <c r="Q2508">
        <f>_xlfn.XLOOKUP(E2508,CPT!$A$2:$A$13,CPT!$D$2:$D$13)</f>
        <v>260</v>
      </c>
      <c r="R2508" s="1">
        <f>_xlfn.XLOOKUP(C2508,Contract!$A$2:$A$9,Contract!$B$2:$B$9)</f>
        <v>0.43</v>
      </c>
      <c r="S2508" s="1">
        <f t="shared" si="156"/>
        <v>111.8</v>
      </c>
      <c r="T2508" s="1" t="str">
        <f t="shared" si="157"/>
        <v/>
      </c>
      <c r="U2508" s="1" t="str">
        <f t="shared" si="158"/>
        <v/>
      </c>
      <c r="V2508" s="1" t="str">
        <f>_xlfn.XLOOKUP(C2508,Payers!$A$2:$A$9,Payers!$B$2:$B$9)</f>
        <v>Summit Health Commercial</v>
      </c>
      <c r="W2508" s="1" t="str">
        <f t="shared" si="159"/>
        <v>2026-06</v>
      </c>
    </row>
    <row r="2509" spans="1:23">
      <c r="A2509" s="1" t="s">
        <v>4352</v>
      </c>
      <c r="B2509" s="1" t="s">
        <v>2076</v>
      </c>
      <c r="C2509" s="1" t="s">
        <v>52</v>
      </c>
      <c r="D2509" s="1" t="s">
        <v>26</v>
      </c>
      <c r="E2509" s="1" t="s">
        <v>88</v>
      </c>
      <c r="F2509">
        <v>1</v>
      </c>
      <c r="G2509" s="2">
        <v>45949</v>
      </c>
      <c r="H2509" s="2">
        <v>45953</v>
      </c>
      <c r="I2509">
        <v>262.58999999999997</v>
      </c>
      <c r="J2509">
        <v>112.83</v>
      </c>
      <c r="K2509">
        <v>90.26</v>
      </c>
      <c r="L2509">
        <v>22.57</v>
      </c>
      <c r="M2509" s="1" t="s">
        <v>21</v>
      </c>
      <c r="N2509" s="1" t="s">
        <v>22</v>
      </c>
      <c r="O2509" s="2">
        <v>45988</v>
      </c>
      <c r="P2509" s="2">
        <v>45988</v>
      </c>
      <c r="Q2509">
        <f>_xlfn.XLOOKUP(E2509,CPT!$A$2:$A$13,CPT!$D$2:$D$13)</f>
        <v>260</v>
      </c>
      <c r="R2509" s="1">
        <f>_xlfn.XLOOKUP(C2509,Contract!$A$2:$A$9,Contract!$B$2:$B$9)</f>
        <v>0.47</v>
      </c>
      <c r="S2509" s="1">
        <f t="shared" si="156"/>
        <v>122.2</v>
      </c>
      <c r="T2509" s="1">
        <f t="shared" si="157"/>
        <v>9.3700000000000045</v>
      </c>
      <c r="U2509" s="1" t="str">
        <f t="shared" si="158"/>
        <v>Underpaid</v>
      </c>
      <c r="V2509" s="1" t="str">
        <f>_xlfn.XLOOKUP(C2509,Payers!$A$2:$A$9,Payers!$B$2:$B$9)</f>
        <v>Keystone Commercial PPO</v>
      </c>
      <c r="W2509" s="1" t="str">
        <f t="shared" si="159"/>
        <v>2025-10</v>
      </c>
    </row>
    <row r="2510" spans="1:23">
      <c r="A2510" s="1" t="s">
        <v>4353</v>
      </c>
      <c r="B2510" s="1" t="s">
        <v>2575</v>
      </c>
      <c r="C2510" s="1" t="s">
        <v>52</v>
      </c>
      <c r="D2510" s="1" t="s">
        <v>19</v>
      </c>
      <c r="E2510" s="1" t="s">
        <v>57</v>
      </c>
      <c r="F2510">
        <v>1</v>
      </c>
      <c r="G2510" s="2">
        <v>46175</v>
      </c>
      <c r="H2510" s="2">
        <v>46177</v>
      </c>
      <c r="I2510">
        <v>205.4</v>
      </c>
      <c r="J2510">
        <v>82.35</v>
      </c>
      <c r="K2510">
        <v>82.35</v>
      </c>
      <c r="L2510">
        <v>0</v>
      </c>
      <c r="M2510" s="1" t="s">
        <v>21</v>
      </c>
      <c r="N2510" s="1" t="s">
        <v>22</v>
      </c>
      <c r="O2510" s="2">
        <v>46228</v>
      </c>
      <c r="P2510" s="2">
        <v>46228</v>
      </c>
      <c r="Q2510">
        <f>_xlfn.XLOOKUP(E2510,CPT!$A$2:$A$13,CPT!$D$2:$D$13)</f>
        <v>210</v>
      </c>
      <c r="R2510" s="1">
        <f>_xlfn.XLOOKUP(C2510,Contract!$A$2:$A$9,Contract!$B$2:$B$9)</f>
        <v>0.47</v>
      </c>
      <c r="S2510" s="1">
        <f t="shared" si="156"/>
        <v>98.7</v>
      </c>
      <c r="T2510" s="1">
        <f t="shared" si="157"/>
        <v>16.350000000000009</v>
      </c>
      <c r="U2510" s="1" t="str">
        <f t="shared" si="158"/>
        <v>Underpaid</v>
      </c>
      <c r="V2510" s="1" t="str">
        <f>_xlfn.XLOOKUP(C2510,Payers!$A$2:$A$9,Payers!$B$2:$B$9)</f>
        <v>Keystone Commercial PPO</v>
      </c>
      <c r="W2510" s="1" t="str">
        <f t="shared" si="159"/>
        <v>2026-06</v>
      </c>
    </row>
    <row r="2511" spans="1:23">
      <c r="A2511" s="1" t="s">
        <v>4354</v>
      </c>
      <c r="B2511" s="1" t="s">
        <v>4355</v>
      </c>
      <c r="C2511" s="1" t="s">
        <v>60</v>
      </c>
      <c r="D2511" s="1" t="s">
        <v>26</v>
      </c>
      <c r="E2511" s="1" t="s">
        <v>41</v>
      </c>
      <c r="F2511">
        <v>1</v>
      </c>
      <c r="G2511" s="2">
        <v>45946</v>
      </c>
      <c r="H2511" s="2">
        <v>45948</v>
      </c>
      <c r="I2511">
        <v>38.18</v>
      </c>
      <c r="J2511">
        <v>17.8</v>
      </c>
      <c r="K2511">
        <v>17.8</v>
      </c>
      <c r="L2511">
        <v>0</v>
      </c>
      <c r="M2511" s="1" t="s">
        <v>21</v>
      </c>
      <c r="N2511" s="1" t="s">
        <v>22</v>
      </c>
      <c r="O2511" s="2">
        <v>45962</v>
      </c>
      <c r="P2511" s="2">
        <v>45962</v>
      </c>
      <c r="Q2511">
        <f>_xlfn.XLOOKUP(E2511,CPT!$A$2:$A$13,CPT!$D$2:$D$13)</f>
        <v>38</v>
      </c>
      <c r="R2511" s="1">
        <f>_xlfn.XLOOKUP(C2511,Contract!$A$2:$A$9,Contract!$B$2:$B$9)</f>
        <v>0.45</v>
      </c>
      <c r="S2511" s="1">
        <f t="shared" si="156"/>
        <v>17.100000000000001</v>
      </c>
      <c r="T2511" s="1">
        <f t="shared" si="157"/>
        <v>-0.69999999999999929</v>
      </c>
      <c r="U2511" s="1" t="str">
        <f t="shared" si="158"/>
        <v>OK</v>
      </c>
      <c r="V2511" s="1" t="str">
        <f>_xlfn.XLOOKUP(C2511,Payers!$A$2:$A$9,Payers!$B$2:$B$9)</f>
        <v>Blue Horizon Commercial</v>
      </c>
      <c r="W2511" s="1" t="str">
        <f t="shared" si="159"/>
        <v>2025-10</v>
      </c>
    </row>
    <row r="2512" spans="1:23">
      <c r="A2512" s="1" t="s">
        <v>4356</v>
      </c>
      <c r="B2512" s="1" t="s">
        <v>4357</v>
      </c>
      <c r="C2512" s="1" t="s">
        <v>60</v>
      </c>
      <c r="D2512" s="1" t="s">
        <v>19</v>
      </c>
      <c r="E2512" s="1" t="s">
        <v>88</v>
      </c>
      <c r="F2512">
        <v>1</v>
      </c>
      <c r="G2512" s="2">
        <v>46221</v>
      </c>
      <c r="H2512" s="2">
        <v>46226</v>
      </c>
      <c r="I2512">
        <v>261.04000000000002</v>
      </c>
      <c r="J2512">
        <v>109.12</v>
      </c>
      <c r="K2512">
        <v>87.3</v>
      </c>
      <c r="L2512">
        <v>21.82</v>
      </c>
      <c r="M2512" s="1" t="s">
        <v>21</v>
      </c>
      <c r="N2512" s="1" t="s">
        <v>22</v>
      </c>
      <c r="O2512" s="2">
        <v>46254</v>
      </c>
      <c r="P2512" s="2">
        <v>46254</v>
      </c>
      <c r="Q2512">
        <f>_xlfn.XLOOKUP(E2512,CPT!$A$2:$A$13,CPT!$D$2:$D$13)</f>
        <v>260</v>
      </c>
      <c r="R2512" s="1">
        <f>_xlfn.XLOOKUP(C2512,Contract!$A$2:$A$9,Contract!$B$2:$B$9)</f>
        <v>0.45</v>
      </c>
      <c r="S2512" s="1">
        <f t="shared" si="156"/>
        <v>117</v>
      </c>
      <c r="T2512" s="1">
        <f t="shared" si="157"/>
        <v>7.8799999999999955</v>
      </c>
      <c r="U2512" s="1" t="str">
        <f t="shared" si="158"/>
        <v>Underpaid</v>
      </c>
      <c r="V2512" s="1" t="str">
        <f>_xlfn.XLOOKUP(C2512,Payers!$A$2:$A$9,Payers!$B$2:$B$9)</f>
        <v>Blue Horizon Commercial</v>
      </c>
      <c r="W2512" s="1" t="str">
        <f t="shared" si="159"/>
        <v>2026-07</v>
      </c>
    </row>
    <row r="2513" spans="1:23">
      <c r="A2513" s="1" t="s">
        <v>4358</v>
      </c>
      <c r="B2513" s="1" t="s">
        <v>4359</v>
      </c>
      <c r="C2513" s="1" t="s">
        <v>52</v>
      </c>
      <c r="D2513" s="1" t="s">
        <v>26</v>
      </c>
      <c r="E2513" s="1" t="s">
        <v>88</v>
      </c>
      <c r="F2513">
        <v>1</v>
      </c>
      <c r="G2513" s="2">
        <v>46124</v>
      </c>
      <c r="H2513" s="2">
        <v>46126</v>
      </c>
      <c r="I2513">
        <v>254.65</v>
      </c>
      <c r="J2513">
        <v>113.86</v>
      </c>
      <c r="K2513">
        <v>91.09</v>
      </c>
      <c r="L2513">
        <v>22.77</v>
      </c>
      <c r="M2513" s="1" t="s">
        <v>21</v>
      </c>
      <c r="N2513" s="1" t="s">
        <v>22</v>
      </c>
      <c r="O2513" s="2">
        <v>46163</v>
      </c>
      <c r="P2513" s="2">
        <v>46163</v>
      </c>
      <c r="Q2513">
        <f>_xlfn.XLOOKUP(E2513,CPT!$A$2:$A$13,CPT!$D$2:$D$13)</f>
        <v>260</v>
      </c>
      <c r="R2513" s="1">
        <f>_xlfn.XLOOKUP(C2513,Contract!$A$2:$A$9,Contract!$B$2:$B$9)</f>
        <v>0.47</v>
      </c>
      <c r="S2513" s="1">
        <f t="shared" si="156"/>
        <v>122.2</v>
      </c>
      <c r="T2513" s="1">
        <f t="shared" si="157"/>
        <v>8.3400000000000034</v>
      </c>
      <c r="U2513" s="1" t="str">
        <f t="shared" si="158"/>
        <v>Underpaid</v>
      </c>
      <c r="V2513" s="1" t="str">
        <f>_xlfn.XLOOKUP(C2513,Payers!$A$2:$A$9,Payers!$B$2:$B$9)</f>
        <v>Keystone Commercial PPO</v>
      </c>
      <c r="W2513" s="1" t="str">
        <f t="shared" si="159"/>
        <v>2026-04</v>
      </c>
    </row>
    <row r="2514" spans="1:23">
      <c r="A2514" s="1" t="s">
        <v>4360</v>
      </c>
      <c r="B2514" s="1" t="s">
        <v>1735</v>
      </c>
      <c r="C2514" s="1" t="s">
        <v>76</v>
      </c>
      <c r="D2514" s="1" t="s">
        <v>26</v>
      </c>
      <c r="E2514" s="1" t="s">
        <v>57</v>
      </c>
      <c r="F2514">
        <v>1</v>
      </c>
      <c r="G2514" s="2">
        <v>45997</v>
      </c>
      <c r="H2514" s="2">
        <v>46010</v>
      </c>
      <c r="I2514">
        <v>206.53</v>
      </c>
      <c r="M2514" s="1" t="s">
        <v>32</v>
      </c>
      <c r="N2514" s="1" t="s">
        <v>124</v>
      </c>
      <c r="O2514" s="2">
        <v>46057</v>
      </c>
      <c r="P2514" s="2"/>
      <c r="Q2514">
        <f>_xlfn.XLOOKUP(E2514,CPT!$A$2:$A$13,CPT!$D$2:$D$13)</f>
        <v>210</v>
      </c>
      <c r="R2514" s="1">
        <f>_xlfn.XLOOKUP(C2514,Contract!$A$2:$A$9,Contract!$B$2:$B$9)</f>
        <v>0.43</v>
      </c>
      <c r="S2514" s="1">
        <f t="shared" si="156"/>
        <v>90.3</v>
      </c>
      <c r="T2514" s="1" t="str">
        <f t="shared" si="157"/>
        <v/>
      </c>
      <c r="U2514" s="1" t="str">
        <f t="shared" si="158"/>
        <v/>
      </c>
      <c r="V2514" s="1" t="str">
        <f>_xlfn.XLOOKUP(C2514,Payers!$A$2:$A$9,Payers!$B$2:$B$9)</f>
        <v>Summit Health Commercial</v>
      </c>
      <c r="W2514" s="1" t="str">
        <f t="shared" si="159"/>
        <v>2025-12</v>
      </c>
    </row>
    <row r="2515" spans="1:23">
      <c r="A2515" s="1" t="s">
        <v>4361</v>
      </c>
      <c r="B2515" s="1" t="s">
        <v>4362</v>
      </c>
      <c r="C2515" s="1" t="s">
        <v>60</v>
      </c>
      <c r="D2515" s="1" t="s">
        <v>37</v>
      </c>
      <c r="E2515" s="1" t="s">
        <v>48</v>
      </c>
      <c r="F2515">
        <v>1</v>
      </c>
      <c r="G2515" s="2">
        <v>46195</v>
      </c>
      <c r="H2515" s="2">
        <v>46196</v>
      </c>
      <c r="I2515">
        <v>428.84</v>
      </c>
      <c r="J2515">
        <v>215.95</v>
      </c>
      <c r="K2515">
        <v>215.95</v>
      </c>
      <c r="L2515">
        <v>0</v>
      </c>
      <c r="M2515" s="1" t="s">
        <v>21</v>
      </c>
      <c r="N2515" s="1" t="s">
        <v>22</v>
      </c>
      <c r="O2515" s="2">
        <v>46205</v>
      </c>
      <c r="P2515" s="2">
        <v>46205</v>
      </c>
      <c r="Q2515">
        <f>_xlfn.XLOOKUP(E2515,CPT!$A$2:$A$13,CPT!$D$2:$D$13)</f>
        <v>420</v>
      </c>
      <c r="R2515" s="1">
        <f>_xlfn.XLOOKUP(C2515,Contract!$A$2:$A$9,Contract!$B$2:$B$9)</f>
        <v>0.45</v>
      </c>
      <c r="S2515" s="1">
        <f t="shared" si="156"/>
        <v>189</v>
      </c>
      <c r="T2515" s="1">
        <f t="shared" si="157"/>
        <v>-26.949999999999989</v>
      </c>
      <c r="U2515" s="1" t="str">
        <f t="shared" si="158"/>
        <v>OK</v>
      </c>
      <c r="V2515" s="1" t="str">
        <f>_xlfn.XLOOKUP(C2515,Payers!$A$2:$A$9,Payers!$B$2:$B$9)</f>
        <v>Blue Horizon Commercial</v>
      </c>
      <c r="W2515" s="1" t="str">
        <f t="shared" si="159"/>
        <v>2026-06</v>
      </c>
    </row>
    <row r="2516" spans="1:23">
      <c r="A2516" s="1" t="s">
        <v>4363</v>
      </c>
      <c r="B2516" s="1" t="s">
        <v>3708</v>
      </c>
      <c r="C2516" s="1" t="s">
        <v>52</v>
      </c>
      <c r="D2516" s="1" t="s">
        <v>26</v>
      </c>
      <c r="E2516" s="1" t="s">
        <v>113</v>
      </c>
      <c r="F2516">
        <v>1</v>
      </c>
      <c r="G2516" s="2">
        <v>46294</v>
      </c>
      <c r="H2516" s="2">
        <v>46295</v>
      </c>
      <c r="I2516">
        <v>1052.6600000000001</v>
      </c>
      <c r="M2516" s="1" t="s">
        <v>69</v>
      </c>
      <c r="N2516" s="1" t="s">
        <v>22</v>
      </c>
      <c r="O2516" s="2"/>
      <c r="P2516" s="2"/>
      <c r="Q2516">
        <f>_xlfn.XLOOKUP(E2516,CPT!$A$2:$A$13,CPT!$D$2:$D$13)</f>
        <v>1050</v>
      </c>
      <c r="R2516" s="1">
        <f>_xlfn.XLOOKUP(C2516,Contract!$A$2:$A$9,Contract!$B$2:$B$9)</f>
        <v>0.47</v>
      </c>
      <c r="S2516" s="1">
        <f t="shared" si="156"/>
        <v>493.5</v>
      </c>
      <c r="T2516" s="1" t="str">
        <f t="shared" si="157"/>
        <v/>
      </c>
      <c r="U2516" s="1" t="str">
        <f t="shared" si="158"/>
        <v/>
      </c>
      <c r="V2516" s="1" t="str">
        <f>_xlfn.XLOOKUP(C2516,Payers!$A$2:$A$9,Payers!$B$2:$B$9)</f>
        <v>Keystone Commercial PPO</v>
      </c>
      <c r="W2516" s="1" t="str">
        <f t="shared" si="159"/>
        <v>2026-09</v>
      </c>
    </row>
    <row r="2517" spans="1:23">
      <c r="A2517" s="1" t="s">
        <v>4364</v>
      </c>
      <c r="B2517" s="1" t="s">
        <v>4365</v>
      </c>
      <c r="C2517" s="1" t="s">
        <v>25</v>
      </c>
      <c r="D2517" s="1" t="s">
        <v>19</v>
      </c>
      <c r="E2517" s="1" t="s">
        <v>20</v>
      </c>
      <c r="F2517">
        <v>1</v>
      </c>
      <c r="G2517" s="2">
        <v>46126</v>
      </c>
      <c r="H2517" s="2">
        <v>46129</v>
      </c>
      <c r="I2517">
        <v>147.61000000000001</v>
      </c>
      <c r="J2517">
        <v>52.7</v>
      </c>
      <c r="K2517">
        <v>47.43</v>
      </c>
      <c r="L2517">
        <v>5.27</v>
      </c>
      <c r="M2517" s="1" t="s">
        <v>21</v>
      </c>
      <c r="N2517" s="1" t="s">
        <v>22</v>
      </c>
      <c r="O2517" s="2">
        <v>46143</v>
      </c>
      <c r="P2517" s="2">
        <v>46143</v>
      </c>
      <c r="Q2517">
        <f>_xlfn.XLOOKUP(E2517,CPT!$A$2:$A$13,CPT!$D$2:$D$13)</f>
        <v>145</v>
      </c>
      <c r="R2517" s="1">
        <f>_xlfn.XLOOKUP(C2517,Contract!$A$2:$A$9,Contract!$B$2:$B$9)</f>
        <v>0.36</v>
      </c>
      <c r="S2517" s="1">
        <f t="shared" si="156"/>
        <v>52.2</v>
      </c>
      <c r="T2517" s="1">
        <f t="shared" si="157"/>
        <v>-0.5</v>
      </c>
      <c r="U2517" s="1" t="str">
        <f t="shared" si="158"/>
        <v>OK</v>
      </c>
      <c r="V2517" s="1" t="str">
        <f>_xlfn.XLOOKUP(C2517,Payers!$A$2:$A$9,Payers!$B$2:$B$9)</f>
        <v>Medicare Part B</v>
      </c>
      <c r="W2517" s="1" t="str">
        <f t="shared" si="159"/>
        <v>2026-04</v>
      </c>
    </row>
    <row r="2518" spans="1:23">
      <c r="A2518" s="1" t="s">
        <v>4366</v>
      </c>
      <c r="B2518" s="1" t="s">
        <v>4367</v>
      </c>
      <c r="C2518" s="1" t="s">
        <v>76</v>
      </c>
      <c r="D2518" s="1" t="s">
        <v>19</v>
      </c>
      <c r="E2518" s="1" t="s">
        <v>88</v>
      </c>
      <c r="F2518">
        <v>1</v>
      </c>
      <c r="G2518" s="2">
        <v>46010</v>
      </c>
      <c r="H2518" s="2">
        <v>46011</v>
      </c>
      <c r="I2518">
        <v>252.43</v>
      </c>
      <c r="J2518">
        <v>114.43</v>
      </c>
      <c r="K2518">
        <v>91.54</v>
      </c>
      <c r="L2518">
        <v>22.89</v>
      </c>
      <c r="M2518" s="1" t="s">
        <v>21</v>
      </c>
      <c r="N2518" s="1" t="s">
        <v>22</v>
      </c>
      <c r="O2518" s="2">
        <v>46050</v>
      </c>
      <c r="P2518" s="2">
        <v>46050</v>
      </c>
      <c r="Q2518">
        <f>_xlfn.XLOOKUP(E2518,CPT!$A$2:$A$13,CPT!$D$2:$D$13)</f>
        <v>260</v>
      </c>
      <c r="R2518" s="1">
        <f>_xlfn.XLOOKUP(C2518,Contract!$A$2:$A$9,Contract!$B$2:$B$9)</f>
        <v>0.43</v>
      </c>
      <c r="S2518" s="1">
        <f t="shared" si="156"/>
        <v>111.8</v>
      </c>
      <c r="T2518" s="1">
        <f t="shared" si="157"/>
        <v>-2.6300000000000097</v>
      </c>
      <c r="U2518" s="1" t="str">
        <f t="shared" si="158"/>
        <v>OK</v>
      </c>
      <c r="V2518" s="1" t="str">
        <f>_xlfn.XLOOKUP(C2518,Payers!$A$2:$A$9,Payers!$B$2:$B$9)</f>
        <v>Summit Health Commercial</v>
      </c>
      <c r="W2518" s="1" t="str">
        <f t="shared" si="159"/>
        <v>2025-12</v>
      </c>
    </row>
    <row r="2519" spans="1:23">
      <c r="A2519" s="1" t="s">
        <v>4368</v>
      </c>
      <c r="B2519" s="1" t="s">
        <v>4369</v>
      </c>
      <c r="C2519" s="1" t="s">
        <v>47</v>
      </c>
      <c r="D2519" s="1" t="s">
        <v>37</v>
      </c>
      <c r="E2519" s="1" t="s">
        <v>38</v>
      </c>
      <c r="F2519">
        <v>30</v>
      </c>
      <c r="G2519" s="2">
        <v>46051</v>
      </c>
      <c r="H2519" s="2">
        <v>46053</v>
      </c>
      <c r="I2519">
        <v>42395.47</v>
      </c>
      <c r="M2519" s="1" t="s">
        <v>32</v>
      </c>
      <c r="N2519" s="1" t="s">
        <v>315</v>
      </c>
      <c r="O2519" s="2">
        <v>46132</v>
      </c>
      <c r="P2519" s="2"/>
      <c r="Q2519">
        <f>_xlfn.XLOOKUP(E2519,CPT!$A$2:$A$13,CPT!$D$2:$D$13)</f>
        <v>1450</v>
      </c>
      <c r="R2519" s="1">
        <f>_xlfn.XLOOKUP(C2519,Contract!$A$2:$A$9,Contract!$B$2:$B$9)</f>
        <v>0.28000000000000003</v>
      </c>
      <c r="S2519" s="1">
        <f t="shared" si="156"/>
        <v>12180</v>
      </c>
      <c r="T2519" s="1" t="str">
        <f t="shared" si="157"/>
        <v/>
      </c>
      <c r="U2519" s="1" t="str">
        <f t="shared" si="158"/>
        <v/>
      </c>
      <c r="V2519" s="1" t="str">
        <f>_xlfn.XLOOKUP(C2519,Payers!$A$2:$A$9,Payers!$B$2:$B$9)</f>
        <v>Coastal Medicaid MCO</v>
      </c>
      <c r="W2519" s="1" t="str">
        <f t="shared" si="159"/>
        <v>2026-01</v>
      </c>
    </row>
    <row r="2520" spans="1:23">
      <c r="A2520" s="1" t="s">
        <v>4370</v>
      </c>
      <c r="B2520" s="1" t="s">
        <v>4371</v>
      </c>
      <c r="C2520" s="1" t="s">
        <v>76</v>
      </c>
      <c r="D2520" s="1" t="s">
        <v>26</v>
      </c>
      <c r="E2520" s="1" t="s">
        <v>57</v>
      </c>
      <c r="F2520">
        <v>1</v>
      </c>
      <c r="G2520" s="2">
        <v>46125</v>
      </c>
      <c r="H2520" s="2">
        <v>46132</v>
      </c>
      <c r="I2520">
        <v>211.65</v>
      </c>
      <c r="J2520">
        <v>98.59</v>
      </c>
      <c r="K2520">
        <v>78.87</v>
      </c>
      <c r="L2520">
        <v>19.72</v>
      </c>
      <c r="M2520" s="1" t="s">
        <v>21</v>
      </c>
      <c r="N2520" s="1" t="s">
        <v>22</v>
      </c>
      <c r="O2520" s="2">
        <v>46158</v>
      </c>
      <c r="P2520" s="2">
        <v>46158</v>
      </c>
      <c r="Q2520">
        <f>_xlfn.XLOOKUP(E2520,CPT!$A$2:$A$13,CPT!$D$2:$D$13)</f>
        <v>210</v>
      </c>
      <c r="R2520" s="1">
        <f>_xlfn.XLOOKUP(C2520,Contract!$A$2:$A$9,Contract!$B$2:$B$9)</f>
        <v>0.43</v>
      </c>
      <c r="S2520" s="1">
        <f t="shared" si="156"/>
        <v>90.3</v>
      </c>
      <c r="T2520" s="1">
        <f t="shared" si="157"/>
        <v>-8.2900000000000063</v>
      </c>
      <c r="U2520" s="1" t="str">
        <f t="shared" si="158"/>
        <v>OK</v>
      </c>
      <c r="V2520" s="1" t="str">
        <f>_xlfn.XLOOKUP(C2520,Payers!$A$2:$A$9,Payers!$B$2:$B$9)</f>
        <v>Summit Health Commercial</v>
      </c>
      <c r="W2520" s="1" t="str">
        <f t="shared" si="159"/>
        <v>2026-04</v>
      </c>
    </row>
    <row r="2521" spans="1:23">
      <c r="A2521" s="1" t="s">
        <v>4372</v>
      </c>
      <c r="B2521" s="1" t="s">
        <v>756</v>
      </c>
      <c r="C2521" s="1" t="s">
        <v>76</v>
      </c>
      <c r="D2521" s="1" t="s">
        <v>19</v>
      </c>
      <c r="E2521" s="1" t="s">
        <v>20</v>
      </c>
      <c r="F2521">
        <v>1</v>
      </c>
      <c r="G2521" s="2">
        <v>45978</v>
      </c>
      <c r="H2521" s="2">
        <v>45982</v>
      </c>
      <c r="I2521">
        <v>148.25</v>
      </c>
      <c r="J2521">
        <v>69.900000000000006</v>
      </c>
      <c r="K2521">
        <v>69.900000000000006</v>
      </c>
      <c r="L2521">
        <v>0</v>
      </c>
      <c r="M2521" s="1" t="s">
        <v>21</v>
      </c>
      <c r="N2521" s="1" t="s">
        <v>22</v>
      </c>
      <c r="O2521" s="2">
        <v>46009</v>
      </c>
      <c r="P2521" s="2">
        <v>46009</v>
      </c>
      <c r="Q2521">
        <f>_xlfn.XLOOKUP(E2521,CPT!$A$2:$A$13,CPT!$D$2:$D$13)</f>
        <v>145</v>
      </c>
      <c r="R2521" s="1">
        <f>_xlfn.XLOOKUP(C2521,Contract!$A$2:$A$9,Contract!$B$2:$B$9)</f>
        <v>0.43</v>
      </c>
      <c r="S2521" s="1">
        <f t="shared" si="156"/>
        <v>62.35</v>
      </c>
      <c r="T2521" s="1">
        <f t="shared" si="157"/>
        <v>-7.5500000000000043</v>
      </c>
      <c r="U2521" s="1" t="str">
        <f t="shared" si="158"/>
        <v>OK</v>
      </c>
      <c r="V2521" s="1" t="str">
        <f>_xlfn.XLOOKUP(C2521,Payers!$A$2:$A$9,Payers!$B$2:$B$9)</f>
        <v>Summit Health Commercial</v>
      </c>
      <c r="W2521" s="1" t="str">
        <f t="shared" si="159"/>
        <v>2025-11</v>
      </c>
    </row>
    <row r="2522" spans="1:23">
      <c r="A2522" s="1" t="s">
        <v>4373</v>
      </c>
      <c r="B2522" s="1" t="s">
        <v>4374</v>
      </c>
      <c r="C2522" s="1" t="s">
        <v>79</v>
      </c>
      <c r="D2522" s="1" t="s">
        <v>26</v>
      </c>
      <c r="E2522" s="1" t="s">
        <v>113</v>
      </c>
      <c r="F2522">
        <v>1</v>
      </c>
      <c r="G2522" s="2">
        <v>46277</v>
      </c>
      <c r="H2522" s="2">
        <v>46286</v>
      </c>
      <c r="I2522">
        <v>1056.25</v>
      </c>
      <c r="M2522" s="1" t="s">
        <v>69</v>
      </c>
      <c r="N2522" s="1" t="s">
        <v>22</v>
      </c>
      <c r="O2522" s="2"/>
      <c r="P2522" s="2"/>
      <c r="Q2522">
        <f>_xlfn.XLOOKUP(E2522,CPT!$A$2:$A$13,CPT!$D$2:$D$13)</f>
        <v>1050</v>
      </c>
      <c r="R2522" s="1">
        <f>_xlfn.XLOOKUP(C2522,Contract!$A$2:$A$9,Contract!$B$2:$B$9)</f>
        <v>1</v>
      </c>
      <c r="S2522" s="1">
        <f t="shared" si="156"/>
        <v>1050</v>
      </c>
      <c r="T2522" s="1" t="str">
        <f t="shared" si="157"/>
        <v/>
      </c>
      <c r="U2522" s="1" t="str">
        <f t="shared" si="158"/>
        <v/>
      </c>
      <c r="V2522" s="1" t="str">
        <f>_xlfn.XLOOKUP(C2522,Payers!$A$2:$A$9,Payers!$B$2:$B$9)</f>
        <v>Self-Pay</v>
      </c>
      <c r="W2522" s="1" t="str">
        <f t="shared" si="159"/>
        <v>2026-09</v>
      </c>
    </row>
    <row r="2523" spans="1:23">
      <c r="A2523" s="1" t="s">
        <v>4375</v>
      </c>
      <c r="B2523" s="1" t="s">
        <v>253</v>
      </c>
      <c r="C2523" s="1" t="s">
        <v>79</v>
      </c>
      <c r="D2523" s="1" t="s">
        <v>26</v>
      </c>
      <c r="E2523" s="1" t="s">
        <v>88</v>
      </c>
      <c r="F2523">
        <v>1</v>
      </c>
      <c r="G2523" s="2">
        <v>46043</v>
      </c>
      <c r="H2523" s="2">
        <v>46045</v>
      </c>
      <c r="I2523">
        <v>256.27999999999997</v>
      </c>
      <c r="M2523" s="1" t="s">
        <v>69</v>
      </c>
      <c r="N2523" s="1" t="s">
        <v>22</v>
      </c>
      <c r="O2523" s="2"/>
      <c r="P2523" s="2"/>
      <c r="Q2523">
        <f>_xlfn.XLOOKUP(E2523,CPT!$A$2:$A$13,CPT!$D$2:$D$13)</f>
        <v>260</v>
      </c>
      <c r="R2523" s="1">
        <f>_xlfn.XLOOKUP(C2523,Contract!$A$2:$A$9,Contract!$B$2:$B$9)</f>
        <v>1</v>
      </c>
      <c r="S2523" s="1">
        <f t="shared" si="156"/>
        <v>260</v>
      </c>
      <c r="T2523" s="1" t="str">
        <f t="shared" si="157"/>
        <v/>
      </c>
      <c r="U2523" s="1" t="str">
        <f t="shared" si="158"/>
        <v/>
      </c>
      <c r="V2523" s="1" t="str">
        <f>_xlfn.XLOOKUP(C2523,Payers!$A$2:$A$9,Payers!$B$2:$B$9)</f>
        <v>Self-Pay</v>
      </c>
      <c r="W2523" s="1" t="str">
        <f t="shared" si="159"/>
        <v>2026-01</v>
      </c>
    </row>
    <row r="2524" spans="1:23">
      <c r="A2524" s="1" t="s">
        <v>4376</v>
      </c>
      <c r="B2524" s="1" t="s">
        <v>2758</v>
      </c>
      <c r="C2524" s="1" t="s">
        <v>79</v>
      </c>
      <c r="D2524" s="1" t="s">
        <v>26</v>
      </c>
      <c r="E2524" s="1" t="s">
        <v>44</v>
      </c>
      <c r="F2524">
        <v>1</v>
      </c>
      <c r="G2524" s="2">
        <v>46218</v>
      </c>
      <c r="H2524" s="2">
        <v>46220</v>
      </c>
      <c r="I2524">
        <v>4838.4399999999996</v>
      </c>
      <c r="J2524">
        <v>4838.4399999999996</v>
      </c>
      <c r="K2524">
        <v>4838.4399999999996</v>
      </c>
      <c r="L2524">
        <v>0</v>
      </c>
      <c r="M2524" s="1" t="s">
        <v>21</v>
      </c>
      <c r="N2524" s="1" t="s">
        <v>22</v>
      </c>
      <c r="O2524" s="2">
        <v>46289</v>
      </c>
      <c r="P2524" s="2">
        <v>46289</v>
      </c>
      <c r="Q2524">
        <f>_xlfn.XLOOKUP(E2524,CPT!$A$2:$A$13,CPT!$D$2:$D$13)</f>
        <v>4800</v>
      </c>
      <c r="R2524" s="1">
        <f>_xlfn.XLOOKUP(C2524,Contract!$A$2:$A$9,Contract!$B$2:$B$9)</f>
        <v>1</v>
      </c>
      <c r="S2524" s="1">
        <f t="shared" si="156"/>
        <v>4800</v>
      </c>
      <c r="T2524" s="1">
        <f t="shared" si="157"/>
        <v>-38.4399999999996</v>
      </c>
      <c r="U2524" s="1" t="str">
        <f t="shared" si="158"/>
        <v>OK</v>
      </c>
      <c r="V2524" s="1" t="str">
        <f>_xlfn.XLOOKUP(C2524,Payers!$A$2:$A$9,Payers!$B$2:$B$9)</f>
        <v>Self-Pay</v>
      </c>
      <c r="W2524" s="1" t="str">
        <f t="shared" si="159"/>
        <v>2026-07</v>
      </c>
    </row>
    <row r="2525" spans="1:23">
      <c r="A2525" s="1" t="s">
        <v>4377</v>
      </c>
      <c r="B2525" s="1" t="s">
        <v>4378</v>
      </c>
      <c r="C2525" s="1" t="s">
        <v>52</v>
      </c>
      <c r="D2525" s="1" t="s">
        <v>26</v>
      </c>
      <c r="E2525" s="1" t="s">
        <v>88</v>
      </c>
      <c r="F2525">
        <v>1</v>
      </c>
      <c r="G2525" s="2">
        <v>46231</v>
      </c>
      <c r="H2525" s="2">
        <v>46233</v>
      </c>
      <c r="I2525">
        <v>262.63</v>
      </c>
      <c r="J2525">
        <v>124.18</v>
      </c>
      <c r="K2525">
        <v>99.34</v>
      </c>
      <c r="L2525">
        <v>24.84</v>
      </c>
      <c r="M2525" s="1" t="s">
        <v>21</v>
      </c>
      <c r="N2525" s="1" t="s">
        <v>22</v>
      </c>
      <c r="O2525" s="2">
        <v>46282</v>
      </c>
      <c r="P2525" s="2">
        <v>46282</v>
      </c>
      <c r="Q2525">
        <f>_xlfn.XLOOKUP(E2525,CPT!$A$2:$A$13,CPT!$D$2:$D$13)</f>
        <v>260</v>
      </c>
      <c r="R2525" s="1">
        <f>_xlfn.XLOOKUP(C2525,Contract!$A$2:$A$9,Contract!$B$2:$B$9)</f>
        <v>0.47</v>
      </c>
      <c r="S2525" s="1">
        <f t="shared" si="156"/>
        <v>122.2</v>
      </c>
      <c r="T2525" s="1">
        <f t="shared" si="157"/>
        <v>-1.980000000000004</v>
      </c>
      <c r="U2525" s="1" t="str">
        <f t="shared" si="158"/>
        <v>OK</v>
      </c>
      <c r="V2525" s="1" t="str">
        <f>_xlfn.XLOOKUP(C2525,Payers!$A$2:$A$9,Payers!$B$2:$B$9)</f>
        <v>Keystone Commercial PPO</v>
      </c>
      <c r="W2525" s="1" t="str">
        <f t="shared" si="159"/>
        <v>2026-07</v>
      </c>
    </row>
    <row r="2526" spans="1:23">
      <c r="A2526" s="1" t="s">
        <v>4379</v>
      </c>
      <c r="B2526" s="1" t="s">
        <v>900</v>
      </c>
      <c r="C2526" s="1" t="s">
        <v>36</v>
      </c>
      <c r="D2526" s="1" t="s">
        <v>19</v>
      </c>
      <c r="E2526" s="1" t="s">
        <v>88</v>
      </c>
      <c r="F2526">
        <v>1</v>
      </c>
      <c r="G2526" s="2">
        <v>46128</v>
      </c>
      <c r="H2526" s="2">
        <v>46130</v>
      </c>
      <c r="I2526">
        <v>259.27</v>
      </c>
      <c r="J2526">
        <v>69.099999999999994</v>
      </c>
      <c r="K2526">
        <v>69.099999999999994</v>
      </c>
      <c r="L2526">
        <v>0</v>
      </c>
      <c r="M2526" s="1" t="s">
        <v>21</v>
      </c>
      <c r="N2526" s="1" t="s">
        <v>22</v>
      </c>
      <c r="O2526" s="2">
        <v>46170</v>
      </c>
      <c r="P2526" s="2">
        <v>46170</v>
      </c>
      <c r="Q2526">
        <f>_xlfn.XLOOKUP(E2526,CPT!$A$2:$A$13,CPT!$D$2:$D$13)</f>
        <v>260</v>
      </c>
      <c r="R2526" s="1">
        <f>_xlfn.XLOOKUP(C2526,Contract!$A$2:$A$9,Contract!$B$2:$B$9)</f>
        <v>0.27</v>
      </c>
      <c r="S2526" s="1">
        <f t="shared" si="156"/>
        <v>70.2</v>
      </c>
      <c r="T2526" s="1">
        <f t="shared" si="157"/>
        <v>1.1000000000000085</v>
      </c>
      <c r="U2526" s="1" t="str">
        <f t="shared" si="158"/>
        <v>OK</v>
      </c>
      <c r="V2526" s="1" t="str">
        <f>_xlfn.XLOOKUP(C2526,Payers!$A$2:$A$9,Payers!$B$2:$B$9)</f>
        <v>Florida Medicaid</v>
      </c>
      <c r="W2526" s="1" t="str">
        <f t="shared" si="159"/>
        <v>2026-04</v>
      </c>
    </row>
    <row r="2527" spans="1:23">
      <c r="A2527" s="1" t="s">
        <v>4380</v>
      </c>
      <c r="B2527" s="1" t="s">
        <v>2365</v>
      </c>
      <c r="C2527" s="1" t="s">
        <v>18</v>
      </c>
      <c r="D2527" s="1" t="s">
        <v>30</v>
      </c>
      <c r="E2527" s="1" t="s">
        <v>91</v>
      </c>
      <c r="F2527">
        <v>1</v>
      </c>
      <c r="G2527" s="2">
        <v>46130</v>
      </c>
      <c r="H2527" s="2">
        <v>46131</v>
      </c>
      <c r="I2527">
        <v>57.36</v>
      </c>
      <c r="J2527">
        <v>23.04</v>
      </c>
      <c r="K2527">
        <v>18.43</v>
      </c>
      <c r="L2527">
        <v>4.6100000000000003</v>
      </c>
      <c r="M2527" s="1" t="s">
        <v>21</v>
      </c>
      <c r="N2527" s="1" t="s">
        <v>22</v>
      </c>
      <c r="O2527" s="2">
        <v>46186</v>
      </c>
      <c r="P2527" s="2">
        <v>46186</v>
      </c>
      <c r="Q2527">
        <f>_xlfn.XLOOKUP(E2527,CPT!$A$2:$A$13,CPT!$D$2:$D$13)</f>
        <v>58</v>
      </c>
      <c r="R2527" s="1">
        <f>_xlfn.XLOOKUP(C2527,Contract!$A$2:$A$9,Contract!$B$2:$B$9)</f>
        <v>0.38</v>
      </c>
      <c r="S2527" s="1">
        <f t="shared" si="156"/>
        <v>22.04</v>
      </c>
      <c r="T2527" s="1">
        <f t="shared" si="157"/>
        <v>-1</v>
      </c>
      <c r="U2527" s="1" t="str">
        <f t="shared" si="158"/>
        <v>OK</v>
      </c>
      <c r="V2527" s="1" t="str">
        <f>_xlfn.XLOOKUP(C2527,Payers!$A$2:$A$9,Payers!$B$2:$B$9)</f>
        <v>Sunshine Medicare Advantage</v>
      </c>
      <c r="W2527" s="1" t="str">
        <f t="shared" si="159"/>
        <v>2026-04</v>
      </c>
    </row>
    <row r="2528" spans="1:23">
      <c r="A2528" s="1" t="s">
        <v>4381</v>
      </c>
      <c r="B2528" s="1" t="s">
        <v>4382</v>
      </c>
      <c r="C2528" s="1" t="s">
        <v>52</v>
      </c>
      <c r="D2528" s="1" t="s">
        <v>26</v>
      </c>
      <c r="E2528" s="1" t="s">
        <v>88</v>
      </c>
      <c r="F2528">
        <v>1</v>
      </c>
      <c r="G2528" s="2">
        <v>46068</v>
      </c>
      <c r="H2528" s="2">
        <v>46069</v>
      </c>
      <c r="I2528">
        <v>252.63</v>
      </c>
      <c r="J2528">
        <v>117.5</v>
      </c>
      <c r="K2528">
        <v>94</v>
      </c>
      <c r="L2528">
        <v>23.5</v>
      </c>
      <c r="M2528" s="1" t="s">
        <v>21</v>
      </c>
      <c r="N2528" s="1" t="s">
        <v>22</v>
      </c>
      <c r="O2528" s="2">
        <v>46113</v>
      </c>
      <c r="P2528" s="2">
        <v>46113</v>
      </c>
      <c r="Q2528">
        <f>_xlfn.XLOOKUP(E2528,CPT!$A$2:$A$13,CPT!$D$2:$D$13)</f>
        <v>260</v>
      </c>
      <c r="R2528" s="1">
        <f>_xlfn.XLOOKUP(C2528,Contract!$A$2:$A$9,Contract!$B$2:$B$9)</f>
        <v>0.47</v>
      </c>
      <c r="S2528" s="1">
        <f t="shared" si="156"/>
        <v>122.2</v>
      </c>
      <c r="T2528" s="1">
        <f t="shared" si="157"/>
        <v>4.7000000000000028</v>
      </c>
      <c r="U2528" s="1" t="str">
        <f t="shared" si="158"/>
        <v>OK</v>
      </c>
      <c r="V2528" s="1" t="str">
        <f>_xlfn.XLOOKUP(C2528,Payers!$A$2:$A$9,Payers!$B$2:$B$9)</f>
        <v>Keystone Commercial PPO</v>
      </c>
      <c r="W2528" s="1" t="str">
        <f t="shared" si="159"/>
        <v>2026-02</v>
      </c>
    </row>
    <row r="2529" spans="1:23">
      <c r="A2529" s="1" t="s">
        <v>4383</v>
      </c>
      <c r="B2529" s="1" t="s">
        <v>1125</v>
      </c>
      <c r="C2529" s="1" t="s">
        <v>76</v>
      </c>
      <c r="D2529" s="1" t="s">
        <v>19</v>
      </c>
      <c r="E2529" s="1" t="s">
        <v>57</v>
      </c>
      <c r="F2529">
        <v>1</v>
      </c>
      <c r="G2529" s="2">
        <v>45985</v>
      </c>
      <c r="H2529" s="2">
        <v>45987</v>
      </c>
      <c r="I2529">
        <v>212.62</v>
      </c>
      <c r="J2529">
        <v>94.14</v>
      </c>
      <c r="K2529">
        <v>94.14</v>
      </c>
      <c r="L2529">
        <v>0</v>
      </c>
      <c r="M2529" s="1" t="s">
        <v>21</v>
      </c>
      <c r="N2529" s="1" t="s">
        <v>22</v>
      </c>
      <c r="O2529" s="2">
        <v>46032</v>
      </c>
      <c r="P2529" s="2">
        <v>46032</v>
      </c>
      <c r="Q2529">
        <f>_xlfn.XLOOKUP(E2529,CPT!$A$2:$A$13,CPT!$D$2:$D$13)</f>
        <v>210</v>
      </c>
      <c r="R2529" s="1">
        <f>_xlfn.XLOOKUP(C2529,Contract!$A$2:$A$9,Contract!$B$2:$B$9)</f>
        <v>0.43</v>
      </c>
      <c r="S2529" s="1">
        <f t="shared" si="156"/>
        <v>90.3</v>
      </c>
      <c r="T2529" s="1">
        <f t="shared" si="157"/>
        <v>-3.8400000000000034</v>
      </c>
      <c r="U2529" s="1" t="str">
        <f t="shared" si="158"/>
        <v>OK</v>
      </c>
      <c r="V2529" s="1" t="str">
        <f>_xlfn.XLOOKUP(C2529,Payers!$A$2:$A$9,Payers!$B$2:$B$9)</f>
        <v>Summit Health Commercial</v>
      </c>
      <c r="W2529" s="1" t="str">
        <f t="shared" si="159"/>
        <v>2025-11</v>
      </c>
    </row>
    <row r="2530" spans="1:23">
      <c r="A2530" s="1" t="s">
        <v>4384</v>
      </c>
      <c r="B2530" s="1" t="s">
        <v>4283</v>
      </c>
      <c r="C2530" s="1" t="s">
        <v>79</v>
      </c>
      <c r="D2530" s="1" t="s">
        <v>30</v>
      </c>
      <c r="E2530" s="1" t="s">
        <v>91</v>
      </c>
      <c r="F2530">
        <v>1</v>
      </c>
      <c r="G2530" s="2">
        <v>45967</v>
      </c>
      <c r="H2530" s="2">
        <v>45968</v>
      </c>
      <c r="I2530">
        <v>59.16</v>
      </c>
      <c r="M2530" s="1" t="s">
        <v>69</v>
      </c>
      <c r="N2530" s="1" t="s">
        <v>22</v>
      </c>
      <c r="O2530" s="2"/>
      <c r="P2530" s="2"/>
      <c r="Q2530">
        <f>_xlfn.XLOOKUP(E2530,CPT!$A$2:$A$13,CPT!$D$2:$D$13)</f>
        <v>58</v>
      </c>
      <c r="R2530" s="1">
        <f>_xlfn.XLOOKUP(C2530,Contract!$A$2:$A$9,Contract!$B$2:$B$9)</f>
        <v>1</v>
      </c>
      <c r="S2530" s="1">
        <f t="shared" si="156"/>
        <v>58</v>
      </c>
      <c r="T2530" s="1" t="str">
        <f t="shared" si="157"/>
        <v/>
      </c>
      <c r="U2530" s="1" t="str">
        <f t="shared" si="158"/>
        <v/>
      </c>
      <c r="V2530" s="1" t="str">
        <f>_xlfn.XLOOKUP(C2530,Payers!$A$2:$A$9,Payers!$B$2:$B$9)</f>
        <v>Self-Pay</v>
      </c>
      <c r="W2530" s="1" t="str">
        <f t="shared" si="159"/>
        <v>2025-11</v>
      </c>
    </row>
    <row r="2531" spans="1:23">
      <c r="A2531" s="1" t="s">
        <v>4385</v>
      </c>
      <c r="B2531" s="1" t="s">
        <v>4386</v>
      </c>
      <c r="C2531" s="1" t="s">
        <v>52</v>
      </c>
      <c r="D2531" s="1" t="s">
        <v>19</v>
      </c>
      <c r="E2531" s="1" t="s">
        <v>88</v>
      </c>
      <c r="F2531">
        <v>1</v>
      </c>
      <c r="G2531" s="2">
        <v>46134</v>
      </c>
      <c r="H2531" s="2">
        <v>46139</v>
      </c>
      <c r="I2531">
        <v>255.97</v>
      </c>
      <c r="M2531" s="1" t="s">
        <v>32</v>
      </c>
      <c r="N2531" s="1" t="s">
        <v>33</v>
      </c>
      <c r="O2531" s="2">
        <v>46186</v>
      </c>
      <c r="P2531" s="2"/>
      <c r="Q2531">
        <f>_xlfn.XLOOKUP(E2531,CPT!$A$2:$A$13,CPT!$D$2:$D$13)</f>
        <v>260</v>
      </c>
      <c r="R2531" s="1">
        <f>_xlfn.XLOOKUP(C2531,Contract!$A$2:$A$9,Contract!$B$2:$B$9)</f>
        <v>0.47</v>
      </c>
      <c r="S2531" s="1">
        <f t="shared" si="156"/>
        <v>122.2</v>
      </c>
      <c r="T2531" s="1" t="str">
        <f t="shared" si="157"/>
        <v/>
      </c>
      <c r="U2531" s="1" t="str">
        <f t="shared" si="158"/>
        <v/>
      </c>
      <c r="V2531" s="1" t="str">
        <f>_xlfn.XLOOKUP(C2531,Payers!$A$2:$A$9,Payers!$B$2:$B$9)</f>
        <v>Keystone Commercial PPO</v>
      </c>
      <c r="W2531" s="1" t="str">
        <f t="shared" si="159"/>
        <v>2026-04</v>
      </c>
    </row>
    <row r="2532" spans="1:23">
      <c r="A2532" s="1" t="s">
        <v>4387</v>
      </c>
      <c r="B2532" s="1" t="s">
        <v>1023</v>
      </c>
      <c r="C2532" s="1" t="s">
        <v>60</v>
      </c>
      <c r="D2532" s="1" t="s">
        <v>26</v>
      </c>
      <c r="E2532" s="1" t="s">
        <v>44</v>
      </c>
      <c r="F2532">
        <v>1</v>
      </c>
      <c r="G2532" s="2">
        <v>46095</v>
      </c>
      <c r="H2532" s="2">
        <v>46096</v>
      </c>
      <c r="I2532">
        <v>4721.05</v>
      </c>
      <c r="J2532">
        <v>1808.09</v>
      </c>
      <c r="K2532">
        <v>1446.47</v>
      </c>
      <c r="L2532">
        <v>361.62</v>
      </c>
      <c r="M2532" s="1" t="s">
        <v>21</v>
      </c>
      <c r="N2532" s="1" t="s">
        <v>22</v>
      </c>
      <c r="O2532" s="2">
        <v>46122</v>
      </c>
      <c r="P2532" s="2">
        <v>46122</v>
      </c>
      <c r="Q2532">
        <f>_xlfn.XLOOKUP(E2532,CPT!$A$2:$A$13,CPT!$D$2:$D$13)</f>
        <v>4800</v>
      </c>
      <c r="R2532" s="1">
        <f>_xlfn.XLOOKUP(C2532,Contract!$A$2:$A$9,Contract!$B$2:$B$9)</f>
        <v>0.45</v>
      </c>
      <c r="S2532" s="1">
        <f t="shared" si="156"/>
        <v>2160</v>
      </c>
      <c r="T2532" s="1">
        <f t="shared" si="157"/>
        <v>351.91000000000008</v>
      </c>
      <c r="U2532" s="1" t="str">
        <f t="shared" si="158"/>
        <v>Underpaid</v>
      </c>
      <c r="V2532" s="1" t="str">
        <f>_xlfn.XLOOKUP(C2532,Payers!$A$2:$A$9,Payers!$B$2:$B$9)</f>
        <v>Blue Horizon Commercial</v>
      </c>
      <c r="W2532" s="1" t="str">
        <f t="shared" si="159"/>
        <v>2026-03</v>
      </c>
    </row>
    <row r="2533" spans="1:23">
      <c r="A2533" s="1" t="s">
        <v>4388</v>
      </c>
      <c r="B2533" s="1" t="s">
        <v>4389</v>
      </c>
      <c r="C2533" s="1" t="s">
        <v>18</v>
      </c>
      <c r="D2533" s="1" t="s">
        <v>19</v>
      </c>
      <c r="E2533" s="1" t="s">
        <v>41</v>
      </c>
      <c r="F2533">
        <v>1</v>
      </c>
      <c r="G2533" s="2">
        <v>46256</v>
      </c>
      <c r="H2533" s="2">
        <v>46259</v>
      </c>
      <c r="I2533">
        <v>38.19</v>
      </c>
      <c r="M2533" s="1" t="s">
        <v>69</v>
      </c>
      <c r="N2533" s="1" t="s">
        <v>22</v>
      </c>
      <c r="O2533" s="2"/>
      <c r="P2533" s="2"/>
      <c r="Q2533">
        <f>_xlfn.XLOOKUP(E2533,CPT!$A$2:$A$13,CPT!$D$2:$D$13)</f>
        <v>38</v>
      </c>
      <c r="R2533" s="1">
        <f>_xlfn.XLOOKUP(C2533,Contract!$A$2:$A$9,Contract!$B$2:$B$9)</f>
        <v>0.38</v>
      </c>
      <c r="S2533" s="1">
        <f t="shared" si="156"/>
        <v>14.44</v>
      </c>
      <c r="T2533" s="1" t="str">
        <f t="shared" si="157"/>
        <v/>
      </c>
      <c r="U2533" s="1" t="str">
        <f t="shared" si="158"/>
        <v/>
      </c>
      <c r="V2533" s="1" t="str">
        <f>_xlfn.XLOOKUP(C2533,Payers!$A$2:$A$9,Payers!$B$2:$B$9)</f>
        <v>Sunshine Medicare Advantage</v>
      </c>
      <c r="W2533" s="1" t="str">
        <f t="shared" si="159"/>
        <v>2026-08</v>
      </c>
    </row>
    <row r="2534" spans="1:23">
      <c r="A2534" s="1" t="s">
        <v>4390</v>
      </c>
      <c r="B2534" s="1" t="s">
        <v>4391</v>
      </c>
      <c r="C2534" s="1" t="s">
        <v>76</v>
      </c>
      <c r="D2534" s="1" t="s">
        <v>19</v>
      </c>
      <c r="E2534" s="1" t="s">
        <v>57</v>
      </c>
      <c r="F2534">
        <v>1</v>
      </c>
      <c r="G2534" s="2">
        <v>45985</v>
      </c>
      <c r="H2534" s="2">
        <v>45986</v>
      </c>
      <c r="I2534">
        <v>204.02</v>
      </c>
      <c r="J2534">
        <v>95.3</v>
      </c>
      <c r="K2534">
        <v>76.239999999999995</v>
      </c>
      <c r="L2534">
        <v>19.059999999999999</v>
      </c>
      <c r="M2534" s="1" t="s">
        <v>21</v>
      </c>
      <c r="N2534" s="1" t="s">
        <v>22</v>
      </c>
      <c r="O2534" s="2">
        <v>46021</v>
      </c>
      <c r="P2534" s="2">
        <v>46021</v>
      </c>
      <c r="Q2534">
        <f>_xlfn.XLOOKUP(E2534,CPT!$A$2:$A$13,CPT!$D$2:$D$13)</f>
        <v>210</v>
      </c>
      <c r="R2534" s="1">
        <f>_xlfn.XLOOKUP(C2534,Contract!$A$2:$A$9,Contract!$B$2:$B$9)</f>
        <v>0.43</v>
      </c>
      <c r="S2534" s="1">
        <f t="shared" si="156"/>
        <v>90.3</v>
      </c>
      <c r="T2534" s="1">
        <f t="shared" si="157"/>
        <v>-5</v>
      </c>
      <c r="U2534" s="1" t="str">
        <f t="shared" si="158"/>
        <v>OK</v>
      </c>
      <c r="V2534" s="1" t="str">
        <f>_xlfn.XLOOKUP(C2534,Payers!$A$2:$A$9,Payers!$B$2:$B$9)</f>
        <v>Summit Health Commercial</v>
      </c>
      <c r="W2534" s="1" t="str">
        <f t="shared" si="159"/>
        <v>2025-11</v>
      </c>
    </row>
    <row r="2535" spans="1:23">
      <c r="A2535" s="1" t="s">
        <v>4392</v>
      </c>
      <c r="B2535" s="1" t="s">
        <v>4393</v>
      </c>
      <c r="C2535" s="1" t="s">
        <v>52</v>
      </c>
      <c r="D2535" s="1" t="s">
        <v>30</v>
      </c>
      <c r="E2535" s="1" t="s">
        <v>20</v>
      </c>
      <c r="F2535">
        <v>1</v>
      </c>
      <c r="G2535" s="2">
        <v>46224</v>
      </c>
      <c r="H2535" s="2">
        <v>46228</v>
      </c>
      <c r="I2535">
        <v>148.54</v>
      </c>
      <c r="J2535">
        <v>79.67</v>
      </c>
      <c r="K2535">
        <v>63.74</v>
      </c>
      <c r="L2535">
        <v>15.93</v>
      </c>
      <c r="M2535" s="1" t="s">
        <v>21</v>
      </c>
      <c r="N2535" s="1" t="s">
        <v>22</v>
      </c>
      <c r="O2535" s="2">
        <v>46273</v>
      </c>
      <c r="P2535" s="2">
        <v>46273</v>
      </c>
      <c r="Q2535">
        <f>_xlfn.XLOOKUP(E2535,CPT!$A$2:$A$13,CPT!$D$2:$D$13)</f>
        <v>145</v>
      </c>
      <c r="R2535" s="1">
        <f>_xlfn.XLOOKUP(C2535,Contract!$A$2:$A$9,Contract!$B$2:$B$9)</f>
        <v>0.47</v>
      </c>
      <c r="S2535" s="1">
        <f t="shared" si="156"/>
        <v>68.150000000000006</v>
      </c>
      <c r="T2535" s="1">
        <f t="shared" si="157"/>
        <v>-11.519999999999996</v>
      </c>
      <c r="U2535" s="1" t="str">
        <f t="shared" si="158"/>
        <v>OK</v>
      </c>
      <c r="V2535" s="1" t="str">
        <f>_xlfn.XLOOKUP(C2535,Payers!$A$2:$A$9,Payers!$B$2:$B$9)</f>
        <v>Keystone Commercial PPO</v>
      </c>
      <c r="W2535" s="1" t="str">
        <f t="shared" si="159"/>
        <v>2026-07</v>
      </c>
    </row>
    <row r="2536" spans="1:23">
      <c r="A2536" s="1" t="s">
        <v>4394</v>
      </c>
      <c r="B2536" s="1" t="s">
        <v>2845</v>
      </c>
      <c r="C2536" s="1" t="s">
        <v>52</v>
      </c>
      <c r="D2536" s="1" t="s">
        <v>26</v>
      </c>
      <c r="E2536" s="1" t="s">
        <v>88</v>
      </c>
      <c r="F2536">
        <v>1</v>
      </c>
      <c r="G2536" s="2">
        <v>46224</v>
      </c>
      <c r="H2536" s="2">
        <v>46227</v>
      </c>
      <c r="I2536">
        <v>263.17</v>
      </c>
      <c r="M2536" s="1" t="s">
        <v>32</v>
      </c>
      <c r="N2536" s="1" t="s">
        <v>33</v>
      </c>
      <c r="O2536" s="2">
        <v>46274</v>
      </c>
      <c r="P2536" s="2"/>
      <c r="Q2536">
        <f>_xlfn.XLOOKUP(E2536,CPT!$A$2:$A$13,CPT!$D$2:$D$13)</f>
        <v>260</v>
      </c>
      <c r="R2536" s="1">
        <f>_xlfn.XLOOKUP(C2536,Contract!$A$2:$A$9,Contract!$B$2:$B$9)</f>
        <v>0.47</v>
      </c>
      <c r="S2536" s="1">
        <f t="shared" si="156"/>
        <v>122.2</v>
      </c>
      <c r="T2536" s="1" t="str">
        <f t="shared" si="157"/>
        <v/>
      </c>
      <c r="U2536" s="1" t="str">
        <f t="shared" si="158"/>
        <v/>
      </c>
      <c r="V2536" s="1" t="str">
        <f>_xlfn.XLOOKUP(C2536,Payers!$A$2:$A$9,Payers!$B$2:$B$9)</f>
        <v>Keystone Commercial PPO</v>
      </c>
      <c r="W2536" s="1" t="str">
        <f t="shared" si="159"/>
        <v>2026-07</v>
      </c>
    </row>
    <row r="2537" spans="1:23">
      <c r="A2537" s="1" t="s">
        <v>4395</v>
      </c>
      <c r="B2537" s="1" t="s">
        <v>4396</v>
      </c>
      <c r="C2537" s="1" t="s">
        <v>52</v>
      </c>
      <c r="D2537" s="1" t="s">
        <v>26</v>
      </c>
      <c r="E2537" s="1" t="s">
        <v>27</v>
      </c>
      <c r="F2537">
        <v>1</v>
      </c>
      <c r="G2537" s="2">
        <v>46074</v>
      </c>
      <c r="H2537" s="2">
        <v>46076</v>
      </c>
      <c r="I2537">
        <v>236.08</v>
      </c>
      <c r="J2537">
        <v>104.71</v>
      </c>
      <c r="K2537">
        <v>83.77</v>
      </c>
      <c r="L2537">
        <v>20.94</v>
      </c>
      <c r="M2537" s="1" t="s">
        <v>21</v>
      </c>
      <c r="N2537" s="1" t="s">
        <v>22</v>
      </c>
      <c r="O2537" s="2">
        <v>46126</v>
      </c>
      <c r="P2537" s="2">
        <v>46126</v>
      </c>
      <c r="Q2537">
        <f>_xlfn.XLOOKUP(E2537,CPT!$A$2:$A$13,CPT!$D$2:$D$13)</f>
        <v>240</v>
      </c>
      <c r="R2537" s="1">
        <f>_xlfn.XLOOKUP(C2537,Contract!$A$2:$A$9,Contract!$B$2:$B$9)</f>
        <v>0.47</v>
      </c>
      <c r="S2537" s="1">
        <f t="shared" si="156"/>
        <v>112.8</v>
      </c>
      <c r="T2537" s="1">
        <f t="shared" si="157"/>
        <v>8.0900000000000034</v>
      </c>
      <c r="U2537" s="1" t="str">
        <f t="shared" si="158"/>
        <v>Underpaid</v>
      </c>
      <c r="V2537" s="1" t="str">
        <f>_xlfn.XLOOKUP(C2537,Payers!$A$2:$A$9,Payers!$B$2:$B$9)</f>
        <v>Keystone Commercial PPO</v>
      </c>
      <c r="W2537" s="1" t="str">
        <f t="shared" si="159"/>
        <v>2026-02</v>
      </c>
    </row>
    <row r="2538" spans="1:23">
      <c r="A2538" s="1" t="s">
        <v>4397</v>
      </c>
      <c r="B2538" s="1" t="s">
        <v>1377</v>
      </c>
      <c r="C2538" s="1" t="s">
        <v>47</v>
      </c>
      <c r="D2538" s="1" t="s">
        <v>30</v>
      </c>
      <c r="E2538" s="1" t="s">
        <v>91</v>
      </c>
      <c r="F2538">
        <v>3</v>
      </c>
      <c r="G2538" s="2">
        <v>46048</v>
      </c>
      <c r="H2538" s="2">
        <v>46051</v>
      </c>
      <c r="I2538">
        <v>179.07</v>
      </c>
      <c r="J2538">
        <v>53.49</v>
      </c>
      <c r="K2538">
        <v>53.49</v>
      </c>
      <c r="L2538">
        <v>0</v>
      </c>
      <c r="M2538" s="1" t="s">
        <v>21</v>
      </c>
      <c r="N2538" s="1" t="s">
        <v>22</v>
      </c>
      <c r="O2538" s="2">
        <v>46086</v>
      </c>
      <c r="P2538" s="2">
        <v>46086</v>
      </c>
      <c r="Q2538">
        <f>_xlfn.XLOOKUP(E2538,CPT!$A$2:$A$13,CPT!$D$2:$D$13)</f>
        <v>58</v>
      </c>
      <c r="R2538" s="1">
        <f>_xlfn.XLOOKUP(C2538,Contract!$A$2:$A$9,Contract!$B$2:$B$9)</f>
        <v>0.28000000000000003</v>
      </c>
      <c r="S2538" s="1">
        <f t="shared" si="156"/>
        <v>48.72</v>
      </c>
      <c r="T2538" s="1">
        <f t="shared" si="157"/>
        <v>-4.7700000000000031</v>
      </c>
      <c r="U2538" s="1" t="str">
        <f t="shared" si="158"/>
        <v>OK</v>
      </c>
      <c r="V2538" s="1" t="str">
        <f>_xlfn.XLOOKUP(C2538,Payers!$A$2:$A$9,Payers!$B$2:$B$9)</f>
        <v>Coastal Medicaid MCO</v>
      </c>
      <c r="W2538" s="1" t="str">
        <f t="shared" si="159"/>
        <v>2026-01</v>
      </c>
    </row>
    <row r="2539" spans="1:23">
      <c r="A2539" s="1" t="s">
        <v>4398</v>
      </c>
      <c r="B2539" s="1" t="s">
        <v>1603</v>
      </c>
      <c r="C2539" s="1" t="s">
        <v>76</v>
      </c>
      <c r="D2539" s="1" t="s">
        <v>19</v>
      </c>
      <c r="E2539" s="1" t="s">
        <v>57</v>
      </c>
      <c r="F2539">
        <v>1</v>
      </c>
      <c r="G2539" s="2">
        <v>46137</v>
      </c>
      <c r="H2539" s="2">
        <v>46138</v>
      </c>
      <c r="I2539">
        <v>216.05</v>
      </c>
      <c r="J2539">
        <v>81.2</v>
      </c>
      <c r="K2539">
        <v>64.959999999999994</v>
      </c>
      <c r="L2539">
        <v>16.239999999999998</v>
      </c>
      <c r="M2539" s="1" t="s">
        <v>21</v>
      </c>
      <c r="N2539" s="1" t="s">
        <v>22</v>
      </c>
      <c r="O2539" s="2">
        <v>46186</v>
      </c>
      <c r="P2539" s="2">
        <v>46186</v>
      </c>
      <c r="Q2539">
        <f>_xlfn.XLOOKUP(E2539,CPT!$A$2:$A$13,CPT!$D$2:$D$13)</f>
        <v>210</v>
      </c>
      <c r="R2539" s="1">
        <f>_xlfn.XLOOKUP(C2539,Contract!$A$2:$A$9,Contract!$B$2:$B$9)</f>
        <v>0.43</v>
      </c>
      <c r="S2539" s="1">
        <f t="shared" si="156"/>
        <v>90.3</v>
      </c>
      <c r="T2539" s="1">
        <f t="shared" si="157"/>
        <v>9.0999999999999943</v>
      </c>
      <c r="U2539" s="1" t="str">
        <f t="shared" si="158"/>
        <v>Underpaid</v>
      </c>
      <c r="V2539" s="1" t="str">
        <f>_xlfn.XLOOKUP(C2539,Payers!$A$2:$A$9,Payers!$B$2:$B$9)</f>
        <v>Summit Health Commercial</v>
      </c>
      <c r="W2539" s="1" t="str">
        <f t="shared" si="159"/>
        <v>2026-04</v>
      </c>
    </row>
    <row r="2540" spans="1:23">
      <c r="A2540" s="1" t="s">
        <v>4399</v>
      </c>
      <c r="B2540" s="1" t="s">
        <v>2541</v>
      </c>
      <c r="C2540" s="1" t="s">
        <v>60</v>
      </c>
      <c r="D2540" s="1" t="s">
        <v>30</v>
      </c>
      <c r="E2540" s="1" t="s">
        <v>31</v>
      </c>
      <c r="F2540">
        <v>1</v>
      </c>
      <c r="G2540" s="2">
        <v>46163</v>
      </c>
      <c r="H2540" s="2">
        <v>46172</v>
      </c>
      <c r="I2540">
        <v>63.72</v>
      </c>
      <c r="J2540">
        <v>25.59</v>
      </c>
      <c r="K2540">
        <v>25.59</v>
      </c>
      <c r="L2540">
        <v>0</v>
      </c>
      <c r="M2540" s="1" t="s">
        <v>21</v>
      </c>
      <c r="N2540" s="1" t="s">
        <v>22</v>
      </c>
      <c r="O2540" s="2">
        <v>46186</v>
      </c>
      <c r="P2540" s="2">
        <v>46186</v>
      </c>
      <c r="Q2540">
        <f>_xlfn.XLOOKUP(E2540,CPT!$A$2:$A$13,CPT!$D$2:$D$13)</f>
        <v>62</v>
      </c>
      <c r="R2540" s="1">
        <f>_xlfn.XLOOKUP(C2540,Contract!$A$2:$A$9,Contract!$B$2:$B$9)</f>
        <v>0.45</v>
      </c>
      <c r="S2540" s="1">
        <f t="shared" si="156"/>
        <v>27.9</v>
      </c>
      <c r="T2540" s="1">
        <f t="shared" si="157"/>
        <v>2.3099999999999987</v>
      </c>
      <c r="U2540" s="1" t="str">
        <f t="shared" si="158"/>
        <v>Underpaid</v>
      </c>
      <c r="V2540" s="1" t="str">
        <f>_xlfn.XLOOKUP(C2540,Payers!$A$2:$A$9,Payers!$B$2:$B$9)</f>
        <v>Blue Horizon Commercial</v>
      </c>
      <c r="W2540" s="1" t="str">
        <f t="shared" si="159"/>
        <v>2026-05</v>
      </c>
    </row>
    <row r="2541" spans="1:23">
      <c r="A2541" s="1" t="s">
        <v>4400</v>
      </c>
      <c r="B2541" s="1" t="s">
        <v>4401</v>
      </c>
      <c r="C2541" s="1" t="s">
        <v>36</v>
      </c>
      <c r="D2541" s="1" t="s">
        <v>37</v>
      </c>
      <c r="E2541" s="1" t="s">
        <v>57</v>
      </c>
      <c r="F2541">
        <v>1</v>
      </c>
      <c r="G2541" s="2">
        <v>46200</v>
      </c>
      <c r="H2541" s="2">
        <v>46202</v>
      </c>
      <c r="I2541">
        <v>208.44</v>
      </c>
      <c r="J2541">
        <v>62.15</v>
      </c>
      <c r="K2541">
        <v>62.15</v>
      </c>
      <c r="L2541">
        <v>0</v>
      </c>
      <c r="M2541" s="1" t="s">
        <v>21</v>
      </c>
      <c r="N2541" s="1" t="s">
        <v>22</v>
      </c>
      <c r="O2541" s="2">
        <v>46241</v>
      </c>
      <c r="P2541" s="2">
        <v>46241</v>
      </c>
      <c r="Q2541">
        <f>_xlfn.XLOOKUP(E2541,CPT!$A$2:$A$13,CPT!$D$2:$D$13)</f>
        <v>210</v>
      </c>
      <c r="R2541" s="1">
        <f>_xlfn.XLOOKUP(C2541,Contract!$A$2:$A$9,Contract!$B$2:$B$9)</f>
        <v>0.27</v>
      </c>
      <c r="S2541" s="1">
        <f t="shared" si="156"/>
        <v>56.7</v>
      </c>
      <c r="T2541" s="1">
        <f t="shared" si="157"/>
        <v>-5.4499999999999957</v>
      </c>
      <c r="U2541" s="1" t="str">
        <f t="shared" si="158"/>
        <v>OK</v>
      </c>
      <c r="V2541" s="1" t="str">
        <f>_xlfn.XLOOKUP(C2541,Payers!$A$2:$A$9,Payers!$B$2:$B$9)</f>
        <v>Florida Medicaid</v>
      </c>
      <c r="W2541" s="1" t="str">
        <f t="shared" si="159"/>
        <v>2026-06</v>
      </c>
    </row>
    <row r="2542" spans="1:23">
      <c r="A2542" s="1" t="s">
        <v>4402</v>
      </c>
      <c r="B2542" s="1" t="s">
        <v>4403</v>
      </c>
      <c r="C2542" s="1" t="s">
        <v>25</v>
      </c>
      <c r="D2542" s="1" t="s">
        <v>37</v>
      </c>
      <c r="E2542" s="1" t="s">
        <v>48</v>
      </c>
      <c r="F2542">
        <v>1</v>
      </c>
      <c r="G2542" s="2">
        <v>46270</v>
      </c>
      <c r="H2542" s="2">
        <v>46275</v>
      </c>
      <c r="I2542">
        <v>409.73</v>
      </c>
      <c r="J2542">
        <v>168.56</v>
      </c>
      <c r="K2542">
        <v>168.56</v>
      </c>
      <c r="L2542">
        <v>0</v>
      </c>
      <c r="M2542" s="1" t="s">
        <v>21</v>
      </c>
      <c r="N2542" s="1" t="s">
        <v>22</v>
      </c>
      <c r="O2542" s="2">
        <v>46292</v>
      </c>
      <c r="P2542" s="2">
        <v>46292</v>
      </c>
      <c r="Q2542">
        <f>_xlfn.XLOOKUP(E2542,CPT!$A$2:$A$13,CPT!$D$2:$D$13)</f>
        <v>420</v>
      </c>
      <c r="R2542" s="1">
        <f>_xlfn.XLOOKUP(C2542,Contract!$A$2:$A$9,Contract!$B$2:$B$9)</f>
        <v>0.36</v>
      </c>
      <c r="S2542" s="1">
        <f t="shared" si="156"/>
        <v>151.19999999999999</v>
      </c>
      <c r="T2542" s="1">
        <f t="shared" si="157"/>
        <v>-17.360000000000014</v>
      </c>
      <c r="U2542" s="1" t="str">
        <f t="shared" si="158"/>
        <v>OK</v>
      </c>
      <c r="V2542" s="1" t="str">
        <f>_xlfn.XLOOKUP(C2542,Payers!$A$2:$A$9,Payers!$B$2:$B$9)</f>
        <v>Medicare Part B</v>
      </c>
      <c r="W2542" s="1" t="str">
        <f t="shared" si="159"/>
        <v>2026-09</v>
      </c>
    </row>
    <row r="2543" spans="1:23">
      <c r="A2543" s="1" t="s">
        <v>4404</v>
      </c>
      <c r="B2543" s="1" t="s">
        <v>4405</v>
      </c>
      <c r="C2543" s="1" t="s">
        <v>52</v>
      </c>
      <c r="D2543" s="1" t="s">
        <v>19</v>
      </c>
      <c r="E2543" s="1" t="s">
        <v>41</v>
      </c>
      <c r="F2543">
        <v>1</v>
      </c>
      <c r="G2543" s="2">
        <v>45948</v>
      </c>
      <c r="H2543" s="2">
        <v>45950</v>
      </c>
      <c r="I2543">
        <v>37.840000000000003</v>
      </c>
      <c r="J2543">
        <v>15.66</v>
      </c>
      <c r="K2543">
        <v>15.66</v>
      </c>
      <c r="L2543">
        <v>0</v>
      </c>
      <c r="M2543" s="1" t="s">
        <v>21</v>
      </c>
      <c r="N2543" s="1" t="s">
        <v>22</v>
      </c>
      <c r="O2543" s="2">
        <v>46003</v>
      </c>
      <c r="P2543" s="2">
        <v>46003</v>
      </c>
      <c r="Q2543">
        <f>_xlfn.XLOOKUP(E2543,CPT!$A$2:$A$13,CPT!$D$2:$D$13)</f>
        <v>38</v>
      </c>
      <c r="R2543" s="1">
        <f>_xlfn.XLOOKUP(C2543,Contract!$A$2:$A$9,Contract!$B$2:$B$9)</f>
        <v>0.47</v>
      </c>
      <c r="S2543" s="1">
        <f t="shared" si="156"/>
        <v>17.86</v>
      </c>
      <c r="T2543" s="1">
        <f t="shared" si="157"/>
        <v>2.1999999999999993</v>
      </c>
      <c r="U2543" s="1" t="str">
        <f t="shared" si="158"/>
        <v>Underpaid</v>
      </c>
      <c r="V2543" s="1" t="str">
        <f>_xlfn.XLOOKUP(C2543,Payers!$A$2:$A$9,Payers!$B$2:$B$9)</f>
        <v>Keystone Commercial PPO</v>
      </c>
      <c r="W2543" s="1" t="str">
        <f t="shared" si="159"/>
        <v>2025-10</v>
      </c>
    </row>
    <row r="2544" spans="1:23">
      <c r="A2544" s="1" t="s">
        <v>4406</v>
      </c>
      <c r="B2544" s="1" t="s">
        <v>4407</v>
      </c>
      <c r="C2544" s="1" t="s">
        <v>60</v>
      </c>
      <c r="D2544" s="1" t="s">
        <v>26</v>
      </c>
      <c r="E2544" s="1" t="s">
        <v>27</v>
      </c>
      <c r="F2544">
        <v>1</v>
      </c>
      <c r="G2544" s="2">
        <v>45993</v>
      </c>
      <c r="H2544" s="2">
        <v>45995</v>
      </c>
      <c r="I2544">
        <v>238.4</v>
      </c>
      <c r="J2544">
        <v>117.68</v>
      </c>
      <c r="K2544">
        <v>105.91</v>
      </c>
      <c r="L2544">
        <v>11.77</v>
      </c>
      <c r="M2544" s="1" t="s">
        <v>21</v>
      </c>
      <c r="N2544" s="1" t="s">
        <v>22</v>
      </c>
      <c r="O2544" s="2">
        <v>46017</v>
      </c>
      <c r="P2544" s="2">
        <v>46017</v>
      </c>
      <c r="Q2544">
        <f>_xlfn.XLOOKUP(E2544,CPT!$A$2:$A$13,CPT!$D$2:$D$13)</f>
        <v>240</v>
      </c>
      <c r="R2544" s="1">
        <f>_xlfn.XLOOKUP(C2544,Contract!$A$2:$A$9,Contract!$B$2:$B$9)</f>
        <v>0.45</v>
      </c>
      <c r="S2544" s="1">
        <f t="shared" si="156"/>
        <v>108</v>
      </c>
      <c r="T2544" s="1">
        <f t="shared" si="157"/>
        <v>-9.6800000000000068</v>
      </c>
      <c r="U2544" s="1" t="str">
        <f t="shared" si="158"/>
        <v>OK</v>
      </c>
      <c r="V2544" s="1" t="str">
        <f>_xlfn.XLOOKUP(C2544,Payers!$A$2:$A$9,Payers!$B$2:$B$9)</f>
        <v>Blue Horizon Commercial</v>
      </c>
      <c r="W2544" s="1" t="str">
        <f t="shared" si="159"/>
        <v>2025-12</v>
      </c>
    </row>
    <row r="2545" spans="1:23">
      <c r="A2545" s="1" t="s">
        <v>4408</v>
      </c>
      <c r="B2545" s="1" t="s">
        <v>4409</v>
      </c>
      <c r="C2545" s="1" t="s">
        <v>76</v>
      </c>
      <c r="D2545" s="1" t="s">
        <v>26</v>
      </c>
      <c r="E2545" s="1" t="s">
        <v>185</v>
      </c>
      <c r="F2545">
        <v>1</v>
      </c>
      <c r="G2545" s="2">
        <v>46234</v>
      </c>
      <c r="H2545" s="2">
        <v>46238</v>
      </c>
      <c r="I2545">
        <v>1152.42</v>
      </c>
      <c r="M2545" s="1" t="s">
        <v>32</v>
      </c>
      <c r="N2545" s="1" t="s">
        <v>124</v>
      </c>
      <c r="O2545" s="2">
        <v>46267</v>
      </c>
      <c r="P2545" s="2"/>
      <c r="Q2545">
        <f>_xlfn.XLOOKUP(E2545,CPT!$A$2:$A$13,CPT!$D$2:$D$13)</f>
        <v>1150</v>
      </c>
      <c r="R2545" s="1">
        <f>_xlfn.XLOOKUP(C2545,Contract!$A$2:$A$9,Contract!$B$2:$B$9)</f>
        <v>0.43</v>
      </c>
      <c r="S2545" s="1">
        <f t="shared" si="156"/>
        <v>494.5</v>
      </c>
      <c r="T2545" s="1" t="str">
        <f t="shared" si="157"/>
        <v/>
      </c>
      <c r="U2545" s="1" t="str">
        <f t="shared" si="158"/>
        <v/>
      </c>
      <c r="V2545" s="1" t="str">
        <f>_xlfn.XLOOKUP(C2545,Payers!$A$2:$A$9,Payers!$B$2:$B$9)</f>
        <v>Summit Health Commercial</v>
      </c>
      <c r="W2545" s="1" t="str">
        <f t="shared" si="159"/>
        <v>2026-07</v>
      </c>
    </row>
    <row r="2546" spans="1:23">
      <c r="A2546" s="1" t="s">
        <v>4410</v>
      </c>
      <c r="B2546" s="1" t="s">
        <v>3133</v>
      </c>
      <c r="C2546" s="1" t="s">
        <v>36</v>
      </c>
      <c r="D2546" s="1" t="s">
        <v>19</v>
      </c>
      <c r="E2546" s="1" t="s">
        <v>20</v>
      </c>
      <c r="F2546">
        <v>1</v>
      </c>
      <c r="G2546" s="2">
        <v>46049</v>
      </c>
      <c r="H2546" s="2">
        <v>46051</v>
      </c>
      <c r="I2546">
        <v>145.86000000000001</v>
      </c>
      <c r="J2546">
        <v>39.08</v>
      </c>
      <c r="K2546">
        <v>31.26</v>
      </c>
      <c r="L2546">
        <v>7.82</v>
      </c>
      <c r="M2546" s="1" t="s">
        <v>21</v>
      </c>
      <c r="N2546" s="1" t="s">
        <v>22</v>
      </c>
      <c r="O2546" s="2">
        <v>46093</v>
      </c>
      <c r="P2546" s="2">
        <v>46093</v>
      </c>
      <c r="Q2546">
        <f>_xlfn.XLOOKUP(E2546,CPT!$A$2:$A$13,CPT!$D$2:$D$13)</f>
        <v>145</v>
      </c>
      <c r="R2546" s="1">
        <f>_xlfn.XLOOKUP(C2546,Contract!$A$2:$A$9,Contract!$B$2:$B$9)</f>
        <v>0.27</v>
      </c>
      <c r="S2546" s="1">
        <f t="shared" si="156"/>
        <v>39.15</v>
      </c>
      <c r="T2546" s="1">
        <f t="shared" si="157"/>
        <v>7.0000000000000284E-2</v>
      </c>
      <c r="U2546" s="1" t="str">
        <f t="shared" si="158"/>
        <v>OK</v>
      </c>
      <c r="V2546" s="1" t="str">
        <f>_xlfn.XLOOKUP(C2546,Payers!$A$2:$A$9,Payers!$B$2:$B$9)</f>
        <v>Florida Medicaid</v>
      </c>
      <c r="W2546" s="1" t="str">
        <f t="shared" si="159"/>
        <v>2026-01</v>
      </c>
    </row>
    <row r="2547" spans="1:23">
      <c r="A2547" s="1" t="s">
        <v>4411</v>
      </c>
      <c r="B2547" s="1" t="s">
        <v>4412</v>
      </c>
      <c r="C2547" s="1" t="s">
        <v>79</v>
      </c>
      <c r="D2547" s="1" t="s">
        <v>30</v>
      </c>
      <c r="E2547" s="1" t="s">
        <v>20</v>
      </c>
      <c r="F2547">
        <v>1</v>
      </c>
      <c r="G2547" s="2">
        <v>46116</v>
      </c>
      <c r="H2547" s="2">
        <v>46120</v>
      </c>
      <c r="I2547">
        <v>143.44999999999999</v>
      </c>
      <c r="M2547" s="1" t="s">
        <v>69</v>
      </c>
      <c r="N2547" s="1" t="s">
        <v>22</v>
      </c>
      <c r="O2547" s="2"/>
      <c r="P2547" s="2"/>
      <c r="Q2547">
        <f>_xlfn.XLOOKUP(E2547,CPT!$A$2:$A$13,CPT!$D$2:$D$13)</f>
        <v>145</v>
      </c>
      <c r="R2547" s="1">
        <f>_xlfn.XLOOKUP(C2547,Contract!$A$2:$A$9,Contract!$B$2:$B$9)</f>
        <v>1</v>
      </c>
      <c r="S2547" s="1">
        <f t="shared" si="156"/>
        <v>145</v>
      </c>
      <c r="T2547" s="1" t="str">
        <f t="shared" si="157"/>
        <v/>
      </c>
      <c r="U2547" s="1" t="str">
        <f t="shared" si="158"/>
        <v/>
      </c>
      <c r="V2547" s="1" t="str">
        <f>_xlfn.XLOOKUP(C2547,Payers!$A$2:$A$9,Payers!$B$2:$B$9)</f>
        <v>Self-Pay</v>
      </c>
      <c r="W2547" s="1" t="str">
        <f t="shared" si="159"/>
        <v>2026-04</v>
      </c>
    </row>
    <row r="2548" spans="1:23">
      <c r="A2548" s="1" t="s">
        <v>4413</v>
      </c>
      <c r="B2548" s="1" t="s">
        <v>4414</v>
      </c>
      <c r="C2548" s="1" t="s">
        <v>60</v>
      </c>
      <c r="D2548" s="1" t="s">
        <v>19</v>
      </c>
      <c r="E2548" s="1" t="s">
        <v>20</v>
      </c>
      <c r="F2548">
        <v>1</v>
      </c>
      <c r="G2548" s="2">
        <v>46272</v>
      </c>
      <c r="H2548" s="2">
        <v>46285</v>
      </c>
      <c r="I2548">
        <v>141.35</v>
      </c>
      <c r="M2548" s="1" t="s">
        <v>69</v>
      </c>
      <c r="N2548" s="1" t="s">
        <v>22</v>
      </c>
      <c r="O2548" s="2"/>
      <c r="P2548" s="2"/>
      <c r="Q2548">
        <f>_xlfn.XLOOKUP(E2548,CPT!$A$2:$A$13,CPT!$D$2:$D$13)</f>
        <v>145</v>
      </c>
      <c r="R2548" s="1">
        <f>_xlfn.XLOOKUP(C2548,Contract!$A$2:$A$9,Contract!$B$2:$B$9)</f>
        <v>0.45</v>
      </c>
      <c r="S2548" s="1">
        <f t="shared" si="156"/>
        <v>65.25</v>
      </c>
      <c r="T2548" s="1" t="str">
        <f t="shared" si="157"/>
        <v/>
      </c>
      <c r="U2548" s="1" t="str">
        <f t="shared" si="158"/>
        <v/>
      </c>
      <c r="V2548" s="1" t="str">
        <f>_xlfn.XLOOKUP(C2548,Payers!$A$2:$A$9,Payers!$B$2:$B$9)</f>
        <v>Blue Horizon Commercial</v>
      </c>
      <c r="W2548" s="1" t="str">
        <f t="shared" si="159"/>
        <v>2026-09</v>
      </c>
    </row>
    <row r="2549" spans="1:23">
      <c r="A2549" s="1" t="s">
        <v>4415</v>
      </c>
      <c r="B2549" s="1" t="s">
        <v>4416</v>
      </c>
      <c r="C2549" s="1" t="s">
        <v>60</v>
      </c>
      <c r="D2549" s="1" t="s">
        <v>19</v>
      </c>
      <c r="E2549" s="1" t="s">
        <v>41</v>
      </c>
      <c r="F2549">
        <v>1</v>
      </c>
      <c r="G2549" s="2">
        <v>46230</v>
      </c>
      <c r="H2549" s="2">
        <v>46234</v>
      </c>
      <c r="I2549">
        <v>37.909999999999997</v>
      </c>
      <c r="J2549">
        <v>19.54</v>
      </c>
      <c r="K2549">
        <v>19.54</v>
      </c>
      <c r="L2549">
        <v>0</v>
      </c>
      <c r="M2549" s="1" t="s">
        <v>21</v>
      </c>
      <c r="N2549" s="1" t="s">
        <v>22</v>
      </c>
      <c r="O2549" s="2">
        <v>46258</v>
      </c>
      <c r="P2549" s="2">
        <v>46258</v>
      </c>
      <c r="Q2549">
        <f>_xlfn.XLOOKUP(E2549,CPT!$A$2:$A$13,CPT!$D$2:$D$13)</f>
        <v>38</v>
      </c>
      <c r="R2549" s="1">
        <f>_xlfn.XLOOKUP(C2549,Contract!$A$2:$A$9,Contract!$B$2:$B$9)</f>
        <v>0.45</v>
      </c>
      <c r="S2549" s="1">
        <f t="shared" si="156"/>
        <v>17.100000000000001</v>
      </c>
      <c r="T2549" s="1">
        <f t="shared" si="157"/>
        <v>-2.4399999999999977</v>
      </c>
      <c r="U2549" s="1" t="str">
        <f t="shared" si="158"/>
        <v>OK</v>
      </c>
      <c r="V2549" s="1" t="str">
        <f>_xlfn.XLOOKUP(C2549,Payers!$A$2:$A$9,Payers!$B$2:$B$9)</f>
        <v>Blue Horizon Commercial</v>
      </c>
      <c r="W2549" s="1" t="str">
        <f t="shared" si="159"/>
        <v>2026-07</v>
      </c>
    </row>
    <row r="2550" spans="1:23">
      <c r="A2550" s="1" t="s">
        <v>4417</v>
      </c>
      <c r="B2550" s="1" t="s">
        <v>2902</v>
      </c>
      <c r="C2550" s="1" t="s">
        <v>60</v>
      </c>
      <c r="D2550" s="1" t="s">
        <v>30</v>
      </c>
      <c r="E2550" s="1" t="s">
        <v>31</v>
      </c>
      <c r="F2550">
        <v>4</v>
      </c>
      <c r="G2550" s="2">
        <v>46275</v>
      </c>
      <c r="H2550" s="2">
        <v>46276</v>
      </c>
      <c r="I2550">
        <v>248.83</v>
      </c>
      <c r="M2550" s="1" t="s">
        <v>69</v>
      </c>
      <c r="N2550" s="1" t="s">
        <v>22</v>
      </c>
      <c r="O2550" s="2"/>
      <c r="P2550" s="2"/>
      <c r="Q2550">
        <f>_xlfn.XLOOKUP(E2550,CPT!$A$2:$A$13,CPT!$D$2:$D$13)</f>
        <v>62</v>
      </c>
      <c r="R2550" s="1">
        <f>_xlfn.XLOOKUP(C2550,Contract!$A$2:$A$9,Contract!$B$2:$B$9)</f>
        <v>0.45</v>
      </c>
      <c r="S2550" s="1">
        <f t="shared" si="156"/>
        <v>111.6</v>
      </c>
      <c r="T2550" s="1" t="str">
        <f t="shared" si="157"/>
        <v/>
      </c>
      <c r="U2550" s="1" t="str">
        <f t="shared" si="158"/>
        <v/>
      </c>
      <c r="V2550" s="1" t="str">
        <f>_xlfn.XLOOKUP(C2550,Payers!$A$2:$A$9,Payers!$B$2:$B$9)</f>
        <v>Blue Horizon Commercial</v>
      </c>
      <c r="W2550" s="1" t="str">
        <f t="shared" si="159"/>
        <v>2026-09</v>
      </c>
    </row>
    <row r="2551" spans="1:23">
      <c r="A2551" s="1" t="s">
        <v>4418</v>
      </c>
      <c r="B2551" s="1" t="s">
        <v>4185</v>
      </c>
      <c r="C2551" s="1" t="s">
        <v>18</v>
      </c>
      <c r="D2551" s="1" t="s">
        <v>19</v>
      </c>
      <c r="E2551" s="1" t="s">
        <v>57</v>
      </c>
      <c r="F2551">
        <v>1</v>
      </c>
      <c r="G2551" s="2">
        <v>46042</v>
      </c>
      <c r="H2551" s="2">
        <v>46044</v>
      </c>
      <c r="I2551">
        <v>204.63</v>
      </c>
      <c r="J2551">
        <v>69.14</v>
      </c>
      <c r="K2551">
        <v>55.31</v>
      </c>
      <c r="L2551">
        <v>13.83</v>
      </c>
      <c r="M2551" s="1" t="s">
        <v>21</v>
      </c>
      <c r="N2551" s="1" t="s">
        <v>22</v>
      </c>
      <c r="O2551" s="2">
        <v>46090</v>
      </c>
      <c r="P2551" s="2">
        <v>46090</v>
      </c>
      <c r="Q2551">
        <f>_xlfn.XLOOKUP(E2551,CPT!$A$2:$A$13,CPT!$D$2:$D$13)</f>
        <v>210</v>
      </c>
      <c r="R2551" s="1">
        <f>_xlfn.XLOOKUP(C2551,Contract!$A$2:$A$9,Contract!$B$2:$B$9)</f>
        <v>0.38</v>
      </c>
      <c r="S2551" s="1">
        <f t="shared" si="156"/>
        <v>79.8</v>
      </c>
      <c r="T2551" s="1">
        <f t="shared" si="157"/>
        <v>10.659999999999997</v>
      </c>
      <c r="U2551" s="1" t="str">
        <f t="shared" si="158"/>
        <v>Underpaid</v>
      </c>
      <c r="V2551" s="1" t="str">
        <f>_xlfn.XLOOKUP(C2551,Payers!$A$2:$A$9,Payers!$B$2:$B$9)</f>
        <v>Sunshine Medicare Advantage</v>
      </c>
      <c r="W2551" s="1" t="str">
        <f t="shared" si="159"/>
        <v>2026-01</v>
      </c>
    </row>
    <row r="2552" spans="1:23">
      <c r="A2552" s="1" t="s">
        <v>4419</v>
      </c>
      <c r="B2552" s="1" t="s">
        <v>4163</v>
      </c>
      <c r="C2552" s="1" t="s">
        <v>36</v>
      </c>
      <c r="D2552" s="1" t="s">
        <v>26</v>
      </c>
      <c r="E2552" s="1" t="s">
        <v>113</v>
      </c>
      <c r="F2552">
        <v>1</v>
      </c>
      <c r="G2552" s="2">
        <v>46116</v>
      </c>
      <c r="H2552" s="2">
        <v>46122</v>
      </c>
      <c r="I2552">
        <v>1079.57</v>
      </c>
      <c r="M2552" s="1" t="s">
        <v>32</v>
      </c>
      <c r="N2552" s="1" t="s">
        <v>315</v>
      </c>
      <c r="O2552" s="2">
        <v>46164</v>
      </c>
      <c r="P2552" s="2"/>
      <c r="Q2552">
        <f>_xlfn.XLOOKUP(E2552,CPT!$A$2:$A$13,CPT!$D$2:$D$13)</f>
        <v>1050</v>
      </c>
      <c r="R2552" s="1">
        <f>_xlfn.XLOOKUP(C2552,Contract!$A$2:$A$9,Contract!$B$2:$B$9)</f>
        <v>0.27</v>
      </c>
      <c r="S2552" s="1">
        <f t="shared" si="156"/>
        <v>283.5</v>
      </c>
      <c r="T2552" s="1" t="str">
        <f t="shared" si="157"/>
        <v/>
      </c>
      <c r="U2552" s="1" t="str">
        <f t="shared" si="158"/>
        <v/>
      </c>
      <c r="V2552" s="1" t="str">
        <f>_xlfn.XLOOKUP(C2552,Payers!$A$2:$A$9,Payers!$B$2:$B$9)</f>
        <v>Florida Medicaid</v>
      </c>
      <c r="W2552" s="1" t="str">
        <f t="shared" si="159"/>
        <v>2026-04</v>
      </c>
    </row>
    <row r="2553" spans="1:23">
      <c r="A2553" s="1" t="s">
        <v>4420</v>
      </c>
      <c r="B2553" s="1" t="s">
        <v>3854</v>
      </c>
      <c r="C2553" s="1" t="s">
        <v>18</v>
      </c>
      <c r="D2553" s="1" t="s">
        <v>26</v>
      </c>
      <c r="E2553" s="1" t="s">
        <v>57</v>
      </c>
      <c r="F2553">
        <v>1</v>
      </c>
      <c r="G2553" s="2">
        <v>46200</v>
      </c>
      <c r="H2553" s="2">
        <v>46203</v>
      </c>
      <c r="I2553">
        <v>212.86</v>
      </c>
      <c r="J2553">
        <v>80.930000000000007</v>
      </c>
      <c r="K2553">
        <v>80.930000000000007</v>
      </c>
      <c r="L2553">
        <v>0</v>
      </c>
      <c r="M2553" s="1" t="s">
        <v>21</v>
      </c>
      <c r="N2553" s="1" t="s">
        <v>22</v>
      </c>
      <c r="O2553" s="2">
        <v>46236</v>
      </c>
      <c r="P2553" s="2">
        <v>46236</v>
      </c>
      <c r="Q2553">
        <f>_xlfn.XLOOKUP(E2553,CPT!$A$2:$A$13,CPT!$D$2:$D$13)</f>
        <v>210</v>
      </c>
      <c r="R2553" s="1">
        <f>_xlfn.XLOOKUP(C2553,Contract!$A$2:$A$9,Contract!$B$2:$B$9)</f>
        <v>0.38</v>
      </c>
      <c r="S2553" s="1">
        <f t="shared" si="156"/>
        <v>79.8</v>
      </c>
      <c r="T2553" s="1">
        <f t="shared" si="157"/>
        <v>-1.1300000000000097</v>
      </c>
      <c r="U2553" s="1" t="str">
        <f t="shared" si="158"/>
        <v>OK</v>
      </c>
      <c r="V2553" s="1" t="str">
        <f>_xlfn.XLOOKUP(C2553,Payers!$A$2:$A$9,Payers!$B$2:$B$9)</f>
        <v>Sunshine Medicare Advantage</v>
      </c>
      <c r="W2553" s="1" t="str">
        <f t="shared" si="159"/>
        <v>2026-06</v>
      </c>
    </row>
    <row r="2554" spans="1:23">
      <c r="A2554" s="1" t="s">
        <v>4421</v>
      </c>
      <c r="B2554" s="1" t="s">
        <v>2362</v>
      </c>
      <c r="C2554" s="1" t="s">
        <v>36</v>
      </c>
      <c r="D2554" s="1" t="s">
        <v>19</v>
      </c>
      <c r="E2554" s="1" t="s">
        <v>57</v>
      </c>
      <c r="F2554">
        <v>1</v>
      </c>
      <c r="G2554" s="2">
        <v>46010</v>
      </c>
      <c r="H2554" s="2">
        <v>46012</v>
      </c>
      <c r="I2554">
        <v>206.09</v>
      </c>
      <c r="M2554" s="1" t="s">
        <v>32</v>
      </c>
      <c r="N2554" s="1" t="s">
        <v>98</v>
      </c>
      <c r="O2554" s="2">
        <v>46045</v>
      </c>
      <c r="P2554" s="2"/>
      <c r="Q2554">
        <f>_xlfn.XLOOKUP(E2554,CPT!$A$2:$A$13,CPT!$D$2:$D$13)</f>
        <v>210</v>
      </c>
      <c r="R2554" s="1">
        <f>_xlfn.XLOOKUP(C2554,Contract!$A$2:$A$9,Contract!$B$2:$B$9)</f>
        <v>0.27</v>
      </c>
      <c r="S2554" s="1">
        <f t="shared" si="156"/>
        <v>56.7</v>
      </c>
      <c r="T2554" s="1" t="str">
        <f t="shared" si="157"/>
        <v/>
      </c>
      <c r="U2554" s="1" t="str">
        <f t="shared" si="158"/>
        <v/>
      </c>
      <c r="V2554" s="1" t="str">
        <f>_xlfn.XLOOKUP(C2554,Payers!$A$2:$A$9,Payers!$B$2:$B$9)</f>
        <v>Florida Medicaid</v>
      </c>
      <c r="W2554" s="1" t="str">
        <f t="shared" si="159"/>
        <v>2025-12</v>
      </c>
    </row>
    <row r="2555" spans="1:23">
      <c r="A2555" s="1" t="s">
        <v>4422</v>
      </c>
      <c r="B2555" s="1" t="s">
        <v>4423</v>
      </c>
      <c r="C2555" s="1" t="s">
        <v>52</v>
      </c>
      <c r="D2555" s="1" t="s">
        <v>26</v>
      </c>
      <c r="E2555" s="1" t="s">
        <v>44</v>
      </c>
      <c r="F2555">
        <v>1</v>
      </c>
      <c r="G2555" s="2">
        <v>46071</v>
      </c>
      <c r="H2555" s="2">
        <v>46073</v>
      </c>
      <c r="I2555">
        <v>4660.3100000000004</v>
      </c>
      <c r="M2555" s="1" t="s">
        <v>32</v>
      </c>
      <c r="N2555" s="1" t="s">
        <v>49</v>
      </c>
      <c r="O2555" s="2">
        <v>46122</v>
      </c>
      <c r="P2555" s="2"/>
      <c r="Q2555">
        <f>_xlfn.XLOOKUP(E2555,CPT!$A$2:$A$13,CPT!$D$2:$D$13)</f>
        <v>4800</v>
      </c>
      <c r="R2555" s="1">
        <f>_xlfn.XLOOKUP(C2555,Contract!$A$2:$A$9,Contract!$B$2:$B$9)</f>
        <v>0.47</v>
      </c>
      <c r="S2555" s="1">
        <f t="shared" si="156"/>
        <v>2256</v>
      </c>
      <c r="T2555" s="1" t="str">
        <f t="shared" si="157"/>
        <v/>
      </c>
      <c r="U2555" s="1" t="str">
        <f t="shared" si="158"/>
        <v/>
      </c>
      <c r="V2555" s="1" t="str">
        <f>_xlfn.XLOOKUP(C2555,Payers!$A$2:$A$9,Payers!$B$2:$B$9)</f>
        <v>Keystone Commercial PPO</v>
      </c>
      <c r="W2555" s="1" t="str">
        <f t="shared" si="159"/>
        <v>2026-02</v>
      </c>
    </row>
    <row r="2556" spans="1:23">
      <c r="A2556" s="1" t="s">
        <v>4424</v>
      </c>
      <c r="B2556" s="1" t="s">
        <v>4425</v>
      </c>
      <c r="C2556" s="1" t="s">
        <v>60</v>
      </c>
      <c r="D2556" s="1" t="s">
        <v>37</v>
      </c>
      <c r="E2556" s="1" t="s">
        <v>48</v>
      </c>
      <c r="F2556">
        <v>1</v>
      </c>
      <c r="G2556" s="2">
        <v>46204</v>
      </c>
      <c r="H2556" s="2">
        <v>46213</v>
      </c>
      <c r="I2556">
        <v>411.16</v>
      </c>
      <c r="J2556">
        <v>202.58</v>
      </c>
      <c r="K2556">
        <v>202.58</v>
      </c>
      <c r="L2556">
        <v>0</v>
      </c>
      <c r="M2556" s="1" t="s">
        <v>21</v>
      </c>
      <c r="N2556" s="1" t="s">
        <v>22</v>
      </c>
      <c r="O2556" s="2">
        <v>46245</v>
      </c>
      <c r="P2556" s="2">
        <v>46245</v>
      </c>
      <c r="Q2556">
        <f>_xlfn.XLOOKUP(E2556,CPT!$A$2:$A$13,CPT!$D$2:$D$13)</f>
        <v>420</v>
      </c>
      <c r="R2556" s="1">
        <f>_xlfn.XLOOKUP(C2556,Contract!$A$2:$A$9,Contract!$B$2:$B$9)</f>
        <v>0.45</v>
      </c>
      <c r="S2556" s="1">
        <f t="shared" si="156"/>
        <v>189</v>
      </c>
      <c r="T2556" s="1">
        <f t="shared" si="157"/>
        <v>-13.580000000000013</v>
      </c>
      <c r="U2556" s="1" t="str">
        <f t="shared" si="158"/>
        <v>OK</v>
      </c>
      <c r="V2556" s="1" t="str">
        <f>_xlfn.XLOOKUP(C2556,Payers!$A$2:$A$9,Payers!$B$2:$B$9)</f>
        <v>Blue Horizon Commercial</v>
      </c>
      <c r="W2556" s="1" t="str">
        <f t="shared" si="159"/>
        <v>2026-07</v>
      </c>
    </row>
    <row r="2557" spans="1:23">
      <c r="A2557" s="1" t="s">
        <v>4426</v>
      </c>
      <c r="B2557" s="1" t="s">
        <v>772</v>
      </c>
      <c r="C2557" s="1" t="s">
        <v>36</v>
      </c>
      <c r="D2557" s="1" t="s">
        <v>19</v>
      </c>
      <c r="E2557" s="1" t="s">
        <v>88</v>
      </c>
      <c r="F2557">
        <v>1</v>
      </c>
      <c r="G2557" s="2">
        <v>46015</v>
      </c>
      <c r="H2557" s="2">
        <v>46017</v>
      </c>
      <c r="I2557">
        <v>266.81</v>
      </c>
      <c r="J2557">
        <v>70.12</v>
      </c>
      <c r="K2557">
        <v>63.11</v>
      </c>
      <c r="L2557">
        <v>7.01</v>
      </c>
      <c r="M2557" s="1" t="s">
        <v>21</v>
      </c>
      <c r="N2557" s="1" t="s">
        <v>22</v>
      </c>
      <c r="O2557" s="2">
        <v>46053</v>
      </c>
      <c r="P2557" s="2">
        <v>46053</v>
      </c>
      <c r="Q2557">
        <f>_xlfn.XLOOKUP(E2557,CPT!$A$2:$A$13,CPT!$D$2:$D$13)</f>
        <v>260</v>
      </c>
      <c r="R2557" s="1">
        <f>_xlfn.XLOOKUP(C2557,Contract!$A$2:$A$9,Contract!$B$2:$B$9)</f>
        <v>0.27</v>
      </c>
      <c r="S2557" s="1">
        <f t="shared" si="156"/>
        <v>70.2</v>
      </c>
      <c r="T2557" s="1">
        <f t="shared" si="157"/>
        <v>7.9999999999998295E-2</v>
      </c>
      <c r="U2557" s="1" t="str">
        <f t="shared" si="158"/>
        <v>OK</v>
      </c>
      <c r="V2557" s="1" t="str">
        <f>_xlfn.XLOOKUP(C2557,Payers!$A$2:$A$9,Payers!$B$2:$B$9)</f>
        <v>Florida Medicaid</v>
      </c>
      <c r="W2557" s="1" t="str">
        <f t="shared" si="159"/>
        <v>2025-12</v>
      </c>
    </row>
    <row r="2558" spans="1:23">
      <c r="A2558" s="1" t="s">
        <v>4427</v>
      </c>
      <c r="B2558" s="1" t="s">
        <v>4428</v>
      </c>
      <c r="C2558" s="1" t="s">
        <v>76</v>
      </c>
      <c r="D2558" s="1" t="s">
        <v>26</v>
      </c>
      <c r="E2558" s="1" t="s">
        <v>27</v>
      </c>
      <c r="F2558">
        <v>1</v>
      </c>
      <c r="G2558" s="2">
        <v>46058</v>
      </c>
      <c r="H2558" s="2">
        <v>46064</v>
      </c>
      <c r="I2558">
        <v>244.34</v>
      </c>
      <c r="J2558">
        <v>111.07</v>
      </c>
      <c r="K2558">
        <v>111.07</v>
      </c>
      <c r="L2558">
        <v>0</v>
      </c>
      <c r="M2558" s="1" t="s">
        <v>21</v>
      </c>
      <c r="N2558" s="1" t="s">
        <v>22</v>
      </c>
      <c r="O2558" s="2">
        <v>46084</v>
      </c>
      <c r="P2558" s="2">
        <v>46084</v>
      </c>
      <c r="Q2558">
        <f>_xlfn.XLOOKUP(E2558,CPT!$A$2:$A$13,CPT!$D$2:$D$13)</f>
        <v>240</v>
      </c>
      <c r="R2558" s="1">
        <f>_xlfn.XLOOKUP(C2558,Contract!$A$2:$A$9,Contract!$B$2:$B$9)</f>
        <v>0.43</v>
      </c>
      <c r="S2558" s="1">
        <f t="shared" si="156"/>
        <v>103.2</v>
      </c>
      <c r="T2558" s="1">
        <f t="shared" si="157"/>
        <v>-7.8699999999999903</v>
      </c>
      <c r="U2558" s="1" t="str">
        <f t="shared" si="158"/>
        <v>OK</v>
      </c>
      <c r="V2558" s="1" t="str">
        <f>_xlfn.XLOOKUP(C2558,Payers!$A$2:$A$9,Payers!$B$2:$B$9)</f>
        <v>Summit Health Commercial</v>
      </c>
      <c r="W2558" s="1" t="str">
        <f t="shared" si="159"/>
        <v>2026-02</v>
      </c>
    </row>
    <row r="2559" spans="1:23">
      <c r="A2559" s="1" t="s">
        <v>4429</v>
      </c>
      <c r="B2559" s="1" t="s">
        <v>3796</v>
      </c>
      <c r="C2559" s="1" t="s">
        <v>60</v>
      </c>
      <c r="D2559" s="1" t="s">
        <v>26</v>
      </c>
      <c r="E2559" s="1" t="s">
        <v>57</v>
      </c>
      <c r="F2559">
        <v>1</v>
      </c>
      <c r="G2559" s="2">
        <v>46149</v>
      </c>
      <c r="H2559" s="2">
        <v>46153</v>
      </c>
      <c r="I2559">
        <v>206.94</v>
      </c>
      <c r="J2559">
        <v>87.92</v>
      </c>
      <c r="K2559">
        <v>70.34</v>
      </c>
      <c r="L2559">
        <v>17.579999999999998</v>
      </c>
      <c r="M2559" s="1" t="s">
        <v>21</v>
      </c>
      <c r="N2559" s="1" t="s">
        <v>22</v>
      </c>
      <c r="O2559" s="2">
        <v>46178</v>
      </c>
      <c r="P2559" s="2">
        <v>46178</v>
      </c>
      <c r="Q2559">
        <f>_xlfn.XLOOKUP(E2559,CPT!$A$2:$A$13,CPT!$D$2:$D$13)</f>
        <v>210</v>
      </c>
      <c r="R2559" s="1">
        <f>_xlfn.XLOOKUP(C2559,Contract!$A$2:$A$9,Contract!$B$2:$B$9)</f>
        <v>0.45</v>
      </c>
      <c r="S2559" s="1">
        <f t="shared" si="156"/>
        <v>94.5</v>
      </c>
      <c r="T2559" s="1">
        <f t="shared" si="157"/>
        <v>6.5799999999999983</v>
      </c>
      <c r="U2559" s="1" t="str">
        <f t="shared" si="158"/>
        <v>Underpaid</v>
      </c>
      <c r="V2559" s="1" t="str">
        <f>_xlfn.XLOOKUP(C2559,Payers!$A$2:$A$9,Payers!$B$2:$B$9)</f>
        <v>Blue Horizon Commercial</v>
      </c>
      <c r="W2559" s="1" t="str">
        <f t="shared" si="159"/>
        <v>2026-05</v>
      </c>
    </row>
    <row r="2560" spans="1:23">
      <c r="A2560" s="1" t="s">
        <v>4430</v>
      </c>
      <c r="B2560" s="1" t="s">
        <v>4431</v>
      </c>
      <c r="C2560" s="1" t="s">
        <v>76</v>
      </c>
      <c r="D2560" s="1" t="s">
        <v>26</v>
      </c>
      <c r="E2560" s="1" t="s">
        <v>185</v>
      </c>
      <c r="F2560">
        <v>1</v>
      </c>
      <c r="G2560" s="2">
        <v>46109</v>
      </c>
      <c r="H2560" s="2">
        <v>46114</v>
      </c>
      <c r="I2560">
        <v>1156.47</v>
      </c>
      <c r="J2560">
        <v>536.05999999999995</v>
      </c>
      <c r="K2560">
        <v>536.05999999999995</v>
      </c>
      <c r="L2560">
        <v>0</v>
      </c>
      <c r="M2560" s="1" t="s">
        <v>21</v>
      </c>
      <c r="N2560" s="1" t="s">
        <v>22</v>
      </c>
      <c r="O2560" s="2">
        <v>46158</v>
      </c>
      <c r="P2560" s="2">
        <v>46158</v>
      </c>
      <c r="Q2560">
        <f>_xlfn.XLOOKUP(E2560,CPT!$A$2:$A$13,CPT!$D$2:$D$13)</f>
        <v>1150</v>
      </c>
      <c r="R2560" s="1">
        <f>_xlfn.XLOOKUP(C2560,Contract!$A$2:$A$9,Contract!$B$2:$B$9)</f>
        <v>0.43</v>
      </c>
      <c r="S2560" s="1">
        <f t="shared" si="156"/>
        <v>494.5</v>
      </c>
      <c r="T2560" s="1">
        <f t="shared" si="157"/>
        <v>-41.559999999999945</v>
      </c>
      <c r="U2560" s="1" t="str">
        <f t="shared" si="158"/>
        <v>OK</v>
      </c>
      <c r="V2560" s="1" t="str">
        <f>_xlfn.XLOOKUP(C2560,Payers!$A$2:$A$9,Payers!$B$2:$B$9)</f>
        <v>Summit Health Commercial</v>
      </c>
      <c r="W2560" s="1" t="str">
        <f t="shared" si="159"/>
        <v>2026-03</v>
      </c>
    </row>
    <row r="2561" spans="1:23">
      <c r="A2561" s="1" t="s">
        <v>4432</v>
      </c>
      <c r="B2561" s="1" t="s">
        <v>1041</v>
      </c>
      <c r="C2561" s="1" t="s">
        <v>47</v>
      </c>
      <c r="D2561" s="1" t="s">
        <v>19</v>
      </c>
      <c r="E2561" s="1" t="s">
        <v>41</v>
      </c>
      <c r="F2561">
        <v>1</v>
      </c>
      <c r="G2561" s="2">
        <v>45957</v>
      </c>
      <c r="H2561" s="2">
        <v>45959</v>
      </c>
      <c r="I2561">
        <v>37.25</v>
      </c>
      <c r="M2561" s="1" t="s">
        <v>32</v>
      </c>
      <c r="N2561" s="1" t="s">
        <v>33</v>
      </c>
      <c r="O2561" s="2">
        <v>46004</v>
      </c>
      <c r="P2561" s="2"/>
      <c r="Q2561">
        <f>_xlfn.XLOOKUP(E2561,CPT!$A$2:$A$13,CPT!$D$2:$D$13)</f>
        <v>38</v>
      </c>
      <c r="R2561" s="1">
        <f>_xlfn.XLOOKUP(C2561,Contract!$A$2:$A$9,Contract!$B$2:$B$9)</f>
        <v>0.28000000000000003</v>
      </c>
      <c r="S2561" s="1">
        <f t="shared" si="156"/>
        <v>10.64</v>
      </c>
      <c r="T2561" s="1" t="str">
        <f t="shared" si="157"/>
        <v/>
      </c>
      <c r="U2561" s="1" t="str">
        <f t="shared" si="158"/>
        <v/>
      </c>
      <c r="V2561" s="1" t="str">
        <f>_xlfn.XLOOKUP(C2561,Payers!$A$2:$A$9,Payers!$B$2:$B$9)</f>
        <v>Coastal Medicaid MCO</v>
      </c>
      <c r="W2561" s="1" t="str">
        <f t="shared" si="159"/>
        <v>2025-10</v>
      </c>
    </row>
    <row r="2562" spans="1:23">
      <c r="A2562" s="1" t="s">
        <v>4433</v>
      </c>
      <c r="B2562" s="1" t="s">
        <v>443</v>
      </c>
      <c r="C2562" s="1" t="s">
        <v>60</v>
      </c>
      <c r="D2562" s="1" t="s">
        <v>30</v>
      </c>
      <c r="E2562" s="1" t="s">
        <v>91</v>
      </c>
      <c r="F2562">
        <v>1</v>
      </c>
      <c r="G2562" s="2">
        <v>46142</v>
      </c>
      <c r="H2562" s="2">
        <v>46156</v>
      </c>
      <c r="I2562">
        <v>59.34</v>
      </c>
      <c r="M2562" s="1" t="s">
        <v>32</v>
      </c>
      <c r="N2562" s="1" t="s">
        <v>33</v>
      </c>
      <c r="O2562" s="2">
        <v>46180</v>
      </c>
      <c r="P2562" s="2"/>
      <c r="Q2562">
        <f>_xlfn.XLOOKUP(E2562,CPT!$A$2:$A$13,CPT!$D$2:$D$13)</f>
        <v>58</v>
      </c>
      <c r="R2562" s="1">
        <f>_xlfn.XLOOKUP(C2562,Contract!$A$2:$A$9,Contract!$B$2:$B$9)</f>
        <v>0.45</v>
      </c>
      <c r="S2562" s="1">
        <f t="shared" ref="S2562:S2625" si="160">ROUND(Q2562*F2562*R2562,2)</f>
        <v>26.1</v>
      </c>
      <c r="T2562" s="1" t="str">
        <f t="shared" ref="T2562:T2625" si="161">IF(M2562="Paid",S2562-J2562,"")</f>
        <v/>
      </c>
      <c r="U2562" s="1" t="str">
        <f t="shared" ref="U2562:U2625" si="162">IF(M2562&lt;&gt;"Paid","",IF(T2562&gt;S2562*0.05,"Underpaid","OK"))</f>
        <v/>
      </c>
      <c r="V2562" s="1" t="str">
        <f>_xlfn.XLOOKUP(C2562,Payers!$A$2:$A$9,Payers!$B$2:$B$9)</f>
        <v>Blue Horizon Commercial</v>
      </c>
      <c r="W2562" s="1" t="str">
        <f t="shared" ref="W2562:W2625" si="163">TEXT(G2562,"yyyy-mm")</f>
        <v>2026-04</v>
      </c>
    </row>
    <row r="2563" spans="1:23">
      <c r="A2563" s="1" t="s">
        <v>4434</v>
      </c>
      <c r="B2563" s="1" t="s">
        <v>1318</v>
      </c>
      <c r="C2563" s="1" t="s">
        <v>18</v>
      </c>
      <c r="D2563" s="1" t="s">
        <v>30</v>
      </c>
      <c r="E2563" s="1" t="s">
        <v>91</v>
      </c>
      <c r="F2563">
        <v>3</v>
      </c>
      <c r="G2563" s="2">
        <v>46164</v>
      </c>
      <c r="H2563" s="2">
        <v>46172</v>
      </c>
      <c r="I2563">
        <v>170.82</v>
      </c>
      <c r="J2563">
        <v>61.6</v>
      </c>
      <c r="K2563">
        <v>55.44</v>
      </c>
      <c r="L2563">
        <v>6.16</v>
      </c>
      <c r="M2563" s="1" t="s">
        <v>21</v>
      </c>
      <c r="N2563" s="1" t="s">
        <v>22</v>
      </c>
      <c r="O2563" s="2">
        <v>46242</v>
      </c>
      <c r="P2563" s="2">
        <v>46242</v>
      </c>
      <c r="Q2563">
        <f>_xlfn.XLOOKUP(E2563,CPT!$A$2:$A$13,CPT!$D$2:$D$13)</f>
        <v>58</v>
      </c>
      <c r="R2563" s="1">
        <f>_xlfn.XLOOKUP(C2563,Contract!$A$2:$A$9,Contract!$B$2:$B$9)</f>
        <v>0.38</v>
      </c>
      <c r="S2563" s="1">
        <f t="shared" si="160"/>
        <v>66.12</v>
      </c>
      <c r="T2563" s="1">
        <f t="shared" si="161"/>
        <v>4.5200000000000031</v>
      </c>
      <c r="U2563" s="1" t="str">
        <f t="shared" si="162"/>
        <v>Underpaid</v>
      </c>
      <c r="V2563" s="1" t="str">
        <f>_xlfn.XLOOKUP(C2563,Payers!$A$2:$A$9,Payers!$B$2:$B$9)</f>
        <v>Sunshine Medicare Advantage</v>
      </c>
      <c r="W2563" s="1" t="str">
        <f t="shared" si="163"/>
        <v>2026-05</v>
      </c>
    </row>
    <row r="2564" spans="1:23">
      <c r="A2564" s="1" t="s">
        <v>4435</v>
      </c>
      <c r="B2564" s="1" t="s">
        <v>2005</v>
      </c>
      <c r="C2564" s="1" t="s">
        <v>76</v>
      </c>
      <c r="D2564" s="1" t="s">
        <v>19</v>
      </c>
      <c r="E2564" s="1" t="s">
        <v>57</v>
      </c>
      <c r="F2564">
        <v>1</v>
      </c>
      <c r="G2564" s="2">
        <v>46162</v>
      </c>
      <c r="H2564" s="2">
        <v>46163</v>
      </c>
      <c r="I2564">
        <v>207.09</v>
      </c>
      <c r="M2564" s="1" t="s">
        <v>32</v>
      </c>
      <c r="N2564" s="1" t="s">
        <v>98</v>
      </c>
      <c r="O2564" s="2">
        <v>46205</v>
      </c>
      <c r="P2564" s="2"/>
      <c r="Q2564">
        <f>_xlfn.XLOOKUP(E2564,CPT!$A$2:$A$13,CPT!$D$2:$D$13)</f>
        <v>210</v>
      </c>
      <c r="R2564" s="1">
        <f>_xlfn.XLOOKUP(C2564,Contract!$A$2:$A$9,Contract!$B$2:$B$9)</f>
        <v>0.43</v>
      </c>
      <c r="S2564" s="1">
        <f t="shared" si="160"/>
        <v>90.3</v>
      </c>
      <c r="T2564" s="1" t="str">
        <f t="shared" si="161"/>
        <v/>
      </c>
      <c r="U2564" s="1" t="str">
        <f t="shared" si="162"/>
        <v/>
      </c>
      <c r="V2564" s="1" t="str">
        <f>_xlfn.XLOOKUP(C2564,Payers!$A$2:$A$9,Payers!$B$2:$B$9)</f>
        <v>Summit Health Commercial</v>
      </c>
      <c r="W2564" s="1" t="str">
        <f t="shared" si="163"/>
        <v>2026-05</v>
      </c>
    </row>
    <row r="2565" spans="1:23">
      <c r="A2565" s="1" t="s">
        <v>4436</v>
      </c>
      <c r="B2565" s="1" t="s">
        <v>4437</v>
      </c>
      <c r="C2565" s="1" t="s">
        <v>76</v>
      </c>
      <c r="D2565" s="1" t="s">
        <v>19</v>
      </c>
      <c r="E2565" s="1" t="s">
        <v>88</v>
      </c>
      <c r="F2565">
        <v>1</v>
      </c>
      <c r="G2565" s="2">
        <v>46265</v>
      </c>
      <c r="H2565" s="2">
        <v>46268</v>
      </c>
      <c r="I2565">
        <v>259.42</v>
      </c>
      <c r="M2565" s="1" t="s">
        <v>69</v>
      </c>
      <c r="N2565" s="1" t="s">
        <v>22</v>
      </c>
      <c r="O2565" s="2"/>
      <c r="P2565" s="2"/>
      <c r="Q2565">
        <f>_xlfn.XLOOKUP(E2565,CPT!$A$2:$A$13,CPT!$D$2:$D$13)</f>
        <v>260</v>
      </c>
      <c r="R2565" s="1">
        <f>_xlfn.XLOOKUP(C2565,Contract!$A$2:$A$9,Contract!$B$2:$B$9)</f>
        <v>0.43</v>
      </c>
      <c r="S2565" s="1">
        <f t="shared" si="160"/>
        <v>111.8</v>
      </c>
      <c r="T2565" s="1" t="str">
        <f t="shared" si="161"/>
        <v/>
      </c>
      <c r="U2565" s="1" t="str">
        <f t="shared" si="162"/>
        <v/>
      </c>
      <c r="V2565" s="1" t="str">
        <f>_xlfn.XLOOKUP(C2565,Payers!$A$2:$A$9,Payers!$B$2:$B$9)</f>
        <v>Summit Health Commercial</v>
      </c>
      <c r="W2565" s="1" t="str">
        <f t="shared" si="163"/>
        <v>2026-08</v>
      </c>
    </row>
    <row r="2566" spans="1:23">
      <c r="A2566" s="1" t="s">
        <v>4438</v>
      </c>
      <c r="B2566" s="1" t="s">
        <v>4439</v>
      </c>
      <c r="C2566" s="1" t="s">
        <v>60</v>
      </c>
      <c r="D2566" s="1" t="s">
        <v>30</v>
      </c>
      <c r="E2566" s="1" t="s">
        <v>31</v>
      </c>
      <c r="F2566">
        <v>3</v>
      </c>
      <c r="G2566" s="2">
        <v>45938</v>
      </c>
      <c r="H2566" s="2">
        <v>45941</v>
      </c>
      <c r="I2566">
        <v>180.9</v>
      </c>
      <c r="J2566">
        <v>81.61</v>
      </c>
      <c r="K2566">
        <v>73.45</v>
      </c>
      <c r="L2566">
        <v>8.16</v>
      </c>
      <c r="M2566" s="1" t="s">
        <v>21</v>
      </c>
      <c r="N2566" s="1" t="s">
        <v>22</v>
      </c>
      <c r="O2566" s="2">
        <v>45982</v>
      </c>
      <c r="P2566" s="2">
        <v>45982</v>
      </c>
      <c r="Q2566">
        <f>_xlfn.XLOOKUP(E2566,CPT!$A$2:$A$13,CPT!$D$2:$D$13)</f>
        <v>62</v>
      </c>
      <c r="R2566" s="1">
        <f>_xlfn.XLOOKUP(C2566,Contract!$A$2:$A$9,Contract!$B$2:$B$9)</f>
        <v>0.45</v>
      </c>
      <c r="S2566" s="1">
        <f t="shared" si="160"/>
        <v>83.7</v>
      </c>
      <c r="T2566" s="1">
        <f t="shared" si="161"/>
        <v>2.0900000000000034</v>
      </c>
      <c r="U2566" s="1" t="str">
        <f t="shared" si="162"/>
        <v>OK</v>
      </c>
      <c r="V2566" s="1" t="str">
        <f>_xlfn.XLOOKUP(C2566,Payers!$A$2:$A$9,Payers!$B$2:$B$9)</f>
        <v>Blue Horizon Commercial</v>
      </c>
      <c r="W2566" s="1" t="str">
        <f t="shared" si="163"/>
        <v>2025-10</v>
      </c>
    </row>
    <row r="2567" spans="1:23">
      <c r="A2567" s="1" t="s">
        <v>4440</v>
      </c>
      <c r="B2567" s="1" t="s">
        <v>1461</v>
      </c>
      <c r="C2567" s="1" t="s">
        <v>60</v>
      </c>
      <c r="D2567" s="1" t="s">
        <v>19</v>
      </c>
      <c r="E2567" s="1" t="s">
        <v>41</v>
      </c>
      <c r="F2567">
        <v>1</v>
      </c>
      <c r="G2567" s="2">
        <v>46018</v>
      </c>
      <c r="H2567" s="2">
        <v>46019</v>
      </c>
      <c r="I2567">
        <v>38.68</v>
      </c>
      <c r="J2567">
        <v>18.579999999999998</v>
      </c>
      <c r="K2567">
        <v>18.579999999999998</v>
      </c>
      <c r="L2567">
        <v>0</v>
      </c>
      <c r="M2567" s="1" t="s">
        <v>21</v>
      </c>
      <c r="N2567" s="1" t="s">
        <v>22</v>
      </c>
      <c r="O2567" s="2">
        <v>46064</v>
      </c>
      <c r="P2567" s="2">
        <v>46064</v>
      </c>
      <c r="Q2567">
        <f>_xlfn.XLOOKUP(E2567,CPT!$A$2:$A$13,CPT!$D$2:$D$13)</f>
        <v>38</v>
      </c>
      <c r="R2567" s="1">
        <f>_xlfn.XLOOKUP(C2567,Contract!$A$2:$A$9,Contract!$B$2:$B$9)</f>
        <v>0.45</v>
      </c>
      <c r="S2567" s="1">
        <f t="shared" si="160"/>
        <v>17.100000000000001</v>
      </c>
      <c r="T2567" s="1">
        <f t="shared" si="161"/>
        <v>-1.4799999999999969</v>
      </c>
      <c r="U2567" s="1" t="str">
        <f t="shared" si="162"/>
        <v>OK</v>
      </c>
      <c r="V2567" s="1" t="str">
        <f>_xlfn.XLOOKUP(C2567,Payers!$A$2:$A$9,Payers!$B$2:$B$9)</f>
        <v>Blue Horizon Commercial</v>
      </c>
      <c r="W2567" s="1" t="str">
        <f t="shared" si="163"/>
        <v>2025-12</v>
      </c>
    </row>
    <row r="2568" spans="1:23">
      <c r="A2568" s="1" t="s">
        <v>4441</v>
      </c>
      <c r="B2568" s="1" t="s">
        <v>4442</v>
      </c>
      <c r="C2568" s="1" t="s">
        <v>60</v>
      </c>
      <c r="D2568" s="1" t="s">
        <v>26</v>
      </c>
      <c r="E2568" s="1" t="s">
        <v>113</v>
      </c>
      <c r="F2568">
        <v>1</v>
      </c>
      <c r="G2568" s="2">
        <v>46149</v>
      </c>
      <c r="H2568" s="2">
        <v>46155</v>
      </c>
      <c r="I2568">
        <v>1080.3399999999999</v>
      </c>
      <c r="J2568">
        <v>463.3</v>
      </c>
      <c r="K2568">
        <v>463.3</v>
      </c>
      <c r="L2568">
        <v>0</v>
      </c>
      <c r="M2568" s="1" t="s">
        <v>21</v>
      </c>
      <c r="N2568" s="1" t="s">
        <v>22</v>
      </c>
      <c r="O2568" s="2">
        <v>46186</v>
      </c>
      <c r="P2568" s="2">
        <v>46186</v>
      </c>
      <c r="Q2568">
        <f>_xlfn.XLOOKUP(E2568,CPT!$A$2:$A$13,CPT!$D$2:$D$13)</f>
        <v>1050</v>
      </c>
      <c r="R2568" s="1">
        <f>_xlfn.XLOOKUP(C2568,Contract!$A$2:$A$9,Contract!$B$2:$B$9)</f>
        <v>0.45</v>
      </c>
      <c r="S2568" s="1">
        <f t="shared" si="160"/>
        <v>472.5</v>
      </c>
      <c r="T2568" s="1">
        <f t="shared" si="161"/>
        <v>9.1999999999999886</v>
      </c>
      <c r="U2568" s="1" t="str">
        <f t="shared" si="162"/>
        <v>OK</v>
      </c>
      <c r="V2568" s="1" t="str">
        <f>_xlfn.XLOOKUP(C2568,Payers!$A$2:$A$9,Payers!$B$2:$B$9)</f>
        <v>Blue Horizon Commercial</v>
      </c>
      <c r="W2568" s="1" t="str">
        <f t="shared" si="163"/>
        <v>2026-05</v>
      </c>
    </row>
    <row r="2569" spans="1:23">
      <c r="A2569" s="1" t="s">
        <v>4443</v>
      </c>
      <c r="B2569" s="1" t="s">
        <v>4444</v>
      </c>
      <c r="C2569" s="1" t="s">
        <v>25</v>
      </c>
      <c r="D2569" s="1" t="s">
        <v>19</v>
      </c>
      <c r="E2569" s="1" t="s">
        <v>20</v>
      </c>
      <c r="F2569">
        <v>1</v>
      </c>
      <c r="G2569" s="2">
        <v>46001</v>
      </c>
      <c r="H2569" s="2">
        <v>46003</v>
      </c>
      <c r="I2569">
        <v>145.38999999999999</v>
      </c>
      <c r="J2569">
        <v>51.31</v>
      </c>
      <c r="K2569">
        <v>51.31</v>
      </c>
      <c r="L2569">
        <v>0</v>
      </c>
      <c r="M2569" s="1" t="s">
        <v>21</v>
      </c>
      <c r="N2569" s="1" t="s">
        <v>22</v>
      </c>
      <c r="O2569" s="2">
        <v>46026</v>
      </c>
      <c r="P2569" s="2">
        <v>46026</v>
      </c>
      <c r="Q2569">
        <f>_xlfn.XLOOKUP(E2569,CPT!$A$2:$A$13,CPT!$D$2:$D$13)</f>
        <v>145</v>
      </c>
      <c r="R2569" s="1">
        <f>_xlfn.XLOOKUP(C2569,Contract!$A$2:$A$9,Contract!$B$2:$B$9)</f>
        <v>0.36</v>
      </c>
      <c r="S2569" s="1">
        <f t="shared" si="160"/>
        <v>52.2</v>
      </c>
      <c r="T2569" s="1">
        <f t="shared" si="161"/>
        <v>0.89000000000000057</v>
      </c>
      <c r="U2569" s="1" t="str">
        <f t="shared" si="162"/>
        <v>OK</v>
      </c>
      <c r="V2569" s="1" t="str">
        <f>_xlfn.XLOOKUP(C2569,Payers!$A$2:$A$9,Payers!$B$2:$B$9)</f>
        <v>Medicare Part B</v>
      </c>
      <c r="W2569" s="1" t="str">
        <f t="shared" si="163"/>
        <v>2025-12</v>
      </c>
    </row>
    <row r="2570" spans="1:23">
      <c r="A2570" s="1" t="s">
        <v>4445</v>
      </c>
      <c r="B2570" s="1" t="s">
        <v>139</v>
      </c>
      <c r="C2570" s="1" t="s">
        <v>18</v>
      </c>
      <c r="D2570" s="1" t="s">
        <v>19</v>
      </c>
      <c r="E2570" s="1" t="s">
        <v>41</v>
      </c>
      <c r="F2570">
        <v>1</v>
      </c>
      <c r="G2570" s="2">
        <v>46038</v>
      </c>
      <c r="H2570" s="2">
        <v>46040</v>
      </c>
      <c r="I2570">
        <v>38.29</v>
      </c>
      <c r="M2570" s="1" t="s">
        <v>32</v>
      </c>
      <c r="N2570" s="1" t="s">
        <v>168</v>
      </c>
      <c r="O2570" s="2">
        <v>46080</v>
      </c>
      <c r="P2570" s="2"/>
      <c r="Q2570">
        <f>_xlfn.XLOOKUP(E2570,CPT!$A$2:$A$13,CPT!$D$2:$D$13)</f>
        <v>38</v>
      </c>
      <c r="R2570" s="1">
        <f>_xlfn.XLOOKUP(C2570,Contract!$A$2:$A$9,Contract!$B$2:$B$9)</f>
        <v>0.38</v>
      </c>
      <c r="S2570" s="1">
        <f t="shared" si="160"/>
        <v>14.44</v>
      </c>
      <c r="T2570" s="1" t="str">
        <f t="shared" si="161"/>
        <v/>
      </c>
      <c r="U2570" s="1" t="str">
        <f t="shared" si="162"/>
        <v/>
      </c>
      <c r="V2570" s="1" t="str">
        <f>_xlfn.XLOOKUP(C2570,Payers!$A$2:$A$9,Payers!$B$2:$B$9)</f>
        <v>Sunshine Medicare Advantage</v>
      </c>
      <c r="W2570" s="1" t="str">
        <f t="shared" si="163"/>
        <v>2026-01</v>
      </c>
    </row>
    <row r="2571" spans="1:23">
      <c r="A2571" s="1" t="s">
        <v>4446</v>
      </c>
      <c r="B2571" s="1" t="s">
        <v>4447</v>
      </c>
      <c r="C2571" s="1" t="s">
        <v>60</v>
      </c>
      <c r="D2571" s="1" t="s">
        <v>26</v>
      </c>
      <c r="E2571" s="1" t="s">
        <v>41</v>
      </c>
      <c r="F2571">
        <v>1</v>
      </c>
      <c r="G2571" s="2">
        <v>46038</v>
      </c>
      <c r="H2571" s="2">
        <v>46061</v>
      </c>
      <c r="I2571">
        <v>37.81</v>
      </c>
      <c r="J2571">
        <v>15.64</v>
      </c>
      <c r="K2571">
        <v>15.64</v>
      </c>
      <c r="L2571">
        <v>0</v>
      </c>
      <c r="M2571" s="1" t="s">
        <v>21</v>
      </c>
      <c r="N2571" s="1" t="s">
        <v>22</v>
      </c>
      <c r="O2571" s="2">
        <v>46100</v>
      </c>
      <c r="P2571" s="2">
        <v>46100</v>
      </c>
      <c r="Q2571">
        <f>_xlfn.XLOOKUP(E2571,CPT!$A$2:$A$13,CPT!$D$2:$D$13)</f>
        <v>38</v>
      </c>
      <c r="R2571" s="1">
        <f>_xlfn.XLOOKUP(C2571,Contract!$A$2:$A$9,Contract!$B$2:$B$9)</f>
        <v>0.45</v>
      </c>
      <c r="S2571" s="1">
        <f t="shared" si="160"/>
        <v>17.100000000000001</v>
      </c>
      <c r="T2571" s="1">
        <f t="shared" si="161"/>
        <v>1.4600000000000009</v>
      </c>
      <c r="U2571" s="1" t="str">
        <f t="shared" si="162"/>
        <v>Underpaid</v>
      </c>
      <c r="V2571" s="1" t="str">
        <f>_xlfn.XLOOKUP(C2571,Payers!$A$2:$A$9,Payers!$B$2:$B$9)</f>
        <v>Blue Horizon Commercial</v>
      </c>
      <c r="W2571" s="1" t="str">
        <f t="shared" si="163"/>
        <v>2026-01</v>
      </c>
    </row>
    <row r="2572" spans="1:23">
      <c r="A2572" s="1" t="s">
        <v>4448</v>
      </c>
      <c r="B2572" s="1" t="s">
        <v>1531</v>
      </c>
      <c r="C2572" s="1" t="s">
        <v>76</v>
      </c>
      <c r="D2572" s="1" t="s">
        <v>37</v>
      </c>
      <c r="E2572" s="1" t="s">
        <v>57</v>
      </c>
      <c r="F2572">
        <v>1</v>
      </c>
      <c r="G2572" s="2">
        <v>46164</v>
      </c>
      <c r="H2572" s="2">
        <v>46165</v>
      </c>
      <c r="I2572">
        <v>207.87</v>
      </c>
      <c r="M2572" s="1" t="s">
        <v>32</v>
      </c>
      <c r="N2572" s="1" t="s">
        <v>124</v>
      </c>
      <c r="O2572" s="2">
        <v>46204</v>
      </c>
      <c r="P2572" s="2"/>
      <c r="Q2572">
        <f>_xlfn.XLOOKUP(E2572,CPT!$A$2:$A$13,CPT!$D$2:$D$13)</f>
        <v>210</v>
      </c>
      <c r="R2572" s="1">
        <f>_xlfn.XLOOKUP(C2572,Contract!$A$2:$A$9,Contract!$B$2:$B$9)</f>
        <v>0.43</v>
      </c>
      <c r="S2572" s="1">
        <f t="shared" si="160"/>
        <v>90.3</v>
      </c>
      <c r="T2572" s="1" t="str">
        <f t="shared" si="161"/>
        <v/>
      </c>
      <c r="U2572" s="1" t="str">
        <f t="shared" si="162"/>
        <v/>
      </c>
      <c r="V2572" s="1" t="str">
        <f>_xlfn.XLOOKUP(C2572,Payers!$A$2:$A$9,Payers!$B$2:$B$9)</f>
        <v>Summit Health Commercial</v>
      </c>
      <c r="W2572" s="1" t="str">
        <f t="shared" si="163"/>
        <v>2026-05</v>
      </c>
    </row>
    <row r="2573" spans="1:23">
      <c r="A2573" s="1" t="s">
        <v>4449</v>
      </c>
      <c r="B2573" s="1" t="s">
        <v>4450</v>
      </c>
      <c r="C2573" s="1" t="s">
        <v>25</v>
      </c>
      <c r="D2573" s="1" t="s">
        <v>30</v>
      </c>
      <c r="E2573" s="1" t="s">
        <v>91</v>
      </c>
      <c r="F2573">
        <v>2</v>
      </c>
      <c r="G2573" s="2">
        <v>46216</v>
      </c>
      <c r="H2573" s="2">
        <v>46218</v>
      </c>
      <c r="I2573">
        <v>117.58</v>
      </c>
      <c r="J2573">
        <v>39.090000000000003</v>
      </c>
      <c r="K2573">
        <v>35.18</v>
      </c>
      <c r="L2573">
        <v>3.91</v>
      </c>
      <c r="M2573" s="1" t="s">
        <v>21</v>
      </c>
      <c r="N2573" s="1" t="s">
        <v>22</v>
      </c>
      <c r="O2573" s="2">
        <v>46230</v>
      </c>
      <c r="P2573" s="2">
        <v>46230</v>
      </c>
      <c r="Q2573">
        <f>_xlfn.XLOOKUP(E2573,CPT!$A$2:$A$13,CPT!$D$2:$D$13)</f>
        <v>58</v>
      </c>
      <c r="R2573" s="1">
        <f>_xlfn.XLOOKUP(C2573,Contract!$A$2:$A$9,Contract!$B$2:$B$9)</f>
        <v>0.36</v>
      </c>
      <c r="S2573" s="1">
        <f t="shared" si="160"/>
        <v>41.76</v>
      </c>
      <c r="T2573" s="1">
        <f t="shared" si="161"/>
        <v>2.6699999999999946</v>
      </c>
      <c r="U2573" s="1" t="str">
        <f t="shared" si="162"/>
        <v>Underpaid</v>
      </c>
      <c r="V2573" s="1" t="str">
        <f>_xlfn.XLOOKUP(C2573,Payers!$A$2:$A$9,Payers!$B$2:$B$9)</f>
        <v>Medicare Part B</v>
      </c>
      <c r="W2573" s="1" t="str">
        <f t="shared" si="163"/>
        <v>2026-07</v>
      </c>
    </row>
    <row r="2574" spans="1:23">
      <c r="A2574" s="1" t="s">
        <v>4451</v>
      </c>
      <c r="B2574" s="1" t="s">
        <v>4452</v>
      </c>
      <c r="C2574" s="1" t="s">
        <v>76</v>
      </c>
      <c r="D2574" s="1" t="s">
        <v>26</v>
      </c>
      <c r="E2574" s="1" t="s">
        <v>88</v>
      </c>
      <c r="F2574">
        <v>1</v>
      </c>
      <c r="G2574" s="2">
        <v>46154</v>
      </c>
      <c r="H2574" s="2">
        <v>46158</v>
      </c>
      <c r="I2574">
        <v>258.3</v>
      </c>
      <c r="M2574" s="1" t="s">
        <v>32</v>
      </c>
      <c r="N2574" s="1" t="s">
        <v>168</v>
      </c>
      <c r="O2574" s="2">
        <v>46192</v>
      </c>
      <c r="P2574" s="2"/>
      <c r="Q2574">
        <f>_xlfn.XLOOKUP(E2574,CPT!$A$2:$A$13,CPT!$D$2:$D$13)</f>
        <v>260</v>
      </c>
      <c r="R2574" s="1">
        <f>_xlfn.XLOOKUP(C2574,Contract!$A$2:$A$9,Contract!$B$2:$B$9)</f>
        <v>0.43</v>
      </c>
      <c r="S2574" s="1">
        <f t="shared" si="160"/>
        <v>111.8</v>
      </c>
      <c r="T2574" s="1" t="str">
        <f t="shared" si="161"/>
        <v/>
      </c>
      <c r="U2574" s="1" t="str">
        <f t="shared" si="162"/>
        <v/>
      </c>
      <c r="V2574" s="1" t="str">
        <f>_xlfn.XLOOKUP(C2574,Payers!$A$2:$A$9,Payers!$B$2:$B$9)</f>
        <v>Summit Health Commercial</v>
      </c>
      <c r="W2574" s="1" t="str">
        <f t="shared" si="163"/>
        <v>2026-05</v>
      </c>
    </row>
    <row r="2575" spans="1:23">
      <c r="A2575" s="1" t="s">
        <v>4453</v>
      </c>
      <c r="B2575" s="1" t="s">
        <v>4454</v>
      </c>
      <c r="C2575" s="1" t="s">
        <v>60</v>
      </c>
      <c r="D2575" s="1" t="s">
        <v>30</v>
      </c>
      <c r="E2575" s="1" t="s">
        <v>20</v>
      </c>
      <c r="F2575">
        <v>1</v>
      </c>
      <c r="G2575" s="2">
        <v>45932</v>
      </c>
      <c r="H2575" s="2">
        <v>45934</v>
      </c>
      <c r="I2575">
        <v>145.75</v>
      </c>
      <c r="M2575" s="1" t="s">
        <v>32</v>
      </c>
      <c r="N2575" s="1" t="s">
        <v>168</v>
      </c>
      <c r="O2575" s="2">
        <v>45954</v>
      </c>
      <c r="P2575" s="2"/>
      <c r="Q2575">
        <f>_xlfn.XLOOKUP(E2575,CPT!$A$2:$A$13,CPT!$D$2:$D$13)</f>
        <v>145</v>
      </c>
      <c r="R2575" s="1">
        <f>_xlfn.XLOOKUP(C2575,Contract!$A$2:$A$9,Contract!$B$2:$B$9)</f>
        <v>0.45</v>
      </c>
      <c r="S2575" s="1">
        <f t="shared" si="160"/>
        <v>65.25</v>
      </c>
      <c r="T2575" s="1" t="str">
        <f t="shared" si="161"/>
        <v/>
      </c>
      <c r="U2575" s="1" t="str">
        <f t="shared" si="162"/>
        <v/>
      </c>
      <c r="V2575" s="1" t="str">
        <f>_xlfn.XLOOKUP(C2575,Payers!$A$2:$A$9,Payers!$B$2:$B$9)</f>
        <v>Blue Horizon Commercial</v>
      </c>
      <c r="W2575" s="1" t="str">
        <f t="shared" si="163"/>
        <v>2025-10</v>
      </c>
    </row>
    <row r="2576" spans="1:23">
      <c r="A2576" s="1" t="s">
        <v>4455</v>
      </c>
      <c r="B2576" s="1" t="s">
        <v>4319</v>
      </c>
      <c r="C2576" s="1" t="s">
        <v>76</v>
      </c>
      <c r="D2576" s="1" t="s">
        <v>37</v>
      </c>
      <c r="E2576" s="1" t="s">
        <v>38</v>
      </c>
      <c r="F2576">
        <v>20</v>
      </c>
      <c r="G2576" s="2">
        <v>46014</v>
      </c>
      <c r="H2576" s="2">
        <v>46019</v>
      </c>
      <c r="I2576">
        <v>28778.11</v>
      </c>
      <c r="J2576">
        <v>10898.56</v>
      </c>
      <c r="K2576">
        <v>10898.56</v>
      </c>
      <c r="L2576">
        <v>0</v>
      </c>
      <c r="M2576" s="1" t="s">
        <v>21</v>
      </c>
      <c r="N2576" s="1" t="s">
        <v>22</v>
      </c>
      <c r="O2576" s="2">
        <v>46054</v>
      </c>
      <c r="P2576" s="2">
        <v>46054</v>
      </c>
      <c r="Q2576">
        <f>_xlfn.XLOOKUP(E2576,CPT!$A$2:$A$13,CPT!$D$2:$D$13)</f>
        <v>1450</v>
      </c>
      <c r="R2576" s="1">
        <f>_xlfn.XLOOKUP(C2576,Contract!$A$2:$A$9,Contract!$B$2:$B$9)</f>
        <v>0.43</v>
      </c>
      <c r="S2576" s="1">
        <f t="shared" si="160"/>
        <v>12470</v>
      </c>
      <c r="T2576" s="1">
        <f t="shared" si="161"/>
        <v>1571.4400000000005</v>
      </c>
      <c r="U2576" s="1" t="str">
        <f t="shared" si="162"/>
        <v>Underpaid</v>
      </c>
      <c r="V2576" s="1" t="str">
        <f>_xlfn.XLOOKUP(C2576,Payers!$A$2:$A$9,Payers!$B$2:$B$9)</f>
        <v>Summit Health Commercial</v>
      </c>
      <c r="W2576" s="1" t="str">
        <f t="shared" si="163"/>
        <v>2025-12</v>
      </c>
    </row>
    <row r="2577" spans="1:23">
      <c r="A2577" s="1" t="s">
        <v>4456</v>
      </c>
      <c r="B2577" s="1" t="s">
        <v>4457</v>
      </c>
      <c r="C2577" s="1" t="s">
        <v>79</v>
      </c>
      <c r="D2577" s="1" t="s">
        <v>19</v>
      </c>
      <c r="E2577" s="1" t="s">
        <v>57</v>
      </c>
      <c r="F2577">
        <v>1</v>
      </c>
      <c r="G2577" s="2">
        <v>46262</v>
      </c>
      <c r="H2577" s="2">
        <v>46264</v>
      </c>
      <c r="I2577">
        <v>209.31</v>
      </c>
      <c r="M2577" s="1" t="s">
        <v>69</v>
      </c>
      <c r="N2577" s="1" t="s">
        <v>22</v>
      </c>
      <c r="O2577" s="2"/>
      <c r="P2577" s="2"/>
      <c r="Q2577">
        <f>_xlfn.XLOOKUP(E2577,CPT!$A$2:$A$13,CPT!$D$2:$D$13)</f>
        <v>210</v>
      </c>
      <c r="R2577" s="1">
        <f>_xlfn.XLOOKUP(C2577,Contract!$A$2:$A$9,Contract!$B$2:$B$9)</f>
        <v>1</v>
      </c>
      <c r="S2577" s="1">
        <f t="shared" si="160"/>
        <v>210</v>
      </c>
      <c r="T2577" s="1" t="str">
        <f t="shared" si="161"/>
        <v/>
      </c>
      <c r="U2577" s="1" t="str">
        <f t="shared" si="162"/>
        <v/>
      </c>
      <c r="V2577" s="1" t="str">
        <f>_xlfn.XLOOKUP(C2577,Payers!$A$2:$A$9,Payers!$B$2:$B$9)</f>
        <v>Self-Pay</v>
      </c>
      <c r="W2577" s="1" t="str">
        <f t="shared" si="163"/>
        <v>2026-08</v>
      </c>
    </row>
    <row r="2578" spans="1:23">
      <c r="A2578" s="1" t="s">
        <v>4458</v>
      </c>
      <c r="B2578" s="1" t="s">
        <v>3352</v>
      </c>
      <c r="C2578" s="1" t="s">
        <v>36</v>
      </c>
      <c r="D2578" s="1" t="s">
        <v>37</v>
      </c>
      <c r="E2578" s="1" t="s">
        <v>57</v>
      </c>
      <c r="F2578">
        <v>1</v>
      </c>
      <c r="G2578" s="2">
        <v>46087</v>
      </c>
      <c r="H2578" s="2">
        <v>46090</v>
      </c>
      <c r="I2578">
        <v>209.96</v>
      </c>
      <c r="J2578">
        <v>61.03</v>
      </c>
      <c r="K2578">
        <v>61.03</v>
      </c>
      <c r="L2578">
        <v>0</v>
      </c>
      <c r="M2578" s="1" t="s">
        <v>21</v>
      </c>
      <c r="N2578" s="1" t="s">
        <v>22</v>
      </c>
      <c r="O2578" s="2">
        <v>46122</v>
      </c>
      <c r="P2578" s="2">
        <v>46122</v>
      </c>
      <c r="Q2578">
        <f>_xlfn.XLOOKUP(E2578,CPT!$A$2:$A$13,CPT!$D$2:$D$13)</f>
        <v>210</v>
      </c>
      <c r="R2578" s="1">
        <f>_xlfn.XLOOKUP(C2578,Contract!$A$2:$A$9,Contract!$B$2:$B$9)</f>
        <v>0.27</v>
      </c>
      <c r="S2578" s="1">
        <f t="shared" si="160"/>
        <v>56.7</v>
      </c>
      <c r="T2578" s="1">
        <f t="shared" si="161"/>
        <v>-4.3299999999999983</v>
      </c>
      <c r="U2578" s="1" t="str">
        <f t="shared" si="162"/>
        <v>OK</v>
      </c>
      <c r="V2578" s="1" t="str">
        <f>_xlfn.XLOOKUP(C2578,Payers!$A$2:$A$9,Payers!$B$2:$B$9)</f>
        <v>Florida Medicaid</v>
      </c>
      <c r="W2578" s="1" t="str">
        <f t="shared" si="163"/>
        <v>2026-03</v>
      </c>
    </row>
    <row r="2579" spans="1:23">
      <c r="A2579" s="1" t="s">
        <v>4459</v>
      </c>
      <c r="B2579" s="1" t="s">
        <v>4460</v>
      </c>
      <c r="C2579" s="1" t="s">
        <v>47</v>
      </c>
      <c r="D2579" s="1" t="s">
        <v>26</v>
      </c>
      <c r="E2579" s="1" t="s">
        <v>88</v>
      </c>
      <c r="F2579">
        <v>1</v>
      </c>
      <c r="G2579" s="2">
        <v>46012</v>
      </c>
      <c r="H2579" s="2">
        <v>46014</v>
      </c>
      <c r="I2579">
        <v>264.95</v>
      </c>
      <c r="J2579">
        <v>81.62</v>
      </c>
      <c r="K2579">
        <v>65.3</v>
      </c>
      <c r="L2579">
        <v>16.32</v>
      </c>
      <c r="M2579" s="1" t="s">
        <v>21</v>
      </c>
      <c r="N2579" s="1" t="s">
        <v>22</v>
      </c>
      <c r="O2579" s="2">
        <v>46052</v>
      </c>
      <c r="P2579" s="2">
        <v>46052</v>
      </c>
      <c r="Q2579">
        <f>_xlfn.XLOOKUP(E2579,CPT!$A$2:$A$13,CPT!$D$2:$D$13)</f>
        <v>260</v>
      </c>
      <c r="R2579" s="1">
        <f>_xlfn.XLOOKUP(C2579,Contract!$A$2:$A$9,Contract!$B$2:$B$9)</f>
        <v>0.28000000000000003</v>
      </c>
      <c r="S2579" s="1">
        <f t="shared" si="160"/>
        <v>72.8</v>
      </c>
      <c r="T2579" s="1">
        <f t="shared" si="161"/>
        <v>-8.8200000000000074</v>
      </c>
      <c r="U2579" s="1" t="str">
        <f t="shared" si="162"/>
        <v>OK</v>
      </c>
      <c r="V2579" s="1" t="str">
        <f>_xlfn.XLOOKUP(C2579,Payers!$A$2:$A$9,Payers!$B$2:$B$9)</f>
        <v>Coastal Medicaid MCO</v>
      </c>
      <c r="W2579" s="1" t="str">
        <f t="shared" si="163"/>
        <v>2025-12</v>
      </c>
    </row>
    <row r="2580" spans="1:23">
      <c r="A2580" s="1" t="s">
        <v>4461</v>
      </c>
      <c r="B2580" s="1" t="s">
        <v>3106</v>
      </c>
      <c r="C2580" s="1" t="s">
        <v>25</v>
      </c>
      <c r="D2580" s="1" t="s">
        <v>37</v>
      </c>
      <c r="E2580" s="1" t="s">
        <v>57</v>
      </c>
      <c r="F2580">
        <v>1</v>
      </c>
      <c r="G2580" s="2">
        <v>46136</v>
      </c>
      <c r="H2580" s="2">
        <v>46137</v>
      </c>
      <c r="I2580">
        <v>204.21</v>
      </c>
      <c r="J2580">
        <v>74.239999999999995</v>
      </c>
      <c r="K2580">
        <v>66.819999999999993</v>
      </c>
      <c r="L2580">
        <v>7.42</v>
      </c>
      <c r="M2580" s="1" t="s">
        <v>21</v>
      </c>
      <c r="N2580" s="1" t="s">
        <v>22</v>
      </c>
      <c r="O2580" s="2">
        <v>46158</v>
      </c>
      <c r="P2580" s="2">
        <v>46158</v>
      </c>
      <c r="Q2580">
        <f>_xlfn.XLOOKUP(E2580,CPT!$A$2:$A$13,CPT!$D$2:$D$13)</f>
        <v>210</v>
      </c>
      <c r="R2580" s="1">
        <f>_xlfn.XLOOKUP(C2580,Contract!$A$2:$A$9,Contract!$B$2:$B$9)</f>
        <v>0.36</v>
      </c>
      <c r="S2580" s="1">
        <f t="shared" si="160"/>
        <v>75.599999999999994</v>
      </c>
      <c r="T2580" s="1">
        <f t="shared" si="161"/>
        <v>1.3599999999999994</v>
      </c>
      <c r="U2580" s="1" t="str">
        <f t="shared" si="162"/>
        <v>OK</v>
      </c>
      <c r="V2580" s="1" t="str">
        <f>_xlfn.XLOOKUP(C2580,Payers!$A$2:$A$9,Payers!$B$2:$B$9)</f>
        <v>Medicare Part B</v>
      </c>
      <c r="W2580" s="1" t="str">
        <f t="shared" si="163"/>
        <v>2026-04</v>
      </c>
    </row>
    <row r="2581" spans="1:23">
      <c r="A2581" s="1" t="s">
        <v>4462</v>
      </c>
      <c r="B2581" s="1" t="s">
        <v>1135</v>
      </c>
      <c r="C2581" s="1" t="s">
        <v>47</v>
      </c>
      <c r="D2581" s="1" t="s">
        <v>30</v>
      </c>
      <c r="E2581" s="1" t="s">
        <v>20</v>
      </c>
      <c r="F2581">
        <v>1</v>
      </c>
      <c r="G2581" s="2">
        <v>46190</v>
      </c>
      <c r="H2581" s="2">
        <v>46196</v>
      </c>
      <c r="I2581">
        <v>140.71</v>
      </c>
      <c r="J2581">
        <v>38.42</v>
      </c>
      <c r="K2581">
        <v>34.58</v>
      </c>
      <c r="L2581">
        <v>3.84</v>
      </c>
      <c r="M2581" s="1" t="s">
        <v>21</v>
      </c>
      <c r="N2581" s="1" t="s">
        <v>22</v>
      </c>
      <c r="O2581" s="2">
        <v>46258</v>
      </c>
      <c r="P2581" s="2">
        <v>46258</v>
      </c>
      <c r="Q2581">
        <f>_xlfn.XLOOKUP(E2581,CPT!$A$2:$A$13,CPT!$D$2:$D$13)</f>
        <v>145</v>
      </c>
      <c r="R2581" s="1">
        <f>_xlfn.XLOOKUP(C2581,Contract!$A$2:$A$9,Contract!$B$2:$B$9)</f>
        <v>0.28000000000000003</v>
      </c>
      <c r="S2581" s="1">
        <f t="shared" si="160"/>
        <v>40.6</v>
      </c>
      <c r="T2581" s="1">
        <f t="shared" si="161"/>
        <v>2.1799999999999997</v>
      </c>
      <c r="U2581" s="1" t="str">
        <f t="shared" si="162"/>
        <v>Underpaid</v>
      </c>
      <c r="V2581" s="1" t="str">
        <f>_xlfn.XLOOKUP(C2581,Payers!$A$2:$A$9,Payers!$B$2:$B$9)</f>
        <v>Coastal Medicaid MCO</v>
      </c>
      <c r="W2581" s="1" t="str">
        <f t="shared" si="163"/>
        <v>2026-06</v>
      </c>
    </row>
    <row r="2582" spans="1:23">
      <c r="A2582" s="1" t="s">
        <v>4463</v>
      </c>
      <c r="B2582" s="1" t="s">
        <v>2251</v>
      </c>
      <c r="C2582" s="1" t="s">
        <v>25</v>
      </c>
      <c r="D2582" s="1" t="s">
        <v>30</v>
      </c>
      <c r="E2582" s="1" t="s">
        <v>31</v>
      </c>
      <c r="F2582">
        <v>1</v>
      </c>
      <c r="G2582" s="2">
        <v>46043</v>
      </c>
      <c r="H2582" s="2">
        <v>46045</v>
      </c>
      <c r="I2582">
        <v>63.7</v>
      </c>
      <c r="J2582">
        <v>24.58</v>
      </c>
      <c r="K2582">
        <v>22.12</v>
      </c>
      <c r="L2582">
        <v>2.46</v>
      </c>
      <c r="M2582" s="1" t="s">
        <v>21</v>
      </c>
      <c r="N2582" s="1" t="s">
        <v>22</v>
      </c>
      <c r="O2582" s="2">
        <v>46060</v>
      </c>
      <c r="P2582" s="2">
        <v>46060</v>
      </c>
      <c r="Q2582">
        <f>_xlfn.XLOOKUP(E2582,CPT!$A$2:$A$13,CPT!$D$2:$D$13)</f>
        <v>62</v>
      </c>
      <c r="R2582" s="1">
        <f>_xlfn.XLOOKUP(C2582,Contract!$A$2:$A$9,Contract!$B$2:$B$9)</f>
        <v>0.36</v>
      </c>
      <c r="S2582" s="1">
        <f t="shared" si="160"/>
        <v>22.32</v>
      </c>
      <c r="T2582" s="1">
        <f t="shared" si="161"/>
        <v>-2.259999999999998</v>
      </c>
      <c r="U2582" s="1" t="str">
        <f t="shared" si="162"/>
        <v>OK</v>
      </c>
      <c r="V2582" s="1" t="str">
        <f>_xlfn.XLOOKUP(C2582,Payers!$A$2:$A$9,Payers!$B$2:$B$9)</f>
        <v>Medicare Part B</v>
      </c>
      <c r="W2582" s="1" t="str">
        <f t="shared" si="163"/>
        <v>2026-01</v>
      </c>
    </row>
    <row r="2583" spans="1:23">
      <c r="A2583" s="1" t="s">
        <v>4464</v>
      </c>
      <c r="B2583" s="1" t="s">
        <v>825</v>
      </c>
      <c r="C2583" s="1" t="s">
        <v>76</v>
      </c>
      <c r="D2583" s="1" t="s">
        <v>37</v>
      </c>
      <c r="E2583" s="1" t="s">
        <v>57</v>
      </c>
      <c r="F2583">
        <v>1</v>
      </c>
      <c r="G2583" s="2">
        <v>46095</v>
      </c>
      <c r="H2583" s="2">
        <v>46099</v>
      </c>
      <c r="I2583">
        <v>209.31</v>
      </c>
      <c r="J2583">
        <v>78.02</v>
      </c>
      <c r="K2583">
        <v>78.02</v>
      </c>
      <c r="L2583">
        <v>0</v>
      </c>
      <c r="M2583" s="1" t="s">
        <v>21</v>
      </c>
      <c r="N2583" s="1" t="s">
        <v>22</v>
      </c>
      <c r="O2583" s="2">
        <v>46127</v>
      </c>
      <c r="P2583" s="2">
        <v>46127</v>
      </c>
      <c r="Q2583">
        <f>_xlfn.XLOOKUP(E2583,CPT!$A$2:$A$13,CPT!$D$2:$D$13)</f>
        <v>210</v>
      </c>
      <c r="R2583" s="1">
        <f>_xlfn.XLOOKUP(C2583,Contract!$A$2:$A$9,Contract!$B$2:$B$9)</f>
        <v>0.43</v>
      </c>
      <c r="S2583" s="1">
        <f t="shared" si="160"/>
        <v>90.3</v>
      </c>
      <c r="T2583" s="1">
        <f t="shared" si="161"/>
        <v>12.280000000000001</v>
      </c>
      <c r="U2583" s="1" t="str">
        <f t="shared" si="162"/>
        <v>Underpaid</v>
      </c>
      <c r="V2583" s="1" t="str">
        <f>_xlfn.XLOOKUP(C2583,Payers!$A$2:$A$9,Payers!$B$2:$B$9)</f>
        <v>Summit Health Commercial</v>
      </c>
      <c r="W2583" s="1" t="str">
        <f t="shared" si="163"/>
        <v>2026-03</v>
      </c>
    </row>
    <row r="2584" spans="1:23">
      <c r="A2584" s="1" t="s">
        <v>4465</v>
      </c>
      <c r="B2584" s="1" t="s">
        <v>959</v>
      </c>
      <c r="C2584" s="1" t="s">
        <v>60</v>
      </c>
      <c r="D2584" s="1" t="s">
        <v>19</v>
      </c>
      <c r="E2584" s="1" t="s">
        <v>57</v>
      </c>
      <c r="F2584">
        <v>1</v>
      </c>
      <c r="G2584" s="2">
        <v>46087</v>
      </c>
      <c r="H2584" s="2">
        <v>46090</v>
      </c>
      <c r="I2584">
        <v>213.26</v>
      </c>
      <c r="J2584">
        <v>94.24</v>
      </c>
      <c r="K2584">
        <v>94.24</v>
      </c>
      <c r="L2584">
        <v>0</v>
      </c>
      <c r="M2584" s="1" t="s">
        <v>21</v>
      </c>
      <c r="N2584" s="1" t="s">
        <v>22</v>
      </c>
      <c r="O2584" s="2">
        <v>46117</v>
      </c>
      <c r="P2584" s="2">
        <v>46117</v>
      </c>
      <c r="Q2584">
        <f>_xlfn.XLOOKUP(E2584,CPT!$A$2:$A$13,CPT!$D$2:$D$13)</f>
        <v>210</v>
      </c>
      <c r="R2584" s="1">
        <f>_xlfn.XLOOKUP(C2584,Contract!$A$2:$A$9,Contract!$B$2:$B$9)</f>
        <v>0.45</v>
      </c>
      <c r="S2584" s="1">
        <f t="shared" si="160"/>
        <v>94.5</v>
      </c>
      <c r="T2584" s="1">
        <f t="shared" si="161"/>
        <v>0.26000000000000512</v>
      </c>
      <c r="U2584" s="1" t="str">
        <f t="shared" si="162"/>
        <v>OK</v>
      </c>
      <c r="V2584" s="1" t="str">
        <f>_xlfn.XLOOKUP(C2584,Payers!$A$2:$A$9,Payers!$B$2:$B$9)</f>
        <v>Blue Horizon Commercial</v>
      </c>
      <c r="W2584" s="1" t="str">
        <f t="shared" si="163"/>
        <v>2026-03</v>
      </c>
    </row>
    <row r="2585" spans="1:23">
      <c r="A2585" s="1" t="s">
        <v>4466</v>
      </c>
      <c r="B2585" s="1" t="s">
        <v>4467</v>
      </c>
      <c r="C2585" s="1" t="s">
        <v>25</v>
      </c>
      <c r="D2585" s="1" t="s">
        <v>30</v>
      </c>
      <c r="E2585" s="1" t="s">
        <v>31</v>
      </c>
      <c r="F2585">
        <v>3</v>
      </c>
      <c r="G2585" s="2">
        <v>46113</v>
      </c>
      <c r="H2585" s="2">
        <v>46214</v>
      </c>
      <c r="I2585">
        <v>186.79</v>
      </c>
      <c r="M2585" s="1" t="s">
        <v>32</v>
      </c>
      <c r="N2585" s="1" t="s">
        <v>137</v>
      </c>
      <c r="O2585" s="2">
        <v>46241</v>
      </c>
      <c r="P2585" s="2"/>
      <c r="Q2585">
        <f>_xlfn.XLOOKUP(E2585,CPT!$A$2:$A$13,CPT!$D$2:$D$13)</f>
        <v>62</v>
      </c>
      <c r="R2585" s="1">
        <f>_xlfn.XLOOKUP(C2585,Contract!$A$2:$A$9,Contract!$B$2:$B$9)</f>
        <v>0.36</v>
      </c>
      <c r="S2585" s="1">
        <f t="shared" si="160"/>
        <v>66.959999999999994</v>
      </c>
      <c r="T2585" s="1" t="str">
        <f t="shared" si="161"/>
        <v/>
      </c>
      <c r="U2585" s="1" t="str">
        <f t="shared" si="162"/>
        <v/>
      </c>
      <c r="V2585" s="1" t="str">
        <f>_xlfn.XLOOKUP(C2585,Payers!$A$2:$A$9,Payers!$B$2:$B$9)</f>
        <v>Medicare Part B</v>
      </c>
      <c r="W2585" s="1" t="str">
        <f t="shared" si="163"/>
        <v>2026-04</v>
      </c>
    </row>
    <row r="2586" spans="1:23">
      <c r="A2586" s="1" t="s">
        <v>4468</v>
      </c>
      <c r="B2586" s="1" t="s">
        <v>1359</v>
      </c>
      <c r="C2586" s="1" t="s">
        <v>60</v>
      </c>
      <c r="D2586" s="1" t="s">
        <v>26</v>
      </c>
      <c r="E2586" s="1" t="s">
        <v>44</v>
      </c>
      <c r="F2586">
        <v>1</v>
      </c>
      <c r="G2586" s="2">
        <v>46125</v>
      </c>
      <c r="H2586" s="2">
        <v>46129</v>
      </c>
      <c r="I2586">
        <v>4860.28</v>
      </c>
      <c r="J2586">
        <v>1852.19</v>
      </c>
      <c r="K2586">
        <v>1481.75</v>
      </c>
      <c r="L2586">
        <v>370.44</v>
      </c>
      <c r="M2586" s="1" t="s">
        <v>21</v>
      </c>
      <c r="N2586" s="1" t="s">
        <v>22</v>
      </c>
      <c r="O2586" s="2">
        <v>46150</v>
      </c>
      <c r="P2586" s="2">
        <v>46150</v>
      </c>
      <c r="Q2586">
        <f>_xlfn.XLOOKUP(E2586,CPT!$A$2:$A$13,CPT!$D$2:$D$13)</f>
        <v>4800</v>
      </c>
      <c r="R2586" s="1">
        <f>_xlfn.XLOOKUP(C2586,Contract!$A$2:$A$9,Contract!$B$2:$B$9)</f>
        <v>0.45</v>
      </c>
      <c r="S2586" s="1">
        <f t="shared" si="160"/>
        <v>2160</v>
      </c>
      <c r="T2586" s="1">
        <f t="shared" si="161"/>
        <v>307.80999999999995</v>
      </c>
      <c r="U2586" s="1" t="str">
        <f t="shared" si="162"/>
        <v>Underpaid</v>
      </c>
      <c r="V2586" s="1" t="str">
        <f>_xlfn.XLOOKUP(C2586,Payers!$A$2:$A$9,Payers!$B$2:$B$9)</f>
        <v>Blue Horizon Commercial</v>
      </c>
      <c r="W2586" s="1" t="str">
        <f t="shared" si="163"/>
        <v>2026-04</v>
      </c>
    </row>
    <row r="2587" spans="1:23">
      <c r="A2587" s="1" t="s">
        <v>4469</v>
      </c>
      <c r="B2587" s="1" t="s">
        <v>2934</v>
      </c>
      <c r="C2587" s="1" t="s">
        <v>18</v>
      </c>
      <c r="D2587" s="1" t="s">
        <v>37</v>
      </c>
      <c r="E2587" s="1" t="s">
        <v>38</v>
      </c>
      <c r="F2587">
        <v>10</v>
      </c>
      <c r="G2587" s="2">
        <v>46256</v>
      </c>
      <c r="H2587" s="2">
        <v>46274</v>
      </c>
      <c r="I2587">
        <v>14071.12</v>
      </c>
      <c r="M2587" s="1" t="s">
        <v>69</v>
      </c>
      <c r="N2587" s="1" t="s">
        <v>22</v>
      </c>
      <c r="O2587" s="2"/>
      <c r="P2587" s="2"/>
      <c r="Q2587">
        <f>_xlfn.XLOOKUP(E2587,CPT!$A$2:$A$13,CPT!$D$2:$D$13)</f>
        <v>1450</v>
      </c>
      <c r="R2587" s="1">
        <f>_xlfn.XLOOKUP(C2587,Contract!$A$2:$A$9,Contract!$B$2:$B$9)</f>
        <v>0.38</v>
      </c>
      <c r="S2587" s="1">
        <f t="shared" si="160"/>
        <v>5510</v>
      </c>
      <c r="T2587" s="1" t="str">
        <f t="shared" si="161"/>
        <v/>
      </c>
      <c r="U2587" s="1" t="str">
        <f t="shared" si="162"/>
        <v/>
      </c>
      <c r="V2587" s="1" t="str">
        <f>_xlfn.XLOOKUP(C2587,Payers!$A$2:$A$9,Payers!$B$2:$B$9)</f>
        <v>Sunshine Medicare Advantage</v>
      </c>
      <c r="W2587" s="1" t="str">
        <f t="shared" si="163"/>
        <v>2026-08</v>
      </c>
    </row>
    <row r="2588" spans="1:23">
      <c r="A2588" s="1" t="s">
        <v>4470</v>
      </c>
      <c r="B2588" s="1" t="s">
        <v>4471</v>
      </c>
      <c r="C2588" s="1" t="s">
        <v>76</v>
      </c>
      <c r="D2588" s="1" t="s">
        <v>37</v>
      </c>
      <c r="E2588" s="1" t="s">
        <v>57</v>
      </c>
      <c r="F2588">
        <v>1</v>
      </c>
      <c r="G2588" s="2">
        <v>46223</v>
      </c>
      <c r="H2588" s="2">
        <v>46228</v>
      </c>
      <c r="I2588">
        <v>211.31</v>
      </c>
      <c r="J2588">
        <v>100.46</v>
      </c>
      <c r="K2588">
        <v>90.41</v>
      </c>
      <c r="L2588">
        <v>10.050000000000001</v>
      </c>
      <c r="M2588" s="1" t="s">
        <v>21</v>
      </c>
      <c r="N2588" s="1" t="s">
        <v>22</v>
      </c>
      <c r="O2588" s="2">
        <v>46251</v>
      </c>
      <c r="P2588" s="2">
        <v>46251</v>
      </c>
      <c r="Q2588">
        <f>_xlfn.XLOOKUP(E2588,CPT!$A$2:$A$13,CPT!$D$2:$D$13)</f>
        <v>210</v>
      </c>
      <c r="R2588" s="1">
        <f>_xlfn.XLOOKUP(C2588,Contract!$A$2:$A$9,Contract!$B$2:$B$9)</f>
        <v>0.43</v>
      </c>
      <c r="S2588" s="1">
        <f t="shared" si="160"/>
        <v>90.3</v>
      </c>
      <c r="T2588" s="1">
        <f t="shared" si="161"/>
        <v>-10.159999999999997</v>
      </c>
      <c r="U2588" s="1" t="str">
        <f t="shared" si="162"/>
        <v>OK</v>
      </c>
      <c r="V2588" s="1" t="str">
        <f>_xlfn.XLOOKUP(C2588,Payers!$A$2:$A$9,Payers!$B$2:$B$9)</f>
        <v>Summit Health Commercial</v>
      </c>
      <c r="W2588" s="1" t="str">
        <f t="shared" si="163"/>
        <v>2026-07</v>
      </c>
    </row>
    <row r="2589" spans="1:23">
      <c r="A2589" s="1" t="s">
        <v>4472</v>
      </c>
      <c r="B2589" s="1" t="s">
        <v>2539</v>
      </c>
      <c r="C2589" s="1" t="s">
        <v>47</v>
      </c>
      <c r="D2589" s="1" t="s">
        <v>19</v>
      </c>
      <c r="E2589" s="1" t="s">
        <v>20</v>
      </c>
      <c r="F2589">
        <v>1</v>
      </c>
      <c r="G2589" s="2">
        <v>46043</v>
      </c>
      <c r="H2589" s="2">
        <v>46048</v>
      </c>
      <c r="I2589">
        <v>142.49</v>
      </c>
      <c r="J2589">
        <v>44.48</v>
      </c>
      <c r="K2589">
        <v>40.03</v>
      </c>
      <c r="L2589">
        <v>4.45</v>
      </c>
      <c r="M2589" s="1" t="s">
        <v>21</v>
      </c>
      <c r="N2589" s="1" t="s">
        <v>22</v>
      </c>
      <c r="O2589" s="2">
        <v>46097</v>
      </c>
      <c r="P2589" s="2">
        <v>46097</v>
      </c>
      <c r="Q2589">
        <f>_xlfn.XLOOKUP(E2589,CPT!$A$2:$A$13,CPT!$D$2:$D$13)</f>
        <v>145</v>
      </c>
      <c r="R2589" s="1">
        <f>_xlfn.XLOOKUP(C2589,Contract!$A$2:$A$9,Contract!$B$2:$B$9)</f>
        <v>0.28000000000000003</v>
      </c>
      <c r="S2589" s="1">
        <f t="shared" si="160"/>
        <v>40.6</v>
      </c>
      <c r="T2589" s="1">
        <f t="shared" si="161"/>
        <v>-3.8799999999999955</v>
      </c>
      <c r="U2589" s="1" t="str">
        <f t="shared" si="162"/>
        <v>OK</v>
      </c>
      <c r="V2589" s="1" t="str">
        <f>_xlfn.XLOOKUP(C2589,Payers!$A$2:$A$9,Payers!$B$2:$B$9)</f>
        <v>Coastal Medicaid MCO</v>
      </c>
      <c r="W2589" s="1" t="str">
        <f t="shared" si="163"/>
        <v>2026-01</v>
      </c>
    </row>
    <row r="2590" spans="1:23">
      <c r="A2590" s="1" t="s">
        <v>4473</v>
      </c>
      <c r="B2590" s="1" t="s">
        <v>3123</v>
      </c>
      <c r="C2590" s="1" t="s">
        <v>18</v>
      </c>
      <c r="D2590" s="1" t="s">
        <v>26</v>
      </c>
      <c r="E2590" s="1" t="s">
        <v>185</v>
      </c>
      <c r="F2590">
        <v>1</v>
      </c>
      <c r="G2590" s="2">
        <v>46218</v>
      </c>
      <c r="H2590" s="2">
        <v>46221</v>
      </c>
      <c r="I2590">
        <v>1174.8900000000001</v>
      </c>
      <c r="J2590">
        <v>394.16</v>
      </c>
      <c r="K2590">
        <v>394.16</v>
      </c>
      <c r="L2590">
        <v>0</v>
      </c>
      <c r="M2590" s="1" t="s">
        <v>21</v>
      </c>
      <c r="N2590" s="1" t="s">
        <v>22</v>
      </c>
      <c r="O2590" s="2">
        <v>46274</v>
      </c>
      <c r="P2590" s="2">
        <v>46274</v>
      </c>
      <c r="Q2590">
        <f>_xlfn.XLOOKUP(E2590,CPT!$A$2:$A$13,CPT!$D$2:$D$13)</f>
        <v>1150</v>
      </c>
      <c r="R2590" s="1">
        <f>_xlfn.XLOOKUP(C2590,Contract!$A$2:$A$9,Contract!$B$2:$B$9)</f>
        <v>0.38</v>
      </c>
      <c r="S2590" s="1">
        <f t="shared" si="160"/>
        <v>437</v>
      </c>
      <c r="T2590" s="1">
        <f t="shared" si="161"/>
        <v>42.839999999999975</v>
      </c>
      <c r="U2590" s="1" t="str">
        <f t="shared" si="162"/>
        <v>Underpaid</v>
      </c>
      <c r="V2590" s="1" t="str">
        <f>_xlfn.XLOOKUP(C2590,Payers!$A$2:$A$9,Payers!$B$2:$B$9)</f>
        <v>Sunshine Medicare Advantage</v>
      </c>
      <c r="W2590" s="1" t="str">
        <f t="shared" si="163"/>
        <v>2026-07</v>
      </c>
    </row>
    <row r="2591" spans="1:23">
      <c r="A2591" s="1" t="s">
        <v>4474</v>
      </c>
      <c r="B2591" s="1" t="s">
        <v>4475</v>
      </c>
      <c r="C2591" s="1" t="s">
        <v>60</v>
      </c>
      <c r="D2591" s="1" t="s">
        <v>19</v>
      </c>
      <c r="E2591" s="1" t="s">
        <v>57</v>
      </c>
      <c r="F2591">
        <v>1</v>
      </c>
      <c r="G2591" s="2">
        <v>46222</v>
      </c>
      <c r="H2591" s="2">
        <v>46223</v>
      </c>
      <c r="I2591">
        <v>203.81</v>
      </c>
      <c r="J2591">
        <v>94.21</v>
      </c>
      <c r="K2591">
        <v>84.79</v>
      </c>
      <c r="L2591">
        <v>9.42</v>
      </c>
      <c r="M2591" s="1" t="s">
        <v>21</v>
      </c>
      <c r="N2591" s="1" t="s">
        <v>22</v>
      </c>
      <c r="O2591" s="2">
        <v>46244</v>
      </c>
      <c r="P2591" s="2">
        <v>46244</v>
      </c>
      <c r="Q2591">
        <f>_xlfn.XLOOKUP(E2591,CPT!$A$2:$A$13,CPT!$D$2:$D$13)</f>
        <v>210</v>
      </c>
      <c r="R2591" s="1">
        <f>_xlfn.XLOOKUP(C2591,Contract!$A$2:$A$9,Contract!$B$2:$B$9)</f>
        <v>0.45</v>
      </c>
      <c r="S2591" s="1">
        <f t="shared" si="160"/>
        <v>94.5</v>
      </c>
      <c r="T2591" s="1">
        <f t="shared" si="161"/>
        <v>0.29000000000000625</v>
      </c>
      <c r="U2591" s="1" t="str">
        <f t="shared" si="162"/>
        <v>OK</v>
      </c>
      <c r="V2591" s="1" t="str">
        <f>_xlfn.XLOOKUP(C2591,Payers!$A$2:$A$9,Payers!$B$2:$B$9)</f>
        <v>Blue Horizon Commercial</v>
      </c>
      <c r="W2591" s="1" t="str">
        <f t="shared" si="163"/>
        <v>2026-07</v>
      </c>
    </row>
    <row r="2592" spans="1:23">
      <c r="A2592" s="1" t="s">
        <v>4476</v>
      </c>
      <c r="B2592" s="1" t="s">
        <v>1806</v>
      </c>
      <c r="C2592" s="1" t="s">
        <v>18</v>
      </c>
      <c r="D2592" s="1" t="s">
        <v>26</v>
      </c>
      <c r="E2592" s="1" t="s">
        <v>113</v>
      </c>
      <c r="F2592">
        <v>1</v>
      </c>
      <c r="G2592" s="2">
        <v>46259</v>
      </c>
      <c r="H2592" s="2">
        <v>46268</v>
      </c>
      <c r="I2592">
        <v>1060.05</v>
      </c>
      <c r="M2592" s="1" t="s">
        <v>69</v>
      </c>
      <c r="N2592" s="1" t="s">
        <v>22</v>
      </c>
      <c r="O2592" s="2"/>
      <c r="P2592" s="2"/>
      <c r="Q2592">
        <f>_xlfn.XLOOKUP(E2592,CPT!$A$2:$A$13,CPT!$D$2:$D$13)</f>
        <v>1050</v>
      </c>
      <c r="R2592" s="1">
        <f>_xlfn.XLOOKUP(C2592,Contract!$A$2:$A$9,Contract!$B$2:$B$9)</f>
        <v>0.38</v>
      </c>
      <c r="S2592" s="1">
        <f t="shared" si="160"/>
        <v>399</v>
      </c>
      <c r="T2592" s="1" t="str">
        <f t="shared" si="161"/>
        <v/>
      </c>
      <c r="U2592" s="1" t="str">
        <f t="shared" si="162"/>
        <v/>
      </c>
      <c r="V2592" s="1" t="str">
        <f>_xlfn.XLOOKUP(C2592,Payers!$A$2:$A$9,Payers!$B$2:$B$9)</f>
        <v>Sunshine Medicare Advantage</v>
      </c>
      <c r="W2592" s="1" t="str">
        <f t="shared" si="163"/>
        <v>2026-08</v>
      </c>
    </row>
    <row r="2593" spans="1:23">
      <c r="A2593" s="1" t="s">
        <v>4477</v>
      </c>
      <c r="B2593" s="1" t="s">
        <v>3595</v>
      </c>
      <c r="C2593" s="1" t="s">
        <v>60</v>
      </c>
      <c r="D2593" s="1" t="s">
        <v>26</v>
      </c>
      <c r="E2593" s="1" t="s">
        <v>113</v>
      </c>
      <c r="F2593">
        <v>1</v>
      </c>
      <c r="G2593" s="2">
        <v>46258</v>
      </c>
      <c r="H2593" s="2">
        <v>46260</v>
      </c>
      <c r="I2593">
        <v>1067.08</v>
      </c>
      <c r="J2593">
        <v>449.97</v>
      </c>
      <c r="K2593">
        <v>359.98</v>
      </c>
      <c r="L2593">
        <v>89.99</v>
      </c>
      <c r="M2593" s="1" t="s">
        <v>21</v>
      </c>
      <c r="N2593" s="1" t="s">
        <v>22</v>
      </c>
      <c r="O2593" s="2">
        <v>46291</v>
      </c>
      <c r="P2593" s="2">
        <v>46291</v>
      </c>
      <c r="Q2593">
        <f>_xlfn.XLOOKUP(E2593,CPT!$A$2:$A$13,CPT!$D$2:$D$13)</f>
        <v>1050</v>
      </c>
      <c r="R2593" s="1">
        <f>_xlfn.XLOOKUP(C2593,Contract!$A$2:$A$9,Contract!$B$2:$B$9)</f>
        <v>0.45</v>
      </c>
      <c r="S2593" s="1">
        <f t="shared" si="160"/>
        <v>472.5</v>
      </c>
      <c r="T2593" s="1">
        <f t="shared" si="161"/>
        <v>22.529999999999973</v>
      </c>
      <c r="U2593" s="1" t="str">
        <f t="shared" si="162"/>
        <v>OK</v>
      </c>
      <c r="V2593" s="1" t="str">
        <f>_xlfn.XLOOKUP(C2593,Payers!$A$2:$A$9,Payers!$B$2:$B$9)</f>
        <v>Blue Horizon Commercial</v>
      </c>
      <c r="W2593" s="1" t="str">
        <f t="shared" si="163"/>
        <v>2026-08</v>
      </c>
    </row>
    <row r="2594" spans="1:23">
      <c r="A2594" s="1" t="s">
        <v>4478</v>
      </c>
      <c r="B2594" s="1" t="s">
        <v>4479</v>
      </c>
      <c r="C2594" s="1" t="s">
        <v>18</v>
      </c>
      <c r="D2594" s="1" t="s">
        <v>19</v>
      </c>
      <c r="E2594" s="1" t="s">
        <v>20</v>
      </c>
      <c r="F2594">
        <v>1</v>
      </c>
      <c r="G2594" s="2">
        <v>45946</v>
      </c>
      <c r="H2594" s="2">
        <v>45952</v>
      </c>
      <c r="I2594">
        <v>148.80000000000001</v>
      </c>
      <c r="J2594">
        <v>58.33</v>
      </c>
      <c r="K2594">
        <v>52.5</v>
      </c>
      <c r="L2594">
        <v>5.83</v>
      </c>
      <c r="M2594" s="1" t="s">
        <v>21</v>
      </c>
      <c r="N2594" s="1" t="s">
        <v>22</v>
      </c>
      <c r="O2594" s="2">
        <v>46013</v>
      </c>
      <c r="P2594" s="2">
        <v>46013</v>
      </c>
      <c r="Q2594">
        <f>_xlfn.XLOOKUP(E2594,CPT!$A$2:$A$13,CPT!$D$2:$D$13)</f>
        <v>145</v>
      </c>
      <c r="R2594" s="1">
        <f>_xlfn.XLOOKUP(C2594,Contract!$A$2:$A$9,Contract!$B$2:$B$9)</f>
        <v>0.38</v>
      </c>
      <c r="S2594" s="1">
        <f t="shared" si="160"/>
        <v>55.1</v>
      </c>
      <c r="T2594" s="1">
        <f t="shared" si="161"/>
        <v>-3.2299999999999969</v>
      </c>
      <c r="U2594" s="1" t="str">
        <f t="shared" si="162"/>
        <v>OK</v>
      </c>
      <c r="V2594" s="1" t="str">
        <f>_xlfn.XLOOKUP(C2594,Payers!$A$2:$A$9,Payers!$B$2:$B$9)</f>
        <v>Sunshine Medicare Advantage</v>
      </c>
      <c r="W2594" s="1" t="str">
        <f t="shared" si="163"/>
        <v>2025-10</v>
      </c>
    </row>
    <row r="2595" spans="1:23">
      <c r="A2595" s="1" t="s">
        <v>4480</v>
      </c>
      <c r="B2595" s="1" t="s">
        <v>165</v>
      </c>
      <c r="C2595" s="1" t="s">
        <v>52</v>
      </c>
      <c r="D2595" s="1" t="s">
        <v>19</v>
      </c>
      <c r="E2595" s="1" t="s">
        <v>20</v>
      </c>
      <c r="F2595">
        <v>1</v>
      </c>
      <c r="G2595" s="2">
        <v>46241</v>
      </c>
      <c r="H2595" s="2">
        <v>46245</v>
      </c>
      <c r="I2595">
        <v>146.78</v>
      </c>
      <c r="J2595">
        <v>69.489999999999995</v>
      </c>
      <c r="K2595">
        <v>62.54</v>
      </c>
      <c r="L2595">
        <v>6.95</v>
      </c>
      <c r="M2595" s="1" t="s">
        <v>21</v>
      </c>
      <c r="N2595" s="1" t="s">
        <v>22</v>
      </c>
      <c r="O2595" s="2">
        <v>46285</v>
      </c>
      <c r="P2595" s="2">
        <v>46285</v>
      </c>
      <c r="Q2595">
        <f>_xlfn.XLOOKUP(E2595,CPT!$A$2:$A$13,CPT!$D$2:$D$13)</f>
        <v>145</v>
      </c>
      <c r="R2595" s="1">
        <f>_xlfn.XLOOKUP(C2595,Contract!$A$2:$A$9,Contract!$B$2:$B$9)</f>
        <v>0.47</v>
      </c>
      <c r="S2595" s="1">
        <f t="shared" si="160"/>
        <v>68.150000000000006</v>
      </c>
      <c r="T2595" s="1">
        <f t="shared" si="161"/>
        <v>-1.3399999999999892</v>
      </c>
      <c r="U2595" s="1" t="str">
        <f t="shared" si="162"/>
        <v>OK</v>
      </c>
      <c r="V2595" s="1" t="str">
        <f>_xlfn.XLOOKUP(C2595,Payers!$A$2:$A$9,Payers!$B$2:$B$9)</f>
        <v>Keystone Commercial PPO</v>
      </c>
      <c r="W2595" s="1" t="str">
        <f t="shared" si="163"/>
        <v>2026-08</v>
      </c>
    </row>
    <row r="2596" spans="1:23">
      <c r="A2596" s="1" t="s">
        <v>4481</v>
      </c>
      <c r="B2596" s="1" t="s">
        <v>4482</v>
      </c>
      <c r="C2596" s="1" t="s">
        <v>47</v>
      </c>
      <c r="D2596" s="1" t="s">
        <v>19</v>
      </c>
      <c r="E2596" s="1" t="s">
        <v>57</v>
      </c>
      <c r="F2596">
        <v>1</v>
      </c>
      <c r="G2596" s="2">
        <v>46185</v>
      </c>
      <c r="H2596" s="2">
        <v>46190</v>
      </c>
      <c r="I2596">
        <v>207.86</v>
      </c>
      <c r="J2596">
        <v>50.27</v>
      </c>
      <c r="K2596">
        <v>50.27</v>
      </c>
      <c r="L2596">
        <v>0</v>
      </c>
      <c r="M2596" s="1" t="s">
        <v>21</v>
      </c>
      <c r="N2596" s="1" t="s">
        <v>22</v>
      </c>
      <c r="O2596" s="2">
        <v>46235</v>
      </c>
      <c r="P2596" s="2">
        <v>46235</v>
      </c>
      <c r="Q2596">
        <f>_xlfn.XLOOKUP(E2596,CPT!$A$2:$A$13,CPT!$D$2:$D$13)</f>
        <v>210</v>
      </c>
      <c r="R2596" s="1">
        <f>_xlfn.XLOOKUP(C2596,Contract!$A$2:$A$9,Contract!$B$2:$B$9)</f>
        <v>0.28000000000000003</v>
      </c>
      <c r="S2596" s="1">
        <f t="shared" si="160"/>
        <v>58.8</v>
      </c>
      <c r="T2596" s="1">
        <f t="shared" si="161"/>
        <v>8.529999999999994</v>
      </c>
      <c r="U2596" s="1" t="str">
        <f t="shared" si="162"/>
        <v>Underpaid</v>
      </c>
      <c r="V2596" s="1" t="str">
        <f>_xlfn.XLOOKUP(C2596,Payers!$A$2:$A$9,Payers!$B$2:$B$9)</f>
        <v>Coastal Medicaid MCO</v>
      </c>
      <c r="W2596" s="1" t="str">
        <f t="shared" si="163"/>
        <v>2026-06</v>
      </c>
    </row>
    <row r="2597" spans="1:23">
      <c r="A2597" s="1" t="s">
        <v>4483</v>
      </c>
      <c r="B2597" s="1" t="s">
        <v>3255</v>
      </c>
      <c r="C2597" s="1" t="s">
        <v>36</v>
      </c>
      <c r="D2597" s="1" t="s">
        <v>37</v>
      </c>
      <c r="E2597" s="1" t="s">
        <v>38</v>
      </c>
      <c r="F2597">
        <v>30</v>
      </c>
      <c r="G2597" s="2">
        <v>46169</v>
      </c>
      <c r="H2597" s="2">
        <v>46170</v>
      </c>
      <c r="I2597">
        <v>44693.56</v>
      </c>
      <c r="J2597">
        <v>12580.92</v>
      </c>
      <c r="K2597">
        <v>12580.92</v>
      </c>
      <c r="L2597">
        <v>0</v>
      </c>
      <c r="M2597" s="1" t="s">
        <v>21</v>
      </c>
      <c r="N2597" s="1" t="s">
        <v>22</v>
      </c>
      <c r="O2597" s="2">
        <v>46211</v>
      </c>
      <c r="P2597" s="2">
        <v>46211</v>
      </c>
      <c r="Q2597">
        <f>_xlfn.XLOOKUP(E2597,CPT!$A$2:$A$13,CPT!$D$2:$D$13)</f>
        <v>1450</v>
      </c>
      <c r="R2597" s="1">
        <f>_xlfn.XLOOKUP(C2597,Contract!$A$2:$A$9,Contract!$B$2:$B$9)</f>
        <v>0.27</v>
      </c>
      <c r="S2597" s="1">
        <f t="shared" si="160"/>
        <v>11745</v>
      </c>
      <c r="T2597" s="1">
        <f t="shared" si="161"/>
        <v>-835.92000000000007</v>
      </c>
      <c r="U2597" s="1" t="str">
        <f t="shared" si="162"/>
        <v>OK</v>
      </c>
      <c r="V2597" s="1" t="str">
        <f>_xlfn.XLOOKUP(C2597,Payers!$A$2:$A$9,Payers!$B$2:$B$9)</f>
        <v>Florida Medicaid</v>
      </c>
      <c r="W2597" s="1" t="str">
        <f t="shared" si="163"/>
        <v>2026-05</v>
      </c>
    </row>
    <row r="2598" spans="1:23">
      <c r="A2598" s="1" t="s">
        <v>4484</v>
      </c>
      <c r="B2598" s="1" t="s">
        <v>4485</v>
      </c>
      <c r="C2598" s="1" t="s">
        <v>25</v>
      </c>
      <c r="D2598" s="1" t="s">
        <v>37</v>
      </c>
      <c r="E2598" s="1" t="s">
        <v>57</v>
      </c>
      <c r="F2598">
        <v>1</v>
      </c>
      <c r="G2598" s="2">
        <v>46182</v>
      </c>
      <c r="H2598" s="2">
        <v>46183</v>
      </c>
      <c r="I2598">
        <v>210.1</v>
      </c>
      <c r="J2598">
        <v>67.37</v>
      </c>
      <c r="K2598">
        <v>60.63</v>
      </c>
      <c r="L2598">
        <v>6.74</v>
      </c>
      <c r="M2598" s="1" t="s">
        <v>21</v>
      </c>
      <c r="N2598" s="1" t="s">
        <v>22</v>
      </c>
      <c r="O2598" s="2">
        <v>46203</v>
      </c>
      <c r="P2598" s="2">
        <v>46203</v>
      </c>
      <c r="Q2598">
        <f>_xlfn.XLOOKUP(E2598,CPT!$A$2:$A$13,CPT!$D$2:$D$13)</f>
        <v>210</v>
      </c>
      <c r="R2598" s="1">
        <f>_xlfn.XLOOKUP(C2598,Contract!$A$2:$A$9,Contract!$B$2:$B$9)</f>
        <v>0.36</v>
      </c>
      <c r="S2598" s="1">
        <f t="shared" si="160"/>
        <v>75.599999999999994</v>
      </c>
      <c r="T2598" s="1">
        <f t="shared" si="161"/>
        <v>8.2299999999999898</v>
      </c>
      <c r="U2598" s="1" t="str">
        <f t="shared" si="162"/>
        <v>Underpaid</v>
      </c>
      <c r="V2598" s="1" t="str">
        <f>_xlfn.XLOOKUP(C2598,Payers!$A$2:$A$9,Payers!$B$2:$B$9)</f>
        <v>Medicare Part B</v>
      </c>
      <c r="W2598" s="1" t="str">
        <f t="shared" si="163"/>
        <v>2026-06</v>
      </c>
    </row>
    <row r="2599" spans="1:23">
      <c r="A2599" s="1" t="s">
        <v>4486</v>
      </c>
      <c r="B2599" s="1" t="s">
        <v>4487</v>
      </c>
      <c r="C2599" s="1" t="s">
        <v>76</v>
      </c>
      <c r="D2599" s="1" t="s">
        <v>26</v>
      </c>
      <c r="E2599" s="1" t="s">
        <v>57</v>
      </c>
      <c r="F2599">
        <v>1</v>
      </c>
      <c r="G2599" s="2">
        <v>46231</v>
      </c>
      <c r="H2599" s="2">
        <v>46232</v>
      </c>
      <c r="I2599">
        <v>211.31</v>
      </c>
      <c r="J2599">
        <v>95.45</v>
      </c>
      <c r="K2599">
        <v>95.45</v>
      </c>
      <c r="L2599">
        <v>0</v>
      </c>
      <c r="M2599" s="1" t="s">
        <v>21</v>
      </c>
      <c r="N2599" s="1" t="s">
        <v>22</v>
      </c>
      <c r="O2599" s="2">
        <v>46278</v>
      </c>
      <c r="P2599" s="2">
        <v>46278</v>
      </c>
      <c r="Q2599">
        <f>_xlfn.XLOOKUP(E2599,CPT!$A$2:$A$13,CPT!$D$2:$D$13)</f>
        <v>210</v>
      </c>
      <c r="R2599" s="1">
        <f>_xlfn.XLOOKUP(C2599,Contract!$A$2:$A$9,Contract!$B$2:$B$9)</f>
        <v>0.43</v>
      </c>
      <c r="S2599" s="1">
        <f t="shared" si="160"/>
        <v>90.3</v>
      </c>
      <c r="T2599" s="1">
        <f t="shared" si="161"/>
        <v>-5.1500000000000057</v>
      </c>
      <c r="U2599" s="1" t="str">
        <f t="shared" si="162"/>
        <v>OK</v>
      </c>
      <c r="V2599" s="1" t="str">
        <f>_xlfn.XLOOKUP(C2599,Payers!$A$2:$A$9,Payers!$B$2:$B$9)</f>
        <v>Summit Health Commercial</v>
      </c>
      <c r="W2599" s="1" t="str">
        <f t="shared" si="163"/>
        <v>2026-07</v>
      </c>
    </row>
    <row r="2600" spans="1:23">
      <c r="A2600" s="1" t="s">
        <v>4488</v>
      </c>
      <c r="B2600" s="1" t="s">
        <v>4489</v>
      </c>
      <c r="C2600" s="1" t="s">
        <v>18</v>
      </c>
      <c r="D2600" s="1" t="s">
        <v>26</v>
      </c>
      <c r="E2600" s="1" t="s">
        <v>88</v>
      </c>
      <c r="F2600">
        <v>1</v>
      </c>
      <c r="G2600" s="2">
        <v>46001</v>
      </c>
      <c r="H2600" s="2">
        <v>46006</v>
      </c>
      <c r="I2600">
        <v>266.7</v>
      </c>
      <c r="J2600">
        <v>92.35</v>
      </c>
      <c r="K2600">
        <v>83.12</v>
      </c>
      <c r="L2600">
        <v>9.23</v>
      </c>
      <c r="M2600" s="1" t="s">
        <v>21</v>
      </c>
      <c r="N2600" s="1" t="s">
        <v>22</v>
      </c>
      <c r="O2600" s="2">
        <v>46044</v>
      </c>
      <c r="P2600" s="2">
        <v>46044</v>
      </c>
      <c r="Q2600">
        <f>_xlfn.XLOOKUP(E2600,CPT!$A$2:$A$13,CPT!$D$2:$D$13)</f>
        <v>260</v>
      </c>
      <c r="R2600" s="1">
        <f>_xlfn.XLOOKUP(C2600,Contract!$A$2:$A$9,Contract!$B$2:$B$9)</f>
        <v>0.38</v>
      </c>
      <c r="S2600" s="1">
        <f t="shared" si="160"/>
        <v>98.8</v>
      </c>
      <c r="T2600" s="1">
        <f t="shared" si="161"/>
        <v>6.4500000000000028</v>
      </c>
      <c r="U2600" s="1" t="str">
        <f t="shared" si="162"/>
        <v>Underpaid</v>
      </c>
      <c r="V2600" s="1" t="str">
        <f>_xlfn.XLOOKUP(C2600,Payers!$A$2:$A$9,Payers!$B$2:$B$9)</f>
        <v>Sunshine Medicare Advantage</v>
      </c>
      <c r="W2600" s="1" t="str">
        <f t="shared" si="163"/>
        <v>2025-12</v>
      </c>
    </row>
    <row r="2601" spans="1:23">
      <c r="A2601" s="1" t="s">
        <v>4490</v>
      </c>
      <c r="B2601" s="1" t="s">
        <v>4491</v>
      </c>
      <c r="C2601" s="1" t="s">
        <v>52</v>
      </c>
      <c r="D2601" s="1" t="s">
        <v>26</v>
      </c>
      <c r="E2601" s="1" t="s">
        <v>27</v>
      </c>
      <c r="F2601">
        <v>1</v>
      </c>
      <c r="G2601" s="2">
        <v>46065</v>
      </c>
      <c r="H2601" s="2">
        <v>46066</v>
      </c>
      <c r="I2601">
        <v>241.36</v>
      </c>
      <c r="M2601" s="1" t="s">
        <v>32</v>
      </c>
      <c r="N2601" s="1" t="s">
        <v>33</v>
      </c>
      <c r="O2601" s="2">
        <v>46114</v>
      </c>
      <c r="P2601" s="2"/>
      <c r="Q2601">
        <f>_xlfn.XLOOKUP(E2601,CPT!$A$2:$A$13,CPT!$D$2:$D$13)</f>
        <v>240</v>
      </c>
      <c r="R2601" s="1">
        <f>_xlfn.XLOOKUP(C2601,Contract!$A$2:$A$9,Contract!$B$2:$B$9)</f>
        <v>0.47</v>
      </c>
      <c r="S2601" s="1">
        <f t="shared" si="160"/>
        <v>112.8</v>
      </c>
      <c r="T2601" s="1" t="str">
        <f t="shared" si="161"/>
        <v/>
      </c>
      <c r="U2601" s="1" t="str">
        <f t="shared" si="162"/>
        <v/>
      </c>
      <c r="V2601" s="1" t="str">
        <f>_xlfn.XLOOKUP(C2601,Payers!$A$2:$A$9,Payers!$B$2:$B$9)</f>
        <v>Keystone Commercial PPO</v>
      </c>
      <c r="W2601" s="1" t="str">
        <f t="shared" si="163"/>
        <v>2026-02</v>
      </c>
    </row>
    <row r="2602" spans="1:23">
      <c r="A2602" s="1" t="s">
        <v>4492</v>
      </c>
      <c r="B2602" s="1" t="s">
        <v>4493</v>
      </c>
      <c r="C2602" s="1" t="s">
        <v>76</v>
      </c>
      <c r="D2602" s="1" t="s">
        <v>26</v>
      </c>
      <c r="E2602" s="1" t="s">
        <v>185</v>
      </c>
      <c r="F2602">
        <v>1</v>
      </c>
      <c r="G2602" s="2">
        <v>46107</v>
      </c>
      <c r="H2602" s="2">
        <v>46125</v>
      </c>
      <c r="I2602">
        <v>1163.45</v>
      </c>
      <c r="M2602" s="1" t="s">
        <v>32</v>
      </c>
      <c r="N2602" s="1" t="s">
        <v>124</v>
      </c>
      <c r="O2602" s="2">
        <v>46147</v>
      </c>
      <c r="P2602" s="2"/>
      <c r="Q2602">
        <f>_xlfn.XLOOKUP(E2602,CPT!$A$2:$A$13,CPT!$D$2:$D$13)</f>
        <v>1150</v>
      </c>
      <c r="R2602" s="1">
        <f>_xlfn.XLOOKUP(C2602,Contract!$A$2:$A$9,Contract!$B$2:$B$9)</f>
        <v>0.43</v>
      </c>
      <c r="S2602" s="1">
        <f t="shared" si="160"/>
        <v>494.5</v>
      </c>
      <c r="T2602" s="1" t="str">
        <f t="shared" si="161"/>
        <v/>
      </c>
      <c r="U2602" s="1" t="str">
        <f t="shared" si="162"/>
        <v/>
      </c>
      <c r="V2602" s="1" t="str">
        <f>_xlfn.XLOOKUP(C2602,Payers!$A$2:$A$9,Payers!$B$2:$B$9)</f>
        <v>Summit Health Commercial</v>
      </c>
      <c r="W2602" s="1" t="str">
        <f t="shared" si="163"/>
        <v>2026-03</v>
      </c>
    </row>
    <row r="2603" spans="1:23">
      <c r="A2603" s="1" t="s">
        <v>4494</v>
      </c>
      <c r="B2603" s="1" t="s">
        <v>4495</v>
      </c>
      <c r="C2603" s="1" t="s">
        <v>76</v>
      </c>
      <c r="D2603" s="1" t="s">
        <v>37</v>
      </c>
      <c r="E2603" s="1" t="s">
        <v>57</v>
      </c>
      <c r="F2603">
        <v>1</v>
      </c>
      <c r="G2603" s="2">
        <v>46171</v>
      </c>
      <c r="H2603" s="2">
        <v>46172</v>
      </c>
      <c r="I2603">
        <v>213.77</v>
      </c>
      <c r="J2603">
        <v>92.84</v>
      </c>
      <c r="K2603">
        <v>92.84</v>
      </c>
      <c r="L2603">
        <v>0</v>
      </c>
      <c r="M2603" s="1" t="s">
        <v>21</v>
      </c>
      <c r="N2603" s="1" t="s">
        <v>22</v>
      </c>
      <c r="O2603" s="2">
        <v>46209</v>
      </c>
      <c r="P2603" s="2">
        <v>46209</v>
      </c>
      <c r="Q2603">
        <f>_xlfn.XLOOKUP(E2603,CPT!$A$2:$A$13,CPT!$D$2:$D$13)</f>
        <v>210</v>
      </c>
      <c r="R2603" s="1">
        <f>_xlfn.XLOOKUP(C2603,Contract!$A$2:$A$9,Contract!$B$2:$B$9)</f>
        <v>0.43</v>
      </c>
      <c r="S2603" s="1">
        <f t="shared" si="160"/>
        <v>90.3</v>
      </c>
      <c r="T2603" s="1">
        <f t="shared" si="161"/>
        <v>-2.5400000000000063</v>
      </c>
      <c r="U2603" s="1" t="str">
        <f t="shared" si="162"/>
        <v>OK</v>
      </c>
      <c r="V2603" s="1" t="str">
        <f>_xlfn.XLOOKUP(C2603,Payers!$A$2:$A$9,Payers!$B$2:$B$9)</f>
        <v>Summit Health Commercial</v>
      </c>
      <c r="W2603" s="1" t="str">
        <f t="shared" si="163"/>
        <v>2026-05</v>
      </c>
    </row>
    <row r="2604" spans="1:23">
      <c r="A2604" s="1" t="s">
        <v>4496</v>
      </c>
      <c r="B2604" s="1" t="s">
        <v>4497</v>
      </c>
      <c r="C2604" s="1" t="s">
        <v>52</v>
      </c>
      <c r="D2604" s="1" t="s">
        <v>19</v>
      </c>
      <c r="E2604" s="1" t="s">
        <v>57</v>
      </c>
      <c r="F2604">
        <v>1</v>
      </c>
      <c r="G2604" s="2">
        <v>45938</v>
      </c>
      <c r="H2604" s="2">
        <v>45940</v>
      </c>
      <c r="I2604">
        <v>214.32</v>
      </c>
      <c r="J2604">
        <v>98.28</v>
      </c>
      <c r="K2604">
        <v>98.28</v>
      </c>
      <c r="L2604">
        <v>0</v>
      </c>
      <c r="M2604" s="1" t="s">
        <v>21</v>
      </c>
      <c r="N2604" s="1" t="s">
        <v>22</v>
      </c>
      <c r="O2604" s="2">
        <v>45991</v>
      </c>
      <c r="P2604" s="2">
        <v>45991</v>
      </c>
      <c r="Q2604">
        <f>_xlfn.XLOOKUP(E2604,CPT!$A$2:$A$13,CPT!$D$2:$D$13)</f>
        <v>210</v>
      </c>
      <c r="R2604" s="1">
        <f>_xlfn.XLOOKUP(C2604,Contract!$A$2:$A$9,Contract!$B$2:$B$9)</f>
        <v>0.47</v>
      </c>
      <c r="S2604" s="1">
        <f t="shared" si="160"/>
        <v>98.7</v>
      </c>
      <c r="T2604" s="1">
        <f t="shared" si="161"/>
        <v>0.42000000000000171</v>
      </c>
      <c r="U2604" s="1" t="str">
        <f t="shared" si="162"/>
        <v>OK</v>
      </c>
      <c r="V2604" s="1" t="str">
        <f>_xlfn.XLOOKUP(C2604,Payers!$A$2:$A$9,Payers!$B$2:$B$9)</f>
        <v>Keystone Commercial PPO</v>
      </c>
      <c r="W2604" s="1" t="str">
        <f t="shared" si="163"/>
        <v>2025-10</v>
      </c>
    </row>
    <row r="2605" spans="1:23">
      <c r="A2605" s="1" t="s">
        <v>4498</v>
      </c>
      <c r="B2605" s="1" t="s">
        <v>4499</v>
      </c>
      <c r="C2605" s="1" t="s">
        <v>18</v>
      </c>
      <c r="D2605" s="1" t="s">
        <v>37</v>
      </c>
      <c r="E2605" s="1" t="s">
        <v>57</v>
      </c>
      <c r="F2605">
        <v>1</v>
      </c>
      <c r="G2605" s="2">
        <v>45944</v>
      </c>
      <c r="H2605" s="2">
        <v>45946</v>
      </c>
      <c r="I2605">
        <v>208.29</v>
      </c>
      <c r="J2605">
        <v>84.5</v>
      </c>
      <c r="K2605">
        <v>84.5</v>
      </c>
      <c r="L2605">
        <v>0</v>
      </c>
      <c r="M2605" s="1" t="s">
        <v>21</v>
      </c>
      <c r="N2605" s="1" t="s">
        <v>22</v>
      </c>
      <c r="O2605" s="2">
        <v>45992</v>
      </c>
      <c r="P2605" s="2">
        <v>45992</v>
      </c>
      <c r="Q2605">
        <f>_xlfn.XLOOKUP(E2605,CPT!$A$2:$A$13,CPT!$D$2:$D$13)</f>
        <v>210</v>
      </c>
      <c r="R2605" s="1">
        <f>_xlfn.XLOOKUP(C2605,Contract!$A$2:$A$9,Contract!$B$2:$B$9)</f>
        <v>0.38</v>
      </c>
      <c r="S2605" s="1">
        <f t="shared" si="160"/>
        <v>79.8</v>
      </c>
      <c r="T2605" s="1">
        <f t="shared" si="161"/>
        <v>-4.7000000000000028</v>
      </c>
      <c r="U2605" s="1" t="str">
        <f t="shared" si="162"/>
        <v>OK</v>
      </c>
      <c r="V2605" s="1" t="str">
        <f>_xlfn.XLOOKUP(C2605,Payers!$A$2:$A$9,Payers!$B$2:$B$9)</f>
        <v>Sunshine Medicare Advantage</v>
      </c>
      <c r="W2605" s="1" t="str">
        <f t="shared" si="163"/>
        <v>2025-10</v>
      </c>
    </row>
    <row r="2606" spans="1:23">
      <c r="A2606" s="1" t="s">
        <v>4500</v>
      </c>
      <c r="B2606" s="1" t="s">
        <v>443</v>
      </c>
      <c r="C2606" s="1" t="s">
        <v>76</v>
      </c>
      <c r="D2606" s="1" t="s">
        <v>26</v>
      </c>
      <c r="E2606" s="1" t="s">
        <v>185</v>
      </c>
      <c r="F2606">
        <v>1</v>
      </c>
      <c r="G2606" s="2">
        <v>46096</v>
      </c>
      <c r="H2606" s="2">
        <v>46098</v>
      </c>
      <c r="I2606">
        <v>1171.48</v>
      </c>
      <c r="J2606">
        <v>442.55</v>
      </c>
      <c r="K2606">
        <v>354.04</v>
      </c>
      <c r="L2606">
        <v>88.51</v>
      </c>
      <c r="M2606" s="1" t="s">
        <v>21</v>
      </c>
      <c r="N2606" s="1" t="s">
        <v>22</v>
      </c>
      <c r="O2606" s="2">
        <v>46117</v>
      </c>
      <c r="P2606" s="2">
        <v>46117</v>
      </c>
      <c r="Q2606">
        <f>_xlfn.XLOOKUP(E2606,CPT!$A$2:$A$13,CPT!$D$2:$D$13)</f>
        <v>1150</v>
      </c>
      <c r="R2606" s="1">
        <f>_xlfn.XLOOKUP(C2606,Contract!$A$2:$A$9,Contract!$B$2:$B$9)</f>
        <v>0.43</v>
      </c>
      <c r="S2606" s="1">
        <f t="shared" si="160"/>
        <v>494.5</v>
      </c>
      <c r="T2606" s="1">
        <f t="shared" si="161"/>
        <v>51.949999999999989</v>
      </c>
      <c r="U2606" s="1" t="str">
        <f t="shared" si="162"/>
        <v>Underpaid</v>
      </c>
      <c r="V2606" s="1" t="str">
        <f>_xlfn.XLOOKUP(C2606,Payers!$A$2:$A$9,Payers!$B$2:$B$9)</f>
        <v>Summit Health Commercial</v>
      </c>
      <c r="W2606" s="1" t="str">
        <f t="shared" si="163"/>
        <v>2026-03</v>
      </c>
    </row>
    <row r="2607" spans="1:23">
      <c r="A2607" s="1" t="s">
        <v>4501</v>
      </c>
      <c r="B2607" s="1" t="s">
        <v>1880</v>
      </c>
      <c r="C2607" s="1" t="s">
        <v>18</v>
      </c>
      <c r="D2607" s="1" t="s">
        <v>19</v>
      </c>
      <c r="E2607" s="1" t="s">
        <v>41</v>
      </c>
      <c r="F2607">
        <v>1</v>
      </c>
      <c r="G2607" s="2">
        <v>46241</v>
      </c>
      <c r="H2607" s="2">
        <v>46243</v>
      </c>
      <c r="I2607">
        <v>38.69</v>
      </c>
      <c r="M2607" s="1" t="s">
        <v>69</v>
      </c>
      <c r="N2607" s="1" t="s">
        <v>22</v>
      </c>
      <c r="O2607" s="2"/>
      <c r="P2607" s="2"/>
      <c r="Q2607">
        <f>_xlfn.XLOOKUP(E2607,CPT!$A$2:$A$13,CPT!$D$2:$D$13)</f>
        <v>38</v>
      </c>
      <c r="R2607" s="1">
        <f>_xlfn.XLOOKUP(C2607,Contract!$A$2:$A$9,Contract!$B$2:$B$9)</f>
        <v>0.38</v>
      </c>
      <c r="S2607" s="1">
        <f t="shared" si="160"/>
        <v>14.44</v>
      </c>
      <c r="T2607" s="1" t="str">
        <f t="shared" si="161"/>
        <v/>
      </c>
      <c r="U2607" s="1" t="str">
        <f t="shared" si="162"/>
        <v/>
      </c>
      <c r="V2607" s="1" t="str">
        <f>_xlfn.XLOOKUP(C2607,Payers!$A$2:$A$9,Payers!$B$2:$B$9)</f>
        <v>Sunshine Medicare Advantage</v>
      </c>
      <c r="W2607" s="1" t="str">
        <f t="shared" si="163"/>
        <v>2026-08</v>
      </c>
    </row>
    <row r="2608" spans="1:23">
      <c r="A2608" s="1" t="s">
        <v>4502</v>
      </c>
      <c r="B2608" s="1" t="s">
        <v>1719</v>
      </c>
      <c r="C2608" s="1" t="s">
        <v>25</v>
      </c>
      <c r="D2608" s="1" t="s">
        <v>19</v>
      </c>
      <c r="E2608" s="1" t="s">
        <v>57</v>
      </c>
      <c r="F2608">
        <v>1</v>
      </c>
      <c r="G2608" s="2">
        <v>46238</v>
      </c>
      <c r="H2608" s="2">
        <v>46243</v>
      </c>
      <c r="I2608">
        <v>204.48</v>
      </c>
      <c r="J2608">
        <v>62.83</v>
      </c>
      <c r="K2608">
        <v>62.83</v>
      </c>
      <c r="L2608">
        <v>0</v>
      </c>
      <c r="M2608" s="1" t="s">
        <v>21</v>
      </c>
      <c r="N2608" s="1" t="s">
        <v>22</v>
      </c>
      <c r="O2608" s="2">
        <v>46264</v>
      </c>
      <c r="P2608" s="2">
        <v>46264</v>
      </c>
      <c r="Q2608">
        <f>_xlfn.XLOOKUP(E2608,CPT!$A$2:$A$13,CPT!$D$2:$D$13)</f>
        <v>210</v>
      </c>
      <c r="R2608" s="1">
        <f>_xlfn.XLOOKUP(C2608,Contract!$A$2:$A$9,Contract!$B$2:$B$9)</f>
        <v>0.36</v>
      </c>
      <c r="S2608" s="1">
        <f t="shared" si="160"/>
        <v>75.599999999999994</v>
      </c>
      <c r="T2608" s="1">
        <f t="shared" si="161"/>
        <v>12.769999999999996</v>
      </c>
      <c r="U2608" s="1" t="str">
        <f t="shared" si="162"/>
        <v>Underpaid</v>
      </c>
      <c r="V2608" s="1" t="str">
        <f>_xlfn.XLOOKUP(C2608,Payers!$A$2:$A$9,Payers!$B$2:$B$9)</f>
        <v>Medicare Part B</v>
      </c>
      <c r="W2608" s="1" t="str">
        <f t="shared" si="163"/>
        <v>2026-08</v>
      </c>
    </row>
    <row r="2609" spans="1:23">
      <c r="A2609" s="1" t="s">
        <v>4503</v>
      </c>
      <c r="B2609" s="1" t="s">
        <v>3873</v>
      </c>
      <c r="C2609" s="1" t="s">
        <v>47</v>
      </c>
      <c r="D2609" s="1" t="s">
        <v>19</v>
      </c>
      <c r="E2609" s="1" t="s">
        <v>57</v>
      </c>
      <c r="F2609">
        <v>1</v>
      </c>
      <c r="G2609" s="2">
        <v>46148</v>
      </c>
      <c r="H2609" s="2">
        <v>46152</v>
      </c>
      <c r="I2609">
        <v>214.91</v>
      </c>
      <c r="M2609" s="1" t="s">
        <v>32</v>
      </c>
      <c r="N2609" s="1" t="s">
        <v>168</v>
      </c>
      <c r="O2609" s="2">
        <v>46240</v>
      </c>
      <c r="P2609" s="2"/>
      <c r="Q2609">
        <f>_xlfn.XLOOKUP(E2609,CPT!$A$2:$A$13,CPT!$D$2:$D$13)</f>
        <v>210</v>
      </c>
      <c r="R2609" s="1">
        <f>_xlfn.XLOOKUP(C2609,Contract!$A$2:$A$9,Contract!$B$2:$B$9)</f>
        <v>0.28000000000000003</v>
      </c>
      <c r="S2609" s="1">
        <f t="shared" si="160"/>
        <v>58.8</v>
      </c>
      <c r="T2609" s="1" t="str">
        <f t="shared" si="161"/>
        <v/>
      </c>
      <c r="U2609" s="1" t="str">
        <f t="shared" si="162"/>
        <v/>
      </c>
      <c r="V2609" s="1" t="str">
        <f>_xlfn.XLOOKUP(C2609,Payers!$A$2:$A$9,Payers!$B$2:$B$9)</f>
        <v>Coastal Medicaid MCO</v>
      </c>
      <c r="W2609" s="1" t="str">
        <f t="shared" si="163"/>
        <v>2026-05</v>
      </c>
    </row>
    <row r="2610" spans="1:23">
      <c r="A2610" s="1" t="s">
        <v>4504</v>
      </c>
      <c r="B2610" s="1" t="s">
        <v>4450</v>
      </c>
      <c r="C2610" s="1" t="s">
        <v>25</v>
      </c>
      <c r="D2610" s="1" t="s">
        <v>19</v>
      </c>
      <c r="E2610" s="1" t="s">
        <v>41</v>
      </c>
      <c r="F2610">
        <v>1</v>
      </c>
      <c r="G2610" s="2">
        <v>46167</v>
      </c>
      <c r="H2610" s="2">
        <v>46173</v>
      </c>
      <c r="I2610">
        <v>36.909999999999997</v>
      </c>
      <c r="J2610">
        <v>14.02</v>
      </c>
      <c r="K2610">
        <v>14.02</v>
      </c>
      <c r="L2610">
        <v>0</v>
      </c>
      <c r="M2610" s="1" t="s">
        <v>21</v>
      </c>
      <c r="N2610" s="1" t="s">
        <v>22</v>
      </c>
      <c r="O2610" s="2">
        <v>46191</v>
      </c>
      <c r="P2610" s="2">
        <v>46191</v>
      </c>
      <c r="Q2610">
        <f>_xlfn.XLOOKUP(E2610,CPT!$A$2:$A$13,CPT!$D$2:$D$13)</f>
        <v>38</v>
      </c>
      <c r="R2610" s="1">
        <f>_xlfn.XLOOKUP(C2610,Contract!$A$2:$A$9,Contract!$B$2:$B$9)</f>
        <v>0.36</v>
      </c>
      <c r="S2610" s="1">
        <f t="shared" si="160"/>
        <v>13.68</v>
      </c>
      <c r="T2610" s="1">
        <f t="shared" si="161"/>
        <v>-0.33999999999999986</v>
      </c>
      <c r="U2610" s="1" t="str">
        <f t="shared" si="162"/>
        <v>OK</v>
      </c>
      <c r="V2610" s="1" t="str">
        <f>_xlfn.XLOOKUP(C2610,Payers!$A$2:$A$9,Payers!$B$2:$B$9)</f>
        <v>Medicare Part B</v>
      </c>
      <c r="W2610" s="1" t="str">
        <f t="shared" si="163"/>
        <v>2026-05</v>
      </c>
    </row>
    <row r="2611" spans="1:23">
      <c r="A2611" s="1" t="s">
        <v>4505</v>
      </c>
      <c r="B2611" s="1" t="s">
        <v>1093</v>
      </c>
      <c r="C2611" s="1" t="s">
        <v>52</v>
      </c>
      <c r="D2611" s="1" t="s">
        <v>26</v>
      </c>
      <c r="E2611" s="1" t="s">
        <v>88</v>
      </c>
      <c r="F2611">
        <v>1</v>
      </c>
      <c r="G2611" s="2">
        <v>46237</v>
      </c>
      <c r="H2611" s="2">
        <v>46238</v>
      </c>
      <c r="I2611">
        <v>259.62</v>
      </c>
      <c r="M2611" s="1" t="s">
        <v>32</v>
      </c>
      <c r="N2611" s="1" t="s">
        <v>33</v>
      </c>
      <c r="O2611" s="2">
        <v>46287</v>
      </c>
      <c r="P2611" s="2"/>
      <c r="Q2611">
        <f>_xlfn.XLOOKUP(E2611,CPT!$A$2:$A$13,CPT!$D$2:$D$13)</f>
        <v>260</v>
      </c>
      <c r="R2611" s="1">
        <f>_xlfn.XLOOKUP(C2611,Contract!$A$2:$A$9,Contract!$B$2:$B$9)</f>
        <v>0.47</v>
      </c>
      <c r="S2611" s="1">
        <f t="shared" si="160"/>
        <v>122.2</v>
      </c>
      <c r="T2611" s="1" t="str">
        <f t="shared" si="161"/>
        <v/>
      </c>
      <c r="U2611" s="1" t="str">
        <f t="shared" si="162"/>
        <v/>
      </c>
      <c r="V2611" s="1" t="str">
        <f>_xlfn.XLOOKUP(C2611,Payers!$A$2:$A$9,Payers!$B$2:$B$9)</f>
        <v>Keystone Commercial PPO</v>
      </c>
      <c r="W2611" s="1" t="str">
        <f t="shared" si="163"/>
        <v>2026-08</v>
      </c>
    </row>
    <row r="2612" spans="1:23">
      <c r="A2612" s="1" t="s">
        <v>4506</v>
      </c>
      <c r="B2612" s="1" t="s">
        <v>4507</v>
      </c>
      <c r="C2612" s="1" t="s">
        <v>36</v>
      </c>
      <c r="D2612" s="1" t="s">
        <v>26</v>
      </c>
      <c r="E2612" s="1" t="s">
        <v>41</v>
      </c>
      <c r="F2612">
        <v>1</v>
      </c>
      <c r="G2612" s="2">
        <v>46232</v>
      </c>
      <c r="H2612" s="2">
        <v>46240</v>
      </c>
      <c r="I2612">
        <v>38.54</v>
      </c>
      <c r="M2612" s="1" t="s">
        <v>32</v>
      </c>
      <c r="N2612" s="1" t="s">
        <v>98</v>
      </c>
      <c r="O2612" s="2">
        <v>46267</v>
      </c>
      <c r="P2612" s="2"/>
      <c r="Q2612">
        <f>_xlfn.XLOOKUP(E2612,CPT!$A$2:$A$13,CPT!$D$2:$D$13)</f>
        <v>38</v>
      </c>
      <c r="R2612" s="1">
        <f>_xlfn.XLOOKUP(C2612,Contract!$A$2:$A$9,Contract!$B$2:$B$9)</f>
        <v>0.27</v>
      </c>
      <c r="S2612" s="1">
        <f t="shared" si="160"/>
        <v>10.26</v>
      </c>
      <c r="T2612" s="1" t="str">
        <f t="shared" si="161"/>
        <v/>
      </c>
      <c r="U2612" s="1" t="str">
        <f t="shared" si="162"/>
        <v/>
      </c>
      <c r="V2612" s="1" t="str">
        <f>_xlfn.XLOOKUP(C2612,Payers!$A$2:$A$9,Payers!$B$2:$B$9)</f>
        <v>Florida Medicaid</v>
      </c>
      <c r="W2612" s="1" t="str">
        <f t="shared" si="163"/>
        <v>2026-07</v>
      </c>
    </row>
    <row r="2613" spans="1:23">
      <c r="A2613" s="1" t="s">
        <v>4508</v>
      </c>
      <c r="B2613" s="1" t="s">
        <v>4509</v>
      </c>
      <c r="C2613" s="1" t="s">
        <v>60</v>
      </c>
      <c r="D2613" s="1" t="s">
        <v>26</v>
      </c>
      <c r="E2613" s="1" t="s">
        <v>88</v>
      </c>
      <c r="F2613">
        <v>1</v>
      </c>
      <c r="G2613" s="2">
        <v>46144</v>
      </c>
      <c r="H2613" s="2">
        <v>46145</v>
      </c>
      <c r="I2613">
        <v>252.86</v>
      </c>
      <c r="J2613">
        <v>127.4</v>
      </c>
      <c r="K2613">
        <v>127.4</v>
      </c>
      <c r="L2613">
        <v>0</v>
      </c>
      <c r="M2613" s="1" t="s">
        <v>21</v>
      </c>
      <c r="N2613" s="1" t="s">
        <v>22</v>
      </c>
      <c r="O2613" s="2">
        <v>46181</v>
      </c>
      <c r="P2613" s="2">
        <v>46181</v>
      </c>
      <c r="Q2613">
        <f>_xlfn.XLOOKUP(E2613,CPT!$A$2:$A$13,CPT!$D$2:$D$13)</f>
        <v>260</v>
      </c>
      <c r="R2613" s="1">
        <f>_xlfn.XLOOKUP(C2613,Contract!$A$2:$A$9,Contract!$B$2:$B$9)</f>
        <v>0.45</v>
      </c>
      <c r="S2613" s="1">
        <f t="shared" si="160"/>
        <v>117</v>
      </c>
      <c r="T2613" s="1">
        <f t="shared" si="161"/>
        <v>-10.400000000000006</v>
      </c>
      <c r="U2613" s="1" t="str">
        <f t="shared" si="162"/>
        <v>OK</v>
      </c>
      <c r="V2613" s="1" t="str">
        <f>_xlfn.XLOOKUP(C2613,Payers!$A$2:$A$9,Payers!$B$2:$B$9)</f>
        <v>Blue Horizon Commercial</v>
      </c>
      <c r="W2613" s="1" t="str">
        <f t="shared" si="163"/>
        <v>2026-05</v>
      </c>
    </row>
    <row r="2614" spans="1:23">
      <c r="A2614" s="1" t="s">
        <v>4510</v>
      </c>
      <c r="B2614" s="1" t="s">
        <v>4511</v>
      </c>
      <c r="C2614" s="1" t="s">
        <v>60</v>
      </c>
      <c r="D2614" s="1" t="s">
        <v>19</v>
      </c>
      <c r="E2614" s="1" t="s">
        <v>88</v>
      </c>
      <c r="F2614">
        <v>1</v>
      </c>
      <c r="G2614" s="2">
        <v>45958</v>
      </c>
      <c r="H2614" s="2">
        <v>45962</v>
      </c>
      <c r="I2614">
        <v>257.12</v>
      </c>
      <c r="J2614">
        <v>124.18</v>
      </c>
      <c r="K2614">
        <v>124.18</v>
      </c>
      <c r="L2614">
        <v>0</v>
      </c>
      <c r="M2614" s="1" t="s">
        <v>21</v>
      </c>
      <c r="N2614" s="1" t="s">
        <v>22</v>
      </c>
      <c r="O2614" s="2">
        <v>45981</v>
      </c>
      <c r="P2614" s="2">
        <v>45981</v>
      </c>
      <c r="Q2614">
        <f>_xlfn.XLOOKUP(E2614,CPT!$A$2:$A$13,CPT!$D$2:$D$13)</f>
        <v>260</v>
      </c>
      <c r="R2614" s="1">
        <f>_xlfn.XLOOKUP(C2614,Contract!$A$2:$A$9,Contract!$B$2:$B$9)</f>
        <v>0.45</v>
      </c>
      <c r="S2614" s="1">
        <f t="shared" si="160"/>
        <v>117</v>
      </c>
      <c r="T2614" s="1">
        <f t="shared" si="161"/>
        <v>-7.1800000000000068</v>
      </c>
      <c r="U2614" s="1" t="str">
        <f t="shared" si="162"/>
        <v>OK</v>
      </c>
      <c r="V2614" s="1" t="str">
        <f>_xlfn.XLOOKUP(C2614,Payers!$A$2:$A$9,Payers!$B$2:$B$9)</f>
        <v>Blue Horizon Commercial</v>
      </c>
      <c r="W2614" s="1" t="str">
        <f t="shared" si="163"/>
        <v>2025-10</v>
      </c>
    </row>
    <row r="2615" spans="1:23">
      <c r="A2615" s="1" t="s">
        <v>4512</v>
      </c>
      <c r="B2615" s="1" t="s">
        <v>4513</v>
      </c>
      <c r="C2615" s="1" t="s">
        <v>76</v>
      </c>
      <c r="D2615" s="1" t="s">
        <v>30</v>
      </c>
      <c r="E2615" s="1" t="s">
        <v>31</v>
      </c>
      <c r="F2615">
        <v>1</v>
      </c>
      <c r="G2615" s="2">
        <v>46008</v>
      </c>
      <c r="H2615" s="2">
        <v>46011</v>
      </c>
      <c r="I2615">
        <v>62.72</v>
      </c>
      <c r="J2615">
        <v>30.65</v>
      </c>
      <c r="K2615">
        <v>30.65</v>
      </c>
      <c r="L2615">
        <v>0</v>
      </c>
      <c r="M2615" s="1" t="s">
        <v>21</v>
      </c>
      <c r="N2615" s="1" t="s">
        <v>22</v>
      </c>
      <c r="O2615" s="2">
        <v>46040</v>
      </c>
      <c r="P2615" s="2">
        <v>46040</v>
      </c>
      <c r="Q2615">
        <f>_xlfn.XLOOKUP(E2615,CPT!$A$2:$A$13,CPT!$D$2:$D$13)</f>
        <v>62</v>
      </c>
      <c r="R2615" s="1">
        <f>_xlfn.XLOOKUP(C2615,Contract!$A$2:$A$9,Contract!$B$2:$B$9)</f>
        <v>0.43</v>
      </c>
      <c r="S2615" s="1">
        <f t="shared" si="160"/>
        <v>26.66</v>
      </c>
      <c r="T2615" s="1">
        <f t="shared" si="161"/>
        <v>-3.9899999999999984</v>
      </c>
      <c r="U2615" s="1" t="str">
        <f t="shared" si="162"/>
        <v>OK</v>
      </c>
      <c r="V2615" s="1" t="str">
        <f>_xlfn.XLOOKUP(C2615,Payers!$A$2:$A$9,Payers!$B$2:$B$9)</f>
        <v>Summit Health Commercial</v>
      </c>
      <c r="W2615" s="1" t="str">
        <f t="shared" si="163"/>
        <v>2025-12</v>
      </c>
    </row>
    <row r="2616" spans="1:23">
      <c r="A2616" s="1" t="s">
        <v>4514</v>
      </c>
      <c r="B2616" s="1" t="s">
        <v>4515</v>
      </c>
      <c r="C2616" s="1" t="s">
        <v>60</v>
      </c>
      <c r="D2616" s="1" t="s">
        <v>30</v>
      </c>
      <c r="E2616" s="1" t="s">
        <v>20</v>
      </c>
      <c r="F2616">
        <v>1</v>
      </c>
      <c r="G2616" s="2">
        <v>46080</v>
      </c>
      <c r="H2616" s="2">
        <v>46085</v>
      </c>
      <c r="I2616">
        <v>142.9</v>
      </c>
      <c r="J2616">
        <v>57.05</v>
      </c>
      <c r="K2616">
        <v>57.05</v>
      </c>
      <c r="L2616">
        <v>0</v>
      </c>
      <c r="M2616" s="1" t="s">
        <v>21</v>
      </c>
      <c r="N2616" s="1" t="s">
        <v>22</v>
      </c>
      <c r="O2616" s="2">
        <v>46120</v>
      </c>
      <c r="P2616" s="2">
        <v>46120</v>
      </c>
      <c r="Q2616">
        <f>_xlfn.XLOOKUP(E2616,CPT!$A$2:$A$13,CPT!$D$2:$D$13)</f>
        <v>145</v>
      </c>
      <c r="R2616" s="1">
        <f>_xlfn.XLOOKUP(C2616,Contract!$A$2:$A$9,Contract!$B$2:$B$9)</f>
        <v>0.45</v>
      </c>
      <c r="S2616" s="1">
        <f t="shared" si="160"/>
        <v>65.25</v>
      </c>
      <c r="T2616" s="1">
        <f t="shared" si="161"/>
        <v>8.2000000000000028</v>
      </c>
      <c r="U2616" s="1" t="str">
        <f t="shared" si="162"/>
        <v>Underpaid</v>
      </c>
      <c r="V2616" s="1" t="str">
        <f>_xlfn.XLOOKUP(C2616,Payers!$A$2:$A$9,Payers!$B$2:$B$9)</f>
        <v>Blue Horizon Commercial</v>
      </c>
      <c r="W2616" s="1" t="str">
        <f t="shared" si="163"/>
        <v>2026-02</v>
      </c>
    </row>
    <row r="2617" spans="1:23">
      <c r="A2617" s="1" t="s">
        <v>4516</v>
      </c>
      <c r="B2617" s="1" t="s">
        <v>4517</v>
      </c>
      <c r="C2617" s="1" t="s">
        <v>25</v>
      </c>
      <c r="D2617" s="1" t="s">
        <v>19</v>
      </c>
      <c r="E2617" s="1" t="s">
        <v>20</v>
      </c>
      <c r="F2617">
        <v>1</v>
      </c>
      <c r="G2617" s="2">
        <v>46066</v>
      </c>
      <c r="H2617" s="2">
        <v>46071</v>
      </c>
      <c r="I2617">
        <v>144.47999999999999</v>
      </c>
      <c r="J2617">
        <v>57.14</v>
      </c>
      <c r="K2617">
        <v>51.43</v>
      </c>
      <c r="L2617">
        <v>5.71</v>
      </c>
      <c r="M2617" s="1" t="s">
        <v>21</v>
      </c>
      <c r="N2617" s="1" t="s">
        <v>22</v>
      </c>
      <c r="O2617" s="2">
        <v>46084</v>
      </c>
      <c r="P2617" s="2">
        <v>46084</v>
      </c>
      <c r="Q2617">
        <f>_xlfn.XLOOKUP(E2617,CPT!$A$2:$A$13,CPT!$D$2:$D$13)</f>
        <v>145</v>
      </c>
      <c r="R2617" s="1">
        <f>_xlfn.XLOOKUP(C2617,Contract!$A$2:$A$9,Contract!$B$2:$B$9)</f>
        <v>0.36</v>
      </c>
      <c r="S2617" s="1">
        <f t="shared" si="160"/>
        <v>52.2</v>
      </c>
      <c r="T2617" s="1">
        <f t="shared" si="161"/>
        <v>-4.9399999999999977</v>
      </c>
      <c r="U2617" s="1" t="str">
        <f t="shared" si="162"/>
        <v>OK</v>
      </c>
      <c r="V2617" s="1" t="str">
        <f>_xlfn.XLOOKUP(C2617,Payers!$A$2:$A$9,Payers!$B$2:$B$9)</f>
        <v>Medicare Part B</v>
      </c>
      <c r="W2617" s="1" t="str">
        <f t="shared" si="163"/>
        <v>2026-02</v>
      </c>
    </row>
    <row r="2618" spans="1:23">
      <c r="A2618" s="1" t="s">
        <v>4518</v>
      </c>
      <c r="B2618" s="1" t="s">
        <v>428</v>
      </c>
      <c r="C2618" s="1" t="s">
        <v>52</v>
      </c>
      <c r="D2618" s="1" t="s">
        <v>19</v>
      </c>
      <c r="E2618" s="1" t="s">
        <v>57</v>
      </c>
      <c r="F2618">
        <v>1</v>
      </c>
      <c r="G2618" s="2">
        <v>46169</v>
      </c>
      <c r="H2618" s="2">
        <v>46172</v>
      </c>
      <c r="I2618">
        <v>212.46</v>
      </c>
      <c r="J2618">
        <v>101.52</v>
      </c>
      <c r="K2618">
        <v>91.37</v>
      </c>
      <c r="L2618">
        <v>10.15</v>
      </c>
      <c r="M2618" s="1" t="s">
        <v>21</v>
      </c>
      <c r="N2618" s="1" t="s">
        <v>22</v>
      </c>
      <c r="O2618" s="2">
        <v>46218</v>
      </c>
      <c r="P2618" s="2">
        <v>46218</v>
      </c>
      <c r="Q2618">
        <f>_xlfn.XLOOKUP(E2618,CPT!$A$2:$A$13,CPT!$D$2:$D$13)</f>
        <v>210</v>
      </c>
      <c r="R2618" s="1">
        <f>_xlfn.XLOOKUP(C2618,Contract!$A$2:$A$9,Contract!$B$2:$B$9)</f>
        <v>0.47</v>
      </c>
      <c r="S2618" s="1">
        <f t="shared" si="160"/>
        <v>98.7</v>
      </c>
      <c r="T2618" s="1">
        <f t="shared" si="161"/>
        <v>-2.8199999999999932</v>
      </c>
      <c r="U2618" s="1" t="str">
        <f t="shared" si="162"/>
        <v>OK</v>
      </c>
      <c r="V2618" s="1" t="str">
        <f>_xlfn.XLOOKUP(C2618,Payers!$A$2:$A$9,Payers!$B$2:$B$9)</f>
        <v>Keystone Commercial PPO</v>
      </c>
      <c r="W2618" s="1" t="str">
        <f t="shared" si="163"/>
        <v>2026-05</v>
      </c>
    </row>
    <row r="2619" spans="1:23">
      <c r="A2619" s="1" t="s">
        <v>4519</v>
      </c>
      <c r="B2619" s="1" t="s">
        <v>4520</v>
      </c>
      <c r="C2619" s="1" t="s">
        <v>52</v>
      </c>
      <c r="D2619" s="1" t="s">
        <v>26</v>
      </c>
      <c r="E2619" s="1" t="s">
        <v>113</v>
      </c>
      <c r="F2619">
        <v>1</v>
      </c>
      <c r="G2619" s="2">
        <v>45958</v>
      </c>
      <c r="H2619" s="2">
        <v>45959</v>
      </c>
      <c r="I2619">
        <v>1081.1199999999999</v>
      </c>
      <c r="J2619">
        <v>513.04999999999995</v>
      </c>
      <c r="K2619">
        <v>410.44</v>
      </c>
      <c r="L2619">
        <v>102.61</v>
      </c>
      <c r="M2619" s="1" t="s">
        <v>21</v>
      </c>
      <c r="N2619" s="1" t="s">
        <v>22</v>
      </c>
      <c r="O2619" s="2">
        <v>46004</v>
      </c>
      <c r="P2619" s="2">
        <v>46004</v>
      </c>
      <c r="Q2619">
        <f>_xlfn.XLOOKUP(E2619,CPT!$A$2:$A$13,CPT!$D$2:$D$13)</f>
        <v>1050</v>
      </c>
      <c r="R2619" s="1">
        <f>_xlfn.XLOOKUP(C2619,Contract!$A$2:$A$9,Contract!$B$2:$B$9)</f>
        <v>0.47</v>
      </c>
      <c r="S2619" s="1">
        <f t="shared" si="160"/>
        <v>493.5</v>
      </c>
      <c r="T2619" s="1">
        <f t="shared" si="161"/>
        <v>-19.549999999999955</v>
      </c>
      <c r="U2619" s="1" t="str">
        <f t="shared" si="162"/>
        <v>OK</v>
      </c>
      <c r="V2619" s="1" t="str">
        <f>_xlfn.XLOOKUP(C2619,Payers!$A$2:$A$9,Payers!$B$2:$B$9)</f>
        <v>Keystone Commercial PPO</v>
      </c>
      <c r="W2619" s="1" t="str">
        <f t="shared" si="163"/>
        <v>2025-10</v>
      </c>
    </row>
    <row r="2620" spans="1:23">
      <c r="A2620" s="1" t="s">
        <v>4521</v>
      </c>
      <c r="B2620" s="1" t="s">
        <v>4151</v>
      </c>
      <c r="C2620" s="1" t="s">
        <v>76</v>
      </c>
      <c r="D2620" s="1" t="s">
        <v>19</v>
      </c>
      <c r="E2620" s="1" t="s">
        <v>57</v>
      </c>
      <c r="F2620">
        <v>1</v>
      </c>
      <c r="G2620" s="2">
        <v>45962</v>
      </c>
      <c r="H2620" s="2">
        <v>45963</v>
      </c>
      <c r="I2620">
        <v>213.72</v>
      </c>
      <c r="J2620">
        <v>81.319999999999993</v>
      </c>
      <c r="K2620">
        <v>65.06</v>
      </c>
      <c r="L2620">
        <v>16.260000000000002</v>
      </c>
      <c r="M2620" s="1" t="s">
        <v>21</v>
      </c>
      <c r="N2620" s="1" t="s">
        <v>22</v>
      </c>
      <c r="O2620" s="2">
        <v>45982</v>
      </c>
      <c r="P2620" s="2">
        <v>45982</v>
      </c>
      <c r="Q2620">
        <f>_xlfn.XLOOKUP(E2620,CPT!$A$2:$A$13,CPT!$D$2:$D$13)</f>
        <v>210</v>
      </c>
      <c r="R2620" s="1">
        <f>_xlfn.XLOOKUP(C2620,Contract!$A$2:$A$9,Contract!$B$2:$B$9)</f>
        <v>0.43</v>
      </c>
      <c r="S2620" s="1">
        <f t="shared" si="160"/>
        <v>90.3</v>
      </c>
      <c r="T2620" s="1">
        <f t="shared" si="161"/>
        <v>8.980000000000004</v>
      </c>
      <c r="U2620" s="1" t="str">
        <f t="shared" si="162"/>
        <v>Underpaid</v>
      </c>
      <c r="V2620" s="1" t="str">
        <f>_xlfn.XLOOKUP(C2620,Payers!$A$2:$A$9,Payers!$B$2:$B$9)</f>
        <v>Summit Health Commercial</v>
      </c>
      <c r="W2620" s="1" t="str">
        <f t="shared" si="163"/>
        <v>2025-11</v>
      </c>
    </row>
    <row r="2621" spans="1:23">
      <c r="A2621" s="1" t="s">
        <v>4522</v>
      </c>
      <c r="B2621" s="1" t="s">
        <v>4523</v>
      </c>
      <c r="C2621" s="1" t="s">
        <v>60</v>
      </c>
      <c r="D2621" s="1" t="s">
        <v>26</v>
      </c>
      <c r="E2621" s="1" t="s">
        <v>88</v>
      </c>
      <c r="F2621">
        <v>1</v>
      </c>
      <c r="G2621" s="2">
        <v>46031</v>
      </c>
      <c r="H2621" s="2">
        <v>46032</v>
      </c>
      <c r="I2621">
        <v>265.7</v>
      </c>
      <c r="J2621">
        <v>116.75</v>
      </c>
      <c r="K2621">
        <v>105.07</v>
      </c>
      <c r="L2621">
        <v>11.68</v>
      </c>
      <c r="M2621" s="1" t="s">
        <v>21</v>
      </c>
      <c r="N2621" s="1" t="s">
        <v>22</v>
      </c>
      <c r="O2621" s="2">
        <v>46067</v>
      </c>
      <c r="P2621" s="2">
        <v>46067</v>
      </c>
      <c r="Q2621">
        <f>_xlfn.XLOOKUP(E2621,CPT!$A$2:$A$13,CPT!$D$2:$D$13)</f>
        <v>260</v>
      </c>
      <c r="R2621" s="1">
        <f>_xlfn.XLOOKUP(C2621,Contract!$A$2:$A$9,Contract!$B$2:$B$9)</f>
        <v>0.45</v>
      </c>
      <c r="S2621" s="1">
        <f t="shared" si="160"/>
        <v>117</v>
      </c>
      <c r="T2621" s="1">
        <f t="shared" si="161"/>
        <v>0.25</v>
      </c>
      <c r="U2621" s="1" t="str">
        <f t="shared" si="162"/>
        <v>OK</v>
      </c>
      <c r="V2621" s="1" t="str">
        <f>_xlfn.XLOOKUP(C2621,Payers!$A$2:$A$9,Payers!$B$2:$B$9)</f>
        <v>Blue Horizon Commercial</v>
      </c>
      <c r="W2621" s="1" t="str">
        <f t="shared" si="163"/>
        <v>2026-01</v>
      </c>
    </row>
    <row r="2622" spans="1:23">
      <c r="A2622" s="1" t="s">
        <v>4524</v>
      </c>
      <c r="B2622" s="1" t="s">
        <v>4525</v>
      </c>
      <c r="C2622" s="1" t="s">
        <v>25</v>
      </c>
      <c r="D2622" s="1" t="s">
        <v>37</v>
      </c>
      <c r="E2622" s="1" t="s">
        <v>48</v>
      </c>
      <c r="F2622">
        <v>1</v>
      </c>
      <c r="G2622" s="2">
        <v>45936</v>
      </c>
      <c r="H2622" s="2">
        <v>45937</v>
      </c>
      <c r="I2622">
        <v>427.43</v>
      </c>
      <c r="J2622">
        <v>160.63999999999999</v>
      </c>
      <c r="K2622">
        <v>144.58000000000001</v>
      </c>
      <c r="L2622">
        <v>16.059999999999999</v>
      </c>
      <c r="M2622" s="1" t="s">
        <v>21</v>
      </c>
      <c r="N2622" s="1" t="s">
        <v>22</v>
      </c>
      <c r="O2622" s="2">
        <v>45942</v>
      </c>
      <c r="P2622" s="2">
        <v>45942</v>
      </c>
      <c r="Q2622">
        <f>_xlfn.XLOOKUP(E2622,CPT!$A$2:$A$13,CPT!$D$2:$D$13)</f>
        <v>420</v>
      </c>
      <c r="R2622" s="1">
        <f>_xlfn.XLOOKUP(C2622,Contract!$A$2:$A$9,Contract!$B$2:$B$9)</f>
        <v>0.36</v>
      </c>
      <c r="S2622" s="1">
        <f t="shared" si="160"/>
        <v>151.19999999999999</v>
      </c>
      <c r="T2622" s="1">
        <f t="shared" si="161"/>
        <v>-9.4399999999999977</v>
      </c>
      <c r="U2622" s="1" t="str">
        <f t="shared" si="162"/>
        <v>OK</v>
      </c>
      <c r="V2622" s="1" t="str">
        <f>_xlfn.XLOOKUP(C2622,Payers!$A$2:$A$9,Payers!$B$2:$B$9)</f>
        <v>Medicare Part B</v>
      </c>
      <c r="W2622" s="1" t="str">
        <f t="shared" si="163"/>
        <v>2025-10</v>
      </c>
    </row>
    <row r="2623" spans="1:23">
      <c r="A2623" s="1" t="s">
        <v>4526</v>
      </c>
      <c r="B2623" s="1" t="s">
        <v>2067</v>
      </c>
      <c r="C2623" s="1" t="s">
        <v>25</v>
      </c>
      <c r="D2623" s="1" t="s">
        <v>26</v>
      </c>
      <c r="E2623" s="1" t="s">
        <v>113</v>
      </c>
      <c r="F2623">
        <v>1</v>
      </c>
      <c r="G2623" s="2">
        <v>46028</v>
      </c>
      <c r="H2623" s="2">
        <v>46037</v>
      </c>
      <c r="I2623">
        <v>1075.05</v>
      </c>
      <c r="J2623">
        <v>446.82</v>
      </c>
      <c r="K2623">
        <v>446.82</v>
      </c>
      <c r="L2623">
        <v>0</v>
      </c>
      <c r="M2623" s="1" t="s">
        <v>21</v>
      </c>
      <c r="N2623" s="1" t="s">
        <v>22</v>
      </c>
      <c r="O2623" s="2">
        <v>46069</v>
      </c>
      <c r="P2623" s="2">
        <v>46069</v>
      </c>
      <c r="Q2623">
        <f>_xlfn.XLOOKUP(E2623,CPT!$A$2:$A$13,CPT!$D$2:$D$13)</f>
        <v>1050</v>
      </c>
      <c r="R2623" s="1">
        <f>_xlfn.XLOOKUP(C2623,Contract!$A$2:$A$9,Contract!$B$2:$B$9)</f>
        <v>0.36</v>
      </c>
      <c r="S2623" s="1">
        <f t="shared" si="160"/>
        <v>378</v>
      </c>
      <c r="T2623" s="1">
        <f t="shared" si="161"/>
        <v>-68.819999999999993</v>
      </c>
      <c r="U2623" s="1" t="str">
        <f t="shared" si="162"/>
        <v>OK</v>
      </c>
      <c r="V2623" s="1" t="str">
        <f>_xlfn.XLOOKUP(C2623,Payers!$A$2:$A$9,Payers!$B$2:$B$9)</f>
        <v>Medicare Part B</v>
      </c>
      <c r="W2623" s="1" t="str">
        <f t="shared" si="163"/>
        <v>2026-01</v>
      </c>
    </row>
    <row r="2624" spans="1:23">
      <c r="A2624" s="1" t="s">
        <v>4527</v>
      </c>
      <c r="B2624" s="1" t="s">
        <v>2148</v>
      </c>
      <c r="C2624" s="1" t="s">
        <v>60</v>
      </c>
      <c r="D2624" s="1" t="s">
        <v>37</v>
      </c>
      <c r="E2624" s="1" t="s">
        <v>38</v>
      </c>
      <c r="F2624">
        <v>20</v>
      </c>
      <c r="G2624" s="2">
        <v>46275</v>
      </c>
      <c r="H2624" s="2">
        <v>46278</v>
      </c>
      <c r="I2624">
        <v>28274.78</v>
      </c>
      <c r="M2624" s="1" t="s">
        <v>69</v>
      </c>
      <c r="N2624" s="1" t="s">
        <v>22</v>
      </c>
      <c r="O2624" s="2"/>
      <c r="P2624" s="2"/>
      <c r="Q2624">
        <f>_xlfn.XLOOKUP(E2624,CPT!$A$2:$A$13,CPT!$D$2:$D$13)</f>
        <v>1450</v>
      </c>
      <c r="R2624" s="1">
        <f>_xlfn.XLOOKUP(C2624,Contract!$A$2:$A$9,Contract!$B$2:$B$9)</f>
        <v>0.45</v>
      </c>
      <c r="S2624" s="1">
        <f t="shared" si="160"/>
        <v>13050</v>
      </c>
      <c r="T2624" s="1" t="str">
        <f t="shared" si="161"/>
        <v/>
      </c>
      <c r="U2624" s="1" t="str">
        <f t="shared" si="162"/>
        <v/>
      </c>
      <c r="V2624" s="1" t="str">
        <f>_xlfn.XLOOKUP(C2624,Payers!$A$2:$A$9,Payers!$B$2:$B$9)</f>
        <v>Blue Horizon Commercial</v>
      </c>
      <c r="W2624" s="1" t="str">
        <f t="shared" si="163"/>
        <v>2026-09</v>
      </c>
    </row>
    <row r="2625" spans="1:23">
      <c r="A2625" s="1" t="s">
        <v>4528</v>
      </c>
      <c r="B2625" s="1" t="s">
        <v>1719</v>
      </c>
      <c r="C2625" s="1" t="s">
        <v>60</v>
      </c>
      <c r="D2625" s="1" t="s">
        <v>26</v>
      </c>
      <c r="E2625" s="1" t="s">
        <v>113</v>
      </c>
      <c r="F2625">
        <v>1</v>
      </c>
      <c r="G2625" s="2">
        <v>46290</v>
      </c>
      <c r="H2625" s="2">
        <v>46291</v>
      </c>
      <c r="I2625">
        <v>1025.97</v>
      </c>
      <c r="M2625" s="1" t="s">
        <v>69</v>
      </c>
      <c r="N2625" s="1" t="s">
        <v>22</v>
      </c>
      <c r="O2625" s="2"/>
      <c r="P2625" s="2"/>
      <c r="Q2625">
        <f>_xlfn.XLOOKUP(E2625,CPT!$A$2:$A$13,CPT!$D$2:$D$13)</f>
        <v>1050</v>
      </c>
      <c r="R2625" s="1">
        <f>_xlfn.XLOOKUP(C2625,Contract!$A$2:$A$9,Contract!$B$2:$B$9)</f>
        <v>0.45</v>
      </c>
      <c r="S2625" s="1">
        <f t="shared" si="160"/>
        <v>472.5</v>
      </c>
      <c r="T2625" s="1" t="str">
        <f t="shared" si="161"/>
        <v/>
      </c>
      <c r="U2625" s="1" t="str">
        <f t="shared" si="162"/>
        <v/>
      </c>
      <c r="V2625" s="1" t="str">
        <f>_xlfn.XLOOKUP(C2625,Payers!$A$2:$A$9,Payers!$B$2:$B$9)</f>
        <v>Blue Horizon Commercial</v>
      </c>
      <c r="W2625" s="1" t="str">
        <f t="shared" si="163"/>
        <v>2026-09</v>
      </c>
    </row>
    <row r="2626" spans="1:23">
      <c r="A2626" s="1" t="s">
        <v>4529</v>
      </c>
      <c r="B2626" s="1" t="s">
        <v>4530</v>
      </c>
      <c r="C2626" s="1" t="s">
        <v>76</v>
      </c>
      <c r="D2626" s="1" t="s">
        <v>19</v>
      </c>
      <c r="E2626" s="1" t="s">
        <v>20</v>
      </c>
      <c r="F2626">
        <v>1</v>
      </c>
      <c r="G2626" s="2">
        <v>45951</v>
      </c>
      <c r="H2626" s="2">
        <v>45956</v>
      </c>
      <c r="I2626">
        <v>144.82</v>
      </c>
      <c r="J2626">
        <v>53.34</v>
      </c>
      <c r="K2626">
        <v>53.34</v>
      </c>
      <c r="L2626">
        <v>0</v>
      </c>
      <c r="M2626" s="1" t="s">
        <v>21</v>
      </c>
      <c r="N2626" s="1" t="s">
        <v>22</v>
      </c>
      <c r="O2626" s="2">
        <v>45989</v>
      </c>
      <c r="P2626" s="2">
        <v>45989</v>
      </c>
      <c r="Q2626">
        <f>_xlfn.XLOOKUP(E2626,CPT!$A$2:$A$13,CPT!$D$2:$D$13)</f>
        <v>145</v>
      </c>
      <c r="R2626" s="1">
        <f>_xlfn.XLOOKUP(C2626,Contract!$A$2:$A$9,Contract!$B$2:$B$9)</f>
        <v>0.43</v>
      </c>
      <c r="S2626" s="1">
        <f t="shared" ref="S2626:S2689" si="164">ROUND(Q2626*F2626*R2626,2)</f>
        <v>62.35</v>
      </c>
      <c r="T2626" s="1">
        <f t="shared" ref="T2626:T2689" si="165">IF(M2626="Paid",S2626-J2626,"")</f>
        <v>9.009999999999998</v>
      </c>
      <c r="U2626" s="1" t="str">
        <f t="shared" ref="U2626:U2689" si="166">IF(M2626&lt;&gt;"Paid","",IF(T2626&gt;S2626*0.05,"Underpaid","OK"))</f>
        <v>Underpaid</v>
      </c>
      <c r="V2626" s="1" t="str">
        <f>_xlfn.XLOOKUP(C2626,Payers!$A$2:$A$9,Payers!$B$2:$B$9)</f>
        <v>Summit Health Commercial</v>
      </c>
      <c r="W2626" s="1" t="str">
        <f t="shared" ref="W2626:W2689" si="167">TEXT(G2626,"yyyy-mm")</f>
        <v>2025-10</v>
      </c>
    </row>
    <row r="2627" spans="1:23">
      <c r="A2627" s="1" t="s">
        <v>4531</v>
      </c>
      <c r="B2627" s="1" t="s">
        <v>4532</v>
      </c>
      <c r="C2627" s="1" t="s">
        <v>18</v>
      </c>
      <c r="D2627" s="1" t="s">
        <v>19</v>
      </c>
      <c r="E2627" s="1" t="s">
        <v>88</v>
      </c>
      <c r="F2627">
        <v>1</v>
      </c>
      <c r="G2627" s="2">
        <v>46236</v>
      </c>
      <c r="H2627" s="2">
        <v>46241</v>
      </c>
      <c r="I2627">
        <v>258.12</v>
      </c>
      <c r="J2627">
        <v>92.39</v>
      </c>
      <c r="K2627">
        <v>92.39</v>
      </c>
      <c r="L2627">
        <v>0</v>
      </c>
      <c r="M2627" s="1" t="s">
        <v>21</v>
      </c>
      <c r="N2627" s="1" t="s">
        <v>22</v>
      </c>
      <c r="O2627" s="2">
        <v>46288</v>
      </c>
      <c r="P2627" s="2">
        <v>46288</v>
      </c>
      <c r="Q2627">
        <f>_xlfn.XLOOKUP(E2627,CPT!$A$2:$A$13,CPT!$D$2:$D$13)</f>
        <v>260</v>
      </c>
      <c r="R2627" s="1">
        <f>_xlfn.XLOOKUP(C2627,Contract!$A$2:$A$9,Contract!$B$2:$B$9)</f>
        <v>0.38</v>
      </c>
      <c r="S2627" s="1">
        <f t="shared" si="164"/>
        <v>98.8</v>
      </c>
      <c r="T2627" s="1">
        <f t="shared" si="165"/>
        <v>6.4099999999999966</v>
      </c>
      <c r="U2627" s="1" t="str">
        <f t="shared" si="166"/>
        <v>Underpaid</v>
      </c>
      <c r="V2627" s="1" t="str">
        <f>_xlfn.XLOOKUP(C2627,Payers!$A$2:$A$9,Payers!$B$2:$B$9)</f>
        <v>Sunshine Medicare Advantage</v>
      </c>
      <c r="W2627" s="1" t="str">
        <f t="shared" si="167"/>
        <v>2026-08</v>
      </c>
    </row>
    <row r="2628" spans="1:23">
      <c r="A2628" s="1" t="s">
        <v>4533</v>
      </c>
      <c r="B2628" s="1" t="s">
        <v>4534</v>
      </c>
      <c r="C2628" s="1" t="s">
        <v>60</v>
      </c>
      <c r="D2628" s="1" t="s">
        <v>26</v>
      </c>
      <c r="E2628" s="1" t="s">
        <v>88</v>
      </c>
      <c r="F2628">
        <v>1</v>
      </c>
      <c r="G2628" s="2">
        <v>46223</v>
      </c>
      <c r="H2628" s="2">
        <v>46224</v>
      </c>
      <c r="I2628">
        <v>266.63</v>
      </c>
      <c r="J2628">
        <v>131.75</v>
      </c>
      <c r="K2628">
        <v>131.75</v>
      </c>
      <c r="L2628">
        <v>0</v>
      </c>
      <c r="M2628" s="1" t="s">
        <v>21</v>
      </c>
      <c r="N2628" s="1" t="s">
        <v>22</v>
      </c>
      <c r="O2628" s="2">
        <v>46238</v>
      </c>
      <c r="P2628" s="2">
        <v>46238</v>
      </c>
      <c r="Q2628">
        <f>_xlfn.XLOOKUP(E2628,CPT!$A$2:$A$13,CPT!$D$2:$D$13)</f>
        <v>260</v>
      </c>
      <c r="R2628" s="1">
        <f>_xlfn.XLOOKUP(C2628,Contract!$A$2:$A$9,Contract!$B$2:$B$9)</f>
        <v>0.45</v>
      </c>
      <c r="S2628" s="1">
        <f t="shared" si="164"/>
        <v>117</v>
      </c>
      <c r="T2628" s="1">
        <f t="shared" si="165"/>
        <v>-14.75</v>
      </c>
      <c r="U2628" s="1" t="str">
        <f t="shared" si="166"/>
        <v>OK</v>
      </c>
      <c r="V2628" s="1" t="str">
        <f>_xlfn.XLOOKUP(C2628,Payers!$A$2:$A$9,Payers!$B$2:$B$9)</f>
        <v>Blue Horizon Commercial</v>
      </c>
      <c r="W2628" s="1" t="str">
        <f t="shared" si="167"/>
        <v>2026-07</v>
      </c>
    </row>
    <row r="2629" spans="1:23">
      <c r="A2629" s="1" t="s">
        <v>4535</v>
      </c>
      <c r="B2629" s="1" t="s">
        <v>4536</v>
      </c>
      <c r="C2629" s="1" t="s">
        <v>60</v>
      </c>
      <c r="D2629" s="1" t="s">
        <v>26</v>
      </c>
      <c r="E2629" s="1" t="s">
        <v>185</v>
      </c>
      <c r="F2629">
        <v>1</v>
      </c>
      <c r="G2629" s="2">
        <v>46109</v>
      </c>
      <c r="H2629" s="2">
        <v>46113</v>
      </c>
      <c r="I2629">
        <v>1161.3900000000001</v>
      </c>
      <c r="M2629" s="1" t="s">
        <v>32</v>
      </c>
      <c r="N2629" s="1" t="s">
        <v>33</v>
      </c>
      <c r="O2629" s="2">
        <v>46141</v>
      </c>
      <c r="P2629" s="2"/>
      <c r="Q2629">
        <f>_xlfn.XLOOKUP(E2629,CPT!$A$2:$A$13,CPT!$D$2:$D$13)</f>
        <v>1150</v>
      </c>
      <c r="R2629" s="1">
        <f>_xlfn.XLOOKUP(C2629,Contract!$A$2:$A$9,Contract!$B$2:$B$9)</f>
        <v>0.45</v>
      </c>
      <c r="S2629" s="1">
        <f t="shared" si="164"/>
        <v>517.5</v>
      </c>
      <c r="T2629" s="1" t="str">
        <f t="shared" si="165"/>
        <v/>
      </c>
      <c r="U2629" s="1" t="str">
        <f t="shared" si="166"/>
        <v/>
      </c>
      <c r="V2629" s="1" t="str">
        <f>_xlfn.XLOOKUP(C2629,Payers!$A$2:$A$9,Payers!$B$2:$B$9)</f>
        <v>Blue Horizon Commercial</v>
      </c>
      <c r="W2629" s="1" t="str">
        <f t="shared" si="167"/>
        <v>2026-03</v>
      </c>
    </row>
    <row r="2630" spans="1:23">
      <c r="A2630" s="1" t="s">
        <v>4537</v>
      </c>
      <c r="B2630" s="1" t="s">
        <v>4538</v>
      </c>
      <c r="C2630" s="1" t="s">
        <v>60</v>
      </c>
      <c r="D2630" s="1" t="s">
        <v>26</v>
      </c>
      <c r="E2630" s="1" t="s">
        <v>88</v>
      </c>
      <c r="F2630">
        <v>1</v>
      </c>
      <c r="G2630" s="2">
        <v>46276</v>
      </c>
      <c r="H2630" s="2">
        <v>46286</v>
      </c>
      <c r="I2630">
        <v>254.89</v>
      </c>
      <c r="M2630" s="1" t="s">
        <v>69</v>
      </c>
      <c r="N2630" s="1" t="s">
        <v>22</v>
      </c>
      <c r="O2630" s="2"/>
      <c r="P2630" s="2"/>
      <c r="Q2630">
        <f>_xlfn.XLOOKUP(E2630,CPT!$A$2:$A$13,CPT!$D$2:$D$13)</f>
        <v>260</v>
      </c>
      <c r="R2630" s="1">
        <f>_xlfn.XLOOKUP(C2630,Contract!$A$2:$A$9,Contract!$B$2:$B$9)</f>
        <v>0.45</v>
      </c>
      <c r="S2630" s="1">
        <f t="shared" si="164"/>
        <v>117</v>
      </c>
      <c r="T2630" s="1" t="str">
        <f t="shared" si="165"/>
        <v/>
      </c>
      <c r="U2630" s="1" t="str">
        <f t="shared" si="166"/>
        <v/>
      </c>
      <c r="V2630" s="1" t="str">
        <f>_xlfn.XLOOKUP(C2630,Payers!$A$2:$A$9,Payers!$B$2:$B$9)</f>
        <v>Blue Horizon Commercial</v>
      </c>
      <c r="W2630" s="1" t="str">
        <f t="shared" si="167"/>
        <v>2026-09</v>
      </c>
    </row>
    <row r="2631" spans="1:23">
      <c r="A2631" s="1" t="s">
        <v>4539</v>
      </c>
      <c r="B2631" s="1" t="s">
        <v>784</v>
      </c>
      <c r="C2631" s="1" t="s">
        <v>25</v>
      </c>
      <c r="D2631" s="1" t="s">
        <v>19</v>
      </c>
      <c r="E2631" s="1" t="s">
        <v>88</v>
      </c>
      <c r="F2631">
        <v>1</v>
      </c>
      <c r="G2631" s="2">
        <v>46237</v>
      </c>
      <c r="H2631" s="2">
        <v>46241</v>
      </c>
      <c r="I2631">
        <v>258.79000000000002</v>
      </c>
      <c r="J2631">
        <v>91.75</v>
      </c>
      <c r="K2631">
        <v>82.57</v>
      </c>
      <c r="L2631">
        <v>9.18</v>
      </c>
      <c r="M2631" s="1" t="s">
        <v>21</v>
      </c>
      <c r="N2631" s="1" t="s">
        <v>22</v>
      </c>
      <c r="O2631" s="2">
        <v>46253</v>
      </c>
      <c r="P2631" s="2">
        <v>46253</v>
      </c>
      <c r="Q2631">
        <f>_xlfn.XLOOKUP(E2631,CPT!$A$2:$A$13,CPT!$D$2:$D$13)</f>
        <v>260</v>
      </c>
      <c r="R2631" s="1">
        <f>_xlfn.XLOOKUP(C2631,Contract!$A$2:$A$9,Contract!$B$2:$B$9)</f>
        <v>0.36</v>
      </c>
      <c r="S2631" s="1">
        <f t="shared" si="164"/>
        <v>93.6</v>
      </c>
      <c r="T2631" s="1">
        <f t="shared" si="165"/>
        <v>1.8499999999999943</v>
      </c>
      <c r="U2631" s="1" t="str">
        <f t="shared" si="166"/>
        <v>OK</v>
      </c>
      <c r="V2631" s="1" t="str">
        <f>_xlfn.XLOOKUP(C2631,Payers!$A$2:$A$9,Payers!$B$2:$B$9)</f>
        <v>Medicare Part B</v>
      </c>
      <c r="W2631" s="1" t="str">
        <f t="shared" si="167"/>
        <v>2026-08</v>
      </c>
    </row>
    <row r="2632" spans="1:23">
      <c r="A2632" s="1" t="s">
        <v>4540</v>
      </c>
      <c r="B2632" s="1" t="s">
        <v>2719</v>
      </c>
      <c r="C2632" s="1" t="s">
        <v>76</v>
      </c>
      <c r="D2632" s="1" t="s">
        <v>30</v>
      </c>
      <c r="E2632" s="1" t="s">
        <v>31</v>
      </c>
      <c r="F2632">
        <v>4</v>
      </c>
      <c r="G2632" s="2">
        <v>46127</v>
      </c>
      <c r="H2632" s="2">
        <v>46131</v>
      </c>
      <c r="I2632">
        <v>250.65</v>
      </c>
      <c r="J2632">
        <v>96.01</v>
      </c>
      <c r="K2632">
        <v>96.01</v>
      </c>
      <c r="L2632">
        <v>0</v>
      </c>
      <c r="M2632" s="1" t="s">
        <v>21</v>
      </c>
      <c r="N2632" s="1" t="s">
        <v>22</v>
      </c>
      <c r="O2632" s="2">
        <v>46161</v>
      </c>
      <c r="P2632" s="2">
        <v>46161</v>
      </c>
      <c r="Q2632">
        <f>_xlfn.XLOOKUP(E2632,CPT!$A$2:$A$13,CPT!$D$2:$D$13)</f>
        <v>62</v>
      </c>
      <c r="R2632" s="1">
        <f>_xlfn.XLOOKUP(C2632,Contract!$A$2:$A$9,Contract!$B$2:$B$9)</f>
        <v>0.43</v>
      </c>
      <c r="S2632" s="1">
        <f t="shared" si="164"/>
        <v>106.64</v>
      </c>
      <c r="T2632" s="1">
        <f t="shared" si="165"/>
        <v>10.629999999999995</v>
      </c>
      <c r="U2632" s="1" t="str">
        <f t="shared" si="166"/>
        <v>Underpaid</v>
      </c>
      <c r="V2632" s="1" t="str">
        <f>_xlfn.XLOOKUP(C2632,Payers!$A$2:$A$9,Payers!$B$2:$B$9)</f>
        <v>Summit Health Commercial</v>
      </c>
      <c r="W2632" s="1" t="str">
        <f t="shared" si="167"/>
        <v>2026-04</v>
      </c>
    </row>
    <row r="2633" spans="1:23">
      <c r="A2633" s="1" t="s">
        <v>4541</v>
      </c>
      <c r="B2633" s="1" t="s">
        <v>2253</v>
      </c>
      <c r="C2633" s="1" t="s">
        <v>52</v>
      </c>
      <c r="D2633" s="1" t="s">
        <v>37</v>
      </c>
      <c r="E2633" s="1" t="s">
        <v>38</v>
      </c>
      <c r="F2633">
        <v>20</v>
      </c>
      <c r="G2633" s="2">
        <v>45951</v>
      </c>
      <c r="H2633" s="2">
        <v>45961</v>
      </c>
      <c r="I2633">
        <v>28291.67</v>
      </c>
      <c r="M2633" s="1" t="s">
        <v>32</v>
      </c>
      <c r="N2633" s="1" t="s">
        <v>49</v>
      </c>
      <c r="O2633" s="2">
        <v>46019</v>
      </c>
      <c r="P2633" s="2"/>
      <c r="Q2633">
        <f>_xlfn.XLOOKUP(E2633,CPT!$A$2:$A$13,CPT!$D$2:$D$13)</f>
        <v>1450</v>
      </c>
      <c r="R2633" s="1">
        <f>_xlfn.XLOOKUP(C2633,Contract!$A$2:$A$9,Contract!$B$2:$B$9)</f>
        <v>0.47</v>
      </c>
      <c r="S2633" s="1">
        <f t="shared" si="164"/>
        <v>13630</v>
      </c>
      <c r="T2633" s="1" t="str">
        <f t="shared" si="165"/>
        <v/>
      </c>
      <c r="U2633" s="1" t="str">
        <f t="shared" si="166"/>
        <v/>
      </c>
      <c r="V2633" s="1" t="str">
        <f>_xlfn.XLOOKUP(C2633,Payers!$A$2:$A$9,Payers!$B$2:$B$9)</f>
        <v>Keystone Commercial PPO</v>
      </c>
      <c r="W2633" s="1" t="str">
        <f t="shared" si="167"/>
        <v>2025-10</v>
      </c>
    </row>
    <row r="2634" spans="1:23">
      <c r="A2634" s="1" t="s">
        <v>4542</v>
      </c>
      <c r="B2634" s="1" t="s">
        <v>193</v>
      </c>
      <c r="C2634" s="1" t="s">
        <v>36</v>
      </c>
      <c r="D2634" s="1" t="s">
        <v>30</v>
      </c>
      <c r="E2634" s="1" t="s">
        <v>91</v>
      </c>
      <c r="F2634">
        <v>4</v>
      </c>
      <c r="G2634" s="2">
        <v>46133</v>
      </c>
      <c r="H2634" s="2">
        <v>46140</v>
      </c>
      <c r="I2634">
        <v>233.02</v>
      </c>
      <c r="J2634">
        <v>55.38</v>
      </c>
      <c r="K2634">
        <v>55.38</v>
      </c>
      <c r="L2634">
        <v>0</v>
      </c>
      <c r="M2634" s="1" t="s">
        <v>21</v>
      </c>
      <c r="N2634" s="1" t="s">
        <v>22</v>
      </c>
      <c r="O2634" s="2">
        <v>46174</v>
      </c>
      <c r="P2634" s="2">
        <v>46174</v>
      </c>
      <c r="Q2634">
        <f>_xlfn.XLOOKUP(E2634,CPT!$A$2:$A$13,CPT!$D$2:$D$13)</f>
        <v>58</v>
      </c>
      <c r="R2634" s="1">
        <f>_xlfn.XLOOKUP(C2634,Contract!$A$2:$A$9,Contract!$B$2:$B$9)</f>
        <v>0.27</v>
      </c>
      <c r="S2634" s="1">
        <f t="shared" si="164"/>
        <v>62.64</v>
      </c>
      <c r="T2634" s="1">
        <f t="shared" si="165"/>
        <v>7.259999999999998</v>
      </c>
      <c r="U2634" s="1" t="str">
        <f t="shared" si="166"/>
        <v>Underpaid</v>
      </c>
      <c r="V2634" s="1" t="str">
        <f>_xlfn.XLOOKUP(C2634,Payers!$A$2:$A$9,Payers!$B$2:$B$9)</f>
        <v>Florida Medicaid</v>
      </c>
      <c r="W2634" s="1" t="str">
        <f t="shared" si="167"/>
        <v>2026-04</v>
      </c>
    </row>
    <row r="2635" spans="1:23">
      <c r="A2635" s="1" t="s">
        <v>4543</v>
      </c>
      <c r="B2635" s="1" t="s">
        <v>4544</v>
      </c>
      <c r="C2635" s="1" t="s">
        <v>52</v>
      </c>
      <c r="D2635" s="1" t="s">
        <v>19</v>
      </c>
      <c r="E2635" s="1" t="s">
        <v>88</v>
      </c>
      <c r="F2635">
        <v>1</v>
      </c>
      <c r="G2635" s="2">
        <v>45976</v>
      </c>
      <c r="H2635" s="2">
        <v>45979</v>
      </c>
      <c r="I2635">
        <v>264.81</v>
      </c>
      <c r="J2635">
        <v>107.47</v>
      </c>
      <c r="K2635">
        <v>96.72</v>
      </c>
      <c r="L2635">
        <v>10.75</v>
      </c>
      <c r="M2635" s="1" t="s">
        <v>21</v>
      </c>
      <c r="N2635" s="1" t="s">
        <v>22</v>
      </c>
      <c r="O2635" s="2">
        <v>46012</v>
      </c>
      <c r="P2635" s="2">
        <v>46012</v>
      </c>
      <c r="Q2635">
        <f>_xlfn.XLOOKUP(E2635,CPT!$A$2:$A$13,CPT!$D$2:$D$13)</f>
        <v>260</v>
      </c>
      <c r="R2635" s="1">
        <f>_xlfn.XLOOKUP(C2635,Contract!$A$2:$A$9,Contract!$B$2:$B$9)</f>
        <v>0.47</v>
      </c>
      <c r="S2635" s="1">
        <f t="shared" si="164"/>
        <v>122.2</v>
      </c>
      <c r="T2635" s="1">
        <f t="shared" si="165"/>
        <v>14.730000000000004</v>
      </c>
      <c r="U2635" s="1" t="str">
        <f t="shared" si="166"/>
        <v>Underpaid</v>
      </c>
      <c r="V2635" s="1" t="str">
        <f>_xlfn.XLOOKUP(C2635,Payers!$A$2:$A$9,Payers!$B$2:$B$9)</f>
        <v>Keystone Commercial PPO</v>
      </c>
      <c r="W2635" s="1" t="str">
        <f t="shared" si="167"/>
        <v>2025-11</v>
      </c>
    </row>
    <row r="2636" spans="1:23">
      <c r="A2636" s="1" t="s">
        <v>4545</v>
      </c>
      <c r="B2636" s="1" t="s">
        <v>1632</v>
      </c>
      <c r="C2636" s="1" t="s">
        <v>76</v>
      </c>
      <c r="D2636" s="1" t="s">
        <v>26</v>
      </c>
      <c r="E2636" s="1" t="s">
        <v>41</v>
      </c>
      <c r="F2636">
        <v>1</v>
      </c>
      <c r="G2636" s="2">
        <v>46191</v>
      </c>
      <c r="H2636" s="2">
        <v>46193</v>
      </c>
      <c r="I2636">
        <v>37.04</v>
      </c>
      <c r="J2636">
        <v>15.91</v>
      </c>
      <c r="K2636">
        <v>14.32</v>
      </c>
      <c r="L2636">
        <v>1.59</v>
      </c>
      <c r="M2636" s="1" t="s">
        <v>21</v>
      </c>
      <c r="N2636" s="1" t="s">
        <v>22</v>
      </c>
      <c r="O2636" s="2">
        <v>46229</v>
      </c>
      <c r="P2636" s="2">
        <v>46229</v>
      </c>
      <c r="Q2636">
        <f>_xlfn.XLOOKUP(E2636,CPT!$A$2:$A$13,CPT!$D$2:$D$13)</f>
        <v>38</v>
      </c>
      <c r="R2636" s="1">
        <f>_xlfn.XLOOKUP(C2636,Contract!$A$2:$A$9,Contract!$B$2:$B$9)</f>
        <v>0.43</v>
      </c>
      <c r="S2636" s="1">
        <f t="shared" si="164"/>
        <v>16.34</v>
      </c>
      <c r="T2636" s="1">
        <f t="shared" si="165"/>
        <v>0.42999999999999972</v>
      </c>
      <c r="U2636" s="1" t="str">
        <f t="shared" si="166"/>
        <v>OK</v>
      </c>
      <c r="V2636" s="1" t="str">
        <f>_xlfn.XLOOKUP(C2636,Payers!$A$2:$A$9,Payers!$B$2:$B$9)</f>
        <v>Summit Health Commercial</v>
      </c>
      <c r="W2636" s="1" t="str">
        <f t="shared" si="167"/>
        <v>2026-06</v>
      </c>
    </row>
    <row r="2637" spans="1:23">
      <c r="A2637" s="1" t="s">
        <v>4546</v>
      </c>
      <c r="B2637" s="1" t="s">
        <v>1412</v>
      </c>
      <c r="C2637" s="1" t="s">
        <v>18</v>
      </c>
      <c r="D2637" s="1" t="s">
        <v>19</v>
      </c>
      <c r="E2637" s="1" t="s">
        <v>88</v>
      </c>
      <c r="F2637">
        <v>1</v>
      </c>
      <c r="G2637" s="2">
        <v>46276</v>
      </c>
      <c r="H2637" s="2">
        <v>46278</v>
      </c>
      <c r="I2637">
        <v>257.75</v>
      </c>
      <c r="M2637" s="1" t="s">
        <v>69</v>
      </c>
      <c r="N2637" s="1" t="s">
        <v>22</v>
      </c>
      <c r="O2637" s="2"/>
      <c r="P2637" s="2"/>
      <c r="Q2637">
        <f>_xlfn.XLOOKUP(E2637,CPT!$A$2:$A$13,CPT!$D$2:$D$13)</f>
        <v>260</v>
      </c>
      <c r="R2637" s="1">
        <f>_xlfn.XLOOKUP(C2637,Contract!$A$2:$A$9,Contract!$B$2:$B$9)</f>
        <v>0.38</v>
      </c>
      <c r="S2637" s="1">
        <f t="shared" si="164"/>
        <v>98.8</v>
      </c>
      <c r="T2637" s="1" t="str">
        <f t="shared" si="165"/>
        <v/>
      </c>
      <c r="U2637" s="1" t="str">
        <f t="shared" si="166"/>
        <v/>
      </c>
      <c r="V2637" s="1" t="str">
        <f>_xlfn.XLOOKUP(C2637,Payers!$A$2:$A$9,Payers!$B$2:$B$9)</f>
        <v>Sunshine Medicare Advantage</v>
      </c>
      <c r="W2637" s="1" t="str">
        <f t="shared" si="167"/>
        <v>2026-09</v>
      </c>
    </row>
    <row r="2638" spans="1:23">
      <c r="A2638" s="1" t="s">
        <v>4547</v>
      </c>
      <c r="B2638" s="1" t="s">
        <v>4548</v>
      </c>
      <c r="C2638" s="1" t="s">
        <v>60</v>
      </c>
      <c r="D2638" s="1" t="s">
        <v>19</v>
      </c>
      <c r="E2638" s="1" t="s">
        <v>57</v>
      </c>
      <c r="F2638">
        <v>1</v>
      </c>
      <c r="G2638" s="2">
        <v>46122</v>
      </c>
      <c r="H2638" s="2">
        <v>46124</v>
      </c>
      <c r="I2638">
        <v>213.34</v>
      </c>
      <c r="J2638">
        <v>103.07</v>
      </c>
      <c r="K2638">
        <v>103.07</v>
      </c>
      <c r="L2638">
        <v>0</v>
      </c>
      <c r="M2638" s="1" t="s">
        <v>21</v>
      </c>
      <c r="N2638" s="1" t="s">
        <v>22</v>
      </c>
      <c r="O2638" s="2">
        <v>46165</v>
      </c>
      <c r="P2638" s="2">
        <v>46165</v>
      </c>
      <c r="Q2638">
        <f>_xlfn.XLOOKUP(E2638,CPT!$A$2:$A$13,CPT!$D$2:$D$13)</f>
        <v>210</v>
      </c>
      <c r="R2638" s="1">
        <f>_xlfn.XLOOKUP(C2638,Contract!$A$2:$A$9,Contract!$B$2:$B$9)</f>
        <v>0.45</v>
      </c>
      <c r="S2638" s="1">
        <f t="shared" si="164"/>
        <v>94.5</v>
      </c>
      <c r="T2638" s="1">
        <f t="shared" si="165"/>
        <v>-8.5699999999999932</v>
      </c>
      <c r="U2638" s="1" t="str">
        <f t="shared" si="166"/>
        <v>OK</v>
      </c>
      <c r="V2638" s="1" t="str">
        <f>_xlfn.XLOOKUP(C2638,Payers!$A$2:$A$9,Payers!$B$2:$B$9)</f>
        <v>Blue Horizon Commercial</v>
      </c>
      <c r="W2638" s="1" t="str">
        <f t="shared" si="167"/>
        <v>2026-04</v>
      </c>
    </row>
    <row r="2639" spans="1:23">
      <c r="A2639" s="1" t="s">
        <v>4549</v>
      </c>
      <c r="B2639" s="1" t="s">
        <v>1054</v>
      </c>
      <c r="C2639" s="1" t="s">
        <v>25</v>
      </c>
      <c r="D2639" s="1" t="s">
        <v>37</v>
      </c>
      <c r="E2639" s="1" t="s">
        <v>57</v>
      </c>
      <c r="F2639">
        <v>1</v>
      </c>
      <c r="G2639" s="2">
        <v>46273</v>
      </c>
      <c r="H2639" s="2">
        <v>46275</v>
      </c>
      <c r="I2639">
        <v>216.24</v>
      </c>
      <c r="M2639" s="1" t="s">
        <v>69</v>
      </c>
      <c r="N2639" s="1" t="s">
        <v>22</v>
      </c>
      <c r="O2639" s="2"/>
      <c r="P2639" s="2"/>
      <c r="Q2639">
        <f>_xlfn.XLOOKUP(E2639,CPT!$A$2:$A$13,CPT!$D$2:$D$13)</f>
        <v>210</v>
      </c>
      <c r="R2639" s="1">
        <f>_xlfn.XLOOKUP(C2639,Contract!$A$2:$A$9,Contract!$B$2:$B$9)</f>
        <v>0.36</v>
      </c>
      <c r="S2639" s="1">
        <f t="shared" si="164"/>
        <v>75.599999999999994</v>
      </c>
      <c r="T2639" s="1" t="str">
        <f t="shared" si="165"/>
        <v/>
      </c>
      <c r="U2639" s="1" t="str">
        <f t="shared" si="166"/>
        <v/>
      </c>
      <c r="V2639" s="1" t="str">
        <f>_xlfn.XLOOKUP(C2639,Payers!$A$2:$A$9,Payers!$B$2:$B$9)</f>
        <v>Medicare Part B</v>
      </c>
      <c r="W2639" s="1" t="str">
        <f t="shared" si="167"/>
        <v>2026-09</v>
      </c>
    </row>
    <row r="2640" spans="1:23">
      <c r="A2640" s="1" t="s">
        <v>4550</v>
      </c>
      <c r="B2640" s="1" t="s">
        <v>1447</v>
      </c>
      <c r="C2640" s="1" t="s">
        <v>60</v>
      </c>
      <c r="D2640" s="1" t="s">
        <v>19</v>
      </c>
      <c r="E2640" s="1" t="s">
        <v>41</v>
      </c>
      <c r="F2640">
        <v>1</v>
      </c>
      <c r="G2640" s="2">
        <v>46271</v>
      </c>
      <c r="H2640" s="2">
        <v>46278</v>
      </c>
      <c r="I2640">
        <v>37.340000000000003</v>
      </c>
      <c r="M2640" s="1" t="s">
        <v>69</v>
      </c>
      <c r="N2640" s="1" t="s">
        <v>22</v>
      </c>
      <c r="O2640" s="2"/>
      <c r="P2640" s="2"/>
      <c r="Q2640">
        <f>_xlfn.XLOOKUP(E2640,CPT!$A$2:$A$13,CPT!$D$2:$D$13)</f>
        <v>38</v>
      </c>
      <c r="R2640" s="1">
        <f>_xlfn.XLOOKUP(C2640,Contract!$A$2:$A$9,Contract!$B$2:$B$9)</f>
        <v>0.45</v>
      </c>
      <c r="S2640" s="1">
        <f t="shared" si="164"/>
        <v>17.100000000000001</v>
      </c>
      <c r="T2640" s="1" t="str">
        <f t="shared" si="165"/>
        <v/>
      </c>
      <c r="U2640" s="1" t="str">
        <f t="shared" si="166"/>
        <v/>
      </c>
      <c r="V2640" s="1" t="str">
        <f>_xlfn.XLOOKUP(C2640,Payers!$A$2:$A$9,Payers!$B$2:$B$9)</f>
        <v>Blue Horizon Commercial</v>
      </c>
      <c r="W2640" s="1" t="str">
        <f t="shared" si="167"/>
        <v>2026-09</v>
      </c>
    </row>
    <row r="2641" spans="1:23">
      <c r="A2641" s="1" t="s">
        <v>4551</v>
      </c>
      <c r="B2641" s="1" t="s">
        <v>4495</v>
      </c>
      <c r="C2641" s="1" t="s">
        <v>47</v>
      </c>
      <c r="D2641" s="1" t="s">
        <v>19</v>
      </c>
      <c r="E2641" s="1" t="s">
        <v>20</v>
      </c>
      <c r="F2641">
        <v>1</v>
      </c>
      <c r="G2641" s="2">
        <v>46006</v>
      </c>
      <c r="H2641" s="2">
        <v>46009</v>
      </c>
      <c r="I2641">
        <v>146.36000000000001</v>
      </c>
      <c r="M2641" s="1" t="s">
        <v>32</v>
      </c>
      <c r="N2641" s="1" t="s">
        <v>98</v>
      </c>
      <c r="O2641" s="2">
        <v>46047</v>
      </c>
      <c r="P2641" s="2"/>
      <c r="Q2641">
        <f>_xlfn.XLOOKUP(E2641,CPT!$A$2:$A$13,CPT!$D$2:$D$13)</f>
        <v>145</v>
      </c>
      <c r="R2641" s="1">
        <f>_xlfn.XLOOKUP(C2641,Contract!$A$2:$A$9,Contract!$B$2:$B$9)</f>
        <v>0.28000000000000003</v>
      </c>
      <c r="S2641" s="1">
        <f t="shared" si="164"/>
        <v>40.6</v>
      </c>
      <c r="T2641" s="1" t="str">
        <f t="shared" si="165"/>
        <v/>
      </c>
      <c r="U2641" s="1" t="str">
        <f t="shared" si="166"/>
        <v/>
      </c>
      <c r="V2641" s="1" t="str">
        <f>_xlfn.XLOOKUP(C2641,Payers!$A$2:$A$9,Payers!$B$2:$B$9)</f>
        <v>Coastal Medicaid MCO</v>
      </c>
      <c r="W2641" s="1" t="str">
        <f t="shared" si="167"/>
        <v>2025-12</v>
      </c>
    </row>
    <row r="2642" spans="1:23">
      <c r="A2642" s="1" t="s">
        <v>4552</v>
      </c>
      <c r="B2642" s="1" t="s">
        <v>4553</v>
      </c>
      <c r="C2642" s="1" t="s">
        <v>76</v>
      </c>
      <c r="D2642" s="1" t="s">
        <v>26</v>
      </c>
      <c r="E2642" s="1" t="s">
        <v>44</v>
      </c>
      <c r="F2642">
        <v>1</v>
      </c>
      <c r="G2642" s="2">
        <v>46210</v>
      </c>
      <c r="H2642" s="2">
        <v>46217</v>
      </c>
      <c r="I2642">
        <v>4893.96</v>
      </c>
      <c r="J2642">
        <v>2342.35</v>
      </c>
      <c r="K2642">
        <v>2342.35</v>
      </c>
      <c r="L2642">
        <v>0</v>
      </c>
      <c r="M2642" s="1" t="s">
        <v>21</v>
      </c>
      <c r="N2642" s="1" t="s">
        <v>22</v>
      </c>
      <c r="O2642" s="2">
        <v>46232</v>
      </c>
      <c r="P2642" s="2">
        <v>46232</v>
      </c>
      <c r="Q2642">
        <f>_xlfn.XLOOKUP(E2642,CPT!$A$2:$A$13,CPT!$D$2:$D$13)</f>
        <v>4800</v>
      </c>
      <c r="R2642" s="1">
        <f>_xlfn.XLOOKUP(C2642,Contract!$A$2:$A$9,Contract!$B$2:$B$9)</f>
        <v>0.43</v>
      </c>
      <c r="S2642" s="1">
        <f t="shared" si="164"/>
        <v>2064</v>
      </c>
      <c r="T2642" s="1">
        <f t="shared" si="165"/>
        <v>-278.34999999999991</v>
      </c>
      <c r="U2642" s="1" t="str">
        <f t="shared" si="166"/>
        <v>OK</v>
      </c>
      <c r="V2642" s="1" t="str">
        <f>_xlfn.XLOOKUP(C2642,Payers!$A$2:$A$9,Payers!$B$2:$B$9)</f>
        <v>Summit Health Commercial</v>
      </c>
      <c r="W2642" s="1" t="str">
        <f t="shared" si="167"/>
        <v>2026-07</v>
      </c>
    </row>
    <row r="2643" spans="1:23">
      <c r="A2643" s="1" t="s">
        <v>4554</v>
      </c>
      <c r="B2643" s="1" t="s">
        <v>4555</v>
      </c>
      <c r="C2643" s="1" t="s">
        <v>36</v>
      </c>
      <c r="D2643" s="1" t="s">
        <v>19</v>
      </c>
      <c r="E2643" s="1" t="s">
        <v>20</v>
      </c>
      <c r="F2643">
        <v>1</v>
      </c>
      <c r="G2643" s="2">
        <v>46075</v>
      </c>
      <c r="H2643" s="2">
        <v>46080</v>
      </c>
      <c r="I2643">
        <v>144.74</v>
      </c>
      <c r="J2643">
        <v>39.56</v>
      </c>
      <c r="K2643">
        <v>31.65</v>
      </c>
      <c r="L2643">
        <v>7.91</v>
      </c>
      <c r="M2643" s="1" t="s">
        <v>21</v>
      </c>
      <c r="N2643" s="1" t="s">
        <v>22</v>
      </c>
      <c r="O2643" s="2">
        <v>46122</v>
      </c>
      <c r="P2643" s="2">
        <v>46122</v>
      </c>
      <c r="Q2643">
        <f>_xlfn.XLOOKUP(E2643,CPT!$A$2:$A$13,CPT!$D$2:$D$13)</f>
        <v>145</v>
      </c>
      <c r="R2643" s="1">
        <f>_xlfn.XLOOKUP(C2643,Contract!$A$2:$A$9,Contract!$B$2:$B$9)</f>
        <v>0.27</v>
      </c>
      <c r="S2643" s="1">
        <f t="shared" si="164"/>
        <v>39.15</v>
      </c>
      <c r="T2643" s="1">
        <f t="shared" si="165"/>
        <v>-0.41000000000000369</v>
      </c>
      <c r="U2643" s="1" t="str">
        <f t="shared" si="166"/>
        <v>OK</v>
      </c>
      <c r="V2643" s="1" t="str">
        <f>_xlfn.XLOOKUP(C2643,Payers!$A$2:$A$9,Payers!$B$2:$B$9)</f>
        <v>Florida Medicaid</v>
      </c>
      <c r="W2643" s="1" t="str">
        <f t="shared" si="167"/>
        <v>2026-02</v>
      </c>
    </row>
    <row r="2644" spans="1:23">
      <c r="A2644" s="1" t="s">
        <v>4556</v>
      </c>
      <c r="B2644" s="1" t="s">
        <v>4557</v>
      </c>
      <c r="C2644" s="1" t="s">
        <v>60</v>
      </c>
      <c r="D2644" s="1" t="s">
        <v>19</v>
      </c>
      <c r="E2644" s="1" t="s">
        <v>88</v>
      </c>
      <c r="F2644">
        <v>1</v>
      </c>
      <c r="G2644" s="2">
        <v>46057</v>
      </c>
      <c r="H2644" s="2">
        <v>46070</v>
      </c>
      <c r="I2644">
        <v>266.79000000000002</v>
      </c>
      <c r="J2644">
        <v>121.84</v>
      </c>
      <c r="K2644">
        <v>121.84</v>
      </c>
      <c r="L2644">
        <v>0</v>
      </c>
      <c r="M2644" s="1" t="s">
        <v>21</v>
      </c>
      <c r="N2644" s="1" t="s">
        <v>22</v>
      </c>
      <c r="O2644" s="2">
        <v>46097</v>
      </c>
      <c r="P2644" s="2">
        <v>46097</v>
      </c>
      <c r="Q2644">
        <f>_xlfn.XLOOKUP(E2644,CPT!$A$2:$A$13,CPT!$D$2:$D$13)</f>
        <v>260</v>
      </c>
      <c r="R2644" s="1">
        <f>_xlfn.XLOOKUP(C2644,Contract!$A$2:$A$9,Contract!$B$2:$B$9)</f>
        <v>0.45</v>
      </c>
      <c r="S2644" s="1">
        <f t="shared" si="164"/>
        <v>117</v>
      </c>
      <c r="T2644" s="1">
        <f t="shared" si="165"/>
        <v>-4.8400000000000034</v>
      </c>
      <c r="U2644" s="1" t="str">
        <f t="shared" si="166"/>
        <v>OK</v>
      </c>
      <c r="V2644" s="1" t="str">
        <f>_xlfn.XLOOKUP(C2644,Payers!$A$2:$A$9,Payers!$B$2:$B$9)</f>
        <v>Blue Horizon Commercial</v>
      </c>
      <c r="W2644" s="1" t="str">
        <f t="shared" si="167"/>
        <v>2026-02</v>
      </c>
    </row>
    <row r="2645" spans="1:23">
      <c r="A2645" s="1" t="s">
        <v>4558</v>
      </c>
      <c r="B2645" s="1" t="s">
        <v>4559</v>
      </c>
      <c r="C2645" s="1" t="s">
        <v>52</v>
      </c>
      <c r="D2645" s="1" t="s">
        <v>26</v>
      </c>
      <c r="E2645" s="1" t="s">
        <v>88</v>
      </c>
      <c r="F2645">
        <v>1</v>
      </c>
      <c r="G2645" s="2">
        <v>46186</v>
      </c>
      <c r="H2645" s="2">
        <v>46187</v>
      </c>
      <c r="I2645">
        <v>257.44</v>
      </c>
      <c r="J2645">
        <v>133.02000000000001</v>
      </c>
      <c r="K2645">
        <v>133.02000000000001</v>
      </c>
      <c r="L2645">
        <v>0</v>
      </c>
      <c r="M2645" s="1" t="s">
        <v>21</v>
      </c>
      <c r="N2645" s="1" t="s">
        <v>22</v>
      </c>
      <c r="O2645" s="2">
        <v>46247</v>
      </c>
      <c r="P2645" s="2">
        <v>46247</v>
      </c>
      <c r="Q2645">
        <f>_xlfn.XLOOKUP(E2645,CPT!$A$2:$A$13,CPT!$D$2:$D$13)</f>
        <v>260</v>
      </c>
      <c r="R2645" s="1">
        <f>_xlfn.XLOOKUP(C2645,Contract!$A$2:$A$9,Contract!$B$2:$B$9)</f>
        <v>0.47</v>
      </c>
      <c r="S2645" s="1">
        <f t="shared" si="164"/>
        <v>122.2</v>
      </c>
      <c r="T2645" s="1">
        <f t="shared" si="165"/>
        <v>-10.820000000000007</v>
      </c>
      <c r="U2645" s="1" t="str">
        <f t="shared" si="166"/>
        <v>OK</v>
      </c>
      <c r="V2645" s="1" t="str">
        <f>_xlfn.XLOOKUP(C2645,Payers!$A$2:$A$9,Payers!$B$2:$B$9)</f>
        <v>Keystone Commercial PPO</v>
      </c>
      <c r="W2645" s="1" t="str">
        <f t="shared" si="167"/>
        <v>2026-06</v>
      </c>
    </row>
    <row r="2646" spans="1:23">
      <c r="A2646" s="1" t="s">
        <v>4560</v>
      </c>
      <c r="B2646" s="1" t="s">
        <v>4561</v>
      </c>
      <c r="C2646" s="1" t="s">
        <v>25</v>
      </c>
      <c r="D2646" s="1" t="s">
        <v>19</v>
      </c>
      <c r="E2646" s="1" t="s">
        <v>41</v>
      </c>
      <c r="F2646">
        <v>1</v>
      </c>
      <c r="G2646" s="2">
        <v>46188</v>
      </c>
      <c r="H2646" s="2">
        <v>46192</v>
      </c>
      <c r="I2646">
        <v>38.04</v>
      </c>
      <c r="J2646">
        <v>13.87</v>
      </c>
      <c r="K2646">
        <v>12.48</v>
      </c>
      <c r="L2646">
        <v>1.39</v>
      </c>
      <c r="M2646" s="1" t="s">
        <v>21</v>
      </c>
      <c r="N2646" s="1" t="s">
        <v>22</v>
      </c>
      <c r="O2646" s="2">
        <v>46204</v>
      </c>
      <c r="P2646" s="2">
        <v>46204</v>
      </c>
      <c r="Q2646">
        <f>_xlfn.XLOOKUP(E2646,CPT!$A$2:$A$13,CPT!$D$2:$D$13)</f>
        <v>38</v>
      </c>
      <c r="R2646" s="1">
        <f>_xlfn.XLOOKUP(C2646,Contract!$A$2:$A$9,Contract!$B$2:$B$9)</f>
        <v>0.36</v>
      </c>
      <c r="S2646" s="1">
        <f t="shared" si="164"/>
        <v>13.68</v>
      </c>
      <c r="T2646" s="1">
        <f t="shared" si="165"/>
        <v>-0.1899999999999995</v>
      </c>
      <c r="U2646" s="1" t="str">
        <f t="shared" si="166"/>
        <v>OK</v>
      </c>
      <c r="V2646" s="1" t="str">
        <f>_xlfn.XLOOKUP(C2646,Payers!$A$2:$A$9,Payers!$B$2:$B$9)</f>
        <v>Medicare Part B</v>
      </c>
      <c r="W2646" s="1" t="str">
        <f t="shared" si="167"/>
        <v>2026-06</v>
      </c>
    </row>
    <row r="2647" spans="1:23">
      <c r="A2647" s="1" t="s">
        <v>4562</v>
      </c>
      <c r="B2647" s="1" t="s">
        <v>4163</v>
      </c>
      <c r="C2647" s="1" t="s">
        <v>47</v>
      </c>
      <c r="D2647" s="1" t="s">
        <v>26</v>
      </c>
      <c r="E2647" s="1" t="s">
        <v>185</v>
      </c>
      <c r="F2647">
        <v>1</v>
      </c>
      <c r="G2647" s="2">
        <v>46081</v>
      </c>
      <c r="H2647" s="2">
        <v>46083</v>
      </c>
      <c r="I2647">
        <v>1182.19</v>
      </c>
      <c r="M2647" s="1" t="s">
        <v>32</v>
      </c>
      <c r="N2647" s="1" t="s">
        <v>124</v>
      </c>
      <c r="O2647" s="2">
        <v>46149</v>
      </c>
      <c r="P2647" s="2"/>
      <c r="Q2647">
        <f>_xlfn.XLOOKUP(E2647,CPT!$A$2:$A$13,CPT!$D$2:$D$13)</f>
        <v>1150</v>
      </c>
      <c r="R2647" s="1">
        <f>_xlfn.XLOOKUP(C2647,Contract!$A$2:$A$9,Contract!$B$2:$B$9)</f>
        <v>0.28000000000000003</v>
      </c>
      <c r="S2647" s="1">
        <f t="shared" si="164"/>
        <v>322</v>
      </c>
      <c r="T2647" s="1" t="str">
        <f t="shared" si="165"/>
        <v/>
      </c>
      <c r="U2647" s="1" t="str">
        <f t="shared" si="166"/>
        <v/>
      </c>
      <c r="V2647" s="1" t="str">
        <f>_xlfn.XLOOKUP(C2647,Payers!$A$2:$A$9,Payers!$B$2:$B$9)</f>
        <v>Coastal Medicaid MCO</v>
      </c>
      <c r="W2647" s="1" t="str">
        <f t="shared" si="167"/>
        <v>2026-02</v>
      </c>
    </row>
    <row r="2648" spans="1:23">
      <c r="A2648" s="1" t="s">
        <v>4563</v>
      </c>
      <c r="B2648" s="1" t="s">
        <v>3752</v>
      </c>
      <c r="C2648" s="1" t="s">
        <v>52</v>
      </c>
      <c r="D2648" s="1" t="s">
        <v>19</v>
      </c>
      <c r="E2648" s="1" t="s">
        <v>57</v>
      </c>
      <c r="F2648">
        <v>1</v>
      </c>
      <c r="G2648" s="2">
        <v>45932</v>
      </c>
      <c r="H2648" s="2">
        <v>45946</v>
      </c>
      <c r="I2648">
        <v>212.41</v>
      </c>
      <c r="J2648">
        <v>106.46</v>
      </c>
      <c r="K2648">
        <v>106.46</v>
      </c>
      <c r="L2648">
        <v>0</v>
      </c>
      <c r="M2648" s="1" t="s">
        <v>21</v>
      </c>
      <c r="N2648" s="1" t="s">
        <v>22</v>
      </c>
      <c r="O2648" s="2">
        <v>45970</v>
      </c>
      <c r="P2648" s="2">
        <v>45970</v>
      </c>
      <c r="Q2648">
        <f>_xlfn.XLOOKUP(E2648,CPT!$A$2:$A$13,CPT!$D$2:$D$13)</f>
        <v>210</v>
      </c>
      <c r="R2648" s="1">
        <f>_xlfn.XLOOKUP(C2648,Contract!$A$2:$A$9,Contract!$B$2:$B$9)</f>
        <v>0.47</v>
      </c>
      <c r="S2648" s="1">
        <f t="shared" si="164"/>
        <v>98.7</v>
      </c>
      <c r="T2648" s="1">
        <f t="shared" si="165"/>
        <v>-7.7599999999999909</v>
      </c>
      <c r="U2648" s="1" t="str">
        <f t="shared" si="166"/>
        <v>OK</v>
      </c>
      <c r="V2648" s="1" t="str">
        <f>_xlfn.XLOOKUP(C2648,Payers!$A$2:$A$9,Payers!$B$2:$B$9)</f>
        <v>Keystone Commercial PPO</v>
      </c>
      <c r="W2648" s="1" t="str">
        <f t="shared" si="167"/>
        <v>2025-10</v>
      </c>
    </row>
    <row r="2649" spans="1:23">
      <c r="A2649" s="1" t="s">
        <v>4564</v>
      </c>
      <c r="B2649" s="1" t="s">
        <v>4565</v>
      </c>
      <c r="C2649" s="1" t="s">
        <v>52</v>
      </c>
      <c r="D2649" s="1" t="s">
        <v>19</v>
      </c>
      <c r="E2649" s="1" t="s">
        <v>57</v>
      </c>
      <c r="F2649">
        <v>1</v>
      </c>
      <c r="G2649" s="2">
        <v>45944</v>
      </c>
      <c r="H2649" s="2">
        <v>45952</v>
      </c>
      <c r="I2649">
        <v>205.1</v>
      </c>
      <c r="J2649">
        <v>97.75</v>
      </c>
      <c r="K2649">
        <v>87.97</v>
      </c>
      <c r="L2649">
        <v>9.7799999999999994</v>
      </c>
      <c r="M2649" s="1" t="s">
        <v>21</v>
      </c>
      <c r="N2649" s="1" t="s">
        <v>22</v>
      </c>
      <c r="O2649" s="2">
        <v>46032</v>
      </c>
      <c r="P2649" s="2">
        <v>46032</v>
      </c>
      <c r="Q2649">
        <f>_xlfn.XLOOKUP(E2649,CPT!$A$2:$A$13,CPT!$D$2:$D$13)</f>
        <v>210</v>
      </c>
      <c r="R2649" s="1">
        <f>_xlfn.XLOOKUP(C2649,Contract!$A$2:$A$9,Contract!$B$2:$B$9)</f>
        <v>0.47</v>
      </c>
      <c r="S2649" s="1">
        <f t="shared" si="164"/>
        <v>98.7</v>
      </c>
      <c r="T2649" s="1">
        <f t="shared" si="165"/>
        <v>0.95000000000000284</v>
      </c>
      <c r="U2649" s="1" t="str">
        <f t="shared" si="166"/>
        <v>OK</v>
      </c>
      <c r="V2649" s="1" t="str">
        <f>_xlfn.XLOOKUP(C2649,Payers!$A$2:$A$9,Payers!$B$2:$B$9)</f>
        <v>Keystone Commercial PPO</v>
      </c>
      <c r="W2649" s="1" t="str">
        <f t="shared" si="167"/>
        <v>2025-10</v>
      </c>
    </row>
    <row r="2650" spans="1:23">
      <c r="A2650" s="1" t="s">
        <v>4566</v>
      </c>
      <c r="B2650" s="1" t="s">
        <v>4163</v>
      </c>
      <c r="C2650" s="1" t="s">
        <v>18</v>
      </c>
      <c r="D2650" s="1" t="s">
        <v>19</v>
      </c>
      <c r="E2650" s="1" t="s">
        <v>41</v>
      </c>
      <c r="F2650">
        <v>1</v>
      </c>
      <c r="G2650" s="2">
        <v>46273</v>
      </c>
      <c r="H2650" s="2">
        <v>46274</v>
      </c>
      <c r="I2650">
        <v>37.659999999999997</v>
      </c>
      <c r="M2650" s="1" t="s">
        <v>69</v>
      </c>
      <c r="N2650" s="1" t="s">
        <v>22</v>
      </c>
      <c r="O2650" s="2"/>
      <c r="P2650" s="2"/>
      <c r="Q2650">
        <f>_xlfn.XLOOKUP(E2650,CPT!$A$2:$A$13,CPT!$D$2:$D$13)</f>
        <v>38</v>
      </c>
      <c r="R2650" s="1">
        <f>_xlfn.XLOOKUP(C2650,Contract!$A$2:$A$9,Contract!$B$2:$B$9)</f>
        <v>0.38</v>
      </c>
      <c r="S2650" s="1">
        <f t="shared" si="164"/>
        <v>14.44</v>
      </c>
      <c r="T2650" s="1" t="str">
        <f t="shared" si="165"/>
        <v/>
      </c>
      <c r="U2650" s="1" t="str">
        <f t="shared" si="166"/>
        <v/>
      </c>
      <c r="V2650" s="1" t="str">
        <f>_xlfn.XLOOKUP(C2650,Payers!$A$2:$A$9,Payers!$B$2:$B$9)</f>
        <v>Sunshine Medicare Advantage</v>
      </c>
      <c r="W2650" s="1" t="str">
        <f t="shared" si="167"/>
        <v>2026-09</v>
      </c>
    </row>
    <row r="2651" spans="1:23">
      <c r="A2651" s="1" t="s">
        <v>4567</v>
      </c>
      <c r="B2651" s="1" t="s">
        <v>1471</v>
      </c>
      <c r="C2651" s="1" t="s">
        <v>47</v>
      </c>
      <c r="D2651" s="1" t="s">
        <v>37</v>
      </c>
      <c r="E2651" s="1" t="s">
        <v>57</v>
      </c>
      <c r="F2651">
        <v>1</v>
      </c>
      <c r="G2651" s="2">
        <v>45962</v>
      </c>
      <c r="H2651" s="2">
        <v>45969</v>
      </c>
      <c r="I2651">
        <v>215.87</v>
      </c>
      <c r="M2651" s="1" t="s">
        <v>32</v>
      </c>
      <c r="N2651" s="1" t="s">
        <v>124</v>
      </c>
      <c r="O2651" s="2">
        <v>46047</v>
      </c>
      <c r="P2651" s="2"/>
      <c r="Q2651">
        <f>_xlfn.XLOOKUP(E2651,CPT!$A$2:$A$13,CPT!$D$2:$D$13)</f>
        <v>210</v>
      </c>
      <c r="R2651" s="1">
        <f>_xlfn.XLOOKUP(C2651,Contract!$A$2:$A$9,Contract!$B$2:$B$9)</f>
        <v>0.28000000000000003</v>
      </c>
      <c r="S2651" s="1">
        <f t="shared" si="164"/>
        <v>58.8</v>
      </c>
      <c r="T2651" s="1" t="str">
        <f t="shared" si="165"/>
        <v/>
      </c>
      <c r="U2651" s="1" t="str">
        <f t="shared" si="166"/>
        <v/>
      </c>
      <c r="V2651" s="1" t="str">
        <f>_xlfn.XLOOKUP(C2651,Payers!$A$2:$A$9,Payers!$B$2:$B$9)</f>
        <v>Coastal Medicaid MCO</v>
      </c>
      <c r="W2651" s="1" t="str">
        <f t="shared" si="167"/>
        <v>2025-11</v>
      </c>
    </row>
    <row r="2652" spans="1:23">
      <c r="A2652" s="1" t="s">
        <v>4568</v>
      </c>
      <c r="B2652" s="1" t="s">
        <v>1318</v>
      </c>
      <c r="C2652" s="1" t="s">
        <v>25</v>
      </c>
      <c r="D2652" s="1" t="s">
        <v>37</v>
      </c>
      <c r="E2652" s="1" t="s">
        <v>48</v>
      </c>
      <c r="F2652">
        <v>1</v>
      </c>
      <c r="G2652" s="2">
        <v>46084</v>
      </c>
      <c r="H2652" s="2">
        <v>46085</v>
      </c>
      <c r="I2652">
        <v>413.48</v>
      </c>
      <c r="J2652">
        <v>170.17</v>
      </c>
      <c r="K2652">
        <v>136.13999999999999</v>
      </c>
      <c r="L2652">
        <v>34.03</v>
      </c>
      <c r="M2652" s="1" t="s">
        <v>21</v>
      </c>
      <c r="N2652" s="1" t="s">
        <v>22</v>
      </c>
      <c r="O2652" s="2">
        <v>46108</v>
      </c>
      <c r="P2652" s="2">
        <v>46108</v>
      </c>
      <c r="Q2652">
        <f>_xlfn.XLOOKUP(E2652,CPT!$A$2:$A$13,CPT!$D$2:$D$13)</f>
        <v>420</v>
      </c>
      <c r="R2652" s="1">
        <f>_xlfn.XLOOKUP(C2652,Contract!$A$2:$A$9,Contract!$B$2:$B$9)</f>
        <v>0.36</v>
      </c>
      <c r="S2652" s="1">
        <f t="shared" si="164"/>
        <v>151.19999999999999</v>
      </c>
      <c r="T2652" s="1">
        <f t="shared" si="165"/>
        <v>-18.97</v>
      </c>
      <c r="U2652" s="1" t="str">
        <f t="shared" si="166"/>
        <v>OK</v>
      </c>
      <c r="V2652" s="1" t="str">
        <f>_xlfn.XLOOKUP(C2652,Payers!$A$2:$A$9,Payers!$B$2:$B$9)</f>
        <v>Medicare Part B</v>
      </c>
      <c r="W2652" s="1" t="str">
        <f t="shared" si="167"/>
        <v>2026-03</v>
      </c>
    </row>
    <row r="2653" spans="1:23">
      <c r="A2653" s="1" t="s">
        <v>4569</v>
      </c>
      <c r="B2653" s="1" t="s">
        <v>4570</v>
      </c>
      <c r="C2653" s="1" t="s">
        <v>76</v>
      </c>
      <c r="D2653" s="1" t="s">
        <v>19</v>
      </c>
      <c r="E2653" s="1" t="s">
        <v>57</v>
      </c>
      <c r="F2653">
        <v>1</v>
      </c>
      <c r="G2653" s="2">
        <v>46164</v>
      </c>
      <c r="H2653" s="2">
        <v>46166</v>
      </c>
      <c r="I2653">
        <v>214.69</v>
      </c>
      <c r="J2653">
        <v>79.290000000000006</v>
      </c>
      <c r="K2653">
        <v>79.290000000000006</v>
      </c>
      <c r="L2653">
        <v>0</v>
      </c>
      <c r="M2653" s="1" t="s">
        <v>21</v>
      </c>
      <c r="N2653" s="1" t="s">
        <v>22</v>
      </c>
      <c r="O2653" s="2">
        <v>46215</v>
      </c>
      <c r="P2653" s="2">
        <v>46215</v>
      </c>
      <c r="Q2653">
        <f>_xlfn.XLOOKUP(E2653,CPT!$A$2:$A$13,CPT!$D$2:$D$13)</f>
        <v>210</v>
      </c>
      <c r="R2653" s="1">
        <f>_xlfn.XLOOKUP(C2653,Contract!$A$2:$A$9,Contract!$B$2:$B$9)</f>
        <v>0.43</v>
      </c>
      <c r="S2653" s="1">
        <f t="shared" si="164"/>
        <v>90.3</v>
      </c>
      <c r="T2653" s="1">
        <f t="shared" si="165"/>
        <v>11.009999999999991</v>
      </c>
      <c r="U2653" s="1" t="str">
        <f t="shared" si="166"/>
        <v>Underpaid</v>
      </c>
      <c r="V2653" s="1" t="str">
        <f>_xlfn.XLOOKUP(C2653,Payers!$A$2:$A$9,Payers!$B$2:$B$9)</f>
        <v>Summit Health Commercial</v>
      </c>
      <c r="W2653" s="1" t="str">
        <f t="shared" si="167"/>
        <v>2026-05</v>
      </c>
    </row>
    <row r="2654" spans="1:23">
      <c r="A2654" s="1" t="s">
        <v>4571</v>
      </c>
      <c r="B2654" s="1" t="s">
        <v>4572</v>
      </c>
      <c r="C2654" s="1" t="s">
        <v>25</v>
      </c>
      <c r="D2654" s="1" t="s">
        <v>19</v>
      </c>
      <c r="E2654" s="1" t="s">
        <v>57</v>
      </c>
      <c r="F2654">
        <v>1</v>
      </c>
      <c r="G2654" s="2">
        <v>45938</v>
      </c>
      <c r="H2654" s="2">
        <v>45946</v>
      </c>
      <c r="I2654">
        <v>209.89</v>
      </c>
      <c r="J2654">
        <v>75.28</v>
      </c>
      <c r="K2654">
        <v>60.22</v>
      </c>
      <c r="L2654">
        <v>15.06</v>
      </c>
      <c r="M2654" s="1" t="s">
        <v>21</v>
      </c>
      <c r="N2654" s="1" t="s">
        <v>22</v>
      </c>
      <c r="O2654" s="2">
        <v>45964</v>
      </c>
      <c r="P2654" s="2">
        <v>45964</v>
      </c>
      <c r="Q2654">
        <f>_xlfn.XLOOKUP(E2654,CPT!$A$2:$A$13,CPT!$D$2:$D$13)</f>
        <v>210</v>
      </c>
      <c r="R2654" s="1">
        <f>_xlfn.XLOOKUP(C2654,Contract!$A$2:$A$9,Contract!$B$2:$B$9)</f>
        <v>0.36</v>
      </c>
      <c r="S2654" s="1">
        <f t="shared" si="164"/>
        <v>75.599999999999994</v>
      </c>
      <c r="T2654" s="1">
        <f t="shared" si="165"/>
        <v>0.31999999999999318</v>
      </c>
      <c r="U2654" s="1" t="str">
        <f t="shared" si="166"/>
        <v>OK</v>
      </c>
      <c r="V2654" s="1" t="str">
        <f>_xlfn.XLOOKUP(C2654,Payers!$A$2:$A$9,Payers!$B$2:$B$9)</f>
        <v>Medicare Part B</v>
      </c>
      <c r="W2654" s="1" t="str">
        <f t="shared" si="167"/>
        <v>2025-10</v>
      </c>
    </row>
    <row r="2655" spans="1:23">
      <c r="A2655" s="1" t="s">
        <v>4573</v>
      </c>
      <c r="B2655" s="1" t="s">
        <v>1187</v>
      </c>
      <c r="C2655" s="1" t="s">
        <v>47</v>
      </c>
      <c r="D2655" s="1" t="s">
        <v>26</v>
      </c>
      <c r="E2655" s="1" t="s">
        <v>41</v>
      </c>
      <c r="F2655">
        <v>1</v>
      </c>
      <c r="G2655" s="2">
        <v>46108</v>
      </c>
      <c r="H2655" s="2">
        <v>46111</v>
      </c>
      <c r="I2655">
        <v>38.28</v>
      </c>
      <c r="J2655">
        <v>10.27</v>
      </c>
      <c r="K2655">
        <v>9.24</v>
      </c>
      <c r="L2655">
        <v>1.03</v>
      </c>
      <c r="M2655" s="1" t="s">
        <v>21</v>
      </c>
      <c r="N2655" s="1" t="s">
        <v>22</v>
      </c>
      <c r="O2655" s="2">
        <v>46166</v>
      </c>
      <c r="P2655" s="2">
        <v>46166</v>
      </c>
      <c r="Q2655">
        <f>_xlfn.XLOOKUP(E2655,CPT!$A$2:$A$13,CPT!$D$2:$D$13)</f>
        <v>38</v>
      </c>
      <c r="R2655" s="1">
        <f>_xlfn.XLOOKUP(C2655,Contract!$A$2:$A$9,Contract!$B$2:$B$9)</f>
        <v>0.28000000000000003</v>
      </c>
      <c r="S2655" s="1">
        <f t="shared" si="164"/>
        <v>10.64</v>
      </c>
      <c r="T2655" s="1">
        <f t="shared" si="165"/>
        <v>0.37000000000000099</v>
      </c>
      <c r="U2655" s="1" t="str">
        <f t="shared" si="166"/>
        <v>OK</v>
      </c>
      <c r="V2655" s="1" t="str">
        <f>_xlfn.XLOOKUP(C2655,Payers!$A$2:$A$9,Payers!$B$2:$B$9)</f>
        <v>Coastal Medicaid MCO</v>
      </c>
      <c r="W2655" s="1" t="str">
        <f t="shared" si="167"/>
        <v>2026-03</v>
      </c>
    </row>
    <row r="2656" spans="1:23">
      <c r="A2656" s="1" t="s">
        <v>4574</v>
      </c>
      <c r="B2656" s="1" t="s">
        <v>4495</v>
      </c>
      <c r="C2656" s="1" t="s">
        <v>76</v>
      </c>
      <c r="D2656" s="1" t="s">
        <v>26</v>
      </c>
      <c r="E2656" s="1" t="s">
        <v>44</v>
      </c>
      <c r="F2656">
        <v>1</v>
      </c>
      <c r="G2656" s="2">
        <v>46198</v>
      </c>
      <c r="H2656" s="2">
        <v>46199</v>
      </c>
      <c r="I2656">
        <v>4923.87</v>
      </c>
      <c r="J2656">
        <v>2223.27</v>
      </c>
      <c r="K2656">
        <v>2223.27</v>
      </c>
      <c r="L2656">
        <v>0</v>
      </c>
      <c r="M2656" s="1" t="s">
        <v>21</v>
      </c>
      <c r="N2656" s="1" t="s">
        <v>22</v>
      </c>
      <c r="O2656" s="2">
        <v>46233</v>
      </c>
      <c r="P2656" s="2">
        <v>46233</v>
      </c>
      <c r="Q2656">
        <f>_xlfn.XLOOKUP(E2656,CPT!$A$2:$A$13,CPT!$D$2:$D$13)</f>
        <v>4800</v>
      </c>
      <c r="R2656" s="1">
        <f>_xlfn.XLOOKUP(C2656,Contract!$A$2:$A$9,Contract!$B$2:$B$9)</f>
        <v>0.43</v>
      </c>
      <c r="S2656" s="1">
        <f t="shared" si="164"/>
        <v>2064</v>
      </c>
      <c r="T2656" s="1">
        <f t="shared" si="165"/>
        <v>-159.26999999999998</v>
      </c>
      <c r="U2656" s="1" t="str">
        <f t="shared" si="166"/>
        <v>OK</v>
      </c>
      <c r="V2656" s="1" t="str">
        <f>_xlfn.XLOOKUP(C2656,Payers!$A$2:$A$9,Payers!$B$2:$B$9)</f>
        <v>Summit Health Commercial</v>
      </c>
      <c r="W2656" s="1" t="str">
        <f t="shared" si="167"/>
        <v>2026-06</v>
      </c>
    </row>
    <row r="2657" spans="1:23">
      <c r="A2657" s="1" t="s">
        <v>4575</v>
      </c>
      <c r="B2657" s="1" t="s">
        <v>588</v>
      </c>
      <c r="C2657" s="1" t="s">
        <v>52</v>
      </c>
      <c r="D2657" s="1" t="s">
        <v>19</v>
      </c>
      <c r="E2657" s="1" t="s">
        <v>41</v>
      </c>
      <c r="F2657">
        <v>1</v>
      </c>
      <c r="G2657" s="2">
        <v>45952</v>
      </c>
      <c r="H2657" s="2">
        <v>45954</v>
      </c>
      <c r="I2657">
        <v>38.94</v>
      </c>
      <c r="J2657">
        <v>17.100000000000001</v>
      </c>
      <c r="K2657">
        <v>15.39</v>
      </c>
      <c r="L2657">
        <v>1.71</v>
      </c>
      <c r="M2657" s="1" t="s">
        <v>21</v>
      </c>
      <c r="N2657" s="1" t="s">
        <v>22</v>
      </c>
      <c r="O2657" s="2">
        <v>46005</v>
      </c>
      <c r="P2657" s="2">
        <v>46005</v>
      </c>
      <c r="Q2657">
        <f>_xlfn.XLOOKUP(E2657,CPT!$A$2:$A$13,CPT!$D$2:$D$13)</f>
        <v>38</v>
      </c>
      <c r="R2657" s="1">
        <f>_xlfn.XLOOKUP(C2657,Contract!$A$2:$A$9,Contract!$B$2:$B$9)</f>
        <v>0.47</v>
      </c>
      <c r="S2657" s="1">
        <f t="shared" si="164"/>
        <v>17.86</v>
      </c>
      <c r="T2657" s="1">
        <f t="shared" si="165"/>
        <v>0.75999999999999801</v>
      </c>
      <c r="U2657" s="1" t="str">
        <f t="shared" si="166"/>
        <v>OK</v>
      </c>
      <c r="V2657" s="1" t="str">
        <f>_xlfn.XLOOKUP(C2657,Payers!$A$2:$A$9,Payers!$B$2:$B$9)</f>
        <v>Keystone Commercial PPO</v>
      </c>
      <c r="W2657" s="1" t="str">
        <f t="shared" si="167"/>
        <v>2025-10</v>
      </c>
    </row>
    <row r="2658" spans="1:23">
      <c r="A2658" s="1" t="s">
        <v>4576</v>
      </c>
      <c r="B2658" s="1" t="s">
        <v>2854</v>
      </c>
      <c r="C2658" s="1" t="s">
        <v>79</v>
      </c>
      <c r="D2658" s="1" t="s">
        <v>19</v>
      </c>
      <c r="E2658" s="1" t="s">
        <v>57</v>
      </c>
      <c r="F2658">
        <v>1</v>
      </c>
      <c r="G2658" s="2">
        <v>46203</v>
      </c>
      <c r="H2658" s="2">
        <v>46206</v>
      </c>
      <c r="I2658">
        <v>216.18</v>
      </c>
      <c r="J2658">
        <v>216.18</v>
      </c>
      <c r="K2658">
        <v>216.18</v>
      </c>
      <c r="L2658">
        <v>0</v>
      </c>
      <c r="M2658" s="1" t="s">
        <v>21</v>
      </c>
      <c r="N2658" s="1" t="s">
        <v>22</v>
      </c>
      <c r="O2658" s="2">
        <v>46290</v>
      </c>
      <c r="P2658" s="2">
        <v>46290</v>
      </c>
      <c r="Q2658">
        <f>_xlfn.XLOOKUP(E2658,CPT!$A$2:$A$13,CPT!$D$2:$D$13)</f>
        <v>210</v>
      </c>
      <c r="R2658" s="1">
        <f>_xlfn.XLOOKUP(C2658,Contract!$A$2:$A$9,Contract!$B$2:$B$9)</f>
        <v>1</v>
      </c>
      <c r="S2658" s="1">
        <f t="shared" si="164"/>
        <v>210</v>
      </c>
      <c r="T2658" s="1">
        <f t="shared" si="165"/>
        <v>-6.1800000000000068</v>
      </c>
      <c r="U2658" s="1" t="str">
        <f t="shared" si="166"/>
        <v>OK</v>
      </c>
      <c r="V2658" s="1" t="str">
        <f>_xlfn.XLOOKUP(C2658,Payers!$A$2:$A$9,Payers!$B$2:$B$9)</f>
        <v>Self-Pay</v>
      </c>
      <c r="W2658" s="1" t="str">
        <f t="shared" si="167"/>
        <v>2026-06</v>
      </c>
    </row>
    <row r="2659" spans="1:23">
      <c r="A2659" s="1" t="s">
        <v>4577</v>
      </c>
      <c r="B2659" s="1" t="s">
        <v>3515</v>
      </c>
      <c r="C2659" s="1" t="s">
        <v>25</v>
      </c>
      <c r="D2659" s="1" t="s">
        <v>37</v>
      </c>
      <c r="E2659" s="1" t="s">
        <v>57</v>
      </c>
      <c r="F2659">
        <v>1</v>
      </c>
      <c r="G2659" s="2">
        <v>46166</v>
      </c>
      <c r="H2659" s="2">
        <v>46172</v>
      </c>
      <c r="I2659">
        <v>204.85</v>
      </c>
      <c r="J2659">
        <v>67.08</v>
      </c>
      <c r="K2659">
        <v>67.08</v>
      </c>
      <c r="L2659">
        <v>0</v>
      </c>
      <c r="M2659" s="1" t="s">
        <v>21</v>
      </c>
      <c r="N2659" s="1" t="s">
        <v>22</v>
      </c>
      <c r="O2659" s="2">
        <v>46193</v>
      </c>
      <c r="P2659" s="2">
        <v>46193</v>
      </c>
      <c r="Q2659">
        <f>_xlfn.XLOOKUP(E2659,CPT!$A$2:$A$13,CPT!$D$2:$D$13)</f>
        <v>210</v>
      </c>
      <c r="R2659" s="1">
        <f>_xlfn.XLOOKUP(C2659,Contract!$A$2:$A$9,Contract!$B$2:$B$9)</f>
        <v>0.36</v>
      </c>
      <c r="S2659" s="1">
        <f t="shared" si="164"/>
        <v>75.599999999999994</v>
      </c>
      <c r="T2659" s="1">
        <f t="shared" si="165"/>
        <v>8.519999999999996</v>
      </c>
      <c r="U2659" s="1" t="str">
        <f t="shared" si="166"/>
        <v>Underpaid</v>
      </c>
      <c r="V2659" s="1" t="str">
        <f>_xlfn.XLOOKUP(C2659,Payers!$A$2:$A$9,Payers!$B$2:$B$9)</f>
        <v>Medicare Part B</v>
      </c>
      <c r="W2659" s="1" t="str">
        <f t="shared" si="167"/>
        <v>2026-05</v>
      </c>
    </row>
    <row r="2660" spans="1:23">
      <c r="A2660" s="1" t="s">
        <v>4578</v>
      </c>
      <c r="B2660" s="1" t="s">
        <v>4579</v>
      </c>
      <c r="C2660" s="1" t="s">
        <v>47</v>
      </c>
      <c r="D2660" s="1" t="s">
        <v>26</v>
      </c>
      <c r="E2660" s="1" t="s">
        <v>113</v>
      </c>
      <c r="F2660">
        <v>1</v>
      </c>
      <c r="G2660" s="2">
        <v>46198</v>
      </c>
      <c r="H2660" s="2">
        <v>46200</v>
      </c>
      <c r="I2660">
        <v>1046</v>
      </c>
      <c r="J2660">
        <v>330.83</v>
      </c>
      <c r="K2660">
        <v>330.83</v>
      </c>
      <c r="L2660">
        <v>0</v>
      </c>
      <c r="M2660" s="1" t="s">
        <v>21</v>
      </c>
      <c r="N2660" s="1" t="s">
        <v>22</v>
      </c>
      <c r="O2660" s="2">
        <v>46260</v>
      </c>
      <c r="P2660" s="2">
        <v>46260</v>
      </c>
      <c r="Q2660">
        <f>_xlfn.XLOOKUP(E2660,CPT!$A$2:$A$13,CPT!$D$2:$D$13)</f>
        <v>1050</v>
      </c>
      <c r="R2660" s="1">
        <f>_xlfn.XLOOKUP(C2660,Contract!$A$2:$A$9,Contract!$B$2:$B$9)</f>
        <v>0.28000000000000003</v>
      </c>
      <c r="S2660" s="1">
        <f t="shared" si="164"/>
        <v>294</v>
      </c>
      <c r="T2660" s="1">
        <f t="shared" si="165"/>
        <v>-36.829999999999984</v>
      </c>
      <c r="U2660" s="1" t="str">
        <f t="shared" si="166"/>
        <v>OK</v>
      </c>
      <c r="V2660" s="1" t="str">
        <f>_xlfn.XLOOKUP(C2660,Payers!$A$2:$A$9,Payers!$B$2:$B$9)</f>
        <v>Coastal Medicaid MCO</v>
      </c>
      <c r="W2660" s="1" t="str">
        <f t="shared" si="167"/>
        <v>2026-06</v>
      </c>
    </row>
    <row r="2661" spans="1:23">
      <c r="A2661" s="1" t="s">
        <v>4580</v>
      </c>
      <c r="B2661" s="1" t="s">
        <v>4581</v>
      </c>
      <c r="C2661" s="1" t="s">
        <v>25</v>
      </c>
      <c r="D2661" s="1" t="s">
        <v>30</v>
      </c>
      <c r="E2661" s="1" t="s">
        <v>20</v>
      </c>
      <c r="F2661">
        <v>1</v>
      </c>
      <c r="G2661" s="2">
        <v>46104</v>
      </c>
      <c r="H2661" s="2">
        <v>46105</v>
      </c>
      <c r="I2661">
        <v>142.27000000000001</v>
      </c>
      <c r="J2661">
        <v>43.71</v>
      </c>
      <c r="K2661">
        <v>43.71</v>
      </c>
      <c r="L2661">
        <v>0</v>
      </c>
      <c r="M2661" s="1" t="s">
        <v>21</v>
      </c>
      <c r="N2661" s="1" t="s">
        <v>22</v>
      </c>
      <c r="O2661" s="2">
        <v>46116</v>
      </c>
      <c r="P2661" s="2">
        <v>46116</v>
      </c>
      <c r="Q2661">
        <f>_xlfn.XLOOKUP(E2661,CPT!$A$2:$A$13,CPT!$D$2:$D$13)</f>
        <v>145</v>
      </c>
      <c r="R2661" s="1">
        <f>_xlfn.XLOOKUP(C2661,Contract!$A$2:$A$9,Contract!$B$2:$B$9)</f>
        <v>0.36</v>
      </c>
      <c r="S2661" s="1">
        <f t="shared" si="164"/>
        <v>52.2</v>
      </c>
      <c r="T2661" s="1">
        <f t="shared" si="165"/>
        <v>8.490000000000002</v>
      </c>
      <c r="U2661" s="1" t="str">
        <f t="shared" si="166"/>
        <v>Underpaid</v>
      </c>
      <c r="V2661" s="1" t="str">
        <f>_xlfn.XLOOKUP(C2661,Payers!$A$2:$A$9,Payers!$B$2:$B$9)</f>
        <v>Medicare Part B</v>
      </c>
      <c r="W2661" s="1" t="str">
        <f t="shared" si="167"/>
        <v>2026-03</v>
      </c>
    </row>
    <row r="2662" spans="1:23">
      <c r="A2662" s="1" t="s">
        <v>4582</v>
      </c>
      <c r="B2662" s="1" t="s">
        <v>4583</v>
      </c>
      <c r="C2662" s="1" t="s">
        <v>52</v>
      </c>
      <c r="D2662" s="1" t="s">
        <v>26</v>
      </c>
      <c r="E2662" s="1" t="s">
        <v>113</v>
      </c>
      <c r="F2662">
        <v>1</v>
      </c>
      <c r="G2662" s="2">
        <v>46046</v>
      </c>
      <c r="H2662" s="2">
        <v>46049</v>
      </c>
      <c r="I2662">
        <v>1070.8599999999999</v>
      </c>
      <c r="M2662" s="1" t="s">
        <v>32</v>
      </c>
      <c r="N2662" s="1" t="s">
        <v>33</v>
      </c>
      <c r="O2662" s="2">
        <v>46089</v>
      </c>
      <c r="P2662" s="2"/>
      <c r="Q2662">
        <f>_xlfn.XLOOKUP(E2662,CPT!$A$2:$A$13,CPT!$D$2:$D$13)</f>
        <v>1050</v>
      </c>
      <c r="R2662" s="1">
        <f>_xlfn.XLOOKUP(C2662,Contract!$A$2:$A$9,Contract!$B$2:$B$9)</f>
        <v>0.47</v>
      </c>
      <c r="S2662" s="1">
        <f t="shared" si="164"/>
        <v>493.5</v>
      </c>
      <c r="T2662" s="1" t="str">
        <f t="shared" si="165"/>
        <v/>
      </c>
      <c r="U2662" s="1" t="str">
        <f t="shared" si="166"/>
        <v/>
      </c>
      <c r="V2662" s="1" t="str">
        <f>_xlfn.XLOOKUP(C2662,Payers!$A$2:$A$9,Payers!$B$2:$B$9)</f>
        <v>Keystone Commercial PPO</v>
      </c>
      <c r="W2662" s="1" t="str">
        <f t="shared" si="167"/>
        <v>2026-01</v>
      </c>
    </row>
    <row r="2663" spans="1:23">
      <c r="A2663" s="1" t="s">
        <v>4584</v>
      </c>
      <c r="B2663" s="1" t="s">
        <v>4585</v>
      </c>
      <c r="C2663" s="1" t="s">
        <v>47</v>
      </c>
      <c r="D2663" s="1" t="s">
        <v>19</v>
      </c>
      <c r="E2663" s="1" t="s">
        <v>88</v>
      </c>
      <c r="F2663">
        <v>1</v>
      </c>
      <c r="G2663" s="2">
        <v>46019</v>
      </c>
      <c r="H2663" s="2">
        <v>46024</v>
      </c>
      <c r="I2663">
        <v>255.21</v>
      </c>
      <c r="J2663">
        <v>78.989999999999995</v>
      </c>
      <c r="K2663">
        <v>63.19</v>
      </c>
      <c r="L2663">
        <v>15.8</v>
      </c>
      <c r="M2663" s="1" t="s">
        <v>21</v>
      </c>
      <c r="N2663" s="1" t="s">
        <v>22</v>
      </c>
      <c r="O2663" s="2">
        <v>46073</v>
      </c>
      <c r="P2663" s="2">
        <v>46073</v>
      </c>
      <c r="Q2663">
        <f>_xlfn.XLOOKUP(E2663,CPT!$A$2:$A$13,CPT!$D$2:$D$13)</f>
        <v>260</v>
      </c>
      <c r="R2663" s="1">
        <f>_xlfn.XLOOKUP(C2663,Contract!$A$2:$A$9,Contract!$B$2:$B$9)</f>
        <v>0.28000000000000003</v>
      </c>
      <c r="S2663" s="1">
        <f t="shared" si="164"/>
        <v>72.8</v>
      </c>
      <c r="T2663" s="1">
        <f t="shared" si="165"/>
        <v>-6.1899999999999977</v>
      </c>
      <c r="U2663" s="1" t="str">
        <f t="shared" si="166"/>
        <v>OK</v>
      </c>
      <c r="V2663" s="1" t="str">
        <f>_xlfn.XLOOKUP(C2663,Payers!$A$2:$A$9,Payers!$B$2:$B$9)</f>
        <v>Coastal Medicaid MCO</v>
      </c>
      <c r="W2663" s="1" t="str">
        <f t="shared" si="167"/>
        <v>2025-12</v>
      </c>
    </row>
    <row r="2664" spans="1:23">
      <c r="A2664" s="1" t="s">
        <v>4586</v>
      </c>
      <c r="B2664" s="1" t="s">
        <v>4253</v>
      </c>
      <c r="C2664" s="1" t="s">
        <v>60</v>
      </c>
      <c r="D2664" s="1" t="s">
        <v>37</v>
      </c>
      <c r="E2664" s="1" t="s">
        <v>38</v>
      </c>
      <c r="F2664">
        <v>10</v>
      </c>
      <c r="G2664" s="2">
        <v>46100</v>
      </c>
      <c r="H2664" s="2">
        <v>46102</v>
      </c>
      <c r="I2664">
        <v>14360.5</v>
      </c>
      <c r="J2664">
        <v>5895.92</v>
      </c>
      <c r="K2664">
        <v>5895.92</v>
      </c>
      <c r="L2664">
        <v>0</v>
      </c>
      <c r="M2664" s="1" t="s">
        <v>21</v>
      </c>
      <c r="N2664" s="1" t="s">
        <v>22</v>
      </c>
      <c r="O2664" s="2">
        <v>46143</v>
      </c>
      <c r="P2664" s="2">
        <v>46143</v>
      </c>
      <c r="Q2664">
        <f>_xlfn.XLOOKUP(E2664,CPT!$A$2:$A$13,CPT!$D$2:$D$13)</f>
        <v>1450</v>
      </c>
      <c r="R2664" s="1">
        <f>_xlfn.XLOOKUP(C2664,Contract!$A$2:$A$9,Contract!$B$2:$B$9)</f>
        <v>0.45</v>
      </c>
      <c r="S2664" s="1">
        <f t="shared" si="164"/>
        <v>6525</v>
      </c>
      <c r="T2664" s="1">
        <f t="shared" si="165"/>
        <v>629.07999999999993</v>
      </c>
      <c r="U2664" s="1" t="str">
        <f t="shared" si="166"/>
        <v>Underpaid</v>
      </c>
      <c r="V2664" s="1" t="str">
        <f>_xlfn.XLOOKUP(C2664,Payers!$A$2:$A$9,Payers!$B$2:$B$9)</f>
        <v>Blue Horizon Commercial</v>
      </c>
      <c r="W2664" s="1" t="str">
        <f t="shared" si="167"/>
        <v>2026-03</v>
      </c>
    </row>
    <row r="2665" spans="1:23">
      <c r="A2665" s="1" t="s">
        <v>4587</v>
      </c>
      <c r="B2665" s="1" t="s">
        <v>237</v>
      </c>
      <c r="C2665" s="1" t="s">
        <v>60</v>
      </c>
      <c r="D2665" s="1" t="s">
        <v>19</v>
      </c>
      <c r="E2665" s="1" t="s">
        <v>57</v>
      </c>
      <c r="F2665">
        <v>1</v>
      </c>
      <c r="G2665" s="2">
        <v>46107</v>
      </c>
      <c r="H2665" s="2">
        <v>46114</v>
      </c>
      <c r="I2665">
        <v>213.98</v>
      </c>
      <c r="J2665">
        <v>81.99</v>
      </c>
      <c r="K2665">
        <v>81.99</v>
      </c>
      <c r="L2665">
        <v>0</v>
      </c>
      <c r="M2665" s="1" t="s">
        <v>21</v>
      </c>
      <c r="N2665" s="1" t="s">
        <v>22</v>
      </c>
      <c r="O2665" s="2">
        <v>46136</v>
      </c>
      <c r="P2665" s="2">
        <v>46136</v>
      </c>
      <c r="Q2665">
        <f>_xlfn.XLOOKUP(E2665,CPT!$A$2:$A$13,CPT!$D$2:$D$13)</f>
        <v>210</v>
      </c>
      <c r="R2665" s="1">
        <f>_xlfn.XLOOKUP(C2665,Contract!$A$2:$A$9,Contract!$B$2:$B$9)</f>
        <v>0.45</v>
      </c>
      <c r="S2665" s="1">
        <f t="shared" si="164"/>
        <v>94.5</v>
      </c>
      <c r="T2665" s="1">
        <f t="shared" si="165"/>
        <v>12.510000000000005</v>
      </c>
      <c r="U2665" s="1" t="str">
        <f t="shared" si="166"/>
        <v>Underpaid</v>
      </c>
      <c r="V2665" s="1" t="str">
        <f>_xlfn.XLOOKUP(C2665,Payers!$A$2:$A$9,Payers!$B$2:$B$9)</f>
        <v>Blue Horizon Commercial</v>
      </c>
      <c r="W2665" s="1" t="str">
        <f t="shared" si="167"/>
        <v>2026-03</v>
      </c>
    </row>
    <row r="2666" spans="1:23">
      <c r="A2666" s="1" t="s">
        <v>4588</v>
      </c>
      <c r="B2666" s="1" t="s">
        <v>766</v>
      </c>
      <c r="C2666" s="1" t="s">
        <v>18</v>
      </c>
      <c r="D2666" s="1" t="s">
        <v>26</v>
      </c>
      <c r="E2666" s="1" t="s">
        <v>44</v>
      </c>
      <c r="F2666">
        <v>1</v>
      </c>
      <c r="G2666" s="2">
        <v>46009</v>
      </c>
      <c r="H2666" s="2">
        <v>46011</v>
      </c>
      <c r="I2666">
        <v>4751.3500000000004</v>
      </c>
      <c r="J2666">
        <v>1829.38</v>
      </c>
      <c r="K2666">
        <v>1829.38</v>
      </c>
      <c r="L2666">
        <v>0</v>
      </c>
      <c r="M2666" s="1" t="s">
        <v>21</v>
      </c>
      <c r="N2666" s="1" t="s">
        <v>22</v>
      </c>
      <c r="O2666" s="2">
        <v>46059</v>
      </c>
      <c r="P2666" s="2">
        <v>46059</v>
      </c>
      <c r="Q2666">
        <f>_xlfn.XLOOKUP(E2666,CPT!$A$2:$A$13,CPT!$D$2:$D$13)</f>
        <v>4800</v>
      </c>
      <c r="R2666" s="1">
        <f>_xlfn.XLOOKUP(C2666,Contract!$A$2:$A$9,Contract!$B$2:$B$9)</f>
        <v>0.38</v>
      </c>
      <c r="S2666" s="1">
        <f t="shared" si="164"/>
        <v>1824</v>
      </c>
      <c r="T2666" s="1">
        <f t="shared" si="165"/>
        <v>-5.3800000000001091</v>
      </c>
      <c r="U2666" s="1" t="str">
        <f t="shared" si="166"/>
        <v>OK</v>
      </c>
      <c r="V2666" s="1" t="str">
        <f>_xlfn.XLOOKUP(C2666,Payers!$A$2:$A$9,Payers!$B$2:$B$9)</f>
        <v>Sunshine Medicare Advantage</v>
      </c>
      <c r="W2666" s="1" t="str">
        <f t="shared" si="167"/>
        <v>2025-12</v>
      </c>
    </row>
    <row r="2667" spans="1:23">
      <c r="A2667" s="1" t="s">
        <v>4589</v>
      </c>
      <c r="B2667" s="1" t="s">
        <v>2086</v>
      </c>
      <c r="C2667" s="1" t="s">
        <v>25</v>
      </c>
      <c r="D2667" s="1" t="s">
        <v>37</v>
      </c>
      <c r="E2667" s="1" t="s">
        <v>48</v>
      </c>
      <c r="F2667">
        <v>1</v>
      </c>
      <c r="G2667" s="2">
        <v>46081</v>
      </c>
      <c r="H2667" s="2">
        <v>46084</v>
      </c>
      <c r="I2667">
        <v>410.03</v>
      </c>
      <c r="J2667">
        <v>149.33000000000001</v>
      </c>
      <c r="K2667">
        <v>149.33000000000001</v>
      </c>
      <c r="L2667">
        <v>0</v>
      </c>
      <c r="M2667" s="1" t="s">
        <v>21</v>
      </c>
      <c r="N2667" s="1" t="s">
        <v>22</v>
      </c>
      <c r="O2667" s="2">
        <v>46093</v>
      </c>
      <c r="P2667" s="2">
        <v>46093</v>
      </c>
      <c r="Q2667">
        <f>_xlfn.XLOOKUP(E2667,CPT!$A$2:$A$13,CPT!$D$2:$D$13)</f>
        <v>420</v>
      </c>
      <c r="R2667" s="1">
        <f>_xlfn.XLOOKUP(C2667,Contract!$A$2:$A$9,Contract!$B$2:$B$9)</f>
        <v>0.36</v>
      </c>
      <c r="S2667" s="1">
        <f t="shared" si="164"/>
        <v>151.19999999999999</v>
      </c>
      <c r="T2667" s="1">
        <f t="shared" si="165"/>
        <v>1.8699999999999761</v>
      </c>
      <c r="U2667" s="1" t="str">
        <f t="shared" si="166"/>
        <v>OK</v>
      </c>
      <c r="V2667" s="1" t="str">
        <f>_xlfn.XLOOKUP(C2667,Payers!$A$2:$A$9,Payers!$B$2:$B$9)</f>
        <v>Medicare Part B</v>
      </c>
      <c r="W2667" s="1" t="str">
        <f t="shared" si="167"/>
        <v>2026-02</v>
      </c>
    </row>
    <row r="2668" spans="1:23">
      <c r="A2668" s="1" t="s">
        <v>4590</v>
      </c>
      <c r="B2668" s="1" t="s">
        <v>542</v>
      </c>
      <c r="C2668" s="1" t="s">
        <v>25</v>
      </c>
      <c r="D2668" s="1" t="s">
        <v>37</v>
      </c>
      <c r="E2668" s="1" t="s">
        <v>48</v>
      </c>
      <c r="F2668">
        <v>1</v>
      </c>
      <c r="G2668" s="2">
        <v>46077</v>
      </c>
      <c r="H2668" s="2">
        <v>46082</v>
      </c>
      <c r="I2668">
        <v>417.47</v>
      </c>
      <c r="J2668">
        <v>145.19</v>
      </c>
      <c r="K2668">
        <v>116.15</v>
      </c>
      <c r="L2668">
        <v>29.04</v>
      </c>
      <c r="M2668" s="1" t="s">
        <v>21</v>
      </c>
      <c r="N2668" s="1" t="s">
        <v>22</v>
      </c>
      <c r="O2668" s="2">
        <v>46102</v>
      </c>
      <c r="P2668" s="2">
        <v>46102</v>
      </c>
      <c r="Q2668">
        <f>_xlfn.XLOOKUP(E2668,CPT!$A$2:$A$13,CPT!$D$2:$D$13)</f>
        <v>420</v>
      </c>
      <c r="R2668" s="1">
        <f>_xlfn.XLOOKUP(C2668,Contract!$A$2:$A$9,Contract!$B$2:$B$9)</f>
        <v>0.36</v>
      </c>
      <c r="S2668" s="1">
        <f t="shared" si="164"/>
        <v>151.19999999999999</v>
      </c>
      <c r="T2668" s="1">
        <f t="shared" si="165"/>
        <v>6.0099999999999909</v>
      </c>
      <c r="U2668" s="1" t="str">
        <f t="shared" si="166"/>
        <v>OK</v>
      </c>
      <c r="V2668" s="1" t="str">
        <f>_xlfn.XLOOKUP(C2668,Payers!$A$2:$A$9,Payers!$B$2:$B$9)</f>
        <v>Medicare Part B</v>
      </c>
      <c r="W2668" s="1" t="str">
        <f t="shared" si="167"/>
        <v>2026-02</v>
      </c>
    </row>
    <row r="2669" spans="1:23">
      <c r="A2669" s="1" t="s">
        <v>4591</v>
      </c>
      <c r="B2669" s="1" t="s">
        <v>3440</v>
      </c>
      <c r="C2669" s="1" t="s">
        <v>52</v>
      </c>
      <c r="D2669" s="1" t="s">
        <v>26</v>
      </c>
      <c r="E2669" s="1" t="s">
        <v>185</v>
      </c>
      <c r="F2669">
        <v>1</v>
      </c>
      <c r="G2669" s="2">
        <v>46066</v>
      </c>
      <c r="H2669" s="2">
        <v>46069</v>
      </c>
      <c r="I2669">
        <v>1166.98</v>
      </c>
      <c r="J2669">
        <v>501.17</v>
      </c>
      <c r="K2669">
        <v>501.17</v>
      </c>
      <c r="L2669">
        <v>0</v>
      </c>
      <c r="M2669" s="1" t="s">
        <v>21</v>
      </c>
      <c r="N2669" s="1" t="s">
        <v>22</v>
      </c>
      <c r="O2669" s="2">
        <v>46087</v>
      </c>
      <c r="P2669" s="2">
        <v>46087</v>
      </c>
      <c r="Q2669">
        <f>_xlfn.XLOOKUP(E2669,CPT!$A$2:$A$13,CPT!$D$2:$D$13)</f>
        <v>1150</v>
      </c>
      <c r="R2669" s="1">
        <f>_xlfn.XLOOKUP(C2669,Contract!$A$2:$A$9,Contract!$B$2:$B$9)</f>
        <v>0.47</v>
      </c>
      <c r="S2669" s="1">
        <f t="shared" si="164"/>
        <v>540.5</v>
      </c>
      <c r="T2669" s="1">
        <f t="shared" si="165"/>
        <v>39.329999999999984</v>
      </c>
      <c r="U2669" s="1" t="str">
        <f t="shared" si="166"/>
        <v>Underpaid</v>
      </c>
      <c r="V2669" s="1" t="str">
        <f>_xlfn.XLOOKUP(C2669,Payers!$A$2:$A$9,Payers!$B$2:$B$9)</f>
        <v>Keystone Commercial PPO</v>
      </c>
      <c r="W2669" s="1" t="str">
        <f t="shared" si="167"/>
        <v>2026-02</v>
      </c>
    </row>
    <row r="2670" spans="1:23">
      <c r="A2670" s="1" t="s">
        <v>4592</v>
      </c>
      <c r="B2670" s="1" t="s">
        <v>4593</v>
      </c>
      <c r="C2670" s="1" t="s">
        <v>60</v>
      </c>
      <c r="D2670" s="1" t="s">
        <v>30</v>
      </c>
      <c r="E2670" s="1" t="s">
        <v>20</v>
      </c>
      <c r="F2670">
        <v>1</v>
      </c>
      <c r="G2670" s="2">
        <v>46209</v>
      </c>
      <c r="H2670" s="2">
        <v>46211</v>
      </c>
      <c r="I2670">
        <v>145.88999999999999</v>
      </c>
      <c r="J2670">
        <v>56.03</v>
      </c>
      <c r="K2670">
        <v>56.03</v>
      </c>
      <c r="L2670">
        <v>0</v>
      </c>
      <c r="M2670" s="1" t="s">
        <v>21</v>
      </c>
      <c r="N2670" s="1" t="s">
        <v>22</v>
      </c>
      <c r="O2670" s="2">
        <v>46234</v>
      </c>
      <c r="P2670" s="2">
        <v>46234</v>
      </c>
      <c r="Q2670">
        <f>_xlfn.XLOOKUP(E2670,CPT!$A$2:$A$13,CPT!$D$2:$D$13)</f>
        <v>145</v>
      </c>
      <c r="R2670" s="1">
        <f>_xlfn.XLOOKUP(C2670,Contract!$A$2:$A$9,Contract!$B$2:$B$9)</f>
        <v>0.45</v>
      </c>
      <c r="S2670" s="1">
        <f t="shared" si="164"/>
        <v>65.25</v>
      </c>
      <c r="T2670" s="1">
        <f t="shared" si="165"/>
        <v>9.2199999999999989</v>
      </c>
      <c r="U2670" s="1" t="str">
        <f t="shared" si="166"/>
        <v>Underpaid</v>
      </c>
      <c r="V2670" s="1" t="str">
        <f>_xlfn.XLOOKUP(C2670,Payers!$A$2:$A$9,Payers!$B$2:$B$9)</f>
        <v>Blue Horizon Commercial</v>
      </c>
      <c r="W2670" s="1" t="str">
        <f t="shared" si="167"/>
        <v>2026-07</v>
      </c>
    </row>
    <row r="2671" spans="1:23">
      <c r="A2671" s="1" t="s">
        <v>4594</v>
      </c>
      <c r="B2671" s="1" t="s">
        <v>4595</v>
      </c>
      <c r="C2671" s="1" t="s">
        <v>47</v>
      </c>
      <c r="D2671" s="1" t="s">
        <v>37</v>
      </c>
      <c r="E2671" s="1" t="s">
        <v>48</v>
      </c>
      <c r="F2671">
        <v>1</v>
      </c>
      <c r="G2671" s="2">
        <v>46229</v>
      </c>
      <c r="H2671" s="2">
        <v>46234</v>
      </c>
      <c r="I2671">
        <v>428.58</v>
      </c>
      <c r="J2671">
        <v>106.91</v>
      </c>
      <c r="K2671">
        <v>96.22</v>
      </c>
      <c r="L2671">
        <v>10.69</v>
      </c>
      <c r="M2671" s="1" t="s">
        <v>21</v>
      </c>
      <c r="N2671" s="1" t="s">
        <v>22</v>
      </c>
      <c r="O2671" s="2">
        <v>46278</v>
      </c>
      <c r="P2671" s="2">
        <v>46278</v>
      </c>
      <c r="Q2671">
        <f>_xlfn.XLOOKUP(E2671,CPT!$A$2:$A$13,CPT!$D$2:$D$13)</f>
        <v>420</v>
      </c>
      <c r="R2671" s="1">
        <f>_xlfn.XLOOKUP(C2671,Contract!$A$2:$A$9,Contract!$B$2:$B$9)</f>
        <v>0.28000000000000003</v>
      </c>
      <c r="S2671" s="1">
        <f t="shared" si="164"/>
        <v>117.6</v>
      </c>
      <c r="T2671" s="1">
        <f t="shared" si="165"/>
        <v>10.689999999999998</v>
      </c>
      <c r="U2671" s="1" t="str">
        <f t="shared" si="166"/>
        <v>Underpaid</v>
      </c>
      <c r="V2671" s="1" t="str">
        <f>_xlfn.XLOOKUP(C2671,Payers!$A$2:$A$9,Payers!$B$2:$B$9)</f>
        <v>Coastal Medicaid MCO</v>
      </c>
      <c r="W2671" s="1" t="str">
        <f t="shared" si="167"/>
        <v>2026-07</v>
      </c>
    </row>
    <row r="2672" spans="1:23">
      <c r="A2672" s="1" t="s">
        <v>4596</v>
      </c>
      <c r="B2672" s="1" t="s">
        <v>2112</v>
      </c>
      <c r="C2672" s="1" t="s">
        <v>25</v>
      </c>
      <c r="D2672" s="1" t="s">
        <v>19</v>
      </c>
      <c r="E2672" s="1" t="s">
        <v>20</v>
      </c>
      <c r="F2672">
        <v>1</v>
      </c>
      <c r="G2672" s="2">
        <v>46235</v>
      </c>
      <c r="H2672" s="2">
        <v>46236</v>
      </c>
      <c r="I2672">
        <v>143.46</v>
      </c>
      <c r="J2672">
        <v>55.15</v>
      </c>
      <c r="K2672">
        <v>55.15</v>
      </c>
      <c r="L2672">
        <v>0</v>
      </c>
      <c r="M2672" s="1" t="s">
        <v>21</v>
      </c>
      <c r="N2672" s="1" t="s">
        <v>22</v>
      </c>
      <c r="O2672" s="2">
        <v>46256</v>
      </c>
      <c r="P2672" s="2">
        <v>46256</v>
      </c>
      <c r="Q2672">
        <f>_xlfn.XLOOKUP(E2672,CPT!$A$2:$A$13,CPT!$D$2:$D$13)</f>
        <v>145</v>
      </c>
      <c r="R2672" s="1">
        <f>_xlfn.XLOOKUP(C2672,Contract!$A$2:$A$9,Contract!$B$2:$B$9)</f>
        <v>0.36</v>
      </c>
      <c r="S2672" s="1">
        <f t="shared" si="164"/>
        <v>52.2</v>
      </c>
      <c r="T2672" s="1">
        <f t="shared" si="165"/>
        <v>-2.9499999999999957</v>
      </c>
      <c r="U2672" s="1" t="str">
        <f t="shared" si="166"/>
        <v>OK</v>
      </c>
      <c r="V2672" s="1" t="str">
        <f>_xlfn.XLOOKUP(C2672,Payers!$A$2:$A$9,Payers!$B$2:$B$9)</f>
        <v>Medicare Part B</v>
      </c>
      <c r="W2672" s="1" t="str">
        <f t="shared" si="167"/>
        <v>2026-08</v>
      </c>
    </row>
    <row r="2673" spans="1:23">
      <c r="A2673" s="1" t="s">
        <v>4597</v>
      </c>
      <c r="B2673" s="1" t="s">
        <v>2739</v>
      </c>
      <c r="C2673" s="1" t="s">
        <v>47</v>
      </c>
      <c r="D2673" s="1" t="s">
        <v>26</v>
      </c>
      <c r="E2673" s="1" t="s">
        <v>41</v>
      </c>
      <c r="F2673">
        <v>1</v>
      </c>
      <c r="G2673" s="2">
        <v>46186</v>
      </c>
      <c r="H2673" s="2">
        <v>46192</v>
      </c>
      <c r="I2673">
        <v>37.07</v>
      </c>
      <c r="M2673" s="1" t="s">
        <v>69</v>
      </c>
      <c r="N2673" s="1" t="s">
        <v>22</v>
      </c>
      <c r="O2673" s="2"/>
      <c r="P2673" s="2"/>
      <c r="Q2673">
        <f>_xlfn.XLOOKUP(E2673,CPT!$A$2:$A$13,CPT!$D$2:$D$13)</f>
        <v>38</v>
      </c>
      <c r="R2673" s="1">
        <f>_xlfn.XLOOKUP(C2673,Contract!$A$2:$A$9,Contract!$B$2:$B$9)</f>
        <v>0.28000000000000003</v>
      </c>
      <c r="S2673" s="1">
        <f t="shared" si="164"/>
        <v>10.64</v>
      </c>
      <c r="T2673" s="1" t="str">
        <f t="shared" si="165"/>
        <v/>
      </c>
      <c r="U2673" s="1" t="str">
        <f t="shared" si="166"/>
        <v/>
      </c>
      <c r="V2673" s="1" t="str">
        <f>_xlfn.XLOOKUP(C2673,Payers!$A$2:$A$9,Payers!$B$2:$B$9)</f>
        <v>Coastal Medicaid MCO</v>
      </c>
      <c r="W2673" s="1" t="str">
        <f t="shared" si="167"/>
        <v>2026-06</v>
      </c>
    </row>
    <row r="2674" spans="1:23">
      <c r="A2674" s="1" t="s">
        <v>4598</v>
      </c>
      <c r="B2674" s="1" t="s">
        <v>4599</v>
      </c>
      <c r="C2674" s="1" t="s">
        <v>47</v>
      </c>
      <c r="D2674" s="1" t="s">
        <v>19</v>
      </c>
      <c r="E2674" s="1" t="s">
        <v>88</v>
      </c>
      <c r="F2674">
        <v>1</v>
      </c>
      <c r="G2674" s="2">
        <v>46211</v>
      </c>
      <c r="H2674" s="2">
        <v>46212</v>
      </c>
      <c r="I2674">
        <v>264.29000000000002</v>
      </c>
      <c r="M2674" s="1" t="s">
        <v>69</v>
      </c>
      <c r="N2674" s="1" t="s">
        <v>22</v>
      </c>
      <c r="O2674" s="2"/>
      <c r="P2674" s="2"/>
      <c r="Q2674">
        <f>_xlfn.XLOOKUP(E2674,CPT!$A$2:$A$13,CPT!$D$2:$D$13)</f>
        <v>260</v>
      </c>
      <c r="R2674" s="1">
        <f>_xlfn.XLOOKUP(C2674,Contract!$A$2:$A$9,Contract!$B$2:$B$9)</f>
        <v>0.28000000000000003</v>
      </c>
      <c r="S2674" s="1">
        <f t="shared" si="164"/>
        <v>72.8</v>
      </c>
      <c r="T2674" s="1" t="str">
        <f t="shared" si="165"/>
        <v/>
      </c>
      <c r="U2674" s="1" t="str">
        <f t="shared" si="166"/>
        <v/>
      </c>
      <c r="V2674" s="1" t="str">
        <f>_xlfn.XLOOKUP(C2674,Payers!$A$2:$A$9,Payers!$B$2:$B$9)</f>
        <v>Coastal Medicaid MCO</v>
      </c>
      <c r="W2674" s="1" t="str">
        <f t="shared" si="167"/>
        <v>2026-07</v>
      </c>
    </row>
    <row r="2675" spans="1:23">
      <c r="A2675" s="1" t="s">
        <v>4600</v>
      </c>
      <c r="B2675" s="1" t="s">
        <v>4601</v>
      </c>
      <c r="C2675" s="1" t="s">
        <v>76</v>
      </c>
      <c r="D2675" s="1" t="s">
        <v>19</v>
      </c>
      <c r="E2675" s="1" t="s">
        <v>57</v>
      </c>
      <c r="F2675">
        <v>1</v>
      </c>
      <c r="G2675" s="2">
        <v>46165</v>
      </c>
      <c r="H2675" s="2">
        <v>46170</v>
      </c>
      <c r="I2675">
        <v>203.97</v>
      </c>
      <c r="J2675">
        <v>78.13</v>
      </c>
      <c r="K2675">
        <v>62.5</v>
      </c>
      <c r="L2675">
        <v>15.63</v>
      </c>
      <c r="M2675" s="1" t="s">
        <v>21</v>
      </c>
      <c r="N2675" s="1" t="s">
        <v>22</v>
      </c>
      <c r="O2675" s="2">
        <v>46213</v>
      </c>
      <c r="P2675" s="2">
        <v>46213</v>
      </c>
      <c r="Q2675">
        <f>_xlfn.XLOOKUP(E2675,CPT!$A$2:$A$13,CPT!$D$2:$D$13)</f>
        <v>210</v>
      </c>
      <c r="R2675" s="1">
        <f>_xlfn.XLOOKUP(C2675,Contract!$A$2:$A$9,Contract!$B$2:$B$9)</f>
        <v>0.43</v>
      </c>
      <c r="S2675" s="1">
        <f t="shared" si="164"/>
        <v>90.3</v>
      </c>
      <c r="T2675" s="1">
        <f t="shared" si="165"/>
        <v>12.170000000000002</v>
      </c>
      <c r="U2675" s="1" t="str">
        <f t="shared" si="166"/>
        <v>Underpaid</v>
      </c>
      <c r="V2675" s="1" t="str">
        <f>_xlfn.XLOOKUP(C2675,Payers!$A$2:$A$9,Payers!$B$2:$B$9)</f>
        <v>Summit Health Commercial</v>
      </c>
      <c r="W2675" s="1" t="str">
        <f t="shared" si="167"/>
        <v>2026-05</v>
      </c>
    </row>
    <row r="2676" spans="1:23">
      <c r="A2676" s="1" t="s">
        <v>4602</v>
      </c>
      <c r="B2676" s="1" t="s">
        <v>4603</v>
      </c>
      <c r="C2676" s="1" t="s">
        <v>76</v>
      </c>
      <c r="D2676" s="1" t="s">
        <v>30</v>
      </c>
      <c r="E2676" s="1" t="s">
        <v>91</v>
      </c>
      <c r="F2676">
        <v>4</v>
      </c>
      <c r="G2676" s="2">
        <v>46151</v>
      </c>
      <c r="H2676" s="2">
        <v>46154</v>
      </c>
      <c r="I2676">
        <v>233.68</v>
      </c>
      <c r="J2676">
        <v>93.55</v>
      </c>
      <c r="K2676">
        <v>84.19</v>
      </c>
      <c r="L2676">
        <v>9.36</v>
      </c>
      <c r="M2676" s="1" t="s">
        <v>21</v>
      </c>
      <c r="N2676" s="1" t="s">
        <v>22</v>
      </c>
      <c r="O2676" s="2">
        <v>46194</v>
      </c>
      <c r="P2676" s="2">
        <v>46194</v>
      </c>
      <c r="Q2676">
        <f>_xlfn.XLOOKUP(E2676,CPT!$A$2:$A$13,CPT!$D$2:$D$13)</f>
        <v>58</v>
      </c>
      <c r="R2676" s="1">
        <f>_xlfn.XLOOKUP(C2676,Contract!$A$2:$A$9,Contract!$B$2:$B$9)</f>
        <v>0.43</v>
      </c>
      <c r="S2676" s="1">
        <f t="shared" si="164"/>
        <v>99.76</v>
      </c>
      <c r="T2676" s="1">
        <f t="shared" si="165"/>
        <v>6.210000000000008</v>
      </c>
      <c r="U2676" s="1" t="str">
        <f t="shared" si="166"/>
        <v>Underpaid</v>
      </c>
      <c r="V2676" s="1" t="str">
        <f>_xlfn.XLOOKUP(C2676,Payers!$A$2:$A$9,Payers!$B$2:$B$9)</f>
        <v>Summit Health Commercial</v>
      </c>
      <c r="W2676" s="1" t="str">
        <f t="shared" si="167"/>
        <v>2026-05</v>
      </c>
    </row>
    <row r="2677" spans="1:23">
      <c r="A2677" s="1" t="s">
        <v>4604</v>
      </c>
      <c r="B2677" s="1" t="s">
        <v>4605</v>
      </c>
      <c r="C2677" s="1" t="s">
        <v>60</v>
      </c>
      <c r="D2677" s="1" t="s">
        <v>19</v>
      </c>
      <c r="E2677" s="1" t="s">
        <v>88</v>
      </c>
      <c r="F2677">
        <v>1</v>
      </c>
      <c r="G2677" s="2">
        <v>46106</v>
      </c>
      <c r="H2677" s="2">
        <v>46111</v>
      </c>
      <c r="I2677">
        <v>257.26</v>
      </c>
      <c r="J2677">
        <v>111.69</v>
      </c>
      <c r="K2677">
        <v>111.69</v>
      </c>
      <c r="L2677">
        <v>0</v>
      </c>
      <c r="M2677" s="1" t="s">
        <v>21</v>
      </c>
      <c r="N2677" s="1" t="s">
        <v>22</v>
      </c>
      <c r="O2677" s="2">
        <v>46137</v>
      </c>
      <c r="P2677" s="2">
        <v>46137</v>
      </c>
      <c r="Q2677">
        <f>_xlfn.XLOOKUP(E2677,CPT!$A$2:$A$13,CPT!$D$2:$D$13)</f>
        <v>260</v>
      </c>
      <c r="R2677" s="1">
        <f>_xlfn.XLOOKUP(C2677,Contract!$A$2:$A$9,Contract!$B$2:$B$9)</f>
        <v>0.45</v>
      </c>
      <c r="S2677" s="1">
        <f t="shared" si="164"/>
        <v>117</v>
      </c>
      <c r="T2677" s="1">
        <f t="shared" si="165"/>
        <v>5.3100000000000023</v>
      </c>
      <c r="U2677" s="1" t="str">
        <f t="shared" si="166"/>
        <v>OK</v>
      </c>
      <c r="V2677" s="1" t="str">
        <f>_xlfn.XLOOKUP(C2677,Payers!$A$2:$A$9,Payers!$B$2:$B$9)</f>
        <v>Blue Horizon Commercial</v>
      </c>
      <c r="W2677" s="1" t="str">
        <f t="shared" si="167"/>
        <v>2026-03</v>
      </c>
    </row>
    <row r="2678" spans="1:23">
      <c r="A2678" s="1" t="s">
        <v>4606</v>
      </c>
      <c r="B2678" s="1" t="s">
        <v>4607</v>
      </c>
      <c r="C2678" s="1" t="s">
        <v>76</v>
      </c>
      <c r="D2678" s="1" t="s">
        <v>26</v>
      </c>
      <c r="E2678" s="1" t="s">
        <v>27</v>
      </c>
      <c r="F2678">
        <v>1</v>
      </c>
      <c r="G2678" s="2">
        <v>46077</v>
      </c>
      <c r="H2678" s="2">
        <v>46081</v>
      </c>
      <c r="I2678">
        <v>245.73</v>
      </c>
      <c r="J2678">
        <v>119.5</v>
      </c>
      <c r="K2678">
        <v>107.55</v>
      </c>
      <c r="L2678">
        <v>11.95</v>
      </c>
      <c r="M2678" s="1" t="s">
        <v>21</v>
      </c>
      <c r="N2678" s="1" t="s">
        <v>22</v>
      </c>
      <c r="O2678" s="2">
        <v>46111</v>
      </c>
      <c r="P2678" s="2">
        <v>46111</v>
      </c>
      <c r="Q2678">
        <f>_xlfn.XLOOKUP(E2678,CPT!$A$2:$A$13,CPT!$D$2:$D$13)</f>
        <v>240</v>
      </c>
      <c r="R2678" s="1">
        <f>_xlfn.XLOOKUP(C2678,Contract!$A$2:$A$9,Contract!$B$2:$B$9)</f>
        <v>0.43</v>
      </c>
      <c r="S2678" s="1">
        <f t="shared" si="164"/>
        <v>103.2</v>
      </c>
      <c r="T2678" s="1">
        <f t="shared" si="165"/>
        <v>-16.299999999999997</v>
      </c>
      <c r="U2678" s="1" t="str">
        <f t="shared" si="166"/>
        <v>OK</v>
      </c>
      <c r="V2678" s="1" t="str">
        <f>_xlfn.XLOOKUP(C2678,Payers!$A$2:$A$9,Payers!$B$2:$B$9)</f>
        <v>Summit Health Commercial</v>
      </c>
      <c r="W2678" s="1" t="str">
        <f t="shared" si="167"/>
        <v>2026-02</v>
      </c>
    </row>
    <row r="2679" spans="1:23">
      <c r="A2679" s="1" t="s">
        <v>4608</v>
      </c>
      <c r="B2679" s="1" t="s">
        <v>2282</v>
      </c>
      <c r="C2679" s="1" t="s">
        <v>47</v>
      </c>
      <c r="D2679" s="1" t="s">
        <v>30</v>
      </c>
      <c r="E2679" s="1" t="s">
        <v>31</v>
      </c>
      <c r="F2679">
        <v>3</v>
      </c>
      <c r="G2679" s="2">
        <v>46273</v>
      </c>
      <c r="H2679" s="2">
        <v>46276</v>
      </c>
      <c r="I2679">
        <v>187.62</v>
      </c>
      <c r="M2679" s="1" t="s">
        <v>69</v>
      </c>
      <c r="N2679" s="1" t="s">
        <v>22</v>
      </c>
      <c r="O2679" s="2"/>
      <c r="P2679" s="2"/>
      <c r="Q2679">
        <f>_xlfn.XLOOKUP(E2679,CPT!$A$2:$A$13,CPT!$D$2:$D$13)</f>
        <v>62</v>
      </c>
      <c r="R2679" s="1">
        <f>_xlfn.XLOOKUP(C2679,Contract!$A$2:$A$9,Contract!$B$2:$B$9)</f>
        <v>0.28000000000000003</v>
      </c>
      <c r="S2679" s="1">
        <f t="shared" si="164"/>
        <v>52.08</v>
      </c>
      <c r="T2679" s="1" t="str">
        <f t="shared" si="165"/>
        <v/>
      </c>
      <c r="U2679" s="1" t="str">
        <f t="shared" si="166"/>
        <v/>
      </c>
      <c r="V2679" s="1" t="str">
        <f>_xlfn.XLOOKUP(C2679,Payers!$A$2:$A$9,Payers!$B$2:$B$9)</f>
        <v>Coastal Medicaid MCO</v>
      </c>
      <c r="W2679" s="1" t="str">
        <f t="shared" si="167"/>
        <v>2026-09</v>
      </c>
    </row>
    <row r="2680" spans="1:23">
      <c r="A2680" s="1" t="s">
        <v>4609</v>
      </c>
      <c r="B2680" s="1" t="s">
        <v>3403</v>
      </c>
      <c r="C2680" s="1" t="s">
        <v>60</v>
      </c>
      <c r="D2680" s="1" t="s">
        <v>19</v>
      </c>
      <c r="E2680" s="1" t="s">
        <v>57</v>
      </c>
      <c r="F2680">
        <v>1</v>
      </c>
      <c r="G2680" s="2">
        <v>46122</v>
      </c>
      <c r="H2680" s="2">
        <v>46127</v>
      </c>
      <c r="I2680">
        <v>209.89</v>
      </c>
      <c r="J2680">
        <v>81.52</v>
      </c>
      <c r="K2680">
        <v>81.52</v>
      </c>
      <c r="L2680">
        <v>0</v>
      </c>
      <c r="M2680" s="1" t="s">
        <v>21</v>
      </c>
      <c r="N2680" s="1" t="s">
        <v>22</v>
      </c>
      <c r="O2680" s="2">
        <v>46159</v>
      </c>
      <c r="P2680" s="2">
        <v>46159</v>
      </c>
      <c r="Q2680">
        <f>_xlfn.XLOOKUP(E2680,CPT!$A$2:$A$13,CPT!$D$2:$D$13)</f>
        <v>210</v>
      </c>
      <c r="R2680" s="1">
        <f>_xlfn.XLOOKUP(C2680,Contract!$A$2:$A$9,Contract!$B$2:$B$9)</f>
        <v>0.45</v>
      </c>
      <c r="S2680" s="1">
        <f t="shared" si="164"/>
        <v>94.5</v>
      </c>
      <c r="T2680" s="1">
        <f t="shared" si="165"/>
        <v>12.980000000000004</v>
      </c>
      <c r="U2680" s="1" t="str">
        <f t="shared" si="166"/>
        <v>Underpaid</v>
      </c>
      <c r="V2680" s="1" t="str">
        <f>_xlfn.XLOOKUP(C2680,Payers!$A$2:$A$9,Payers!$B$2:$B$9)</f>
        <v>Blue Horizon Commercial</v>
      </c>
      <c r="W2680" s="1" t="str">
        <f t="shared" si="167"/>
        <v>2026-04</v>
      </c>
    </row>
    <row r="2681" spans="1:23">
      <c r="A2681" s="1" t="s">
        <v>4610</v>
      </c>
      <c r="B2681" s="1" t="s">
        <v>2675</v>
      </c>
      <c r="C2681" s="1" t="s">
        <v>52</v>
      </c>
      <c r="D2681" s="1" t="s">
        <v>19</v>
      </c>
      <c r="E2681" s="1" t="s">
        <v>88</v>
      </c>
      <c r="F2681">
        <v>1</v>
      </c>
      <c r="G2681" s="2">
        <v>45944</v>
      </c>
      <c r="H2681" s="2">
        <v>45950</v>
      </c>
      <c r="I2681">
        <v>260.2</v>
      </c>
      <c r="M2681" s="1" t="s">
        <v>32</v>
      </c>
      <c r="N2681" s="1" t="s">
        <v>49</v>
      </c>
      <c r="O2681" s="2">
        <v>46017</v>
      </c>
      <c r="P2681" s="2"/>
      <c r="Q2681">
        <f>_xlfn.XLOOKUP(E2681,CPT!$A$2:$A$13,CPT!$D$2:$D$13)</f>
        <v>260</v>
      </c>
      <c r="R2681" s="1">
        <f>_xlfn.XLOOKUP(C2681,Contract!$A$2:$A$9,Contract!$B$2:$B$9)</f>
        <v>0.47</v>
      </c>
      <c r="S2681" s="1">
        <f t="shared" si="164"/>
        <v>122.2</v>
      </c>
      <c r="T2681" s="1" t="str">
        <f t="shared" si="165"/>
        <v/>
      </c>
      <c r="U2681" s="1" t="str">
        <f t="shared" si="166"/>
        <v/>
      </c>
      <c r="V2681" s="1" t="str">
        <f>_xlfn.XLOOKUP(C2681,Payers!$A$2:$A$9,Payers!$B$2:$B$9)</f>
        <v>Keystone Commercial PPO</v>
      </c>
      <c r="W2681" s="1" t="str">
        <f t="shared" si="167"/>
        <v>2025-10</v>
      </c>
    </row>
    <row r="2682" spans="1:23">
      <c r="A2682" s="1" t="s">
        <v>4611</v>
      </c>
      <c r="B2682" s="1" t="s">
        <v>1588</v>
      </c>
      <c r="C2682" s="1" t="s">
        <v>18</v>
      </c>
      <c r="D2682" s="1" t="s">
        <v>26</v>
      </c>
      <c r="E2682" s="1" t="s">
        <v>57</v>
      </c>
      <c r="F2682">
        <v>1</v>
      </c>
      <c r="G2682" s="2">
        <v>46076</v>
      </c>
      <c r="H2682" s="2">
        <v>46078</v>
      </c>
      <c r="I2682">
        <v>214.76</v>
      </c>
      <c r="J2682">
        <v>73.790000000000006</v>
      </c>
      <c r="K2682">
        <v>73.790000000000006</v>
      </c>
      <c r="L2682">
        <v>0</v>
      </c>
      <c r="M2682" s="1" t="s">
        <v>21</v>
      </c>
      <c r="N2682" s="1" t="s">
        <v>22</v>
      </c>
      <c r="O2682" s="2">
        <v>46138</v>
      </c>
      <c r="P2682" s="2">
        <v>46138</v>
      </c>
      <c r="Q2682">
        <f>_xlfn.XLOOKUP(E2682,CPT!$A$2:$A$13,CPT!$D$2:$D$13)</f>
        <v>210</v>
      </c>
      <c r="R2682" s="1">
        <f>_xlfn.XLOOKUP(C2682,Contract!$A$2:$A$9,Contract!$B$2:$B$9)</f>
        <v>0.38</v>
      </c>
      <c r="S2682" s="1">
        <f t="shared" si="164"/>
        <v>79.8</v>
      </c>
      <c r="T2682" s="1">
        <f t="shared" si="165"/>
        <v>6.0099999999999909</v>
      </c>
      <c r="U2682" s="1" t="str">
        <f t="shared" si="166"/>
        <v>Underpaid</v>
      </c>
      <c r="V2682" s="1" t="str">
        <f>_xlfn.XLOOKUP(C2682,Payers!$A$2:$A$9,Payers!$B$2:$B$9)</f>
        <v>Sunshine Medicare Advantage</v>
      </c>
      <c r="W2682" s="1" t="str">
        <f t="shared" si="167"/>
        <v>2026-02</v>
      </c>
    </row>
    <row r="2683" spans="1:23">
      <c r="A2683" s="1" t="s">
        <v>4612</v>
      </c>
      <c r="B2683" s="1" t="s">
        <v>1876</v>
      </c>
      <c r="C2683" s="1" t="s">
        <v>25</v>
      </c>
      <c r="D2683" s="1" t="s">
        <v>37</v>
      </c>
      <c r="E2683" s="1" t="s">
        <v>38</v>
      </c>
      <c r="F2683">
        <v>10</v>
      </c>
      <c r="G2683" s="2">
        <v>45977</v>
      </c>
      <c r="H2683" s="2">
        <v>45978</v>
      </c>
      <c r="I2683">
        <v>14758.58</v>
      </c>
      <c r="J2683">
        <v>4550.72</v>
      </c>
      <c r="K2683">
        <v>4550.72</v>
      </c>
      <c r="L2683">
        <v>0</v>
      </c>
      <c r="M2683" s="1" t="s">
        <v>21</v>
      </c>
      <c r="N2683" s="1" t="s">
        <v>22</v>
      </c>
      <c r="O2683" s="2">
        <v>46004</v>
      </c>
      <c r="P2683" s="2">
        <v>46004</v>
      </c>
      <c r="Q2683">
        <f>_xlfn.XLOOKUP(E2683,CPT!$A$2:$A$13,CPT!$D$2:$D$13)</f>
        <v>1450</v>
      </c>
      <c r="R2683" s="1">
        <f>_xlfn.XLOOKUP(C2683,Contract!$A$2:$A$9,Contract!$B$2:$B$9)</f>
        <v>0.36</v>
      </c>
      <c r="S2683" s="1">
        <f t="shared" si="164"/>
        <v>5220</v>
      </c>
      <c r="T2683" s="1">
        <f t="shared" si="165"/>
        <v>669.27999999999975</v>
      </c>
      <c r="U2683" s="1" t="str">
        <f t="shared" si="166"/>
        <v>Underpaid</v>
      </c>
      <c r="V2683" s="1" t="str">
        <f>_xlfn.XLOOKUP(C2683,Payers!$A$2:$A$9,Payers!$B$2:$B$9)</f>
        <v>Medicare Part B</v>
      </c>
      <c r="W2683" s="1" t="str">
        <f t="shared" si="167"/>
        <v>2025-11</v>
      </c>
    </row>
    <row r="2684" spans="1:23">
      <c r="A2684" s="1" t="s">
        <v>4613</v>
      </c>
      <c r="B2684" s="1" t="s">
        <v>4614</v>
      </c>
      <c r="C2684" s="1" t="s">
        <v>25</v>
      </c>
      <c r="D2684" s="1" t="s">
        <v>19</v>
      </c>
      <c r="E2684" s="1" t="s">
        <v>88</v>
      </c>
      <c r="F2684">
        <v>1</v>
      </c>
      <c r="G2684" s="2">
        <v>45962</v>
      </c>
      <c r="H2684" s="2">
        <v>45964</v>
      </c>
      <c r="I2684">
        <v>263.24</v>
      </c>
      <c r="J2684">
        <v>97.94</v>
      </c>
      <c r="K2684">
        <v>97.94</v>
      </c>
      <c r="L2684">
        <v>0</v>
      </c>
      <c r="M2684" s="1" t="s">
        <v>21</v>
      </c>
      <c r="N2684" s="1" t="s">
        <v>22</v>
      </c>
      <c r="O2684" s="2">
        <v>45981</v>
      </c>
      <c r="P2684" s="2">
        <v>45981</v>
      </c>
      <c r="Q2684">
        <f>_xlfn.XLOOKUP(E2684,CPT!$A$2:$A$13,CPT!$D$2:$D$13)</f>
        <v>260</v>
      </c>
      <c r="R2684" s="1">
        <f>_xlfn.XLOOKUP(C2684,Contract!$A$2:$A$9,Contract!$B$2:$B$9)</f>
        <v>0.36</v>
      </c>
      <c r="S2684" s="1">
        <f t="shared" si="164"/>
        <v>93.6</v>
      </c>
      <c r="T2684" s="1">
        <f t="shared" si="165"/>
        <v>-4.3400000000000034</v>
      </c>
      <c r="U2684" s="1" t="str">
        <f t="shared" si="166"/>
        <v>OK</v>
      </c>
      <c r="V2684" s="1" t="str">
        <f>_xlfn.XLOOKUP(C2684,Payers!$A$2:$A$9,Payers!$B$2:$B$9)</f>
        <v>Medicare Part B</v>
      </c>
      <c r="W2684" s="1" t="str">
        <f t="shared" si="167"/>
        <v>2025-11</v>
      </c>
    </row>
    <row r="2685" spans="1:23">
      <c r="A2685" s="1" t="s">
        <v>4615</v>
      </c>
      <c r="B2685" s="1" t="s">
        <v>4616</v>
      </c>
      <c r="C2685" s="1" t="s">
        <v>60</v>
      </c>
      <c r="D2685" s="1" t="s">
        <v>26</v>
      </c>
      <c r="E2685" s="1" t="s">
        <v>113</v>
      </c>
      <c r="F2685">
        <v>1</v>
      </c>
      <c r="G2685" s="2">
        <v>46214</v>
      </c>
      <c r="H2685" s="2">
        <v>46215</v>
      </c>
      <c r="I2685">
        <v>1075.2</v>
      </c>
      <c r="J2685">
        <v>425.71</v>
      </c>
      <c r="K2685">
        <v>383.14</v>
      </c>
      <c r="L2685">
        <v>42.57</v>
      </c>
      <c r="M2685" s="1" t="s">
        <v>21</v>
      </c>
      <c r="N2685" s="1" t="s">
        <v>22</v>
      </c>
      <c r="O2685" s="2">
        <v>46247</v>
      </c>
      <c r="P2685" s="2">
        <v>46247</v>
      </c>
      <c r="Q2685">
        <f>_xlfn.XLOOKUP(E2685,CPT!$A$2:$A$13,CPT!$D$2:$D$13)</f>
        <v>1050</v>
      </c>
      <c r="R2685" s="1">
        <f>_xlfn.XLOOKUP(C2685,Contract!$A$2:$A$9,Contract!$B$2:$B$9)</f>
        <v>0.45</v>
      </c>
      <c r="S2685" s="1">
        <f t="shared" si="164"/>
        <v>472.5</v>
      </c>
      <c r="T2685" s="1">
        <f t="shared" si="165"/>
        <v>46.79000000000002</v>
      </c>
      <c r="U2685" s="1" t="str">
        <f t="shared" si="166"/>
        <v>Underpaid</v>
      </c>
      <c r="V2685" s="1" t="str">
        <f>_xlfn.XLOOKUP(C2685,Payers!$A$2:$A$9,Payers!$B$2:$B$9)</f>
        <v>Blue Horizon Commercial</v>
      </c>
      <c r="W2685" s="1" t="str">
        <f t="shared" si="167"/>
        <v>2026-07</v>
      </c>
    </row>
    <row r="2686" spans="1:23">
      <c r="A2686" s="1" t="s">
        <v>4617</v>
      </c>
      <c r="B2686" s="1" t="s">
        <v>4618</v>
      </c>
      <c r="C2686" s="1" t="s">
        <v>76</v>
      </c>
      <c r="D2686" s="1" t="s">
        <v>30</v>
      </c>
      <c r="E2686" s="1" t="s">
        <v>31</v>
      </c>
      <c r="F2686">
        <v>4</v>
      </c>
      <c r="G2686" s="2">
        <v>46188</v>
      </c>
      <c r="H2686" s="2">
        <v>46189</v>
      </c>
      <c r="I2686">
        <v>246.02</v>
      </c>
      <c r="J2686">
        <v>109.21</v>
      </c>
      <c r="K2686">
        <v>87.37</v>
      </c>
      <c r="L2686">
        <v>21.84</v>
      </c>
      <c r="M2686" s="1" t="s">
        <v>21</v>
      </c>
      <c r="N2686" s="1" t="s">
        <v>22</v>
      </c>
      <c r="O2686" s="2">
        <v>46213</v>
      </c>
      <c r="P2686" s="2">
        <v>46213</v>
      </c>
      <c r="Q2686">
        <f>_xlfn.XLOOKUP(E2686,CPT!$A$2:$A$13,CPT!$D$2:$D$13)</f>
        <v>62</v>
      </c>
      <c r="R2686" s="1">
        <f>_xlfn.XLOOKUP(C2686,Contract!$A$2:$A$9,Contract!$B$2:$B$9)</f>
        <v>0.43</v>
      </c>
      <c r="S2686" s="1">
        <f t="shared" si="164"/>
        <v>106.64</v>
      </c>
      <c r="T2686" s="1">
        <f t="shared" si="165"/>
        <v>-2.5699999999999932</v>
      </c>
      <c r="U2686" s="1" t="str">
        <f t="shared" si="166"/>
        <v>OK</v>
      </c>
      <c r="V2686" s="1" t="str">
        <f>_xlfn.XLOOKUP(C2686,Payers!$A$2:$A$9,Payers!$B$2:$B$9)</f>
        <v>Summit Health Commercial</v>
      </c>
      <c r="W2686" s="1" t="str">
        <f t="shared" si="167"/>
        <v>2026-06</v>
      </c>
    </row>
    <row r="2687" spans="1:23">
      <c r="A2687" s="1" t="s">
        <v>4619</v>
      </c>
      <c r="B2687" s="1" t="s">
        <v>4620</v>
      </c>
      <c r="C2687" s="1" t="s">
        <v>52</v>
      </c>
      <c r="D2687" s="1" t="s">
        <v>19</v>
      </c>
      <c r="E2687" s="1" t="s">
        <v>57</v>
      </c>
      <c r="F2687">
        <v>1</v>
      </c>
      <c r="G2687" s="2">
        <v>46079</v>
      </c>
      <c r="H2687" s="2">
        <v>46080</v>
      </c>
      <c r="I2687">
        <v>214.02</v>
      </c>
      <c r="M2687" s="1" t="s">
        <v>32</v>
      </c>
      <c r="N2687" s="1" t="s">
        <v>33</v>
      </c>
      <c r="O2687" s="2">
        <v>46098</v>
      </c>
      <c r="P2687" s="2"/>
      <c r="Q2687">
        <f>_xlfn.XLOOKUP(E2687,CPT!$A$2:$A$13,CPT!$D$2:$D$13)</f>
        <v>210</v>
      </c>
      <c r="R2687" s="1">
        <f>_xlfn.XLOOKUP(C2687,Contract!$A$2:$A$9,Contract!$B$2:$B$9)</f>
        <v>0.47</v>
      </c>
      <c r="S2687" s="1">
        <f t="shared" si="164"/>
        <v>98.7</v>
      </c>
      <c r="T2687" s="1" t="str">
        <f t="shared" si="165"/>
        <v/>
      </c>
      <c r="U2687" s="1" t="str">
        <f t="shared" si="166"/>
        <v/>
      </c>
      <c r="V2687" s="1" t="str">
        <f>_xlfn.XLOOKUP(C2687,Payers!$A$2:$A$9,Payers!$B$2:$B$9)</f>
        <v>Keystone Commercial PPO</v>
      </c>
      <c r="W2687" s="1" t="str">
        <f t="shared" si="167"/>
        <v>2026-02</v>
      </c>
    </row>
    <row r="2688" spans="1:23">
      <c r="A2688" s="1" t="s">
        <v>4621</v>
      </c>
      <c r="B2688" s="1" t="s">
        <v>4622</v>
      </c>
      <c r="C2688" s="1" t="s">
        <v>60</v>
      </c>
      <c r="D2688" s="1" t="s">
        <v>37</v>
      </c>
      <c r="E2688" s="1" t="s">
        <v>57</v>
      </c>
      <c r="F2688">
        <v>1</v>
      </c>
      <c r="G2688" s="2">
        <v>46045</v>
      </c>
      <c r="H2688" s="2">
        <v>46047</v>
      </c>
      <c r="I2688">
        <v>204.2</v>
      </c>
      <c r="J2688">
        <v>93.62</v>
      </c>
      <c r="K2688">
        <v>93.62</v>
      </c>
      <c r="L2688">
        <v>0</v>
      </c>
      <c r="M2688" s="1" t="s">
        <v>21</v>
      </c>
      <c r="N2688" s="1" t="s">
        <v>22</v>
      </c>
      <c r="O2688" s="2">
        <v>46080</v>
      </c>
      <c r="P2688" s="2">
        <v>46080</v>
      </c>
      <c r="Q2688">
        <f>_xlfn.XLOOKUP(E2688,CPT!$A$2:$A$13,CPT!$D$2:$D$13)</f>
        <v>210</v>
      </c>
      <c r="R2688" s="1">
        <f>_xlfn.XLOOKUP(C2688,Contract!$A$2:$A$9,Contract!$B$2:$B$9)</f>
        <v>0.45</v>
      </c>
      <c r="S2688" s="1">
        <f t="shared" si="164"/>
        <v>94.5</v>
      </c>
      <c r="T2688" s="1">
        <f t="shared" si="165"/>
        <v>0.87999999999999545</v>
      </c>
      <c r="U2688" s="1" t="str">
        <f t="shared" si="166"/>
        <v>OK</v>
      </c>
      <c r="V2688" s="1" t="str">
        <f>_xlfn.XLOOKUP(C2688,Payers!$A$2:$A$9,Payers!$B$2:$B$9)</f>
        <v>Blue Horizon Commercial</v>
      </c>
      <c r="W2688" s="1" t="str">
        <f t="shared" si="167"/>
        <v>2026-01</v>
      </c>
    </row>
    <row r="2689" spans="1:23">
      <c r="A2689" s="1" t="s">
        <v>4623</v>
      </c>
      <c r="B2689" s="1" t="s">
        <v>4624</v>
      </c>
      <c r="C2689" s="1" t="s">
        <v>25</v>
      </c>
      <c r="D2689" s="1" t="s">
        <v>19</v>
      </c>
      <c r="E2689" s="1" t="s">
        <v>20</v>
      </c>
      <c r="F2689">
        <v>1</v>
      </c>
      <c r="G2689" s="2">
        <v>46277</v>
      </c>
      <c r="H2689" s="2">
        <v>46284</v>
      </c>
      <c r="I2689">
        <v>144.24</v>
      </c>
      <c r="M2689" s="1" t="s">
        <v>69</v>
      </c>
      <c r="N2689" s="1" t="s">
        <v>22</v>
      </c>
      <c r="O2689" s="2"/>
      <c r="P2689" s="2"/>
      <c r="Q2689">
        <f>_xlfn.XLOOKUP(E2689,CPT!$A$2:$A$13,CPT!$D$2:$D$13)</f>
        <v>145</v>
      </c>
      <c r="R2689" s="1">
        <f>_xlfn.XLOOKUP(C2689,Contract!$A$2:$A$9,Contract!$B$2:$B$9)</f>
        <v>0.36</v>
      </c>
      <c r="S2689" s="1">
        <f t="shared" si="164"/>
        <v>52.2</v>
      </c>
      <c r="T2689" s="1" t="str">
        <f t="shared" si="165"/>
        <v/>
      </c>
      <c r="U2689" s="1" t="str">
        <f t="shared" si="166"/>
        <v/>
      </c>
      <c r="V2689" s="1" t="str">
        <f>_xlfn.XLOOKUP(C2689,Payers!$A$2:$A$9,Payers!$B$2:$B$9)</f>
        <v>Medicare Part B</v>
      </c>
      <c r="W2689" s="1" t="str">
        <f t="shared" si="167"/>
        <v>2026-09</v>
      </c>
    </row>
    <row r="2690" spans="1:23">
      <c r="A2690" s="1" t="s">
        <v>4625</v>
      </c>
      <c r="B2690" s="1" t="s">
        <v>1934</v>
      </c>
      <c r="C2690" s="1" t="s">
        <v>47</v>
      </c>
      <c r="D2690" s="1" t="s">
        <v>26</v>
      </c>
      <c r="E2690" s="1" t="s">
        <v>27</v>
      </c>
      <c r="F2690">
        <v>1</v>
      </c>
      <c r="G2690" s="2">
        <v>45949</v>
      </c>
      <c r="H2690" s="2">
        <v>45950</v>
      </c>
      <c r="I2690">
        <v>240.19</v>
      </c>
      <c r="M2690" s="1" t="s">
        <v>32</v>
      </c>
      <c r="N2690" s="1" t="s">
        <v>124</v>
      </c>
      <c r="O2690" s="2">
        <v>46006</v>
      </c>
      <c r="P2690" s="2"/>
      <c r="Q2690">
        <f>_xlfn.XLOOKUP(E2690,CPT!$A$2:$A$13,CPT!$D$2:$D$13)</f>
        <v>240</v>
      </c>
      <c r="R2690" s="1">
        <f>_xlfn.XLOOKUP(C2690,Contract!$A$2:$A$9,Contract!$B$2:$B$9)</f>
        <v>0.28000000000000003</v>
      </c>
      <c r="S2690" s="1">
        <f t="shared" ref="S2690:S2753" si="168">ROUND(Q2690*F2690*R2690,2)</f>
        <v>67.2</v>
      </c>
      <c r="T2690" s="1" t="str">
        <f t="shared" ref="T2690:T2753" si="169">IF(M2690="Paid",S2690-J2690,"")</f>
        <v/>
      </c>
      <c r="U2690" s="1" t="str">
        <f t="shared" ref="U2690:U2753" si="170">IF(M2690&lt;&gt;"Paid","",IF(T2690&gt;S2690*0.05,"Underpaid","OK"))</f>
        <v/>
      </c>
      <c r="V2690" s="1" t="str">
        <f>_xlfn.XLOOKUP(C2690,Payers!$A$2:$A$9,Payers!$B$2:$B$9)</f>
        <v>Coastal Medicaid MCO</v>
      </c>
      <c r="W2690" s="1" t="str">
        <f t="shared" ref="W2690:W2753" si="171">TEXT(G2690,"yyyy-mm")</f>
        <v>2025-10</v>
      </c>
    </row>
    <row r="2691" spans="1:23">
      <c r="A2691" s="1" t="s">
        <v>4626</v>
      </c>
      <c r="B2691" s="1" t="s">
        <v>478</v>
      </c>
      <c r="C2691" s="1" t="s">
        <v>76</v>
      </c>
      <c r="D2691" s="1" t="s">
        <v>30</v>
      </c>
      <c r="E2691" s="1" t="s">
        <v>20</v>
      </c>
      <c r="F2691">
        <v>1</v>
      </c>
      <c r="G2691" s="2">
        <v>45958</v>
      </c>
      <c r="H2691" s="2">
        <v>45973</v>
      </c>
      <c r="I2691">
        <v>149.28</v>
      </c>
      <c r="J2691">
        <v>55.26</v>
      </c>
      <c r="K2691">
        <v>44.21</v>
      </c>
      <c r="L2691">
        <v>11.05</v>
      </c>
      <c r="M2691" s="1" t="s">
        <v>21</v>
      </c>
      <c r="N2691" s="1" t="s">
        <v>22</v>
      </c>
      <c r="O2691" s="2">
        <v>45990</v>
      </c>
      <c r="P2691" s="2">
        <v>45990</v>
      </c>
      <c r="Q2691">
        <f>_xlfn.XLOOKUP(E2691,CPT!$A$2:$A$13,CPT!$D$2:$D$13)</f>
        <v>145</v>
      </c>
      <c r="R2691" s="1">
        <f>_xlfn.XLOOKUP(C2691,Contract!$A$2:$A$9,Contract!$B$2:$B$9)</f>
        <v>0.43</v>
      </c>
      <c r="S2691" s="1">
        <f t="shared" si="168"/>
        <v>62.35</v>
      </c>
      <c r="T2691" s="1">
        <f t="shared" si="169"/>
        <v>7.0900000000000034</v>
      </c>
      <c r="U2691" s="1" t="str">
        <f t="shared" si="170"/>
        <v>Underpaid</v>
      </c>
      <c r="V2691" s="1" t="str">
        <f>_xlfn.XLOOKUP(C2691,Payers!$A$2:$A$9,Payers!$B$2:$B$9)</f>
        <v>Summit Health Commercial</v>
      </c>
      <c r="W2691" s="1" t="str">
        <f t="shared" si="171"/>
        <v>2025-10</v>
      </c>
    </row>
    <row r="2692" spans="1:23">
      <c r="A2692" s="1" t="s">
        <v>4627</v>
      </c>
      <c r="B2692" s="1" t="s">
        <v>4628</v>
      </c>
      <c r="C2692" s="1" t="s">
        <v>60</v>
      </c>
      <c r="D2692" s="1" t="s">
        <v>26</v>
      </c>
      <c r="E2692" s="1" t="s">
        <v>41</v>
      </c>
      <c r="F2692">
        <v>1</v>
      </c>
      <c r="G2692" s="2">
        <v>46211</v>
      </c>
      <c r="H2692" s="2">
        <v>46212</v>
      </c>
      <c r="I2692">
        <v>38.92</v>
      </c>
      <c r="J2692">
        <v>17.55</v>
      </c>
      <c r="K2692">
        <v>15.79</v>
      </c>
      <c r="L2692">
        <v>1.76</v>
      </c>
      <c r="M2692" s="1" t="s">
        <v>21</v>
      </c>
      <c r="N2692" s="1" t="s">
        <v>22</v>
      </c>
      <c r="O2692" s="2">
        <v>46240</v>
      </c>
      <c r="P2692" s="2">
        <v>46240</v>
      </c>
      <c r="Q2692">
        <f>_xlfn.XLOOKUP(E2692,CPT!$A$2:$A$13,CPT!$D$2:$D$13)</f>
        <v>38</v>
      </c>
      <c r="R2692" s="1">
        <f>_xlfn.XLOOKUP(C2692,Contract!$A$2:$A$9,Contract!$B$2:$B$9)</f>
        <v>0.45</v>
      </c>
      <c r="S2692" s="1">
        <f t="shared" si="168"/>
        <v>17.100000000000001</v>
      </c>
      <c r="T2692" s="1">
        <f t="shared" si="169"/>
        <v>-0.44999999999999929</v>
      </c>
      <c r="U2692" s="1" t="str">
        <f t="shared" si="170"/>
        <v>OK</v>
      </c>
      <c r="V2692" s="1" t="str">
        <f>_xlfn.XLOOKUP(C2692,Payers!$A$2:$A$9,Payers!$B$2:$B$9)</f>
        <v>Blue Horizon Commercial</v>
      </c>
      <c r="W2692" s="1" t="str">
        <f t="shared" si="171"/>
        <v>2026-07</v>
      </c>
    </row>
    <row r="2693" spans="1:23">
      <c r="A2693" s="1" t="s">
        <v>4629</v>
      </c>
      <c r="B2693" s="1" t="s">
        <v>4630</v>
      </c>
      <c r="C2693" s="1" t="s">
        <v>76</v>
      </c>
      <c r="D2693" s="1" t="s">
        <v>30</v>
      </c>
      <c r="E2693" s="1" t="s">
        <v>31</v>
      </c>
      <c r="F2693">
        <v>1</v>
      </c>
      <c r="G2693" s="2">
        <v>46036</v>
      </c>
      <c r="H2693" s="2">
        <v>46045</v>
      </c>
      <c r="I2693">
        <v>60.23</v>
      </c>
      <c r="J2693">
        <v>23.85</v>
      </c>
      <c r="K2693">
        <v>21.46</v>
      </c>
      <c r="L2693">
        <v>2.39</v>
      </c>
      <c r="M2693" s="1" t="s">
        <v>21</v>
      </c>
      <c r="N2693" s="1" t="s">
        <v>22</v>
      </c>
      <c r="O2693" s="2">
        <v>46069</v>
      </c>
      <c r="P2693" s="2">
        <v>46069</v>
      </c>
      <c r="Q2693">
        <f>_xlfn.XLOOKUP(E2693,CPT!$A$2:$A$13,CPT!$D$2:$D$13)</f>
        <v>62</v>
      </c>
      <c r="R2693" s="1">
        <f>_xlfn.XLOOKUP(C2693,Contract!$A$2:$A$9,Contract!$B$2:$B$9)</f>
        <v>0.43</v>
      </c>
      <c r="S2693" s="1">
        <f t="shared" si="168"/>
        <v>26.66</v>
      </c>
      <c r="T2693" s="1">
        <f t="shared" si="169"/>
        <v>2.8099999999999987</v>
      </c>
      <c r="U2693" s="1" t="str">
        <f t="shared" si="170"/>
        <v>Underpaid</v>
      </c>
      <c r="V2693" s="1" t="str">
        <f>_xlfn.XLOOKUP(C2693,Payers!$A$2:$A$9,Payers!$B$2:$B$9)</f>
        <v>Summit Health Commercial</v>
      </c>
      <c r="W2693" s="1" t="str">
        <f t="shared" si="171"/>
        <v>2026-01</v>
      </c>
    </row>
    <row r="2694" spans="1:23">
      <c r="A2694" s="1" t="s">
        <v>4631</v>
      </c>
      <c r="B2694" s="1" t="s">
        <v>1546</v>
      </c>
      <c r="C2694" s="1" t="s">
        <v>60</v>
      </c>
      <c r="D2694" s="1" t="s">
        <v>26</v>
      </c>
      <c r="E2694" s="1" t="s">
        <v>113</v>
      </c>
      <c r="F2694">
        <v>1</v>
      </c>
      <c r="G2694" s="2">
        <v>46196</v>
      </c>
      <c r="H2694" s="2">
        <v>46198</v>
      </c>
      <c r="I2694">
        <v>1048.4100000000001</v>
      </c>
      <c r="M2694" s="1" t="s">
        <v>32</v>
      </c>
      <c r="N2694" s="1" t="s">
        <v>33</v>
      </c>
      <c r="O2694" s="2">
        <v>46226</v>
      </c>
      <c r="P2694" s="2"/>
      <c r="Q2694">
        <f>_xlfn.XLOOKUP(E2694,CPT!$A$2:$A$13,CPT!$D$2:$D$13)</f>
        <v>1050</v>
      </c>
      <c r="R2694" s="1">
        <f>_xlfn.XLOOKUP(C2694,Contract!$A$2:$A$9,Contract!$B$2:$B$9)</f>
        <v>0.45</v>
      </c>
      <c r="S2694" s="1">
        <f t="shared" si="168"/>
        <v>472.5</v>
      </c>
      <c r="T2694" s="1" t="str">
        <f t="shared" si="169"/>
        <v/>
      </c>
      <c r="U2694" s="1" t="str">
        <f t="shared" si="170"/>
        <v/>
      </c>
      <c r="V2694" s="1" t="str">
        <f>_xlfn.XLOOKUP(C2694,Payers!$A$2:$A$9,Payers!$B$2:$B$9)</f>
        <v>Blue Horizon Commercial</v>
      </c>
      <c r="W2694" s="1" t="str">
        <f t="shared" si="171"/>
        <v>2026-06</v>
      </c>
    </row>
    <row r="2695" spans="1:23">
      <c r="A2695" s="1" t="s">
        <v>4632</v>
      </c>
      <c r="B2695" s="1" t="s">
        <v>4053</v>
      </c>
      <c r="C2695" s="1" t="s">
        <v>60</v>
      </c>
      <c r="D2695" s="1" t="s">
        <v>19</v>
      </c>
      <c r="E2695" s="1" t="s">
        <v>57</v>
      </c>
      <c r="F2695">
        <v>1</v>
      </c>
      <c r="G2695" s="2">
        <v>46124</v>
      </c>
      <c r="H2695" s="2">
        <v>46125</v>
      </c>
      <c r="I2695">
        <v>213.22</v>
      </c>
      <c r="J2695">
        <v>105.96</v>
      </c>
      <c r="K2695">
        <v>84.77</v>
      </c>
      <c r="L2695">
        <v>21.19</v>
      </c>
      <c r="M2695" s="1" t="s">
        <v>21</v>
      </c>
      <c r="N2695" s="1" t="s">
        <v>22</v>
      </c>
      <c r="O2695" s="2">
        <v>46148</v>
      </c>
      <c r="P2695" s="2">
        <v>46148</v>
      </c>
      <c r="Q2695">
        <f>_xlfn.XLOOKUP(E2695,CPT!$A$2:$A$13,CPT!$D$2:$D$13)</f>
        <v>210</v>
      </c>
      <c r="R2695" s="1">
        <f>_xlfn.XLOOKUP(C2695,Contract!$A$2:$A$9,Contract!$B$2:$B$9)</f>
        <v>0.45</v>
      </c>
      <c r="S2695" s="1">
        <f t="shared" si="168"/>
        <v>94.5</v>
      </c>
      <c r="T2695" s="1">
        <f t="shared" si="169"/>
        <v>-11.459999999999994</v>
      </c>
      <c r="U2695" s="1" t="str">
        <f t="shared" si="170"/>
        <v>OK</v>
      </c>
      <c r="V2695" s="1" t="str">
        <f>_xlfn.XLOOKUP(C2695,Payers!$A$2:$A$9,Payers!$B$2:$B$9)</f>
        <v>Blue Horizon Commercial</v>
      </c>
      <c r="W2695" s="1" t="str">
        <f t="shared" si="171"/>
        <v>2026-04</v>
      </c>
    </row>
    <row r="2696" spans="1:23">
      <c r="A2696" s="1" t="s">
        <v>4633</v>
      </c>
      <c r="B2696" s="1" t="s">
        <v>1753</v>
      </c>
      <c r="C2696" s="1" t="s">
        <v>60</v>
      </c>
      <c r="D2696" s="1" t="s">
        <v>19</v>
      </c>
      <c r="E2696" s="1" t="s">
        <v>20</v>
      </c>
      <c r="F2696">
        <v>1</v>
      </c>
      <c r="G2696" s="2">
        <v>46274</v>
      </c>
      <c r="H2696" s="2">
        <v>46280</v>
      </c>
      <c r="I2696">
        <v>147.13</v>
      </c>
      <c r="M2696" s="1" t="s">
        <v>69</v>
      </c>
      <c r="N2696" s="1" t="s">
        <v>22</v>
      </c>
      <c r="O2696" s="2"/>
      <c r="P2696" s="2"/>
      <c r="Q2696">
        <f>_xlfn.XLOOKUP(E2696,CPT!$A$2:$A$13,CPT!$D$2:$D$13)</f>
        <v>145</v>
      </c>
      <c r="R2696" s="1">
        <f>_xlfn.XLOOKUP(C2696,Contract!$A$2:$A$9,Contract!$B$2:$B$9)</f>
        <v>0.45</v>
      </c>
      <c r="S2696" s="1">
        <f t="shared" si="168"/>
        <v>65.25</v>
      </c>
      <c r="T2696" s="1" t="str">
        <f t="shared" si="169"/>
        <v/>
      </c>
      <c r="U2696" s="1" t="str">
        <f t="shared" si="170"/>
        <v/>
      </c>
      <c r="V2696" s="1" t="str">
        <f>_xlfn.XLOOKUP(C2696,Payers!$A$2:$A$9,Payers!$B$2:$B$9)</f>
        <v>Blue Horizon Commercial</v>
      </c>
      <c r="W2696" s="1" t="str">
        <f t="shared" si="171"/>
        <v>2026-09</v>
      </c>
    </row>
    <row r="2697" spans="1:23">
      <c r="A2697" s="1" t="s">
        <v>4634</v>
      </c>
      <c r="B2697" s="1" t="s">
        <v>295</v>
      </c>
      <c r="C2697" s="1" t="s">
        <v>25</v>
      </c>
      <c r="D2697" s="1" t="s">
        <v>30</v>
      </c>
      <c r="E2697" s="1" t="s">
        <v>20</v>
      </c>
      <c r="F2697">
        <v>1</v>
      </c>
      <c r="G2697" s="2">
        <v>46036</v>
      </c>
      <c r="H2697" s="2">
        <v>46039</v>
      </c>
      <c r="I2697">
        <v>141.18</v>
      </c>
      <c r="M2697" s="1" t="s">
        <v>32</v>
      </c>
      <c r="N2697" s="1" t="s">
        <v>98</v>
      </c>
      <c r="O2697" s="2">
        <v>46044</v>
      </c>
      <c r="P2697" s="2"/>
      <c r="Q2697">
        <f>_xlfn.XLOOKUP(E2697,CPT!$A$2:$A$13,CPT!$D$2:$D$13)</f>
        <v>145</v>
      </c>
      <c r="R2697" s="1">
        <f>_xlfn.XLOOKUP(C2697,Contract!$A$2:$A$9,Contract!$B$2:$B$9)</f>
        <v>0.36</v>
      </c>
      <c r="S2697" s="1">
        <f t="shared" si="168"/>
        <v>52.2</v>
      </c>
      <c r="T2697" s="1" t="str">
        <f t="shared" si="169"/>
        <v/>
      </c>
      <c r="U2697" s="1" t="str">
        <f t="shared" si="170"/>
        <v/>
      </c>
      <c r="V2697" s="1" t="str">
        <f>_xlfn.XLOOKUP(C2697,Payers!$A$2:$A$9,Payers!$B$2:$B$9)</f>
        <v>Medicare Part B</v>
      </c>
      <c r="W2697" s="1" t="str">
        <f t="shared" si="171"/>
        <v>2026-01</v>
      </c>
    </row>
    <row r="2698" spans="1:23">
      <c r="A2698" s="1" t="s">
        <v>4635</v>
      </c>
      <c r="B2698" s="1" t="s">
        <v>4636</v>
      </c>
      <c r="C2698" s="1" t="s">
        <v>18</v>
      </c>
      <c r="D2698" s="1" t="s">
        <v>30</v>
      </c>
      <c r="E2698" s="1" t="s">
        <v>91</v>
      </c>
      <c r="F2698">
        <v>4</v>
      </c>
      <c r="G2698" s="2">
        <v>46056</v>
      </c>
      <c r="H2698" s="2">
        <v>46062</v>
      </c>
      <c r="I2698">
        <v>226.95</v>
      </c>
      <c r="J2698">
        <v>74.099999999999994</v>
      </c>
      <c r="K2698">
        <v>74.099999999999994</v>
      </c>
      <c r="L2698">
        <v>0</v>
      </c>
      <c r="M2698" s="1" t="s">
        <v>21</v>
      </c>
      <c r="N2698" s="1" t="s">
        <v>22</v>
      </c>
      <c r="O2698" s="2">
        <v>46132</v>
      </c>
      <c r="P2698" s="2">
        <v>46132</v>
      </c>
      <c r="Q2698">
        <f>_xlfn.XLOOKUP(E2698,CPT!$A$2:$A$13,CPT!$D$2:$D$13)</f>
        <v>58</v>
      </c>
      <c r="R2698" s="1">
        <f>_xlfn.XLOOKUP(C2698,Contract!$A$2:$A$9,Contract!$B$2:$B$9)</f>
        <v>0.38</v>
      </c>
      <c r="S2698" s="1">
        <f t="shared" si="168"/>
        <v>88.16</v>
      </c>
      <c r="T2698" s="1">
        <f t="shared" si="169"/>
        <v>14.060000000000002</v>
      </c>
      <c r="U2698" s="1" t="str">
        <f t="shared" si="170"/>
        <v>Underpaid</v>
      </c>
      <c r="V2698" s="1" t="str">
        <f>_xlfn.XLOOKUP(C2698,Payers!$A$2:$A$9,Payers!$B$2:$B$9)</f>
        <v>Sunshine Medicare Advantage</v>
      </c>
      <c r="W2698" s="1" t="str">
        <f t="shared" si="171"/>
        <v>2026-02</v>
      </c>
    </row>
    <row r="2699" spans="1:23">
      <c r="A2699" s="1" t="s">
        <v>4637</v>
      </c>
      <c r="B2699" s="1" t="s">
        <v>3672</v>
      </c>
      <c r="C2699" s="1" t="s">
        <v>47</v>
      </c>
      <c r="D2699" s="1" t="s">
        <v>26</v>
      </c>
      <c r="E2699" s="1" t="s">
        <v>113</v>
      </c>
      <c r="F2699">
        <v>1</v>
      </c>
      <c r="G2699" s="2">
        <v>45964</v>
      </c>
      <c r="H2699" s="2">
        <v>45965</v>
      </c>
      <c r="I2699">
        <v>1035.78</v>
      </c>
      <c r="J2699">
        <v>266.47000000000003</v>
      </c>
      <c r="K2699">
        <v>266.47000000000003</v>
      </c>
      <c r="L2699">
        <v>0</v>
      </c>
      <c r="M2699" s="1" t="s">
        <v>21</v>
      </c>
      <c r="N2699" s="1" t="s">
        <v>22</v>
      </c>
      <c r="O2699" s="2">
        <v>46043</v>
      </c>
      <c r="P2699" s="2">
        <v>46043</v>
      </c>
      <c r="Q2699">
        <f>_xlfn.XLOOKUP(E2699,CPT!$A$2:$A$13,CPT!$D$2:$D$13)</f>
        <v>1050</v>
      </c>
      <c r="R2699" s="1">
        <f>_xlfn.XLOOKUP(C2699,Contract!$A$2:$A$9,Contract!$B$2:$B$9)</f>
        <v>0.28000000000000003</v>
      </c>
      <c r="S2699" s="1">
        <f t="shared" si="168"/>
        <v>294</v>
      </c>
      <c r="T2699" s="1">
        <f t="shared" si="169"/>
        <v>27.529999999999973</v>
      </c>
      <c r="U2699" s="1" t="str">
        <f t="shared" si="170"/>
        <v>Underpaid</v>
      </c>
      <c r="V2699" s="1" t="str">
        <f>_xlfn.XLOOKUP(C2699,Payers!$A$2:$A$9,Payers!$B$2:$B$9)</f>
        <v>Coastal Medicaid MCO</v>
      </c>
      <c r="W2699" s="1" t="str">
        <f t="shared" si="171"/>
        <v>2025-11</v>
      </c>
    </row>
    <row r="2700" spans="1:23">
      <c r="A2700" s="1" t="s">
        <v>4638</v>
      </c>
      <c r="B2700" s="1" t="s">
        <v>776</v>
      </c>
      <c r="C2700" s="1" t="s">
        <v>36</v>
      </c>
      <c r="D2700" s="1" t="s">
        <v>26</v>
      </c>
      <c r="E2700" s="1" t="s">
        <v>88</v>
      </c>
      <c r="F2700">
        <v>1</v>
      </c>
      <c r="G2700" s="2">
        <v>46138</v>
      </c>
      <c r="H2700" s="2">
        <v>46142</v>
      </c>
      <c r="I2700">
        <v>257.47000000000003</v>
      </c>
      <c r="J2700">
        <v>64.87</v>
      </c>
      <c r="K2700">
        <v>64.87</v>
      </c>
      <c r="L2700">
        <v>0</v>
      </c>
      <c r="M2700" s="1" t="s">
        <v>21</v>
      </c>
      <c r="N2700" s="1" t="s">
        <v>22</v>
      </c>
      <c r="O2700" s="2">
        <v>46175</v>
      </c>
      <c r="P2700" s="2">
        <v>46175</v>
      </c>
      <c r="Q2700">
        <f>_xlfn.XLOOKUP(E2700,CPT!$A$2:$A$13,CPT!$D$2:$D$13)</f>
        <v>260</v>
      </c>
      <c r="R2700" s="1">
        <f>_xlfn.XLOOKUP(C2700,Contract!$A$2:$A$9,Contract!$B$2:$B$9)</f>
        <v>0.27</v>
      </c>
      <c r="S2700" s="1">
        <f t="shared" si="168"/>
        <v>70.2</v>
      </c>
      <c r="T2700" s="1">
        <f t="shared" si="169"/>
        <v>5.3299999999999983</v>
      </c>
      <c r="U2700" s="1" t="str">
        <f t="shared" si="170"/>
        <v>Underpaid</v>
      </c>
      <c r="V2700" s="1" t="str">
        <f>_xlfn.XLOOKUP(C2700,Payers!$A$2:$A$9,Payers!$B$2:$B$9)</f>
        <v>Florida Medicaid</v>
      </c>
      <c r="W2700" s="1" t="str">
        <f t="shared" si="171"/>
        <v>2026-04</v>
      </c>
    </row>
    <row r="2701" spans="1:23">
      <c r="A2701" s="1" t="s">
        <v>4639</v>
      </c>
      <c r="B2701" s="1" t="s">
        <v>4214</v>
      </c>
      <c r="C2701" s="1" t="s">
        <v>76</v>
      </c>
      <c r="D2701" s="1" t="s">
        <v>30</v>
      </c>
      <c r="E2701" s="1" t="s">
        <v>31</v>
      </c>
      <c r="F2701">
        <v>3</v>
      </c>
      <c r="G2701" s="2">
        <v>46102</v>
      </c>
      <c r="H2701" s="2">
        <v>46110</v>
      </c>
      <c r="I2701">
        <v>188.59</v>
      </c>
      <c r="J2701">
        <v>89.42</v>
      </c>
      <c r="K2701">
        <v>80.48</v>
      </c>
      <c r="L2701">
        <v>8.94</v>
      </c>
      <c r="M2701" s="1" t="s">
        <v>21</v>
      </c>
      <c r="N2701" s="1" t="s">
        <v>22</v>
      </c>
      <c r="O2701" s="2">
        <v>46128</v>
      </c>
      <c r="P2701" s="2">
        <v>46128</v>
      </c>
      <c r="Q2701">
        <f>_xlfn.XLOOKUP(E2701,CPT!$A$2:$A$13,CPT!$D$2:$D$13)</f>
        <v>62</v>
      </c>
      <c r="R2701" s="1">
        <f>_xlfn.XLOOKUP(C2701,Contract!$A$2:$A$9,Contract!$B$2:$B$9)</f>
        <v>0.43</v>
      </c>
      <c r="S2701" s="1">
        <f t="shared" si="168"/>
        <v>79.98</v>
      </c>
      <c r="T2701" s="1">
        <f t="shared" si="169"/>
        <v>-9.4399999999999977</v>
      </c>
      <c r="U2701" s="1" t="str">
        <f t="shared" si="170"/>
        <v>OK</v>
      </c>
      <c r="V2701" s="1" t="str">
        <f>_xlfn.XLOOKUP(C2701,Payers!$A$2:$A$9,Payers!$B$2:$B$9)</f>
        <v>Summit Health Commercial</v>
      </c>
      <c r="W2701" s="1" t="str">
        <f t="shared" si="171"/>
        <v>2026-03</v>
      </c>
    </row>
    <row r="2702" spans="1:23">
      <c r="A2702" s="1" t="s">
        <v>4640</v>
      </c>
      <c r="B2702" s="1" t="s">
        <v>4332</v>
      </c>
      <c r="C2702" s="1" t="s">
        <v>18</v>
      </c>
      <c r="D2702" s="1" t="s">
        <v>30</v>
      </c>
      <c r="E2702" s="1" t="s">
        <v>31</v>
      </c>
      <c r="F2702">
        <v>1</v>
      </c>
      <c r="G2702" s="2">
        <v>46212</v>
      </c>
      <c r="H2702" s="2">
        <v>46214</v>
      </c>
      <c r="I2702">
        <v>62.9</v>
      </c>
      <c r="M2702" s="1" t="s">
        <v>32</v>
      </c>
      <c r="N2702" s="1" t="s">
        <v>98</v>
      </c>
      <c r="O2702" s="2">
        <v>46251</v>
      </c>
      <c r="P2702" s="2"/>
      <c r="Q2702">
        <f>_xlfn.XLOOKUP(E2702,CPT!$A$2:$A$13,CPT!$D$2:$D$13)</f>
        <v>62</v>
      </c>
      <c r="R2702" s="1">
        <f>_xlfn.XLOOKUP(C2702,Contract!$A$2:$A$9,Contract!$B$2:$B$9)</f>
        <v>0.38</v>
      </c>
      <c r="S2702" s="1">
        <f t="shared" si="168"/>
        <v>23.56</v>
      </c>
      <c r="T2702" s="1" t="str">
        <f t="shared" si="169"/>
        <v/>
      </c>
      <c r="U2702" s="1" t="str">
        <f t="shared" si="170"/>
        <v/>
      </c>
      <c r="V2702" s="1" t="str">
        <f>_xlfn.XLOOKUP(C2702,Payers!$A$2:$A$9,Payers!$B$2:$B$9)</f>
        <v>Sunshine Medicare Advantage</v>
      </c>
      <c r="W2702" s="1" t="str">
        <f t="shared" si="171"/>
        <v>2026-07</v>
      </c>
    </row>
    <row r="2703" spans="1:23">
      <c r="A2703" s="1" t="s">
        <v>4641</v>
      </c>
      <c r="B2703" s="1" t="s">
        <v>4642</v>
      </c>
      <c r="C2703" s="1" t="s">
        <v>47</v>
      </c>
      <c r="D2703" s="1" t="s">
        <v>30</v>
      </c>
      <c r="E2703" s="1" t="s">
        <v>20</v>
      </c>
      <c r="F2703">
        <v>1</v>
      </c>
      <c r="G2703" s="2">
        <v>46051</v>
      </c>
      <c r="H2703" s="2">
        <v>46055</v>
      </c>
      <c r="I2703">
        <v>144.38</v>
      </c>
      <c r="J2703">
        <v>40.14</v>
      </c>
      <c r="K2703">
        <v>32.11</v>
      </c>
      <c r="L2703">
        <v>8.0299999999999994</v>
      </c>
      <c r="M2703" s="1" t="s">
        <v>21</v>
      </c>
      <c r="N2703" s="1" t="s">
        <v>22</v>
      </c>
      <c r="O2703" s="2">
        <v>46107</v>
      </c>
      <c r="P2703" s="2">
        <v>46107</v>
      </c>
      <c r="Q2703">
        <f>_xlfn.XLOOKUP(E2703,CPT!$A$2:$A$13,CPT!$D$2:$D$13)</f>
        <v>145</v>
      </c>
      <c r="R2703" s="1">
        <f>_xlfn.XLOOKUP(C2703,Contract!$A$2:$A$9,Contract!$B$2:$B$9)</f>
        <v>0.28000000000000003</v>
      </c>
      <c r="S2703" s="1">
        <f t="shared" si="168"/>
        <v>40.6</v>
      </c>
      <c r="T2703" s="1">
        <f t="shared" si="169"/>
        <v>0.46000000000000085</v>
      </c>
      <c r="U2703" s="1" t="str">
        <f t="shared" si="170"/>
        <v>OK</v>
      </c>
      <c r="V2703" s="1" t="str">
        <f>_xlfn.XLOOKUP(C2703,Payers!$A$2:$A$9,Payers!$B$2:$B$9)</f>
        <v>Coastal Medicaid MCO</v>
      </c>
      <c r="W2703" s="1" t="str">
        <f t="shared" si="171"/>
        <v>2026-01</v>
      </c>
    </row>
    <row r="2704" spans="1:23">
      <c r="A2704" s="1" t="s">
        <v>4643</v>
      </c>
      <c r="B2704" s="1" t="s">
        <v>4644</v>
      </c>
      <c r="C2704" s="1" t="s">
        <v>60</v>
      </c>
      <c r="D2704" s="1" t="s">
        <v>30</v>
      </c>
      <c r="E2704" s="1" t="s">
        <v>31</v>
      </c>
      <c r="F2704">
        <v>3</v>
      </c>
      <c r="G2704" s="2">
        <v>46054</v>
      </c>
      <c r="H2704" s="2">
        <v>46056</v>
      </c>
      <c r="I2704">
        <v>180.61</v>
      </c>
      <c r="J2704">
        <v>77.84</v>
      </c>
      <c r="K2704">
        <v>70.06</v>
      </c>
      <c r="L2704">
        <v>7.78</v>
      </c>
      <c r="M2704" s="1" t="s">
        <v>21</v>
      </c>
      <c r="N2704" s="1" t="s">
        <v>22</v>
      </c>
      <c r="O2704" s="2">
        <v>46080</v>
      </c>
      <c r="P2704" s="2">
        <v>46080</v>
      </c>
      <c r="Q2704">
        <f>_xlfn.XLOOKUP(E2704,CPT!$A$2:$A$13,CPT!$D$2:$D$13)</f>
        <v>62</v>
      </c>
      <c r="R2704" s="1">
        <f>_xlfn.XLOOKUP(C2704,Contract!$A$2:$A$9,Contract!$B$2:$B$9)</f>
        <v>0.45</v>
      </c>
      <c r="S2704" s="1">
        <f t="shared" si="168"/>
        <v>83.7</v>
      </c>
      <c r="T2704" s="1">
        <f t="shared" si="169"/>
        <v>5.8599999999999994</v>
      </c>
      <c r="U2704" s="1" t="str">
        <f t="shared" si="170"/>
        <v>Underpaid</v>
      </c>
      <c r="V2704" s="1" t="str">
        <f>_xlfn.XLOOKUP(C2704,Payers!$A$2:$A$9,Payers!$B$2:$B$9)</f>
        <v>Blue Horizon Commercial</v>
      </c>
      <c r="W2704" s="1" t="str">
        <f t="shared" si="171"/>
        <v>2026-02</v>
      </c>
    </row>
    <row r="2705" spans="1:23">
      <c r="A2705" s="1" t="s">
        <v>4645</v>
      </c>
      <c r="B2705" s="1" t="s">
        <v>2371</v>
      </c>
      <c r="C2705" s="1" t="s">
        <v>47</v>
      </c>
      <c r="D2705" s="1" t="s">
        <v>19</v>
      </c>
      <c r="E2705" s="1" t="s">
        <v>41</v>
      </c>
      <c r="F2705">
        <v>1</v>
      </c>
      <c r="G2705" s="2">
        <v>46067</v>
      </c>
      <c r="H2705" s="2">
        <v>46069</v>
      </c>
      <c r="I2705">
        <v>37.08</v>
      </c>
      <c r="J2705">
        <v>9.16</v>
      </c>
      <c r="K2705">
        <v>7.33</v>
      </c>
      <c r="L2705">
        <v>1.83</v>
      </c>
      <c r="M2705" s="1" t="s">
        <v>21</v>
      </c>
      <c r="N2705" s="1" t="s">
        <v>22</v>
      </c>
      <c r="O2705" s="2">
        <v>46147</v>
      </c>
      <c r="P2705" s="2">
        <v>46147</v>
      </c>
      <c r="Q2705">
        <f>_xlfn.XLOOKUP(E2705,CPT!$A$2:$A$13,CPT!$D$2:$D$13)</f>
        <v>38</v>
      </c>
      <c r="R2705" s="1">
        <f>_xlfn.XLOOKUP(C2705,Contract!$A$2:$A$9,Contract!$B$2:$B$9)</f>
        <v>0.28000000000000003</v>
      </c>
      <c r="S2705" s="1">
        <f t="shared" si="168"/>
        <v>10.64</v>
      </c>
      <c r="T2705" s="1">
        <f t="shared" si="169"/>
        <v>1.4800000000000004</v>
      </c>
      <c r="U2705" s="1" t="str">
        <f t="shared" si="170"/>
        <v>Underpaid</v>
      </c>
      <c r="V2705" s="1" t="str">
        <f>_xlfn.XLOOKUP(C2705,Payers!$A$2:$A$9,Payers!$B$2:$B$9)</f>
        <v>Coastal Medicaid MCO</v>
      </c>
      <c r="W2705" s="1" t="str">
        <f t="shared" si="171"/>
        <v>2026-02</v>
      </c>
    </row>
    <row r="2706" spans="1:23">
      <c r="A2706" s="1" t="s">
        <v>4646</v>
      </c>
      <c r="B2706" s="1" t="s">
        <v>4647</v>
      </c>
      <c r="C2706" s="1" t="s">
        <v>76</v>
      </c>
      <c r="D2706" s="1" t="s">
        <v>26</v>
      </c>
      <c r="E2706" s="1" t="s">
        <v>185</v>
      </c>
      <c r="F2706">
        <v>1</v>
      </c>
      <c r="G2706" s="2">
        <v>46017</v>
      </c>
      <c r="H2706" s="2">
        <v>46020</v>
      </c>
      <c r="I2706">
        <v>1155.18</v>
      </c>
      <c r="M2706" s="1" t="s">
        <v>32</v>
      </c>
      <c r="N2706" s="1" t="s">
        <v>315</v>
      </c>
      <c r="O2706" s="2">
        <v>46056</v>
      </c>
      <c r="P2706" s="2"/>
      <c r="Q2706">
        <f>_xlfn.XLOOKUP(E2706,CPT!$A$2:$A$13,CPT!$D$2:$D$13)</f>
        <v>1150</v>
      </c>
      <c r="R2706" s="1">
        <f>_xlfn.XLOOKUP(C2706,Contract!$A$2:$A$9,Contract!$B$2:$B$9)</f>
        <v>0.43</v>
      </c>
      <c r="S2706" s="1">
        <f t="shared" si="168"/>
        <v>494.5</v>
      </c>
      <c r="T2706" s="1" t="str">
        <f t="shared" si="169"/>
        <v/>
      </c>
      <c r="U2706" s="1" t="str">
        <f t="shared" si="170"/>
        <v/>
      </c>
      <c r="V2706" s="1" t="str">
        <f>_xlfn.XLOOKUP(C2706,Payers!$A$2:$A$9,Payers!$B$2:$B$9)</f>
        <v>Summit Health Commercial</v>
      </c>
      <c r="W2706" s="1" t="str">
        <f t="shared" si="171"/>
        <v>2025-12</v>
      </c>
    </row>
    <row r="2707" spans="1:23">
      <c r="A2707" s="1" t="s">
        <v>4648</v>
      </c>
      <c r="B2707" s="1" t="s">
        <v>2688</v>
      </c>
      <c r="C2707" s="1" t="s">
        <v>76</v>
      </c>
      <c r="D2707" s="1" t="s">
        <v>26</v>
      </c>
      <c r="E2707" s="1" t="s">
        <v>88</v>
      </c>
      <c r="F2707">
        <v>1</v>
      </c>
      <c r="G2707" s="2">
        <v>46022</v>
      </c>
      <c r="H2707" s="2">
        <v>46027</v>
      </c>
      <c r="I2707">
        <v>260.69</v>
      </c>
      <c r="J2707">
        <v>118.48</v>
      </c>
      <c r="K2707">
        <v>118.48</v>
      </c>
      <c r="L2707">
        <v>0</v>
      </c>
      <c r="M2707" s="1" t="s">
        <v>21</v>
      </c>
      <c r="N2707" s="1" t="s">
        <v>22</v>
      </c>
      <c r="O2707" s="2">
        <v>46059</v>
      </c>
      <c r="P2707" s="2">
        <v>46059</v>
      </c>
      <c r="Q2707">
        <f>_xlfn.XLOOKUP(E2707,CPT!$A$2:$A$13,CPT!$D$2:$D$13)</f>
        <v>260</v>
      </c>
      <c r="R2707" s="1">
        <f>_xlfn.XLOOKUP(C2707,Contract!$A$2:$A$9,Contract!$B$2:$B$9)</f>
        <v>0.43</v>
      </c>
      <c r="S2707" s="1">
        <f t="shared" si="168"/>
        <v>111.8</v>
      </c>
      <c r="T2707" s="1">
        <f t="shared" si="169"/>
        <v>-6.6800000000000068</v>
      </c>
      <c r="U2707" s="1" t="str">
        <f t="shared" si="170"/>
        <v>OK</v>
      </c>
      <c r="V2707" s="1" t="str">
        <f>_xlfn.XLOOKUP(C2707,Payers!$A$2:$A$9,Payers!$B$2:$B$9)</f>
        <v>Summit Health Commercial</v>
      </c>
      <c r="W2707" s="1" t="str">
        <f t="shared" si="171"/>
        <v>2025-12</v>
      </c>
    </row>
    <row r="2708" spans="1:23">
      <c r="A2708" s="1" t="s">
        <v>4649</v>
      </c>
      <c r="B2708" s="1" t="s">
        <v>3961</v>
      </c>
      <c r="C2708" s="1" t="s">
        <v>60</v>
      </c>
      <c r="D2708" s="1" t="s">
        <v>19</v>
      </c>
      <c r="E2708" s="1" t="s">
        <v>41</v>
      </c>
      <c r="F2708">
        <v>1</v>
      </c>
      <c r="G2708" s="2">
        <v>46088</v>
      </c>
      <c r="H2708" s="2">
        <v>46089</v>
      </c>
      <c r="I2708">
        <v>37.74</v>
      </c>
      <c r="J2708">
        <v>16.32</v>
      </c>
      <c r="K2708">
        <v>13.06</v>
      </c>
      <c r="L2708">
        <v>3.26</v>
      </c>
      <c r="M2708" s="1" t="s">
        <v>21</v>
      </c>
      <c r="N2708" s="1" t="s">
        <v>22</v>
      </c>
      <c r="O2708" s="2">
        <v>46126</v>
      </c>
      <c r="P2708" s="2">
        <v>46126</v>
      </c>
      <c r="Q2708">
        <f>_xlfn.XLOOKUP(E2708,CPT!$A$2:$A$13,CPT!$D$2:$D$13)</f>
        <v>38</v>
      </c>
      <c r="R2708" s="1">
        <f>_xlfn.XLOOKUP(C2708,Contract!$A$2:$A$9,Contract!$B$2:$B$9)</f>
        <v>0.45</v>
      </c>
      <c r="S2708" s="1">
        <f t="shared" si="168"/>
        <v>17.100000000000001</v>
      </c>
      <c r="T2708" s="1">
        <f t="shared" si="169"/>
        <v>0.78000000000000114</v>
      </c>
      <c r="U2708" s="1" t="str">
        <f t="shared" si="170"/>
        <v>OK</v>
      </c>
      <c r="V2708" s="1" t="str">
        <f>_xlfn.XLOOKUP(C2708,Payers!$A$2:$A$9,Payers!$B$2:$B$9)</f>
        <v>Blue Horizon Commercial</v>
      </c>
      <c r="W2708" s="1" t="str">
        <f t="shared" si="171"/>
        <v>2026-03</v>
      </c>
    </row>
    <row r="2709" spans="1:23">
      <c r="A2709" s="1" t="s">
        <v>4650</v>
      </c>
      <c r="B2709" s="1" t="s">
        <v>4651</v>
      </c>
      <c r="C2709" s="1" t="s">
        <v>60</v>
      </c>
      <c r="D2709" s="1" t="s">
        <v>19</v>
      </c>
      <c r="E2709" s="1" t="s">
        <v>88</v>
      </c>
      <c r="F2709">
        <v>1</v>
      </c>
      <c r="G2709" s="2">
        <v>46134</v>
      </c>
      <c r="H2709" s="2">
        <v>46136</v>
      </c>
      <c r="I2709">
        <v>260.01</v>
      </c>
      <c r="J2709">
        <v>108.1</v>
      </c>
      <c r="K2709">
        <v>108.1</v>
      </c>
      <c r="L2709">
        <v>0</v>
      </c>
      <c r="M2709" s="1" t="s">
        <v>21</v>
      </c>
      <c r="N2709" s="1" t="s">
        <v>22</v>
      </c>
      <c r="O2709" s="2">
        <v>46170</v>
      </c>
      <c r="P2709" s="2">
        <v>46170</v>
      </c>
      <c r="Q2709">
        <f>_xlfn.XLOOKUP(E2709,CPT!$A$2:$A$13,CPT!$D$2:$D$13)</f>
        <v>260</v>
      </c>
      <c r="R2709" s="1">
        <f>_xlfn.XLOOKUP(C2709,Contract!$A$2:$A$9,Contract!$B$2:$B$9)</f>
        <v>0.45</v>
      </c>
      <c r="S2709" s="1">
        <f t="shared" si="168"/>
        <v>117</v>
      </c>
      <c r="T2709" s="1">
        <f t="shared" si="169"/>
        <v>8.9000000000000057</v>
      </c>
      <c r="U2709" s="1" t="str">
        <f t="shared" si="170"/>
        <v>Underpaid</v>
      </c>
      <c r="V2709" s="1" t="str">
        <f>_xlfn.XLOOKUP(C2709,Payers!$A$2:$A$9,Payers!$B$2:$B$9)</f>
        <v>Blue Horizon Commercial</v>
      </c>
      <c r="W2709" s="1" t="str">
        <f t="shared" si="171"/>
        <v>2026-04</v>
      </c>
    </row>
    <row r="2710" spans="1:23">
      <c r="A2710" s="1" t="s">
        <v>4652</v>
      </c>
      <c r="B2710" s="1" t="s">
        <v>4653</v>
      </c>
      <c r="C2710" s="1" t="s">
        <v>36</v>
      </c>
      <c r="D2710" s="1" t="s">
        <v>19</v>
      </c>
      <c r="E2710" s="1" t="s">
        <v>88</v>
      </c>
      <c r="F2710">
        <v>1</v>
      </c>
      <c r="G2710" s="2">
        <v>46032</v>
      </c>
      <c r="H2710" s="2">
        <v>46039</v>
      </c>
      <c r="I2710">
        <v>256.73</v>
      </c>
      <c r="J2710">
        <v>73.33</v>
      </c>
      <c r="K2710">
        <v>66</v>
      </c>
      <c r="L2710">
        <v>7.33</v>
      </c>
      <c r="M2710" s="1" t="s">
        <v>21</v>
      </c>
      <c r="N2710" s="1" t="s">
        <v>22</v>
      </c>
      <c r="O2710" s="2">
        <v>46076</v>
      </c>
      <c r="P2710" s="2">
        <v>46076</v>
      </c>
      <c r="Q2710">
        <f>_xlfn.XLOOKUP(E2710,CPT!$A$2:$A$13,CPT!$D$2:$D$13)</f>
        <v>260</v>
      </c>
      <c r="R2710" s="1">
        <f>_xlfn.XLOOKUP(C2710,Contract!$A$2:$A$9,Contract!$B$2:$B$9)</f>
        <v>0.27</v>
      </c>
      <c r="S2710" s="1">
        <f t="shared" si="168"/>
        <v>70.2</v>
      </c>
      <c r="T2710" s="1">
        <f t="shared" si="169"/>
        <v>-3.1299999999999955</v>
      </c>
      <c r="U2710" s="1" t="str">
        <f t="shared" si="170"/>
        <v>OK</v>
      </c>
      <c r="V2710" s="1" t="str">
        <f>_xlfn.XLOOKUP(C2710,Payers!$A$2:$A$9,Payers!$B$2:$B$9)</f>
        <v>Florida Medicaid</v>
      </c>
      <c r="W2710" s="1" t="str">
        <f t="shared" si="171"/>
        <v>2026-01</v>
      </c>
    </row>
    <row r="2711" spans="1:23">
      <c r="A2711" s="1" t="s">
        <v>4654</v>
      </c>
      <c r="B2711" s="1" t="s">
        <v>293</v>
      </c>
      <c r="C2711" s="1" t="s">
        <v>60</v>
      </c>
      <c r="D2711" s="1" t="s">
        <v>19</v>
      </c>
      <c r="E2711" s="1" t="s">
        <v>41</v>
      </c>
      <c r="F2711">
        <v>1</v>
      </c>
      <c r="G2711" s="2">
        <v>46049</v>
      </c>
      <c r="H2711" s="2">
        <v>46057</v>
      </c>
      <c r="I2711">
        <v>39.119999999999997</v>
      </c>
      <c r="M2711" s="1" t="s">
        <v>32</v>
      </c>
      <c r="N2711" s="1" t="s">
        <v>49</v>
      </c>
      <c r="O2711" s="2">
        <v>46092</v>
      </c>
      <c r="P2711" s="2"/>
      <c r="Q2711">
        <f>_xlfn.XLOOKUP(E2711,CPT!$A$2:$A$13,CPT!$D$2:$D$13)</f>
        <v>38</v>
      </c>
      <c r="R2711" s="1">
        <f>_xlfn.XLOOKUP(C2711,Contract!$A$2:$A$9,Contract!$B$2:$B$9)</f>
        <v>0.45</v>
      </c>
      <c r="S2711" s="1">
        <f t="shared" si="168"/>
        <v>17.100000000000001</v>
      </c>
      <c r="T2711" s="1" t="str">
        <f t="shared" si="169"/>
        <v/>
      </c>
      <c r="U2711" s="1" t="str">
        <f t="shared" si="170"/>
        <v/>
      </c>
      <c r="V2711" s="1" t="str">
        <f>_xlfn.XLOOKUP(C2711,Payers!$A$2:$A$9,Payers!$B$2:$B$9)</f>
        <v>Blue Horizon Commercial</v>
      </c>
      <c r="W2711" s="1" t="str">
        <f t="shared" si="171"/>
        <v>2026-01</v>
      </c>
    </row>
    <row r="2712" spans="1:23">
      <c r="A2712" s="1" t="s">
        <v>4655</v>
      </c>
      <c r="B2712" s="1" t="s">
        <v>3718</v>
      </c>
      <c r="C2712" s="1" t="s">
        <v>47</v>
      </c>
      <c r="D2712" s="1" t="s">
        <v>19</v>
      </c>
      <c r="E2712" s="1" t="s">
        <v>41</v>
      </c>
      <c r="F2712">
        <v>1</v>
      </c>
      <c r="G2712" s="2">
        <v>46282</v>
      </c>
      <c r="H2712" s="2">
        <v>46283</v>
      </c>
      <c r="I2712">
        <v>37.15</v>
      </c>
      <c r="M2712" s="1" t="s">
        <v>69</v>
      </c>
      <c r="N2712" s="1" t="s">
        <v>22</v>
      </c>
      <c r="O2712" s="2"/>
      <c r="P2712" s="2"/>
      <c r="Q2712">
        <f>_xlfn.XLOOKUP(E2712,CPT!$A$2:$A$13,CPT!$D$2:$D$13)</f>
        <v>38</v>
      </c>
      <c r="R2712" s="1">
        <f>_xlfn.XLOOKUP(C2712,Contract!$A$2:$A$9,Contract!$B$2:$B$9)</f>
        <v>0.28000000000000003</v>
      </c>
      <c r="S2712" s="1">
        <f t="shared" si="168"/>
        <v>10.64</v>
      </c>
      <c r="T2712" s="1" t="str">
        <f t="shared" si="169"/>
        <v/>
      </c>
      <c r="U2712" s="1" t="str">
        <f t="shared" si="170"/>
        <v/>
      </c>
      <c r="V2712" s="1" t="str">
        <f>_xlfn.XLOOKUP(C2712,Payers!$A$2:$A$9,Payers!$B$2:$B$9)</f>
        <v>Coastal Medicaid MCO</v>
      </c>
      <c r="W2712" s="1" t="str">
        <f t="shared" si="171"/>
        <v>2026-09</v>
      </c>
    </row>
    <row r="2713" spans="1:23">
      <c r="A2713" s="1" t="s">
        <v>4656</v>
      </c>
      <c r="B2713" s="1" t="s">
        <v>1813</v>
      </c>
      <c r="C2713" s="1" t="s">
        <v>25</v>
      </c>
      <c r="D2713" s="1" t="s">
        <v>19</v>
      </c>
      <c r="E2713" s="1" t="s">
        <v>57</v>
      </c>
      <c r="F2713">
        <v>1</v>
      </c>
      <c r="G2713" s="2">
        <v>46267</v>
      </c>
      <c r="H2713" s="2">
        <v>46268</v>
      </c>
      <c r="I2713">
        <v>213.6</v>
      </c>
      <c r="J2713">
        <v>84.98</v>
      </c>
      <c r="K2713">
        <v>67.98</v>
      </c>
      <c r="L2713">
        <v>17</v>
      </c>
      <c r="M2713" s="1" t="s">
        <v>21</v>
      </c>
      <c r="N2713" s="1" t="s">
        <v>22</v>
      </c>
      <c r="O2713" s="2">
        <v>46289</v>
      </c>
      <c r="P2713" s="2">
        <v>46289</v>
      </c>
      <c r="Q2713">
        <f>_xlfn.XLOOKUP(E2713,CPT!$A$2:$A$13,CPT!$D$2:$D$13)</f>
        <v>210</v>
      </c>
      <c r="R2713" s="1">
        <f>_xlfn.XLOOKUP(C2713,Contract!$A$2:$A$9,Contract!$B$2:$B$9)</f>
        <v>0.36</v>
      </c>
      <c r="S2713" s="1">
        <f t="shared" si="168"/>
        <v>75.599999999999994</v>
      </c>
      <c r="T2713" s="1">
        <f t="shared" si="169"/>
        <v>-9.3800000000000097</v>
      </c>
      <c r="U2713" s="1" t="str">
        <f t="shared" si="170"/>
        <v>OK</v>
      </c>
      <c r="V2713" s="1" t="str">
        <f>_xlfn.XLOOKUP(C2713,Payers!$A$2:$A$9,Payers!$B$2:$B$9)</f>
        <v>Medicare Part B</v>
      </c>
      <c r="W2713" s="1" t="str">
        <f t="shared" si="171"/>
        <v>2026-09</v>
      </c>
    </row>
    <row r="2714" spans="1:23">
      <c r="A2714" s="1" t="s">
        <v>4657</v>
      </c>
      <c r="B2714" s="1" t="s">
        <v>3775</v>
      </c>
      <c r="C2714" s="1" t="s">
        <v>60</v>
      </c>
      <c r="D2714" s="1" t="s">
        <v>30</v>
      </c>
      <c r="E2714" s="1" t="s">
        <v>20</v>
      </c>
      <c r="F2714">
        <v>1</v>
      </c>
      <c r="G2714" s="2">
        <v>45946</v>
      </c>
      <c r="H2714" s="2">
        <v>46084</v>
      </c>
      <c r="I2714">
        <v>147.44</v>
      </c>
      <c r="M2714" s="1" t="s">
        <v>32</v>
      </c>
      <c r="N2714" s="1" t="s">
        <v>137</v>
      </c>
      <c r="O2714" s="2">
        <v>46108</v>
      </c>
      <c r="P2714" s="2"/>
      <c r="Q2714">
        <f>_xlfn.XLOOKUP(E2714,CPT!$A$2:$A$13,CPT!$D$2:$D$13)</f>
        <v>145</v>
      </c>
      <c r="R2714" s="1">
        <f>_xlfn.XLOOKUP(C2714,Contract!$A$2:$A$9,Contract!$B$2:$B$9)</f>
        <v>0.45</v>
      </c>
      <c r="S2714" s="1">
        <f t="shared" si="168"/>
        <v>65.25</v>
      </c>
      <c r="T2714" s="1" t="str">
        <f t="shared" si="169"/>
        <v/>
      </c>
      <c r="U2714" s="1" t="str">
        <f t="shared" si="170"/>
        <v/>
      </c>
      <c r="V2714" s="1" t="str">
        <f>_xlfn.XLOOKUP(C2714,Payers!$A$2:$A$9,Payers!$B$2:$B$9)</f>
        <v>Blue Horizon Commercial</v>
      </c>
      <c r="W2714" s="1" t="str">
        <f t="shared" si="171"/>
        <v>2025-10</v>
      </c>
    </row>
    <row r="2715" spans="1:23">
      <c r="A2715" s="1" t="s">
        <v>4658</v>
      </c>
      <c r="B2715" s="1" t="s">
        <v>1349</v>
      </c>
      <c r="C2715" s="1" t="s">
        <v>36</v>
      </c>
      <c r="D2715" s="1" t="s">
        <v>30</v>
      </c>
      <c r="E2715" s="1" t="s">
        <v>91</v>
      </c>
      <c r="F2715">
        <v>1</v>
      </c>
      <c r="G2715" s="2">
        <v>45940</v>
      </c>
      <c r="H2715" s="2">
        <v>45944</v>
      </c>
      <c r="I2715">
        <v>57.22</v>
      </c>
      <c r="J2715">
        <v>17.239999999999998</v>
      </c>
      <c r="K2715">
        <v>13.79</v>
      </c>
      <c r="L2715">
        <v>3.45</v>
      </c>
      <c r="M2715" s="1" t="s">
        <v>21</v>
      </c>
      <c r="N2715" s="1" t="s">
        <v>22</v>
      </c>
      <c r="O2715" s="2">
        <v>45982</v>
      </c>
      <c r="P2715" s="2">
        <v>45982</v>
      </c>
      <c r="Q2715">
        <f>_xlfn.XLOOKUP(E2715,CPT!$A$2:$A$13,CPT!$D$2:$D$13)</f>
        <v>58</v>
      </c>
      <c r="R2715" s="1">
        <f>_xlfn.XLOOKUP(C2715,Contract!$A$2:$A$9,Contract!$B$2:$B$9)</f>
        <v>0.27</v>
      </c>
      <c r="S2715" s="1">
        <f t="shared" si="168"/>
        <v>15.66</v>
      </c>
      <c r="T2715" s="1">
        <f t="shared" si="169"/>
        <v>-1.5799999999999983</v>
      </c>
      <c r="U2715" s="1" t="str">
        <f t="shared" si="170"/>
        <v>OK</v>
      </c>
      <c r="V2715" s="1" t="str">
        <f>_xlfn.XLOOKUP(C2715,Payers!$A$2:$A$9,Payers!$B$2:$B$9)</f>
        <v>Florida Medicaid</v>
      </c>
      <c r="W2715" s="1" t="str">
        <f t="shared" si="171"/>
        <v>2025-10</v>
      </c>
    </row>
    <row r="2716" spans="1:23">
      <c r="A2716" s="1" t="s">
        <v>4659</v>
      </c>
      <c r="B2716" s="1" t="s">
        <v>4660</v>
      </c>
      <c r="C2716" s="1" t="s">
        <v>18</v>
      </c>
      <c r="D2716" s="1" t="s">
        <v>19</v>
      </c>
      <c r="E2716" s="1" t="s">
        <v>20</v>
      </c>
      <c r="F2716">
        <v>1</v>
      </c>
      <c r="G2716" s="2">
        <v>46019</v>
      </c>
      <c r="H2716" s="2">
        <v>46030</v>
      </c>
      <c r="I2716">
        <v>147.69999999999999</v>
      </c>
      <c r="J2716">
        <v>59.32</v>
      </c>
      <c r="K2716">
        <v>53.39</v>
      </c>
      <c r="L2716">
        <v>5.93</v>
      </c>
      <c r="M2716" s="1" t="s">
        <v>21</v>
      </c>
      <c r="N2716" s="1" t="s">
        <v>22</v>
      </c>
      <c r="O2716" s="2">
        <v>46069</v>
      </c>
      <c r="P2716" s="2">
        <v>46069</v>
      </c>
      <c r="Q2716">
        <f>_xlfn.XLOOKUP(E2716,CPT!$A$2:$A$13,CPT!$D$2:$D$13)</f>
        <v>145</v>
      </c>
      <c r="R2716" s="1">
        <f>_xlfn.XLOOKUP(C2716,Contract!$A$2:$A$9,Contract!$B$2:$B$9)</f>
        <v>0.38</v>
      </c>
      <c r="S2716" s="1">
        <f t="shared" si="168"/>
        <v>55.1</v>
      </c>
      <c r="T2716" s="1">
        <f t="shared" si="169"/>
        <v>-4.2199999999999989</v>
      </c>
      <c r="U2716" s="1" t="str">
        <f t="shared" si="170"/>
        <v>OK</v>
      </c>
      <c r="V2716" s="1" t="str">
        <f>_xlfn.XLOOKUP(C2716,Payers!$A$2:$A$9,Payers!$B$2:$B$9)</f>
        <v>Sunshine Medicare Advantage</v>
      </c>
      <c r="W2716" s="1" t="str">
        <f t="shared" si="171"/>
        <v>2025-12</v>
      </c>
    </row>
    <row r="2717" spans="1:23">
      <c r="A2717" s="1" t="s">
        <v>4661</v>
      </c>
      <c r="B2717" s="1" t="s">
        <v>4662</v>
      </c>
      <c r="C2717" s="1" t="s">
        <v>76</v>
      </c>
      <c r="D2717" s="1" t="s">
        <v>26</v>
      </c>
      <c r="E2717" s="1" t="s">
        <v>185</v>
      </c>
      <c r="F2717">
        <v>1</v>
      </c>
      <c r="G2717" s="2">
        <v>46244</v>
      </c>
      <c r="H2717" s="2">
        <v>46247</v>
      </c>
      <c r="I2717">
        <v>1167.17</v>
      </c>
      <c r="J2717">
        <v>442.8</v>
      </c>
      <c r="K2717">
        <v>442.8</v>
      </c>
      <c r="L2717">
        <v>0</v>
      </c>
      <c r="M2717" s="1" t="s">
        <v>21</v>
      </c>
      <c r="N2717" s="1" t="s">
        <v>22</v>
      </c>
      <c r="O2717" s="2">
        <v>46291</v>
      </c>
      <c r="P2717" s="2">
        <v>46291</v>
      </c>
      <c r="Q2717">
        <f>_xlfn.XLOOKUP(E2717,CPT!$A$2:$A$13,CPT!$D$2:$D$13)</f>
        <v>1150</v>
      </c>
      <c r="R2717" s="1">
        <f>_xlfn.XLOOKUP(C2717,Contract!$A$2:$A$9,Contract!$B$2:$B$9)</f>
        <v>0.43</v>
      </c>
      <c r="S2717" s="1">
        <f t="shared" si="168"/>
        <v>494.5</v>
      </c>
      <c r="T2717" s="1">
        <f t="shared" si="169"/>
        <v>51.699999999999989</v>
      </c>
      <c r="U2717" s="1" t="str">
        <f t="shared" si="170"/>
        <v>Underpaid</v>
      </c>
      <c r="V2717" s="1" t="str">
        <f>_xlfn.XLOOKUP(C2717,Payers!$A$2:$A$9,Payers!$B$2:$B$9)</f>
        <v>Summit Health Commercial</v>
      </c>
      <c r="W2717" s="1" t="str">
        <f t="shared" si="171"/>
        <v>2026-08</v>
      </c>
    </row>
    <row r="2718" spans="1:23">
      <c r="A2718" s="1" t="s">
        <v>4663</v>
      </c>
      <c r="B2718" s="1" t="s">
        <v>4538</v>
      </c>
      <c r="C2718" s="1" t="s">
        <v>60</v>
      </c>
      <c r="D2718" s="1" t="s">
        <v>26</v>
      </c>
      <c r="E2718" s="1" t="s">
        <v>185</v>
      </c>
      <c r="F2718">
        <v>1</v>
      </c>
      <c r="G2718" s="2">
        <v>45934</v>
      </c>
      <c r="H2718" s="2">
        <v>45935</v>
      </c>
      <c r="I2718">
        <v>1182.24</v>
      </c>
      <c r="J2718">
        <v>572.14</v>
      </c>
      <c r="K2718">
        <v>572.14</v>
      </c>
      <c r="L2718">
        <v>0</v>
      </c>
      <c r="M2718" s="1" t="s">
        <v>21</v>
      </c>
      <c r="N2718" s="1" t="s">
        <v>22</v>
      </c>
      <c r="O2718" s="2">
        <v>45982</v>
      </c>
      <c r="P2718" s="2">
        <v>45982</v>
      </c>
      <c r="Q2718">
        <f>_xlfn.XLOOKUP(E2718,CPT!$A$2:$A$13,CPT!$D$2:$D$13)</f>
        <v>1150</v>
      </c>
      <c r="R2718" s="1">
        <f>_xlfn.XLOOKUP(C2718,Contract!$A$2:$A$9,Contract!$B$2:$B$9)</f>
        <v>0.45</v>
      </c>
      <c r="S2718" s="1">
        <f t="shared" si="168"/>
        <v>517.5</v>
      </c>
      <c r="T2718" s="1">
        <f t="shared" si="169"/>
        <v>-54.639999999999986</v>
      </c>
      <c r="U2718" s="1" t="str">
        <f t="shared" si="170"/>
        <v>OK</v>
      </c>
      <c r="V2718" s="1" t="str">
        <f>_xlfn.XLOOKUP(C2718,Payers!$A$2:$A$9,Payers!$B$2:$B$9)</f>
        <v>Blue Horizon Commercial</v>
      </c>
      <c r="W2718" s="1" t="str">
        <f t="shared" si="171"/>
        <v>2025-10</v>
      </c>
    </row>
    <row r="2719" spans="1:23">
      <c r="A2719" s="1" t="s">
        <v>4664</v>
      </c>
      <c r="B2719" s="1" t="s">
        <v>4665</v>
      </c>
      <c r="C2719" s="1" t="s">
        <v>76</v>
      </c>
      <c r="D2719" s="1" t="s">
        <v>30</v>
      </c>
      <c r="E2719" s="1" t="s">
        <v>31</v>
      </c>
      <c r="F2719">
        <v>3</v>
      </c>
      <c r="G2719" s="2">
        <v>46167</v>
      </c>
      <c r="H2719" s="2">
        <v>46169</v>
      </c>
      <c r="I2719">
        <v>187.81</v>
      </c>
      <c r="J2719">
        <v>73.650000000000006</v>
      </c>
      <c r="K2719">
        <v>73.650000000000006</v>
      </c>
      <c r="L2719">
        <v>0</v>
      </c>
      <c r="M2719" s="1" t="s">
        <v>21</v>
      </c>
      <c r="N2719" s="1" t="s">
        <v>22</v>
      </c>
      <c r="O2719" s="2">
        <v>46200</v>
      </c>
      <c r="P2719" s="2">
        <v>46200</v>
      </c>
      <c r="Q2719">
        <f>_xlfn.XLOOKUP(E2719,CPT!$A$2:$A$13,CPT!$D$2:$D$13)</f>
        <v>62</v>
      </c>
      <c r="R2719" s="1">
        <f>_xlfn.XLOOKUP(C2719,Contract!$A$2:$A$9,Contract!$B$2:$B$9)</f>
        <v>0.43</v>
      </c>
      <c r="S2719" s="1">
        <f t="shared" si="168"/>
        <v>79.98</v>
      </c>
      <c r="T2719" s="1">
        <f t="shared" si="169"/>
        <v>6.3299999999999983</v>
      </c>
      <c r="U2719" s="1" t="str">
        <f t="shared" si="170"/>
        <v>Underpaid</v>
      </c>
      <c r="V2719" s="1" t="str">
        <f>_xlfn.XLOOKUP(C2719,Payers!$A$2:$A$9,Payers!$B$2:$B$9)</f>
        <v>Summit Health Commercial</v>
      </c>
      <c r="W2719" s="1" t="str">
        <f t="shared" si="171"/>
        <v>2026-05</v>
      </c>
    </row>
    <row r="2720" spans="1:23">
      <c r="A2720" s="1" t="s">
        <v>4666</v>
      </c>
      <c r="B2720" s="1" t="s">
        <v>4667</v>
      </c>
      <c r="C2720" s="1" t="s">
        <v>25</v>
      </c>
      <c r="D2720" s="1" t="s">
        <v>19</v>
      </c>
      <c r="E2720" s="1" t="s">
        <v>57</v>
      </c>
      <c r="F2720">
        <v>1</v>
      </c>
      <c r="G2720" s="2">
        <v>46014</v>
      </c>
      <c r="H2720" s="2">
        <v>46024</v>
      </c>
      <c r="I2720">
        <v>209.02</v>
      </c>
      <c r="J2720">
        <v>74.930000000000007</v>
      </c>
      <c r="K2720">
        <v>74.930000000000007</v>
      </c>
      <c r="L2720">
        <v>0</v>
      </c>
      <c r="M2720" s="1" t="s">
        <v>21</v>
      </c>
      <c r="N2720" s="1" t="s">
        <v>22</v>
      </c>
      <c r="O2720" s="2">
        <v>46053</v>
      </c>
      <c r="P2720" s="2">
        <v>46053</v>
      </c>
      <c r="Q2720">
        <f>_xlfn.XLOOKUP(E2720,CPT!$A$2:$A$13,CPT!$D$2:$D$13)</f>
        <v>210</v>
      </c>
      <c r="R2720" s="1">
        <f>_xlfn.XLOOKUP(C2720,Contract!$A$2:$A$9,Contract!$B$2:$B$9)</f>
        <v>0.36</v>
      </c>
      <c r="S2720" s="1">
        <f t="shared" si="168"/>
        <v>75.599999999999994</v>
      </c>
      <c r="T2720" s="1">
        <f t="shared" si="169"/>
        <v>0.66999999999998749</v>
      </c>
      <c r="U2720" s="1" t="str">
        <f t="shared" si="170"/>
        <v>OK</v>
      </c>
      <c r="V2720" s="1" t="str">
        <f>_xlfn.XLOOKUP(C2720,Payers!$A$2:$A$9,Payers!$B$2:$B$9)</f>
        <v>Medicare Part B</v>
      </c>
      <c r="W2720" s="1" t="str">
        <f t="shared" si="171"/>
        <v>2025-12</v>
      </c>
    </row>
    <row r="2721" spans="1:23">
      <c r="A2721" s="1" t="s">
        <v>4668</v>
      </c>
      <c r="B2721" s="1" t="s">
        <v>3319</v>
      </c>
      <c r="C2721" s="1" t="s">
        <v>52</v>
      </c>
      <c r="D2721" s="1" t="s">
        <v>26</v>
      </c>
      <c r="E2721" s="1" t="s">
        <v>88</v>
      </c>
      <c r="F2721">
        <v>1</v>
      </c>
      <c r="G2721" s="2">
        <v>45983</v>
      </c>
      <c r="H2721" s="2">
        <v>45988</v>
      </c>
      <c r="I2721">
        <v>254.16</v>
      </c>
      <c r="J2721">
        <v>125.92</v>
      </c>
      <c r="K2721">
        <v>100.74</v>
      </c>
      <c r="L2721">
        <v>25.18</v>
      </c>
      <c r="M2721" s="1" t="s">
        <v>21</v>
      </c>
      <c r="N2721" s="1" t="s">
        <v>22</v>
      </c>
      <c r="O2721" s="2">
        <v>46051</v>
      </c>
      <c r="P2721" s="2">
        <v>46051</v>
      </c>
      <c r="Q2721">
        <f>_xlfn.XLOOKUP(E2721,CPT!$A$2:$A$13,CPT!$D$2:$D$13)</f>
        <v>260</v>
      </c>
      <c r="R2721" s="1">
        <f>_xlfn.XLOOKUP(C2721,Contract!$A$2:$A$9,Contract!$B$2:$B$9)</f>
        <v>0.47</v>
      </c>
      <c r="S2721" s="1">
        <f t="shared" si="168"/>
        <v>122.2</v>
      </c>
      <c r="T2721" s="1">
        <f t="shared" si="169"/>
        <v>-3.7199999999999989</v>
      </c>
      <c r="U2721" s="1" t="str">
        <f t="shared" si="170"/>
        <v>OK</v>
      </c>
      <c r="V2721" s="1" t="str">
        <f>_xlfn.XLOOKUP(C2721,Payers!$A$2:$A$9,Payers!$B$2:$B$9)</f>
        <v>Keystone Commercial PPO</v>
      </c>
      <c r="W2721" s="1" t="str">
        <f t="shared" si="171"/>
        <v>2025-11</v>
      </c>
    </row>
    <row r="2722" spans="1:23">
      <c r="A2722" s="1" t="s">
        <v>4669</v>
      </c>
      <c r="B2722" s="1" t="s">
        <v>4412</v>
      </c>
      <c r="C2722" s="1" t="s">
        <v>18</v>
      </c>
      <c r="D2722" s="1" t="s">
        <v>30</v>
      </c>
      <c r="E2722" s="1" t="s">
        <v>20</v>
      </c>
      <c r="F2722">
        <v>1</v>
      </c>
      <c r="G2722" s="2">
        <v>45951</v>
      </c>
      <c r="H2722" s="2">
        <v>45960</v>
      </c>
      <c r="I2722">
        <v>148.1</v>
      </c>
      <c r="J2722">
        <v>53.15</v>
      </c>
      <c r="K2722">
        <v>47.83</v>
      </c>
      <c r="L2722">
        <v>5.32</v>
      </c>
      <c r="M2722" s="1" t="s">
        <v>21</v>
      </c>
      <c r="N2722" s="1" t="s">
        <v>22</v>
      </c>
      <c r="O2722" s="2">
        <v>46007</v>
      </c>
      <c r="P2722" s="2">
        <v>46007</v>
      </c>
      <c r="Q2722">
        <f>_xlfn.XLOOKUP(E2722,CPT!$A$2:$A$13,CPT!$D$2:$D$13)</f>
        <v>145</v>
      </c>
      <c r="R2722" s="1">
        <f>_xlfn.XLOOKUP(C2722,Contract!$A$2:$A$9,Contract!$B$2:$B$9)</f>
        <v>0.38</v>
      </c>
      <c r="S2722" s="1">
        <f t="shared" si="168"/>
        <v>55.1</v>
      </c>
      <c r="T2722" s="1">
        <f t="shared" si="169"/>
        <v>1.9500000000000028</v>
      </c>
      <c r="U2722" s="1" t="str">
        <f t="shared" si="170"/>
        <v>OK</v>
      </c>
      <c r="V2722" s="1" t="str">
        <f>_xlfn.XLOOKUP(C2722,Payers!$A$2:$A$9,Payers!$B$2:$B$9)</f>
        <v>Sunshine Medicare Advantage</v>
      </c>
      <c r="W2722" s="1" t="str">
        <f t="shared" si="171"/>
        <v>2025-10</v>
      </c>
    </row>
    <row r="2723" spans="1:23">
      <c r="A2723" s="1" t="s">
        <v>4670</v>
      </c>
      <c r="B2723" s="1" t="s">
        <v>3008</v>
      </c>
      <c r="C2723" s="1" t="s">
        <v>76</v>
      </c>
      <c r="D2723" s="1" t="s">
        <v>19</v>
      </c>
      <c r="E2723" s="1" t="s">
        <v>57</v>
      </c>
      <c r="F2723">
        <v>1</v>
      </c>
      <c r="G2723" s="2">
        <v>46110</v>
      </c>
      <c r="H2723" s="2">
        <v>46117</v>
      </c>
      <c r="I2723">
        <v>213.45</v>
      </c>
      <c r="J2723">
        <v>102.38</v>
      </c>
      <c r="K2723">
        <v>102.38</v>
      </c>
      <c r="L2723">
        <v>0</v>
      </c>
      <c r="M2723" s="1" t="s">
        <v>21</v>
      </c>
      <c r="N2723" s="1" t="s">
        <v>22</v>
      </c>
      <c r="O2723" s="2">
        <v>46163</v>
      </c>
      <c r="P2723" s="2">
        <v>46163</v>
      </c>
      <c r="Q2723">
        <f>_xlfn.XLOOKUP(E2723,CPT!$A$2:$A$13,CPT!$D$2:$D$13)</f>
        <v>210</v>
      </c>
      <c r="R2723" s="1">
        <f>_xlfn.XLOOKUP(C2723,Contract!$A$2:$A$9,Contract!$B$2:$B$9)</f>
        <v>0.43</v>
      </c>
      <c r="S2723" s="1">
        <f t="shared" si="168"/>
        <v>90.3</v>
      </c>
      <c r="T2723" s="1">
        <f t="shared" si="169"/>
        <v>-12.079999999999998</v>
      </c>
      <c r="U2723" s="1" t="str">
        <f t="shared" si="170"/>
        <v>OK</v>
      </c>
      <c r="V2723" s="1" t="str">
        <f>_xlfn.XLOOKUP(C2723,Payers!$A$2:$A$9,Payers!$B$2:$B$9)</f>
        <v>Summit Health Commercial</v>
      </c>
      <c r="W2723" s="1" t="str">
        <f t="shared" si="171"/>
        <v>2026-03</v>
      </c>
    </row>
    <row r="2724" spans="1:23">
      <c r="A2724" s="1" t="s">
        <v>4671</v>
      </c>
      <c r="B2724" s="1" t="s">
        <v>4672</v>
      </c>
      <c r="C2724" s="1" t="s">
        <v>18</v>
      </c>
      <c r="D2724" s="1" t="s">
        <v>26</v>
      </c>
      <c r="E2724" s="1" t="s">
        <v>57</v>
      </c>
      <c r="F2724">
        <v>1</v>
      </c>
      <c r="G2724" s="2">
        <v>46172</v>
      </c>
      <c r="H2724" s="2">
        <v>46180</v>
      </c>
      <c r="I2724">
        <v>212.68</v>
      </c>
      <c r="J2724">
        <v>83.22</v>
      </c>
      <c r="K2724">
        <v>83.22</v>
      </c>
      <c r="L2724">
        <v>0</v>
      </c>
      <c r="M2724" s="1" t="s">
        <v>21</v>
      </c>
      <c r="N2724" s="1" t="s">
        <v>22</v>
      </c>
      <c r="O2724" s="2">
        <v>46210</v>
      </c>
      <c r="P2724" s="2">
        <v>46210</v>
      </c>
      <c r="Q2724">
        <f>_xlfn.XLOOKUP(E2724,CPT!$A$2:$A$13,CPT!$D$2:$D$13)</f>
        <v>210</v>
      </c>
      <c r="R2724" s="1">
        <f>_xlfn.XLOOKUP(C2724,Contract!$A$2:$A$9,Contract!$B$2:$B$9)</f>
        <v>0.38</v>
      </c>
      <c r="S2724" s="1">
        <f t="shared" si="168"/>
        <v>79.8</v>
      </c>
      <c r="T2724" s="1">
        <f t="shared" si="169"/>
        <v>-3.4200000000000017</v>
      </c>
      <c r="U2724" s="1" t="str">
        <f t="shared" si="170"/>
        <v>OK</v>
      </c>
      <c r="V2724" s="1" t="str">
        <f>_xlfn.XLOOKUP(C2724,Payers!$A$2:$A$9,Payers!$B$2:$B$9)</f>
        <v>Sunshine Medicare Advantage</v>
      </c>
      <c r="W2724" s="1" t="str">
        <f t="shared" si="171"/>
        <v>2026-05</v>
      </c>
    </row>
    <row r="2725" spans="1:23">
      <c r="A2725" s="1" t="s">
        <v>4673</v>
      </c>
      <c r="B2725" s="1" t="s">
        <v>4570</v>
      </c>
      <c r="C2725" s="1" t="s">
        <v>76</v>
      </c>
      <c r="D2725" s="1" t="s">
        <v>19</v>
      </c>
      <c r="E2725" s="1" t="s">
        <v>88</v>
      </c>
      <c r="F2725">
        <v>1</v>
      </c>
      <c r="G2725" s="2">
        <v>46257</v>
      </c>
      <c r="H2725" s="2">
        <v>46262</v>
      </c>
      <c r="I2725">
        <v>259.32</v>
      </c>
      <c r="M2725" s="1" t="s">
        <v>32</v>
      </c>
      <c r="N2725" s="1" t="s">
        <v>33</v>
      </c>
      <c r="O2725" s="2">
        <v>46289</v>
      </c>
      <c r="P2725" s="2"/>
      <c r="Q2725">
        <f>_xlfn.XLOOKUP(E2725,CPT!$A$2:$A$13,CPT!$D$2:$D$13)</f>
        <v>260</v>
      </c>
      <c r="R2725" s="1">
        <f>_xlfn.XLOOKUP(C2725,Contract!$A$2:$A$9,Contract!$B$2:$B$9)</f>
        <v>0.43</v>
      </c>
      <c r="S2725" s="1">
        <f t="shared" si="168"/>
        <v>111.8</v>
      </c>
      <c r="T2725" s="1" t="str">
        <f t="shared" si="169"/>
        <v/>
      </c>
      <c r="U2725" s="1" t="str">
        <f t="shared" si="170"/>
        <v/>
      </c>
      <c r="V2725" s="1" t="str">
        <f>_xlfn.XLOOKUP(C2725,Payers!$A$2:$A$9,Payers!$B$2:$B$9)</f>
        <v>Summit Health Commercial</v>
      </c>
      <c r="W2725" s="1" t="str">
        <f t="shared" si="171"/>
        <v>2026-08</v>
      </c>
    </row>
    <row r="2726" spans="1:23">
      <c r="A2726" s="1" t="s">
        <v>4674</v>
      </c>
      <c r="B2726" s="1" t="s">
        <v>4675</v>
      </c>
      <c r="C2726" s="1" t="s">
        <v>36</v>
      </c>
      <c r="D2726" s="1" t="s">
        <v>37</v>
      </c>
      <c r="E2726" s="1" t="s">
        <v>38</v>
      </c>
      <c r="F2726">
        <v>5</v>
      </c>
      <c r="G2726" s="2">
        <v>46170</v>
      </c>
      <c r="H2726" s="2">
        <v>46173</v>
      </c>
      <c r="I2726">
        <v>7326.18</v>
      </c>
      <c r="J2726">
        <v>1715.28</v>
      </c>
      <c r="K2726">
        <v>1715.28</v>
      </c>
      <c r="L2726">
        <v>0</v>
      </c>
      <c r="M2726" s="1" t="s">
        <v>21</v>
      </c>
      <c r="N2726" s="1" t="s">
        <v>22</v>
      </c>
      <c r="O2726" s="2">
        <v>46212</v>
      </c>
      <c r="P2726" s="2">
        <v>46212</v>
      </c>
      <c r="Q2726">
        <f>_xlfn.XLOOKUP(E2726,CPT!$A$2:$A$13,CPT!$D$2:$D$13)</f>
        <v>1450</v>
      </c>
      <c r="R2726" s="1">
        <f>_xlfn.XLOOKUP(C2726,Contract!$A$2:$A$9,Contract!$B$2:$B$9)</f>
        <v>0.27</v>
      </c>
      <c r="S2726" s="1">
        <f t="shared" si="168"/>
        <v>1957.5</v>
      </c>
      <c r="T2726" s="1">
        <f t="shared" si="169"/>
        <v>242.22000000000003</v>
      </c>
      <c r="U2726" s="1" t="str">
        <f t="shared" si="170"/>
        <v>Underpaid</v>
      </c>
      <c r="V2726" s="1" t="str">
        <f>_xlfn.XLOOKUP(C2726,Payers!$A$2:$A$9,Payers!$B$2:$B$9)</f>
        <v>Florida Medicaid</v>
      </c>
      <c r="W2726" s="1" t="str">
        <f t="shared" si="171"/>
        <v>2026-05</v>
      </c>
    </row>
    <row r="2727" spans="1:23">
      <c r="A2727" s="1" t="s">
        <v>4676</v>
      </c>
      <c r="B2727" s="1" t="s">
        <v>4677</v>
      </c>
      <c r="C2727" s="1" t="s">
        <v>60</v>
      </c>
      <c r="D2727" s="1" t="s">
        <v>30</v>
      </c>
      <c r="E2727" s="1" t="s">
        <v>31</v>
      </c>
      <c r="F2727">
        <v>1</v>
      </c>
      <c r="G2727" s="2">
        <v>46136</v>
      </c>
      <c r="H2727" s="2">
        <v>46237</v>
      </c>
      <c r="I2727">
        <v>61.09</v>
      </c>
      <c r="M2727" s="1" t="s">
        <v>32</v>
      </c>
      <c r="N2727" s="1" t="s">
        <v>137</v>
      </c>
      <c r="O2727" s="2">
        <v>46264</v>
      </c>
      <c r="P2727" s="2"/>
      <c r="Q2727">
        <f>_xlfn.XLOOKUP(E2727,CPT!$A$2:$A$13,CPT!$D$2:$D$13)</f>
        <v>62</v>
      </c>
      <c r="R2727" s="1">
        <f>_xlfn.XLOOKUP(C2727,Contract!$A$2:$A$9,Contract!$B$2:$B$9)</f>
        <v>0.45</v>
      </c>
      <c r="S2727" s="1">
        <f t="shared" si="168"/>
        <v>27.9</v>
      </c>
      <c r="T2727" s="1" t="str">
        <f t="shared" si="169"/>
        <v/>
      </c>
      <c r="U2727" s="1" t="str">
        <f t="shared" si="170"/>
        <v/>
      </c>
      <c r="V2727" s="1" t="str">
        <f>_xlfn.XLOOKUP(C2727,Payers!$A$2:$A$9,Payers!$B$2:$B$9)</f>
        <v>Blue Horizon Commercial</v>
      </c>
      <c r="W2727" s="1" t="str">
        <f t="shared" si="171"/>
        <v>2026-04</v>
      </c>
    </row>
    <row r="2728" spans="1:23">
      <c r="A2728" s="1" t="s">
        <v>4678</v>
      </c>
      <c r="B2728" s="1" t="s">
        <v>4679</v>
      </c>
      <c r="C2728" s="1" t="s">
        <v>52</v>
      </c>
      <c r="D2728" s="1" t="s">
        <v>26</v>
      </c>
      <c r="E2728" s="1" t="s">
        <v>27</v>
      </c>
      <c r="F2728">
        <v>1</v>
      </c>
      <c r="G2728" s="2">
        <v>46086</v>
      </c>
      <c r="H2728" s="2">
        <v>46092</v>
      </c>
      <c r="I2728">
        <v>235.28</v>
      </c>
      <c r="J2728">
        <v>110.81</v>
      </c>
      <c r="K2728">
        <v>99.73</v>
      </c>
      <c r="L2728">
        <v>11.08</v>
      </c>
      <c r="M2728" s="1" t="s">
        <v>21</v>
      </c>
      <c r="N2728" s="1" t="s">
        <v>22</v>
      </c>
      <c r="O2728" s="2">
        <v>46160</v>
      </c>
      <c r="P2728" s="2">
        <v>46160</v>
      </c>
      <c r="Q2728">
        <f>_xlfn.XLOOKUP(E2728,CPT!$A$2:$A$13,CPT!$D$2:$D$13)</f>
        <v>240</v>
      </c>
      <c r="R2728" s="1">
        <f>_xlfn.XLOOKUP(C2728,Contract!$A$2:$A$9,Contract!$B$2:$B$9)</f>
        <v>0.47</v>
      </c>
      <c r="S2728" s="1">
        <f t="shared" si="168"/>
        <v>112.8</v>
      </c>
      <c r="T2728" s="1">
        <f t="shared" si="169"/>
        <v>1.9899999999999949</v>
      </c>
      <c r="U2728" s="1" t="str">
        <f t="shared" si="170"/>
        <v>OK</v>
      </c>
      <c r="V2728" s="1" t="str">
        <f>_xlfn.XLOOKUP(C2728,Payers!$A$2:$A$9,Payers!$B$2:$B$9)</f>
        <v>Keystone Commercial PPO</v>
      </c>
      <c r="W2728" s="1" t="str">
        <f t="shared" si="171"/>
        <v>2026-03</v>
      </c>
    </row>
    <row r="2729" spans="1:23">
      <c r="A2729" s="1" t="s">
        <v>4680</v>
      </c>
      <c r="B2729" s="1" t="s">
        <v>416</v>
      </c>
      <c r="C2729" s="1" t="s">
        <v>79</v>
      </c>
      <c r="D2729" s="1" t="s">
        <v>26</v>
      </c>
      <c r="E2729" s="1" t="s">
        <v>113</v>
      </c>
      <c r="F2729">
        <v>1</v>
      </c>
      <c r="G2729" s="2">
        <v>46273</v>
      </c>
      <c r="H2729" s="2">
        <v>46275</v>
      </c>
      <c r="I2729">
        <v>1048.92</v>
      </c>
      <c r="M2729" s="1" t="s">
        <v>69</v>
      </c>
      <c r="N2729" s="1" t="s">
        <v>22</v>
      </c>
      <c r="O2729" s="2"/>
      <c r="P2729" s="2"/>
      <c r="Q2729">
        <f>_xlfn.XLOOKUP(E2729,CPT!$A$2:$A$13,CPT!$D$2:$D$13)</f>
        <v>1050</v>
      </c>
      <c r="R2729" s="1">
        <f>_xlfn.XLOOKUP(C2729,Contract!$A$2:$A$9,Contract!$B$2:$B$9)</f>
        <v>1</v>
      </c>
      <c r="S2729" s="1">
        <f t="shared" si="168"/>
        <v>1050</v>
      </c>
      <c r="T2729" s="1" t="str">
        <f t="shared" si="169"/>
        <v/>
      </c>
      <c r="U2729" s="1" t="str">
        <f t="shared" si="170"/>
        <v/>
      </c>
      <c r="V2729" s="1" t="str">
        <f>_xlfn.XLOOKUP(C2729,Payers!$A$2:$A$9,Payers!$B$2:$B$9)</f>
        <v>Self-Pay</v>
      </c>
      <c r="W2729" s="1" t="str">
        <f t="shared" si="171"/>
        <v>2026-09</v>
      </c>
    </row>
    <row r="2730" spans="1:23">
      <c r="A2730" s="1" t="s">
        <v>4681</v>
      </c>
      <c r="B2730" s="1" t="s">
        <v>4682</v>
      </c>
      <c r="C2730" s="1" t="s">
        <v>60</v>
      </c>
      <c r="D2730" s="1" t="s">
        <v>19</v>
      </c>
      <c r="E2730" s="1" t="s">
        <v>20</v>
      </c>
      <c r="F2730">
        <v>1</v>
      </c>
      <c r="G2730" s="2">
        <v>46217</v>
      </c>
      <c r="H2730" s="2">
        <v>46218</v>
      </c>
      <c r="I2730">
        <v>145.53</v>
      </c>
      <c r="J2730">
        <v>60.24</v>
      </c>
      <c r="K2730">
        <v>60.24</v>
      </c>
      <c r="L2730">
        <v>0</v>
      </c>
      <c r="M2730" s="1" t="s">
        <v>21</v>
      </c>
      <c r="N2730" s="1" t="s">
        <v>22</v>
      </c>
      <c r="O2730" s="2">
        <v>46244</v>
      </c>
      <c r="P2730" s="2">
        <v>46244</v>
      </c>
      <c r="Q2730">
        <f>_xlfn.XLOOKUP(E2730,CPT!$A$2:$A$13,CPT!$D$2:$D$13)</f>
        <v>145</v>
      </c>
      <c r="R2730" s="1">
        <f>_xlfn.XLOOKUP(C2730,Contract!$A$2:$A$9,Contract!$B$2:$B$9)</f>
        <v>0.45</v>
      </c>
      <c r="S2730" s="1">
        <f t="shared" si="168"/>
        <v>65.25</v>
      </c>
      <c r="T2730" s="1">
        <f t="shared" si="169"/>
        <v>5.009999999999998</v>
      </c>
      <c r="U2730" s="1" t="str">
        <f t="shared" si="170"/>
        <v>Underpaid</v>
      </c>
      <c r="V2730" s="1" t="str">
        <f>_xlfn.XLOOKUP(C2730,Payers!$A$2:$A$9,Payers!$B$2:$B$9)</f>
        <v>Blue Horizon Commercial</v>
      </c>
      <c r="W2730" s="1" t="str">
        <f t="shared" si="171"/>
        <v>2026-07</v>
      </c>
    </row>
    <row r="2731" spans="1:23">
      <c r="A2731" s="1" t="s">
        <v>4683</v>
      </c>
      <c r="B2731" s="1" t="s">
        <v>402</v>
      </c>
      <c r="C2731" s="1" t="s">
        <v>36</v>
      </c>
      <c r="D2731" s="1" t="s">
        <v>37</v>
      </c>
      <c r="E2731" s="1" t="s">
        <v>57</v>
      </c>
      <c r="F2731">
        <v>1</v>
      </c>
      <c r="G2731" s="2">
        <v>46212</v>
      </c>
      <c r="H2731" s="2">
        <v>46218</v>
      </c>
      <c r="I2731">
        <v>215.91</v>
      </c>
      <c r="J2731">
        <v>59.6</v>
      </c>
      <c r="K2731">
        <v>59.6</v>
      </c>
      <c r="L2731">
        <v>0</v>
      </c>
      <c r="M2731" s="1" t="s">
        <v>21</v>
      </c>
      <c r="N2731" s="1" t="s">
        <v>22</v>
      </c>
      <c r="O2731" s="2">
        <v>46262</v>
      </c>
      <c r="P2731" s="2">
        <v>46262</v>
      </c>
      <c r="Q2731">
        <f>_xlfn.XLOOKUP(E2731,CPT!$A$2:$A$13,CPT!$D$2:$D$13)</f>
        <v>210</v>
      </c>
      <c r="R2731" s="1">
        <f>_xlfn.XLOOKUP(C2731,Contract!$A$2:$A$9,Contract!$B$2:$B$9)</f>
        <v>0.27</v>
      </c>
      <c r="S2731" s="1">
        <f t="shared" si="168"/>
        <v>56.7</v>
      </c>
      <c r="T2731" s="1">
        <f t="shared" si="169"/>
        <v>-2.8999999999999986</v>
      </c>
      <c r="U2731" s="1" t="str">
        <f t="shared" si="170"/>
        <v>OK</v>
      </c>
      <c r="V2731" s="1" t="str">
        <f>_xlfn.XLOOKUP(C2731,Payers!$A$2:$A$9,Payers!$B$2:$B$9)</f>
        <v>Florida Medicaid</v>
      </c>
      <c r="W2731" s="1" t="str">
        <f t="shared" si="171"/>
        <v>2026-07</v>
      </c>
    </row>
    <row r="2732" spans="1:23">
      <c r="A2732" s="1" t="s">
        <v>4684</v>
      </c>
      <c r="B2732" s="1" t="s">
        <v>4685</v>
      </c>
      <c r="C2732" s="1" t="s">
        <v>76</v>
      </c>
      <c r="D2732" s="1" t="s">
        <v>19</v>
      </c>
      <c r="E2732" s="1" t="s">
        <v>41</v>
      </c>
      <c r="F2732">
        <v>1</v>
      </c>
      <c r="G2732" s="2">
        <v>45940</v>
      </c>
      <c r="H2732" s="2">
        <v>45943</v>
      </c>
      <c r="I2732">
        <v>37.200000000000003</v>
      </c>
      <c r="J2732">
        <v>17.600000000000001</v>
      </c>
      <c r="K2732">
        <v>15.84</v>
      </c>
      <c r="L2732">
        <v>1.76</v>
      </c>
      <c r="M2732" s="1" t="s">
        <v>21</v>
      </c>
      <c r="N2732" s="1" t="s">
        <v>22</v>
      </c>
      <c r="O2732" s="2">
        <v>45968</v>
      </c>
      <c r="P2732" s="2">
        <v>45968</v>
      </c>
      <c r="Q2732">
        <f>_xlfn.XLOOKUP(E2732,CPT!$A$2:$A$13,CPT!$D$2:$D$13)</f>
        <v>38</v>
      </c>
      <c r="R2732" s="1">
        <f>_xlfn.XLOOKUP(C2732,Contract!$A$2:$A$9,Contract!$B$2:$B$9)</f>
        <v>0.43</v>
      </c>
      <c r="S2732" s="1">
        <f t="shared" si="168"/>
        <v>16.34</v>
      </c>
      <c r="T2732" s="1">
        <f t="shared" si="169"/>
        <v>-1.2600000000000016</v>
      </c>
      <c r="U2732" s="1" t="str">
        <f t="shared" si="170"/>
        <v>OK</v>
      </c>
      <c r="V2732" s="1" t="str">
        <f>_xlfn.XLOOKUP(C2732,Payers!$A$2:$A$9,Payers!$B$2:$B$9)</f>
        <v>Summit Health Commercial</v>
      </c>
      <c r="W2732" s="1" t="str">
        <f t="shared" si="171"/>
        <v>2025-10</v>
      </c>
    </row>
    <row r="2733" spans="1:23">
      <c r="A2733" s="1" t="s">
        <v>4686</v>
      </c>
      <c r="B2733" s="1" t="s">
        <v>4687</v>
      </c>
      <c r="C2733" s="1" t="s">
        <v>76</v>
      </c>
      <c r="D2733" s="1" t="s">
        <v>26</v>
      </c>
      <c r="E2733" s="1" t="s">
        <v>185</v>
      </c>
      <c r="F2733">
        <v>1</v>
      </c>
      <c r="G2733" s="2">
        <v>46273</v>
      </c>
      <c r="H2733" s="2">
        <v>46288</v>
      </c>
      <c r="I2733">
        <v>1152.04</v>
      </c>
      <c r="M2733" s="1" t="s">
        <v>69</v>
      </c>
      <c r="N2733" s="1" t="s">
        <v>22</v>
      </c>
      <c r="O2733" s="2"/>
      <c r="P2733" s="2"/>
      <c r="Q2733">
        <f>_xlfn.XLOOKUP(E2733,CPT!$A$2:$A$13,CPT!$D$2:$D$13)</f>
        <v>1150</v>
      </c>
      <c r="R2733" s="1">
        <f>_xlfn.XLOOKUP(C2733,Contract!$A$2:$A$9,Contract!$B$2:$B$9)</f>
        <v>0.43</v>
      </c>
      <c r="S2733" s="1">
        <f t="shared" si="168"/>
        <v>494.5</v>
      </c>
      <c r="T2733" s="1" t="str">
        <f t="shared" si="169"/>
        <v/>
      </c>
      <c r="U2733" s="1" t="str">
        <f t="shared" si="170"/>
        <v/>
      </c>
      <c r="V2733" s="1" t="str">
        <f>_xlfn.XLOOKUP(C2733,Payers!$A$2:$A$9,Payers!$B$2:$B$9)</f>
        <v>Summit Health Commercial</v>
      </c>
      <c r="W2733" s="1" t="str">
        <f t="shared" si="171"/>
        <v>2026-09</v>
      </c>
    </row>
    <row r="2734" spans="1:23">
      <c r="A2734" s="1" t="s">
        <v>4688</v>
      </c>
      <c r="B2734" s="1" t="s">
        <v>1543</v>
      </c>
      <c r="C2734" s="1" t="s">
        <v>52</v>
      </c>
      <c r="D2734" s="1" t="s">
        <v>26</v>
      </c>
      <c r="E2734" s="1" t="s">
        <v>41</v>
      </c>
      <c r="F2734">
        <v>1</v>
      </c>
      <c r="G2734" s="2">
        <v>46234</v>
      </c>
      <c r="H2734" s="2">
        <v>46235</v>
      </c>
      <c r="I2734">
        <v>38.78</v>
      </c>
      <c r="M2734" s="1" t="s">
        <v>69</v>
      </c>
      <c r="N2734" s="1" t="s">
        <v>22</v>
      </c>
      <c r="O2734" s="2"/>
      <c r="P2734" s="2"/>
      <c r="Q2734">
        <f>_xlfn.XLOOKUP(E2734,CPT!$A$2:$A$13,CPT!$D$2:$D$13)</f>
        <v>38</v>
      </c>
      <c r="R2734" s="1">
        <f>_xlfn.XLOOKUP(C2734,Contract!$A$2:$A$9,Contract!$B$2:$B$9)</f>
        <v>0.47</v>
      </c>
      <c r="S2734" s="1">
        <f t="shared" si="168"/>
        <v>17.86</v>
      </c>
      <c r="T2734" s="1" t="str">
        <f t="shared" si="169"/>
        <v/>
      </c>
      <c r="U2734" s="1" t="str">
        <f t="shared" si="170"/>
        <v/>
      </c>
      <c r="V2734" s="1" t="str">
        <f>_xlfn.XLOOKUP(C2734,Payers!$A$2:$A$9,Payers!$B$2:$B$9)</f>
        <v>Keystone Commercial PPO</v>
      </c>
      <c r="W2734" s="1" t="str">
        <f t="shared" si="171"/>
        <v>2026-07</v>
      </c>
    </row>
    <row r="2735" spans="1:23">
      <c r="A2735" s="1" t="s">
        <v>4689</v>
      </c>
      <c r="B2735" s="1" t="s">
        <v>513</v>
      </c>
      <c r="C2735" s="1" t="s">
        <v>18</v>
      </c>
      <c r="D2735" s="1" t="s">
        <v>37</v>
      </c>
      <c r="E2735" s="1" t="s">
        <v>57</v>
      </c>
      <c r="F2735">
        <v>1</v>
      </c>
      <c r="G2735" s="2">
        <v>46153</v>
      </c>
      <c r="H2735" s="2">
        <v>46165</v>
      </c>
      <c r="I2735">
        <v>213.17</v>
      </c>
      <c r="M2735" s="1" t="s">
        <v>32</v>
      </c>
      <c r="N2735" s="1" t="s">
        <v>33</v>
      </c>
      <c r="O2735" s="2">
        <v>46225</v>
      </c>
      <c r="P2735" s="2"/>
      <c r="Q2735">
        <f>_xlfn.XLOOKUP(E2735,CPT!$A$2:$A$13,CPT!$D$2:$D$13)</f>
        <v>210</v>
      </c>
      <c r="R2735" s="1">
        <f>_xlfn.XLOOKUP(C2735,Contract!$A$2:$A$9,Contract!$B$2:$B$9)</f>
        <v>0.38</v>
      </c>
      <c r="S2735" s="1">
        <f t="shared" si="168"/>
        <v>79.8</v>
      </c>
      <c r="T2735" s="1" t="str">
        <f t="shared" si="169"/>
        <v/>
      </c>
      <c r="U2735" s="1" t="str">
        <f t="shared" si="170"/>
        <v/>
      </c>
      <c r="V2735" s="1" t="str">
        <f>_xlfn.XLOOKUP(C2735,Payers!$A$2:$A$9,Payers!$B$2:$B$9)</f>
        <v>Sunshine Medicare Advantage</v>
      </c>
      <c r="W2735" s="1" t="str">
        <f t="shared" si="171"/>
        <v>2026-05</v>
      </c>
    </row>
    <row r="2736" spans="1:23">
      <c r="A2736" s="1" t="s">
        <v>4690</v>
      </c>
      <c r="B2736" s="1" t="s">
        <v>4691</v>
      </c>
      <c r="C2736" s="1" t="s">
        <v>60</v>
      </c>
      <c r="D2736" s="1" t="s">
        <v>26</v>
      </c>
      <c r="E2736" s="1" t="s">
        <v>27</v>
      </c>
      <c r="F2736">
        <v>1</v>
      </c>
      <c r="G2736" s="2">
        <v>46189</v>
      </c>
      <c r="H2736" s="2">
        <v>46190</v>
      </c>
      <c r="I2736">
        <v>236.71</v>
      </c>
      <c r="J2736">
        <v>104.37</v>
      </c>
      <c r="K2736">
        <v>83.5</v>
      </c>
      <c r="L2736">
        <v>20.87</v>
      </c>
      <c r="M2736" s="1" t="s">
        <v>21</v>
      </c>
      <c r="N2736" s="1" t="s">
        <v>22</v>
      </c>
      <c r="O2736" s="2">
        <v>46216</v>
      </c>
      <c r="P2736" s="2">
        <v>46216</v>
      </c>
      <c r="Q2736">
        <f>_xlfn.XLOOKUP(E2736,CPT!$A$2:$A$13,CPT!$D$2:$D$13)</f>
        <v>240</v>
      </c>
      <c r="R2736" s="1">
        <f>_xlfn.XLOOKUP(C2736,Contract!$A$2:$A$9,Contract!$B$2:$B$9)</f>
        <v>0.45</v>
      </c>
      <c r="S2736" s="1">
        <f t="shared" si="168"/>
        <v>108</v>
      </c>
      <c r="T2736" s="1">
        <f t="shared" si="169"/>
        <v>3.6299999999999955</v>
      </c>
      <c r="U2736" s="1" t="str">
        <f t="shared" si="170"/>
        <v>OK</v>
      </c>
      <c r="V2736" s="1" t="str">
        <f>_xlfn.XLOOKUP(C2736,Payers!$A$2:$A$9,Payers!$B$2:$B$9)</f>
        <v>Blue Horizon Commercial</v>
      </c>
      <c r="W2736" s="1" t="str">
        <f t="shared" si="171"/>
        <v>2026-06</v>
      </c>
    </row>
    <row r="2737" spans="1:23">
      <c r="A2737" s="1" t="s">
        <v>4692</v>
      </c>
      <c r="B2737" s="1" t="s">
        <v>1039</v>
      </c>
      <c r="C2737" s="1" t="s">
        <v>76</v>
      </c>
      <c r="D2737" s="1" t="s">
        <v>26</v>
      </c>
      <c r="E2737" s="1" t="s">
        <v>113</v>
      </c>
      <c r="F2737">
        <v>1</v>
      </c>
      <c r="G2737" s="2">
        <v>46174</v>
      </c>
      <c r="H2737" s="2">
        <v>46179</v>
      </c>
      <c r="I2737">
        <v>1068.8</v>
      </c>
      <c r="J2737">
        <v>434.21</v>
      </c>
      <c r="K2737">
        <v>390.79</v>
      </c>
      <c r="L2737">
        <v>43.42</v>
      </c>
      <c r="M2737" s="1" t="s">
        <v>21</v>
      </c>
      <c r="N2737" s="1" t="s">
        <v>22</v>
      </c>
      <c r="O2737" s="2">
        <v>46199</v>
      </c>
      <c r="P2737" s="2">
        <v>46199</v>
      </c>
      <c r="Q2737">
        <f>_xlfn.XLOOKUP(E2737,CPT!$A$2:$A$13,CPT!$D$2:$D$13)</f>
        <v>1050</v>
      </c>
      <c r="R2737" s="1">
        <f>_xlfn.XLOOKUP(C2737,Contract!$A$2:$A$9,Contract!$B$2:$B$9)</f>
        <v>0.43</v>
      </c>
      <c r="S2737" s="1">
        <f t="shared" si="168"/>
        <v>451.5</v>
      </c>
      <c r="T2737" s="1">
        <f t="shared" si="169"/>
        <v>17.29000000000002</v>
      </c>
      <c r="U2737" s="1" t="str">
        <f t="shared" si="170"/>
        <v>OK</v>
      </c>
      <c r="V2737" s="1" t="str">
        <f>_xlfn.XLOOKUP(C2737,Payers!$A$2:$A$9,Payers!$B$2:$B$9)</f>
        <v>Summit Health Commercial</v>
      </c>
      <c r="W2737" s="1" t="str">
        <f t="shared" si="171"/>
        <v>2026-06</v>
      </c>
    </row>
    <row r="2738" spans="1:23">
      <c r="A2738" s="1" t="s">
        <v>4693</v>
      </c>
      <c r="B2738" s="1" t="s">
        <v>4694</v>
      </c>
      <c r="C2738" s="1" t="s">
        <v>76</v>
      </c>
      <c r="D2738" s="1" t="s">
        <v>26</v>
      </c>
      <c r="E2738" s="1" t="s">
        <v>113</v>
      </c>
      <c r="F2738">
        <v>1</v>
      </c>
      <c r="G2738" s="2">
        <v>46277</v>
      </c>
      <c r="H2738" s="2">
        <v>46283</v>
      </c>
      <c r="I2738">
        <v>1035.9000000000001</v>
      </c>
      <c r="M2738" s="1" t="s">
        <v>69</v>
      </c>
      <c r="N2738" s="1" t="s">
        <v>22</v>
      </c>
      <c r="O2738" s="2"/>
      <c r="P2738" s="2"/>
      <c r="Q2738">
        <f>_xlfn.XLOOKUP(E2738,CPT!$A$2:$A$13,CPT!$D$2:$D$13)</f>
        <v>1050</v>
      </c>
      <c r="R2738" s="1">
        <f>_xlfn.XLOOKUP(C2738,Contract!$A$2:$A$9,Contract!$B$2:$B$9)</f>
        <v>0.43</v>
      </c>
      <c r="S2738" s="1">
        <f t="shared" si="168"/>
        <v>451.5</v>
      </c>
      <c r="T2738" s="1" t="str">
        <f t="shared" si="169"/>
        <v/>
      </c>
      <c r="U2738" s="1" t="str">
        <f t="shared" si="170"/>
        <v/>
      </c>
      <c r="V2738" s="1" t="str">
        <f>_xlfn.XLOOKUP(C2738,Payers!$A$2:$A$9,Payers!$B$2:$B$9)</f>
        <v>Summit Health Commercial</v>
      </c>
      <c r="W2738" s="1" t="str">
        <f t="shared" si="171"/>
        <v>2026-09</v>
      </c>
    </row>
    <row r="2739" spans="1:23">
      <c r="A2739" s="1" t="s">
        <v>4695</v>
      </c>
      <c r="B2739" s="1" t="s">
        <v>4696</v>
      </c>
      <c r="C2739" s="1" t="s">
        <v>60</v>
      </c>
      <c r="D2739" s="1" t="s">
        <v>19</v>
      </c>
      <c r="E2739" s="1" t="s">
        <v>88</v>
      </c>
      <c r="F2739">
        <v>1</v>
      </c>
      <c r="G2739" s="2">
        <v>45951</v>
      </c>
      <c r="H2739" s="2">
        <v>45953</v>
      </c>
      <c r="I2739">
        <v>255.22</v>
      </c>
      <c r="J2739">
        <v>102.31</v>
      </c>
      <c r="K2739">
        <v>102.31</v>
      </c>
      <c r="L2739">
        <v>0</v>
      </c>
      <c r="M2739" s="1" t="s">
        <v>21</v>
      </c>
      <c r="N2739" s="1" t="s">
        <v>22</v>
      </c>
      <c r="O2739" s="2">
        <v>45984</v>
      </c>
      <c r="P2739" s="2">
        <v>45984</v>
      </c>
      <c r="Q2739">
        <f>_xlfn.XLOOKUP(E2739,CPT!$A$2:$A$13,CPT!$D$2:$D$13)</f>
        <v>260</v>
      </c>
      <c r="R2739" s="1">
        <f>_xlfn.XLOOKUP(C2739,Contract!$A$2:$A$9,Contract!$B$2:$B$9)</f>
        <v>0.45</v>
      </c>
      <c r="S2739" s="1">
        <f t="shared" si="168"/>
        <v>117</v>
      </c>
      <c r="T2739" s="1">
        <f t="shared" si="169"/>
        <v>14.689999999999998</v>
      </c>
      <c r="U2739" s="1" t="str">
        <f t="shared" si="170"/>
        <v>Underpaid</v>
      </c>
      <c r="V2739" s="1" t="str">
        <f>_xlfn.XLOOKUP(C2739,Payers!$A$2:$A$9,Payers!$B$2:$B$9)</f>
        <v>Blue Horizon Commercial</v>
      </c>
      <c r="W2739" s="1" t="str">
        <f t="shared" si="171"/>
        <v>2025-10</v>
      </c>
    </row>
    <row r="2740" spans="1:23">
      <c r="A2740" s="1" t="s">
        <v>4697</v>
      </c>
      <c r="B2740" s="1" t="s">
        <v>3794</v>
      </c>
      <c r="C2740" s="1" t="s">
        <v>25</v>
      </c>
      <c r="D2740" s="1" t="s">
        <v>30</v>
      </c>
      <c r="E2740" s="1" t="s">
        <v>91</v>
      </c>
      <c r="F2740">
        <v>1</v>
      </c>
      <c r="G2740" s="2">
        <v>46046</v>
      </c>
      <c r="H2740" s="2">
        <v>46054</v>
      </c>
      <c r="I2740">
        <v>57.01</v>
      </c>
      <c r="J2740">
        <v>18.96</v>
      </c>
      <c r="K2740">
        <v>15.17</v>
      </c>
      <c r="L2740">
        <v>3.79</v>
      </c>
      <c r="M2740" s="1" t="s">
        <v>21</v>
      </c>
      <c r="N2740" s="1" t="s">
        <v>22</v>
      </c>
      <c r="O2740" s="2">
        <v>46077</v>
      </c>
      <c r="P2740" s="2">
        <v>46077</v>
      </c>
      <c r="Q2740">
        <f>_xlfn.XLOOKUP(E2740,CPT!$A$2:$A$13,CPT!$D$2:$D$13)</f>
        <v>58</v>
      </c>
      <c r="R2740" s="1">
        <f>_xlfn.XLOOKUP(C2740,Contract!$A$2:$A$9,Contract!$B$2:$B$9)</f>
        <v>0.36</v>
      </c>
      <c r="S2740" s="1">
        <f t="shared" si="168"/>
        <v>20.88</v>
      </c>
      <c r="T2740" s="1">
        <f t="shared" si="169"/>
        <v>1.9199999999999982</v>
      </c>
      <c r="U2740" s="1" t="str">
        <f t="shared" si="170"/>
        <v>Underpaid</v>
      </c>
      <c r="V2740" s="1" t="str">
        <f>_xlfn.XLOOKUP(C2740,Payers!$A$2:$A$9,Payers!$B$2:$B$9)</f>
        <v>Medicare Part B</v>
      </c>
      <c r="W2740" s="1" t="str">
        <f t="shared" si="171"/>
        <v>2026-01</v>
      </c>
    </row>
    <row r="2741" spans="1:23">
      <c r="A2741" s="1" t="s">
        <v>4698</v>
      </c>
      <c r="B2741" s="1" t="s">
        <v>556</v>
      </c>
      <c r="C2741" s="1" t="s">
        <v>47</v>
      </c>
      <c r="D2741" s="1" t="s">
        <v>26</v>
      </c>
      <c r="E2741" s="1" t="s">
        <v>27</v>
      </c>
      <c r="F2741">
        <v>1</v>
      </c>
      <c r="G2741" s="2">
        <v>45947</v>
      </c>
      <c r="H2741" s="2">
        <v>45950</v>
      </c>
      <c r="I2741">
        <v>247.19</v>
      </c>
      <c r="J2741">
        <v>63.77</v>
      </c>
      <c r="K2741">
        <v>63.77</v>
      </c>
      <c r="L2741">
        <v>0</v>
      </c>
      <c r="M2741" s="1" t="s">
        <v>21</v>
      </c>
      <c r="N2741" s="1" t="s">
        <v>22</v>
      </c>
      <c r="O2741" s="2">
        <v>46047</v>
      </c>
      <c r="P2741" s="2">
        <v>46047</v>
      </c>
      <c r="Q2741">
        <f>_xlfn.XLOOKUP(E2741,CPT!$A$2:$A$13,CPT!$D$2:$D$13)</f>
        <v>240</v>
      </c>
      <c r="R2741" s="1">
        <f>_xlfn.XLOOKUP(C2741,Contract!$A$2:$A$9,Contract!$B$2:$B$9)</f>
        <v>0.28000000000000003</v>
      </c>
      <c r="S2741" s="1">
        <f t="shared" si="168"/>
        <v>67.2</v>
      </c>
      <c r="T2741" s="1">
        <f t="shared" si="169"/>
        <v>3.4299999999999997</v>
      </c>
      <c r="U2741" s="1" t="str">
        <f t="shared" si="170"/>
        <v>Underpaid</v>
      </c>
      <c r="V2741" s="1" t="str">
        <f>_xlfn.XLOOKUP(C2741,Payers!$A$2:$A$9,Payers!$B$2:$B$9)</f>
        <v>Coastal Medicaid MCO</v>
      </c>
      <c r="W2741" s="1" t="str">
        <f t="shared" si="171"/>
        <v>2025-10</v>
      </c>
    </row>
    <row r="2742" spans="1:23">
      <c r="A2742" s="1" t="s">
        <v>4699</v>
      </c>
      <c r="B2742" s="1" t="s">
        <v>4700</v>
      </c>
      <c r="C2742" s="1" t="s">
        <v>60</v>
      </c>
      <c r="D2742" s="1" t="s">
        <v>19</v>
      </c>
      <c r="E2742" s="1" t="s">
        <v>88</v>
      </c>
      <c r="F2742">
        <v>1</v>
      </c>
      <c r="G2742" s="2">
        <v>46194</v>
      </c>
      <c r="H2742" s="2">
        <v>46199</v>
      </c>
      <c r="I2742">
        <v>257.55</v>
      </c>
      <c r="J2742">
        <v>112.28</v>
      </c>
      <c r="K2742">
        <v>101.05</v>
      </c>
      <c r="L2742">
        <v>11.23</v>
      </c>
      <c r="M2742" s="1" t="s">
        <v>21</v>
      </c>
      <c r="N2742" s="1" t="s">
        <v>22</v>
      </c>
      <c r="O2742" s="2">
        <v>46222</v>
      </c>
      <c r="P2742" s="2">
        <v>46222</v>
      </c>
      <c r="Q2742">
        <f>_xlfn.XLOOKUP(E2742,CPT!$A$2:$A$13,CPT!$D$2:$D$13)</f>
        <v>260</v>
      </c>
      <c r="R2742" s="1">
        <f>_xlfn.XLOOKUP(C2742,Contract!$A$2:$A$9,Contract!$B$2:$B$9)</f>
        <v>0.45</v>
      </c>
      <c r="S2742" s="1">
        <f t="shared" si="168"/>
        <v>117</v>
      </c>
      <c r="T2742" s="1">
        <f t="shared" si="169"/>
        <v>4.7199999999999989</v>
      </c>
      <c r="U2742" s="1" t="str">
        <f t="shared" si="170"/>
        <v>OK</v>
      </c>
      <c r="V2742" s="1" t="str">
        <f>_xlfn.XLOOKUP(C2742,Payers!$A$2:$A$9,Payers!$B$2:$B$9)</f>
        <v>Blue Horizon Commercial</v>
      </c>
      <c r="W2742" s="1" t="str">
        <f t="shared" si="171"/>
        <v>2026-06</v>
      </c>
    </row>
    <row r="2743" spans="1:23">
      <c r="A2743" s="1" t="s">
        <v>4701</v>
      </c>
      <c r="B2743" s="1" t="s">
        <v>4702</v>
      </c>
      <c r="C2743" s="1" t="s">
        <v>18</v>
      </c>
      <c r="D2743" s="1" t="s">
        <v>19</v>
      </c>
      <c r="E2743" s="1" t="s">
        <v>41</v>
      </c>
      <c r="F2743">
        <v>1</v>
      </c>
      <c r="G2743" s="2">
        <v>46225</v>
      </c>
      <c r="H2743" s="2">
        <v>46226</v>
      </c>
      <c r="I2743">
        <v>38.21</v>
      </c>
      <c r="J2743">
        <v>13.97</v>
      </c>
      <c r="K2743">
        <v>13.97</v>
      </c>
      <c r="L2743">
        <v>0</v>
      </c>
      <c r="M2743" s="1" t="s">
        <v>21</v>
      </c>
      <c r="N2743" s="1" t="s">
        <v>22</v>
      </c>
      <c r="O2743" s="2">
        <v>46279</v>
      </c>
      <c r="P2743" s="2">
        <v>46279</v>
      </c>
      <c r="Q2743">
        <f>_xlfn.XLOOKUP(E2743,CPT!$A$2:$A$13,CPT!$D$2:$D$13)</f>
        <v>38</v>
      </c>
      <c r="R2743" s="1">
        <f>_xlfn.XLOOKUP(C2743,Contract!$A$2:$A$9,Contract!$B$2:$B$9)</f>
        <v>0.38</v>
      </c>
      <c r="S2743" s="1">
        <f t="shared" si="168"/>
        <v>14.44</v>
      </c>
      <c r="T2743" s="1">
        <f t="shared" si="169"/>
        <v>0.46999999999999886</v>
      </c>
      <c r="U2743" s="1" t="str">
        <f t="shared" si="170"/>
        <v>OK</v>
      </c>
      <c r="V2743" s="1" t="str">
        <f>_xlfn.XLOOKUP(C2743,Payers!$A$2:$A$9,Payers!$B$2:$B$9)</f>
        <v>Sunshine Medicare Advantage</v>
      </c>
      <c r="W2743" s="1" t="str">
        <f t="shared" si="171"/>
        <v>2026-07</v>
      </c>
    </row>
    <row r="2744" spans="1:23">
      <c r="A2744" s="1" t="s">
        <v>4703</v>
      </c>
      <c r="B2744" s="1" t="s">
        <v>3216</v>
      </c>
      <c r="C2744" s="1" t="s">
        <v>25</v>
      </c>
      <c r="D2744" s="1" t="s">
        <v>37</v>
      </c>
      <c r="E2744" s="1" t="s">
        <v>48</v>
      </c>
      <c r="F2744">
        <v>1</v>
      </c>
      <c r="G2744" s="2">
        <v>46037</v>
      </c>
      <c r="H2744" s="2">
        <v>46040</v>
      </c>
      <c r="I2744">
        <v>412.29</v>
      </c>
      <c r="J2744">
        <v>171.19</v>
      </c>
      <c r="K2744">
        <v>154.07</v>
      </c>
      <c r="L2744">
        <v>17.12</v>
      </c>
      <c r="M2744" s="1" t="s">
        <v>21</v>
      </c>
      <c r="N2744" s="1" t="s">
        <v>22</v>
      </c>
      <c r="O2744" s="2">
        <v>46062</v>
      </c>
      <c r="P2744" s="2">
        <v>46062</v>
      </c>
      <c r="Q2744">
        <f>_xlfn.XLOOKUP(E2744,CPT!$A$2:$A$13,CPT!$D$2:$D$13)</f>
        <v>420</v>
      </c>
      <c r="R2744" s="1">
        <f>_xlfn.XLOOKUP(C2744,Contract!$A$2:$A$9,Contract!$B$2:$B$9)</f>
        <v>0.36</v>
      </c>
      <c r="S2744" s="1">
        <f t="shared" si="168"/>
        <v>151.19999999999999</v>
      </c>
      <c r="T2744" s="1">
        <f t="shared" si="169"/>
        <v>-19.990000000000009</v>
      </c>
      <c r="U2744" s="1" t="str">
        <f t="shared" si="170"/>
        <v>OK</v>
      </c>
      <c r="V2744" s="1" t="str">
        <f>_xlfn.XLOOKUP(C2744,Payers!$A$2:$A$9,Payers!$B$2:$B$9)</f>
        <v>Medicare Part B</v>
      </c>
      <c r="W2744" s="1" t="str">
        <f t="shared" si="171"/>
        <v>2026-01</v>
      </c>
    </row>
    <row r="2745" spans="1:23">
      <c r="A2745" s="1" t="s">
        <v>4704</v>
      </c>
      <c r="B2745" s="1" t="s">
        <v>4705</v>
      </c>
      <c r="C2745" s="1" t="s">
        <v>52</v>
      </c>
      <c r="D2745" s="1" t="s">
        <v>19</v>
      </c>
      <c r="E2745" s="1" t="s">
        <v>57</v>
      </c>
      <c r="F2745">
        <v>1</v>
      </c>
      <c r="G2745" s="2">
        <v>46043</v>
      </c>
      <c r="H2745" s="2">
        <v>46044</v>
      </c>
      <c r="I2745">
        <v>209.97</v>
      </c>
      <c r="J2745">
        <v>101.67</v>
      </c>
      <c r="K2745">
        <v>101.67</v>
      </c>
      <c r="L2745">
        <v>0</v>
      </c>
      <c r="M2745" s="1" t="s">
        <v>21</v>
      </c>
      <c r="N2745" s="1" t="s">
        <v>22</v>
      </c>
      <c r="O2745" s="2">
        <v>46101</v>
      </c>
      <c r="P2745" s="2">
        <v>46101</v>
      </c>
      <c r="Q2745">
        <f>_xlfn.XLOOKUP(E2745,CPT!$A$2:$A$13,CPT!$D$2:$D$13)</f>
        <v>210</v>
      </c>
      <c r="R2745" s="1">
        <f>_xlfn.XLOOKUP(C2745,Contract!$A$2:$A$9,Contract!$B$2:$B$9)</f>
        <v>0.47</v>
      </c>
      <c r="S2745" s="1">
        <f t="shared" si="168"/>
        <v>98.7</v>
      </c>
      <c r="T2745" s="1">
        <f t="shared" si="169"/>
        <v>-2.9699999999999989</v>
      </c>
      <c r="U2745" s="1" t="str">
        <f t="shared" si="170"/>
        <v>OK</v>
      </c>
      <c r="V2745" s="1" t="str">
        <f>_xlfn.XLOOKUP(C2745,Payers!$A$2:$A$9,Payers!$B$2:$B$9)</f>
        <v>Keystone Commercial PPO</v>
      </c>
      <c r="W2745" s="1" t="str">
        <f t="shared" si="171"/>
        <v>2026-01</v>
      </c>
    </row>
    <row r="2746" spans="1:23">
      <c r="A2746" s="1" t="s">
        <v>4706</v>
      </c>
      <c r="B2746" s="1" t="s">
        <v>1786</v>
      </c>
      <c r="C2746" s="1" t="s">
        <v>18</v>
      </c>
      <c r="D2746" s="1" t="s">
        <v>26</v>
      </c>
      <c r="E2746" s="1" t="s">
        <v>57</v>
      </c>
      <c r="F2746">
        <v>1</v>
      </c>
      <c r="G2746" s="2">
        <v>46288</v>
      </c>
      <c r="H2746" s="2">
        <v>46289</v>
      </c>
      <c r="I2746">
        <v>212.7</v>
      </c>
      <c r="M2746" s="1" t="s">
        <v>69</v>
      </c>
      <c r="N2746" s="1" t="s">
        <v>22</v>
      </c>
      <c r="O2746" s="2"/>
      <c r="P2746" s="2"/>
      <c r="Q2746">
        <f>_xlfn.XLOOKUP(E2746,CPT!$A$2:$A$13,CPT!$D$2:$D$13)</f>
        <v>210</v>
      </c>
      <c r="R2746" s="1">
        <f>_xlfn.XLOOKUP(C2746,Contract!$A$2:$A$9,Contract!$B$2:$B$9)</f>
        <v>0.38</v>
      </c>
      <c r="S2746" s="1">
        <f t="shared" si="168"/>
        <v>79.8</v>
      </c>
      <c r="T2746" s="1" t="str">
        <f t="shared" si="169"/>
        <v/>
      </c>
      <c r="U2746" s="1" t="str">
        <f t="shared" si="170"/>
        <v/>
      </c>
      <c r="V2746" s="1" t="str">
        <f>_xlfn.XLOOKUP(C2746,Payers!$A$2:$A$9,Payers!$B$2:$B$9)</f>
        <v>Sunshine Medicare Advantage</v>
      </c>
      <c r="W2746" s="1" t="str">
        <f t="shared" si="171"/>
        <v>2026-09</v>
      </c>
    </row>
    <row r="2747" spans="1:23">
      <c r="A2747" s="1" t="s">
        <v>4707</v>
      </c>
      <c r="B2747" s="1" t="s">
        <v>4708</v>
      </c>
      <c r="C2747" s="1" t="s">
        <v>60</v>
      </c>
      <c r="D2747" s="1" t="s">
        <v>26</v>
      </c>
      <c r="E2747" s="1" t="s">
        <v>113</v>
      </c>
      <c r="F2747">
        <v>1</v>
      </c>
      <c r="G2747" s="2">
        <v>46032</v>
      </c>
      <c r="H2747" s="2">
        <v>46041</v>
      </c>
      <c r="I2747">
        <v>1030.54</v>
      </c>
      <c r="M2747" s="1" t="s">
        <v>32</v>
      </c>
      <c r="N2747" s="1" t="s">
        <v>315</v>
      </c>
      <c r="O2747" s="2">
        <v>46073</v>
      </c>
      <c r="P2747" s="2"/>
      <c r="Q2747">
        <f>_xlfn.XLOOKUP(E2747,CPT!$A$2:$A$13,CPT!$D$2:$D$13)</f>
        <v>1050</v>
      </c>
      <c r="R2747" s="1">
        <f>_xlfn.XLOOKUP(C2747,Contract!$A$2:$A$9,Contract!$B$2:$B$9)</f>
        <v>0.45</v>
      </c>
      <c r="S2747" s="1">
        <f t="shared" si="168"/>
        <v>472.5</v>
      </c>
      <c r="T2747" s="1" t="str">
        <f t="shared" si="169"/>
        <v/>
      </c>
      <c r="U2747" s="1" t="str">
        <f t="shared" si="170"/>
        <v/>
      </c>
      <c r="V2747" s="1" t="str">
        <f>_xlfn.XLOOKUP(C2747,Payers!$A$2:$A$9,Payers!$B$2:$B$9)</f>
        <v>Blue Horizon Commercial</v>
      </c>
      <c r="W2747" s="1" t="str">
        <f t="shared" si="171"/>
        <v>2026-01</v>
      </c>
    </row>
    <row r="2748" spans="1:23">
      <c r="A2748" s="1" t="s">
        <v>4709</v>
      </c>
      <c r="B2748" s="1" t="s">
        <v>2341</v>
      </c>
      <c r="C2748" s="1" t="s">
        <v>60</v>
      </c>
      <c r="D2748" s="1" t="s">
        <v>19</v>
      </c>
      <c r="E2748" s="1" t="s">
        <v>20</v>
      </c>
      <c r="F2748">
        <v>1</v>
      </c>
      <c r="G2748" s="2">
        <v>46261</v>
      </c>
      <c r="H2748" s="2">
        <v>46265</v>
      </c>
      <c r="I2748">
        <v>144.88999999999999</v>
      </c>
      <c r="J2748">
        <v>60.52</v>
      </c>
      <c r="K2748">
        <v>54.47</v>
      </c>
      <c r="L2748">
        <v>6.05</v>
      </c>
      <c r="M2748" s="1" t="s">
        <v>21</v>
      </c>
      <c r="N2748" s="1" t="s">
        <v>22</v>
      </c>
      <c r="O2748" s="2">
        <v>46293</v>
      </c>
      <c r="P2748" s="2">
        <v>46293</v>
      </c>
      <c r="Q2748">
        <f>_xlfn.XLOOKUP(E2748,CPT!$A$2:$A$13,CPT!$D$2:$D$13)</f>
        <v>145</v>
      </c>
      <c r="R2748" s="1">
        <f>_xlfn.XLOOKUP(C2748,Contract!$A$2:$A$9,Contract!$B$2:$B$9)</f>
        <v>0.45</v>
      </c>
      <c r="S2748" s="1">
        <f t="shared" si="168"/>
        <v>65.25</v>
      </c>
      <c r="T2748" s="1">
        <f t="shared" si="169"/>
        <v>4.7299999999999969</v>
      </c>
      <c r="U2748" s="1" t="str">
        <f t="shared" si="170"/>
        <v>Underpaid</v>
      </c>
      <c r="V2748" s="1" t="str">
        <f>_xlfn.XLOOKUP(C2748,Payers!$A$2:$A$9,Payers!$B$2:$B$9)</f>
        <v>Blue Horizon Commercial</v>
      </c>
      <c r="W2748" s="1" t="str">
        <f t="shared" si="171"/>
        <v>2026-08</v>
      </c>
    </row>
    <row r="2749" spans="1:23">
      <c r="A2749" s="1" t="s">
        <v>4710</v>
      </c>
      <c r="B2749" s="1" t="s">
        <v>1043</v>
      </c>
      <c r="C2749" s="1" t="s">
        <v>60</v>
      </c>
      <c r="D2749" s="1" t="s">
        <v>30</v>
      </c>
      <c r="E2749" s="1" t="s">
        <v>20</v>
      </c>
      <c r="F2749">
        <v>1</v>
      </c>
      <c r="G2749" s="2">
        <v>46146</v>
      </c>
      <c r="H2749" s="2">
        <v>46282</v>
      </c>
      <c r="I2749">
        <v>145.62</v>
      </c>
      <c r="M2749" s="1" t="s">
        <v>69</v>
      </c>
      <c r="N2749" s="1" t="s">
        <v>22</v>
      </c>
      <c r="O2749" s="2"/>
      <c r="P2749" s="2"/>
      <c r="Q2749">
        <f>_xlfn.XLOOKUP(E2749,CPT!$A$2:$A$13,CPT!$D$2:$D$13)</f>
        <v>145</v>
      </c>
      <c r="R2749" s="1">
        <f>_xlfn.XLOOKUP(C2749,Contract!$A$2:$A$9,Contract!$B$2:$B$9)</f>
        <v>0.45</v>
      </c>
      <c r="S2749" s="1">
        <f t="shared" si="168"/>
        <v>65.25</v>
      </c>
      <c r="T2749" s="1" t="str">
        <f t="shared" si="169"/>
        <v/>
      </c>
      <c r="U2749" s="1" t="str">
        <f t="shared" si="170"/>
        <v/>
      </c>
      <c r="V2749" s="1" t="str">
        <f>_xlfn.XLOOKUP(C2749,Payers!$A$2:$A$9,Payers!$B$2:$B$9)</f>
        <v>Blue Horizon Commercial</v>
      </c>
      <c r="W2749" s="1" t="str">
        <f t="shared" si="171"/>
        <v>2026-05</v>
      </c>
    </row>
    <row r="2750" spans="1:23">
      <c r="A2750" s="1" t="s">
        <v>4711</v>
      </c>
      <c r="B2750" s="1" t="s">
        <v>799</v>
      </c>
      <c r="C2750" s="1" t="s">
        <v>76</v>
      </c>
      <c r="D2750" s="1" t="s">
        <v>37</v>
      </c>
      <c r="E2750" s="1" t="s">
        <v>48</v>
      </c>
      <c r="F2750">
        <v>1</v>
      </c>
      <c r="G2750" s="2">
        <v>46284</v>
      </c>
      <c r="H2750" s="2">
        <v>46286</v>
      </c>
      <c r="I2750">
        <v>411.03</v>
      </c>
      <c r="M2750" s="1" t="s">
        <v>69</v>
      </c>
      <c r="N2750" s="1" t="s">
        <v>22</v>
      </c>
      <c r="O2750" s="2"/>
      <c r="P2750" s="2"/>
      <c r="Q2750">
        <f>_xlfn.XLOOKUP(E2750,CPT!$A$2:$A$13,CPT!$D$2:$D$13)</f>
        <v>420</v>
      </c>
      <c r="R2750" s="1">
        <f>_xlfn.XLOOKUP(C2750,Contract!$A$2:$A$9,Contract!$B$2:$B$9)</f>
        <v>0.43</v>
      </c>
      <c r="S2750" s="1">
        <f t="shared" si="168"/>
        <v>180.6</v>
      </c>
      <c r="T2750" s="1" t="str">
        <f t="shared" si="169"/>
        <v/>
      </c>
      <c r="U2750" s="1" t="str">
        <f t="shared" si="170"/>
        <v/>
      </c>
      <c r="V2750" s="1" t="str">
        <f>_xlfn.XLOOKUP(C2750,Payers!$A$2:$A$9,Payers!$B$2:$B$9)</f>
        <v>Summit Health Commercial</v>
      </c>
      <c r="W2750" s="1" t="str">
        <f t="shared" si="171"/>
        <v>2026-09</v>
      </c>
    </row>
    <row r="2751" spans="1:23">
      <c r="A2751" s="1" t="s">
        <v>4712</v>
      </c>
      <c r="B2751" s="1" t="s">
        <v>1190</v>
      </c>
      <c r="C2751" s="1" t="s">
        <v>76</v>
      </c>
      <c r="D2751" s="1" t="s">
        <v>19</v>
      </c>
      <c r="E2751" s="1" t="s">
        <v>20</v>
      </c>
      <c r="F2751">
        <v>1</v>
      </c>
      <c r="G2751" s="2">
        <v>46005</v>
      </c>
      <c r="H2751" s="2">
        <v>46008</v>
      </c>
      <c r="I2751">
        <v>146.12</v>
      </c>
      <c r="J2751">
        <v>72</v>
      </c>
      <c r="K2751">
        <v>57.6</v>
      </c>
      <c r="L2751">
        <v>14.4</v>
      </c>
      <c r="M2751" s="1" t="s">
        <v>21</v>
      </c>
      <c r="N2751" s="1" t="s">
        <v>22</v>
      </c>
      <c r="O2751" s="2">
        <v>46053</v>
      </c>
      <c r="P2751" s="2">
        <v>46053</v>
      </c>
      <c r="Q2751">
        <f>_xlfn.XLOOKUP(E2751,CPT!$A$2:$A$13,CPT!$D$2:$D$13)</f>
        <v>145</v>
      </c>
      <c r="R2751" s="1">
        <f>_xlfn.XLOOKUP(C2751,Contract!$A$2:$A$9,Contract!$B$2:$B$9)</f>
        <v>0.43</v>
      </c>
      <c r="S2751" s="1">
        <f t="shared" si="168"/>
        <v>62.35</v>
      </c>
      <c r="T2751" s="1">
        <f t="shared" si="169"/>
        <v>-9.6499999999999986</v>
      </c>
      <c r="U2751" s="1" t="str">
        <f t="shared" si="170"/>
        <v>OK</v>
      </c>
      <c r="V2751" s="1" t="str">
        <f>_xlfn.XLOOKUP(C2751,Payers!$A$2:$A$9,Payers!$B$2:$B$9)</f>
        <v>Summit Health Commercial</v>
      </c>
      <c r="W2751" s="1" t="str">
        <f t="shared" si="171"/>
        <v>2025-12</v>
      </c>
    </row>
    <row r="2752" spans="1:23">
      <c r="A2752" s="1" t="s">
        <v>4713</v>
      </c>
      <c r="B2752" s="1" t="s">
        <v>4714</v>
      </c>
      <c r="C2752" s="1" t="s">
        <v>76</v>
      </c>
      <c r="D2752" s="1" t="s">
        <v>19</v>
      </c>
      <c r="E2752" s="1" t="s">
        <v>57</v>
      </c>
      <c r="F2752">
        <v>1</v>
      </c>
      <c r="G2752" s="2">
        <v>45998</v>
      </c>
      <c r="H2752" s="2">
        <v>46002</v>
      </c>
      <c r="I2752">
        <v>210.33</v>
      </c>
      <c r="J2752">
        <v>91.93</v>
      </c>
      <c r="K2752">
        <v>73.540000000000006</v>
      </c>
      <c r="L2752">
        <v>18.39</v>
      </c>
      <c r="M2752" s="1" t="s">
        <v>21</v>
      </c>
      <c r="N2752" s="1" t="s">
        <v>22</v>
      </c>
      <c r="O2752" s="2">
        <v>46035</v>
      </c>
      <c r="P2752" s="2">
        <v>46035</v>
      </c>
      <c r="Q2752">
        <f>_xlfn.XLOOKUP(E2752,CPT!$A$2:$A$13,CPT!$D$2:$D$13)</f>
        <v>210</v>
      </c>
      <c r="R2752" s="1">
        <f>_xlfn.XLOOKUP(C2752,Contract!$A$2:$A$9,Contract!$B$2:$B$9)</f>
        <v>0.43</v>
      </c>
      <c r="S2752" s="1">
        <f t="shared" si="168"/>
        <v>90.3</v>
      </c>
      <c r="T2752" s="1">
        <f t="shared" si="169"/>
        <v>-1.6300000000000097</v>
      </c>
      <c r="U2752" s="1" t="str">
        <f t="shared" si="170"/>
        <v>OK</v>
      </c>
      <c r="V2752" s="1" t="str">
        <f>_xlfn.XLOOKUP(C2752,Payers!$A$2:$A$9,Payers!$B$2:$B$9)</f>
        <v>Summit Health Commercial</v>
      </c>
      <c r="W2752" s="1" t="str">
        <f t="shared" si="171"/>
        <v>2025-12</v>
      </c>
    </row>
    <row r="2753" spans="1:23">
      <c r="A2753" s="1" t="s">
        <v>4715</v>
      </c>
      <c r="B2753" s="1" t="s">
        <v>1986</v>
      </c>
      <c r="C2753" s="1" t="s">
        <v>18</v>
      </c>
      <c r="D2753" s="1" t="s">
        <v>37</v>
      </c>
      <c r="E2753" s="1" t="s">
        <v>38</v>
      </c>
      <c r="F2753">
        <v>20</v>
      </c>
      <c r="G2753" s="2">
        <v>45972</v>
      </c>
      <c r="H2753" s="2">
        <v>45973</v>
      </c>
      <c r="I2753">
        <v>28169.77</v>
      </c>
      <c r="J2753">
        <v>10353</v>
      </c>
      <c r="K2753">
        <v>8282.4</v>
      </c>
      <c r="L2753">
        <v>2070.6</v>
      </c>
      <c r="M2753" s="1" t="s">
        <v>21</v>
      </c>
      <c r="N2753" s="1" t="s">
        <v>22</v>
      </c>
      <c r="O2753" s="2">
        <v>46041</v>
      </c>
      <c r="P2753" s="2">
        <v>46041</v>
      </c>
      <c r="Q2753">
        <f>_xlfn.XLOOKUP(E2753,CPT!$A$2:$A$13,CPT!$D$2:$D$13)</f>
        <v>1450</v>
      </c>
      <c r="R2753" s="1">
        <f>_xlfn.XLOOKUP(C2753,Contract!$A$2:$A$9,Contract!$B$2:$B$9)</f>
        <v>0.38</v>
      </c>
      <c r="S2753" s="1">
        <f t="shared" si="168"/>
        <v>11020</v>
      </c>
      <c r="T2753" s="1">
        <f t="shared" si="169"/>
        <v>667</v>
      </c>
      <c r="U2753" s="1" t="str">
        <f t="shared" si="170"/>
        <v>Underpaid</v>
      </c>
      <c r="V2753" s="1" t="str">
        <f>_xlfn.XLOOKUP(C2753,Payers!$A$2:$A$9,Payers!$B$2:$B$9)</f>
        <v>Sunshine Medicare Advantage</v>
      </c>
      <c r="W2753" s="1" t="str">
        <f t="shared" si="171"/>
        <v>2025-11</v>
      </c>
    </row>
    <row r="2754" spans="1:23">
      <c r="A2754" s="1" t="s">
        <v>4716</v>
      </c>
      <c r="B2754" s="1" t="s">
        <v>4717</v>
      </c>
      <c r="C2754" s="1" t="s">
        <v>18</v>
      </c>
      <c r="D2754" s="1" t="s">
        <v>37</v>
      </c>
      <c r="E2754" s="1" t="s">
        <v>38</v>
      </c>
      <c r="F2754">
        <v>10</v>
      </c>
      <c r="G2754" s="2">
        <v>45946</v>
      </c>
      <c r="H2754" s="2">
        <v>45949</v>
      </c>
      <c r="I2754">
        <v>14353.51</v>
      </c>
      <c r="J2754">
        <v>6193.1</v>
      </c>
      <c r="K2754">
        <v>6193.1</v>
      </c>
      <c r="L2754">
        <v>0</v>
      </c>
      <c r="M2754" s="1" t="s">
        <v>21</v>
      </c>
      <c r="N2754" s="1" t="s">
        <v>22</v>
      </c>
      <c r="O2754" s="2">
        <v>45991</v>
      </c>
      <c r="P2754" s="2">
        <v>45991</v>
      </c>
      <c r="Q2754">
        <f>_xlfn.XLOOKUP(E2754,CPT!$A$2:$A$13,CPT!$D$2:$D$13)</f>
        <v>1450</v>
      </c>
      <c r="R2754" s="1">
        <f>_xlfn.XLOOKUP(C2754,Contract!$A$2:$A$9,Contract!$B$2:$B$9)</f>
        <v>0.38</v>
      </c>
      <c r="S2754" s="1">
        <f t="shared" ref="S2754:S2817" si="172">ROUND(Q2754*F2754*R2754,2)</f>
        <v>5510</v>
      </c>
      <c r="T2754" s="1">
        <f t="shared" ref="T2754:T2817" si="173">IF(M2754="Paid",S2754-J2754,"")</f>
        <v>-683.10000000000036</v>
      </c>
      <c r="U2754" s="1" t="str">
        <f t="shared" ref="U2754:U2817" si="174">IF(M2754&lt;&gt;"Paid","",IF(T2754&gt;S2754*0.05,"Underpaid","OK"))</f>
        <v>OK</v>
      </c>
      <c r="V2754" s="1" t="str">
        <f>_xlfn.XLOOKUP(C2754,Payers!$A$2:$A$9,Payers!$B$2:$B$9)</f>
        <v>Sunshine Medicare Advantage</v>
      </c>
      <c r="W2754" s="1" t="str">
        <f t="shared" ref="W2754:W2817" si="175">TEXT(G2754,"yyyy-mm")</f>
        <v>2025-10</v>
      </c>
    </row>
    <row r="2755" spans="1:23">
      <c r="A2755" s="1" t="s">
        <v>4718</v>
      </c>
      <c r="B2755" s="1" t="s">
        <v>4719</v>
      </c>
      <c r="C2755" s="1" t="s">
        <v>60</v>
      </c>
      <c r="D2755" s="1" t="s">
        <v>37</v>
      </c>
      <c r="E2755" s="1" t="s">
        <v>38</v>
      </c>
      <c r="F2755">
        <v>30</v>
      </c>
      <c r="G2755" s="2">
        <v>46184</v>
      </c>
      <c r="H2755" s="2">
        <v>46193</v>
      </c>
      <c r="I2755">
        <v>43424.39</v>
      </c>
      <c r="J2755">
        <v>20009.13</v>
      </c>
      <c r="K2755">
        <v>16007.3</v>
      </c>
      <c r="L2755">
        <v>4001.83</v>
      </c>
      <c r="M2755" s="1" t="s">
        <v>21</v>
      </c>
      <c r="N2755" s="1" t="s">
        <v>22</v>
      </c>
      <c r="O2755" s="2">
        <v>46214</v>
      </c>
      <c r="P2755" s="2">
        <v>46214</v>
      </c>
      <c r="Q2755">
        <f>_xlfn.XLOOKUP(E2755,CPT!$A$2:$A$13,CPT!$D$2:$D$13)</f>
        <v>1450</v>
      </c>
      <c r="R2755" s="1">
        <f>_xlfn.XLOOKUP(C2755,Contract!$A$2:$A$9,Contract!$B$2:$B$9)</f>
        <v>0.45</v>
      </c>
      <c r="S2755" s="1">
        <f t="shared" si="172"/>
        <v>19575</v>
      </c>
      <c r="T2755" s="1">
        <f t="shared" si="173"/>
        <v>-434.13000000000102</v>
      </c>
      <c r="U2755" s="1" t="str">
        <f t="shared" si="174"/>
        <v>OK</v>
      </c>
      <c r="V2755" s="1" t="str">
        <f>_xlfn.XLOOKUP(C2755,Payers!$A$2:$A$9,Payers!$B$2:$B$9)</f>
        <v>Blue Horizon Commercial</v>
      </c>
      <c r="W2755" s="1" t="str">
        <f t="shared" si="175"/>
        <v>2026-06</v>
      </c>
    </row>
    <row r="2756" spans="1:23">
      <c r="A2756" s="1" t="s">
        <v>4720</v>
      </c>
      <c r="B2756" s="1" t="s">
        <v>4721</v>
      </c>
      <c r="C2756" s="1" t="s">
        <v>76</v>
      </c>
      <c r="D2756" s="1" t="s">
        <v>26</v>
      </c>
      <c r="E2756" s="1" t="s">
        <v>27</v>
      </c>
      <c r="F2756">
        <v>1</v>
      </c>
      <c r="G2756" s="2">
        <v>46246</v>
      </c>
      <c r="H2756" s="2">
        <v>46252</v>
      </c>
      <c r="I2756">
        <v>234.08</v>
      </c>
      <c r="J2756">
        <v>94.93</v>
      </c>
      <c r="K2756">
        <v>75.94</v>
      </c>
      <c r="L2756">
        <v>18.989999999999998</v>
      </c>
      <c r="M2756" s="1" t="s">
        <v>21</v>
      </c>
      <c r="N2756" s="1" t="s">
        <v>22</v>
      </c>
      <c r="O2756" s="2">
        <v>46276</v>
      </c>
      <c r="P2756" s="2">
        <v>46276</v>
      </c>
      <c r="Q2756">
        <f>_xlfn.XLOOKUP(E2756,CPT!$A$2:$A$13,CPT!$D$2:$D$13)</f>
        <v>240</v>
      </c>
      <c r="R2756" s="1">
        <f>_xlfn.XLOOKUP(C2756,Contract!$A$2:$A$9,Contract!$B$2:$B$9)</f>
        <v>0.43</v>
      </c>
      <c r="S2756" s="1">
        <f t="shared" si="172"/>
        <v>103.2</v>
      </c>
      <c r="T2756" s="1">
        <f t="shared" si="173"/>
        <v>8.269999999999996</v>
      </c>
      <c r="U2756" s="1" t="str">
        <f t="shared" si="174"/>
        <v>Underpaid</v>
      </c>
      <c r="V2756" s="1" t="str">
        <f>_xlfn.XLOOKUP(C2756,Payers!$A$2:$A$9,Payers!$B$2:$B$9)</f>
        <v>Summit Health Commercial</v>
      </c>
      <c r="W2756" s="1" t="str">
        <f t="shared" si="175"/>
        <v>2026-08</v>
      </c>
    </row>
    <row r="2757" spans="1:23">
      <c r="A2757" s="1" t="s">
        <v>4722</v>
      </c>
      <c r="B2757" s="1" t="s">
        <v>2371</v>
      </c>
      <c r="C2757" s="1" t="s">
        <v>76</v>
      </c>
      <c r="D2757" s="1" t="s">
        <v>26</v>
      </c>
      <c r="E2757" s="1" t="s">
        <v>185</v>
      </c>
      <c r="F2757">
        <v>1</v>
      </c>
      <c r="G2757" s="2">
        <v>46136</v>
      </c>
      <c r="H2757" s="2">
        <v>46141</v>
      </c>
      <c r="I2757">
        <v>1132.2</v>
      </c>
      <c r="J2757">
        <v>494.97</v>
      </c>
      <c r="K2757">
        <v>395.98</v>
      </c>
      <c r="L2757">
        <v>98.99</v>
      </c>
      <c r="M2757" s="1" t="s">
        <v>21</v>
      </c>
      <c r="N2757" s="1" t="s">
        <v>22</v>
      </c>
      <c r="O2757" s="2">
        <v>46190</v>
      </c>
      <c r="P2757" s="2">
        <v>46190</v>
      </c>
      <c r="Q2757">
        <f>_xlfn.XLOOKUP(E2757,CPT!$A$2:$A$13,CPT!$D$2:$D$13)</f>
        <v>1150</v>
      </c>
      <c r="R2757" s="1">
        <f>_xlfn.XLOOKUP(C2757,Contract!$A$2:$A$9,Contract!$B$2:$B$9)</f>
        <v>0.43</v>
      </c>
      <c r="S2757" s="1">
        <f t="shared" si="172"/>
        <v>494.5</v>
      </c>
      <c r="T2757" s="1">
        <f t="shared" si="173"/>
        <v>-0.47000000000002728</v>
      </c>
      <c r="U2757" s="1" t="str">
        <f t="shared" si="174"/>
        <v>OK</v>
      </c>
      <c r="V2757" s="1" t="str">
        <f>_xlfn.XLOOKUP(C2757,Payers!$A$2:$A$9,Payers!$B$2:$B$9)</f>
        <v>Summit Health Commercial</v>
      </c>
      <c r="W2757" s="1" t="str">
        <f t="shared" si="175"/>
        <v>2026-04</v>
      </c>
    </row>
    <row r="2758" spans="1:23">
      <c r="A2758" s="1" t="s">
        <v>4723</v>
      </c>
      <c r="B2758" s="1" t="s">
        <v>4724</v>
      </c>
      <c r="C2758" s="1" t="s">
        <v>25</v>
      </c>
      <c r="D2758" s="1" t="s">
        <v>19</v>
      </c>
      <c r="E2758" s="1" t="s">
        <v>88</v>
      </c>
      <c r="F2758">
        <v>1</v>
      </c>
      <c r="G2758" s="2">
        <v>46236</v>
      </c>
      <c r="H2758" s="2">
        <v>46237</v>
      </c>
      <c r="I2758">
        <v>256.70999999999998</v>
      </c>
      <c r="J2758">
        <v>87.25</v>
      </c>
      <c r="K2758">
        <v>69.8</v>
      </c>
      <c r="L2758">
        <v>17.45</v>
      </c>
      <c r="M2758" s="1" t="s">
        <v>21</v>
      </c>
      <c r="N2758" s="1" t="s">
        <v>22</v>
      </c>
      <c r="O2758" s="2">
        <v>46254</v>
      </c>
      <c r="P2758" s="2">
        <v>46254</v>
      </c>
      <c r="Q2758">
        <f>_xlfn.XLOOKUP(E2758,CPT!$A$2:$A$13,CPT!$D$2:$D$13)</f>
        <v>260</v>
      </c>
      <c r="R2758" s="1">
        <f>_xlfn.XLOOKUP(C2758,Contract!$A$2:$A$9,Contract!$B$2:$B$9)</f>
        <v>0.36</v>
      </c>
      <c r="S2758" s="1">
        <f t="shared" si="172"/>
        <v>93.6</v>
      </c>
      <c r="T2758" s="1">
        <f t="shared" si="173"/>
        <v>6.3499999999999943</v>
      </c>
      <c r="U2758" s="1" t="str">
        <f t="shared" si="174"/>
        <v>Underpaid</v>
      </c>
      <c r="V2758" s="1" t="str">
        <f>_xlfn.XLOOKUP(C2758,Payers!$A$2:$A$9,Payers!$B$2:$B$9)</f>
        <v>Medicare Part B</v>
      </c>
      <c r="W2758" s="1" t="str">
        <f t="shared" si="175"/>
        <v>2026-08</v>
      </c>
    </row>
    <row r="2759" spans="1:23">
      <c r="A2759" s="1" t="s">
        <v>4725</v>
      </c>
      <c r="B2759" s="1" t="s">
        <v>239</v>
      </c>
      <c r="C2759" s="1" t="s">
        <v>60</v>
      </c>
      <c r="D2759" s="1" t="s">
        <v>37</v>
      </c>
      <c r="E2759" s="1" t="s">
        <v>48</v>
      </c>
      <c r="F2759">
        <v>1</v>
      </c>
      <c r="G2759" s="2">
        <v>46171</v>
      </c>
      <c r="H2759" s="2">
        <v>46174</v>
      </c>
      <c r="I2759">
        <v>408.87</v>
      </c>
      <c r="M2759" s="1" t="s">
        <v>32</v>
      </c>
      <c r="N2759" s="1" t="s">
        <v>315</v>
      </c>
      <c r="O2759" s="2">
        <v>46193</v>
      </c>
      <c r="P2759" s="2"/>
      <c r="Q2759">
        <f>_xlfn.XLOOKUP(E2759,CPT!$A$2:$A$13,CPT!$D$2:$D$13)</f>
        <v>420</v>
      </c>
      <c r="R2759" s="1">
        <f>_xlfn.XLOOKUP(C2759,Contract!$A$2:$A$9,Contract!$B$2:$B$9)</f>
        <v>0.45</v>
      </c>
      <c r="S2759" s="1">
        <f t="shared" si="172"/>
        <v>189</v>
      </c>
      <c r="T2759" s="1" t="str">
        <f t="shared" si="173"/>
        <v/>
      </c>
      <c r="U2759" s="1" t="str">
        <f t="shared" si="174"/>
        <v/>
      </c>
      <c r="V2759" s="1" t="str">
        <f>_xlfn.XLOOKUP(C2759,Payers!$A$2:$A$9,Payers!$B$2:$B$9)</f>
        <v>Blue Horizon Commercial</v>
      </c>
      <c r="W2759" s="1" t="str">
        <f t="shared" si="175"/>
        <v>2026-05</v>
      </c>
    </row>
    <row r="2760" spans="1:23">
      <c r="A2760" s="1" t="s">
        <v>4726</v>
      </c>
      <c r="B2760" s="1" t="s">
        <v>2383</v>
      </c>
      <c r="C2760" s="1" t="s">
        <v>47</v>
      </c>
      <c r="D2760" s="1" t="s">
        <v>37</v>
      </c>
      <c r="E2760" s="1" t="s">
        <v>48</v>
      </c>
      <c r="F2760">
        <v>1</v>
      </c>
      <c r="G2760" s="2">
        <v>46125</v>
      </c>
      <c r="H2760" s="2">
        <v>46127</v>
      </c>
      <c r="I2760">
        <v>424.32</v>
      </c>
      <c r="J2760">
        <v>106.15</v>
      </c>
      <c r="K2760">
        <v>84.92</v>
      </c>
      <c r="L2760">
        <v>21.23</v>
      </c>
      <c r="M2760" s="1" t="s">
        <v>21</v>
      </c>
      <c r="N2760" s="1" t="s">
        <v>22</v>
      </c>
      <c r="O2760" s="2">
        <v>46185</v>
      </c>
      <c r="P2760" s="2">
        <v>46185</v>
      </c>
      <c r="Q2760">
        <f>_xlfn.XLOOKUP(E2760,CPT!$A$2:$A$13,CPT!$D$2:$D$13)</f>
        <v>420</v>
      </c>
      <c r="R2760" s="1">
        <f>_xlfn.XLOOKUP(C2760,Contract!$A$2:$A$9,Contract!$B$2:$B$9)</f>
        <v>0.28000000000000003</v>
      </c>
      <c r="S2760" s="1">
        <f t="shared" si="172"/>
        <v>117.6</v>
      </c>
      <c r="T2760" s="1">
        <f t="shared" si="173"/>
        <v>11.449999999999989</v>
      </c>
      <c r="U2760" s="1" t="str">
        <f t="shared" si="174"/>
        <v>Underpaid</v>
      </c>
      <c r="V2760" s="1" t="str">
        <f>_xlfn.XLOOKUP(C2760,Payers!$A$2:$A$9,Payers!$B$2:$B$9)</f>
        <v>Coastal Medicaid MCO</v>
      </c>
      <c r="W2760" s="1" t="str">
        <f t="shared" si="175"/>
        <v>2026-04</v>
      </c>
    </row>
    <row r="2761" spans="1:23">
      <c r="A2761" s="1" t="s">
        <v>4727</v>
      </c>
      <c r="B2761" s="1" t="s">
        <v>4728</v>
      </c>
      <c r="C2761" s="1" t="s">
        <v>60</v>
      </c>
      <c r="D2761" s="1" t="s">
        <v>37</v>
      </c>
      <c r="E2761" s="1" t="s">
        <v>38</v>
      </c>
      <c r="F2761">
        <v>20</v>
      </c>
      <c r="G2761" s="2">
        <v>46035</v>
      </c>
      <c r="H2761" s="2">
        <v>46038</v>
      </c>
      <c r="I2761">
        <v>29727.54</v>
      </c>
      <c r="J2761">
        <v>13786.88</v>
      </c>
      <c r="K2761">
        <v>13786.88</v>
      </c>
      <c r="L2761">
        <v>0</v>
      </c>
      <c r="M2761" s="1" t="s">
        <v>21</v>
      </c>
      <c r="N2761" s="1" t="s">
        <v>22</v>
      </c>
      <c r="O2761" s="2">
        <v>46053</v>
      </c>
      <c r="P2761" s="2">
        <v>46053</v>
      </c>
      <c r="Q2761">
        <f>_xlfn.XLOOKUP(E2761,CPT!$A$2:$A$13,CPT!$D$2:$D$13)</f>
        <v>1450</v>
      </c>
      <c r="R2761" s="1">
        <f>_xlfn.XLOOKUP(C2761,Contract!$A$2:$A$9,Contract!$B$2:$B$9)</f>
        <v>0.45</v>
      </c>
      <c r="S2761" s="1">
        <f t="shared" si="172"/>
        <v>13050</v>
      </c>
      <c r="T2761" s="1">
        <f t="shared" si="173"/>
        <v>-736.8799999999992</v>
      </c>
      <c r="U2761" s="1" t="str">
        <f t="shared" si="174"/>
        <v>OK</v>
      </c>
      <c r="V2761" s="1" t="str">
        <f>_xlfn.XLOOKUP(C2761,Payers!$A$2:$A$9,Payers!$B$2:$B$9)</f>
        <v>Blue Horizon Commercial</v>
      </c>
      <c r="W2761" s="1" t="str">
        <f t="shared" si="175"/>
        <v>2026-01</v>
      </c>
    </row>
    <row r="2762" spans="1:23">
      <c r="A2762" s="1" t="s">
        <v>4729</v>
      </c>
      <c r="B2762" s="1" t="s">
        <v>2956</v>
      </c>
      <c r="C2762" s="1" t="s">
        <v>36</v>
      </c>
      <c r="D2762" s="1" t="s">
        <v>37</v>
      </c>
      <c r="E2762" s="1" t="s">
        <v>38</v>
      </c>
      <c r="F2762">
        <v>5</v>
      </c>
      <c r="G2762" s="2">
        <v>46228</v>
      </c>
      <c r="H2762" s="2">
        <v>46229</v>
      </c>
      <c r="I2762">
        <v>7047.02</v>
      </c>
      <c r="J2762">
        <v>1861.73</v>
      </c>
      <c r="K2762">
        <v>1489.38</v>
      </c>
      <c r="L2762">
        <v>372.35</v>
      </c>
      <c r="M2762" s="1" t="s">
        <v>21</v>
      </c>
      <c r="N2762" s="1" t="s">
        <v>22</v>
      </c>
      <c r="O2762" s="2">
        <v>46265</v>
      </c>
      <c r="P2762" s="2">
        <v>46265</v>
      </c>
      <c r="Q2762">
        <f>_xlfn.XLOOKUP(E2762,CPT!$A$2:$A$13,CPT!$D$2:$D$13)</f>
        <v>1450</v>
      </c>
      <c r="R2762" s="1">
        <f>_xlfn.XLOOKUP(C2762,Contract!$A$2:$A$9,Contract!$B$2:$B$9)</f>
        <v>0.27</v>
      </c>
      <c r="S2762" s="1">
        <f t="shared" si="172"/>
        <v>1957.5</v>
      </c>
      <c r="T2762" s="1">
        <f t="shared" si="173"/>
        <v>95.769999999999982</v>
      </c>
      <c r="U2762" s="1" t="str">
        <f t="shared" si="174"/>
        <v>OK</v>
      </c>
      <c r="V2762" s="1" t="str">
        <f>_xlfn.XLOOKUP(C2762,Payers!$A$2:$A$9,Payers!$B$2:$B$9)</f>
        <v>Florida Medicaid</v>
      </c>
      <c r="W2762" s="1" t="str">
        <f t="shared" si="175"/>
        <v>2026-07</v>
      </c>
    </row>
    <row r="2763" spans="1:23">
      <c r="A2763" s="1" t="s">
        <v>4730</v>
      </c>
      <c r="B2763" s="1" t="s">
        <v>3963</v>
      </c>
      <c r="C2763" s="1" t="s">
        <v>60</v>
      </c>
      <c r="D2763" s="1" t="s">
        <v>30</v>
      </c>
      <c r="E2763" s="1" t="s">
        <v>20</v>
      </c>
      <c r="F2763">
        <v>1</v>
      </c>
      <c r="G2763" s="2">
        <v>46089</v>
      </c>
      <c r="H2763" s="2">
        <v>46095</v>
      </c>
      <c r="I2763">
        <v>143.30000000000001</v>
      </c>
      <c r="J2763">
        <v>65.91</v>
      </c>
      <c r="K2763">
        <v>65.91</v>
      </c>
      <c r="L2763">
        <v>0</v>
      </c>
      <c r="M2763" s="1" t="s">
        <v>21</v>
      </c>
      <c r="N2763" s="1" t="s">
        <v>22</v>
      </c>
      <c r="O2763" s="2">
        <v>46109</v>
      </c>
      <c r="P2763" s="2">
        <v>46109</v>
      </c>
      <c r="Q2763">
        <f>_xlfn.XLOOKUP(E2763,CPT!$A$2:$A$13,CPT!$D$2:$D$13)</f>
        <v>145</v>
      </c>
      <c r="R2763" s="1">
        <f>_xlfn.XLOOKUP(C2763,Contract!$A$2:$A$9,Contract!$B$2:$B$9)</f>
        <v>0.45</v>
      </c>
      <c r="S2763" s="1">
        <f t="shared" si="172"/>
        <v>65.25</v>
      </c>
      <c r="T2763" s="1">
        <f t="shared" si="173"/>
        <v>-0.65999999999999659</v>
      </c>
      <c r="U2763" s="1" t="str">
        <f t="shared" si="174"/>
        <v>OK</v>
      </c>
      <c r="V2763" s="1" t="str">
        <f>_xlfn.XLOOKUP(C2763,Payers!$A$2:$A$9,Payers!$B$2:$B$9)</f>
        <v>Blue Horizon Commercial</v>
      </c>
      <c r="W2763" s="1" t="str">
        <f t="shared" si="175"/>
        <v>2026-03</v>
      </c>
    </row>
    <row r="2764" spans="1:23">
      <c r="A2764" s="1" t="s">
        <v>4731</v>
      </c>
      <c r="B2764" s="1" t="s">
        <v>1031</v>
      </c>
      <c r="C2764" s="1" t="s">
        <v>25</v>
      </c>
      <c r="D2764" s="1" t="s">
        <v>19</v>
      </c>
      <c r="E2764" s="1" t="s">
        <v>88</v>
      </c>
      <c r="F2764">
        <v>1</v>
      </c>
      <c r="G2764" s="2">
        <v>46253</v>
      </c>
      <c r="H2764" s="2">
        <v>46254</v>
      </c>
      <c r="I2764">
        <v>266.86</v>
      </c>
      <c r="J2764">
        <v>104.89</v>
      </c>
      <c r="K2764">
        <v>104.89</v>
      </c>
      <c r="L2764">
        <v>0</v>
      </c>
      <c r="M2764" s="1" t="s">
        <v>21</v>
      </c>
      <c r="N2764" s="1" t="s">
        <v>22</v>
      </c>
      <c r="O2764" s="2">
        <v>46273</v>
      </c>
      <c r="P2764" s="2">
        <v>46273</v>
      </c>
      <c r="Q2764">
        <f>_xlfn.XLOOKUP(E2764,CPT!$A$2:$A$13,CPT!$D$2:$D$13)</f>
        <v>260</v>
      </c>
      <c r="R2764" s="1">
        <f>_xlfn.XLOOKUP(C2764,Contract!$A$2:$A$9,Contract!$B$2:$B$9)</f>
        <v>0.36</v>
      </c>
      <c r="S2764" s="1">
        <f t="shared" si="172"/>
        <v>93.6</v>
      </c>
      <c r="T2764" s="1">
        <f t="shared" si="173"/>
        <v>-11.290000000000006</v>
      </c>
      <c r="U2764" s="1" t="str">
        <f t="shared" si="174"/>
        <v>OK</v>
      </c>
      <c r="V2764" s="1" t="str">
        <f>_xlfn.XLOOKUP(C2764,Payers!$A$2:$A$9,Payers!$B$2:$B$9)</f>
        <v>Medicare Part B</v>
      </c>
      <c r="W2764" s="1" t="str">
        <f t="shared" si="175"/>
        <v>2026-08</v>
      </c>
    </row>
    <row r="2765" spans="1:23">
      <c r="A2765" s="1" t="s">
        <v>4732</v>
      </c>
      <c r="B2765" s="1" t="s">
        <v>4733</v>
      </c>
      <c r="C2765" s="1" t="s">
        <v>47</v>
      </c>
      <c r="D2765" s="1" t="s">
        <v>26</v>
      </c>
      <c r="E2765" s="1" t="s">
        <v>88</v>
      </c>
      <c r="F2765">
        <v>1</v>
      </c>
      <c r="G2765" s="2">
        <v>46080</v>
      </c>
      <c r="H2765" s="2">
        <v>46086</v>
      </c>
      <c r="I2765">
        <v>266.48</v>
      </c>
      <c r="J2765">
        <v>71.239999999999995</v>
      </c>
      <c r="K2765">
        <v>71.239999999999995</v>
      </c>
      <c r="L2765">
        <v>0</v>
      </c>
      <c r="M2765" s="1" t="s">
        <v>21</v>
      </c>
      <c r="N2765" s="1" t="s">
        <v>22</v>
      </c>
      <c r="O2765" s="2">
        <v>46122</v>
      </c>
      <c r="P2765" s="2">
        <v>46122</v>
      </c>
      <c r="Q2765">
        <f>_xlfn.XLOOKUP(E2765,CPT!$A$2:$A$13,CPT!$D$2:$D$13)</f>
        <v>260</v>
      </c>
      <c r="R2765" s="1">
        <f>_xlfn.XLOOKUP(C2765,Contract!$A$2:$A$9,Contract!$B$2:$B$9)</f>
        <v>0.28000000000000003</v>
      </c>
      <c r="S2765" s="1">
        <f t="shared" si="172"/>
        <v>72.8</v>
      </c>
      <c r="T2765" s="1">
        <f t="shared" si="173"/>
        <v>1.5600000000000023</v>
      </c>
      <c r="U2765" s="1" t="str">
        <f t="shared" si="174"/>
        <v>OK</v>
      </c>
      <c r="V2765" s="1" t="str">
        <f>_xlfn.XLOOKUP(C2765,Payers!$A$2:$A$9,Payers!$B$2:$B$9)</f>
        <v>Coastal Medicaid MCO</v>
      </c>
      <c r="W2765" s="1" t="str">
        <f t="shared" si="175"/>
        <v>2026-02</v>
      </c>
    </row>
    <row r="2766" spans="1:23">
      <c r="A2766" s="1" t="s">
        <v>4734</v>
      </c>
      <c r="B2766" s="1" t="s">
        <v>174</v>
      </c>
      <c r="C2766" s="1" t="s">
        <v>52</v>
      </c>
      <c r="D2766" s="1" t="s">
        <v>26</v>
      </c>
      <c r="E2766" s="1" t="s">
        <v>44</v>
      </c>
      <c r="F2766">
        <v>1</v>
      </c>
      <c r="G2766" s="2">
        <v>46057</v>
      </c>
      <c r="H2766" s="2">
        <v>46060</v>
      </c>
      <c r="I2766">
        <v>4862.1400000000003</v>
      </c>
      <c r="J2766">
        <v>2537.08</v>
      </c>
      <c r="K2766">
        <v>2537.08</v>
      </c>
      <c r="L2766">
        <v>0</v>
      </c>
      <c r="M2766" s="1" t="s">
        <v>21</v>
      </c>
      <c r="N2766" s="1" t="s">
        <v>22</v>
      </c>
      <c r="O2766" s="2">
        <v>46104</v>
      </c>
      <c r="P2766" s="2">
        <v>46104</v>
      </c>
      <c r="Q2766">
        <f>_xlfn.XLOOKUP(E2766,CPT!$A$2:$A$13,CPT!$D$2:$D$13)</f>
        <v>4800</v>
      </c>
      <c r="R2766" s="1">
        <f>_xlfn.XLOOKUP(C2766,Contract!$A$2:$A$9,Contract!$B$2:$B$9)</f>
        <v>0.47</v>
      </c>
      <c r="S2766" s="1">
        <f t="shared" si="172"/>
        <v>2256</v>
      </c>
      <c r="T2766" s="1">
        <f t="shared" si="173"/>
        <v>-281.07999999999993</v>
      </c>
      <c r="U2766" s="1" t="str">
        <f t="shared" si="174"/>
        <v>OK</v>
      </c>
      <c r="V2766" s="1" t="str">
        <f>_xlfn.XLOOKUP(C2766,Payers!$A$2:$A$9,Payers!$B$2:$B$9)</f>
        <v>Keystone Commercial PPO</v>
      </c>
      <c r="W2766" s="1" t="str">
        <f t="shared" si="175"/>
        <v>2026-02</v>
      </c>
    </row>
    <row r="2767" spans="1:23">
      <c r="A2767" s="1" t="s">
        <v>4735</v>
      </c>
      <c r="B2767" s="1" t="s">
        <v>2244</v>
      </c>
      <c r="C2767" s="1" t="s">
        <v>25</v>
      </c>
      <c r="D2767" s="1" t="s">
        <v>30</v>
      </c>
      <c r="E2767" s="1" t="s">
        <v>31</v>
      </c>
      <c r="F2767">
        <v>1</v>
      </c>
      <c r="G2767" s="2">
        <v>46212</v>
      </c>
      <c r="H2767" s="2">
        <v>46219</v>
      </c>
      <c r="I2767">
        <v>62.91</v>
      </c>
      <c r="J2767">
        <v>22.66</v>
      </c>
      <c r="K2767">
        <v>22.66</v>
      </c>
      <c r="L2767">
        <v>0</v>
      </c>
      <c r="M2767" s="1" t="s">
        <v>21</v>
      </c>
      <c r="N2767" s="1" t="s">
        <v>22</v>
      </c>
      <c r="O2767" s="2">
        <v>46243</v>
      </c>
      <c r="P2767" s="2">
        <v>46243</v>
      </c>
      <c r="Q2767">
        <f>_xlfn.XLOOKUP(E2767,CPT!$A$2:$A$13,CPT!$D$2:$D$13)</f>
        <v>62</v>
      </c>
      <c r="R2767" s="1">
        <f>_xlfn.XLOOKUP(C2767,Contract!$A$2:$A$9,Contract!$B$2:$B$9)</f>
        <v>0.36</v>
      </c>
      <c r="S2767" s="1">
        <f t="shared" si="172"/>
        <v>22.32</v>
      </c>
      <c r="T2767" s="1">
        <f t="shared" si="173"/>
        <v>-0.33999999999999986</v>
      </c>
      <c r="U2767" s="1" t="str">
        <f t="shared" si="174"/>
        <v>OK</v>
      </c>
      <c r="V2767" s="1" t="str">
        <f>_xlfn.XLOOKUP(C2767,Payers!$A$2:$A$9,Payers!$B$2:$B$9)</f>
        <v>Medicare Part B</v>
      </c>
      <c r="W2767" s="1" t="str">
        <f t="shared" si="175"/>
        <v>2026-07</v>
      </c>
    </row>
    <row r="2768" spans="1:23">
      <c r="A2768" s="1" t="s">
        <v>4736</v>
      </c>
      <c r="B2768" s="1" t="s">
        <v>1856</v>
      </c>
      <c r="C2768" s="1" t="s">
        <v>76</v>
      </c>
      <c r="D2768" s="1" t="s">
        <v>26</v>
      </c>
      <c r="E2768" s="1" t="s">
        <v>113</v>
      </c>
      <c r="F2768">
        <v>1</v>
      </c>
      <c r="G2768" s="2">
        <v>45975</v>
      </c>
      <c r="H2768" s="2">
        <v>45978</v>
      </c>
      <c r="I2768">
        <v>1053.3499999999999</v>
      </c>
      <c r="J2768">
        <v>422.7</v>
      </c>
      <c r="K2768">
        <v>422.7</v>
      </c>
      <c r="L2768">
        <v>0</v>
      </c>
      <c r="M2768" s="1" t="s">
        <v>21</v>
      </c>
      <c r="N2768" s="1" t="s">
        <v>22</v>
      </c>
      <c r="O2768" s="2">
        <v>46006</v>
      </c>
      <c r="P2768" s="2">
        <v>46006</v>
      </c>
      <c r="Q2768">
        <f>_xlfn.XLOOKUP(E2768,CPT!$A$2:$A$13,CPT!$D$2:$D$13)</f>
        <v>1050</v>
      </c>
      <c r="R2768" s="1">
        <f>_xlfn.XLOOKUP(C2768,Contract!$A$2:$A$9,Contract!$B$2:$B$9)</f>
        <v>0.43</v>
      </c>
      <c r="S2768" s="1">
        <f t="shared" si="172"/>
        <v>451.5</v>
      </c>
      <c r="T2768" s="1">
        <f t="shared" si="173"/>
        <v>28.800000000000011</v>
      </c>
      <c r="U2768" s="1" t="str">
        <f t="shared" si="174"/>
        <v>Underpaid</v>
      </c>
      <c r="V2768" s="1" t="str">
        <f>_xlfn.XLOOKUP(C2768,Payers!$A$2:$A$9,Payers!$B$2:$B$9)</f>
        <v>Summit Health Commercial</v>
      </c>
      <c r="W2768" s="1" t="str">
        <f t="shared" si="175"/>
        <v>2025-11</v>
      </c>
    </row>
    <row r="2769" spans="1:23">
      <c r="A2769" s="1" t="s">
        <v>4737</v>
      </c>
      <c r="B2769" s="1" t="s">
        <v>4738</v>
      </c>
      <c r="C2769" s="1" t="s">
        <v>76</v>
      </c>
      <c r="D2769" s="1" t="s">
        <v>26</v>
      </c>
      <c r="E2769" s="1" t="s">
        <v>44</v>
      </c>
      <c r="F2769">
        <v>1</v>
      </c>
      <c r="G2769" s="2">
        <v>45953</v>
      </c>
      <c r="H2769" s="2">
        <v>45956</v>
      </c>
      <c r="I2769">
        <v>4830.59</v>
      </c>
      <c r="J2769">
        <v>1881.54</v>
      </c>
      <c r="K2769">
        <v>1881.54</v>
      </c>
      <c r="L2769">
        <v>0</v>
      </c>
      <c r="M2769" s="1" t="s">
        <v>21</v>
      </c>
      <c r="N2769" s="1" t="s">
        <v>22</v>
      </c>
      <c r="O2769" s="2">
        <v>45989</v>
      </c>
      <c r="P2769" s="2">
        <v>45989</v>
      </c>
      <c r="Q2769">
        <f>_xlfn.XLOOKUP(E2769,CPT!$A$2:$A$13,CPT!$D$2:$D$13)</f>
        <v>4800</v>
      </c>
      <c r="R2769" s="1">
        <f>_xlfn.XLOOKUP(C2769,Contract!$A$2:$A$9,Contract!$B$2:$B$9)</f>
        <v>0.43</v>
      </c>
      <c r="S2769" s="1">
        <f t="shared" si="172"/>
        <v>2064</v>
      </c>
      <c r="T2769" s="1">
        <f t="shared" si="173"/>
        <v>182.46000000000004</v>
      </c>
      <c r="U2769" s="1" t="str">
        <f t="shared" si="174"/>
        <v>Underpaid</v>
      </c>
      <c r="V2769" s="1" t="str">
        <f>_xlfn.XLOOKUP(C2769,Payers!$A$2:$A$9,Payers!$B$2:$B$9)</f>
        <v>Summit Health Commercial</v>
      </c>
      <c r="W2769" s="1" t="str">
        <f t="shared" si="175"/>
        <v>2025-10</v>
      </c>
    </row>
    <row r="2770" spans="1:23">
      <c r="A2770" s="1" t="s">
        <v>4739</v>
      </c>
      <c r="B2770" s="1" t="s">
        <v>4740</v>
      </c>
      <c r="C2770" s="1" t="s">
        <v>60</v>
      </c>
      <c r="D2770" s="1" t="s">
        <v>26</v>
      </c>
      <c r="E2770" s="1" t="s">
        <v>185</v>
      </c>
      <c r="F2770">
        <v>1</v>
      </c>
      <c r="G2770" s="2">
        <v>46053</v>
      </c>
      <c r="H2770" s="2">
        <v>46061</v>
      </c>
      <c r="I2770">
        <v>1118.6099999999999</v>
      </c>
      <c r="J2770">
        <v>554.85</v>
      </c>
      <c r="K2770">
        <v>554.85</v>
      </c>
      <c r="L2770">
        <v>0</v>
      </c>
      <c r="M2770" s="1" t="s">
        <v>21</v>
      </c>
      <c r="N2770" s="1" t="s">
        <v>22</v>
      </c>
      <c r="O2770" s="2">
        <v>46082</v>
      </c>
      <c r="P2770" s="2">
        <v>46082</v>
      </c>
      <c r="Q2770">
        <f>_xlfn.XLOOKUP(E2770,CPT!$A$2:$A$13,CPT!$D$2:$D$13)</f>
        <v>1150</v>
      </c>
      <c r="R2770" s="1">
        <f>_xlfn.XLOOKUP(C2770,Contract!$A$2:$A$9,Contract!$B$2:$B$9)</f>
        <v>0.45</v>
      </c>
      <c r="S2770" s="1">
        <f t="shared" si="172"/>
        <v>517.5</v>
      </c>
      <c r="T2770" s="1">
        <f t="shared" si="173"/>
        <v>-37.350000000000023</v>
      </c>
      <c r="U2770" s="1" t="str">
        <f t="shared" si="174"/>
        <v>OK</v>
      </c>
      <c r="V2770" s="1" t="str">
        <f>_xlfn.XLOOKUP(C2770,Payers!$A$2:$A$9,Payers!$B$2:$B$9)</f>
        <v>Blue Horizon Commercial</v>
      </c>
      <c r="W2770" s="1" t="str">
        <f t="shared" si="175"/>
        <v>2026-01</v>
      </c>
    </row>
    <row r="2771" spans="1:23">
      <c r="A2771" s="1" t="s">
        <v>4741</v>
      </c>
      <c r="B2771" s="1" t="s">
        <v>4742</v>
      </c>
      <c r="C2771" s="1" t="s">
        <v>18</v>
      </c>
      <c r="D2771" s="1" t="s">
        <v>30</v>
      </c>
      <c r="E2771" s="1" t="s">
        <v>91</v>
      </c>
      <c r="F2771">
        <v>1</v>
      </c>
      <c r="G2771" s="2">
        <v>46049</v>
      </c>
      <c r="H2771" s="2">
        <v>46052</v>
      </c>
      <c r="I2771">
        <v>57.13</v>
      </c>
      <c r="J2771">
        <v>19.72</v>
      </c>
      <c r="K2771">
        <v>19.72</v>
      </c>
      <c r="L2771">
        <v>0</v>
      </c>
      <c r="M2771" s="1" t="s">
        <v>21</v>
      </c>
      <c r="N2771" s="1" t="s">
        <v>22</v>
      </c>
      <c r="O2771" s="2">
        <v>46113</v>
      </c>
      <c r="P2771" s="2">
        <v>46113</v>
      </c>
      <c r="Q2771">
        <f>_xlfn.XLOOKUP(E2771,CPT!$A$2:$A$13,CPT!$D$2:$D$13)</f>
        <v>58</v>
      </c>
      <c r="R2771" s="1">
        <f>_xlfn.XLOOKUP(C2771,Contract!$A$2:$A$9,Contract!$B$2:$B$9)</f>
        <v>0.38</v>
      </c>
      <c r="S2771" s="1">
        <f t="shared" si="172"/>
        <v>22.04</v>
      </c>
      <c r="T2771" s="1">
        <f t="shared" si="173"/>
        <v>2.3200000000000003</v>
      </c>
      <c r="U2771" s="1" t="str">
        <f t="shared" si="174"/>
        <v>Underpaid</v>
      </c>
      <c r="V2771" s="1" t="str">
        <f>_xlfn.XLOOKUP(C2771,Payers!$A$2:$A$9,Payers!$B$2:$B$9)</f>
        <v>Sunshine Medicare Advantage</v>
      </c>
      <c r="W2771" s="1" t="str">
        <f t="shared" si="175"/>
        <v>2026-01</v>
      </c>
    </row>
    <row r="2772" spans="1:23">
      <c r="A2772" s="1" t="s">
        <v>4743</v>
      </c>
      <c r="B2772" s="1" t="s">
        <v>51</v>
      </c>
      <c r="C2772" s="1" t="s">
        <v>36</v>
      </c>
      <c r="D2772" s="1" t="s">
        <v>19</v>
      </c>
      <c r="E2772" s="1" t="s">
        <v>20</v>
      </c>
      <c r="F2772">
        <v>1</v>
      </c>
      <c r="G2772" s="2">
        <v>46189</v>
      </c>
      <c r="H2772" s="2">
        <v>46190</v>
      </c>
      <c r="I2772">
        <v>144.58000000000001</v>
      </c>
      <c r="J2772">
        <v>35.51</v>
      </c>
      <c r="K2772">
        <v>31.96</v>
      </c>
      <c r="L2772">
        <v>3.55</v>
      </c>
      <c r="M2772" s="1" t="s">
        <v>21</v>
      </c>
      <c r="N2772" s="1" t="s">
        <v>22</v>
      </c>
      <c r="O2772" s="2">
        <v>46238</v>
      </c>
      <c r="P2772" s="2">
        <v>46238</v>
      </c>
      <c r="Q2772">
        <f>_xlfn.XLOOKUP(E2772,CPT!$A$2:$A$13,CPT!$D$2:$D$13)</f>
        <v>145</v>
      </c>
      <c r="R2772" s="1">
        <f>_xlfn.XLOOKUP(C2772,Contract!$A$2:$A$9,Contract!$B$2:$B$9)</f>
        <v>0.27</v>
      </c>
      <c r="S2772" s="1">
        <f t="shared" si="172"/>
        <v>39.15</v>
      </c>
      <c r="T2772" s="1">
        <f t="shared" si="173"/>
        <v>3.6400000000000006</v>
      </c>
      <c r="U2772" s="1" t="str">
        <f t="shared" si="174"/>
        <v>Underpaid</v>
      </c>
      <c r="V2772" s="1" t="str">
        <f>_xlfn.XLOOKUP(C2772,Payers!$A$2:$A$9,Payers!$B$2:$B$9)</f>
        <v>Florida Medicaid</v>
      </c>
      <c r="W2772" s="1" t="str">
        <f t="shared" si="175"/>
        <v>2026-06</v>
      </c>
    </row>
    <row r="2773" spans="1:23">
      <c r="A2773" s="1" t="s">
        <v>4744</v>
      </c>
      <c r="B2773" s="1" t="s">
        <v>4745</v>
      </c>
      <c r="C2773" s="1" t="s">
        <v>25</v>
      </c>
      <c r="D2773" s="1" t="s">
        <v>19</v>
      </c>
      <c r="E2773" s="1" t="s">
        <v>88</v>
      </c>
      <c r="F2773">
        <v>1</v>
      </c>
      <c r="G2773" s="2">
        <v>45961</v>
      </c>
      <c r="H2773" s="2">
        <v>45964</v>
      </c>
      <c r="I2773">
        <v>255.51</v>
      </c>
      <c r="J2773">
        <v>90.83</v>
      </c>
      <c r="K2773">
        <v>90.83</v>
      </c>
      <c r="L2773">
        <v>0</v>
      </c>
      <c r="M2773" s="1" t="s">
        <v>21</v>
      </c>
      <c r="N2773" s="1" t="s">
        <v>22</v>
      </c>
      <c r="O2773" s="2">
        <v>45977</v>
      </c>
      <c r="P2773" s="2">
        <v>45977</v>
      </c>
      <c r="Q2773">
        <f>_xlfn.XLOOKUP(E2773,CPT!$A$2:$A$13,CPT!$D$2:$D$13)</f>
        <v>260</v>
      </c>
      <c r="R2773" s="1">
        <f>_xlfn.XLOOKUP(C2773,Contract!$A$2:$A$9,Contract!$B$2:$B$9)</f>
        <v>0.36</v>
      </c>
      <c r="S2773" s="1">
        <f t="shared" si="172"/>
        <v>93.6</v>
      </c>
      <c r="T2773" s="1">
        <f t="shared" si="173"/>
        <v>2.769999999999996</v>
      </c>
      <c r="U2773" s="1" t="str">
        <f t="shared" si="174"/>
        <v>OK</v>
      </c>
      <c r="V2773" s="1" t="str">
        <f>_xlfn.XLOOKUP(C2773,Payers!$A$2:$A$9,Payers!$B$2:$B$9)</f>
        <v>Medicare Part B</v>
      </c>
      <c r="W2773" s="1" t="str">
        <f t="shared" si="175"/>
        <v>2025-10</v>
      </c>
    </row>
    <row r="2774" spans="1:23">
      <c r="A2774" s="1" t="s">
        <v>4746</v>
      </c>
      <c r="B2774" s="1" t="s">
        <v>526</v>
      </c>
      <c r="C2774" s="1" t="s">
        <v>52</v>
      </c>
      <c r="D2774" s="1" t="s">
        <v>37</v>
      </c>
      <c r="E2774" s="1" t="s">
        <v>38</v>
      </c>
      <c r="F2774">
        <v>10</v>
      </c>
      <c r="G2774" s="2">
        <v>46026</v>
      </c>
      <c r="H2774" s="2">
        <v>46028</v>
      </c>
      <c r="I2774">
        <v>14165.74</v>
      </c>
      <c r="J2774">
        <v>6147.19</v>
      </c>
      <c r="K2774">
        <v>5532.47</v>
      </c>
      <c r="L2774">
        <v>614.72</v>
      </c>
      <c r="M2774" s="1" t="s">
        <v>21</v>
      </c>
      <c r="N2774" s="1" t="s">
        <v>22</v>
      </c>
      <c r="O2774" s="2">
        <v>46054</v>
      </c>
      <c r="P2774" s="2">
        <v>46054</v>
      </c>
      <c r="Q2774">
        <f>_xlfn.XLOOKUP(E2774,CPT!$A$2:$A$13,CPT!$D$2:$D$13)</f>
        <v>1450</v>
      </c>
      <c r="R2774" s="1">
        <f>_xlfn.XLOOKUP(C2774,Contract!$A$2:$A$9,Contract!$B$2:$B$9)</f>
        <v>0.47</v>
      </c>
      <c r="S2774" s="1">
        <f t="shared" si="172"/>
        <v>6815</v>
      </c>
      <c r="T2774" s="1">
        <f t="shared" si="173"/>
        <v>667.8100000000004</v>
      </c>
      <c r="U2774" s="1" t="str">
        <f t="shared" si="174"/>
        <v>Underpaid</v>
      </c>
      <c r="V2774" s="1" t="str">
        <f>_xlfn.XLOOKUP(C2774,Payers!$A$2:$A$9,Payers!$B$2:$B$9)</f>
        <v>Keystone Commercial PPO</v>
      </c>
      <c r="W2774" s="1" t="str">
        <f t="shared" si="175"/>
        <v>2026-01</v>
      </c>
    </row>
    <row r="2775" spans="1:23">
      <c r="A2775" s="1" t="s">
        <v>4747</v>
      </c>
      <c r="B2775" s="1" t="s">
        <v>255</v>
      </c>
      <c r="C2775" s="1" t="s">
        <v>60</v>
      </c>
      <c r="D2775" s="1" t="s">
        <v>19</v>
      </c>
      <c r="E2775" s="1" t="s">
        <v>20</v>
      </c>
      <c r="F2775">
        <v>1</v>
      </c>
      <c r="G2775" s="2">
        <v>46085</v>
      </c>
      <c r="H2775" s="2">
        <v>46088</v>
      </c>
      <c r="I2775">
        <v>141.72</v>
      </c>
      <c r="J2775">
        <v>58.15</v>
      </c>
      <c r="K2775">
        <v>58.15</v>
      </c>
      <c r="L2775">
        <v>0</v>
      </c>
      <c r="M2775" s="1" t="s">
        <v>21</v>
      </c>
      <c r="N2775" s="1" t="s">
        <v>22</v>
      </c>
      <c r="O2775" s="2">
        <v>46110</v>
      </c>
      <c r="P2775" s="2">
        <v>46110</v>
      </c>
      <c r="Q2775">
        <f>_xlfn.XLOOKUP(E2775,CPT!$A$2:$A$13,CPT!$D$2:$D$13)</f>
        <v>145</v>
      </c>
      <c r="R2775" s="1">
        <f>_xlfn.XLOOKUP(C2775,Contract!$A$2:$A$9,Contract!$B$2:$B$9)</f>
        <v>0.45</v>
      </c>
      <c r="S2775" s="1">
        <f t="shared" si="172"/>
        <v>65.25</v>
      </c>
      <c r="T2775" s="1">
        <f t="shared" si="173"/>
        <v>7.1000000000000014</v>
      </c>
      <c r="U2775" s="1" t="str">
        <f t="shared" si="174"/>
        <v>Underpaid</v>
      </c>
      <c r="V2775" s="1" t="str">
        <f>_xlfn.XLOOKUP(C2775,Payers!$A$2:$A$9,Payers!$B$2:$B$9)</f>
        <v>Blue Horizon Commercial</v>
      </c>
      <c r="W2775" s="1" t="str">
        <f t="shared" si="175"/>
        <v>2026-03</v>
      </c>
    </row>
    <row r="2776" spans="1:23">
      <c r="A2776" s="1" t="s">
        <v>4748</v>
      </c>
      <c r="B2776" s="1" t="s">
        <v>4749</v>
      </c>
      <c r="C2776" s="1" t="s">
        <v>60</v>
      </c>
      <c r="D2776" s="1" t="s">
        <v>19</v>
      </c>
      <c r="E2776" s="1" t="s">
        <v>41</v>
      </c>
      <c r="F2776">
        <v>1</v>
      </c>
      <c r="G2776" s="2">
        <v>46045</v>
      </c>
      <c r="H2776" s="2">
        <v>46047</v>
      </c>
      <c r="I2776">
        <v>38.04</v>
      </c>
      <c r="M2776" s="1" t="s">
        <v>32</v>
      </c>
      <c r="N2776" s="1" t="s">
        <v>281</v>
      </c>
      <c r="O2776" s="2">
        <v>46066</v>
      </c>
      <c r="P2776" s="2"/>
      <c r="Q2776">
        <f>_xlfn.XLOOKUP(E2776,CPT!$A$2:$A$13,CPT!$D$2:$D$13)</f>
        <v>38</v>
      </c>
      <c r="R2776" s="1">
        <f>_xlfn.XLOOKUP(C2776,Contract!$A$2:$A$9,Contract!$B$2:$B$9)</f>
        <v>0.45</v>
      </c>
      <c r="S2776" s="1">
        <f t="shared" si="172"/>
        <v>17.100000000000001</v>
      </c>
      <c r="T2776" s="1" t="str">
        <f t="shared" si="173"/>
        <v/>
      </c>
      <c r="U2776" s="1" t="str">
        <f t="shared" si="174"/>
        <v/>
      </c>
      <c r="V2776" s="1" t="str">
        <f>_xlfn.XLOOKUP(C2776,Payers!$A$2:$A$9,Payers!$B$2:$B$9)</f>
        <v>Blue Horizon Commercial</v>
      </c>
      <c r="W2776" s="1" t="str">
        <f t="shared" si="175"/>
        <v>2026-01</v>
      </c>
    </row>
    <row r="2777" spans="1:23">
      <c r="A2777" s="1" t="s">
        <v>4750</v>
      </c>
      <c r="B2777" s="1" t="s">
        <v>2323</v>
      </c>
      <c r="C2777" s="1" t="s">
        <v>60</v>
      </c>
      <c r="D2777" s="1" t="s">
        <v>26</v>
      </c>
      <c r="E2777" s="1" t="s">
        <v>88</v>
      </c>
      <c r="F2777">
        <v>1</v>
      </c>
      <c r="G2777" s="2">
        <v>46081</v>
      </c>
      <c r="H2777" s="2">
        <v>46089</v>
      </c>
      <c r="I2777">
        <v>264.85000000000002</v>
      </c>
      <c r="M2777" s="1" t="s">
        <v>32</v>
      </c>
      <c r="N2777" s="1" t="s">
        <v>98</v>
      </c>
      <c r="O2777" s="2">
        <v>46130</v>
      </c>
      <c r="P2777" s="2"/>
      <c r="Q2777">
        <f>_xlfn.XLOOKUP(E2777,CPT!$A$2:$A$13,CPT!$D$2:$D$13)</f>
        <v>260</v>
      </c>
      <c r="R2777" s="1">
        <f>_xlfn.XLOOKUP(C2777,Contract!$A$2:$A$9,Contract!$B$2:$B$9)</f>
        <v>0.45</v>
      </c>
      <c r="S2777" s="1">
        <f t="shared" si="172"/>
        <v>117</v>
      </c>
      <c r="T2777" s="1" t="str">
        <f t="shared" si="173"/>
        <v/>
      </c>
      <c r="U2777" s="1" t="str">
        <f t="shared" si="174"/>
        <v/>
      </c>
      <c r="V2777" s="1" t="str">
        <f>_xlfn.XLOOKUP(C2777,Payers!$A$2:$A$9,Payers!$B$2:$B$9)</f>
        <v>Blue Horizon Commercial</v>
      </c>
      <c r="W2777" s="1" t="str">
        <f t="shared" si="175"/>
        <v>2026-02</v>
      </c>
    </row>
    <row r="2778" spans="1:23">
      <c r="A2778" s="1" t="s">
        <v>4751</v>
      </c>
      <c r="B2778" s="1" t="s">
        <v>4752</v>
      </c>
      <c r="C2778" s="1" t="s">
        <v>47</v>
      </c>
      <c r="D2778" s="1" t="s">
        <v>19</v>
      </c>
      <c r="E2778" s="1" t="s">
        <v>57</v>
      </c>
      <c r="F2778">
        <v>1</v>
      </c>
      <c r="G2778" s="2">
        <v>46251</v>
      </c>
      <c r="H2778" s="2">
        <v>46253</v>
      </c>
      <c r="I2778">
        <v>213.58</v>
      </c>
      <c r="J2778">
        <v>56.55</v>
      </c>
      <c r="K2778">
        <v>56.55</v>
      </c>
      <c r="L2778">
        <v>0</v>
      </c>
      <c r="M2778" s="1" t="s">
        <v>21</v>
      </c>
      <c r="N2778" s="1" t="s">
        <v>22</v>
      </c>
      <c r="O2778" s="2">
        <v>46289</v>
      </c>
      <c r="P2778" s="2">
        <v>46289</v>
      </c>
      <c r="Q2778">
        <f>_xlfn.XLOOKUP(E2778,CPT!$A$2:$A$13,CPT!$D$2:$D$13)</f>
        <v>210</v>
      </c>
      <c r="R2778" s="1">
        <f>_xlfn.XLOOKUP(C2778,Contract!$A$2:$A$9,Contract!$B$2:$B$9)</f>
        <v>0.28000000000000003</v>
      </c>
      <c r="S2778" s="1">
        <f t="shared" si="172"/>
        <v>58.8</v>
      </c>
      <c r="T2778" s="1">
        <f t="shared" si="173"/>
        <v>2.25</v>
      </c>
      <c r="U2778" s="1" t="str">
        <f t="shared" si="174"/>
        <v>OK</v>
      </c>
      <c r="V2778" s="1" t="str">
        <f>_xlfn.XLOOKUP(C2778,Payers!$A$2:$A$9,Payers!$B$2:$B$9)</f>
        <v>Coastal Medicaid MCO</v>
      </c>
      <c r="W2778" s="1" t="str">
        <f t="shared" si="175"/>
        <v>2026-08</v>
      </c>
    </row>
    <row r="2779" spans="1:23">
      <c r="A2779" s="1" t="s">
        <v>4753</v>
      </c>
      <c r="B2779" s="1" t="s">
        <v>507</v>
      </c>
      <c r="C2779" s="1" t="s">
        <v>25</v>
      </c>
      <c r="D2779" s="1" t="s">
        <v>30</v>
      </c>
      <c r="E2779" s="1" t="s">
        <v>91</v>
      </c>
      <c r="F2779">
        <v>3</v>
      </c>
      <c r="G2779" s="2">
        <v>45972</v>
      </c>
      <c r="H2779" s="2">
        <v>46067</v>
      </c>
      <c r="I2779">
        <v>173.3</v>
      </c>
      <c r="M2779" s="1" t="s">
        <v>32</v>
      </c>
      <c r="N2779" s="1" t="s">
        <v>137</v>
      </c>
      <c r="O2779" s="2">
        <v>46081</v>
      </c>
      <c r="P2779" s="2"/>
      <c r="Q2779">
        <f>_xlfn.XLOOKUP(E2779,CPT!$A$2:$A$13,CPT!$D$2:$D$13)</f>
        <v>58</v>
      </c>
      <c r="R2779" s="1">
        <f>_xlfn.XLOOKUP(C2779,Contract!$A$2:$A$9,Contract!$B$2:$B$9)</f>
        <v>0.36</v>
      </c>
      <c r="S2779" s="1">
        <f t="shared" si="172"/>
        <v>62.64</v>
      </c>
      <c r="T2779" s="1" t="str">
        <f t="shared" si="173"/>
        <v/>
      </c>
      <c r="U2779" s="1" t="str">
        <f t="shared" si="174"/>
        <v/>
      </c>
      <c r="V2779" s="1" t="str">
        <f>_xlfn.XLOOKUP(C2779,Payers!$A$2:$A$9,Payers!$B$2:$B$9)</f>
        <v>Medicare Part B</v>
      </c>
      <c r="W2779" s="1" t="str">
        <f t="shared" si="175"/>
        <v>2025-11</v>
      </c>
    </row>
    <row r="2780" spans="1:23">
      <c r="A2780" s="1" t="s">
        <v>4754</v>
      </c>
      <c r="B2780" s="1" t="s">
        <v>4755</v>
      </c>
      <c r="C2780" s="1" t="s">
        <v>60</v>
      </c>
      <c r="D2780" s="1" t="s">
        <v>19</v>
      </c>
      <c r="E2780" s="1" t="s">
        <v>88</v>
      </c>
      <c r="F2780">
        <v>1</v>
      </c>
      <c r="G2780" s="2">
        <v>46290</v>
      </c>
      <c r="H2780" s="2">
        <v>46293</v>
      </c>
      <c r="I2780">
        <v>253.78</v>
      </c>
      <c r="M2780" s="1" t="s">
        <v>69</v>
      </c>
      <c r="N2780" s="1" t="s">
        <v>22</v>
      </c>
      <c r="O2780" s="2"/>
      <c r="P2780" s="2"/>
      <c r="Q2780">
        <f>_xlfn.XLOOKUP(E2780,CPT!$A$2:$A$13,CPT!$D$2:$D$13)</f>
        <v>260</v>
      </c>
      <c r="R2780" s="1">
        <f>_xlfn.XLOOKUP(C2780,Contract!$A$2:$A$9,Contract!$B$2:$B$9)</f>
        <v>0.45</v>
      </c>
      <c r="S2780" s="1">
        <f t="shared" si="172"/>
        <v>117</v>
      </c>
      <c r="T2780" s="1" t="str">
        <f t="shared" si="173"/>
        <v/>
      </c>
      <c r="U2780" s="1" t="str">
        <f t="shared" si="174"/>
        <v/>
      </c>
      <c r="V2780" s="1" t="str">
        <f>_xlfn.XLOOKUP(C2780,Payers!$A$2:$A$9,Payers!$B$2:$B$9)</f>
        <v>Blue Horizon Commercial</v>
      </c>
      <c r="W2780" s="1" t="str">
        <f t="shared" si="175"/>
        <v>2026-09</v>
      </c>
    </row>
    <row r="2781" spans="1:23">
      <c r="A2781" s="1" t="s">
        <v>4756</v>
      </c>
      <c r="B2781" s="1" t="s">
        <v>3157</v>
      </c>
      <c r="C2781" s="1" t="s">
        <v>76</v>
      </c>
      <c r="D2781" s="1" t="s">
        <v>26</v>
      </c>
      <c r="E2781" s="1" t="s">
        <v>27</v>
      </c>
      <c r="F2781">
        <v>1</v>
      </c>
      <c r="G2781" s="2">
        <v>46000</v>
      </c>
      <c r="H2781" s="2">
        <v>46009</v>
      </c>
      <c r="I2781">
        <v>233.41</v>
      </c>
      <c r="J2781">
        <v>109.36</v>
      </c>
      <c r="K2781">
        <v>109.36</v>
      </c>
      <c r="L2781">
        <v>0</v>
      </c>
      <c r="M2781" s="1" t="s">
        <v>21</v>
      </c>
      <c r="N2781" s="1" t="s">
        <v>22</v>
      </c>
      <c r="O2781" s="2">
        <v>46046</v>
      </c>
      <c r="P2781" s="2">
        <v>46046</v>
      </c>
      <c r="Q2781">
        <f>_xlfn.XLOOKUP(E2781,CPT!$A$2:$A$13,CPT!$D$2:$D$13)</f>
        <v>240</v>
      </c>
      <c r="R2781" s="1">
        <f>_xlfn.XLOOKUP(C2781,Contract!$A$2:$A$9,Contract!$B$2:$B$9)</f>
        <v>0.43</v>
      </c>
      <c r="S2781" s="1">
        <f t="shared" si="172"/>
        <v>103.2</v>
      </c>
      <c r="T2781" s="1">
        <f t="shared" si="173"/>
        <v>-6.1599999999999966</v>
      </c>
      <c r="U2781" s="1" t="str">
        <f t="shared" si="174"/>
        <v>OK</v>
      </c>
      <c r="V2781" s="1" t="str">
        <f>_xlfn.XLOOKUP(C2781,Payers!$A$2:$A$9,Payers!$B$2:$B$9)</f>
        <v>Summit Health Commercial</v>
      </c>
      <c r="W2781" s="1" t="str">
        <f t="shared" si="175"/>
        <v>2025-12</v>
      </c>
    </row>
    <row r="2782" spans="1:23">
      <c r="A2782" s="1" t="s">
        <v>4757</v>
      </c>
      <c r="B2782" s="1" t="s">
        <v>1858</v>
      </c>
      <c r="C2782" s="1" t="s">
        <v>60</v>
      </c>
      <c r="D2782" s="1" t="s">
        <v>26</v>
      </c>
      <c r="E2782" s="1" t="s">
        <v>44</v>
      </c>
      <c r="F2782">
        <v>1</v>
      </c>
      <c r="G2782" s="2">
        <v>46277</v>
      </c>
      <c r="H2782" s="2">
        <v>46288</v>
      </c>
      <c r="I2782">
        <v>4677.04</v>
      </c>
      <c r="M2782" s="1" t="s">
        <v>69</v>
      </c>
      <c r="N2782" s="1" t="s">
        <v>22</v>
      </c>
      <c r="O2782" s="2"/>
      <c r="P2782" s="2"/>
      <c r="Q2782">
        <f>_xlfn.XLOOKUP(E2782,CPT!$A$2:$A$13,CPT!$D$2:$D$13)</f>
        <v>4800</v>
      </c>
      <c r="R2782" s="1">
        <f>_xlfn.XLOOKUP(C2782,Contract!$A$2:$A$9,Contract!$B$2:$B$9)</f>
        <v>0.45</v>
      </c>
      <c r="S2782" s="1">
        <f t="shared" si="172"/>
        <v>2160</v>
      </c>
      <c r="T2782" s="1" t="str">
        <f t="shared" si="173"/>
        <v/>
      </c>
      <c r="U2782" s="1" t="str">
        <f t="shared" si="174"/>
        <v/>
      </c>
      <c r="V2782" s="1" t="str">
        <f>_xlfn.XLOOKUP(C2782,Payers!$A$2:$A$9,Payers!$B$2:$B$9)</f>
        <v>Blue Horizon Commercial</v>
      </c>
      <c r="W2782" s="1" t="str">
        <f t="shared" si="175"/>
        <v>2026-09</v>
      </c>
    </row>
    <row r="2783" spans="1:23">
      <c r="A2783" s="1" t="s">
        <v>4758</v>
      </c>
      <c r="B2783" s="1" t="s">
        <v>4759</v>
      </c>
      <c r="C2783" s="1" t="s">
        <v>76</v>
      </c>
      <c r="D2783" s="1" t="s">
        <v>26</v>
      </c>
      <c r="E2783" s="1" t="s">
        <v>88</v>
      </c>
      <c r="F2783">
        <v>1</v>
      </c>
      <c r="G2783" s="2">
        <v>45985</v>
      </c>
      <c r="H2783" s="2">
        <v>45996</v>
      </c>
      <c r="I2783">
        <v>253.27</v>
      </c>
      <c r="J2783">
        <v>97.54</v>
      </c>
      <c r="K2783">
        <v>78.03</v>
      </c>
      <c r="L2783">
        <v>19.510000000000002</v>
      </c>
      <c r="M2783" s="1" t="s">
        <v>21</v>
      </c>
      <c r="N2783" s="1" t="s">
        <v>22</v>
      </c>
      <c r="O2783" s="2">
        <v>46032</v>
      </c>
      <c r="P2783" s="2">
        <v>46032</v>
      </c>
      <c r="Q2783">
        <f>_xlfn.XLOOKUP(E2783,CPT!$A$2:$A$13,CPT!$D$2:$D$13)</f>
        <v>260</v>
      </c>
      <c r="R2783" s="1">
        <f>_xlfn.XLOOKUP(C2783,Contract!$A$2:$A$9,Contract!$B$2:$B$9)</f>
        <v>0.43</v>
      </c>
      <c r="S2783" s="1">
        <f t="shared" si="172"/>
        <v>111.8</v>
      </c>
      <c r="T2783" s="1">
        <f t="shared" si="173"/>
        <v>14.259999999999991</v>
      </c>
      <c r="U2783" s="1" t="str">
        <f t="shared" si="174"/>
        <v>Underpaid</v>
      </c>
      <c r="V2783" s="1" t="str">
        <f>_xlfn.XLOOKUP(C2783,Payers!$A$2:$A$9,Payers!$B$2:$B$9)</f>
        <v>Summit Health Commercial</v>
      </c>
      <c r="W2783" s="1" t="str">
        <f t="shared" si="175"/>
        <v>2025-11</v>
      </c>
    </row>
    <row r="2784" spans="1:23">
      <c r="A2784" s="1" t="s">
        <v>4760</v>
      </c>
      <c r="B2784" s="1" t="s">
        <v>291</v>
      </c>
      <c r="C2784" s="1" t="s">
        <v>18</v>
      </c>
      <c r="D2784" s="1" t="s">
        <v>30</v>
      </c>
      <c r="E2784" s="1" t="s">
        <v>31</v>
      </c>
      <c r="F2784">
        <v>1</v>
      </c>
      <c r="G2784" s="2">
        <v>46263</v>
      </c>
      <c r="H2784" s="2">
        <v>46284</v>
      </c>
      <c r="I2784">
        <v>63.55</v>
      </c>
      <c r="M2784" s="1" t="s">
        <v>69</v>
      </c>
      <c r="N2784" s="1" t="s">
        <v>22</v>
      </c>
      <c r="O2784" s="2"/>
      <c r="P2784" s="2"/>
      <c r="Q2784">
        <f>_xlfn.XLOOKUP(E2784,CPT!$A$2:$A$13,CPT!$D$2:$D$13)</f>
        <v>62</v>
      </c>
      <c r="R2784" s="1">
        <f>_xlfn.XLOOKUP(C2784,Contract!$A$2:$A$9,Contract!$B$2:$B$9)</f>
        <v>0.38</v>
      </c>
      <c r="S2784" s="1">
        <f t="shared" si="172"/>
        <v>23.56</v>
      </c>
      <c r="T2784" s="1" t="str">
        <f t="shared" si="173"/>
        <v/>
      </c>
      <c r="U2784" s="1" t="str">
        <f t="shared" si="174"/>
        <v/>
      </c>
      <c r="V2784" s="1" t="str">
        <f>_xlfn.XLOOKUP(C2784,Payers!$A$2:$A$9,Payers!$B$2:$B$9)</f>
        <v>Sunshine Medicare Advantage</v>
      </c>
      <c r="W2784" s="1" t="str">
        <f t="shared" si="175"/>
        <v>2026-08</v>
      </c>
    </row>
    <row r="2785" spans="1:23">
      <c r="A2785" s="1" t="s">
        <v>4761</v>
      </c>
      <c r="B2785" s="1" t="s">
        <v>4762</v>
      </c>
      <c r="C2785" s="1" t="s">
        <v>25</v>
      </c>
      <c r="D2785" s="1" t="s">
        <v>26</v>
      </c>
      <c r="E2785" s="1" t="s">
        <v>88</v>
      </c>
      <c r="F2785">
        <v>1</v>
      </c>
      <c r="G2785" s="2">
        <v>45955</v>
      </c>
      <c r="H2785" s="2">
        <v>45956</v>
      </c>
      <c r="I2785">
        <v>265.17</v>
      </c>
      <c r="J2785">
        <v>84.22</v>
      </c>
      <c r="K2785">
        <v>84.22</v>
      </c>
      <c r="L2785">
        <v>0</v>
      </c>
      <c r="M2785" s="1" t="s">
        <v>21</v>
      </c>
      <c r="N2785" s="1" t="s">
        <v>22</v>
      </c>
      <c r="O2785" s="2">
        <v>45976</v>
      </c>
      <c r="P2785" s="2">
        <v>45976</v>
      </c>
      <c r="Q2785">
        <f>_xlfn.XLOOKUP(E2785,CPT!$A$2:$A$13,CPT!$D$2:$D$13)</f>
        <v>260</v>
      </c>
      <c r="R2785" s="1">
        <f>_xlfn.XLOOKUP(C2785,Contract!$A$2:$A$9,Contract!$B$2:$B$9)</f>
        <v>0.36</v>
      </c>
      <c r="S2785" s="1">
        <f t="shared" si="172"/>
        <v>93.6</v>
      </c>
      <c r="T2785" s="1">
        <f t="shared" si="173"/>
        <v>9.3799999999999955</v>
      </c>
      <c r="U2785" s="1" t="str">
        <f t="shared" si="174"/>
        <v>Underpaid</v>
      </c>
      <c r="V2785" s="1" t="str">
        <f>_xlfn.XLOOKUP(C2785,Payers!$A$2:$A$9,Payers!$B$2:$B$9)</f>
        <v>Medicare Part B</v>
      </c>
      <c r="W2785" s="1" t="str">
        <f t="shared" si="175"/>
        <v>2025-10</v>
      </c>
    </row>
    <row r="2786" spans="1:23">
      <c r="A2786" s="1" t="s">
        <v>4763</v>
      </c>
      <c r="B2786" s="1" t="s">
        <v>4764</v>
      </c>
      <c r="C2786" s="1" t="s">
        <v>47</v>
      </c>
      <c r="D2786" s="1" t="s">
        <v>37</v>
      </c>
      <c r="E2786" s="1" t="s">
        <v>38</v>
      </c>
      <c r="F2786">
        <v>10</v>
      </c>
      <c r="G2786" s="2">
        <v>46245</v>
      </c>
      <c r="H2786" s="2">
        <v>46246</v>
      </c>
      <c r="I2786">
        <v>14235.23</v>
      </c>
      <c r="M2786" s="1" t="s">
        <v>32</v>
      </c>
      <c r="N2786" s="1" t="s">
        <v>168</v>
      </c>
      <c r="O2786" s="2">
        <v>46277</v>
      </c>
      <c r="P2786" s="2"/>
      <c r="Q2786">
        <f>_xlfn.XLOOKUP(E2786,CPT!$A$2:$A$13,CPT!$D$2:$D$13)</f>
        <v>1450</v>
      </c>
      <c r="R2786" s="1">
        <f>_xlfn.XLOOKUP(C2786,Contract!$A$2:$A$9,Contract!$B$2:$B$9)</f>
        <v>0.28000000000000003</v>
      </c>
      <c r="S2786" s="1">
        <f t="shared" si="172"/>
        <v>4060</v>
      </c>
      <c r="T2786" s="1" t="str">
        <f t="shared" si="173"/>
        <v/>
      </c>
      <c r="U2786" s="1" t="str">
        <f t="shared" si="174"/>
        <v/>
      </c>
      <c r="V2786" s="1" t="str">
        <f>_xlfn.XLOOKUP(C2786,Payers!$A$2:$A$9,Payers!$B$2:$B$9)</f>
        <v>Coastal Medicaid MCO</v>
      </c>
      <c r="W2786" s="1" t="str">
        <f t="shared" si="175"/>
        <v>2026-08</v>
      </c>
    </row>
    <row r="2787" spans="1:23">
      <c r="A2787" s="1" t="s">
        <v>4765</v>
      </c>
      <c r="B2787" s="1" t="s">
        <v>4766</v>
      </c>
      <c r="C2787" s="1" t="s">
        <v>36</v>
      </c>
      <c r="D2787" s="1" t="s">
        <v>26</v>
      </c>
      <c r="E2787" s="1" t="s">
        <v>185</v>
      </c>
      <c r="F2787">
        <v>1</v>
      </c>
      <c r="G2787" s="2">
        <v>46105</v>
      </c>
      <c r="H2787" s="2">
        <v>46109</v>
      </c>
      <c r="I2787">
        <v>1156.9000000000001</v>
      </c>
      <c r="J2787">
        <v>331.91</v>
      </c>
      <c r="K2787">
        <v>331.91</v>
      </c>
      <c r="L2787">
        <v>0</v>
      </c>
      <c r="M2787" s="1" t="s">
        <v>21</v>
      </c>
      <c r="N2787" s="1" t="s">
        <v>22</v>
      </c>
      <c r="O2787" s="2">
        <v>46149</v>
      </c>
      <c r="P2787" s="2">
        <v>46149</v>
      </c>
      <c r="Q2787">
        <f>_xlfn.XLOOKUP(E2787,CPT!$A$2:$A$13,CPT!$D$2:$D$13)</f>
        <v>1150</v>
      </c>
      <c r="R2787" s="1">
        <f>_xlfn.XLOOKUP(C2787,Contract!$A$2:$A$9,Contract!$B$2:$B$9)</f>
        <v>0.27</v>
      </c>
      <c r="S2787" s="1">
        <f t="shared" si="172"/>
        <v>310.5</v>
      </c>
      <c r="T2787" s="1">
        <f t="shared" si="173"/>
        <v>-21.410000000000025</v>
      </c>
      <c r="U2787" s="1" t="str">
        <f t="shared" si="174"/>
        <v>OK</v>
      </c>
      <c r="V2787" s="1" t="str">
        <f>_xlfn.XLOOKUP(C2787,Payers!$A$2:$A$9,Payers!$B$2:$B$9)</f>
        <v>Florida Medicaid</v>
      </c>
      <c r="W2787" s="1" t="str">
        <f t="shared" si="175"/>
        <v>2026-03</v>
      </c>
    </row>
    <row r="2788" spans="1:23">
      <c r="A2788" s="1" t="s">
        <v>4767</v>
      </c>
      <c r="B2788" s="1" t="s">
        <v>3396</v>
      </c>
      <c r="C2788" s="1" t="s">
        <v>18</v>
      </c>
      <c r="D2788" s="1" t="s">
        <v>26</v>
      </c>
      <c r="E2788" s="1" t="s">
        <v>27</v>
      </c>
      <c r="F2788">
        <v>1</v>
      </c>
      <c r="G2788" s="2">
        <v>46255</v>
      </c>
      <c r="H2788" s="2">
        <v>46261</v>
      </c>
      <c r="I2788">
        <v>234.35</v>
      </c>
      <c r="M2788" s="1" t="s">
        <v>69</v>
      </c>
      <c r="N2788" s="1" t="s">
        <v>22</v>
      </c>
      <c r="O2788" s="2"/>
      <c r="P2788" s="2"/>
      <c r="Q2788">
        <f>_xlfn.XLOOKUP(E2788,CPT!$A$2:$A$13,CPT!$D$2:$D$13)</f>
        <v>240</v>
      </c>
      <c r="R2788" s="1">
        <f>_xlfn.XLOOKUP(C2788,Contract!$A$2:$A$9,Contract!$B$2:$B$9)</f>
        <v>0.38</v>
      </c>
      <c r="S2788" s="1">
        <f t="shared" si="172"/>
        <v>91.2</v>
      </c>
      <c r="T2788" s="1" t="str">
        <f t="shared" si="173"/>
        <v/>
      </c>
      <c r="U2788" s="1" t="str">
        <f t="shared" si="174"/>
        <v/>
      </c>
      <c r="V2788" s="1" t="str">
        <f>_xlfn.XLOOKUP(C2788,Payers!$A$2:$A$9,Payers!$B$2:$B$9)</f>
        <v>Sunshine Medicare Advantage</v>
      </c>
      <c r="W2788" s="1" t="str">
        <f t="shared" si="175"/>
        <v>2026-08</v>
      </c>
    </row>
    <row r="2789" spans="1:23">
      <c r="A2789" s="1" t="s">
        <v>4768</v>
      </c>
      <c r="B2789" s="1" t="s">
        <v>4769</v>
      </c>
      <c r="C2789" s="1" t="s">
        <v>18</v>
      </c>
      <c r="D2789" s="1" t="s">
        <v>26</v>
      </c>
      <c r="E2789" s="1" t="s">
        <v>57</v>
      </c>
      <c r="F2789">
        <v>1</v>
      </c>
      <c r="G2789" s="2">
        <v>46042</v>
      </c>
      <c r="H2789" s="2">
        <v>46043</v>
      </c>
      <c r="I2789">
        <v>213.69</v>
      </c>
      <c r="M2789" s="1" t="s">
        <v>32</v>
      </c>
      <c r="N2789" s="1" t="s">
        <v>168</v>
      </c>
      <c r="O2789" s="2">
        <v>46098</v>
      </c>
      <c r="P2789" s="2"/>
      <c r="Q2789">
        <f>_xlfn.XLOOKUP(E2789,CPT!$A$2:$A$13,CPT!$D$2:$D$13)</f>
        <v>210</v>
      </c>
      <c r="R2789" s="1">
        <f>_xlfn.XLOOKUP(C2789,Contract!$A$2:$A$9,Contract!$B$2:$B$9)</f>
        <v>0.38</v>
      </c>
      <c r="S2789" s="1">
        <f t="shared" si="172"/>
        <v>79.8</v>
      </c>
      <c r="T2789" s="1" t="str">
        <f t="shared" si="173"/>
        <v/>
      </c>
      <c r="U2789" s="1" t="str">
        <f t="shared" si="174"/>
        <v/>
      </c>
      <c r="V2789" s="1" t="str">
        <f>_xlfn.XLOOKUP(C2789,Payers!$A$2:$A$9,Payers!$B$2:$B$9)</f>
        <v>Sunshine Medicare Advantage</v>
      </c>
      <c r="W2789" s="1" t="str">
        <f t="shared" si="175"/>
        <v>2026-01</v>
      </c>
    </row>
    <row r="2790" spans="1:23">
      <c r="A2790" s="1" t="s">
        <v>4770</v>
      </c>
      <c r="B2790" s="1" t="s">
        <v>221</v>
      </c>
      <c r="C2790" s="1" t="s">
        <v>76</v>
      </c>
      <c r="D2790" s="1" t="s">
        <v>37</v>
      </c>
      <c r="E2790" s="1" t="s">
        <v>48</v>
      </c>
      <c r="F2790">
        <v>1</v>
      </c>
      <c r="G2790" s="2">
        <v>46139</v>
      </c>
      <c r="H2790" s="2">
        <v>46148</v>
      </c>
      <c r="I2790">
        <v>428.56</v>
      </c>
      <c r="J2790">
        <v>194.14</v>
      </c>
      <c r="K2790">
        <v>194.14</v>
      </c>
      <c r="L2790">
        <v>0</v>
      </c>
      <c r="M2790" s="1" t="s">
        <v>21</v>
      </c>
      <c r="N2790" s="1" t="s">
        <v>22</v>
      </c>
      <c r="O2790" s="2">
        <v>46175</v>
      </c>
      <c r="P2790" s="2">
        <v>46175</v>
      </c>
      <c r="Q2790">
        <f>_xlfn.XLOOKUP(E2790,CPT!$A$2:$A$13,CPT!$D$2:$D$13)</f>
        <v>420</v>
      </c>
      <c r="R2790" s="1">
        <f>_xlfn.XLOOKUP(C2790,Contract!$A$2:$A$9,Contract!$B$2:$B$9)</f>
        <v>0.43</v>
      </c>
      <c r="S2790" s="1">
        <f t="shared" si="172"/>
        <v>180.6</v>
      </c>
      <c r="T2790" s="1">
        <f t="shared" si="173"/>
        <v>-13.539999999999992</v>
      </c>
      <c r="U2790" s="1" t="str">
        <f t="shared" si="174"/>
        <v>OK</v>
      </c>
      <c r="V2790" s="1" t="str">
        <f>_xlfn.XLOOKUP(C2790,Payers!$A$2:$A$9,Payers!$B$2:$B$9)</f>
        <v>Summit Health Commercial</v>
      </c>
      <c r="W2790" s="1" t="str">
        <f t="shared" si="175"/>
        <v>2026-04</v>
      </c>
    </row>
    <row r="2791" spans="1:23">
      <c r="A2791" s="1" t="s">
        <v>4771</v>
      </c>
      <c r="B2791" s="1" t="s">
        <v>3527</v>
      </c>
      <c r="C2791" s="1" t="s">
        <v>76</v>
      </c>
      <c r="D2791" s="1" t="s">
        <v>37</v>
      </c>
      <c r="E2791" s="1" t="s">
        <v>38</v>
      </c>
      <c r="F2791">
        <v>20</v>
      </c>
      <c r="G2791" s="2">
        <v>46219</v>
      </c>
      <c r="H2791" s="2">
        <v>46223</v>
      </c>
      <c r="I2791">
        <v>28588.69</v>
      </c>
      <c r="J2791">
        <v>13439.26</v>
      </c>
      <c r="K2791">
        <v>13439.26</v>
      </c>
      <c r="L2791">
        <v>0</v>
      </c>
      <c r="M2791" s="1" t="s">
        <v>21</v>
      </c>
      <c r="N2791" s="1" t="s">
        <v>22</v>
      </c>
      <c r="O2791" s="2">
        <v>46255</v>
      </c>
      <c r="P2791" s="2">
        <v>46255</v>
      </c>
      <c r="Q2791">
        <f>_xlfn.XLOOKUP(E2791,CPT!$A$2:$A$13,CPT!$D$2:$D$13)</f>
        <v>1450</v>
      </c>
      <c r="R2791" s="1">
        <f>_xlfn.XLOOKUP(C2791,Contract!$A$2:$A$9,Contract!$B$2:$B$9)</f>
        <v>0.43</v>
      </c>
      <c r="S2791" s="1">
        <f t="shared" si="172"/>
        <v>12470</v>
      </c>
      <c r="T2791" s="1">
        <f t="shared" si="173"/>
        <v>-969.26000000000022</v>
      </c>
      <c r="U2791" s="1" t="str">
        <f t="shared" si="174"/>
        <v>OK</v>
      </c>
      <c r="V2791" s="1" t="str">
        <f>_xlfn.XLOOKUP(C2791,Payers!$A$2:$A$9,Payers!$B$2:$B$9)</f>
        <v>Summit Health Commercial</v>
      </c>
      <c r="W2791" s="1" t="str">
        <f t="shared" si="175"/>
        <v>2026-07</v>
      </c>
    </row>
    <row r="2792" spans="1:23">
      <c r="A2792" s="1" t="s">
        <v>4772</v>
      </c>
      <c r="B2792" s="1" t="s">
        <v>4691</v>
      </c>
      <c r="C2792" s="1" t="s">
        <v>76</v>
      </c>
      <c r="D2792" s="1" t="s">
        <v>37</v>
      </c>
      <c r="E2792" s="1" t="s">
        <v>57</v>
      </c>
      <c r="F2792">
        <v>1</v>
      </c>
      <c r="G2792" s="2">
        <v>46187</v>
      </c>
      <c r="H2792" s="2">
        <v>46195</v>
      </c>
      <c r="I2792">
        <v>204.14</v>
      </c>
      <c r="J2792">
        <v>86.1</v>
      </c>
      <c r="K2792">
        <v>86.1</v>
      </c>
      <c r="L2792">
        <v>0</v>
      </c>
      <c r="M2792" s="1" t="s">
        <v>21</v>
      </c>
      <c r="N2792" s="1" t="s">
        <v>22</v>
      </c>
      <c r="O2792" s="2">
        <v>46221</v>
      </c>
      <c r="P2792" s="2">
        <v>46221</v>
      </c>
      <c r="Q2792">
        <f>_xlfn.XLOOKUP(E2792,CPT!$A$2:$A$13,CPT!$D$2:$D$13)</f>
        <v>210</v>
      </c>
      <c r="R2792" s="1">
        <f>_xlfn.XLOOKUP(C2792,Contract!$A$2:$A$9,Contract!$B$2:$B$9)</f>
        <v>0.43</v>
      </c>
      <c r="S2792" s="1">
        <f t="shared" si="172"/>
        <v>90.3</v>
      </c>
      <c r="T2792" s="1">
        <f t="shared" si="173"/>
        <v>4.2000000000000028</v>
      </c>
      <c r="U2792" s="1" t="str">
        <f t="shared" si="174"/>
        <v>OK</v>
      </c>
      <c r="V2792" s="1" t="str">
        <f>_xlfn.XLOOKUP(C2792,Payers!$A$2:$A$9,Payers!$B$2:$B$9)</f>
        <v>Summit Health Commercial</v>
      </c>
      <c r="W2792" s="1" t="str">
        <f t="shared" si="175"/>
        <v>2026-06</v>
      </c>
    </row>
    <row r="2793" spans="1:23">
      <c r="A2793" s="1" t="s">
        <v>4773</v>
      </c>
      <c r="B2793" s="1" t="s">
        <v>4774</v>
      </c>
      <c r="C2793" s="1" t="s">
        <v>25</v>
      </c>
      <c r="D2793" s="1" t="s">
        <v>19</v>
      </c>
      <c r="E2793" s="1" t="s">
        <v>88</v>
      </c>
      <c r="F2793">
        <v>1</v>
      </c>
      <c r="G2793" s="2">
        <v>45951</v>
      </c>
      <c r="H2793" s="2">
        <v>45952</v>
      </c>
      <c r="I2793">
        <v>259.8</v>
      </c>
      <c r="J2793">
        <v>81.25</v>
      </c>
      <c r="K2793">
        <v>81.25</v>
      </c>
      <c r="L2793">
        <v>0</v>
      </c>
      <c r="M2793" s="1" t="s">
        <v>21</v>
      </c>
      <c r="N2793" s="1" t="s">
        <v>22</v>
      </c>
      <c r="O2793" s="2">
        <v>45974</v>
      </c>
      <c r="P2793" s="2">
        <v>45974</v>
      </c>
      <c r="Q2793">
        <f>_xlfn.XLOOKUP(E2793,CPT!$A$2:$A$13,CPT!$D$2:$D$13)</f>
        <v>260</v>
      </c>
      <c r="R2793" s="1">
        <f>_xlfn.XLOOKUP(C2793,Contract!$A$2:$A$9,Contract!$B$2:$B$9)</f>
        <v>0.36</v>
      </c>
      <c r="S2793" s="1">
        <f t="shared" si="172"/>
        <v>93.6</v>
      </c>
      <c r="T2793" s="1">
        <f t="shared" si="173"/>
        <v>12.349999999999994</v>
      </c>
      <c r="U2793" s="1" t="str">
        <f t="shared" si="174"/>
        <v>Underpaid</v>
      </c>
      <c r="V2793" s="1" t="str">
        <f>_xlfn.XLOOKUP(C2793,Payers!$A$2:$A$9,Payers!$B$2:$B$9)</f>
        <v>Medicare Part B</v>
      </c>
      <c r="W2793" s="1" t="str">
        <f t="shared" si="175"/>
        <v>2025-10</v>
      </c>
    </row>
    <row r="2794" spans="1:23">
      <c r="A2794" s="1" t="s">
        <v>4775</v>
      </c>
      <c r="B2794" s="1" t="s">
        <v>2216</v>
      </c>
      <c r="C2794" s="1" t="s">
        <v>76</v>
      </c>
      <c r="D2794" s="1" t="s">
        <v>19</v>
      </c>
      <c r="E2794" s="1" t="s">
        <v>20</v>
      </c>
      <c r="F2794">
        <v>1</v>
      </c>
      <c r="G2794" s="2">
        <v>46114</v>
      </c>
      <c r="H2794" s="2">
        <v>46122</v>
      </c>
      <c r="I2794">
        <v>144.6</v>
      </c>
      <c r="J2794">
        <v>69.66</v>
      </c>
      <c r="K2794">
        <v>62.69</v>
      </c>
      <c r="L2794">
        <v>6.97</v>
      </c>
      <c r="M2794" s="1" t="s">
        <v>21</v>
      </c>
      <c r="N2794" s="1" t="s">
        <v>22</v>
      </c>
      <c r="O2794" s="2">
        <v>46162</v>
      </c>
      <c r="P2794" s="2">
        <v>46162</v>
      </c>
      <c r="Q2794">
        <f>_xlfn.XLOOKUP(E2794,CPT!$A$2:$A$13,CPT!$D$2:$D$13)</f>
        <v>145</v>
      </c>
      <c r="R2794" s="1">
        <f>_xlfn.XLOOKUP(C2794,Contract!$A$2:$A$9,Contract!$B$2:$B$9)</f>
        <v>0.43</v>
      </c>
      <c r="S2794" s="1">
        <f t="shared" si="172"/>
        <v>62.35</v>
      </c>
      <c r="T2794" s="1">
        <f t="shared" si="173"/>
        <v>-7.3099999999999952</v>
      </c>
      <c r="U2794" s="1" t="str">
        <f t="shared" si="174"/>
        <v>OK</v>
      </c>
      <c r="V2794" s="1" t="str">
        <f>_xlfn.XLOOKUP(C2794,Payers!$A$2:$A$9,Payers!$B$2:$B$9)</f>
        <v>Summit Health Commercial</v>
      </c>
      <c r="W2794" s="1" t="str">
        <f t="shared" si="175"/>
        <v>2026-04</v>
      </c>
    </row>
    <row r="2795" spans="1:23">
      <c r="A2795" s="1" t="s">
        <v>4776</v>
      </c>
      <c r="B2795" s="1" t="s">
        <v>2800</v>
      </c>
      <c r="C2795" s="1" t="s">
        <v>25</v>
      </c>
      <c r="D2795" s="1" t="s">
        <v>19</v>
      </c>
      <c r="E2795" s="1" t="s">
        <v>41</v>
      </c>
      <c r="F2795">
        <v>1</v>
      </c>
      <c r="G2795" s="2">
        <v>46238</v>
      </c>
      <c r="H2795" s="2">
        <v>46239</v>
      </c>
      <c r="I2795">
        <v>38.700000000000003</v>
      </c>
      <c r="J2795">
        <v>15.83</v>
      </c>
      <c r="K2795">
        <v>14.25</v>
      </c>
      <c r="L2795">
        <v>1.58</v>
      </c>
      <c r="M2795" s="1" t="s">
        <v>21</v>
      </c>
      <c r="N2795" s="1" t="s">
        <v>22</v>
      </c>
      <c r="O2795" s="2">
        <v>46266</v>
      </c>
      <c r="P2795" s="2">
        <v>46266</v>
      </c>
      <c r="Q2795">
        <f>_xlfn.XLOOKUP(E2795,CPT!$A$2:$A$13,CPT!$D$2:$D$13)</f>
        <v>38</v>
      </c>
      <c r="R2795" s="1">
        <f>_xlfn.XLOOKUP(C2795,Contract!$A$2:$A$9,Contract!$B$2:$B$9)</f>
        <v>0.36</v>
      </c>
      <c r="S2795" s="1">
        <f t="shared" si="172"/>
        <v>13.68</v>
      </c>
      <c r="T2795" s="1">
        <f t="shared" si="173"/>
        <v>-2.1500000000000004</v>
      </c>
      <c r="U2795" s="1" t="str">
        <f t="shared" si="174"/>
        <v>OK</v>
      </c>
      <c r="V2795" s="1" t="str">
        <f>_xlfn.XLOOKUP(C2795,Payers!$A$2:$A$9,Payers!$B$2:$B$9)</f>
        <v>Medicare Part B</v>
      </c>
      <c r="W2795" s="1" t="str">
        <f t="shared" si="175"/>
        <v>2026-08</v>
      </c>
    </row>
    <row r="2796" spans="1:23">
      <c r="A2796" s="1" t="s">
        <v>4777</v>
      </c>
      <c r="B2796" s="1" t="s">
        <v>663</v>
      </c>
      <c r="C2796" s="1" t="s">
        <v>76</v>
      </c>
      <c r="D2796" s="1" t="s">
        <v>26</v>
      </c>
      <c r="E2796" s="1" t="s">
        <v>41</v>
      </c>
      <c r="F2796">
        <v>1</v>
      </c>
      <c r="G2796" s="2">
        <v>46171</v>
      </c>
      <c r="H2796" s="2">
        <v>46176</v>
      </c>
      <c r="I2796">
        <v>39.119999999999997</v>
      </c>
      <c r="J2796">
        <v>16.82</v>
      </c>
      <c r="K2796">
        <v>13.46</v>
      </c>
      <c r="L2796">
        <v>3.36</v>
      </c>
      <c r="M2796" s="1" t="s">
        <v>21</v>
      </c>
      <c r="N2796" s="1" t="s">
        <v>22</v>
      </c>
      <c r="O2796" s="2">
        <v>46206</v>
      </c>
      <c r="P2796" s="2">
        <v>46206</v>
      </c>
      <c r="Q2796">
        <f>_xlfn.XLOOKUP(E2796,CPT!$A$2:$A$13,CPT!$D$2:$D$13)</f>
        <v>38</v>
      </c>
      <c r="R2796" s="1">
        <f>_xlfn.XLOOKUP(C2796,Contract!$A$2:$A$9,Contract!$B$2:$B$9)</f>
        <v>0.43</v>
      </c>
      <c r="S2796" s="1">
        <f t="shared" si="172"/>
        <v>16.34</v>
      </c>
      <c r="T2796" s="1">
        <f t="shared" si="173"/>
        <v>-0.48000000000000043</v>
      </c>
      <c r="U2796" s="1" t="str">
        <f t="shared" si="174"/>
        <v>OK</v>
      </c>
      <c r="V2796" s="1" t="str">
        <f>_xlfn.XLOOKUP(C2796,Payers!$A$2:$A$9,Payers!$B$2:$B$9)</f>
        <v>Summit Health Commercial</v>
      </c>
      <c r="W2796" s="1" t="str">
        <f t="shared" si="175"/>
        <v>2026-05</v>
      </c>
    </row>
    <row r="2797" spans="1:23">
      <c r="A2797" s="1" t="s">
        <v>4778</v>
      </c>
      <c r="B2797" s="1" t="s">
        <v>4779</v>
      </c>
      <c r="C2797" s="1" t="s">
        <v>79</v>
      </c>
      <c r="D2797" s="1" t="s">
        <v>19</v>
      </c>
      <c r="E2797" s="1" t="s">
        <v>41</v>
      </c>
      <c r="F2797">
        <v>1</v>
      </c>
      <c r="G2797" s="2">
        <v>45974</v>
      </c>
      <c r="H2797" s="2">
        <v>45976</v>
      </c>
      <c r="I2797">
        <v>37.14</v>
      </c>
      <c r="J2797">
        <v>37.14</v>
      </c>
      <c r="K2797">
        <v>37.14</v>
      </c>
      <c r="L2797">
        <v>0</v>
      </c>
      <c r="M2797" s="1" t="s">
        <v>21</v>
      </c>
      <c r="N2797" s="1" t="s">
        <v>22</v>
      </c>
      <c r="O2797" s="2">
        <v>46049</v>
      </c>
      <c r="P2797" s="2">
        <v>46049</v>
      </c>
      <c r="Q2797">
        <f>_xlfn.XLOOKUP(E2797,CPT!$A$2:$A$13,CPT!$D$2:$D$13)</f>
        <v>38</v>
      </c>
      <c r="R2797" s="1">
        <f>_xlfn.XLOOKUP(C2797,Contract!$A$2:$A$9,Contract!$B$2:$B$9)</f>
        <v>1</v>
      </c>
      <c r="S2797" s="1">
        <f t="shared" si="172"/>
        <v>38</v>
      </c>
      <c r="T2797" s="1">
        <f t="shared" si="173"/>
        <v>0.85999999999999943</v>
      </c>
      <c r="U2797" s="1" t="str">
        <f t="shared" si="174"/>
        <v>OK</v>
      </c>
      <c r="V2797" s="1" t="str">
        <f>_xlfn.XLOOKUP(C2797,Payers!$A$2:$A$9,Payers!$B$2:$B$9)</f>
        <v>Self-Pay</v>
      </c>
      <c r="W2797" s="1" t="str">
        <f t="shared" si="175"/>
        <v>2025-11</v>
      </c>
    </row>
    <row r="2798" spans="1:23">
      <c r="A2798" s="1" t="s">
        <v>4780</v>
      </c>
      <c r="B2798" s="1" t="s">
        <v>4294</v>
      </c>
      <c r="C2798" s="1" t="s">
        <v>76</v>
      </c>
      <c r="D2798" s="1" t="s">
        <v>19</v>
      </c>
      <c r="E2798" s="1" t="s">
        <v>57</v>
      </c>
      <c r="F2798">
        <v>1</v>
      </c>
      <c r="G2798" s="2">
        <v>46198</v>
      </c>
      <c r="H2798" s="2">
        <v>46205</v>
      </c>
      <c r="I2798">
        <v>205.31</v>
      </c>
      <c r="J2798">
        <v>89.09</v>
      </c>
      <c r="K2798">
        <v>71.27</v>
      </c>
      <c r="L2798">
        <v>17.82</v>
      </c>
      <c r="M2798" s="1" t="s">
        <v>21</v>
      </c>
      <c r="N2798" s="1" t="s">
        <v>22</v>
      </c>
      <c r="O2798" s="2">
        <v>46266</v>
      </c>
      <c r="P2798" s="2">
        <v>46266</v>
      </c>
      <c r="Q2798">
        <f>_xlfn.XLOOKUP(E2798,CPT!$A$2:$A$13,CPT!$D$2:$D$13)</f>
        <v>210</v>
      </c>
      <c r="R2798" s="1">
        <f>_xlfn.XLOOKUP(C2798,Contract!$A$2:$A$9,Contract!$B$2:$B$9)</f>
        <v>0.43</v>
      </c>
      <c r="S2798" s="1">
        <f t="shared" si="172"/>
        <v>90.3</v>
      </c>
      <c r="T2798" s="1">
        <f t="shared" si="173"/>
        <v>1.2099999999999937</v>
      </c>
      <c r="U2798" s="1" t="str">
        <f t="shared" si="174"/>
        <v>OK</v>
      </c>
      <c r="V2798" s="1" t="str">
        <f>_xlfn.XLOOKUP(C2798,Payers!$A$2:$A$9,Payers!$B$2:$B$9)</f>
        <v>Summit Health Commercial</v>
      </c>
      <c r="W2798" s="1" t="str">
        <f t="shared" si="175"/>
        <v>2026-06</v>
      </c>
    </row>
    <row r="2799" spans="1:23">
      <c r="A2799" s="1" t="s">
        <v>4781</v>
      </c>
      <c r="B2799" s="1" t="s">
        <v>3146</v>
      </c>
      <c r="C2799" s="1" t="s">
        <v>76</v>
      </c>
      <c r="D2799" s="1" t="s">
        <v>37</v>
      </c>
      <c r="E2799" s="1" t="s">
        <v>38</v>
      </c>
      <c r="F2799">
        <v>10</v>
      </c>
      <c r="G2799" s="2">
        <v>46124</v>
      </c>
      <c r="H2799" s="2">
        <v>46130</v>
      </c>
      <c r="I2799">
        <v>14795.09</v>
      </c>
      <c r="J2799">
        <v>5922.21</v>
      </c>
      <c r="K2799">
        <v>5922.21</v>
      </c>
      <c r="L2799">
        <v>0</v>
      </c>
      <c r="M2799" s="1" t="s">
        <v>21</v>
      </c>
      <c r="N2799" s="1" t="s">
        <v>22</v>
      </c>
      <c r="O2799" s="2">
        <v>46145</v>
      </c>
      <c r="P2799" s="2">
        <v>46145</v>
      </c>
      <c r="Q2799">
        <f>_xlfn.XLOOKUP(E2799,CPT!$A$2:$A$13,CPT!$D$2:$D$13)</f>
        <v>1450</v>
      </c>
      <c r="R2799" s="1">
        <f>_xlfn.XLOOKUP(C2799,Contract!$A$2:$A$9,Contract!$B$2:$B$9)</f>
        <v>0.43</v>
      </c>
      <c r="S2799" s="1">
        <f t="shared" si="172"/>
        <v>6235</v>
      </c>
      <c r="T2799" s="1">
        <f t="shared" si="173"/>
        <v>312.78999999999996</v>
      </c>
      <c r="U2799" s="1" t="str">
        <f t="shared" si="174"/>
        <v>Underpaid</v>
      </c>
      <c r="V2799" s="1" t="str">
        <f>_xlfn.XLOOKUP(C2799,Payers!$A$2:$A$9,Payers!$B$2:$B$9)</f>
        <v>Summit Health Commercial</v>
      </c>
      <c r="W2799" s="1" t="str">
        <f t="shared" si="175"/>
        <v>2026-04</v>
      </c>
    </row>
    <row r="2800" spans="1:23">
      <c r="A2800" s="1" t="s">
        <v>4782</v>
      </c>
      <c r="B2800" s="1" t="s">
        <v>4783</v>
      </c>
      <c r="C2800" s="1" t="s">
        <v>47</v>
      </c>
      <c r="D2800" s="1" t="s">
        <v>30</v>
      </c>
      <c r="E2800" s="1" t="s">
        <v>91</v>
      </c>
      <c r="F2800">
        <v>1</v>
      </c>
      <c r="G2800" s="2">
        <v>46036</v>
      </c>
      <c r="H2800" s="2">
        <v>46037</v>
      </c>
      <c r="I2800">
        <v>58.75</v>
      </c>
      <c r="M2800" s="1" t="s">
        <v>32</v>
      </c>
      <c r="N2800" s="1" t="s">
        <v>33</v>
      </c>
      <c r="O2800" s="2">
        <v>46106</v>
      </c>
      <c r="P2800" s="2"/>
      <c r="Q2800">
        <f>_xlfn.XLOOKUP(E2800,CPT!$A$2:$A$13,CPT!$D$2:$D$13)</f>
        <v>58</v>
      </c>
      <c r="R2800" s="1">
        <f>_xlfn.XLOOKUP(C2800,Contract!$A$2:$A$9,Contract!$B$2:$B$9)</f>
        <v>0.28000000000000003</v>
      </c>
      <c r="S2800" s="1">
        <f t="shared" si="172"/>
        <v>16.239999999999998</v>
      </c>
      <c r="T2800" s="1" t="str">
        <f t="shared" si="173"/>
        <v/>
      </c>
      <c r="U2800" s="1" t="str">
        <f t="shared" si="174"/>
        <v/>
      </c>
      <c r="V2800" s="1" t="str">
        <f>_xlfn.XLOOKUP(C2800,Payers!$A$2:$A$9,Payers!$B$2:$B$9)</f>
        <v>Coastal Medicaid MCO</v>
      </c>
      <c r="W2800" s="1" t="str">
        <f t="shared" si="175"/>
        <v>2026-01</v>
      </c>
    </row>
    <row r="2801" spans="1:23">
      <c r="A2801" s="1" t="s">
        <v>4784</v>
      </c>
      <c r="B2801" s="1" t="s">
        <v>853</v>
      </c>
      <c r="C2801" s="1" t="s">
        <v>47</v>
      </c>
      <c r="D2801" s="1" t="s">
        <v>26</v>
      </c>
      <c r="E2801" s="1" t="s">
        <v>113</v>
      </c>
      <c r="F2801">
        <v>1</v>
      </c>
      <c r="G2801" s="2">
        <v>46162</v>
      </c>
      <c r="H2801" s="2">
        <v>46164</v>
      </c>
      <c r="I2801">
        <v>1029.82</v>
      </c>
      <c r="J2801">
        <v>272.97000000000003</v>
      </c>
      <c r="K2801">
        <v>272.97000000000003</v>
      </c>
      <c r="L2801">
        <v>0</v>
      </c>
      <c r="M2801" s="1" t="s">
        <v>21</v>
      </c>
      <c r="N2801" s="1" t="s">
        <v>22</v>
      </c>
      <c r="O2801" s="2">
        <v>46208</v>
      </c>
      <c r="P2801" s="2">
        <v>46208</v>
      </c>
      <c r="Q2801">
        <f>_xlfn.XLOOKUP(E2801,CPT!$A$2:$A$13,CPT!$D$2:$D$13)</f>
        <v>1050</v>
      </c>
      <c r="R2801" s="1">
        <f>_xlfn.XLOOKUP(C2801,Contract!$A$2:$A$9,Contract!$B$2:$B$9)</f>
        <v>0.28000000000000003</v>
      </c>
      <c r="S2801" s="1">
        <f t="shared" si="172"/>
        <v>294</v>
      </c>
      <c r="T2801" s="1">
        <f t="shared" si="173"/>
        <v>21.029999999999973</v>
      </c>
      <c r="U2801" s="1" t="str">
        <f t="shared" si="174"/>
        <v>Underpaid</v>
      </c>
      <c r="V2801" s="1" t="str">
        <f>_xlfn.XLOOKUP(C2801,Payers!$A$2:$A$9,Payers!$B$2:$B$9)</f>
        <v>Coastal Medicaid MCO</v>
      </c>
      <c r="W2801" s="1" t="str">
        <f t="shared" si="175"/>
        <v>2026-05</v>
      </c>
    </row>
    <row r="2802" spans="1:23">
      <c r="A2802" s="1" t="s">
        <v>4785</v>
      </c>
      <c r="B2802" s="1" t="s">
        <v>2401</v>
      </c>
      <c r="C2802" s="1" t="s">
        <v>76</v>
      </c>
      <c r="D2802" s="1" t="s">
        <v>19</v>
      </c>
      <c r="E2802" s="1" t="s">
        <v>57</v>
      </c>
      <c r="F2802">
        <v>1</v>
      </c>
      <c r="G2802" s="2">
        <v>45975</v>
      </c>
      <c r="H2802" s="2">
        <v>45976</v>
      </c>
      <c r="I2802">
        <v>206.07</v>
      </c>
      <c r="J2802">
        <v>99.57</v>
      </c>
      <c r="K2802">
        <v>99.57</v>
      </c>
      <c r="L2802">
        <v>0</v>
      </c>
      <c r="M2802" s="1" t="s">
        <v>21</v>
      </c>
      <c r="N2802" s="1" t="s">
        <v>22</v>
      </c>
      <c r="O2802" s="2">
        <v>46021</v>
      </c>
      <c r="P2802" s="2">
        <v>46021</v>
      </c>
      <c r="Q2802">
        <f>_xlfn.XLOOKUP(E2802,CPT!$A$2:$A$13,CPT!$D$2:$D$13)</f>
        <v>210</v>
      </c>
      <c r="R2802" s="1">
        <f>_xlfn.XLOOKUP(C2802,Contract!$A$2:$A$9,Contract!$B$2:$B$9)</f>
        <v>0.43</v>
      </c>
      <c r="S2802" s="1">
        <f t="shared" si="172"/>
        <v>90.3</v>
      </c>
      <c r="T2802" s="1">
        <f t="shared" si="173"/>
        <v>-9.269999999999996</v>
      </c>
      <c r="U2802" s="1" t="str">
        <f t="shared" si="174"/>
        <v>OK</v>
      </c>
      <c r="V2802" s="1" t="str">
        <f>_xlfn.XLOOKUP(C2802,Payers!$A$2:$A$9,Payers!$B$2:$B$9)</f>
        <v>Summit Health Commercial</v>
      </c>
      <c r="W2802" s="1" t="str">
        <f t="shared" si="175"/>
        <v>2025-11</v>
      </c>
    </row>
    <row r="2803" spans="1:23">
      <c r="A2803" s="1" t="s">
        <v>4786</v>
      </c>
      <c r="B2803" s="1" t="s">
        <v>4292</v>
      </c>
      <c r="C2803" s="1" t="s">
        <v>76</v>
      </c>
      <c r="D2803" s="1" t="s">
        <v>26</v>
      </c>
      <c r="E2803" s="1" t="s">
        <v>27</v>
      </c>
      <c r="F2803">
        <v>1</v>
      </c>
      <c r="G2803" s="2">
        <v>46063</v>
      </c>
      <c r="H2803" s="2">
        <v>46065</v>
      </c>
      <c r="I2803">
        <v>245.6</v>
      </c>
      <c r="M2803" s="1" t="s">
        <v>32</v>
      </c>
      <c r="N2803" s="1" t="s">
        <v>168</v>
      </c>
      <c r="O2803" s="2">
        <v>46098</v>
      </c>
      <c r="P2803" s="2"/>
      <c r="Q2803">
        <f>_xlfn.XLOOKUP(E2803,CPT!$A$2:$A$13,CPT!$D$2:$D$13)</f>
        <v>240</v>
      </c>
      <c r="R2803" s="1">
        <f>_xlfn.XLOOKUP(C2803,Contract!$A$2:$A$9,Contract!$B$2:$B$9)</f>
        <v>0.43</v>
      </c>
      <c r="S2803" s="1">
        <f t="shared" si="172"/>
        <v>103.2</v>
      </c>
      <c r="T2803" s="1" t="str">
        <f t="shared" si="173"/>
        <v/>
      </c>
      <c r="U2803" s="1" t="str">
        <f t="shared" si="174"/>
        <v/>
      </c>
      <c r="V2803" s="1" t="str">
        <f>_xlfn.XLOOKUP(C2803,Payers!$A$2:$A$9,Payers!$B$2:$B$9)</f>
        <v>Summit Health Commercial</v>
      </c>
      <c r="W2803" s="1" t="str">
        <f t="shared" si="175"/>
        <v>2026-02</v>
      </c>
    </row>
    <row r="2804" spans="1:23">
      <c r="A2804" s="1" t="s">
        <v>4787</v>
      </c>
      <c r="B2804" s="1" t="s">
        <v>1219</v>
      </c>
      <c r="C2804" s="1" t="s">
        <v>36</v>
      </c>
      <c r="D2804" s="1" t="s">
        <v>26</v>
      </c>
      <c r="E2804" s="1" t="s">
        <v>88</v>
      </c>
      <c r="F2804">
        <v>1</v>
      </c>
      <c r="G2804" s="2">
        <v>46206</v>
      </c>
      <c r="H2804" s="2">
        <v>46209</v>
      </c>
      <c r="I2804">
        <v>266.64999999999998</v>
      </c>
      <c r="J2804">
        <v>76.36</v>
      </c>
      <c r="K2804">
        <v>61.09</v>
      </c>
      <c r="L2804">
        <v>15.27</v>
      </c>
      <c r="M2804" s="1" t="s">
        <v>21</v>
      </c>
      <c r="N2804" s="1" t="s">
        <v>22</v>
      </c>
      <c r="O2804" s="2">
        <v>46251</v>
      </c>
      <c r="P2804" s="2">
        <v>46251</v>
      </c>
      <c r="Q2804">
        <f>_xlfn.XLOOKUP(E2804,CPT!$A$2:$A$13,CPT!$D$2:$D$13)</f>
        <v>260</v>
      </c>
      <c r="R2804" s="1">
        <f>_xlfn.XLOOKUP(C2804,Contract!$A$2:$A$9,Contract!$B$2:$B$9)</f>
        <v>0.27</v>
      </c>
      <c r="S2804" s="1">
        <f t="shared" si="172"/>
        <v>70.2</v>
      </c>
      <c r="T2804" s="1">
        <f t="shared" si="173"/>
        <v>-6.1599999999999966</v>
      </c>
      <c r="U2804" s="1" t="str">
        <f t="shared" si="174"/>
        <v>OK</v>
      </c>
      <c r="V2804" s="1" t="str">
        <f>_xlfn.XLOOKUP(C2804,Payers!$A$2:$A$9,Payers!$B$2:$B$9)</f>
        <v>Florida Medicaid</v>
      </c>
      <c r="W2804" s="1" t="str">
        <f t="shared" si="175"/>
        <v>2026-07</v>
      </c>
    </row>
    <row r="2805" spans="1:23">
      <c r="A2805" s="1" t="s">
        <v>4788</v>
      </c>
      <c r="B2805" s="1" t="s">
        <v>2265</v>
      </c>
      <c r="C2805" s="1" t="s">
        <v>18</v>
      </c>
      <c r="D2805" s="1" t="s">
        <v>19</v>
      </c>
      <c r="E2805" s="1" t="s">
        <v>57</v>
      </c>
      <c r="F2805">
        <v>1</v>
      </c>
      <c r="G2805" s="2">
        <v>46086</v>
      </c>
      <c r="H2805" s="2">
        <v>46087</v>
      </c>
      <c r="I2805">
        <v>204.27</v>
      </c>
      <c r="J2805">
        <v>76.36</v>
      </c>
      <c r="K2805">
        <v>76.36</v>
      </c>
      <c r="L2805">
        <v>0</v>
      </c>
      <c r="M2805" s="1" t="s">
        <v>21</v>
      </c>
      <c r="N2805" s="1" t="s">
        <v>22</v>
      </c>
      <c r="O2805" s="2">
        <v>46129</v>
      </c>
      <c r="P2805" s="2">
        <v>46129</v>
      </c>
      <c r="Q2805">
        <f>_xlfn.XLOOKUP(E2805,CPT!$A$2:$A$13,CPT!$D$2:$D$13)</f>
        <v>210</v>
      </c>
      <c r="R2805" s="1">
        <f>_xlfn.XLOOKUP(C2805,Contract!$A$2:$A$9,Contract!$B$2:$B$9)</f>
        <v>0.38</v>
      </c>
      <c r="S2805" s="1">
        <f t="shared" si="172"/>
        <v>79.8</v>
      </c>
      <c r="T2805" s="1">
        <f t="shared" si="173"/>
        <v>3.4399999999999977</v>
      </c>
      <c r="U2805" s="1" t="str">
        <f t="shared" si="174"/>
        <v>OK</v>
      </c>
      <c r="V2805" s="1" t="str">
        <f>_xlfn.XLOOKUP(C2805,Payers!$A$2:$A$9,Payers!$B$2:$B$9)</f>
        <v>Sunshine Medicare Advantage</v>
      </c>
      <c r="W2805" s="1" t="str">
        <f t="shared" si="175"/>
        <v>2026-03</v>
      </c>
    </row>
    <row r="2806" spans="1:23">
      <c r="A2806" s="1" t="s">
        <v>4789</v>
      </c>
      <c r="B2806" s="1" t="s">
        <v>4790</v>
      </c>
      <c r="C2806" s="1" t="s">
        <v>25</v>
      </c>
      <c r="D2806" s="1" t="s">
        <v>26</v>
      </c>
      <c r="E2806" s="1" t="s">
        <v>113</v>
      </c>
      <c r="F2806">
        <v>1</v>
      </c>
      <c r="G2806" s="2">
        <v>46220</v>
      </c>
      <c r="H2806" s="2">
        <v>46230</v>
      </c>
      <c r="I2806">
        <v>1073.03</v>
      </c>
      <c r="J2806">
        <v>386.56</v>
      </c>
      <c r="K2806">
        <v>309.25</v>
      </c>
      <c r="L2806">
        <v>77.31</v>
      </c>
      <c r="M2806" s="1" t="s">
        <v>21</v>
      </c>
      <c r="N2806" s="1" t="s">
        <v>22</v>
      </c>
      <c r="O2806" s="2">
        <v>46240</v>
      </c>
      <c r="P2806" s="2">
        <v>46240</v>
      </c>
      <c r="Q2806">
        <f>_xlfn.XLOOKUP(E2806,CPT!$A$2:$A$13,CPT!$D$2:$D$13)</f>
        <v>1050</v>
      </c>
      <c r="R2806" s="1">
        <f>_xlfn.XLOOKUP(C2806,Contract!$A$2:$A$9,Contract!$B$2:$B$9)</f>
        <v>0.36</v>
      </c>
      <c r="S2806" s="1">
        <f t="shared" si="172"/>
        <v>378</v>
      </c>
      <c r="T2806" s="1">
        <f t="shared" si="173"/>
        <v>-8.5600000000000023</v>
      </c>
      <c r="U2806" s="1" t="str">
        <f t="shared" si="174"/>
        <v>OK</v>
      </c>
      <c r="V2806" s="1" t="str">
        <f>_xlfn.XLOOKUP(C2806,Payers!$A$2:$A$9,Payers!$B$2:$B$9)</f>
        <v>Medicare Part B</v>
      </c>
      <c r="W2806" s="1" t="str">
        <f t="shared" si="175"/>
        <v>2026-07</v>
      </c>
    </row>
    <row r="2807" spans="1:23">
      <c r="A2807" s="1" t="s">
        <v>4791</v>
      </c>
      <c r="B2807" s="1" t="s">
        <v>1285</v>
      </c>
      <c r="C2807" s="1" t="s">
        <v>79</v>
      </c>
      <c r="D2807" s="1" t="s">
        <v>30</v>
      </c>
      <c r="E2807" s="1" t="s">
        <v>31</v>
      </c>
      <c r="F2807">
        <v>2</v>
      </c>
      <c r="G2807" s="2">
        <v>46107</v>
      </c>
      <c r="H2807" s="2">
        <v>46111</v>
      </c>
      <c r="I2807">
        <v>124.14</v>
      </c>
      <c r="J2807">
        <v>124.14</v>
      </c>
      <c r="K2807">
        <v>124.14</v>
      </c>
      <c r="L2807">
        <v>0</v>
      </c>
      <c r="M2807" s="1" t="s">
        <v>21</v>
      </c>
      <c r="N2807" s="1" t="s">
        <v>22</v>
      </c>
      <c r="O2807" s="2">
        <v>46139</v>
      </c>
      <c r="P2807" s="2">
        <v>46139</v>
      </c>
      <c r="Q2807">
        <f>_xlfn.XLOOKUP(E2807,CPT!$A$2:$A$13,CPT!$D$2:$D$13)</f>
        <v>62</v>
      </c>
      <c r="R2807" s="1">
        <f>_xlfn.XLOOKUP(C2807,Contract!$A$2:$A$9,Contract!$B$2:$B$9)</f>
        <v>1</v>
      </c>
      <c r="S2807" s="1">
        <f t="shared" si="172"/>
        <v>124</v>
      </c>
      <c r="T2807" s="1">
        <f t="shared" si="173"/>
        <v>-0.14000000000000057</v>
      </c>
      <c r="U2807" s="1" t="str">
        <f t="shared" si="174"/>
        <v>OK</v>
      </c>
      <c r="V2807" s="1" t="str">
        <f>_xlfn.XLOOKUP(C2807,Payers!$A$2:$A$9,Payers!$B$2:$B$9)</f>
        <v>Self-Pay</v>
      </c>
      <c r="W2807" s="1" t="str">
        <f t="shared" si="175"/>
        <v>2026-03</v>
      </c>
    </row>
    <row r="2808" spans="1:23">
      <c r="A2808" s="1" t="s">
        <v>4792</v>
      </c>
      <c r="B2808" s="1" t="s">
        <v>4793</v>
      </c>
      <c r="C2808" s="1" t="s">
        <v>79</v>
      </c>
      <c r="D2808" s="1" t="s">
        <v>19</v>
      </c>
      <c r="E2808" s="1" t="s">
        <v>41</v>
      </c>
      <c r="F2808">
        <v>1</v>
      </c>
      <c r="G2808" s="2">
        <v>46108</v>
      </c>
      <c r="H2808" s="2">
        <v>46111</v>
      </c>
      <c r="I2808">
        <v>38.840000000000003</v>
      </c>
      <c r="M2808" s="1" t="s">
        <v>69</v>
      </c>
      <c r="N2808" s="1" t="s">
        <v>22</v>
      </c>
      <c r="O2808" s="2"/>
      <c r="P2808" s="2"/>
      <c r="Q2808">
        <f>_xlfn.XLOOKUP(E2808,CPT!$A$2:$A$13,CPT!$D$2:$D$13)</f>
        <v>38</v>
      </c>
      <c r="R2808" s="1">
        <f>_xlfn.XLOOKUP(C2808,Contract!$A$2:$A$9,Contract!$B$2:$B$9)</f>
        <v>1</v>
      </c>
      <c r="S2808" s="1">
        <f t="shared" si="172"/>
        <v>38</v>
      </c>
      <c r="T2808" s="1" t="str">
        <f t="shared" si="173"/>
        <v/>
      </c>
      <c r="U2808" s="1" t="str">
        <f t="shared" si="174"/>
        <v/>
      </c>
      <c r="V2808" s="1" t="str">
        <f>_xlfn.XLOOKUP(C2808,Payers!$A$2:$A$9,Payers!$B$2:$B$9)</f>
        <v>Self-Pay</v>
      </c>
      <c r="W2808" s="1" t="str">
        <f t="shared" si="175"/>
        <v>2026-03</v>
      </c>
    </row>
    <row r="2809" spans="1:23">
      <c r="A2809" s="1" t="s">
        <v>4794</v>
      </c>
      <c r="B2809" s="1" t="s">
        <v>2707</v>
      </c>
      <c r="C2809" s="1" t="s">
        <v>36</v>
      </c>
      <c r="D2809" s="1" t="s">
        <v>37</v>
      </c>
      <c r="E2809" s="1" t="s">
        <v>48</v>
      </c>
      <c r="F2809">
        <v>1</v>
      </c>
      <c r="G2809" s="2">
        <v>46007</v>
      </c>
      <c r="H2809" s="2">
        <v>46009</v>
      </c>
      <c r="I2809">
        <v>415.33</v>
      </c>
      <c r="J2809">
        <v>117</v>
      </c>
      <c r="K2809">
        <v>117</v>
      </c>
      <c r="L2809">
        <v>0</v>
      </c>
      <c r="M2809" s="1" t="s">
        <v>21</v>
      </c>
      <c r="N2809" s="1" t="s">
        <v>22</v>
      </c>
      <c r="O2809" s="2">
        <v>46062</v>
      </c>
      <c r="P2809" s="2">
        <v>46062</v>
      </c>
      <c r="Q2809">
        <f>_xlfn.XLOOKUP(E2809,CPT!$A$2:$A$13,CPT!$D$2:$D$13)</f>
        <v>420</v>
      </c>
      <c r="R2809" s="1">
        <f>_xlfn.XLOOKUP(C2809,Contract!$A$2:$A$9,Contract!$B$2:$B$9)</f>
        <v>0.27</v>
      </c>
      <c r="S2809" s="1">
        <f t="shared" si="172"/>
        <v>113.4</v>
      </c>
      <c r="T2809" s="1">
        <f t="shared" si="173"/>
        <v>-3.5999999999999943</v>
      </c>
      <c r="U2809" s="1" t="str">
        <f t="shared" si="174"/>
        <v>OK</v>
      </c>
      <c r="V2809" s="1" t="str">
        <f>_xlfn.XLOOKUP(C2809,Payers!$A$2:$A$9,Payers!$B$2:$B$9)</f>
        <v>Florida Medicaid</v>
      </c>
      <c r="W2809" s="1" t="str">
        <f t="shared" si="175"/>
        <v>2025-12</v>
      </c>
    </row>
    <row r="2810" spans="1:23">
      <c r="A2810" s="1" t="s">
        <v>4795</v>
      </c>
      <c r="B2810" s="1" t="s">
        <v>4796</v>
      </c>
      <c r="C2810" s="1" t="s">
        <v>79</v>
      </c>
      <c r="D2810" s="1" t="s">
        <v>26</v>
      </c>
      <c r="E2810" s="1" t="s">
        <v>113</v>
      </c>
      <c r="F2810">
        <v>1</v>
      </c>
      <c r="G2810" s="2">
        <v>46278</v>
      </c>
      <c r="H2810" s="2">
        <v>46279</v>
      </c>
      <c r="I2810">
        <v>1053.5999999999999</v>
      </c>
      <c r="M2810" s="1" t="s">
        <v>69</v>
      </c>
      <c r="N2810" s="1" t="s">
        <v>22</v>
      </c>
      <c r="O2810" s="2"/>
      <c r="P2810" s="2"/>
      <c r="Q2810">
        <f>_xlfn.XLOOKUP(E2810,CPT!$A$2:$A$13,CPT!$D$2:$D$13)</f>
        <v>1050</v>
      </c>
      <c r="R2810" s="1">
        <f>_xlfn.XLOOKUP(C2810,Contract!$A$2:$A$9,Contract!$B$2:$B$9)</f>
        <v>1</v>
      </c>
      <c r="S2810" s="1">
        <f t="shared" si="172"/>
        <v>1050</v>
      </c>
      <c r="T2810" s="1" t="str">
        <f t="shared" si="173"/>
        <v/>
      </c>
      <c r="U2810" s="1" t="str">
        <f t="shared" si="174"/>
        <v/>
      </c>
      <c r="V2810" s="1" t="str">
        <f>_xlfn.XLOOKUP(C2810,Payers!$A$2:$A$9,Payers!$B$2:$B$9)</f>
        <v>Self-Pay</v>
      </c>
      <c r="W2810" s="1" t="str">
        <f t="shared" si="175"/>
        <v>2026-09</v>
      </c>
    </row>
    <row r="2811" spans="1:23">
      <c r="A2811" s="1" t="s">
        <v>4797</v>
      </c>
      <c r="B2811" s="1" t="s">
        <v>4798</v>
      </c>
      <c r="C2811" s="1" t="s">
        <v>52</v>
      </c>
      <c r="D2811" s="1" t="s">
        <v>19</v>
      </c>
      <c r="E2811" s="1" t="s">
        <v>57</v>
      </c>
      <c r="F2811">
        <v>1</v>
      </c>
      <c r="G2811" s="2">
        <v>46172</v>
      </c>
      <c r="H2811" s="2">
        <v>46190</v>
      </c>
      <c r="I2811">
        <v>205.7</v>
      </c>
      <c r="J2811">
        <v>96.37</v>
      </c>
      <c r="K2811">
        <v>77.099999999999994</v>
      </c>
      <c r="L2811">
        <v>19.27</v>
      </c>
      <c r="M2811" s="1" t="s">
        <v>21</v>
      </c>
      <c r="N2811" s="1" t="s">
        <v>22</v>
      </c>
      <c r="O2811" s="2">
        <v>46247</v>
      </c>
      <c r="P2811" s="2">
        <v>46247</v>
      </c>
      <c r="Q2811">
        <f>_xlfn.XLOOKUP(E2811,CPT!$A$2:$A$13,CPT!$D$2:$D$13)</f>
        <v>210</v>
      </c>
      <c r="R2811" s="1">
        <f>_xlfn.XLOOKUP(C2811,Contract!$A$2:$A$9,Contract!$B$2:$B$9)</f>
        <v>0.47</v>
      </c>
      <c r="S2811" s="1">
        <f t="shared" si="172"/>
        <v>98.7</v>
      </c>
      <c r="T2811" s="1">
        <f t="shared" si="173"/>
        <v>2.3299999999999983</v>
      </c>
      <c r="U2811" s="1" t="str">
        <f t="shared" si="174"/>
        <v>OK</v>
      </c>
      <c r="V2811" s="1" t="str">
        <f>_xlfn.XLOOKUP(C2811,Payers!$A$2:$A$9,Payers!$B$2:$B$9)</f>
        <v>Keystone Commercial PPO</v>
      </c>
      <c r="W2811" s="1" t="str">
        <f t="shared" si="175"/>
        <v>2026-05</v>
      </c>
    </row>
    <row r="2812" spans="1:23">
      <c r="A2812" s="1" t="s">
        <v>4799</v>
      </c>
      <c r="B2812" s="1" t="s">
        <v>3518</v>
      </c>
      <c r="C2812" s="1" t="s">
        <v>60</v>
      </c>
      <c r="D2812" s="1" t="s">
        <v>37</v>
      </c>
      <c r="E2812" s="1" t="s">
        <v>57</v>
      </c>
      <c r="F2812">
        <v>1</v>
      </c>
      <c r="G2812" s="2">
        <v>46210</v>
      </c>
      <c r="H2812" s="2">
        <v>46212</v>
      </c>
      <c r="I2812">
        <v>215.92</v>
      </c>
      <c r="J2812">
        <v>107.07</v>
      </c>
      <c r="K2812">
        <v>107.07</v>
      </c>
      <c r="L2812">
        <v>0</v>
      </c>
      <c r="M2812" s="1" t="s">
        <v>21</v>
      </c>
      <c r="N2812" s="1" t="s">
        <v>22</v>
      </c>
      <c r="O2812" s="2">
        <v>46227</v>
      </c>
      <c r="P2812" s="2">
        <v>46227</v>
      </c>
      <c r="Q2812">
        <f>_xlfn.XLOOKUP(E2812,CPT!$A$2:$A$13,CPT!$D$2:$D$13)</f>
        <v>210</v>
      </c>
      <c r="R2812" s="1">
        <f>_xlfn.XLOOKUP(C2812,Contract!$A$2:$A$9,Contract!$B$2:$B$9)</f>
        <v>0.45</v>
      </c>
      <c r="S2812" s="1">
        <f t="shared" si="172"/>
        <v>94.5</v>
      </c>
      <c r="T2812" s="1">
        <f t="shared" si="173"/>
        <v>-12.569999999999993</v>
      </c>
      <c r="U2812" s="1" t="str">
        <f t="shared" si="174"/>
        <v>OK</v>
      </c>
      <c r="V2812" s="1" t="str">
        <f>_xlfn.XLOOKUP(C2812,Payers!$A$2:$A$9,Payers!$B$2:$B$9)</f>
        <v>Blue Horizon Commercial</v>
      </c>
      <c r="W2812" s="1" t="str">
        <f t="shared" si="175"/>
        <v>2026-07</v>
      </c>
    </row>
    <row r="2813" spans="1:23">
      <c r="A2813" s="1" t="s">
        <v>4800</v>
      </c>
      <c r="B2813" s="1" t="s">
        <v>3538</v>
      </c>
      <c r="C2813" s="1" t="s">
        <v>60</v>
      </c>
      <c r="D2813" s="1" t="s">
        <v>19</v>
      </c>
      <c r="E2813" s="1" t="s">
        <v>88</v>
      </c>
      <c r="F2813">
        <v>1</v>
      </c>
      <c r="G2813" s="2">
        <v>46281</v>
      </c>
      <c r="H2813" s="2">
        <v>46282</v>
      </c>
      <c r="I2813">
        <v>265.33999999999997</v>
      </c>
      <c r="M2813" s="1" t="s">
        <v>69</v>
      </c>
      <c r="N2813" s="1" t="s">
        <v>22</v>
      </c>
      <c r="O2813" s="2"/>
      <c r="P2813" s="2"/>
      <c r="Q2813">
        <f>_xlfn.XLOOKUP(E2813,CPT!$A$2:$A$13,CPT!$D$2:$D$13)</f>
        <v>260</v>
      </c>
      <c r="R2813" s="1">
        <f>_xlfn.XLOOKUP(C2813,Contract!$A$2:$A$9,Contract!$B$2:$B$9)</f>
        <v>0.45</v>
      </c>
      <c r="S2813" s="1">
        <f t="shared" si="172"/>
        <v>117</v>
      </c>
      <c r="T2813" s="1" t="str">
        <f t="shared" si="173"/>
        <v/>
      </c>
      <c r="U2813" s="1" t="str">
        <f t="shared" si="174"/>
        <v/>
      </c>
      <c r="V2813" s="1" t="str">
        <f>_xlfn.XLOOKUP(C2813,Payers!$A$2:$A$9,Payers!$B$2:$B$9)</f>
        <v>Blue Horizon Commercial</v>
      </c>
      <c r="W2813" s="1" t="str">
        <f t="shared" si="175"/>
        <v>2026-09</v>
      </c>
    </row>
    <row r="2814" spans="1:23">
      <c r="A2814" s="1" t="s">
        <v>4801</v>
      </c>
      <c r="B2814" s="1" t="s">
        <v>1154</v>
      </c>
      <c r="C2814" s="1" t="s">
        <v>18</v>
      </c>
      <c r="D2814" s="1" t="s">
        <v>26</v>
      </c>
      <c r="E2814" s="1" t="s">
        <v>185</v>
      </c>
      <c r="F2814">
        <v>1</v>
      </c>
      <c r="G2814" s="2">
        <v>46294</v>
      </c>
      <c r="H2814" s="2">
        <v>46295</v>
      </c>
      <c r="I2814">
        <v>1124.9000000000001</v>
      </c>
      <c r="M2814" s="1" t="s">
        <v>69</v>
      </c>
      <c r="N2814" s="1" t="s">
        <v>22</v>
      </c>
      <c r="O2814" s="2"/>
      <c r="P2814" s="2"/>
      <c r="Q2814">
        <f>_xlfn.XLOOKUP(E2814,CPT!$A$2:$A$13,CPT!$D$2:$D$13)</f>
        <v>1150</v>
      </c>
      <c r="R2814" s="1">
        <f>_xlfn.XLOOKUP(C2814,Contract!$A$2:$A$9,Contract!$B$2:$B$9)</f>
        <v>0.38</v>
      </c>
      <c r="S2814" s="1">
        <f t="shared" si="172"/>
        <v>437</v>
      </c>
      <c r="T2814" s="1" t="str">
        <f t="shared" si="173"/>
        <v/>
      </c>
      <c r="U2814" s="1" t="str">
        <f t="shared" si="174"/>
        <v/>
      </c>
      <c r="V2814" s="1" t="str">
        <f>_xlfn.XLOOKUP(C2814,Payers!$A$2:$A$9,Payers!$B$2:$B$9)</f>
        <v>Sunshine Medicare Advantage</v>
      </c>
      <c r="W2814" s="1" t="str">
        <f t="shared" si="175"/>
        <v>2026-09</v>
      </c>
    </row>
    <row r="2815" spans="1:23">
      <c r="A2815" s="1" t="s">
        <v>4802</v>
      </c>
      <c r="B2815" s="1" t="s">
        <v>4803</v>
      </c>
      <c r="C2815" s="1" t="s">
        <v>60</v>
      </c>
      <c r="D2815" s="1" t="s">
        <v>26</v>
      </c>
      <c r="E2815" s="1" t="s">
        <v>185</v>
      </c>
      <c r="F2815">
        <v>1</v>
      </c>
      <c r="G2815" s="2">
        <v>46256</v>
      </c>
      <c r="H2815" s="2">
        <v>46257</v>
      </c>
      <c r="I2815">
        <v>1172.01</v>
      </c>
      <c r="J2815">
        <v>490.87</v>
      </c>
      <c r="K2815">
        <v>441.78</v>
      </c>
      <c r="L2815">
        <v>49.09</v>
      </c>
      <c r="M2815" s="1" t="s">
        <v>21</v>
      </c>
      <c r="N2815" s="1" t="s">
        <v>22</v>
      </c>
      <c r="O2815" s="2">
        <v>46273</v>
      </c>
      <c r="P2815" s="2">
        <v>46273</v>
      </c>
      <c r="Q2815">
        <f>_xlfn.XLOOKUP(E2815,CPT!$A$2:$A$13,CPT!$D$2:$D$13)</f>
        <v>1150</v>
      </c>
      <c r="R2815" s="1">
        <f>_xlfn.XLOOKUP(C2815,Contract!$A$2:$A$9,Contract!$B$2:$B$9)</f>
        <v>0.45</v>
      </c>
      <c r="S2815" s="1">
        <f t="shared" si="172"/>
        <v>517.5</v>
      </c>
      <c r="T2815" s="1">
        <f t="shared" si="173"/>
        <v>26.629999999999995</v>
      </c>
      <c r="U2815" s="1" t="str">
        <f t="shared" si="174"/>
        <v>Underpaid</v>
      </c>
      <c r="V2815" s="1" t="str">
        <f>_xlfn.XLOOKUP(C2815,Payers!$A$2:$A$9,Payers!$B$2:$B$9)</f>
        <v>Blue Horizon Commercial</v>
      </c>
      <c r="W2815" s="1" t="str">
        <f t="shared" si="175"/>
        <v>2026-08</v>
      </c>
    </row>
    <row r="2816" spans="1:23">
      <c r="A2816" s="1" t="s">
        <v>4804</v>
      </c>
      <c r="B2816" s="1" t="s">
        <v>4805</v>
      </c>
      <c r="C2816" s="1" t="s">
        <v>47</v>
      </c>
      <c r="D2816" s="1" t="s">
        <v>26</v>
      </c>
      <c r="E2816" s="1" t="s">
        <v>44</v>
      </c>
      <c r="F2816">
        <v>1</v>
      </c>
      <c r="G2816" s="2">
        <v>46126</v>
      </c>
      <c r="H2816" s="2">
        <v>46128</v>
      </c>
      <c r="I2816">
        <v>4924.24</v>
      </c>
      <c r="J2816">
        <v>1276.08</v>
      </c>
      <c r="K2816">
        <v>1020.86</v>
      </c>
      <c r="L2816">
        <v>255.22</v>
      </c>
      <c r="M2816" s="1" t="s">
        <v>21</v>
      </c>
      <c r="N2816" s="1" t="s">
        <v>22</v>
      </c>
      <c r="O2816" s="2">
        <v>46190</v>
      </c>
      <c r="P2816" s="2">
        <v>46190</v>
      </c>
      <c r="Q2816">
        <f>_xlfn.XLOOKUP(E2816,CPT!$A$2:$A$13,CPT!$D$2:$D$13)</f>
        <v>4800</v>
      </c>
      <c r="R2816" s="1">
        <f>_xlfn.XLOOKUP(C2816,Contract!$A$2:$A$9,Contract!$B$2:$B$9)</f>
        <v>0.28000000000000003</v>
      </c>
      <c r="S2816" s="1">
        <f t="shared" si="172"/>
        <v>1344</v>
      </c>
      <c r="T2816" s="1">
        <f t="shared" si="173"/>
        <v>67.920000000000073</v>
      </c>
      <c r="U2816" s="1" t="str">
        <f t="shared" si="174"/>
        <v>Underpaid</v>
      </c>
      <c r="V2816" s="1" t="str">
        <f>_xlfn.XLOOKUP(C2816,Payers!$A$2:$A$9,Payers!$B$2:$B$9)</f>
        <v>Coastal Medicaid MCO</v>
      </c>
      <c r="W2816" s="1" t="str">
        <f t="shared" si="175"/>
        <v>2026-04</v>
      </c>
    </row>
    <row r="2817" spans="1:23">
      <c r="A2817" s="1" t="s">
        <v>4806</v>
      </c>
      <c r="B2817" s="1" t="s">
        <v>498</v>
      </c>
      <c r="C2817" s="1" t="s">
        <v>36</v>
      </c>
      <c r="D2817" s="1" t="s">
        <v>30</v>
      </c>
      <c r="E2817" s="1" t="s">
        <v>20</v>
      </c>
      <c r="F2817">
        <v>1</v>
      </c>
      <c r="G2817" s="2">
        <v>46047</v>
      </c>
      <c r="H2817" s="2">
        <v>46049</v>
      </c>
      <c r="I2817">
        <v>142.63</v>
      </c>
      <c r="J2817">
        <v>37.92</v>
      </c>
      <c r="K2817">
        <v>30.34</v>
      </c>
      <c r="L2817">
        <v>7.58</v>
      </c>
      <c r="M2817" s="1" t="s">
        <v>21</v>
      </c>
      <c r="N2817" s="1" t="s">
        <v>22</v>
      </c>
      <c r="O2817" s="2">
        <v>46093</v>
      </c>
      <c r="P2817" s="2">
        <v>46093</v>
      </c>
      <c r="Q2817">
        <f>_xlfn.XLOOKUP(E2817,CPT!$A$2:$A$13,CPT!$D$2:$D$13)</f>
        <v>145</v>
      </c>
      <c r="R2817" s="1">
        <f>_xlfn.XLOOKUP(C2817,Contract!$A$2:$A$9,Contract!$B$2:$B$9)</f>
        <v>0.27</v>
      </c>
      <c r="S2817" s="1">
        <f t="shared" si="172"/>
        <v>39.15</v>
      </c>
      <c r="T2817" s="1">
        <f t="shared" si="173"/>
        <v>1.2299999999999969</v>
      </c>
      <c r="U2817" s="1" t="str">
        <f t="shared" si="174"/>
        <v>OK</v>
      </c>
      <c r="V2817" s="1" t="str">
        <f>_xlfn.XLOOKUP(C2817,Payers!$A$2:$A$9,Payers!$B$2:$B$9)</f>
        <v>Florida Medicaid</v>
      </c>
      <c r="W2817" s="1" t="str">
        <f t="shared" si="175"/>
        <v>2026-01</v>
      </c>
    </row>
    <row r="2818" spans="1:23">
      <c r="A2818" s="1" t="s">
        <v>4807</v>
      </c>
      <c r="B2818" s="1" t="s">
        <v>4808</v>
      </c>
      <c r="C2818" s="1" t="s">
        <v>60</v>
      </c>
      <c r="D2818" s="1" t="s">
        <v>19</v>
      </c>
      <c r="E2818" s="1" t="s">
        <v>20</v>
      </c>
      <c r="F2818">
        <v>1</v>
      </c>
      <c r="G2818" s="2">
        <v>45954</v>
      </c>
      <c r="H2818" s="2">
        <v>45961</v>
      </c>
      <c r="I2818">
        <v>147.13999999999999</v>
      </c>
      <c r="J2818">
        <v>61.98</v>
      </c>
      <c r="K2818">
        <v>55.78</v>
      </c>
      <c r="L2818">
        <v>6.2</v>
      </c>
      <c r="M2818" s="1" t="s">
        <v>21</v>
      </c>
      <c r="N2818" s="1" t="s">
        <v>22</v>
      </c>
      <c r="O2818" s="2">
        <v>45981</v>
      </c>
      <c r="P2818" s="2">
        <v>45981</v>
      </c>
      <c r="Q2818">
        <f>_xlfn.XLOOKUP(E2818,CPT!$A$2:$A$13,CPT!$D$2:$D$13)</f>
        <v>145</v>
      </c>
      <c r="R2818" s="1">
        <f>_xlfn.XLOOKUP(C2818,Contract!$A$2:$A$9,Contract!$B$2:$B$9)</f>
        <v>0.45</v>
      </c>
      <c r="S2818" s="1">
        <f t="shared" ref="S2818:S2881" si="176">ROUND(Q2818*F2818*R2818,2)</f>
        <v>65.25</v>
      </c>
      <c r="T2818" s="1">
        <f t="shared" ref="T2818:T2881" si="177">IF(M2818="Paid",S2818-J2818,"")</f>
        <v>3.2700000000000031</v>
      </c>
      <c r="U2818" s="1" t="str">
        <f t="shared" ref="U2818:U2881" si="178">IF(M2818&lt;&gt;"Paid","",IF(T2818&gt;S2818*0.05,"Underpaid","OK"))</f>
        <v>Underpaid</v>
      </c>
      <c r="V2818" s="1" t="str">
        <f>_xlfn.XLOOKUP(C2818,Payers!$A$2:$A$9,Payers!$B$2:$B$9)</f>
        <v>Blue Horizon Commercial</v>
      </c>
      <c r="W2818" s="1" t="str">
        <f t="shared" ref="W2818:W2881" si="179">TEXT(G2818,"yyyy-mm")</f>
        <v>2025-10</v>
      </c>
    </row>
    <row r="2819" spans="1:23">
      <c r="A2819" s="1" t="s">
        <v>4809</v>
      </c>
      <c r="B2819" s="1" t="s">
        <v>3675</v>
      </c>
      <c r="C2819" s="1" t="s">
        <v>25</v>
      </c>
      <c r="D2819" s="1" t="s">
        <v>19</v>
      </c>
      <c r="E2819" s="1" t="s">
        <v>41</v>
      </c>
      <c r="F2819">
        <v>1</v>
      </c>
      <c r="G2819" s="2">
        <v>46202</v>
      </c>
      <c r="H2819" s="2">
        <v>46203</v>
      </c>
      <c r="I2819">
        <v>38.049999999999997</v>
      </c>
      <c r="J2819">
        <v>13.75</v>
      </c>
      <c r="K2819">
        <v>13.75</v>
      </c>
      <c r="L2819">
        <v>0</v>
      </c>
      <c r="M2819" s="1" t="s">
        <v>21</v>
      </c>
      <c r="N2819" s="1" t="s">
        <v>22</v>
      </c>
      <c r="O2819" s="2">
        <v>46217</v>
      </c>
      <c r="P2819" s="2">
        <v>46217</v>
      </c>
      <c r="Q2819">
        <f>_xlfn.XLOOKUP(E2819,CPT!$A$2:$A$13,CPT!$D$2:$D$13)</f>
        <v>38</v>
      </c>
      <c r="R2819" s="1">
        <f>_xlfn.XLOOKUP(C2819,Contract!$A$2:$A$9,Contract!$B$2:$B$9)</f>
        <v>0.36</v>
      </c>
      <c r="S2819" s="1">
        <f t="shared" si="176"/>
        <v>13.68</v>
      </c>
      <c r="T2819" s="1">
        <f t="shared" si="177"/>
        <v>-7.0000000000000284E-2</v>
      </c>
      <c r="U2819" s="1" t="str">
        <f t="shared" si="178"/>
        <v>OK</v>
      </c>
      <c r="V2819" s="1" t="str">
        <f>_xlfn.XLOOKUP(C2819,Payers!$A$2:$A$9,Payers!$B$2:$B$9)</f>
        <v>Medicare Part B</v>
      </c>
      <c r="W2819" s="1" t="str">
        <f t="shared" si="179"/>
        <v>2026-06</v>
      </c>
    </row>
    <row r="2820" spans="1:23">
      <c r="A2820" s="1" t="s">
        <v>4810</v>
      </c>
      <c r="B2820" s="1" t="s">
        <v>4811</v>
      </c>
      <c r="C2820" s="1" t="s">
        <v>60</v>
      </c>
      <c r="D2820" s="1" t="s">
        <v>30</v>
      </c>
      <c r="E2820" s="1" t="s">
        <v>31</v>
      </c>
      <c r="F2820">
        <v>3</v>
      </c>
      <c r="G2820" s="2">
        <v>46224</v>
      </c>
      <c r="H2820" s="2">
        <v>46228</v>
      </c>
      <c r="I2820">
        <v>182.13</v>
      </c>
      <c r="J2820">
        <v>92.62</v>
      </c>
      <c r="K2820">
        <v>83.36</v>
      </c>
      <c r="L2820">
        <v>9.26</v>
      </c>
      <c r="M2820" s="1" t="s">
        <v>21</v>
      </c>
      <c r="N2820" s="1" t="s">
        <v>22</v>
      </c>
      <c r="O2820" s="2">
        <v>46246</v>
      </c>
      <c r="P2820" s="2">
        <v>46246</v>
      </c>
      <c r="Q2820">
        <f>_xlfn.XLOOKUP(E2820,CPT!$A$2:$A$13,CPT!$D$2:$D$13)</f>
        <v>62</v>
      </c>
      <c r="R2820" s="1">
        <f>_xlfn.XLOOKUP(C2820,Contract!$A$2:$A$9,Contract!$B$2:$B$9)</f>
        <v>0.45</v>
      </c>
      <c r="S2820" s="1">
        <f t="shared" si="176"/>
        <v>83.7</v>
      </c>
      <c r="T2820" s="1">
        <f t="shared" si="177"/>
        <v>-8.9200000000000017</v>
      </c>
      <c r="U2820" s="1" t="str">
        <f t="shared" si="178"/>
        <v>OK</v>
      </c>
      <c r="V2820" s="1" t="str">
        <f>_xlfn.XLOOKUP(C2820,Payers!$A$2:$A$9,Payers!$B$2:$B$9)</f>
        <v>Blue Horizon Commercial</v>
      </c>
      <c r="W2820" s="1" t="str">
        <f t="shared" si="179"/>
        <v>2026-07</v>
      </c>
    </row>
    <row r="2821" spans="1:23">
      <c r="A2821" s="1" t="s">
        <v>4812</v>
      </c>
      <c r="B2821" s="1" t="s">
        <v>4687</v>
      </c>
      <c r="C2821" s="1" t="s">
        <v>60</v>
      </c>
      <c r="D2821" s="1" t="s">
        <v>30</v>
      </c>
      <c r="E2821" s="1" t="s">
        <v>31</v>
      </c>
      <c r="F2821">
        <v>1</v>
      </c>
      <c r="G2821" s="2">
        <v>46013</v>
      </c>
      <c r="H2821" s="2">
        <v>46022</v>
      </c>
      <c r="I2821">
        <v>60.83</v>
      </c>
      <c r="J2821">
        <v>31.03</v>
      </c>
      <c r="K2821">
        <v>24.82</v>
      </c>
      <c r="L2821">
        <v>6.21</v>
      </c>
      <c r="M2821" s="1" t="s">
        <v>21</v>
      </c>
      <c r="N2821" s="1" t="s">
        <v>22</v>
      </c>
      <c r="O2821" s="2">
        <v>46049</v>
      </c>
      <c r="P2821" s="2">
        <v>46049</v>
      </c>
      <c r="Q2821">
        <f>_xlfn.XLOOKUP(E2821,CPT!$A$2:$A$13,CPT!$D$2:$D$13)</f>
        <v>62</v>
      </c>
      <c r="R2821" s="1">
        <f>_xlfn.XLOOKUP(C2821,Contract!$A$2:$A$9,Contract!$B$2:$B$9)</f>
        <v>0.45</v>
      </c>
      <c r="S2821" s="1">
        <f t="shared" si="176"/>
        <v>27.9</v>
      </c>
      <c r="T2821" s="1">
        <f t="shared" si="177"/>
        <v>-3.1300000000000026</v>
      </c>
      <c r="U2821" s="1" t="str">
        <f t="shared" si="178"/>
        <v>OK</v>
      </c>
      <c r="V2821" s="1" t="str">
        <f>_xlfn.XLOOKUP(C2821,Payers!$A$2:$A$9,Payers!$B$2:$B$9)</f>
        <v>Blue Horizon Commercial</v>
      </c>
      <c r="W2821" s="1" t="str">
        <f t="shared" si="179"/>
        <v>2025-12</v>
      </c>
    </row>
    <row r="2822" spans="1:23">
      <c r="A2822" s="1" t="s">
        <v>4813</v>
      </c>
      <c r="B2822" s="1" t="s">
        <v>4814</v>
      </c>
      <c r="C2822" s="1" t="s">
        <v>18</v>
      </c>
      <c r="D2822" s="1" t="s">
        <v>26</v>
      </c>
      <c r="E2822" s="1" t="s">
        <v>57</v>
      </c>
      <c r="F2822">
        <v>1</v>
      </c>
      <c r="G2822" s="2">
        <v>46090</v>
      </c>
      <c r="H2822" s="2">
        <v>46099</v>
      </c>
      <c r="I2822">
        <v>212.92</v>
      </c>
      <c r="J2822">
        <v>82.08</v>
      </c>
      <c r="K2822">
        <v>73.87</v>
      </c>
      <c r="L2822">
        <v>8.2100000000000009</v>
      </c>
      <c r="M2822" s="1" t="s">
        <v>21</v>
      </c>
      <c r="N2822" s="1" t="s">
        <v>22</v>
      </c>
      <c r="O2822" s="2">
        <v>46156</v>
      </c>
      <c r="P2822" s="2">
        <v>46156</v>
      </c>
      <c r="Q2822">
        <f>_xlfn.XLOOKUP(E2822,CPT!$A$2:$A$13,CPT!$D$2:$D$13)</f>
        <v>210</v>
      </c>
      <c r="R2822" s="1">
        <f>_xlfn.XLOOKUP(C2822,Contract!$A$2:$A$9,Contract!$B$2:$B$9)</f>
        <v>0.38</v>
      </c>
      <c r="S2822" s="1">
        <f t="shared" si="176"/>
        <v>79.8</v>
      </c>
      <c r="T2822" s="1">
        <f t="shared" si="177"/>
        <v>-2.2800000000000011</v>
      </c>
      <c r="U2822" s="1" t="str">
        <f t="shared" si="178"/>
        <v>OK</v>
      </c>
      <c r="V2822" s="1" t="str">
        <f>_xlfn.XLOOKUP(C2822,Payers!$A$2:$A$9,Payers!$B$2:$B$9)</f>
        <v>Sunshine Medicare Advantage</v>
      </c>
      <c r="W2822" s="1" t="str">
        <f t="shared" si="179"/>
        <v>2026-03</v>
      </c>
    </row>
    <row r="2823" spans="1:23">
      <c r="A2823" s="1" t="s">
        <v>4815</v>
      </c>
      <c r="B2823" s="1" t="s">
        <v>4816</v>
      </c>
      <c r="C2823" s="1" t="s">
        <v>76</v>
      </c>
      <c r="D2823" s="1" t="s">
        <v>19</v>
      </c>
      <c r="E2823" s="1" t="s">
        <v>41</v>
      </c>
      <c r="F2823">
        <v>1</v>
      </c>
      <c r="G2823" s="2">
        <v>46166</v>
      </c>
      <c r="H2823" s="2">
        <v>46169</v>
      </c>
      <c r="I2823">
        <v>36.9</v>
      </c>
      <c r="J2823">
        <v>18.22</v>
      </c>
      <c r="K2823">
        <v>16.399999999999999</v>
      </c>
      <c r="L2823">
        <v>1.82</v>
      </c>
      <c r="M2823" s="1" t="s">
        <v>21</v>
      </c>
      <c r="N2823" s="1" t="s">
        <v>22</v>
      </c>
      <c r="O2823" s="2">
        <v>46189</v>
      </c>
      <c r="P2823" s="2">
        <v>46189</v>
      </c>
      <c r="Q2823">
        <f>_xlfn.XLOOKUP(E2823,CPT!$A$2:$A$13,CPT!$D$2:$D$13)</f>
        <v>38</v>
      </c>
      <c r="R2823" s="1">
        <f>_xlfn.XLOOKUP(C2823,Contract!$A$2:$A$9,Contract!$B$2:$B$9)</f>
        <v>0.43</v>
      </c>
      <c r="S2823" s="1">
        <f t="shared" si="176"/>
        <v>16.34</v>
      </c>
      <c r="T2823" s="1">
        <f t="shared" si="177"/>
        <v>-1.879999999999999</v>
      </c>
      <c r="U2823" s="1" t="str">
        <f t="shared" si="178"/>
        <v>OK</v>
      </c>
      <c r="V2823" s="1" t="str">
        <f>_xlfn.XLOOKUP(C2823,Payers!$A$2:$A$9,Payers!$B$2:$B$9)</f>
        <v>Summit Health Commercial</v>
      </c>
      <c r="W2823" s="1" t="str">
        <f t="shared" si="179"/>
        <v>2026-05</v>
      </c>
    </row>
    <row r="2824" spans="1:23">
      <c r="A2824" s="1" t="s">
        <v>4817</v>
      </c>
      <c r="B2824" s="1" t="s">
        <v>4818</v>
      </c>
      <c r="C2824" s="1" t="s">
        <v>79</v>
      </c>
      <c r="D2824" s="1" t="s">
        <v>26</v>
      </c>
      <c r="E2824" s="1" t="s">
        <v>41</v>
      </c>
      <c r="F2824">
        <v>1</v>
      </c>
      <c r="G2824" s="2">
        <v>46124</v>
      </c>
      <c r="H2824" s="2">
        <v>46125</v>
      </c>
      <c r="I2824">
        <v>39.049999999999997</v>
      </c>
      <c r="J2824">
        <v>39.049999999999997</v>
      </c>
      <c r="K2824">
        <v>39.049999999999997</v>
      </c>
      <c r="L2824">
        <v>0</v>
      </c>
      <c r="M2824" s="1" t="s">
        <v>21</v>
      </c>
      <c r="N2824" s="1" t="s">
        <v>22</v>
      </c>
      <c r="O2824" s="2">
        <v>46187</v>
      </c>
      <c r="P2824" s="2">
        <v>46187</v>
      </c>
      <c r="Q2824">
        <f>_xlfn.XLOOKUP(E2824,CPT!$A$2:$A$13,CPT!$D$2:$D$13)</f>
        <v>38</v>
      </c>
      <c r="R2824" s="1">
        <f>_xlfn.XLOOKUP(C2824,Contract!$A$2:$A$9,Contract!$B$2:$B$9)</f>
        <v>1</v>
      </c>
      <c r="S2824" s="1">
        <f t="shared" si="176"/>
        <v>38</v>
      </c>
      <c r="T2824" s="1">
        <f t="shared" si="177"/>
        <v>-1.0499999999999972</v>
      </c>
      <c r="U2824" s="1" t="str">
        <f t="shared" si="178"/>
        <v>OK</v>
      </c>
      <c r="V2824" s="1" t="str">
        <f>_xlfn.XLOOKUP(C2824,Payers!$A$2:$A$9,Payers!$B$2:$B$9)</f>
        <v>Self-Pay</v>
      </c>
      <c r="W2824" s="1" t="str">
        <f t="shared" si="179"/>
        <v>2026-04</v>
      </c>
    </row>
    <row r="2825" spans="1:23">
      <c r="A2825" s="1" t="s">
        <v>4819</v>
      </c>
      <c r="B2825" s="1" t="s">
        <v>4820</v>
      </c>
      <c r="C2825" s="1" t="s">
        <v>25</v>
      </c>
      <c r="D2825" s="1" t="s">
        <v>37</v>
      </c>
      <c r="E2825" s="1" t="s">
        <v>57</v>
      </c>
      <c r="F2825">
        <v>1</v>
      </c>
      <c r="G2825" s="2">
        <v>45992</v>
      </c>
      <c r="H2825" s="2">
        <v>46003</v>
      </c>
      <c r="I2825">
        <v>211.02</v>
      </c>
      <c r="J2825">
        <v>76.05</v>
      </c>
      <c r="K2825">
        <v>76.05</v>
      </c>
      <c r="L2825">
        <v>0</v>
      </c>
      <c r="M2825" s="1" t="s">
        <v>21</v>
      </c>
      <c r="N2825" s="1" t="s">
        <v>22</v>
      </c>
      <c r="O2825" s="2">
        <v>46020</v>
      </c>
      <c r="P2825" s="2">
        <v>46020</v>
      </c>
      <c r="Q2825">
        <f>_xlfn.XLOOKUP(E2825,CPT!$A$2:$A$13,CPT!$D$2:$D$13)</f>
        <v>210</v>
      </c>
      <c r="R2825" s="1">
        <f>_xlfn.XLOOKUP(C2825,Contract!$A$2:$A$9,Contract!$B$2:$B$9)</f>
        <v>0.36</v>
      </c>
      <c r="S2825" s="1">
        <f t="shared" si="176"/>
        <v>75.599999999999994</v>
      </c>
      <c r="T2825" s="1">
        <f t="shared" si="177"/>
        <v>-0.45000000000000284</v>
      </c>
      <c r="U2825" s="1" t="str">
        <f t="shared" si="178"/>
        <v>OK</v>
      </c>
      <c r="V2825" s="1" t="str">
        <f>_xlfn.XLOOKUP(C2825,Payers!$A$2:$A$9,Payers!$B$2:$B$9)</f>
        <v>Medicare Part B</v>
      </c>
      <c r="W2825" s="1" t="str">
        <f t="shared" si="179"/>
        <v>2025-12</v>
      </c>
    </row>
    <row r="2826" spans="1:23">
      <c r="A2826" s="1" t="s">
        <v>4821</v>
      </c>
      <c r="B2826" s="1" t="s">
        <v>4822</v>
      </c>
      <c r="C2826" s="1" t="s">
        <v>18</v>
      </c>
      <c r="D2826" s="1" t="s">
        <v>19</v>
      </c>
      <c r="E2826" s="1" t="s">
        <v>88</v>
      </c>
      <c r="F2826">
        <v>1</v>
      </c>
      <c r="G2826" s="2">
        <v>45999</v>
      </c>
      <c r="H2826" s="2">
        <v>46004</v>
      </c>
      <c r="I2826">
        <v>258.86</v>
      </c>
      <c r="M2826" s="1" t="s">
        <v>32</v>
      </c>
      <c r="N2826" s="1" t="s">
        <v>33</v>
      </c>
      <c r="O2826" s="2">
        <v>46076</v>
      </c>
      <c r="P2826" s="2"/>
      <c r="Q2826">
        <f>_xlfn.XLOOKUP(E2826,CPT!$A$2:$A$13,CPT!$D$2:$D$13)</f>
        <v>260</v>
      </c>
      <c r="R2826" s="1">
        <f>_xlfn.XLOOKUP(C2826,Contract!$A$2:$A$9,Contract!$B$2:$B$9)</f>
        <v>0.38</v>
      </c>
      <c r="S2826" s="1">
        <f t="shared" si="176"/>
        <v>98.8</v>
      </c>
      <c r="T2826" s="1" t="str">
        <f t="shared" si="177"/>
        <v/>
      </c>
      <c r="U2826" s="1" t="str">
        <f t="shared" si="178"/>
        <v/>
      </c>
      <c r="V2826" s="1" t="str">
        <f>_xlfn.XLOOKUP(C2826,Payers!$A$2:$A$9,Payers!$B$2:$B$9)</f>
        <v>Sunshine Medicare Advantage</v>
      </c>
      <c r="W2826" s="1" t="str">
        <f t="shared" si="179"/>
        <v>2025-12</v>
      </c>
    </row>
    <row r="2827" spans="1:23">
      <c r="A2827" s="1" t="s">
        <v>4823</v>
      </c>
      <c r="B2827" s="1" t="s">
        <v>4824</v>
      </c>
      <c r="C2827" s="1" t="s">
        <v>25</v>
      </c>
      <c r="D2827" s="1" t="s">
        <v>30</v>
      </c>
      <c r="E2827" s="1" t="s">
        <v>91</v>
      </c>
      <c r="F2827">
        <v>1</v>
      </c>
      <c r="G2827" s="2">
        <v>46270</v>
      </c>
      <c r="H2827" s="2">
        <v>46273</v>
      </c>
      <c r="I2827">
        <v>59.39</v>
      </c>
      <c r="M2827" s="1" t="s">
        <v>32</v>
      </c>
      <c r="N2827" s="1" t="s">
        <v>33</v>
      </c>
      <c r="O2827" s="2">
        <v>46286</v>
      </c>
      <c r="P2827" s="2"/>
      <c r="Q2827">
        <f>_xlfn.XLOOKUP(E2827,CPT!$A$2:$A$13,CPT!$D$2:$D$13)</f>
        <v>58</v>
      </c>
      <c r="R2827" s="1">
        <f>_xlfn.XLOOKUP(C2827,Contract!$A$2:$A$9,Contract!$B$2:$B$9)</f>
        <v>0.36</v>
      </c>
      <c r="S2827" s="1">
        <f t="shared" si="176"/>
        <v>20.88</v>
      </c>
      <c r="T2827" s="1" t="str">
        <f t="shared" si="177"/>
        <v/>
      </c>
      <c r="U2827" s="1" t="str">
        <f t="shared" si="178"/>
        <v/>
      </c>
      <c r="V2827" s="1" t="str">
        <f>_xlfn.XLOOKUP(C2827,Payers!$A$2:$A$9,Payers!$B$2:$B$9)</f>
        <v>Medicare Part B</v>
      </c>
      <c r="W2827" s="1" t="str">
        <f t="shared" si="179"/>
        <v>2026-09</v>
      </c>
    </row>
    <row r="2828" spans="1:23">
      <c r="A2828" s="1" t="s">
        <v>4825</v>
      </c>
      <c r="B2828" s="1" t="s">
        <v>1238</v>
      </c>
      <c r="C2828" s="1" t="s">
        <v>47</v>
      </c>
      <c r="D2828" s="1" t="s">
        <v>26</v>
      </c>
      <c r="E2828" s="1" t="s">
        <v>41</v>
      </c>
      <c r="F2828">
        <v>1</v>
      </c>
      <c r="G2828" s="2">
        <v>46036</v>
      </c>
      <c r="H2828" s="2">
        <v>46039</v>
      </c>
      <c r="I2828">
        <v>39.14</v>
      </c>
      <c r="J2828">
        <v>11.19</v>
      </c>
      <c r="K2828">
        <v>10.07</v>
      </c>
      <c r="L2828">
        <v>1.1200000000000001</v>
      </c>
      <c r="M2828" s="1" t="s">
        <v>21</v>
      </c>
      <c r="N2828" s="1" t="s">
        <v>22</v>
      </c>
      <c r="O2828" s="2">
        <v>46108</v>
      </c>
      <c r="P2828" s="2">
        <v>46108</v>
      </c>
      <c r="Q2828">
        <f>_xlfn.XLOOKUP(E2828,CPT!$A$2:$A$13,CPT!$D$2:$D$13)</f>
        <v>38</v>
      </c>
      <c r="R2828" s="1">
        <f>_xlfn.XLOOKUP(C2828,Contract!$A$2:$A$9,Contract!$B$2:$B$9)</f>
        <v>0.28000000000000003</v>
      </c>
      <c r="S2828" s="1">
        <f t="shared" si="176"/>
        <v>10.64</v>
      </c>
      <c r="T2828" s="1">
        <f t="shared" si="177"/>
        <v>-0.54999999999999893</v>
      </c>
      <c r="U2828" s="1" t="str">
        <f t="shared" si="178"/>
        <v>OK</v>
      </c>
      <c r="V2828" s="1" t="str">
        <f>_xlfn.XLOOKUP(C2828,Payers!$A$2:$A$9,Payers!$B$2:$B$9)</f>
        <v>Coastal Medicaid MCO</v>
      </c>
      <c r="W2828" s="1" t="str">
        <f t="shared" si="179"/>
        <v>2026-01</v>
      </c>
    </row>
    <row r="2829" spans="1:23">
      <c r="A2829" s="1" t="s">
        <v>4826</v>
      </c>
      <c r="B2829" s="1" t="s">
        <v>1747</v>
      </c>
      <c r="C2829" s="1" t="s">
        <v>60</v>
      </c>
      <c r="D2829" s="1" t="s">
        <v>19</v>
      </c>
      <c r="E2829" s="1" t="s">
        <v>20</v>
      </c>
      <c r="F2829">
        <v>1</v>
      </c>
      <c r="G2829" s="2">
        <v>46064</v>
      </c>
      <c r="H2829" s="2">
        <v>46065</v>
      </c>
      <c r="I2829">
        <v>142.22999999999999</v>
      </c>
      <c r="J2829">
        <v>58.73</v>
      </c>
      <c r="K2829">
        <v>58.73</v>
      </c>
      <c r="L2829">
        <v>0</v>
      </c>
      <c r="M2829" s="1" t="s">
        <v>21</v>
      </c>
      <c r="N2829" s="1" t="s">
        <v>22</v>
      </c>
      <c r="O2829" s="2">
        <v>46092</v>
      </c>
      <c r="P2829" s="2">
        <v>46092</v>
      </c>
      <c r="Q2829">
        <f>_xlfn.XLOOKUP(E2829,CPT!$A$2:$A$13,CPT!$D$2:$D$13)</f>
        <v>145</v>
      </c>
      <c r="R2829" s="1">
        <f>_xlfn.XLOOKUP(C2829,Contract!$A$2:$A$9,Contract!$B$2:$B$9)</f>
        <v>0.45</v>
      </c>
      <c r="S2829" s="1">
        <f t="shared" si="176"/>
        <v>65.25</v>
      </c>
      <c r="T2829" s="1">
        <f t="shared" si="177"/>
        <v>6.5200000000000031</v>
      </c>
      <c r="U2829" s="1" t="str">
        <f t="shared" si="178"/>
        <v>Underpaid</v>
      </c>
      <c r="V2829" s="1" t="str">
        <f>_xlfn.XLOOKUP(C2829,Payers!$A$2:$A$9,Payers!$B$2:$B$9)</f>
        <v>Blue Horizon Commercial</v>
      </c>
      <c r="W2829" s="1" t="str">
        <f t="shared" si="179"/>
        <v>2026-02</v>
      </c>
    </row>
    <row r="2830" spans="1:23">
      <c r="A2830" s="1" t="s">
        <v>4827</v>
      </c>
      <c r="B2830" s="1" t="s">
        <v>544</v>
      </c>
      <c r="C2830" s="1" t="s">
        <v>60</v>
      </c>
      <c r="D2830" s="1" t="s">
        <v>30</v>
      </c>
      <c r="E2830" s="1" t="s">
        <v>31</v>
      </c>
      <c r="F2830">
        <v>4</v>
      </c>
      <c r="G2830" s="2">
        <v>46141</v>
      </c>
      <c r="H2830" s="2">
        <v>46143</v>
      </c>
      <c r="I2830">
        <v>245.59</v>
      </c>
      <c r="J2830">
        <v>112.32</v>
      </c>
      <c r="K2830">
        <v>101.09</v>
      </c>
      <c r="L2830">
        <v>11.23</v>
      </c>
      <c r="M2830" s="1" t="s">
        <v>21</v>
      </c>
      <c r="N2830" s="1" t="s">
        <v>22</v>
      </c>
      <c r="O2830" s="2">
        <v>46165</v>
      </c>
      <c r="P2830" s="2">
        <v>46165</v>
      </c>
      <c r="Q2830">
        <f>_xlfn.XLOOKUP(E2830,CPT!$A$2:$A$13,CPT!$D$2:$D$13)</f>
        <v>62</v>
      </c>
      <c r="R2830" s="1">
        <f>_xlfn.XLOOKUP(C2830,Contract!$A$2:$A$9,Contract!$B$2:$B$9)</f>
        <v>0.45</v>
      </c>
      <c r="S2830" s="1">
        <f t="shared" si="176"/>
        <v>111.6</v>
      </c>
      <c r="T2830" s="1">
        <f t="shared" si="177"/>
        <v>-0.71999999999999886</v>
      </c>
      <c r="U2830" s="1" t="str">
        <f t="shared" si="178"/>
        <v>OK</v>
      </c>
      <c r="V2830" s="1" t="str">
        <f>_xlfn.XLOOKUP(C2830,Payers!$A$2:$A$9,Payers!$B$2:$B$9)</f>
        <v>Blue Horizon Commercial</v>
      </c>
      <c r="W2830" s="1" t="str">
        <f t="shared" si="179"/>
        <v>2026-04</v>
      </c>
    </row>
    <row r="2831" spans="1:23">
      <c r="A2831" s="1" t="s">
        <v>4828</v>
      </c>
      <c r="B2831" s="1" t="s">
        <v>4829</v>
      </c>
      <c r="C2831" s="1" t="s">
        <v>52</v>
      </c>
      <c r="D2831" s="1" t="s">
        <v>26</v>
      </c>
      <c r="E2831" s="1" t="s">
        <v>57</v>
      </c>
      <c r="F2831">
        <v>1</v>
      </c>
      <c r="G2831" s="2">
        <v>46032</v>
      </c>
      <c r="H2831" s="2">
        <v>46033</v>
      </c>
      <c r="I2831">
        <v>215.31</v>
      </c>
      <c r="J2831">
        <v>92.03</v>
      </c>
      <c r="K2831">
        <v>73.62</v>
      </c>
      <c r="L2831">
        <v>18.41</v>
      </c>
      <c r="M2831" s="1" t="s">
        <v>21</v>
      </c>
      <c r="N2831" s="1" t="s">
        <v>22</v>
      </c>
      <c r="O2831" s="2">
        <v>46068</v>
      </c>
      <c r="P2831" s="2">
        <v>46068</v>
      </c>
      <c r="Q2831">
        <f>_xlfn.XLOOKUP(E2831,CPT!$A$2:$A$13,CPT!$D$2:$D$13)</f>
        <v>210</v>
      </c>
      <c r="R2831" s="1">
        <f>_xlfn.XLOOKUP(C2831,Contract!$A$2:$A$9,Contract!$B$2:$B$9)</f>
        <v>0.47</v>
      </c>
      <c r="S2831" s="1">
        <f t="shared" si="176"/>
        <v>98.7</v>
      </c>
      <c r="T2831" s="1">
        <f t="shared" si="177"/>
        <v>6.6700000000000017</v>
      </c>
      <c r="U2831" s="1" t="str">
        <f t="shared" si="178"/>
        <v>Underpaid</v>
      </c>
      <c r="V2831" s="1" t="str">
        <f>_xlfn.XLOOKUP(C2831,Payers!$A$2:$A$9,Payers!$B$2:$B$9)</f>
        <v>Keystone Commercial PPO</v>
      </c>
      <c r="W2831" s="1" t="str">
        <f t="shared" si="179"/>
        <v>2026-01</v>
      </c>
    </row>
    <row r="2832" spans="1:23">
      <c r="A2832" s="1" t="s">
        <v>4830</v>
      </c>
      <c r="B2832" s="1" t="s">
        <v>4831</v>
      </c>
      <c r="C2832" s="1" t="s">
        <v>52</v>
      </c>
      <c r="D2832" s="1" t="s">
        <v>19</v>
      </c>
      <c r="E2832" s="1" t="s">
        <v>57</v>
      </c>
      <c r="F2832">
        <v>1</v>
      </c>
      <c r="G2832" s="2">
        <v>46167</v>
      </c>
      <c r="H2832" s="2">
        <v>46170</v>
      </c>
      <c r="I2832">
        <v>209.09</v>
      </c>
      <c r="J2832">
        <v>100.88</v>
      </c>
      <c r="K2832">
        <v>100.88</v>
      </c>
      <c r="L2832">
        <v>0</v>
      </c>
      <c r="M2832" s="1" t="s">
        <v>21</v>
      </c>
      <c r="N2832" s="1" t="s">
        <v>22</v>
      </c>
      <c r="O2832" s="2">
        <v>46203</v>
      </c>
      <c r="P2832" s="2">
        <v>46203</v>
      </c>
      <c r="Q2832">
        <f>_xlfn.XLOOKUP(E2832,CPT!$A$2:$A$13,CPT!$D$2:$D$13)</f>
        <v>210</v>
      </c>
      <c r="R2832" s="1">
        <f>_xlfn.XLOOKUP(C2832,Contract!$A$2:$A$9,Contract!$B$2:$B$9)</f>
        <v>0.47</v>
      </c>
      <c r="S2832" s="1">
        <f t="shared" si="176"/>
        <v>98.7</v>
      </c>
      <c r="T2832" s="1">
        <f t="shared" si="177"/>
        <v>-2.1799999999999926</v>
      </c>
      <c r="U2832" s="1" t="str">
        <f t="shared" si="178"/>
        <v>OK</v>
      </c>
      <c r="V2832" s="1" t="str">
        <f>_xlfn.XLOOKUP(C2832,Payers!$A$2:$A$9,Payers!$B$2:$B$9)</f>
        <v>Keystone Commercial PPO</v>
      </c>
      <c r="W2832" s="1" t="str">
        <f t="shared" si="179"/>
        <v>2026-05</v>
      </c>
    </row>
    <row r="2833" spans="1:23">
      <c r="A2833" s="1" t="s">
        <v>4832</v>
      </c>
      <c r="B2833" s="1" t="s">
        <v>1165</v>
      </c>
      <c r="C2833" s="1" t="s">
        <v>60</v>
      </c>
      <c r="D2833" s="1" t="s">
        <v>30</v>
      </c>
      <c r="E2833" s="1" t="s">
        <v>91</v>
      </c>
      <c r="F2833">
        <v>3</v>
      </c>
      <c r="G2833" s="2">
        <v>46062</v>
      </c>
      <c r="H2833" s="2">
        <v>46064</v>
      </c>
      <c r="I2833">
        <v>169.54</v>
      </c>
      <c r="J2833">
        <v>64.98</v>
      </c>
      <c r="K2833">
        <v>58.48</v>
      </c>
      <c r="L2833">
        <v>6.5</v>
      </c>
      <c r="M2833" s="1" t="s">
        <v>21</v>
      </c>
      <c r="N2833" s="1" t="s">
        <v>22</v>
      </c>
      <c r="O2833" s="2">
        <v>46100</v>
      </c>
      <c r="P2833" s="2">
        <v>46100</v>
      </c>
      <c r="Q2833">
        <f>_xlfn.XLOOKUP(E2833,CPT!$A$2:$A$13,CPT!$D$2:$D$13)</f>
        <v>58</v>
      </c>
      <c r="R2833" s="1">
        <f>_xlfn.XLOOKUP(C2833,Contract!$A$2:$A$9,Contract!$B$2:$B$9)</f>
        <v>0.45</v>
      </c>
      <c r="S2833" s="1">
        <f t="shared" si="176"/>
        <v>78.3</v>
      </c>
      <c r="T2833" s="1">
        <f t="shared" si="177"/>
        <v>13.319999999999993</v>
      </c>
      <c r="U2833" s="1" t="str">
        <f t="shared" si="178"/>
        <v>Underpaid</v>
      </c>
      <c r="V2833" s="1" t="str">
        <f>_xlfn.XLOOKUP(C2833,Payers!$A$2:$A$9,Payers!$B$2:$B$9)</f>
        <v>Blue Horizon Commercial</v>
      </c>
      <c r="W2833" s="1" t="str">
        <f t="shared" si="179"/>
        <v>2026-02</v>
      </c>
    </row>
    <row r="2834" spans="1:23">
      <c r="A2834" s="1" t="s">
        <v>4833</v>
      </c>
      <c r="B2834" s="1" t="s">
        <v>4834</v>
      </c>
      <c r="C2834" s="1" t="s">
        <v>36</v>
      </c>
      <c r="D2834" s="1" t="s">
        <v>19</v>
      </c>
      <c r="E2834" s="1" t="s">
        <v>41</v>
      </c>
      <c r="F2834">
        <v>1</v>
      </c>
      <c r="G2834" s="2">
        <v>46029</v>
      </c>
      <c r="H2834" s="2">
        <v>46033</v>
      </c>
      <c r="I2834">
        <v>37.32</v>
      </c>
      <c r="J2834">
        <v>10.050000000000001</v>
      </c>
      <c r="K2834">
        <v>10.050000000000001</v>
      </c>
      <c r="L2834">
        <v>0</v>
      </c>
      <c r="M2834" s="1" t="s">
        <v>21</v>
      </c>
      <c r="N2834" s="1" t="s">
        <v>22</v>
      </c>
      <c r="O2834" s="2">
        <v>46063</v>
      </c>
      <c r="P2834" s="2">
        <v>46063</v>
      </c>
      <c r="Q2834">
        <f>_xlfn.XLOOKUP(E2834,CPT!$A$2:$A$13,CPT!$D$2:$D$13)</f>
        <v>38</v>
      </c>
      <c r="R2834" s="1">
        <f>_xlfn.XLOOKUP(C2834,Contract!$A$2:$A$9,Contract!$B$2:$B$9)</f>
        <v>0.27</v>
      </c>
      <c r="S2834" s="1">
        <f t="shared" si="176"/>
        <v>10.26</v>
      </c>
      <c r="T2834" s="1">
        <f t="shared" si="177"/>
        <v>0.20999999999999908</v>
      </c>
      <c r="U2834" s="1" t="str">
        <f t="shared" si="178"/>
        <v>OK</v>
      </c>
      <c r="V2834" s="1" t="str">
        <f>_xlfn.XLOOKUP(C2834,Payers!$A$2:$A$9,Payers!$B$2:$B$9)</f>
        <v>Florida Medicaid</v>
      </c>
      <c r="W2834" s="1" t="str">
        <f t="shared" si="179"/>
        <v>2026-01</v>
      </c>
    </row>
    <row r="2835" spans="1:23">
      <c r="A2835" s="1" t="s">
        <v>4835</v>
      </c>
      <c r="B2835" s="1" t="s">
        <v>4836</v>
      </c>
      <c r="C2835" s="1" t="s">
        <v>60</v>
      </c>
      <c r="D2835" s="1" t="s">
        <v>26</v>
      </c>
      <c r="E2835" s="1" t="s">
        <v>88</v>
      </c>
      <c r="F2835">
        <v>1</v>
      </c>
      <c r="G2835" s="2">
        <v>45985</v>
      </c>
      <c r="H2835" s="2">
        <v>45988</v>
      </c>
      <c r="I2835">
        <v>257.42</v>
      </c>
      <c r="M2835" s="1" t="s">
        <v>32</v>
      </c>
      <c r="N2835" s="1" t="s">
        <v>33</v>
      </c>
      <c r="O2835" s="2">
        <v>46020</v>
      </c>
      <c r="P2835" s="2"/>
      <c r="Q2835">
        <f>_xlfn.XLOOKUP(E2835,CPT!$A$2:$A$13,CPT!$D$2:$D$13)</f>
        <v>260</v>
      </c>
      <c r="R2835" s="1">
        <f>_xlfn.XLOOKUP(C2835,Contract!$A$2:$A$9,Contract!$B$2:$B$9)</f>
        <v>0.45</v>
      </c>
      <c r="S2835" s="1">
        <f t="shared" si="176"/>
        <v>117</v>
      </c>
      <c r="T2835" s="1" t="str">
        <f t="shared" si="177"/>
        <v/>
      </c>
      <c r="U2835" s="1" t="str">
        <f t="shared" si="178"/>
        <v/>
      </c>
      <c r="V2835" s="1" t="str">
        <f>_xlfn.XLOOKUP(C2835,Payers!$A$2:$A$9,Payers!$B$2:$B$9)</f>
        <v>Blue Horizon Commercial</v>
      </c>
      <c r="W2835" s="1" t="str">
        <f t="shared" si="179"/>
        <v>2025-11</v>
      </c>
    </row>
    <row r="2836" spans="1:23">
      <c r="A2836" s="1" t="s">
        <v>4837</v>
      </c>
      <c r="B2836" s="1" t="s">
        <v>3277</v>
      </c>
      <c r="C2836" s="1" t="s">
        <v>18</v>
      </c>
      <c r="D2836" s="1" t="s">
        <v>19</v>
      </c>
      <c r="E2836" s="1" t="s">
        <v>57</v>
      </c>
      <c r="F2836">
        <v>1</v>
      </c>
      <c r="G2836" s="2">
        <v>46064</v>
      </c>
      <c r="H2836" s="2">
        <v>46068</v>
      </c>
      <c r="I2836">
        <v>216.21</v>
      </c>
      <c r="M2836" s="1" t="s">
        <v>32</v>
      </c>
      <c r="N2836" s="1" t="s">
        <v>281</v>
      </c>
      <c r="O2836" s="2">
        <v>46098</v>
      </c>
      <c r="P2836" s="2"/>
      <c r="Q2836">
        <f>_xlfn.XLOOKUP(E2836,CPT!$A$2:$A$13,CPT!$D$2:$D$13)</f>
        <v>210</v>
      </c>
      <c r="R2836" s="1">
        <f>_xlfn.XLOOKUP(C2836,Contract!$A$2:$A$9,Contract!$B$2:$B$9)</f>
        <v>0.38</v>
      </c>
      <c r="S2836" s="1">
        <f t="shared" si="176"/>
        <v>79.8</v>
      </c>
      <c r="T2836" s="1" t="str">
        <f t="shared" si="177"/>
        <v/>
      </c>
      <c r="U2836" s="1" t="str">
        <f t="shared" si="178"/>
        <v/>
      </c>
      <c r="V2836" s="1" t="str">
        <f>_xlfn.XLOOKUP(C2836,Payers!$A$2:$A$9,Payers!$B$2:$B$9)</f>
        <v>Sunshine Medicare Advantage</v>
      </c>
      <c r="W2836" s="1" t="str">
        <f t="shared" si="179"/>
        <v>2026-02</v>
      </c>
    </row>
    <row r="2837" spans="1:23">
      <c r="A2837" s="1" t="s">
        <v>4838</v>
      </c>
      <c r="B2837" s="1" t="s">
        <v>740</v>
      </c>
      <c r="C2837" s="1" t="s">
        <v>79</v>
      </c>
      <c r="D2837" s="1" t="s">
        <v>37</v>
      </c>
      <c r="E2837" s="1" t="s">
        <v>57</v>
      </c>
      <c r="F2837">
        <v>1</v>
      </c>
      <c r="G2837" s="2">
        <v>46106</v>
      </c>
      <c r="H2837" s="2">
        <v>46109</v>
      </c>
      <c r="I2837">
        <v>216.06</v>
      </c>
      <c r="J2837">
        <v>216.06</v>
      </c>
      <c r="K2837">
        <v>216.06</v>
      </c>
      <c r="L2837">
        <v>0</v>
      </c>
      <c r="M2837" s="1" t="s">
        <v>21</v>
      </c>
      <c r="N2837" s="1" t="s">
        <v>22</v>
      </c>
      <c r="O2837" s="2">
        <v>46208</v>
      </c>
      <c r="P2837" s="2">
        <v>46208</v>
      </c>
      <c r="Q2837">
        <f>_xlfn.XLOOKUP(E2837,CPT!$A$2:$A$13,CPT!$D$2:$D$13)</f>
        <v>210</v>
      </c>
      <c r="R2837" s="1">
        <f>_xlfn.XLOOKUP(C2837,Contract!$A$2:$A$9,Contract!$B$2:$B$9)</f>
        <v>1</v>
      </c>
      <c r="S2837" s="1">
        <f t="shared" si="176"/>
        <v>210</v>
      </c>
      <c r="T2837" s="1">
        <f t="shared" si="177"/>
        <v>-6.0600000000000023</v>
      </c>
      <c r="U2837" s="1" t="str">
        <f t="shared" si="178"/>
        <v>OK</v>
      </c>
      <c r="V2837" s="1" t="str">
        <f>_xlfn.XLOOKUP(C2837,Payers!$A$2:$A$9,Payers!$B$2:$B$9)</f>
        <v>Self-Pay</v>
      </c>
      <c r="W2837" s="1" t="str">
        <f t="shared" si="179"/>
        <v>2026-03</v>
      </c>
    </row>
    <row r="2838" spans="1:23">
      <c r="A2838" s="1" t="s">
        <v>4839</v>
      </c>
      <c r="B2838" s="1" t="s">
        <v>4840</v>
      </c>
      <c r="C2838" s="1" t="s">
        <v>52</v>
      </c>
      <c r="D2838" s="1" t="s">
        <v>19</v>
      </c>
      <c r="E2838" s="1" t="s">
        <v>41</v>
      </c>
      <c r="F2838">
        <v>1</v>
      </c>
      <c r="G2838" s="2">
        <v>46049</v>
      </c>
      <c r="H2838" s="2">
        <v>46050</v>
      </c>
      <c r="I2838">
        <v>37.74</v>
      </c>
      <c r="M2838" s="1" t="s">
        <v>32</v>
      </c>
      <c r="N2838" s="1" t="s">
        <v>98</v>
      </c>
      <c r="O2838" s="2">
        <v>46102</v>
      </c>
      <c r="P2838" s="2"/>
      <c r="Q2838">
        <f>_xlfn.XLOOKUP(E2838,CPT!$A$2:$A$13,CPT!$D$2:$D$13)</f>
        <v>38</v>
      </c>
      <c r="R2838" s="1">
        <f>_xlfn.XLOOKUP(C2838,Contract!$A$2:$A$9,Contract!$B$2:$B$9)</f>
        <v>0.47</v>
      </c>
      <c r="S2838" s="1">
        <f t="shared" si="176"/>
        <v>17.86</v>
      </c>
      <c r="T2838" s="1" t="str">
        <f t="shared" si="177"/>
        <v/>
      </c>
      <c r="U2838" s="1" t="str">
        <f t="shared" si="178"/>
        <v/>
      </c>
      <c r="V2838" s="1" t="str">
        <f>_xlfn.XLOOKUP(C2838,Payers!$A$2:$A$9,Payers!$B$2:$B$9)</f>
        <v>Keystone Commercial PPO</v>
      </c>
      <c r="W2838" s="1" t="str">
        <f t="shared" si="179"/>
        <v>2026-01</v>
      </c>
    </row>
    <row r="2839" spans="1:23">
      <c r="A2839" s="1" t="s">
        <v>4841</v>
      </c>
      <c r="B2839" s="1" t="s">
        <v>253</v>
      </c>
      <c r="C2839" s="1" t="s">
        <v>25</v>
      </c>
      <c r="D2839" s="1" t="s">
        <v>19</v>
      </c>
      <c r="E2839" s="1" t="s">
        <v>41</v>
      </c>
      <c r="F2839">
        <v>1</v>
      </c>
      <c r="G2839" s="2">
        <v>46155</v>
      </c>
      <c r="H2839" s="2">
        <v>46165</v>
      </c>
      <c r="I2839">
        <v>39.1</v>
      </c>
      <c r="J2839">
        <v>14.6</v>
      </c>
      <c r="K2839">
        <v>11.68</v>
      </c>
      <c r="L2839">
        <v>2.92</v>
      </c>
      <c r="M2839" s="1" t="s">
        <v>21</v>
      </c>
      <c r="N2839" s="1" t="s">
        <v>22</v>
      </c>
      <c r="O2839" s="2">
        <v>46174</v>
      </c>
      <c r="P2839" s="2">
        <v>46174</v>
      </c>
      <c r="Q2839">
        <f>_xlfn.XLOOKUP(E2839,CPT!$A$2:$A$13,CPT!$D$2:$D$13)</f>
        <v>38</v>
      </c>
      <c r="R2839" s="1">
        <f>_xlfn.XLOOKUP(C2839,Contract!$A$2:$A$9,Contract!$B$2:$B$9)</f>
        <v>0.36</v>
      </c>
      <c r="S2839" s="1">
        <f t="shared" si="176"/>
        <v>13.68</v>
      </c>
      <c r="T2839" s="1">
        <f t="shared" si="177"/>
        <v>-0.91999999999999993</v>
      </c>
      <c r="U2839" s="1" t="str">
        <f t="shared" si="178"/>
        <v>OK</v>
      </c>
      <c r="V2839" s="1" t="str">
        <f>_xlfn.XLOOKUP(C2839,Payers!$A$2:$A$9,Payers!$B$2:$B$9)</f>
        <v>Medicare Part B</v>
      </c>
      <c r="W2839" s="1" t="str">
        <f t="shared" si="179"/>
        <v>2026-05</v>
      </c>
    </row>
    <row r="2840" spans="1:23">
      <c r="A2840" s="1" t="s">
        <v>4842</v>
      </c>
      <c r="B2840" s="1" t="s">
        <v>4843</v>
      </c>
      <c r="C2840" s="1" t="s">
        <v>76</v>
      </c>
      <c r="D2840" s="1" t="s">
        <v>37</v>
      </c>
      <c r="E2840" s="1" t="s">
        <v>57</v>
      </c>
      <c r="F2840">
        <v>1</v>
      </c>
      <c r="G2840" s="2">
        <v>46280</v>
      </c>
      <c r="H2840" s="2">
        <v>46281</v>
      </c>
      <c r="I2840">
        <v>209.29</v>
      </c>
      <c r="M2840" s="1" t="s">
        <v>69</v>
      </c>
      <c r="N2840" s="1" t="s">
        <v>22</v>
      </c>
      <c r="O2840" s="2"/>
      <c r="P2840" s="2"/>
      <c r="Q2840">
        <f>_xlfn.XLOOKUP(E2840,CPT!$A$2:$A$13,CPT!$D$2:$D$13)</f>
        <v>210</v>
      </c>
      <c r="R2840" s="1">
        <f>_xlfn.XLOOKUP(C2840,Contract!$A$2:$A$9,Contract!$B$2:$B$9)</f>
        <v>0.43</v>
      </c>
      <c r="S2840" s="1">
        <f t="shared" si="176"/>
        <v>90.3</v>
      </c>
      <c r="T2840" s="1" t="str">
        <f t="shared" si="177"/>
        <v/>
      </c>
      <c r="U2840" s="1" t="str">
        <f t="shared" si="178"/>
        <v/>
      </c>
      <c r="V2840" s="1" t="str">
        <f>_xlfn.XLOOKUP(C2840,Payers!$A$2:$A$9,Payers!$B$2:$B$9)</f>
        <v>Summit Health Commercial</v>
      </c>
      <c r="W2840" s="1" t="str">
        <f t="shared" si="179"/>
        <v>2026-09</v>
      </c>
    </row>
    <row r="2841" spans="1:23">
      <c r="A2841" s="1" t="s">
        <v>4844</v>
      </c>
      <c r="B2841" s="1" t="s">
        <v>4845</v>
      </c>
      <c r="C2841" s="1" t="s">
        <v>60</v>
      </c>
      <c r="D2841" s="1" t="s">
        <v>26</v>
      </c>
      <c r="E2841" s="1" t="s">
        <v>27</v>
      </c>
      <c r="F2841">
        <v>1</v>
      </c>
      <c r="G2841" s="2">
        <v>46169</v>
      </c>
      <c r="H2841" s="2">
        <v>46170</v>
      </c>
      <c r="I2841">
        <v>242.53</v>
      </c>
      <c r="J2841">
        <v>116.95</v>
      </c>
      <c r="K2841">
        <v>93.56</v>
      </c>
      <c r="L2841">
        <v>23.39</v>
      </c>
      <c r="M2841" s="1" t="s">
        <v>21</v>
      </c>
      <c r="N2841" s="1" t="s">
        <v>22</v>
      </c>
      <c r="O2841" s="2">
        <v>46198</v>
      </c>
      <c r="P2841" s="2">
        <v>46198</v>
      </c>
      <c r="Q2841">
        <f>_xlfn.XLOOKUP(E2841,CPT!$A$2:$A$13,CPT!$D$2:$D$13)</f>
        <v>240</v>
      </c>
      <c r="R2841" s="1">
        <f>_xlfn.XLOOKUP(C2841,Contract!$A$2:$A$9,Contract!$B$2:$B$9)</f>
        <v>0.45</v>
      </c>
      <c r="S2841" s="1">
        <f t="shared" si="176"/>
        <v>108</v>
      </c>
      <c r="T2841" s="1">
        <f t="shared" si="177"/>
        <v>-8.9500000000000028</v>
      </c>
      <c r="U2841" s="1" t="str">
        <f t="shared" si="178"/>
        <v>OK</v>
      </c>
      <c r="V2841" s="1" t="str">
        <f>_xlfn.XLOOKUP(C2841,Payers!$A$2:$A$9,Payers!$B$2:$B$9)</f>
        <v>Blue Horizon Commercial</v>
      </c>
      <c r="W2841" s="1" t="str">
        <f t="shared" si="179"/>
        <v>2026-05</v>
      </c>
    </row>
    <row r="2842" spans="1:23">
      <c r="A2842" s="1" t="s">
        <v>4846</v>
      </c>
      <c r="B2842" s="1" t="s">
        <v>4847</v>
      </c>
      <c r="C2842" s="1" t="s">
        <v>52</v>
      </c>
      <c r="D2842" s="1" t="s">
        <v>30</v>
      </c>
      <c r="E2842" s="1" t="s">
        <v>20</v>
      </c>
      <c r="F2842">
        <v>1</v>
      </c>
      <c r="G2842" s="2">
        <v>46105</v>
      </c>
      <c r="H2842" s="2">
        <v>46109</v>
      </c>
      <c r="I2842">
        <v>144.18</v>
      </c>
      <c r="J2842">
        <v>69.19</v>
      </c>
      <c r="K2842">
        <v>62.27</v>
      </c>
      <c r="L2842">
        <v>6.92</v>
      </c>
      <c r="M2842" s="1" t="s">
        <v>21</v>
      </c>
      <c r="N2842" s="1" t="s">
        <v>22</v>
      </c>
      <c r="O2842" s="2">
        <v>46154</v>
      </c>
      <c r="P2842" s="2">
        <v>46154</v>
      </c>
      <c r="Q2842">
        <f>_xlfn.XLOOKUP(E2842,CPT!$A$2:$A$13,CPT!$D$2:$D$13)</f>
        <v>145</v>
      </c>
      <c r="R2842" s="1">
        <f>_xlfn.XLOOKUP(C2842,Contract!$A$2:$A$9,Contract!$B$2:$B$9)</f>
        <v>0.47</v>
      </c>
      <c r="S2842" s="1">
        <f t="shared" si="176"/>
        <v>68.150000000000006</v>
      </c>
      <c r="T2842" s="1">
        <f t="shared" si="177"/>
        <v>-1.039999999999992</v>
      </c>
      <c r="U2842" s="1" t="str">
        <f t="shared" si="178"/>
        <v>OK</v>
      </c>
      <c r="V2842" s="1" t="str">
        <f>_xlfn.XLOOKUP(C2842,Payers!$A$2:$A$9,Payers!$B$2:$B$9)</f>
        <v>Keystone Commercial PPO</v>
      </c>
      <c r="W2842" s="1" t="str">
        <f t="shared" si="179"/>
        <v>2026-03</v>
      </c>
    </row>
    <row r="2843" spans="1:23">
      <c r="A2843" s="1" t="s">
        <v>4848</v>
      </c>
      <c r="B2843" s="1" t="s">
        <v>4365</v>
      </c>
      <c r="C2843" s="1" t="s">
        <v>47</v>
      </c>
      <c r="D2843" s="1" t="s">
        <v>19</v>
      </c>
      <c r="E2843" s="1" t="s">
        <v>57</v>
      </c>
      <c r="F2843">
        <v>1</v>
      </c>
      <c r="G2843" s="2">
        <v>46187</v>
      </c>
      <c r="H2843" s="2">
        <v>46201</v>
      </c>
      <c r="I2843">
        <v>208.47</v>
      </c>
      <c r="J2843">
        <v>63.91</v>
      </c>
      <c r="K2843">
        <v>57.52</v>
      </c>
      <c r="L2843">
        <v>6.39</v>
      </c>
      <c r="M2843" s="1" t="s">
        <v>21</v>
      </c>
      <c r="N2843" s="1" t="s">
        <v>22</v>
      </c>
      <c r="O2843" s="2">
        <v>46257</v>
      </c>
      <c r="P2843" s="2">
        <v>46257</v>
      </c>
      <c r="Q2843">
        <f>_xlfn.XLOOKUP(E2843,CPT!$A$2:$A$13,CPT!$D$2:$D$13)</f>
        <v>210</v>
      </c>
      <c r="R2843" s="1">
        <f>_xlfn.XLOOKUP(C2843,Contract!$A$2:$A$9,Contract!$B$2:$B$9)</f>
        <v>0.28000000000000003</v>
      </c>
      <c r="S2843" s="1">
        <f t="shared" si="176"/>
        <v>58.8</v>
      </c>
      <c r="T2843" s="1">
        <f t="shared" si="177"/>
        <v>-5.1099999999999994</v>
      </c>
      <c r="U2843" s="1" t="str">
        <f t="shared" si="178"/>
        <v>OK</v>
      </c>
      <c r="V2843" s="1" t="str">
        <f>_xlfn.XLOOKUP(C2843,Payers!$A$2:$A$9,Payers!$B$2:$B$9)</f>
        <v>Coastal Medicaid MCO</v>
      </c>
      <c r="W2843" s="1" t="str">
        <f t="shared" si="179"/>
        <v>2026-06</v>
      </c>
    </row>
    <row r="2844" spans="1:23">
      <c r="A2844" s="1" t="s">
        <v>4849</v>
      </c>
      <c r="B2844" s="1" t="s">
        <v>4850</v>
      </c>
      <c r="C2844" s="1" t="s">
        <v>47</v>
      </c>
      <c r="D2844" s="1" t="s">
        <v>26</v>
      </c>
      <c r="E2844" s="1" t="s">
        <v>41</v>
      </c>
      <c r="F2844">
        <v>1</v>
      </c>
      <c r="G2844" s="2">
        <v>46141</v>
      </c>
      <c r="H2844" s="2">
        <v>46150</v>
      </c>
      <c r="I2844">
        <v>37.479999999999997</v>
      </c>
      <c r="M2844" s="1" t="s">
        <v>32</v>
      </c>
      <c r="N2844" s="1" t="s">
        <v>124</v>
      </c>
      <c r="O2844" s="2">
        <v>46194</v>
      </c>
      <c r="P2844" s="2"/>
      <c r="Q2844">
        <f>_xlfn.XLOOKUP(E2844,CPT!$A$2:$A$13,CPT!$D$2:$D$13)</f>
        <v>38</v>
      </c>
      <c r="R2844" s="1">
        <f>_xlfn.XLOOKUP(C2844,Contract!$A$2:$A$9,Contract!$B$2:$B$9)</f>
        <v>0.28000000000000003</v>
      </c>
      <c r="S2844" s="1">
        <f t="shared" si="176"/>
        <v>10.64</v>
      </c>
      <c r="T2844" s="1" t="str">
        <f t="shared" si="177"/>
        <v/>
      </c>
      <c r="U2844" s="1" t="str">
        <f t="shared" si="178"/>
        <v/>
      </c>
      <c r="V2844" s="1" t="str">
        <f>_xlfn.XLOOKUP(C2844,Payers!$A$2:$A$9,Payers!$B$2:$B$9)</f>
        <v>Coastal Medicaid MCO</v>
      </c>
      <c r="W2844" s="1" t="str">
        <f t="shared" si="179"/>
        <v>2026-04</v>
      </c>
    </row>
    <row r="2845" spans="1:23">
      <c r="A2845" s="1" t="s">
        <v>4851</v>
      </c>
      <c r="B2845" s="1" t="s">
        <v>4852</v>
      </c>
      <c r="C2845" s="1" t="s">
        <v>25</v>
      </c>
      <c r="D2845" s="1" t="s">
        <v>37</v>
      </c>
      <c r="E2845" s="1" t="s">
        <v>48</v>
      </c>
      <c r="F2845">
        <v>1</v>
      </c>
      <c r="G2845" s="2">
        <v>46066</v>
      </c>
      <c r="H2845" s="2">
        <v>46069</v>
      </c>
      <c r="I2845">
        <v>425.93</v>
      </c>
      <c r="J2845">
        <v>147.96</v>
      </c>
      <c r="K2845">
        <v>133.16</v>
      </c>
      <c r="L2845">
        <v>14.8</v>
      </c>
      <c r="M2845" s="1" t="s">
        <v>21</v>
      </c>
      <c r="N2845" s="1" t="s">
        <v>22</v>
      </c>
      <c r="O2845" s="2">
        <v>46090</v>
      </c>
      <c r="P2845" s="2">
        <v>46090</v>
      </c>
      <c r="Q2845">
        <f>_xlfn.XLOOKUP(E2845,CPT!$A$2:$A$13,CPT!$D$2:$D$13)</f>
        <v>420</v>
      </c>
      <c r="R2845" s="1">
        <f>_xlfn.XLOOKUP(C2845,Contract!$A$2:$A$9,Contract!$B$2:$B$9)</f>
        <v>0.36</v>
      </c>
      <c r="S2845" s="1">
        <f t="shared" si="176"/>
        <v>151.19999999999999</v>
      </c>
      <c r="T2845" s="1">
        <f t="shared" si="177"/>
        <v>3.2399999999999807</v>
      </c>
      <c r="U2845" s="1" t="str">
        <f t="shared" si="178"/>
        <v>OK</v>
      </c>
      <c r="V2845" s="1" t="str">
        <f>_xlfn.XLOOKUP(C2845,Payers!$A$2:$A$9,Payers!$B$2:$B$9)</f>
        <v>Medicare Part B</v>
      </c>
      <c r="W2845" s="1" t="str">
        <f t="shared" si="179"/>
        <v>2026-02</v>
      </c>
    </row>
    <row r="2846" spans="1:23">
      <c r="A2846" s="1" t="s">
        <v>4853</v>
      </c>
      <c r="B2846" s="1" t="s">
        <v>337</v>
      </c>
      <c r="C2846" s="1" t="s">
        <v>79</v>
      </c>
      <c r="D2846" s="1" t="s">
        <v>19</v>
      </c>
      <c r="E2846" s="1" t="s">
        <v>88</v>
      </c>
      <c r="F2846">
        <v>1</v>
      </c>
      <c r="G2846" s="2">
        <v>45971</v>
      </c>
      <c r="H2846" s="2">
        <v>45979</v>
      </c>
      <c r="I2846">
        <v>257.64</v>
      </c>
      <c r="J2846">
        <v>257.64</v>
      </c>
      <c r="K2846">
        <v>257.64</v>
      </c>
      <c r="L2846">
        <v>0</v>
      </c>
      <c r="M2846" s="1" t="s">
        <v>21</v>
      </c>
      <c r="N2846" s="1" t="s">
        <v>22</v>
      </c>
      <c r="O2846" s="2">
        <v>46057</v>
      </c>
      <c r="P2846" s="2">
        <v>46057</v>
      </c>
      <c r="Q2846">
        <f>_xlfn.XLOOKUP(E2846,CPT!$A$2:$A$13,CPT!$D$2:$D$13)</f>
        <v>260</v>
      </c>
      <c r="R2846" s="1">
        <f>_xlfn.XLOOKUP(C2846,Contract!$A$2:$A$9,Contract!$B$2:$B$9)</f>
        <v>1</v>
      </c>
      <c r="S2846" s="1">
        <f t="shared" si="176"/>
        <v>260</v>
      </c>
      <c r="T2846" s="1">
        <f t="shared" si="177"/>
        <v>2.3600000000000136</v>
      </c>
      <c r="U2846" s="1" t="str">
        <f t="shared" si="178"/>
        <v>OK</v>
      </c>
      <c r="V2846" s="1" t="str">
        <f>_xlfn.XLOOKUP(C2846,Payers!$A$2:$A$9,Payers!$B$2:$B$9)</f>
        <v>Self-Pay</v>
      </c>
      <c r="W2846" s="1" t="str">
        <f t="shared" si="179"/>
        <v>2025-11</v>
      </c>
    </row>
    <row r="2847" spans="1:23">
      <c r="A2847" s="1" t="s">
        <v>4854</v>
      </c>
      <c r="B2847" s="1" t="s">
        <v>4855</v>
      </c>
      <c r="C2847" s="1" t="s">
        <v>25</v>
      </c>
      <c r="D2847" s="1" t="s">
        <v>37</v>
      </c>
      <c r="E2847" s="1" t="s">
        <v>57</v>
      </c>
      <c r="F2847">
        <v>1</v>
      </c>
      <c r="G2847" s="2">
        <v>46060</v>
      </c>
      <c r="H2847" s="2">
        <v>46062</v>
      </c>
      <c r="I2847">
        <v>204</v>
      </c>
      <c r="J2847">
        <v>65.89</v>
      </c>
      <c r="K2847">
        <v>65.89</v>
      </c>
      <c r="L2847">
        <v>0</v>
      </c>
      <c r="M2847" s="1" t="s">
        <v>21</v>
      </c>
      <c r="N2847" s="1" t="s">
        <v>22</v>
      </c>
      <c r="O2847" s="2">
        <v>46090</v>
      </c>
      <c r="P2847" s="2">
        <v>46090</v>
      </c>
      <c r="Q2847">
        <f>_xlfn.XLOOKUP(E2847,CPT!$A$2:$A$13,CPT!$D$2:$D$13)</f>
        <v>210</v>
      </c>
      <c r="R2847" s="1">
        <f>_xlfn.XLOOKUP(C2847,Contract!$A$2:$A$9,Contract!$B$2:$B$9)</f>
        <v>0.36</v>
      </c>
      <c r="S2847" s="1">
        <f t="shared" si="176"/>
        <v>75.599999999999994</v>
      </c>
      <c r="T2847" s="1">
        <f t="shared" si="177"/>
        <v>9.7099999999999937</v>
      </c>
      <c r="U2847" s="1" t="str">
        <f t="shared" si="178"/>
        <v>Underpaid</v>
      </c>
      <c r="V2847" s="1" t="str">
        <f>_xlfn.XLOOKUP(C2847,Payers!$A$2:$A$9,Payers!$B$2:$B$9)</f>
        <v>Medicare Part B</v>
      </c>
      <c r="W2847" s="1" t="str">
        <f t="shared" si="179"/>
        <v>2026-02</v>
      </c>
    </row>
    <row r="2848" spans="1:23">
      <c r="A2848" s="1" t="s">
        <v>4856</v>
      </c>
      <c r="B2848" s="1" t="s">
        <v>4857</v>
      </c>
      <c r="C2848" s="1" t="s">
        <v>36</v>
      </c>
      <c r="D2848" s="1" t="s">
        <v>37</v>
      </c>
      <c r="E2848" s="1" t="s">
        <v>57</v>
      </c>
      <c r="F2848">
        <v>1</v>
      </c>
      <c r="G2848" s="2">
        <v>46199</v>
      </c>
      <c r="H2848" s="2">
        <v>46201</v>
      </c>
      <c r="I2848">
        <v>211.4</v>
      </c>
      <c r="J2848">
        <v>59.28</v>
      </c>
      <c r="K2848">
        <v>47.42</v>
      </c>
      <c r="L2848">
        <v>11.86</v>
      </c>
      <c r="M2848" s="1" t="s">
        <v>21</v>
      </c>
      <c r="N2848" s="1" t="s">
        <v>22</v>
      </c>
      <c r="O2848" s="2">
        <v>46239</v>
      </c>
      <c r="P2848" s="2">
        <v>46239</v>
      </c>
      <c r="Q2848">
        <f>_xlfn.XLOOKUP(E2848,CPT!$A$2:$A$13,CPT!$D$2:$D$13)</f>
        <v>210</v>
      </c>
      <c r="R2848" s="1">
        <f>_xlfn.XLOOKUP(C2848,Contract!$A$2:$A$9,Contract!$B$2:$B$9)</f>
        <v>0.27</v>
      </c>
      <c r="S2848" s="1">
        <f t="shared" si="176"/>
        <v>56.7</v>
      </c>
      <c r="T2848" s="1">
        <f t="shared" si="177"/>
        <v>-2.5799999999999983</v>
      </c>
      <c r="U2848" s="1" t="str">
        <f t="shared" si="178"/>
        <v>OK</v>
      </c>
      <c r="V2848" s="1" t="str">
        <f>_xlfn.XLOOKUP(C2848,Payers!$A$2:$A$9,Payers!$B$2:$B$9)</f>
        <v>Florida Medicaid</v>
      </c>
      <c r="W2848" s="1" t="str">
        <f t="shared" si="179"/>
        <v>2026-06</v>
      </c>
    </row>
    <row r="2849" spans="1:23">
      <c r="A2849" s="1" t="s">
        <v>4858</v>
      </c>
      <c r="B2849" s="1" t="s">
        <v>1232</v>
      </c>
      <c r="C2849" s="1" t="s">
        <v>25</v>
      </c>
      <c r="D2849" s="1" t="s">
        <v>30</v>
      </c>
      <c r="E2849" s="1" t="s">
        <v>91</v>
      </c>
      <c r="F2849">
        <v>2</v>
      </c>
      <c r="G2849" s="2">
        <v>45947</v>
      </c>
      <c r="H2849" s="2">
        <v>45949</v>
      </c>
      <c r="I2849">
        <v>116.17</v>
      </c>
      <c r="J2849">
        <v>42.26</v>
      </c>
      <c r="K2849">
        <v>33.81</v>
      </c>
      <c r="L2849">
        <v>8.4499999999999993</v>
      </c>
      <c r="M2849" s="1" t="s">
        <v>21</v>
      </c>
      <c r="N2849" s="1" t="s">
        <v>22</v>
      </c>
      <c r="O2849" s="2">
        <v>45968</v>
      </c>
      <c r="P2849" s="2">
        <v>45968</v>
      </c>
      <c r="Q2849">
        <f>_xlfn.XLOOKUP(E2849,CPT!$A$2:$A$13,CPT!$D$2:$D$13)</f>
        <v>58</v>
      </c>
      <c r="R2849" s="1">
        <f>_xlfn.XLOOKUP(C2849,Contract!$A$2:$A$9,Contract!$B$2:$B$9)</f>
        <v>0.36</v>
      </c>
      <c r="S2849" s="1">
        <f t="shared" si="176"/>
        <v>41.76</v>
      </c>
      <c r="T2849" s="1">
        <f t="shared" si="177"/>
        <v>-0.5</v>
      </c>
      <c r="U2849" s="1" t="str">
        <f t="shared" si="178"/>
        <v>OK</v>
      </c>
      <c r="V2849" s="1" t="str">
        <f>_xlfn.XLOOKUP(C2849,Payers!$A$2:$A$9,Payers!$B$2:$B$9)</f>
        <v>Medicare Part B</v>
      </c>
      <c r="W2849" s="1" t="str">
        <f t="shared" si="179"/>
        <v>2025-10</v>
      </c>
    </row>
    <row r="2850" spans="1:23">
      <c r="A2850" s="1" t="s">
        <v>4859</v>
      </c>
      <c r="B2850" s="1" t="s">
        <v>4860</v>
      </c>
      <c r="C2850" s="1" t="s">
        <v>25</v>
      </c>
      <c r="D2850" s="1" t="s">
        <v>26</v>
      </c>
      <c r="E2850" s="1" t="s">
        <v>41</v>
      </c>
      <c r="F2850">
        <v>1</v>
      </c>
      <c r="G2850" s="2">
        <v>46057</v>
      </c>
      <c r="H2850" s="2">
        <v>46059</v>
      </c>
      <c r="I2850">
        <v>37.79</v>
      </c>
      <c r="J2850">
        <v>13.71</v>
      </c>
      <c r="K2850">
        <v>13.71</v>
      </c>
      <c r="L2850">
        <v>0</v>
      </c>
      <c r="M2850" s="1" t="s">
        <v>21</v>
      </c>
      <c r="N2850" s="1" t="s">
        <v>22</v>
      </c>
      <c r="O2850" s="2">
        <v>46075</v>
      </c>
      <c r="P2850" s="2">
        <v>46075</v>
      </c>
      <c r="Q2850">
        <f>_xlfn.XLOOKUP(E2850,CPT!$A$2:$A$13,CPT!$D$2:$D$13)</f>
        <v>38</v>
      </c>
      <c r="R2850" s="1">
        <f>_xlfn.XLOOKUP(C2850,Contract!$A$2:$A$9,Contract!$B$2:$B$9)</f>
        <v>0.36</v>
      </c>
      <c r="S2850" s="1">
        <f t="shared" si="176"/>
        <v>13.68</v>
      </c>
      <c r="T2850" s="1">
        <f t="shared" si="177"/>
        <v>-3.0000000000001137E-2</v>
      </c>
      <c r="U2850" s="1" t="str">
        <f t="shared" si="178"/>
        <v>OK</v>
      </c>
      <c r="V2850" s="1" t="str">
        <f>_xlfn.XLOOKUP(C2850,Payers!$A$2:$A$9,Payers!$B$2:$B$9)</f>
        <v>Medicare Part B</v>
      </c>
      <c r="W2850" s="1" t="str">
        <f t="shared" si="179"/>
        <v>2026-02</v>
      </c>
    </row>
    <row r="2851" spans="1:23">
      <c r="A2851" s="1" t="s">
        <v>4861</v>
      </c>
      <c r="B2851" s="1" t="s">
        <v>2673</v>
      </c>
      <c r="C2851" s="1" t="s">
        <v>60</v>
      </c>
      <c r="D2851" s="1" t="s">
        <v>26</v>
      </c>
      <c r="E2851" s="1" t="s">
        <v>57</v>
      </c>
      <c r="F2851">
        <v>1</v>
      </c>
      <c r="G2851" s="2">
        <v>46071</v>
      </c>
      <c r="H2851" s="2">
        <v>46072</v>
      </c>
      <c r="I2851">
        <v>204.8</v>
      </c>
      <c r="J2851">
        <v>84.09</v>
      </c>
      <c r="K2851">
        <v>75.680000000000007</v>
      </c>
      <c r="L2851">
        <v>8.41</v>
      </c>
      <c r="M2851" s="1" t="s">
        <v>21</v>
      </c>
      <c r="N2851" s="1" t="s">
        <v>22</v>
      </c>
      <c r="O2851" s="2">
        <v>46093</v>
      </c>
      <c r="P2851" s="2">
        <v>46093</v>
      </c>
      <c r="Q2851">
        <f>_xlfn.XLOOKUP(E2851,CPT!$A$2:$A$13,CPT!$D$2:$D$13)</f>
        <v>210</v>
      </c>
      <c r="R2851" s="1">
        <f>_xlfn.XLOOKUP(C2851,Contract!$A$2:$A$9,Contract!$B$2:$B$9)</f>
        <v>0.45</v>
      </c>
      <c r="S2851" s="1">
        <f t="shared" si="176"/>
        <v>94.5</v>
      </c>
      <c r="T2851" s="1">
        <f t="shared" si="177"/>
        <v>10.409999999999997</v>
      </c>
      <c r="U2851" s="1" t="str">
        <f t="shared" si="178"/>
        <v>Underpaid</v>
      </c>
      <c r="V2851" s="1" t="str">
        <f>_xlfn.XLOOKUP(C2851,Payers!$A$2:$A$9,Payers!$B$2:$B$9)</f>
        <v>Blue Horizon Commercial</v>
      </c>
      <c r="W2851" s="1" t="str">
        <f t="shared" si="179"/>
        <v>2026-02</v>
      </c>
    </row>
    <row r="2852" spans="1:23">
      <c r="A2852" s="1" t="s">
        <v>4862</v>
      </c>
      <c r="B2852" s="1" t="s">
        <v>847</v>
      </c>
      <c r="C2852" s="1" t="s">
        <v>60</v>
      </c>
      <c r="D2852" s="1" t="s">
        <v>26</v>
      </c>
      <c r="E2852" s="1" t="s">
        <v>88</v>
      </c>
      <c r="F2852">
        <v>1</v>
      </c>
      <c r="G2852" s="2">
        <v>46003</v>
      </c>
      <c r="H2852" s="2">
        <v>46006</v>
      </c>
      <c r="I2852">
        <v>258.56</v>
      </c>
      <c r="J2852">
        <v>114.61</v>
      </c>
      <c r="K2852">
        <v>103.15</v>
      </c>
      <c r="L2852">
        <v>11.46</v>
      </c>
      <c r="M2852" s="1" t="s">
        <v>21</v>
      </c>
      <c r="N2852" s="1" t="s">
        <v>22</v>
      </c>
      <c r="O2852" s="2">
        <v>46029</v>
      </c>
      <c r="P2852" s="2">
        <v>46029</v>
      </c>
      <c r="Q2852">
        <f>_xlfn.XLOOKUP(E2852,CPT!$A$2:$A$13,CPT!$D$2:$D$13)</f>
        <v>260</v>
      </c>
      <c r="R2852" s="1">
        <f>_xlfn.XLOOKUP(C2852,Contract!$A$2:$A$9,Contract!$B$2:$B$9)</f>
        <v>0.45</v>
      </c>
      <c r="S2852" s="1">
        <f t="shared" si="176"/>
        <v>117</v>
      </c>
      <c r="T2852" s="1">
        <f t="shared" si="177"/>
        <v>2.3900000000000006</v>
      </c>
      <c r="U2852" s="1" t="str">
        <f t="shared" si="178"/>
        <v>OK</v>
      </c>
      <c r="V2852" s="1" t="str">
        <f>_xlfn.XLOOKUP(C2852,Payers!$A$2:$A$9,Payers!$B$2:$B$9)</f>
        <v>Blue Horizon Commercial</v>
      </c>
      <c r="W2852" s="1" t="str">
        <f t="shared" si="179"/>
        <v>2025-12</v>
      </c>
    </row>
    <row r="2853" spans="1:23">
      <c r="A2853" s="1" t="s">
        <v>4863</v>
      </c>
      <c r="B2853" s="1" t="s">
        <v>4864</v>
      </c>
      <c r="C2853" s="1" t="s">
        <v>76</v>
      </c>
      <c r="D2853" s="1" t="s">
        <v>19</v>
      </c>
      <c r="E2853" s="1" t="s">
        <v>41</v>
      </c>
      <c r="F2853">
        <v>1</v>
      </c>
      <c r="G2853" s="2">
        <v>46132</v>
      </c>
      <c r="H2853" s="2">
        <v>46138</v>
      </c>
      <c r="I2853">
        <v>38.83</v>
      </c>
      <c r="J2853">
        <v>18.41</v>
      </c>
      <c r="K2853">
        <v>18.41</v>
      </c>
      <c r="L2853">
        <v>0</v>
      </c>
      <c r="M2853" s="1" t="s">
        <v>21</v>
      </c>
      <c r="N2853" s="1" t="s">
        <v>22</v>
      </c>
      <c r="O2853" s="2">
        <v>46166</v>
      </c>
      <c r="P2853" s="2">
        <v>46166</v>
      </c>
      <c r="Q2853">
        <f>_xlfn.XLOOKUP(E2853,CPT!$A$2:$A$13,CPT!$D$2:$D$13)</f>
        <v>38</v>
      </c>
      <c r="R2853" s="1">
        <f>_xlfn.XLOOKUP(C2853,Contract!$A$2:$A$9,Contract!$B$2:$B$9)</f>
        <v>0.43</v>
      </c>
      <c r="S2853" s="1">
        <f t="shared" si="176"/>
        <v>16.34</v>
      </c>
      <c r="T2853" s="1">
        <f t="shared" si="177"/>
        <v>-2.0700000000000003</v>
      </c>
      <c r="U2853" s="1" t="str">
        <f t="shared" si="178"/>
        <v>OK</v>
      </c>
      <c r="V2853" s="1" t="str">
        <f>_xlfn.XLOOKUP(C2853,Payers!$A$2:$A$9,Payers!$B$2:$B$9)</f>
        <v>Summit Health Commercial</v>
      </c>
      <c r="W2853" s="1" t="str">
        <f t="shared" si="179"/>
        <v>2026-04</v>
      </c>
    </row>
    <row r="2854" spans="1:23">
      <c r="A2854" s="1" t="s">
        <v>4865</v>
      </c>
      <c r="B2854" s="1" t="s">
        <v>191</v>
      </c>
      <c r="C2854" s="1" t="s">
        <v>25</v>
      </c>
      <c r="D2854" s="1" t="s">
        <v>26</v>
      </c>
      <c r="E2854" s="1" t="s">
        <v>44</v>
      </c>
      <c r="F2854">
        <v>1</v>
      </c>
      <c r="G2854" s="2">
        <v>46173</v>
      </c>
      <c r="H2854" s="2">
        <v>46175</v>
      </c>
      <c r="I2854">
        <v>4732.16</v>
      </c>
      <c r="M2854" s="1" t="s">
        <v>32</v>
      </c>
      <c r="N2854" s="1" t="s">
        <v>315</v>
      </c>
      <c r="O2854" s="2">
        <v>46184</v>
      </c>
      <c r="P2854" s="2"/>
      <c r="Q2854">
        <f>_xlfn.XLOOKUP(E2854,CPT!$A$2:$A$13,CPT!$D$2:$D$13)</f>
        <v>4800</v>
      </c>
      <c r="R2854" s="1">
        <f>_xlfn.XLOOKUP(C2854,Contract!$A$2:$A$9,Contract!$B$2:$B$9)</f>
        <v>0.36</v>
      </c>
      <c r="S2854" s="1">
        <f t="shared" si="176"/>
        <v>1728</v>
      </c>
      <c r="T2854" s="1" t="str">
        <f t="shared" si="177"/>
        <v/>
      </c>
      <c r="U2854" s="1" t="str">
        <f t="shared" si="178"/>
        <v/>
      </c>
      <c r="V2854" s="1" t="str">
        <f>_xlfn.XLOOKUP(C2854,Payers!$A$2:$A$9,Payers!$B$2:$B$9)</f>
        <v>Medicare Part B</v>
      </c>
      <c r="W2854" s="1" t="str">
        <f t="shared" si="179"/>
        <v>2026-05</v>
      </c>
    </row>
    <row r="2855" spans="1:23">
      <c r="A2855" s="1" t="s">
        <v>4866</v>
      </c>
      <c r="B2855" s="1" t="s">
        <v>4867</v>
      </c>
      <c r="C2855" s="1" t="s">
        <v>25</v>
      </c>
      <c r="D2855" s="1" t="s">
        <v>26</v>
      </c>
      <c r="E2855" s="1" t="s">
        <v>44</v>
      </c>
      <c r="F2855">
        <v>1</v>
      </c>
      <c r="G2855" s="2">
        <v>46280</v>
      </c>
      <c r="H2855" s="2">
        <v>46282</v>
      </c>
      <c r="I2855">
        <v>4907.67</v>
      </c>
      <c r="J2855">
        <v>2028.81</v>
      </c>
      <c r="K2855">
        <v>1825.93</v>
      </c>
      <c r="L2855">
        <v>202.88</v>
      </c>
      <c r="M2855" s="1" t="s">
        <v>21</v>
      </c>
      <c r="N2855" s="1" t="s">
        <v>22</v>
      </c>
      <c r="O2855" s="2">
        <v>46295</v>
      </c>
      <c r="P2855" s="2">
        <v>46295</v>
      </c>
      <c r="Q2855">
        <f>_xlfn.XLOOKUP(E2855,CPT!$A$2:$A$13,CPT!$D$2:$D$13)</f>
        <v>4800</v>
      </c>
      <c r="R2855" s="1">
        <f>_xlfn.XLOOKUP(C2855,Contract!$A$2:$A$9,Contract!$B$2:$B$9)</f>
        <v>0.36</v>
      </c>
      <c r="S2855" s="1">
        <f t="shared" si="176"/>
        <v>1728</v>
      </c>
      <c r="T2855" s="1">
        <f t="shared" si="177"/>
        <v>-300.80999999999995</v>
      </c>
      <c r="U2855" s="1" t="str">
        <f t="shared" si="178"/>
        <v>OK</v>
      </c>
      <c r="V2855" s="1" t="str">
        <f>_xlfn.XLOOKUP(C2855,Payers!$A$2:$A$9,Payers!$B$2:$B$9)</f>
        <v>Medicare Part B</v>
      </c>
      <c r="W2855" s="1" t="str">
        <f t="shared" si="179"/>
        <v>2026-09</v>
      </c>
    </row>
    <row r="2856" spans="1:23">
      <c r="A2856" s="1" t="s">
        <v>4868</v>
      </c>
      <c r="B2856" s="1" t="s">
        <v>2106</v>
      </c>
      <c r="C2856" s="1" t="s">
        <v>25</v>
      </c>
      <c r="D2856" s="1" t="s">
        <v>30</v>
      </c>
      <c r="E2856" s="1" t="s">
        <v>91</v>
      </c>
      <c r="F2856">
        <v>1</v>
      </c>
      <c r="G2856" s="2">
        <v>46171</v>
      </c>
      <c r="H2856" s="2">
        <v>46193</v>
      </c>
      <c r="I2856">
        <v>58.06</v>
      </c>
      <c r="M2856" s="1" t="s">
        <v>32</v>
      </c>
      <c r="N2856" s="1" t="s">
        <v>33</v>
      </c>
      <c r="O2856" s="2">
        <v>46215</v>
      </c>
      <c r="P2856" s="2"/>
      <c r="Q2856">
        <f>_xlfn.XLOOKUP(E2856,CPT!$A$2:$A$13,CPT!$D$2:$D$13)</f>
        <v>58</v>
      </c>
      <c r="R2856" s="1">
        <f>_xlfn.XLOOKUP(C2856,Contract!$A$2:$A$9,Contract!$B$2:$B$9)</f>
        <v>0.36</v>
      </c>
      <c r="S2856" s="1">
        <f t="shared" si="176"/>
        <v>20.88</v>
      </c>
      <c r="T2856" s="1" t="str">
        <f t="shared" si="177"/>
        <v/>
      </c>
      <c r="U2856" s="1" t="str">
        <f t="shared" si="178"/>
        <v/>
      </c>
      <c r="V2856" s="1" t="str">
        <f>_xlfn.XLOOKUP(C2856,Payers!$A$2:$A$9,Payers!$B$2:$B$9)</f>
        <v>Medicare Part B</v>
      </c>
      <c r="W2856" s="1" t="str">
        <f t="shared" si="179"/>
        <v>2026-05</v>
      </c>
    </row>
    <row r="2857" spans="1:23">
      <c r="A2857" s="1" t="s">
        <v>4869</v>
      </c>
      <c r="B2857" s="1" t="s">
        <v>4870</v>
      </c>
      <c r="C2857" s="1" t="s">
        <v>60</v>
      </c>
      <c r="D2857" s="1" t="s">
        <v>19</v>
      </c>
      <c r="E2857" s="1" t="s">
        <v>88</v>
      </c>
      <c r="F2857">
        <v>1</v>
      </c>
      <c r="G2857" s="2">
        <v>46107</v>
      </c>
      <c r="H2857" s="2">
        <v>46113</v>
      </c>
      <c r="I2857">
        <v>262.63</v>
      </c>
      <c r="J2857">
        <v>114.87</v>
      </c>
      <c r="K2857">
        <v>114.87</v>
      </c>
      <c r="L2857">
        <v>0</v>
      </c>
      <c r="M2857" s="1" t="s">
        <v>21</v>
      </c>
      <c r="N2857" s="1" t="s">
        <v>22</v>
      </c>
      <c r="O2857" s="2">
        <v>46135</v>
      </c>
      <c r="P2857" s="2">
        <v>46135</v>
      </c>
      <c r="Q2857">
        <f>_xlfn.XLOOKUP(E2857,CPT!$A$2:$A$13,CPT!$D$2:$D$13)</f>
        <v>260</v>
      </c>
      <c r="R2857" s="1">
        <f>_xlfn.XLOOKUP(C2857,Contract!$A$2:$A$9,Contract!$B$2:$B$9)</f>
        <v>0.45</v>
      </c>
      <c r="S2857" s="1">
        <f t="shared" si="176"/>
        <v>117</v>
      </c>
      <c r="T2857" s="1">
        <f t="shared" si="177"/>
        <v>2.1299999999999955</v>
      </c>
      <c r="U2857" s="1" t="str">
        <f t="shared" si="178"/>
        <v>OK</v>
      </c>
      <c r="V2857" s="1" t="str">
        <f>_xlfn.XLOOKUP(C2857,Payers!$A$2:$A$9,Payers!$B$2:$B$9)</f>
        <v>Blue Horizon Commercial</v>
      </c>
      <c r="W2857" s="1" t="str">
        <f t="shared" si="179"/>
        <v>2026-03</v>
      </c>
    </row>
    <row r="2858" spans="1:23">
      <c r="A2858" s="1" t="s">
        <v>4871</v>
      </c>
      <c r="B2858" s="1" t="s">
        <v>2483</v>
      </c>
      <c r="C2858" s="1" t="s">
        <v>47</v>
      </c>
      <c r="D2858" s="1" t="s">
        <v>19</v>
      </c>
      <c r="E2858" s="1" t="s">
        <v>41</v>
      </c>
      <c r="F2858">
        <v>1</v>
      </c>
      <c r="G2858" s="2">
        <v>46171</v>
      </c>
      <c r="H2858" s="2">
        <v>46177</v>
      </c>
      <c r="I2858">
        <v>37.619999999999997</v>
      </c>
      <c r="M2858" s="1" t="s">
        <v>32</v>
      </c>
      <c r="N2858" s="1" t="s">
        <v>33</v>
      </c>
      <c r="O2858" s="2">
        <v>46229</v>
      </c>
      <c r="P2858" s="2"/>
      <c r="Q2858">
        <f>_xlfn.XLOOKUP(E2858,CPT!$A$2:$A$13,CPT!$D$2:$D$13)</f>
        <v>38</v>
      </c>
      <c r="R2858" s="1">
        <f>_xlfn.XLOOKUP(C2858,Contract!$A$2:$A$9,Contract!$B$2:$B$9)</f>
        <v>0.28000000000000003</v>
      </c>
      <c r="S2858" s="1">
        <f t="shared" si="176"/>
        <v>10.64</v>
      </c>
      <c r="T2858" s="1" t="str">
        <f t="shared" si="177"/>
        <v/>
      </c>
      <c r="U2858" s="1" t="str">
        <f t="shared" si="178"/>
        <v/>
      </c>
      <c r="V2858" s="1" t="str">
        <f>_xlfn.XLOOKUP(C2858,Payers!$A$2:$A$9,Payers!$B$2:$B$9)</f>
        <v>Coastal Medicaid MCO</v>
      </c>
      <c r="W2858" s="1" t="str">
        <f t="shared" si="179"/>
        <v>2026-05</v>
      </c>
    </row>
    <row r="2859" spans="1:23">
      <c r="A2859" s="1" t="s">
        <v>4872</v>
      </c>
      <c r="B2859" s="1" t="s">
        <v>1717</v>
      </c>
      <c r="C2859" s="1" t="s">
        <v>47</v>
      </c>
      <c r="D2859" s="1" t="s">
        <v>19</v>
      </c>
      <c r="E2859" s="1" t="s">
        <v>57</v>
      </c>
      <c r="F2859">
        <v>1</v>
      </c>
      <c r="G2859" s="2">
        <v>46135</v>
      </c>
      <c r="H2859" s="2">
        <v>46143</v>
      </c>
      <c r="I2859">
        <v>215.32</v>
      </c>
      <c r="J2859">
        <v>53.11</v>
      </c>
      <c r="K2859">
        <v>42.49</v>
      </c>
      <c r="L2859">
        <v>10.62</v>
      </c>
      <c r="M2859" s="1" t="s">
        <v>21</v>
      </c>
      <c r="N2859" s="1" t="s">
        <v>22</v>
      </c>
      <c r="O2859" s="2">
        <v>46177</v>
      </c>
      <c r="P2859" s="2">
        <v>46177</v>
      </c>
      <c r="Q2859">
        <f>_xlfn.XLOOKUP(E2859,CPT!$A$2:$A$13,CPT!$D$2:$D$13)</f>
        <v>210</v>
      </c>
      <c r="R2859" s="1">
        <f>_xlfn.XLOOKUP(C2859,Contract!$A$2:$A$9,Contract!$B$2:$B$9)</f>
        <v>0.28000000000000003</v>
      </c>
      <c r="S2859" s="1">
        <f t="shared" si="176"/>
        <v>58.8</v>
      </c>
      <c r="T2859" s="1">
        <f t="shared" si="177"/>
        <v>5.6899999999999977</v>
      </c>
      <c r="U2859" s="1" t="str">
        <f t="shared" si="178"/>
        <v>Underpaid</v>
      </c>
      <c r="V2859" s="1" t="str">
        <f>_xlfn.XLOOKUP(C2859,Payers!$A$2:$A$9,Payers!$B$2:$B$9)</f>
        <v>Coastal Medicaid MCO</v>
      </c>
      <c r="W2859" s="1" t="str">
        <f t="shared" si="179"/>
        <v>2026-04</v>
      </c>
    </row>
    <row r="2860" spans="1:23">
      <c r="A2860" s="1" t="s">
        <v>4873</v>
      </c>
      <c r="B2860" s="1" t="s">
        <v>4874</v>
      </c>
      <c r="C2860" s="1" t="s">
        <v>25</v>
      </c>
      <c r="D2860" s="1" t="s">
        <v>26</v>
      </c>
      <c r="E2860" s="1" t="s">
        <v>27</v>
      </c>
      <c r="F2860">
        <v>1</v>
      </c>
      <c r="G2860" s="2">
        <v>46197</v>
      </c>
      <c r="H2860" s="2">
        <v>46210</v>
      </c>
      <c r="I2860">
        <v>246.7</v>
      </c>
      <c r="J2860">
        <v>95.34</v>
      </c>
      <c r="K2860">
        <v>76.27</v>
      </c>
      <c r="L2860">
        <v>19.07</v>
      </c>
      <c r="M2860" s="1" t="s">
        <v>21</v>
      </c>
      <c r="N2860" s="1" t="s">
        <v>22</v>
      </c>
      <c r="O2860" s="2">
        <v>46231</v>
      </c>
      <c r="P2860" s="2">
        <v>46231</v>
      </c>
      <c r="Q2860">
        <f>_xlfn.XLOOKUP(E2860,CPT!$A$2:$A$13,CPT!$D$2:$D$13)</f>
        <v>240</v>
      </c>
      <c r="R2860" s="1">
        <f>_xlfn.XLOOKUP(C2860,Contract!$A$2:$A$9,Contract!$B$2:$B$9)</f>
        <v>0.36</v>
      </c>
      <c r="S2860" s="1">
        <f t="shared" si="176"/>
        <v>86.4</v>
      </c>
      <c r="T2860" s="1">
        <f t="shared" si="177"/>
        <v>-8.9399999999999977</v>
      </c>
      <c r="U2860" s="1" t="str">
        <f t="shared" si="178"/>
        <v>OK</v>
      </c>
      <c r="V2860" s="1" t="str">
        <f>_xlfn.XLOOKUP(C2860,Payers!$A$2:$A$9,Payers!$B$2:$B$9)</f>
        <v>Medicare Part B</v>
      </c>
      <c r="W2860" s="1" t="str">
        <f t="shared" si="179"/>
        <v>2026-06</v>
      </c>
    </row>
    <row r="2861" spans="1:23">
      <c r="A2861" s="1" t="s">
        <v>4875</v>
      </c>
      <c r="B2861" s="1" t="s">
        <v>3048</v>
      </c>
      <c r="C2861" s="1" t="s">
        <v>60</v>
      </c>
      <c r="D2861" s="1" t="s">
        <v>30</v>
      </c>
      <c r="E2861" s="1" t="s">
        <v>91</v>
      </c>
      <c r="F2861">
        <v>3</v>
      </c>
      <c r="G2861" s="2">
        <v>46286</v>
      </c>
      <c r="H2861" s="2">
        <v>46287</v>
      </c>
      <c r="I2861">
        <v>176.91</v>
      </c>
      <c r="M2861" s="1" t="s">
        <v>69</v>
      </c>
      <c r="N2861" s="1" t="s">
        <v>22</v>
      </c>
      <c r="O2861" s="2"/>
      <c r="P2861" s="2"/>
      <c r="Q2861">
        <f>_xlfn.XLOOKUP(E2861,CPT!$A$2:$A$13,CPT!$D$2:$D$13)</f>
        <v>58</v>
      </c>
      <c r="R2861" s="1">
        <f>_xlfn.XLOOKUP(C2861,Contract!$A$2:$A$9,Contract!$B$2:$B$9)</f>
        <v>0.45</v>
      </c>
      <c r="S2861" s="1">
        <f t="shared" si="176"/>
        <v>78.3</v>
      </c>
      <c r="T2861" s="1" t="str">
        <f t="shared" si="177"/>
        <v/>
      </c>
      <c r="U2861" s="1" t="str">
        <f t="shared" si="178"/>
        <v/>
      </c>
      <c r="V2861" s="1" t="str">
        <f>_xlfn.XLOOKUP(C2861,Payers!$A$2:$A$9,Payers!$B$2:$B$9)</f>
        <v>Blue Horizon Commercial</v>
      </c>
      <c r="W2861" s="1" t="str">
        <f t="shared" si="179"/>
        <v>2026-09</v>
      </c>
    </row>
    <row r="2862" spans="1:23">
      <c r="A2862" s="1" t="s">
        <v>4876</v>
      </c>
      <c r="B2862" s="1" t="s">
        <v>4877</v>
      </c>
      <c r="C2862" s="1" t="s">
        <v>60</v>
      </c>
      <c r="D2862" s="1" t="s">
        <v>19</v>
      </c>
      <c r="E2862" s="1" t="s">
        <v>88</v>
      </c>
      <c r="F2862">
        <v>1</v>
      </c>
      <c r="G2862" s="2">
        <v>45946</v>
      </c>
      <c r="H2862" s="2">
        <v>45948</v>
      </c>
      <c r="I2862">
        <v>264.97000000000003</v>
      </c>
      <c r="J2862">
        <v>136.51</v>
      </c>
      <c r="K2862">
        <v>122.86</v>
      </c>
      <c r="L2862">
        <v>13.65</v>
      </c>
      <c r="M2862" s="1" t="s">
        <v>21</v>
      </c>
      <c r="N2862" s="1" t="s">
        <v>22</v>
      </c>
      <c r="O2862" s="2">
        <v>45961</v>
      </c>
      <c r="P2862" s="2">
        <v>45961</v>
      </c>
      <c r="Q2862">
        <f>_xlfn.XLOOKUP(E2862,CPT!$A$2:$A$13,CPT!$D$2:$D$13)</f>
        <v>260</v>
      </c>
      <c r="R2862" s="1">
        <f>_xlfn.XLOOKUP(C2862,Contract!$A$2:$A$9,Contract!$B$2:$B$9)</f>
        <v>0.45</v>
      </c>
      <c r="S2862" s="1">
        <f t="shared" si="176"/>
        <v>117</v>
      </c>
      <c r="T2862" s="1">
        <f t="shared" si="177"/>
        <v>-19.509999999999991</v>
      </c>
      <c r="U2862" s="1" t="str">
        <f t="shared" si="178"/>
        <v>OK</v>
      </c>
      <c r="V2862" s="1" t="str">
        <f>_xlfn.XLOOKUP(C2862,Payers!$A$2:$A$9,Payers!$B$2:$B$9)</f>
        <v>Blue Horizon Commercial</v>
      </c>
      <c r="W2862" s="1" t="str">
        <f t="shared" si="179"/>
        <v>2025-10</v>
      </c>
    </row>
    <row r="2863" spans="1:23">
      <c r="A2863" s="1" t="s">
        <v>4878</v>
      </c>
      <c r="B2863" s="1" t="s">
        <v>4879</v>
      </c>
      <c r="C2863" s="1" t="s">
        <v>52</v>
      </c>
      <c r="D2863" s="1" t="s">
        <v>19</v>
      </c>
      <c r="E2863" s="1" t="s">
        <v>88</v>
      </c>
      <c r="F2863">
        <v>1</v>
      </c>
      <c r="G2863" s="2">
        <v>46031</v>
      </c>
      <c r="H2863" s="2">
        <v>46033</v>
      </c>
      <c r="I2863">
        <v>264.77</v>
      </c>
      <c r="J2863">
        <v>135.56</v>
      </c>
      <c r="K2863">
        <v>108.45</v>
      </c>
      <c r="L2863">
        <v>27.11</v>
      </c>
      <c r="M2863" s="1" t="s">
        <v>21</v>
      </c>
      <c r="N2863" s="1" t="s">
        <v>22</v>
      </c>
      <c r="O2863" s="2">
        <v>46074</v>
      </c>
      <c r="P2863" s="2">
        <v>46074</v>
      </c>
      <c r="Q2863">
        <f>_xlfn.XLOOKUP(E2863,CPT!$A$2:$A$13,CPT!$D$2:$D$13)</f>
        <v>260</v>
      </c>
      <c r="R2863" s="1">
        <f>_xlfn.XLOOKUP(C2863,Contract!$A$2:$A$9,Contract!$B$2:$B$9)</f>
        <v>0.47</v>
      </c>
      <c r="S2863" s="1">
        <f t="shared" si="176"/>
        <v>122.2</v>
      </c>
      <c r="T2863" s="1">
        <f t="shared" si="177"/>
        <v>-13.36</v>
      </c>
      <c r="U2863" s="1" t="str">
        <f t="shared" si="178"/>
        <v>OK</v>
      </c>
      <c r="V2863" s="1" t="str">
        <f>_xlfn.XLOOKUP(C2863,Payers!$A$2:$A$9,Payers!$B$2:$B$9)</f>
        <v>Keystone Commercial PPO</v>
      </c>
      <c r="W2863" s="1" t="str">
        <f t="shared" si="179"/>
        <v>2026-01</v>
      </c>
    </row>
    <row r="2864" spans="1:23">
      <c r="A2864" s="1" t="s">
        <v>4880</v>
      </c>
      <c r="B2864" s="1" t="s">
        <v>4881</v>
      </c>
      <c r="C2864" s="1" t="s">
        <v>25</v>
      </c>
      <c r="D2864" s="1" t="s">
        <v>19</v>
      </c>
      <c r="E2864" s="1" t="s">
        <v>88</v>
      </c>
      <c r="F2864">
        <v>1</v>
      </c>
      <c r="G2864" s="2">
        <v>46284</v>
      </c>
      <c r="H2864" s="2">
        <v>46293</v>
      </c>
      <c r="I2864">
        <v>262.77999999999997</v>
      </c>
      <c r="M2864" s="1" t="s">
        <v>69</v>
      </c>
      <c r="N2864" s="1" t="s">
        <v>22</v>
      </c>
      <c r="O2864" s="2"/>
      <c r="P2864" s="2"/>
      <c r="Q2864">
        <f>_xlfn.XLOOKUP(E2864,CPT!$A$2:$A$13,CPT!$D$2:$D$13)</f>
        <v>260</v>
      </c>
      <c r="R2864" s="1">
        <f>_xlfn.XLOOKUP(C2864,Contract!$A$2:$A$9,Contract!$B$2:$B$9)</f>
        <v>0.36</v>
      </c>
      <c r="S2864" s="1">
        <f t="shared" si="176"/>
        <v>93.6</v>
      </c>
      <c r="T2864" s="1" t="str">
        <f t="shared" si="177"/>
        <v/>
      </c>
      <c r="U2864" s="1" t="str">
        <f t="shared" si="178"/>
        <v/>
      </c>
      <c r="V2864" s="1" t="str">
        <f>_xlfn.XLOOKUP(C2864,Payers!$A$2:$A$9,Payers!$B$2:$B$9)</f>
        <v>Medicare Part B</v>
      </c>
      <c r="W2864" s="1" t="str">
        <f t="shared" si="179"/>
        <v>2026-09</v>
      </c>
    </row>
    <row r="2865" spans="1:23">
      <c r="A2865" s="1" t="s">
        <v>4882</v>
      </c>
      <c r="B2865" s="1" t="s">
        <v>4883</v>
      </c>
      <c r="C2865" s="1" t="s">
        <v>47</v>
      </c>
      <c r="D2865" s="1" t="s">
        <v>26</v>
      </c>
      <c r="E2865" s="1" t="s">
        <v>88</v>
      </c>
      <c r="F2865">
        <v>1</v>
      </c>
      <c r="G2865" s="2">
        <v>46214</v>
      </c>
      <c r="H2865" s="2">
        <v>46217</v>
      </c>
      <c r="I2865">
        <v>265.76</v>
      </c>
      <c r="J2865">
        <v>80.739999999999995</v>
      </c>
      <c r="K2865">
        <v>72.67</v>
      </c>
      <c r="L2865">
        <v>8.07</v>
      </c>
      <c r="M2865" s="1" t="s">
        <v>21</v>
      </c>
      <c r="N2865" s="1" t="s">
        <v>22</v>
      </c>
      <c r="O2865" s="2">
        <v>46280</v>
      </c>
      <c r="P2865" s="2">
        <v>46280</v>
      </c>
      <c r="Q2865">
        <f>_xlfn.XLOOKUP(E2865,CPT!$A$2:$A$13,CPT!$D$2:$D$13)</f>
        <v>260</v>
      </c>
      <c r="R2865" s="1">
        <f>_xlfn.XLOOKUP(C2865,Contract!$A$2:$A$9,Contract!$B$2:$B$9)</f>
        <v>0.28000000000000003</v>
      </c>
      <c r="S2865" s="1">
        <f t="shared" si="176"/>
        <v>72.8</v>
      </c>
      <c r="T2865" s="1">
        <f t="shared" si="177"/>
        <v>-7.9399999999999977</v>
      </c>
      <c r="U2865" s="1" t="str">
        <f t="shared" si="178"/>
        <v>OK</v>
      </c>
      <c r="V2865" s="1" t="str">
        <f>_xlfn.XLOOKUP(C2865,Payers!$A$2:$A$9,Payers!$B$2:$B$9)</f>
        <v>Coastal Medicaid MCO</v>
      </c>
      <c r="W2865" s="1" t="str">
        <f t="shared" si="179"/>
        <v>2026-07</v>
      </c>
    </row>
    <row r="2866" spans="1:23">
      <c r="A2866" s="1" t="s">
        <v>4884</v>
      </c>
      <c r="B2866" s="1" t="s">
        <v>4885</v>
      </c>
      <c r="C2866" s="1" t="s">
        <v>52</v>
      </c>
      <c r="D2866" s="1" t="s">
        <v>37</v>
      </c>
      <c r="E2866" s="1" t="s">
        <v>38</v>
      </c>
      <c r="F2866">
        <v>20</v>
      </c>
      <c r="G2866" s="2">
        <v>46196</v>
      </c>
      <c r="H2866" s="2">
        <v>46199</v>
      </c>
      <c r="I2866">
        <v>29428.240000000002</v>
      </c>
      <c r="M2866" s="1" t="s">
        <v>32</v>
      </c>
      <c r="N2866" s="1" t="s">
        <v>315</v>
      </c>
      <c r="O2866" s="2">
        <v>46260</v>
      </c>
      <c r="P2866" s="2"/>
      <c r="Q2866">
        <f>_xlfn.XLOOKUP(E2866,CPT!$A$2:$A$13,CPT!$D$2:$D$13)</f>
        <v>1450</v>
      </c>
      <c r="R2866" s="1">
        <f>_xlfn.XLOOKUP(C2866,Contract!$A$2:$A$9,Contract!$B$2:$B$9)</f>
        <v>0.47</v>
      </c>
      <c r="S2866" s="1">
        <f t="shared" si="176"/>
        <v>13630</v>
      </c>
      <c r="T2866" s="1" t="str">
        <f t="shared" si="177"/>
        <v/>
      </c>
      <c r="U2866" s="1" t="str">
        <f t="shared" si="178"/>
        <v/>
      </c>
      <c r="V2866" s="1" t="str">
        <f>_xlfn.XLOOKUP(C2866,Payers!$A$2:$A$9,Payers!$B$2:$B$9)</f>
        <v>Keystone Commercial PPO</v>
      </c>
      <c r="W2866" s="1" t="str">
        <f t="shared" si="179"/>
        <v>2026-06</v>
      </c>
    </row>
    <row r="2867" spans="1:23">
      <c r="A2867" s="1" t="s">
        <v>4886</v>
      </c>
      <c r="B2867" s="1" t="s">
        <v>554</v>
      </c>
      <c r="C2867" s="1" t="s">
        <v>60</v>
      </c>
      <c r="D2867" s="1" t="s">
        <v>30</v>
      </c>
      <c r="E2867" s="1" t="s">
        <v>20</v>
      </c>
      <c r="F2867">
        <v>1</v>
      </c>
      <c r="G2867" s="2">
        <v>46033</v>
      </c>
      <c r="H2867" s="2">
        <v>46168</v>
      </c>
      <c r="I2867">
        <v>149.31</v>
      </c>
      <c r="M2867" s="1" t="s">
        <v>32</v>
      </c>
      <c r="N2867" s="1" t="s">
        <v>137</v>
      </c>
      <c r="O2867" s="2">
        <v>46198</v>
      </c>
      <c r="P2867" s="2"/>
      <c r="Q2867">
        <f>_xlfn.XLOOKUP(E2867,CPT!$A$2:$A$13,CPT!$D$2:$D$13)</f>
        <v>145</v>
      </c>
      <c r="R2867" s="1">
        <f>_xlfn.XLOOKUP(C2867,Contract!$A$2:$A$9,Contract!$B$2:$B$9)</f>
        <v>0.45</v>
      </c>
      <c r="S2867" s="1">
        <f t="shared" si="176"/>
        <v>65.25</v>
      </c>
      <c r="T2867" s="1" t="str">
        <f t="shared" si="177"/>
        <v/>
      </c>
      <c r="U2867" s="1" t="str">
        <f t="shared" si="178"/>
        <v/>
      </c>
      <c r="V2867" s="1" t="str">
        <f>_xlfn.XLOOKUP(C2867,Payers!$A$2:$A$9,Payers!$B$2:$B$9)</f>
        <v>Blue Horizon Commercial</v>
      </c>
      <c r="W2867" s="1" t="str">
        <f t="shared" si="179"/>
        <v>2026-01</v>
      </c>
    </row>
    <row r="2868" spans="1:23">
      <c r="A2868" s="1" t="s">
        <v>4887</v>
      </c>
      <c r="B2868" s="1" t="s">
        <v>1489</v>
      </c>
      <c r="C2868" s="1" t="s">
        <v>60</v>
      </c>
      <c r="D2868" s="1" t="s">
        <v>37</v>
      </c>
      <c r="E2868" s="1" t="s">
        <v>48</v>
      </c>
      <c r="F2868">
        <v>1</v>
      </c>
      <c r="G2868" s="2">
        <v>46248</v>
      </c>
      <c r="H2868" s="2">
        <v>46249</v>
      </c>
      <c r="I2868">
        <v>423.15</v>
      </c>
      <c r="J2868">
        <v>170.21</v>
      </c>
      <c r="K2868">
        <v>170.21</v>
      </c>
      <c r="L2868">
        <v>0</v>
      </c>
      <c r="M2868" s="1" t="s">
        <v>21</v>
      </c>
      <c r="N2868" s="1" t="s">
        <v>22</v>
      </c>
      <c r="O2868" s="2">
        <v>46283</v>
      </c>
      <c r="P2868" s="2">
        <v>46283</v>
      </c>
      <c r="Q2868">
        <f>_xlfn.XLOOKUP(E2868,CPT!$A$2:$A$13,CPT!$D$2:$D$13)</f>
        <v>420</v>
      </c>
      <c r="R2868" s="1">
        <f>_xlfn.XLOOKUP(C2868,Contract!$A$2:$A$9,Contract!$B$2:$B$9)</f>
        <v>0.45</v>
      </c>
      <c r="S2868" s="1">
        <f t="shared" si="176"/>
        <v>189</v>
      </c>
      <c r="T2868" s="1">
        <f t="shared" si="177"/>
        <v>18.789999999999992</v>
      </c>
      <c r="U2868" s="1" t="str">
        <f t="shared" si="178"/>
        <v>Underpaid</v>
      </c>
      <c r="V2868" s="1" t="str">
        <f>_xlfn.XLOOKUP(C2868,Payers!$A$2:$A$9,Payers!$B$2:$B$9)</f>
        <v>Blue Horizon Commercial</v>
      </c>
      <c r="W2868" s="1" t="str">
        <f t="shared" si="179"/>
        <v>2026-08</v>
      </c>
    </row>
    <row r="2869" spans="1:23">
      <c r="A2869" s="1" t="s">
        <v>4888</v>
      </c>
      <c r="B2869" s="1" t="s">
        <v>2909</v>
      </c>
      <c r="C2869" s="1" t="s">
        <v>25</v>
      </c>
      <c r="D2869" s="1" t="s">
        <v>30</v>
      </c>
      <c r="E2869" s="1" t="s">
        <v>20</v>
      </c>
      <c r="F2869">
        <v>1</v>
      </c>
      <c r="G2869" s="2">
        <v>46126</v>
      </c>
      <c r="H2869" s="2">
        <v>46127</v>
      </c>
      <c r="I2869">
        <v>142.35</v>
      </c>
      <c r="J2869">
        <v>57.79</v>
      </c>
      <c r="K2869">
        <v>52.01</v>
      </c>
      <c r="L2869">
        <v>5.78</v>
      </c>
      <c r="M2869" s="1" t="s">
        <v>21</v>
      </c>
      <c r="N2869" s="1" t="s">
        <v>22</v>
      </c>
      <c r="O2869" s="2">
        <v>46138</v>
      </c>
      <c r="P2869" s="2">
        <v>46138</v>
      </c>
      <c r="Q2869">
        <f>_xlfn.XLOOKUP(E2869,CPT!$A$2:$A$13,CPT!$D$2:$D$13)</f>
        <v>145</v>
      </c>
      <c r="R2869" s="1">
        <f>_xlfn.XLOOKUP(C2869,Contract!$A$2:$A$9,Contract!$B$2:$B$9)</f>
        <v>0.36</v>
      </c>
      <c r="S2869" s="1">
        <f t="shared" si="176"/>
        <v>52.2</v>
      </c>
      <c r="T2869" s="1">
        <f t="shared" si="177"/>
        <v>-5.5899999999999963</v>
      </c>
      <c r="U2869" s="1" t="str">
        <f t="shared" si="178"/>
        <v>OK</v>
      </c>
      <c r="V2869" s="1" t="str">
        <f>_xlfn.XLOOKUP(C2869,Payers!$A$2:$A$9,Payers!$B$2:$B$9)</f>
        <v>Medicare Part B</v>
      </c>
      <c r="W2869" s="1" t="str">
        <f t="shared" si="179"/>
        <v>2026-04</v>
      </c>
    </row>
    <row r="2870" spans="1:23">
      <c r="A2870" s="1" t="s">
        <v>4889</v>
      </c>
      <c r="B2870" s="1" t="s">
        <v>4890</v>
      </c>
      <c r="C2870" s="1" t="s">
        <v>76</v>
      </c>
      <c r="D2870" s="1" t="s">
        <v>30</v>
      </c>
      <c r="E2870" s="1" t="s">
        <v>91</v>
      </c>
      <c r="F2870">
        <v>1</v>
      </c>
      <c r="G2870" s="2">
        <v>45932</v>
      </c>
      <c r="H2870" s="2">
        <v>45936</v>
      </c>
      <c r="I2870">
        <v>56.36</v>
      </c>
      <c r="J2870">
        <v>22.41</v>
      </c>
      <c r="K2870">
        <v>22.41</v>
      </c>
      <c r="L2870">
        <v>0</v>
      </c>
      <c r="M2870" s="1" t="s">
        <v>21</v>
      </c>
      <c r="N2870" s="1" t="s">
        <v>22</v>
      </c>
      <c r="O2870" s="2">
        <v>45968</v>
      </c>
      <c r="P2870" s="2">
        <v>45968</v>
      </c>
      <c r="Q2870">
        <f>_xlfn.XLOOKUP(E2870,CPT!$A$2:$A$13,CPT!$D$2:$D$13)</f>
        <v>58</v>
      </c>
      <c r="R2870" s="1">
        <f>_xlfn.XLOOKUP(C2870,Contract!$A$2:$A$9,Contract!$B$2:$B$9)</f>
        <v>0.43</v>
      </c>
      <c r="S2870" s="1">
        <f t="shared" si="176"/>
        <v>24.94</v>
      </c>
      <c r="T2870" s="1">
        <f t="shared" si="177"/>
        <v>2.5300000000000011</v>
      </c>
      <c r="U2870" s="1" t="str">
        <f t="shared" si="178"/>
        <v>Underpaid</v>
      </c>
      <c r="V2870" s="1" t="str">
        <f>_xlfn.XLOOKUP(C2870,Payers!$A$2:$A$9,Payers!$B$2:$B$9)</f>
        <v>Summit Health Commercial</v>
      </c>
      <c r="W2870" s="1" t="str">
        <f t="shared" si="179"/>
        <v>2025-10</v>
      </c>
    </row>
    <row r="2871" spans="1:23">
      <c r="A2871" s="1" t="s">
        <v>4891</v>
      </c>
      <c r="B2871" s="1" t="s">
        <v>3843</v>
      </c>
      <c r="C2871" s="1" t="s">
        <v>60</v>
      </c>
      <c r="D2871" s="1" t="s">
        <v>19</v>
      </c>
      <c r="E2871" s="1" t="s">
        <v>57</v>
      </c>
      <c r="F2871">
        <v>1</v>
      </c>
      <c r="G2871" s="2">
        <v>46005</v>
      </c>
      <c r="H2871" s="2">
        <v>46009</v>
      </c>
      <c r="I2871">
        <v>214.62</v>
      </c>
      <c r="J2871">
        <v>84.36</v>
      </c>
      <c r="K2871">
        <v>75.92</v>
      </c>
      <c r="L2871">
        <v>8.44</v>
      </c>
      <c r="M2871" s="1" t="s">
        <v>21</v>
      </c>
      <c r="N2871" s="1" t="s">
        <v>22</v>
      </c>
      <c r="O2871" s="2">
        <v>46034</v>
      </c>
      <c r="P2871" s="2">
        <v>46034</v>
      </c>
      <c r="Q2871">
        <f>_xlfn.XLOOKUP(E2871,CPT!$A$2:$A$13,CPT!$D$2:$D$13)</f>
        <v>210</v>
      </c>
      <c r="R2871" s="1">
        <f>_xlfn.XLOOKUP(C2871,Contract!$A$2:$A$9,Contract!$B$2:$B$9)</f>
        <v>0.45</v>
      </c>
      <c r="S2871" s="1">
        <f t="shared" si="176"/>
        <v>94.5</v>
      </c>
      <c r="T2871" s="1">
        <f t="shared" si="177"/>
        <v>10.14</v>
      </c>
      <c r="U2871" s="1" t="str">
        <f t="shared" si="178"/>
        <v>Underpaid</v>
      </c>
      <c r="V2871" s="1" t="str">
        <f>_xlfn.XLOOKUP(C2871,Payers!$A$2:$A$9,Payers!$B$2:$B$9)</f>
        <v>Blue Horizon Commercial</v>
      </c>
      <c r="W2871" s="1" t="str">
        <f t="shared" si="179"/>
        <v>2025-12</v>
      </c>
    </row>
    <row r="2872" spans="1:23">
      <c r="A2872" s="1" t="s">
        <v>4892</v>
      </c>
      <c r="B2872" s="1" t="s">
        <v>3518</v>
      </c>
      <c r="C2872" s="1" t="s">
        <v>60</v>
      </c>
      <c r="D2872" s="1" t="s">
        <v>26</v>
      </c>
      <c r="E2872" s="1" t="s">
        <v>57</v>
      </c>
      <c r="F2872">
        <v>1</v>
      </c>
      <c r="G2872" s="2">
        <v>46271</v>
      </c>
      <c r="H2872" s="2">
        <v>46272</v>
      </c>
      <c r="I2872">
        <v>215.64</v>
      </c>
      <c r="M2872" s="1" t="s">
        <v>69</v>
      </c>
      <c r="N2872" s="1" t="s">
        <v>22</v>
      </c>
      <c r="O2872" s="2"/>
      <c r="P2872" s="2"/>
      <c r="Q2872">
        <f>_xlfn.XLOOKUP(E2872,CPT!$A$2:$A$13,CPT!$D$2:$D$13)</f>
        <v>210</v>
      </c>
      <c r="R2872" s="1">
        <f>_xlfn.XLOOKUP(C2872,Contract!$A$2:$A$9,Contract!$B$2:$B$9)</f>
        <v>0.45</v>
      </c>
      <c r="S2872" s="1">
        <f t="shared" si="176"/>
        <v>94.5</v>
      </c>
      <c r="T2872" s="1" t="str">
        <f t="shared" si="177"/>
        <v/>
      </c>
      <c r="U2872" s="1" t="str">
        <f t="shared" si="178"/>
        <v/>
      </c>
      <c r="V2872" s="1" t="str">
        <f>_xlfn.XLOOKUP(C2872,Payers!$A$2:$A$9,Payers!$B$2:$B$9)</f>
        <v>Blue Horizon Commercial</v>
      </c>
      <c r="W2872" s="1" t="str">
        <f t="shared" si="179"/>
        <v>2026-09</v>
      </c>
    </row>
    <row r="2873" spans="1:23">
      <c r="A2873" s="1" t="s">
        <v>4893</v>
      </c>
      <c r="B2873" s="1" t="s">
        <v>1824</v>
      </c>
      <c r="C2873" s="1" t="s">
        <v>60</v>
      </c>
      <c r="D2873" s="1" t="s">
        <v>26</v>
      </c>
      <c r="E2873" s="1" t="s">
        <v>44</v>
      </c>
      <c r="F2873">
        <v>1</v>
      </c>
      <c r="G2873" s="2">
        <v>46285</v>
      </c>
      <c r="H2873" s="2">
        <v>46287</v>
      </c>
      <c r="I2873">
        <v>4665.37</v>
      </c>
      <c r="M2873" s="1" t="s">
        <v>69</v>
      </c>
      <c r="N2873" s="1" t="s">
        <v>22</v>
      </c>
      <c r="O2873" s="2"/>
      <c r="P2873" s="2"/>
      <c r="Q2873">
        <f>_xlfn.XLOOKUP(E2873,CPT!$A$2:$A$13,CPT!$D$2:$D$13)</f>
        <v>4800</v>
      </c>
      <c r="R2873" s="1">
        <f>_xlfn.XLOOKUP(C2873,Contract!$A$2:$A$9,Contract!$B$2:$B$9)</f>
        <v>0.45</v>
      </c>
      <c r="S2873" s="1">
        <f t="shared" si="176"/>
        <v>2160</v>
      </c>
      <c r="T2873" s="1" t="str">
        <f t="shared" si="177"/>
        <v/>
      </c>
      <c r="U2873" s="1" t="str">
        <f t="shared" si="178"/>
        <v/>
      </c>
      <c r="V2873" s="1" t="str">
        <f>_xlfn.XLOOKUP(C2873,Payers!$A$2:$A$9,Payers!$B$2:$B$9)</f>
        <v>Blue Horizon Commercial</v>
      </c>
      <c r="W2873" s="1" t="str">
        <f t="shared" si="179"/>
        <v>2026-09</v>
      </c>
    </row>
    <row r="2874" spans="1:23">
      <c r="A2874" s="1" t="s">
        <v>4894</v>
      </c>
      <c r="B2874" s="1" t="s">
        <v>2270</v>
      </c>
      <c r="C2874" s="1" t="s">
        <v>18</v>
      </c>
      <c r="D2874" s="1" t="s">
        <v>26</v>
      </c>
      <c r="E2874" s="1" t="s">
        <v>185</v>
      </c>
      <c r="F2874">
        <v>1</v>
      </c>
      <c r="G2874" s="2">
        <v>46042</v>
      </c>
      <c r="H2874" s="2">
        <v>46044</v>
      </c>
      <c r="I2874">
        <v>1178.6500000000001</v>
      </c>
      <c r="J2874">
        <v>448.79</v>
      </c>
      <c r="K2874">
        <v>448.79</v>
      </c>
      <c r="L2874">
        <v>0</v>
      </c>
      <c r="M2874" s="1" t="s">
        <v>21</v>
      </c>
      <c r="N2874" s="1" t="s">
        <v>22</v>
      </c>
      <c r="O2874" s="2">
        <v>46086</v>
      </c>
      <c r="P2874" s="2">
        <v>46086</v>
      </c>
      <c r="Q2874">
        <f>_xlfn.XLOOKUP(E2874,CPT!$A$2:$A$13,CPT!$D$2:$D$13)</f>
        <v>1150</v>
      </c>
      <c r="R2874" s="1">
        <f>_xlfn.XLOOKUP(C2874,Contract!$A$2:$A$9,Contract!$B$2:$B$9)</f>
        <v>0.38</v>
      </c>
      <c r="S2874" s="1">
        <f t="shared" si="176"/>
        <v>437</v>
      </c>
      <c r="T2874" s="1">
        <f t="shared" si="177"/>
        <v>-11.79000000000002</v>
      </c>
      <c r="U2874" s="1" t="str">
        <f t="shared" si="178"/>
        <v>OK</v>
      </c>
      <c r="V2874" s="1" t="str">
        <f>_xlfn.XLOOKUP(C2874,Payers!$A$2:$A$9,Payers!$B$2:$B$9)</f>
        <v>Sunshine Medicare Advantage</v>
      </c>
      <c r="W2874" s="1" t="str">
        <f t="shared" si="179"/>
        <v>2026-01</v>
      </c>
    </row>
    <row r="2875" spans="1:23">
      <c r="A2875" s="1" t="s">
        <v>4895</v>
      </c>
      <c r="B2875" s="1" t="s">
        <v>3728</v>
      </c>
      <c r="C2875" s="1" t="s">
        <v>25</v>
      </c>
      <c r="D2875" s="1" t="s">
        <v>30</v>
      </c>
      <c r="E2875" s="1" t="s">
        <v>91</v>
      </c>
      <c r="F2875">
        <v>1</v>
      </c>
      <c r="G2875" s="2">
        <v>46098</v>
      </c>
      <c r="H2875" s="2">
        <v>46099</v>
      </c>
      <c r="I2875">
        <v>58.09</v>
      </c>
      <c r="J2875">
        <v>20.82</v>
      </c>
      <c r="K2875">
        <v>20.82</v>
      </c>
      <c r="L2875">
        <v>0</v>
      </c>
      <c r="M2875" s="1" t="s">
        <v>21</v>
      </c>
      <c r="N2875" s="1" t="s">
        <v>22</v>
      </c>
      <c r="O2875" s="2">
        <v>46118</v>
      </c>
      <c r="P2875" s="2">
        <v>46118</v>
      </c>
      <c r="Q2875">
        <f>_xlfn.XLOOKUP(E2875,CPT!$A$2:$A$13,CPT!$D$2:$D$13)</f>
        <v>58</v>
      </c>
      <c r="R2875" s="1">
        <f>_xlfn.XLOOKUP(C2875,Contract!$A$2:$A$9,Contract!$B$2:$B$9)</f>
        <v>0.36</v>
      </c>
      <c r="S2875" s="1">
        <f t="shared" si="176"/>
        <v>20.88</v>
      </c>
      <c r="T2875" s="1">
        <f t="shared" si="177"/>
        <v>5.9999999999998721E-2</v>
      </c>
      <c r="U2875" s="1" t="str">
        <f t="shared" si="178"/>
        <v>OK</v>
      </c>
      <c r="V2875" s="1" t="str">
        <f>_xlfn.XLOOKUP(C2875,Payers!$A$2:$A$9,Payers!$B$2:$B$9)</f>
        <v>Medicare Part B</v>
      </c>
      <c r="W2875" s="1" t="str">
        <f t="shared" si="179"/>
        <v>2026-03</v>
      </c>
    </row>
    <row r="2876" spans="1:23">
      <c r="A2876" s="1" t="s">
        <v>4896</v>
      </c>
      <c r="B2876" s="1" t="s">
        <v>734</v>
      </c>
      <c r="C2876" s="1" t="s">
        <v>52</v>
      </c>
      <c r="D2876" s="1" t="s">
        <v>19</v>
      </c>
      <c r="E2876" s="1" t="s">
        <v>57</v>
      </c>
      <c r="F2876">
        <v>1</v>
      </c>
      <c r="G2876" s="2">
        <v>46071</v>
      </c>
      <c r="H2876" s="2">
        <v>46075</v>
      </c>
      <c r="I2876">
        <v>214.43</v>
      </c>
      <c r="J2876">
        <v>88.66</v>
      </c>
      <c r="K2876">
        <v>79.790000000000006</v>
      </c>
      <c r="L2876">
        <v>8.8699999999999992</v>
      </c>
      <c r="M2876" s="1" t="s">
        <v>21</v>
      </c>
      <c r="N2876" s="1" t="s">
        <v>22</v>
      </c>
      <c r="O2876" s="2">
        <v>46104</v>
      </c>
      <c r="P2876" s="2">
        <v>46104</v>
      </c>
      <c r="Q2876">
        <f>_xlfn.XLOOKUP(E2876,CPT!$A$2:$A$13,CPT!$D$2:$D$13)</f>
        <v>210</v>
      </c>
      <c r="R2876" s="1">
        <f>_xlfn.XLOOKUP(C2876,Contract!$A$2:$A$9,Contract!$B$2:$B$9)</f>
        <v>0.47</v>
      </c>
      <c r="S2876" s="1">
        <f t="shared" si="176"/>
        <v>98.7</v>
      </c>
      <c r="T2876" s="1">
        <f t="shared" si="177"/>
        <v>10.040000000000006</v>
      </c>
      <c r="U2876" s="1" t="str">
        <f t="shared" si="178"/>
        <v>Underpaid</v>
      </c>
      <c r="V2876" s="1" t="str">
        <f>_xlfn.XLOOKUP(C2876,Payers!$A$2:$A$9,Payers!$B$2:$B$9)</f>
        <v>Keystone Commercial PPO</v>
      </c>
      <c r="W2876" s="1" t="str">
        <f t="shared" si="179"/>
        <v>2026-02</v>
      </c>
    </row>
    <row r="2877" spans="1:23">
      <c r="A2877" s="1" t="s">
        <v>4897</v>
      </c>
      <c r="B2877" s="1" t="s">
        <v>2314</v>
      </c>
      <c r="C2877" s="1" t="s">
        <v>18</v>
      </c>
      <c r="D2877" s="1" t="s">
        <v>19</v>
      </c>
      <c r="E2877" s="1" t="s">
        <v>41</v>
      </c>
      <c r="F2877">
        <v>1</v>
      </c>
      <c r="G2877" s="2">
        <v>46200</v>
      </c>
      <c r="H2877" s="2">
        <v>46201</v>
      </c>
      <c r="I2877">
        <v>38.369999999999997</v>
      </c>
      <c r="J2877">
        <v>15.1</v>
      </c>
      <c r="K2877">
        <v>15.1</v>
      </c>
      <c r="L2877">
        <v>0</v>
      </c>
      <c r="M2877" s="1" t="s">
        <v>21</v>
      </c>
      <c r="N2877" s="1" t="s">
        <v>22</v>
      </c>
      <c r="O2877" s="2">
        <v>46279</v>
      </c>
      <c r="P2877" s="2">
        <v>46279</v>
      </c>
      <c r="Q2877">
        <f>_xlfn.XLOOKUP(E2877,CPT!$A$2:$A$13,CPT!$D$2:$D$13)</f>
        <v>38</v>
      </c>
      <c r="R2877" s="1">
        <f>_xlfn.XLOOKUP(C2877,Contract!$A$2:$A$9,Contract!$B$2:$B$9)</f>
        <v>0.38</v>
      </c>
      <c r="S2877" s="1">
        <f t="shared" si="176"/>
        <v>14.44</v>
      </c>
      <c r="T2877" s="1">
        <f t="shared" si="177"/>
        <v>-0.66000000000000014</v>
      </c>
      <c r="U2877" s="1" t="str">
        <f t="shared" si="178"/>
        <v>OK</v>
      </c>
      <c r="V2877" s="1" t="str">
        <f>_xlfn.XLOOKUP(C2877,Payers!$A$2:$A$9,Payers!$B$2:$B$9)</f>
        <v>Sunshine Medicare Advantage</v>
      </c>
      <c r="W2877" s="1" t="str">
        <f t="shared" si="179"/>
        <v>2026-06</v>
      </c>
    </row>
    <row r="2878" spans="1:23">
      <c r="A2878" s="1" t="s">
        <v>4898</v>
      </c>
      <c r="B2878" s="1" t="s">
        <v>2850</v>
      </c>
      <c r="C2878" s="1" t="s">
        <v>25</v>
      </c>
      <c r="D2878" s="1" t="s">
        <v>30</v>
      </c>
      <c r="E2878" s="1" t="s">
        <v>31</v>
      </c>
      <c r="F2878">
        <v>1</v>
      </c>
      <c r="G2878" s="2">
        <v>46248</v>
      </c>
      <c r="H2878" s="2">
        <v>46250</v>
      </c>
      <c r="I2878">
        <v>63.28</v>
      </c>
      <c r="J2878">
        <v>24.02</v>
      </c>
      <c r="K2878">
        <v>21.62</v>
      </c>
      <c r="L2878">
        <v>2.4</v>
      </c>
      <c r="M2878" s="1" t="s">
        <v>21</v>
      </c>
      <c r="N2878" s="1" t="s">
        <v>22</v>
      </c>
      <c r="O2878" s="2">
        <v>46262</v>
      </c>
      <c r="P2878" s="2">
        <v>46262</v>
      </c>
      <c r="Q2878">
        <f>_xlfn.XLOOKUP(E2878,CPT!$A$2:$A$13,CPT!$D$2:$D$13)</f>
        <v>62</v>
      </c>
      <c r="R2878" s="1">
        <f>_xlfn.XLOOKUP(C2878,Contract!$A$2:$A$9,Contract!$B$2:$B$9)</f>
        <v>0.36</v>
      </c>
      <c r="S2878" s="1">
        <f t="shared" si="176"/>
        <v>22.32</v>
      </c>
      <c r="T2878" s="1">
        <f t="shared" si="177"/>
        <v>-1.6999999999999993</v>
      </c>
      <c r="U2878" s="1" t="str">
        <f t="shared" si="178"/>
        <v>OK</v>
      </c>
      <c r="V2878" s="1" t="str">
        <f>_xlfn.XLOOKUP(C2878,Payers!$A$2:$A$9,Payers!$B$2:$B$9)</f>
        <v>Medicare Part B</v>
      </c>
      <c r="W2878" s="1" t="str">
        <f t="shared" si="179"/>
        <v>2026-08</v>
      </c>
    </row>
    <row r="2879" spans="1:23">
      <c r="A2879" s="1" t="s">
        <v>4899</v>
      </c>
      <c r="B2879" s="1" t="s">
        <v>2190</v>
      </c>
      <c r="C2879" s="1" t="s">
        <v>47</v>
      </c>
      <c r="D2879" s="1" t="s">
        <v>19</v>
      </c>
      <c r="E2879" s="1" t="s">
        <v>20</v>
      </c>
      <c r="F2879">
        <v>1</v>
      </c>
      <c r="G2879" s="2">
        <v>46097</v>
      </c>
      <c r="H2879" s="2">
        <v>46100</v>
      </c>
      <c r="I2879">
        <v>147.06</v>
      </c>
      <c r="M2879" s="1" t="s">
        <v>32</v>
      </c>
      <c r="N2879" s="1" t="s">
        <v>33</v>
      </c>
      <c r="O2879" s="2">
        <v>46189</v>
      </c>
      <c r="P2879" s="2"/>
      <c r="Q2879">
        <f>_xlfn.XLOOKUP(E2879,CPT!$A$2:$A$13,CPT!$D$2:$D$13)</f>
        <v>145</v>
      </c>
      <c r="R2879" s="1">
        <f>_xlfn.XLOOKUP(C2879,Contract!$A$2:$A$9,Contract!$B$2:$B$9)</f>
        <v>0.28000000000000003</v>
      </c>
      <c r="S2879" s="1">
        <f t="shared" si="176"/>
        <v>40.6</v>
      </c>
      <c r="T2879" s="1" t="str">
        <f t="shared" si="177"/>
        <v/>
      </c>
      <c r="U2879" s="1" t="str">
        <f t="shared" si="178"/>
        <v/>
      </c>
      <c r="V2879" s="1" t="str">
        <f>_xlfn.XLOOKUP(C2879,Payers!$A$2:$A$9,Payers!$B$2:$B$9)</f>
        <v>Coastal Medicaid MCO</v>
      </c>
      <c r="W2879" s="1" t="str">
        <f t="shared" si="179"/>
        <v>2026-03</v>
      </c>
    </row>
    <row r="2880" spans="1:23">
      <c r="A2880" s="1" t="s">
        <v>4900</v>
      </c>
      <c r="B2880" s="1" t="s">
        <v>4901</v>
      </c>
      <c r="C2880" s="1" t="s">
        <v>76</v>
      </c>
      <c r="D2880" s="1" t="s">
        <v>19</v>
      </c>
      <c r="E2880" s="1" t="s">
        <v>88</v>
      </c>
      <c r="F2880">
        <v>1</v>
      </c>
      <c r="G2880" s="2">
        <v>46111</v>
      </c>
      <c r="H2880" s="2">
        <v>46118</v>
      </c>
      <c r="I2880">
        <v>261.58</v>
      </c>
      <c r="J2880">
        <v>107.24</v>
      </c>
      <c r="K2880">
        <v>107.24</v>
      </c>
      <c r="L2880">
        <v>0</v>
      </c>
      <c r="M2880" s="1" t="s">
        <v>21</v>
      </c>
      <c r="N2880" s="1" t="s">
        <v>22</v>
      </c>
      <c r="O2880" s="2">
        <v>46144</v>
      </c>
      <c r="P2880" s="2">
        <v>46144</v>
      </c>
      <c r="Q2880">
        <f>_xlfn.XLOOKUP(E2880,CPT!$A$2:$A$13,CPT!$D$2:$D$13)</f>
        <v>260</v>
      </c>
      <c r="R2880" s="1">
        <f>_xlfn.XLOOKUP(C2880,Contract!$A$2:$A$9,Contract!$B$2:$B$9)</f>
        <v>0.43</v>
      </c>
      <c r="S2880" s="1">
        <f t="shared" si="176"/>
        <v>111.8</v>
      </c>
      <c r="T2880" s="1">
        <f t="shared" si="177"/>
        <v>4.5600000000000023</v>
      </c>
      <c r="U2880" s="1" t="str">
        <f t="shared" si="178"/>
        <v>OK</v>
      </c>
      <c r="V2880" s="1" t="str">
        <f>_xlfn.XLOOKUP(C2880,Payers!$A$2:$A$9,Payers!$B$2:$B$9)</f>
        <v>Summit Health Commercial</v>
      </c>
      <c r="W2880" s="1" t="str">
        <f t="shared" si="179"/>
        <v>2026-03</v>
      </c>
    </row>
    <row r="2881" spans="1:23">
      <c r="A2881" s="1" t="s">
        <v>4902</v>
      </c>
      <c r="B2881" s="1" t="s">
        <v>2522</v>
      </c>
      <c r="C2881" s="1" t="s">
        <v>25</v>
      </c>
      <c r="D2881" s="1" t="s">
        <v>37</v>
      </c>
      <c r="E2881" s="1" t="s">
        <v>38</v>
      </c>
      <c r="F2881">
        <v>30</v>
      </c>
      <c r="G2881" s="2">
        <v>46159</v>
      </c>
      <c r="H2881" s="2">
        <v>46161</v>
      </c>
      <c r="I2881">
        <v>44220.27</v>
      </c>
      <c r="J2881">
        <v>15681.7</v>
      </c>
      <c r="K2881">
        <v>12545.36</v>
      </c>
      <c r="L2881">
        <v>3136.34</v>
      </c>
      <c r="M2881" s="1" t="s">
        <v>21</v>
      </c>
      <c r="N2881" s="1" t="s">
        <v>22</v>
      </c>
      <c r="O2881" s="2">
        <v>46184</v>
      </c>
      <c r="P2881" s="2">
        <v>46184</v>
      </c>
      <c r="Q2881">
        <f>_xlfn.XLOOKUP(E2881,CPT!$A$2:$A$13,CPT!$D$2:$D$13)</f>
        <v>1450</v>
      </c>
      <c r="R2881" s="1">
        <f>_xlfn.XLOOKUP(C2881,Contract!$A$2:$A$9,Contract!$B$2:$B$9)</f>
        <v>0.36</v>
      </c>
      <c r="S2881" s="1">
        <f t="shared" si="176"/>
        <v>15660</v>
      </c>
      <c r="T2881" s="1">
        <f t="shared" si="177"/>
        <v>-21.700000000000728</v>
      </c>
      <c r="U2881" s="1" t="str">
        <f t="shared" si="178"/>
        <v>OK</v>
      </c>
      <c r="V2881" s="1" t="str">
        <f>_xlfn.XLOOKUP(C2881,Payers!$A$2:$A$9,Payers!$B$2:$B$9)</f>
        <v>Medicare Part B</v>
      </c>
      <c r="W2881" s="1" t="str">
        <f t="shared" si="179"/>
        <v>2026-05</v>
      </c>
    </row>
    <row r="2882" spans="1:23">
      <c r="A2882" s="1" t="s">
        <v>4903</v>
      </c>
      <c r="B2882" s="1" t="s">
        <v>4660</v>
      </c>
      <c r="C2882" s="1" t="s">
        <v>47</v>
      </c>
      <c r="D2882" s="1" t="s">
        <v>26</v>
      </c>
      <c r="E2882" s="1" t="s">
        <v>27</v>
      </c>
      <c r="F2882">
        <v>1</v>
      </c>
      <c r="G2882" s="2">
        <v>46120</v>
      </c>
      <c r="H2882" s="2">
        <v>46125</v>
      </c>
      <c r="I2882">
        <v>236.89</v>
      </c>
      <c r="M2882" s="1" t="s">
        <v>32</v>
      </c>
      <c r="N2882" s="1" t="s">
        <v>124</v>
      </c>
      <c r="O2882" s="2">
        <v>46180</v>
      </c>
      <c r="P2882" s="2"/>
      <c r="Q2882">
        <f>_xlfn.XLOOKUP(E2882,CPT!$A$2:$A$13,CPT!$D$2:$D$13)</f>
        <v>240</v>
      </c>
      <c r="R2882" s="1">
        <f>_xlfn.XLOOKUP(C2882,Contract!$A$2:$A$9,Contract!$B$2:$B$9)</f>
        <v>0.28000000000000003</v>
      </c>
      <c r="S2882" s="1">
        <f t="shared" ref="S2882:S2945" si="180">ROUND(Q2882*F2882*R2882,2)</f>
        <v>67.2</v>
      </c>
      <c r="T2882" s="1" t="str">
        <f t="shared" ref="T2882:T2945" si="181">IF(M2882="Paid",S2882-J2882,"")</f>
        <v/>
      </c>
      <c r="U2882" s="1" t="str">
        <f t="shared" ref="U2882:U2945" si="182">IF(M2882&lt;&gt;"Paid","",IF(T2882&gt;S2882*0.05,"Underpaid","OK"))</f>
        <v/>
      </c>
      <c r="V2882" s="1" t="str">
        <f>_xlfn.XLOOKUP(C2882,Payers!$A$2:$A$9,Payers!$B$2:$B$9)</f>
        <v>Coastal Medicaid MCO</v>
      </c>
      <c r="W2882" s="1" t="str">
        <f t="shared" ref="W2882:W2945" si="183">TEXT(G2882,"yyyy-mm")</f>
        <v>2026-04</v>
      </c>
    </row>
    <row r="2883" spans="1:23">
      <c r="A2883" s="1" t="s">
        <v>4904</v>
      </c>
      <c r="B2883" s="1" t="s">
        <v>4572</v>
      </c>
      <c r="C2883" s="1" t="s">
        <v>47</v>
      </c>
      <c r="D2883" s="1" t="s">
        <v>37</v>
      </c>
      <c r="E2883" s="1" t="s">
        <v>48</v>
      </c>
      <c r="F2883">
        <v>1</v>
      </c>
      <c r="G2883" s="2">
        <v>46238</v>
      </c>
      <c r="H2883" s="2">
        <v>46242</v>
      </c>
      <c r="I2883">
        <v>432.18</v>
      </c>
      <c r="M2883" s="1" t="s">
        <v>69</v>
      </c>
      <c r="N2883" s="1" t="s">
        <v>22</v>
      </c>
      <c r="O2883" s="2"/>
      <c r="P2883" s="2"/>
      <c r="Q2883">
        <f>_xlfn.XLOOKUP(E2883,CPT!$A$2:$A$13,CPT!$D$2:$D$13)</f>
        <v>420</v>
      </c>
      <c r="R2883" s="1">
        <f>_xlfn.XLOOKUP(C2883,Contract!$A$2:$A$9,Contract!$B$2:$B$9)</f>
        <v>0.28000000000000003</v>
      </c>
      <c r="S2883" s="1">
        <f t="shared" si="180"/>
        <v>117.6</v>
      </c>
      <c r="T2883" s="1" t="str">
        <f t="shared" si="181"/>
        <v/>
      </c>
      <c r="U2883" s="1" t="str">
        <f t="shared" si="182"/>
        <v/>
      </c>
      <c r="V2883" s="1" t="str">
        <f>_xlfn.XLOOKUP(C2883,Payers!$A$2:$A$9,Payers!$B$2:$B$9)</f>
        <v>Coastal Medicaid MCO</v>
      </c>
      <c r="W2883" s="1" t="str">
        <f t="shared" si="183"/>
        <v>2026-08</v>
      </c>
    </row>
    <row r="2884" spans="1:23">
      <c r="A2884" s="1" t="s">
        <v>4905</v>
      </c>
      <c r="B2884" s="1" t="s">
        <v>4614</v>
      </c>
      <c r="C2884" s="1" t="s">
        <v>47</v>
      </c>
      <c r="D2884" s="1" t="s">
        <v>19</v>
      </c>
      <c r="E2884" s="1" t="s">
        <v>88</v>
      </c>
      <c r="F2884">
        <v>1</v>
      </c>
      <c r="G2884" s="2">
        <v>45985</v>
      </c>
      <c r="H2884" s="2">
        <v>45986</v>
      </c>
      <c r="I2884">
        <v>259.01</v>
      </c>
      <c r="J2884">
        <v>68.69</v>
      </c>
      <c r="K2884">
        <v>68.69</v>
      </c>
      <c r="L2884">
        <v>0</v>
      </c>
      <c r="M2884" s="1" t="s">
        <v>21</v>
      </c>
      <c r="N2884" s="1" t="s">
        <v>22</v>
      </c>
      <c r="O2884" s="2">
        <v>46015</v>
      </c>
      <c r="P2884" s="2">
        <v>46015</v>
      </c>
      <c r="Q2884">
        <f>_xlfn.XLOOKUP(E2884,CPT!$A$2:$A$13,CPT!$D$2:$D$13)</f>
        <v>260</v>
      </c>
      <c r="R2884" s="1">
        <f>_xlfn.XLOOKUP(C2884,Contract!$A$2:$A$9,Contract!$B$2:$B$9)</f>
        <v>0.28000000000000003</v>
      </c>
      <c r="S2884" s="1">
        <f t="shared" si="180"/>
        <v>72.8</v>
      </c>
      <c r="T2884" s="1">
        <f t="shared" si="181"/>
        <v>4.1099999999999994</v>
      </c>
      <c r="U2884" s="1" t="str">
        <f t="shared" si="182"/>
        <v>Underpaid</v>
      </c>
      <c r="V2884" s="1" t="str">
        <f>_xlfn.XLOOKUP(C2884,Payers!$A$2:$A$9,Payers!$B$2:$B$9)</f>
        <v>Coastal Medicaid MCO</v>
      </c>
      <c r="W2884" s="1" t="str">
        <f t="shared" si="183"/>
        <v>2025-11</v>
      </c>
    </row>
    <row r="2885" spans="1:23">
      <c r="A2885" s="1" t="s">
        <v>4906</v>
      </c>
      <c r="B2885" s="1" t="s">
        <v>414</v>
      </c>
      <c r="C2885" s="1" t="s">
        <v>60</v>
      </c>
      <c r="D2885" s="1" t="s">
        <v>26</v>
      </c>
      <c r="E2885" s="1" t="s">
        <v>27</v>
      </c>
      <c r="F2885">
        <v>1</v>
      </c>
      <c r="G2885" s="2">
        <v>45946</v>
      </c>
      <c r="H2885" s="2">
        <v>45952</v>
      </c>
      <c r="I2885">
        <v>246.19</v>
      </c>
      <c r="J2885">
        <v>102.63</v>
      </c>
      <c r="K2885">
        <v>102.63</v>
      </c>
      <c r="L2885">
        <v>0</v>
      </c>
      <c r="M2885" s="1" t="s">
        <v>21</v>
      </c>
      <c r="N2885" s="1" t="s">
        <v>22</v>
      </c>
      <c r="O2885" s="2">
        <v>45987</v>
      </c>
      <c r="P2885" s="2">
        <v>45987</v>
      </c>
      <c r="Q2885">
        <f>_xlfn.XLOOKUP(E2885,CPT!$A$2:$A$13,CPT!$D$2:$D$13)</f>
        <v>240</v>
      </c>
      <c r="R2885" s="1">
        <f>_xlfn.XLOOKUP(C2885,Contract!$A$2:$A$9,Contract!$B$2:$B$9)</f>
        <v>0.45</v>
      </c>
      <c r="S2885" s="1">
        <f t="shared" si="180"/>
        <v>108</v>
      </c>
      <c r="T2885" s="1">
        <f t="shared" si="181"/>
        <v>5.3700000000000045</v>
      </c>
      <c r="U2885" s="1" t="str">
        <f t="shared" si="182"/>
        <v>OK</v>
      </c>
      <c r="V2885" s="1" t="str">
        <f>_xlfn.XLOOKUP(C2885,Payers!$A$2:$A$9,Payers!$B$2:$B$9)</f>
        <v>Blue Horizon Commercial</v>
      </c>
      <c r="W2885" s="1" t="str">
        <f t="shared" si="183"/>
        <v>2025-10</v>
      </c>
    </row>
    <row r="2886" spans="1:23">
      <c r="A2886" s="1" t="s">
        <v>4907</v>
      </c>
      <c r="B2886" s="1" t="s">
        <v>1845</v>
      </c>
      <c r="C2886" s="1" t="s">
        <v>60</v>
      </c>
      <c r="D2886" s="1" t="s">
        <v>26</v>
      </c>
      <c r="E2886" s="1" t="s">
        <v>44</v>
      </c>
      <c r="F2886">
        <v>1</v>
      </c>
      <c r="G2886" s="2">
        <v>46009</v>
      </c>
      <c r="H2886" s="2">
        <v>46014</v>
      </c>
      <c r="I2886">
        <v>4797.3599999999997</v>
      </c>
      <c r="J2886">
        <v>1955.54</v>
      </c>
      <c r="K2886">
        <v>1759.99</v>
      </c>
      <c r="L2886">
        <v>195.55</v>
      </c>
      <c r="M2886" s="1" t="s">
        <v>21</v>
      </c>
      <c r="N2886" s="1" t="s">
        <v>22</v>
      </c>
      <c r="O2886" s="2">
        <v>46048</v>
      </c>
      <c r="P2886" s="2">
        <v>46048</v>
      </c>
      <c r="Q2886">
        <f>_xlfn.XLOOKUP(E2886,CPT!$A$2:$A$13,CPT!$D$2:$D$13)</f>
        <v>4800</v>
      </c>
      <c r="R2886" s="1">
        <f>_xlfn.XLOOKUP(C2886,Contract!$A$2:$A$9,Contract!$B$2:$B$9)</f>
        <v>0.45</v>
      </c>
      <c r="S2886" s="1">
        <f t="shared" si="180"/>
        <v>2160</v>
      </c>
      <c r="T2886" s="1">
        <f t="shared" si="181"/>
        <v>204.46000000000004</v>
      </c>
      <c r="U2886" s="1" t="str">
        <f t="shared" si="182"/>
        <v>Underpaid</v>
      </c>
      <c r="V2886" s="1" t="str">
        <f>_xlfn.XLOOKUP(C2886,Payers!$A$2:$A$9,Payers!$B$2:$B$9)</f>
        <v>Blue Horizon Commercial</v>
      </c>
      <c r="W2886" s="1" t="str">
        <f t="shared" si="183"/>
        <v>2025-12</v>
      </c>
    </row>
    <row r="2887" spans="1:23">
      <c r="A2887" s="1" t="s">
        <v>4908</v>
      </c>
      <c r="B2887" s="1" t="s">
        <v>4909</v>
      </c>
      <c r="C2887" s="1" t="s">
        <v>76</v>
      </c>
      <c r="D2887" s="1" t="s">
        <v>37</v>
      </c>
      <c r="E2887" s="1" t="s">
        <v>38</v>
      </c>
      <c r="F2887">
        <v>5</v>
      </c>
      <c r="G2887" s="2">
        <v>46185</v>
      </c>
      <c r="H2887" s="2">
        <v>46187</v>
      </c>
      <c r="I2887">
        <v>7056.81</v>
      </c>
      <c r="J2887">
        <v>3069.05</v>
      </c>
      <c r="K2887">
        <v>2762.14</v>
      </c>
      <c r="L2887">
        <v>306.91000000000003</v>
      </c>
      <c r="M2887" s="1" t="s">
        <v>21</v>
      </c>
      <c r="N2887" s="1" t="s">
        <v>22</v>
      </c>
      <c r="O2887" s="2">
        <v>46222</v>
      </c>
      <c r="P2887" s="2">
        <v>46222</v>
      </c>
      <c r="Q2887">
        <f>_xlfn.XLOOKUP(E2887,CPT!$A$2:$A$13,CPT!$D$2:$D$13)</f>
        <v>1450</v>
      </c>
      <c r="R2887" s="1">
        <f>_xlfn.XLOOKUP(C2887,Contract!$A$2:$A$9,Contract!$B$2:$B$9)</f>
        <v>0.43</v>
      </c>
      <c r="S2887" s="1">
        <f t="shared" si="180"/>
        <v>3117.5</v>
      </c>
      <c r="T2887" s="1">
        <f t="shared" si="181"/>
        <v>48.449999999999818</v>
      </c>
      <c r="U2887" s="1" t="str">
        <f t="shared" si="182"/>
        <v>OK</v>
      </c>
      <c r="V2887" s="1" t="str">
        <f>_xlfn.XLOOKUP(C2887,Payers!$A$2:$A$9,Payers!$B$2:$B$9)</f>
        <v>Summit Health Commercial</v>
      </c>
      <c r="W2887" s="1" t="str">
        <f t="shared" si="183"/>
        <v>2026-06</v>
      </c>
    </row>
    <row r="2888" spans="1:23">
      <c r="A2888" s="1" t="s">
        <v>4910</v>
      </c>
      <c r="B2888" s="1" t="s">
        <v>4911</v>
      </c>
      <c r="C2888" s="1" t="s">
        <v>47</v>
      </c>
      <c r="D2888" s="1" t="s">
        <v>19</v>
      </c>
      <c r="E2888" s="1" t="s">
        <v>88</v>
      </c>
      <c r="F2888">
        <v>1</v>
      </c>
      <c r="G2888" s="2">
        <v>46117</v>
      </c>
      <c r="H2888" s="2">
        <v>46124</v>
      </c>
      <c r="I2888">
        <v>266.61</v>
      </c>
      <c r="J2888">
        <v>72.62</v>
      </c>
      <c r="K2888">
        <v>72.62</v>
      </c>
      <c r="L2888">
        <v>0</v>
      </c>
      <c r="M2888" s="1" t="s">
        <v>21</v>
      </c>
      <c r="N2888" s="1" t="s">
        <v>22</v>
      </c>
      <c r="O2888" s="2">
        <v>46139</v>
      </c>
      <c r="P2888" s="2">
        <v>46139</v>
      </c>
      <c r="Q2888">
        <f>_xlfn.XLOOKUP(E2888,CPT!$A$2:$A$13,CPT!$D$2:$D$13)</f>
        <v>260</v>
      </c>
      <c r="R2888" s="1">
        <f>_xlfn.XLOOKUP(C2888,Contract!$A$2:$A$9,Contract!$B$2:$B$9)</f>
        <v>0.28000000000000003</v>
      </c>
      <c r="S2888" s="1">
        <f t="shared" si="180"/>
        <v>72.8</v>
      </c>
      <c r="T2888" s="1">
        <f t="shared" si="181"/>
        <v>0.17999999999999261</v>
      </c>
      <c r="U2888" s="1" t="str">
        <f t="shared" si="182"/>
        <v>OK</v>
      </c>
      <c r="V2888" s="1" t="str">
        <f>_xlfn.XLOOKUP(C2888,Payers!$A$2:$A$9,Payers!$B$2:$B$9)</f>
        <v>Coastal Medicaid MCO</v>
      </c>
      <c r="W2888" s="1" t="str">
        <f t="shared" si="183"/>
        <v>2026-04</v>
      </c>
    </row>
    <row r="2889" spans="1:23">
      <c r="A2889" s="1" t="s">
        <v>4912</v>
      </c>
      <c r="B2889" s="1" t="s">
        <v>4913</v>
      </c>
      <c r="C2889" s="1" t="s">
        <v>18</v>
      </c>
      <c r="D2889" s="1" t="s">
        <v>19</v>
      </c>
      <c r="E2889" s="1" t="s">
        <v>41</v>
      </c>
      <c r="F2889">
        <v>1</v>
      </c>
      <c r="G2889" s="2">
        <v>46143</v>
      </c>
      <c r="H2889" s="2">
        <v>46144</v>
      </c>
      <c r="I2889">
        <v>37.81</v>
      </c>
      <c r="J2889">
        <v>14.97</v>
      </c>
      <c r="K2889">
        <v>14.97</v>
      </c>
      <c r="L2889">
        <v>0</v>
      </c>
      <c r="M2889" s="1" t="s">
        <v>21</v>
      </c>
      <c r="N2889" s="1" t="s">
        <v>22</v>
      </c>
      <c r="O2889" s="2">
        <v>46181</v>
      </c>
      <c r="P2889" s="2">
        <v>46181</v>
      </c>
      <c r="Q2889">
        <f>_xlfn.XLOOKUP(E2889,CPT!$A$2:$A$13,CPT!$D$2:$D$13)</f>
        <v>38</v>
      </c>
      <c r="R2889" s="1">
        <f>_xlfn.XLOOKUP(C2889,Contract!$A$2:$A$9,Contract!$B$2:$B$9)</f>
        <v>0.38</v>
      </c>
      <c r="S2889" s="1">
        <f t="shared" si="180"/>
        <v>14.44</v>
      </c>
      <c r="T2889" s="1">
        <f t="shared" si="181"/>
        <v>-0.53000000000000114</v>
      </c>
      <c r="U2889" s="1" t="str">
        <f t="shared" si="182"/>
        <v>OK</v>
      </c>
      <c r="V2889" s="1" t="str">
        <f>_xlfn.XLOOKUP(C2889,Payers!$A$2:$A$9,Payers!$B$2:$B$9)</f>
        <v>Sunshine Medicare Advantage</v>
      </c>
      <c r="W2889" s="1" t="str">
        <f t="shared" si="183"/>
        <v>2026-05</v>
      </c>
    </row>
    <row r="2890" spans="1:23">
      <c r="A2890" s="1" t="s">
        <v>4914</v>
      </c>
      <c r="B2890" s="1" t="s">
        <v>4855</v>
      </c>
      <c r="C2890" s="1" t="s">
        <v>25</v>
      </c>
      <c r="D2890" s="1" t="s">
        <v>30</v>
      </c>
      <c r="E2890" s="1" t="s">
        <v>20</v>
      </c>
      <c r="F2890">
        <v>1</v>
      </c>
      <c r="G2890" s="2">
        <v>45946</v>
      </c>
      <c r="H2890" s="2">
        <v>46053</v>
      </c>
      <c r="I2890">
        <v>145.02000000000001</v>
      </c>
      <c r="M2890" s="1" t="s">
        <v>32</v>
      </c>
      <c r="N2890" s="1" t="s">
        <v>137</v>
      </c>
      <c r="O2890" s="2">
        <v>46077</v>
      </c>
      <c r="P2890" s="2"/>
      <c r="Q2890">
        <f>_xlfn.XLOOKUP(E2890,CPT!$A$2:$A$13,CPT!$D$2:$D$13)</f>
        <v>145</v>
      </c>
      <c r="R2890" s="1">
        <f>_xlfn.XLOOKUP(C2890,Contract!$A$2:$A$9,Contract!$B$2:$B$9)</f>
        <v>0.36</v>
      </c>
      <c r="S2890" s="1">
        <f t="shared" si="180"/>
        <v>52.2</v>
      </c>
      <c r="T2890" s="1" t="str">
        <f t="shared" si="181"/>
        <v/>
      </c>
      <c r="U2890" s="1" t="str">
        <f t="shared" si="182"/>
        <v/>
      </c>
      <c r="V2890" s="1" t="str">
        <f>_xlfn.XLOOKUP(C2890,Payers!$A$2:$A$9,Payers!$B$2:$B$9)</f>
        <v>Medicare Part B</v>
      </c>
      <c r="W2890" s="1" t="str">
        <f t="shared" si="183"/>
        <v>2025-10</v>
      </c>
    </row>
    <row r="2891" spans="1:23">
      <c r="A2891" s="1" t="s">
        <v>4915</v>
      </c>
      <c r="B2891" s="1" t="s">
        <v>4258</v>
      </c>
      <c r="C2891" s="1" t="s">
        <v>60</v>
      </c>
      <c r="D2891" s="1" t="s">
        <v>26</v>
      </c>
      <c r="E2891" s="1" t="s">
        <v>57</v>
      </c>
      <c r="F2891">
        <v>1</v>
      </c>
      <c r="G2891" s="2">
        <v>46227</v>
      </c>
      <c r="H2891" s="2">
        <v>46229</v>
      </c>
      <c r="I2891">
        <v>209.46</v>
      </c>
      <c r="J2891">
        <v>90.85</v>
      </c>
      <c r="K2891">
        <v>90.85</v>
      </c>
      <c r="L2891">
        <v>0</v>
      </c>
      <c r="M2891" s="1" t="s">
        <v>21</v>
      </c>
      <c r="N2891" s="1" t="s">
        <v>22</v>
      </c>
      <c r="O2891" s="2">
        <v>46250</v>
      </c>
      <c r="P2891" s="2">
        <v>46250</v>
      </c>
      <c r="Q2891">
        <f>_xlfn.XLOOKUP(E2891,CPT!$A$2:$A$13,CPT!$D$2:$D$13)</f>
        <v>210</v>
      </c>
      <c r="R2891" s="1">
        <f>_xlfn.XLOOKUP(C2891,Contract!$A$2:$A$9,Contract!$B$2:$B$9)</f>
        <v>0.45</v>
      </c>
      <c r="S2891" s="1">
        <f t="shared" si="180"/>
        <v>94.5</v>
      </c>
      <c r="T2891" s="1">
        <f t="shared" si="181"/>
        <v>3.6500000000000057</v>
      </c>
      <c r="U2891" s="1" t="str">
        <f t="shared" si="182"/>
        <v>OK</v>
      </c>
      <c r="V2891" s="1" t="str">
        <f>_xlfn.XLOOKUP(C2891,Payers!$A$2:$A$9,Payers!$B$2:$B$9)</f>
        <v>Blue Horizon Commercial</v>
      </c>
      <c r="W2891" s="1" t="str">
        <f t="shared" si="183"/>
        <v>2026-07</v>
      </c>
    </row>
    <row r="2892" spans="1:23">
      <c r="A2892" s="1" t="s">
        <v>4916</v>
      </c>
      <c r="B2892" s="1" t="s">
        <v>4917</v>
      </c>
      <c r="C2892" s="1" t="s">
        <v>79</v>
      </c>
      <c r="D2892" s="1" t="s">
        <v>30</v>
      </c>
      <c r="E2892" s="1" t="s">
        <v>20</v>
      </c>
      <c r="F2892">
        <v>1</v>
      </c>
      <c r="G2892" s="2">
        <v>45966</v>
      </c>
      <c r="H2892" s="2">
        <v>45969</v>
      </c>
      <c r="I2892">
        <v>146.46</v>
      </c>
      <c r="M2892" s="1" t="s">
        <v>69</v>
      </c>
      <c r="N2892" s="1" t="s">
        <v>22</v>
      </c>
      <c r="O2892" s="2"/>
      <c r="P2892" s="2"/>
      <c r="Q2892">
        <f>_xlfn.XLOOKUP(E2892,CPT!$A$2:$A$13,CPT!$D$2:$D$13)</f>
        <v>145</v>
      </c>
      <c r="R2892" s="1">
        <f>_xlfn.XLOOKUP(C2892,Contract!$A$2:$A$9,Contract!$B$2:$B$9)</f>
        <v>1</v>
      </c>
      <c r="S2892" s="1">
        <f t="shared" si="180"/>
        <v>145</v>
      </c>
      <c r="T2892" s="1" t="str">
        <f t="shared" si="181"/>
        <v/>
      </c>
      <c r="U2892" s="1" t="str">
        <f t="shared" si="182"/>
        <v/>
      </c>
      <c r="V2892" s="1" t="str">
        <f>_xlfn.XLOOKUP(C2892,Payers!$A$2:$A$9,Payers!$B$2:$B$9)</f>
        <v>Self-Pay</v>
      </c>
      <c r="W2892" s="1" t="str">
        <f t="shared" si="183"/>
        <v>2025-11</v>
      </c>
    </row>
    <row r="2893" spans="1:23">
      <c r="A2893" s="1" t="s">
        <v>4918</v>
      </c>
      <c r="B2893" s="1" t="s">
        <v>1563</v>
      </c>
      <c r="C2893" s="1" t="s">
        <v>60</v>
      </c>
      <c r="D2893" s="1" t="s">
        <v>37</v>
      </c>
      <c r="E2893" s="1" t="s">
        <v>38</v>
      </c>
      <c r="F2893">
        <v>10</v>
      </c>
      <c r="G2893" s="2">
        <v>46121</v>
      </c>
      <c r="H2893" s="2">
        <v>46122</v>
      </c>
      <c r="I2893">
        <v>14584.58</v>
      </c>
      <c r="J2893">
        <v>5959.92</v>
      </c>
      <c r="K2893">
        <v>5959.92</v>
      </c>
      <c r="L2893">
        <v>0</v>
      </c>
      <c r="M2893" s="1" t="s">
        <v>21</v>
      </c>
      <c r="N2893" s="1" t="s">
        <v>22</v>
      </c>
      <c r="O2893" s="2">
        <v>46133</v>
      </c>
      <c r="P2893" s="2">
        <v>46133</v>
      </c>
      <c r="Q2893">
        <f>_xlfn.XLOOKUP(E2893,CPT!$A$2:$A$13,CPT!$D$2:$D$13)</f>
        <v>1450</v>
      </c>
      <c r="R2893" s="1">
        <f>_xlfn.XLOOKUP(C2893,Contract!$A$2:$A$9,Contract!$B$2:$B$9)</f>
        <v>0.45</v>
      </c>
      <c r="S2893" s="1">
        <f t="shared" si="180"/>
        <v>6525</v>
      </c>
      <c r="T2893" s="1">
        <f t="shared" si="181"/>
        <v>565.07999999999993</v>
      </c>
      <c r="U2893" s="1" t="str">
        <f t="shared" si="182"/>
        <v>Underpaid</v>
      </c>
      <c r="V2893" s="1" t="str">
        <f>_xlfn.XLOOKUP(C2893,Payers!$A$2:$A$9,Payers!$B$2:$B$9)</f>
        <v>Blue Horizon Commercial</v>
      </c>
      <c r="W2893" s="1" t="str">
        <f t="shared" si="183"/>
        <v>2026-04</v>
      </c>
    </row>
    <row r="2894" spans="1:23">
      <c r="A2894" s="1" t="s">
        <v>4919</v>
      </c>
      <c r="B2894" s="1" t="s">
        <v>4920</v>
      </c>
      <c r="C2894" s="1" t="s">
        <v>47</v>
      </c>
      <c r="D2894" s="1" t="s">
        <v>26</v>
      </c>
      <c r="E2894" s="1" t="s">
        <v>57</v>
      </c>
      <c r="F2894">
        <v>1</v>
      </c>
      <c r="G2894" s="2">
        <v>46152</v>
      </c>
      <c r="H2894" s="2">
        <v>46156</v>
      </c>
      <c r="I2894">
        <v>206.76</v>
      </c>
      <c r="M2894" s="1" t="s">
        <v>32</v>
      </c>
      <c r="N2894" s="1" t="s">
        <v>33</v>
      </c>
      <c r="O2894" s="2">
        <v>46219</v>
      </c>
      <c r="P2894" s="2"/>
      <c r="Q2894">
        <f>_xlfn.XLOOKUP(E2894,CPT!$A$2:$A$13,CPT!$D$2:$D$13)</f>
        <v>210</v>
      </c>
      <c r="R2894" s="1">
        <f>_xlfn.XLOOKUP(C2894,Contract!$A$2:$A$9,Contract!$B$2:$B$9)</f>
        <v>0.28000000000000003</v>
      </c>
      <c r="S2894" s="1">
        <f t="shared" si="180"/>
        <v>58.8</v>
      </c>
      <c r="T2894" s="1" t="str">
        <f t="shared" si="181"/>
        <v/>
      </c>
      <c r="U2894" s="1" t="str">
        <f t="shared" si="182"/>
        <v/>
      </c>
      <c r="V2894" s="1" t="str">
        <f>_xlfn.XLOOKUP(C2894,Payers!$A$2:$A$9,Payers!$B$2:$B$9)</f>
        <v>Coastal Medicaid MCO</v>
      </c>
      <c r="W2894" s="1" t="str">
        <f t="shared" si="183"/>
        <v>2026-05</v>
      </c>
    </row>
    <row r="2895" spans="1:23">
      <c r="A2895" s="1" t="s">
        <v>4921</v>
      </c>
      <c r="B2895" s="1" t="s">
        <v>221</v>
      </c>
      <c r="C2895" s="1" t="s">
        <v>52</v>
      </c>
      <c r="D2895" s="1" t="s">
        <v>26</v>
      </c>
      <c r="E2895" s="1" t="s">
        <v>113</v>
      </c>
      <c r="F2895">
        <v>1</v>
      </c>
      <c r="G2895" s="2">
        <v>46142</v>
      </c>
      <c r="H2895" s="2">
        <v>46145</v>
      </c>
      <c r="I2895">
        <v>1067.19</v>
      </c>
      <c r="M2895" s="1" t="s">
        <v>32</v>
      </c>
      <c r="N2895" s="1" t="s">
        <v>168</v>
      </c>
      <c r="O2895" s="2">
        <v>46207</v>
      </c>
      <c r="P2895" s="2"/>
      <c r="Q2895">
        <f>_xlfn.XLOOKUP(E2895,CPT!$A$2:$A$13,CPT!$D$2:$D$13)</f>
        <v>1050</v>
      </c>
      <c r="R2895" s="1">
        <f>_xlfn.XLOOKUP(C2895,Contract!$A$2:$A$9,Contract!$B$2:$B$9)</f>
        <v>0.47</v>
      </c>
      <c r="S2895" s="1">
        <f t="shared" si="180"/>
        <v>493.5</v>
      </c>
      <c r="T2895" s="1" t="str">
        <f t="shared" si="181"/>
        <v/>
      </c>
      <c r="U2895" s="1" t="str">
        <f t="shared" si="182"/>
        <v/>
      </c>
      <c r="V2895" s="1" t="str">
        <f>_xlfn.XLOOKUP(C2895,Payers!$A$2:$A$9,Payers!$B$2:$B$9)</f>
        <v>Keystone Commercial PPO</v>
      </c>
      <c r="W2895" s="1" t="str">
        <f t="shared" si="183"/>
        <v>2026-04</v>
      </c>
    </row>
    <row r="2896" spans="1:23">
      <c r="A2896" s="1" t="s">
        <v>4922</v>
      </c>
      <c r="B2896" s="1" t="s">
        <v>4538</v>
      </c>
      <c r="C2896" s="1" t="s">
        <v>60</v>
      </c>
      <c r="D2896" s="1" t="s">
        <v>26</v>
      </c>
      <c r="E2896" s="1" t="s">
        <v>185</v>
      </c>
      <c r="F2896">
        <v>1</v>
      </c>
      <c r="G2896" s="2">
        <v>46138</v>
      </c>
      <c r="H2896" s="2">
        <v>46141</v>
      </c>
      <c r="I2896">
        <v>1145.51</v>
      </c>
      <c r="M2896" s="1" t="s">
        <v>32</v>
      </c>
      <c r="N2896" s="1" t="s">
        <v>168</v>
      </c>
      <c r="O2896" s="2">
        <v>46172</v>
      </c>
      <c r="P2896" s="2"/>
      <c r="Q2896">
        <f>_xlfn.XLOOKUP(E2896,CPT!$A$2:$A$13,CPT!$D$2:$D$13)</f>
        <v>1150</v>
      </c>
      <c r="R2896" s="1">
        <f>_xlfn.XLOOKUP(C2896,Contract!$A$2:$A$9,Contract!$B$2:$B$9)</f>
        <v>0.45</v>
      </c>
      <c r="S2896" s="1">
        <f t="shared" si="180"/>
        <v>517.5</v>
      </c>
      <c r="T2896" s="1" t="str">
        <f t="shared" si="181"/>
        <v/>
      </c>
      <c r="U2896" s="1" t="str">
        <f t="shared" si="182"/>
        <v/>
      </c>
      <c r="V2896" s="1" t="str">
        <f>_xlfn.XLOOKUP(C2896,Payers!$A$2:$A$9,Payers!$B$2:$B$9)</f>
        <v>Blue Horizon Commercial</v>
      </c>
      <c r="W2896" s="1" t="str">
        <f t="shared" si="183"/>
        <v>2026-04</v>
      </c>
    </row>
    <row r="2897" spans="1:23">
      <c r="A2897" s="1" t="s">
        <v>4923</v>
      </c>
      <c r="B2897" s="1" t="s">
        <v>2349</v>
      </c>
      <c r="C2897" s="1" t="s">
        <v>18</v>
      </c>
      <c r="D2897" s="1" t="s">
        <v>37</v>
      </c>
      <c r="E2897" s="1" t="s">
        <v>38</v>
      </c>
      <c r="F2897">
        <v>30</v>
      </c>
      <c r="G2897" s="2">
        <v>46237</v>
      </c>
      <c r="H2897" s="2">
        <v>46240</v>
      </c>
      <c r="I2897">
        <v>43255.87</v>
      </c>
      <c r="J2897">
        <v>15656.21</v>
      </c>
      <c r="K2897">
        <v>15656.21</v>
      </c>
      <c r="L2897">
        <v>0</v>
      </c>
      <c r="M2897" s="1" t="s">
        <v>21</v>
      </c>
      <c r="N2897" s="1" t="s">
        <v>22</v>
      </c>
      <c r="O2897" s="2">
        <v>46282</v>
      </c>
      <c r="P2897" s="2">
        <v>46282</v>
      </c>
      <c r="Q2897">
        <f>_xlfn.XLOOKUP(E2897,CPT!$A$2:$A$13,CPT!$D$2:$D$13)</f>
        <v>1450</v>
      </c>
      <c r="R2897" s="1">
        <f>_xlfn.XLOOKUP(C2897,Contract!$A$2:$A$9,Contract!$B$2:$B$9)</f>
        <v>0.38</v>
      </c>
      <c r="S2897" s="1">
        <f t="shared" si="180"/>
        <v>16530</v>
      </c>
      <c r="T2897" s="1">
        <f t="shared" si="181"/>
        <v>873.79000000000087</v>
      </c>
      <c r="U2897" s="1" t="str">
        <f t="shared" si="182"/>
        <v>Underpaid</v>
      </c>
      <c r="V2897" s="1" t="str">
        <f>_xlfn.XLOOKUP(C2897,Payers!$A$2:$A$9,Payers!$B$2:$B$9)</f>
        <v>Sunshine Medicare Advantage</v>
      </c>
      <c r="W2897" s="1" t="str">
        <f t="shared" si="183"/>
        <v>2026-08</v>
      </c>
    </row>
    <row r="2898" spans="1:23">
      <c r="A2898" s="1" t="s">
        <v>4924</v>
      </c>
      <c r="B2898" s="1" t="s">
        <v>1371</v>
      </c>
      <c r="C2898" s="1" t="s">
        <v>52</v>
      </c>
      <c r="D2898" s="1" t="s">
        <v>37</v>
      </c>
      <c r="E2898" s="1" t="s">
        <v>48</v>
      </c>
      <c r="F2898">
        <v>1</v>
      </c>
      <c r="G2898" s="2">
        <v>46085</v>
      </c>
      <c r="H2898" s="2">
        <v>46089</v>
      </c>
      <c r="I2898">
        <v>414.27</v>
      </c>
      <c r="J2898">
        <v>197.35</v>
      </c>
      <c r="K2898">
        <v>177.62</v>
      </c>
      <c r="L2898">
        <v>19.73</v>
      </c>
      <c r="M2898" s="1" t="s">
        <v>21</v>
      </c>
      <c r="N2898" s="1" t="s">
        <v>22</v>
      </c>
      <c r="O2898" s="2">
        <v>46128</v>
      </c>
      <c r="P2898" s="2">
        <v>46128</v>
      </c>
      <c r="Q2898">
        <f>_xlfn.XLOOKUP(E2898,CPT!$A$2:$A$13,CPT!$D$2:$D$13)</f>
        <v>420</v>
      </c>
      <c r="R2898" s="1">
        <f>_xlfn.XLOOKUP(C2898,Contract!$A$2:$A$9,Contract!$B$2:$B$9)</f>
        <v>0.47</v>
      </c>
      <c r="S2898" s="1">
        <f t="shared" si="180"/>
        <v>197.4</v>
      </c>
      <c r="T2898" s="1">
        <f t="shared" si="181"/>
        <v>5.0000000000011369E-2</v>
      </c>
      <c r="U2898" s="1" t="str">
        <f t="shared" si="182"/>
        <v>OK</v>
      </c>
      <c r="V2898" s="1" t="str">
        <f>_xlfn.XLOOKUP(C2898,Payers!$A$2:$A$9,Payers!$B$2:$B$9)</f>
        <v>Keystone Commercial PPO</v>
      </c>
      <c r="W2898" s="1" t="str">
        <f t="shared" si="183"/>
        <v>2026-03</v>
      </c>
    </row>
    <row r="2899" spans="1:23">
      <c r="A2899" s="1" t="s">
        <v>4925</v>
      </c>
      <c r="B2899" s="1" t="s">
        <v>1501</v>
      </c>
      <c r="C2899" s="1" t="s">
        <v>79</v>
      </c>
      <c r="D2899" s="1" t="s">
        <v>30</v>
      </c>
      <c r="E2899" s="1" t="s">
        <v>31</v>
      </c>
      <c r="F2899">
        <v>3</v>
      </c>
      <c r="G2899" s="2">
        <v>46222</v>
      </c>
      <c r="H2899" s="2">
        <v>46224</v>
      </c>
      <c r="I2899">
        <v>188.27</v>
      </c>
      <c r="M2899" s="1" t="s">
        <v>69</v>
      </c>
      <c r="N2899" s="1" t="s">
        <v>22</v>
      </c>
      <c r="O2899" s="2"/>
      <c r="P2899" s="2"/>
      <c r="Q2899">
        <f>_xlfn.XLOOKUP(E2899,CPT!$A$2:$A$13,CPT!$D$2:$D$13)</f>
        <v>62</v>
      </c>
      <c r="R2899" s="1">
        <f>_xlfn.XLOOKUP(C2899,Contract!$A$2:$A$9,Contract!$B$2:$B$9)</f>
        <v>1</v>
      </c>
      <c r="S2899" s="1">
        <f t="shared" si="180"/>
        <v>186</v>
      </c>
      <c r="T2899" s="1" t="str">
        <f t="shared" si="181"/>
        <v/>
      </c>
      <c r="U2899" s="1" t="str">
        <f t="shared" si="182"/>
        <v/>
      </c>
      <c r="V2899" s="1" t="str">
        <f>_xlfn.XLOOKUP(C2899,Payers!$A$2:$A$9,Payers!$B$2:$B$9)</f>
        <v>Self-Pay</v>
      </c>
      <c r="W2899" s="1" t="str">
        <f t="shared" si="183"/>
        <v>2026-07</v>
      </c>
    </row>
    <row r="2900" spans="1:23">
      <c r="A2900" s="1" t="s">
        <v>4926</v>
      </c>
      <c r="B2900" s="1" t="s">
        <v>2983</v>
      </c>
      <c r="C2900" s="1" t="s">
        <v>25</v>
      </c>
      <c r="D2900" s="1" t="s">
        <v>37</v>
      </c>
      <c r="E2900" s="1" t="s">
        <v>38</v>
      </c>
      <c r="F2900">
        <v>10</v>
      </c>
      <c r="G2900" s="2">
        <v>45936</v>
      </c>
      <c r="H2900" s="2">
        <v>45943</v>
      </c>
      <c r="I2900">
        <v>14610.15</v>
      </c>
      <c r="J2900">
        <v>4459.66</v>
      </c>
      <c r="K2900">
        <v>3567.73</v>
      </c>
      <c r="L2900">
        <v>891.93</v>
      </c>
      <c r="M2900" s="1" t="s">
        <v>21</v>
      </c>
      <c r="N2900" s="1" t="s">
        <v>22</v>
      </c>
      <c r="O2900" s="2">
        <v>45954</v>
      </c>
      <c r="P2900" s="2">
        <v>45954</v>
      </c>
      <c r="Q2900">
        <f>_xlfn.XLOOKUP(E2900,CPT!$A$2:$A$13,CPT!$D$2:$D$13)</f>
        <v>1450</v>
      </c>
      <c r="R2900" s="1">
        <f>_xlfn.XLOOKUP(C2900,Contract!$A$2:$A$9,Contract!$B$2:$B$9)</f>
        <v>0.36</v>
      </c>
      <c r="S2900" s="1">
        <f t="shared" si="180"/>
        <v>5220</v>
      </c>
      <c r="T2900" s="1">
        <f t="shared" si="181"/>
        <v>760.34000000000015</v>
      </c>
      <c r="U2900" s="1" t="str">
        <f t="shared" si="182"/>
        <v>Underpaid</v>
      </c>
      <c r="V2900" s="1" t="str">
        <f>_xlfn.XLOOKUP(C2900,Payers!$A$2:$A$9,Payers!$B$2:$B$9)</f>
        <v>Medicare Part B</v>
      </c>
      <c r="W2900" s="1" t="str">
        <f t="shared" si="183"/>
        <v>2025-10</v>
      </c>
    </row>
    <row r="2901" spans="1:23">
      <c r="A2901" s="1" t="s">
        <v>4927</v>
      </c>
      <c r="B2901" s="1" t="s">
        <v>4928</v>
      </c>
      <c r="C2901" s="1" t="s">
        <v>76</v>
      </c>
      <c r="D2901" s="1" t="s">
        <v>37</v>
      </c>
      <c r="E2901" s="1" t="s">
        <v>57</v>
      </c>
      <c r="F2901">
        <v>1</v>
      </c>
      <c r="G2901" s="2">
        <v>46145</v>
      </c>
      <c r="H2901" s="2">
        <v>46152</v>
      </c>
      <c r="I2901">
        <v>212.11</v>
      </c>
      <c r="M2901" s="1" t="s">
        <v>32</v>
      </c>
      <c r="N2901" s="1" t="s">
        <v>281</v>
      </c>
      <c r="O2901" s="2">
        <v>46179</v>
      </c>
      <c r="P2901" s="2"/>
      <c r="Q2901">
        <f>_xlfn.XLOOKUP(E2901,CPT!$A$2:$A$13,CPT!$D$2:$D$13)</f>
        <v>210</v>
      </c>
      <c r="R2901" s="1">
        <f>_xlfn.XLOOKUP(C2901,Contract!$A$2:$A$9,Contract!$B$2:$B$9)</f>
        <v>0.43</v>
      </c>
      <c r="S2901" s="1">
        <f t="shared" si="180"/>
        <v>90.3</v>
      </c>
      <c r="T2901" s="1" t="str">
        <f t="shared" si="181"/>
        <v/>
      </c>
      <c r="U2901" s="1" t="str">
        <f t="shared" si="182"/>
        <v/>
      </c>
      <c r="V2901" s="1" t="str">
        <f>_xlfn.XLOOKUP(C2901,Payers!$A$2:$A$9,Payers!$B$2:$B$9)</f>
        <v>Summit Health Commercial</v>
      </c>
      <c r="W2901" s="1" t="str">
        <f t="shared" si="183"/>
        <v>2026-05</v>
      </c>
    </row>
    <row r="2902" spans="1:23">
      <c r="A2902" s="1" t="s">
        <v>4929</v>
      </c>
      <c r="B2902" s="1" t="s">
        <v>3188</v>
      </c>
      <c r="C2902" s="1" t="s">
        <v>18</v>
      </c>
      <c r="D2902" s="1" t="s">
        <v>26</v>
      </c>
      <c r="E2902" s="1" t="s">
        <v>41</v>
      </c>
      <c r="F2902">
        <v>1</v>
      </c>
      <c r="G2902" s="2">
        <v>46253</v>
      </c>
      <c r="H2902" s="2">
        <v>46258</v>
      </c>
      <c r="I2902">
        <v>39.08</v>
      </c>
      <c r="M2902" s="1" t="s">
        <v>69</v>
      </c>
      <c r="N2902" s="1" t="s">
        <v>22</v>
      </c>
      <c r="O2902" s="2"/>
      <c r="P2902" s="2"/>
      <c r="Q2902">
        <f>_xlfn.XLOOKUP(E2902,CPT!$A$2:$A$13,CPT!$D$2:$D$13)</f>
        <v>38</v>
      </c>
      <c r="R2902" s="1">
        <f>_xlfn.XLOOKUP(C2902,Contract!$A$2:$A$9,Contract!$B$2:$B$9)</f>
        <v>0.38</v>
      </c>
      <c r="S2902" s="1">
        <f t="shared" si="180"/>
        <v>14.44</v>
      </c>
      <c r="T2902" s="1" t="str">
        <f t="shared" si="181"/>
        <v/>
      </c>
      <c r="U2902" s="1" t="str">
        <f t="shared" si="182"/>
        <v/>
      </c>
      <c r="V2902" s="1" t="str">
        <f>_xlfn.XLOOKUP(C2902,Payers!$A$2:$A$9,Payers!$B$2:$B$9)</f>
        <v>Sunshine Medicare Advantage</v>
      </c>
      <c r="W2902" s="1" t="str">
        <f t="shared" si="183"/>
        <v>2026-08</v>
      </c>
    </row>
    <row r="2903" spans="1:23">
      <c r="A2903" s="1" t="s">
        <v>4930</v>
      </c>
      <c r="B2903" s="1" t="s">
        <v>2449</v>
      </c>
      <c r="C2903" s="1" t="s">
        <v>52</v>
      </c>
      <c r="D2903" s="1" t="s">
        <v>19</v>
      </c>
      <c r="E2903" s="1" t="s">
        <v>57</v>
      </c>
      <c r="F2903">
        <v>1</v>
      </c>
      <c r="G2903" s="2">
        <v>46216</v>
      </c>
      <c r="H2903" s="2">
        <v>46217</v>
      </c>
      <c r="I2903">
        <v>213.45</v>
      </c>
      <c r="J2903">
        <v>107.52</v>
      </c>
      <c r="K2903">
        <v>107.52</v>
      </c>
      <c r="L2903">
        <v>0</v>
      </c>
      <c r="M2903" s="1" t="s">
        <v>21</v>
      </c>
      <c r="N2903" s="1" t="s">
        <v>22</v>
      </c>
      <c r="O2903" s="2">
        <v>46284</v>
      </c>
      <c r="P2903" s="2">
        <v>46284</v>
      </c>
      <c r="Q2903">
        <f>_xlfn.XLOOKUP(E2903,CPT!$A$2:$A$13,CPT!$D$2:$D$13)</f>
        <v>210</v>
      </c>
      <c r="R2903" s="1">
        <f>_xlfn.XLOOKUP(C2903,Contract!$A$2:$A$9,Contract!$B$2:$B$9)</f>
        <v>0.47</v>
      </c>
      <c r="S2903" s="1">
        <f t="shared" si="180"/>
        <v>98.7</v>
      </c>
      <c r="T2903" s="1">
        <f t="shared" si="181"/>
        <v>-8.8199999999999932</v>
      </c>
      <c r="U2903" s="1" t="str">
        <f t="shared" si="182"/>
        <v>OK</v>
      </c>
      <c r="V2903" s="1" t="str">
        <f>_xlfn.XLOOKUP(C2903,Payers!$A$2:$A$9,Payers!$B$2:$B$9)</f>
        <v>Keystone Commercial PPO</v>
      </c>
      <c r="W2903" s="1" t="str">
        <f t="shared" si="183"/>
        <v>2026-07</v>
      </c>
    </row>
    <row r="2904" spans="1:23">
      <c r="A2904" s="1" t="s">
        <v>4931</v>
      </c>
      <c r="B2904" s="1" t="s">
        <v>4932</v>
      </c>
      <c r="C2904" s="1" t="s">
        <v>18</v>
      </c>
      <c r="D2904" s="1" t="s">
        <v>19</v>
      </c>
      <c r="E2904" s="1" t="s">
        <v>88</v>
      </c>
      <c r="F2904">
        <v>1</v>
      </c>
      <c r="G2904" s="2">
        <v>46197</v>
      </c>
      <c r="H2904" s="2">
        <v>46200</v>
      </c>
      <c r="I2904">
        <v>267.23</v>
      </c>
      <c r="J2904">
        <v>115.83</v>
      </c>
      <c r="K2904">
        <v>92.66</v>
      </c>
      <c r="L2904">
        <v>23.17</v>
      </c>
      <c r="M2904" s="1" t="s">
        <v>21</v>
      </c>
      <c r="N2904" s="1" t="s">
        <v>22</v>
      </c>
      <c r="O2904" s="2">
        <v>46255</v>
      </c>
      <c r="P2904" s="2">
        <v>46255</v>
      </c>
      <c r="Q2904">
        <f>_xlfn.XLOOKUP(E2904,CPT!$A$2:$A$13,CPT!$D$2:$D$13)</f>
        <v>260</v>
      </c>
      <c r="R2904" s="1">
        <f>_xlfn.XLOOKUP(C2904,Contract!$A$2:$A$9,Contract!$B$2:$B$9)</f>
        <v>0.38</v>
      </c>
      <c r="S2904" s="1">
        <f t="shared" si="180"/>
        <v>98.8</v>
      </c>
      <c r="T2904" s="1">
        <f t="shared" si="181"/>
        <v>-17.03</v>
      </c>
      <c r="U2904" s="1" t="str">
        <f t="shared" si="182"/>
        <v>OK</v>
      </c>
      <c r="V2904" s="1" t="str">
        <f>_xlfn.XLOOKUP(C2904,Payers!$A$2:$A$9,Payers!$B$2:$B$9)</f>
        <v>Sunshine Medicare Advantage</v>
      </c>
      <c r="W2904" s="1" t="str">
        <f t="shared" si="183"/>
        <v>2026-06</v>
      </c>
    </row>
    <row r="2905" spans="1:23">
      <c r="A2905" s="1" t="s">
        <v>4933</v>
      </c>
      <c r="B2905" s="1" t="s">
        <v>3214</v>
      </c>
      <c r="C2905" s="1" t="s">
        <v>18</v>
      </c>
      <c r="D2905" s="1" t="s">
        <v>30</v>
      </c>
      <c r="E2905" s="1" t="s">
        <v>91</v>
      </c>
      <c r="F2905">
        <v>4</v>
      </c>
      <c r="G2905" s="2">
        <v>46161</v>
      </c>
      <c r="H2905" s="2">
        <v>46168</v>
      </c>
      <c r="I2905">
        <v>230.6</v>
      </c>
      <c r="J2905">
        <v>97.14</v>
      </c>
      <c r="K2905">
        <v>77.709999999999994</v>
      </c>
      <c r="L2905">
        <v>19.43</v>
      </c>
      <c r="M2905" s="1" t="s">
        <v>21</v>
      </c>
      <c r="N2905" s="1" t="s">
        <v>22</v>
      </c>
      <c r="O2905" s="2">
        <v>46206</v>
      </c>
      <c r="P2905" s="2">
        <v>46206</v>
      </c>
      <c r="Q2905">
        <f>_xlfn.XLOOKUP(E2905,CPT!$A$2:$A$13,CPT!$D$2:$D$13)</f>
        <v>58</v>
      </c>
      <c r="R2905" s="1">
        <f>_xlfn.XLOOKUP(C2905,Contract!$A$2:$A$9,Contract!$B$2:$B$9)</f>
        <v>0.38</v>
      </c>
      <c r="S2905" s="1">
        <f t="shared" si="180"/>
        <v>88.16</v>
      </c>
      <c r="T2905" s="1">
        <f t="shared" si="181"/>
        <v>-8.980000000000004</v>
      </c>
      <c r="U2905" s="1" t="str">
        <f t="shared" si="182"/>
        <v>OK</v>
      </c>
      <c r="V2905" s="1" t="str">
        <f>_xlfn.XLOOKUP(C2905,Payers!$A$2:$A$9,Payers!$B$2:$B$9)</f>
        <v>Sunshine Medicare Advantage</v>
      </c>
      <c r="W2905" s="1" t="str">
        <f t="shared" si="183"/>
        <v>2026-05</v>
      </c>
    </row>
    <row r="2906" spans="1:23">
      <c r="A2906" s="1" t="s">
        <v>4934</v>
      </c>
      <c r="B2906" s="1" t="s">
        <v>4935</v>
      </c>
      <c r="C2906" s="1" t="s">
        <v>60</v>
      </c>
      <c r="D2906" s="1" t="s">
        <v>19</v>
      </c>
      <c r="E2906" s="1" t="s">
        <v>20</v>
      </c>
      <c r="F2906">
        <v>1</v>
      </c>
      <c r="G2906" s="2">
        <v>46111</v>
      </c>
      <c r="H2906" s="2">
        <v>46119</v>
      </c>
      <c r="I2906">
        <v>143.58000000000001</v>
      </c>
      <c r="J2906">
        <v>62.51</v>
      </c>
      <c r="K2906">
        <v>56.26</v>
      </c>
      <c r="L2906">
        <v>6.25</v>
      </c>
      <c r="M2906" s="1" t="s">
        <v>21</v>
      </c>
      <c r="N2906" s="1" t="s">
        <v>22</v>
      </c>
      <c r="O2906" s="2">
        <v>46146</v>
      </c>
      <c r="P2906" s="2">
        <v>46146</v>
      </c>
      <c r="Q2906">
        <f>_xlfn.XLOOKUP(E2906,CPT!$A$2:$A$13,CPT!$D$2:$D$13)</f>
        <v>145</v>
      </c>
      <c r="R2906" s="1">
        <f>_xlfn.XLOOKUP(C2906,Contract!$A$2:$A$9,Contract!$B$2:$B$9)</f>
        <v>0.45</v>
      </c>
      <c r="S2906" s="1">
        <f t="shared" si="180"/>
        <v>65.25</v>
      </c>
      <c r="T2906" s="1">
        <f t="shared" si="181"/>
        <v>2.740000000000002</v>
      </c>
      <c r="U2906" s="1" t="str">
        <f t="shared" si="182"/>
        <v>OK</v>
      </c>
      <c r="V2906" s="1" t="str">
        <f>_xlfn.XLOOKUP(C2906,Payers!$A$2:$A$9,Payers!$B$2:$B$9)</f>
        <v>Blue Horizon Commercial</v>
      </c>
      <c r="W2906" s="1" t="str">
        <f t="shared" si="183"/>
        <v>2026-03</v>
      </c>
    </row>
    <row r="2907" spans="1:23">
      <c r="A2907" s="1" t="s">
        <v>4936</v>
      </c>
      <c r="B2907" s="1" t="s">
        <v>1569</v>
      </c>
      <c r="C2907" s="1" t="s">
        <v>76</v>
      </c>
      <c r="D2907" s="1" t="s">
        <v>26</v>
      </c>
      <c r="E2907" s="1" t="s">
        <v>27</v>
      </c>
      <c r="F2907">
        <v>1</v>
      </c>
      <c r="G2907" s="2">
        <v>46143</v>
      </c>
      <c r="H2907" s="2">
        <v>46144</v>
      </c>
      <c r="I2907">
        <v>245.98</v>
      </c>
      <c r="M2907" s="1" t="s">
        <v>32</v>
      </c>
      <c r="N2907" s="1" t="s">
        <v>124</v>
      </c>
      <c r="O2907" s="2">
        <v>46162</v>
      </c>
      <c r="P2907" s="2"/>
      <c r="Q2907">
        <f>_xlfn.XLOOKUP(E2907,CPT!$A$2:$A$13,CPT!$D$2:$D$13)</f>
        <v>240</v>
      </c>
      <c r="R2907" s="1">
        <f>_xlfn.XLOOKUP(C2907,Contract!$A$2:$A$9,Contract!$B$2:$B$9)</f>
        <v>0.43</v>
      </c>
      <c r="S2907" s="1">
        <f t="shared" si="180"/>
        <v>103.2</v>
      </c>
      <c r="T2907" s="1" t="str">
        <f t="shared" si="181"/>
        <v/>
      </c>
      <c r="U2907" s="1" t="str">
        <f t="shared" si="182"/>
        <v/>
      </c>
      <c r="V2907" s="1" t="str">
        <f>_xlfn.XLOOKUP(C2907,Payers!$A$2:$A$9,Payers!$B$2:$B$9)</f>
        <v>Summit Health Commercial</v>
      </c>
      <c r="W2907" s="1" t="str">
        <f t="shared" si="183"/>
        <v>2026-05</v>
      </c>
    </row>
    <row r="2908" spans="1:23">
      <c r="A2908" s="1" t="s">
        <v>4937</v>
      </c>
      <c r="B2908" s="1" t="s">
        <v>4423</v>
      </c>
      <c r="C2908" s="1" t="s">
        <v>52</v>
      </c>
      <c r="D2908" s="1" t="s">
        <v>26</v>
      </c>
      <c r="E2908" s="1" t="s">
        <v>41</v>
      </c>
      <c r="F2908">
        <v>1</v>
      </c>
      <c r="G2908" s="2">
        <v>46157</v>
      </c>
      <c r="H2908" s="2">
        <v>46163</v>
      </c>
      <c r="I2908">
        <v>37.43</v>
      </c>
      <c r="J2908">
        <v>15.69</v>
      </c>
      <c r="K2908">
        <v>15.69</v>
      </c>
      <c r="L2908">
        <v>0</v>
      </c>
      <c r="M2908" s="1" t="s">
        <v>21</v>
      </c>
      <c r="N2908" s="1" t="s">
        <v>22</v>
      </c>
      <c r="O2908" s="2">
        <v>46208</v>
      </c>
      <c r="P2908" s="2">
        <v>46208</v>
      </c>
      <c r="Q2908">
        <f>_xlfn.XLOOKUP(E2908,CPT!$A$2:$A$13,CPT!$D$2:$D$13)</f>
        <v>38</v>
      </c>
      <c r="R2908" s="1">
        <f>_xlfn.XLOOKUP(C2908,Contract!$A$2:$A$9,Contract!$B$2:$B$9)</f>
        <v>0.47</v>
      </c>
      <c r="S2908" s="1">
        <f t="shared" si="180"/>
        <v>17.86</v>
      </c>
      <c r="T2908" s="1">
        <f t="shared" si="181"/>
        <v>2.17</v>
      </c>
      <c r="U2908" s="1" t="str">
        <f t="shared" si="182"/>
        <v>Underpaid</v>
      </c>
      <c r="V2908" s="1" t="str">
        <f>_xlfn.XLOOKUP(C2908,Payers!$A$2:$A$9,Payers!$B$2:$B$9)</f>
        <v>Keystone Commercial PPO</v>
      </c>
      <c r="W2908" s="1" t="str">
        <f t="shared" si="183"/>
        <v>2026-05</v>
      </c>
    </row>
    <row r="2909" spans="1:23">
      <c r="A2909" s="1" t="s">
        <v>4938</v>
      </c>
      <c r="B2909" s="1" t="s">
        <v>4939</v>
      </c>
      <c r="C2909" s="1" t="s">
        <v>18</v>
      </c>
      <c r="D2909" s="1" t="s">
        <v>30</v>
      </c>
      <c r="E2909" s="1" t="s">
        <v>91</v>
      </c>
      <c r="F2909">
        <v>1</v>
      </c>
      <c r="G2909" s="2">
        <v>46267</v>
      </c>
      <c r="H2909" s="2">
        <v>46270</v>
      </c>
      <c r="I2909">
        <v>59.06</v>
      </c>
      <c r="M2909" s="1" t="s">
        <v>69</v>
      </c>
      <c r="N2909" s="1" t="s">
        <v>22</v>
      </c>
      <c r="O2909" s="2"/>
      <c r="P2909" s="2"/>
      <c r="Q2909">
        <f>_xlfn.XLOOKUP(E2909,CPT!$A$2:$A$13,CPT!$D$2:$D$13)</f>
        <v>58</v>
      </c>
      <c r="R2909" s="1">
        <f>_xlfn.XLOOKUP(C2909,Contract!$A$2:$A$9,Contract!$B$2:$B$9)</f>
        <v>0.38</v>
      </c>
      <c r="S2909" s="1">
        <f t="shared" si="180"/>
        <v>22.04</v>
      </c>
      <c r="T2909" s="1" t="str">
        <f t="shared" si="181"/>
        <v/>
      </c>
      <c r="U2909" s="1" t="str">
        <f t="shared" si="182"/>
        <v/>
      </c>
      <c r="V2909" s="1" t="str">
        <f>_xlfn.XLOOKUP(C2909,Payers!$A$2:$A$9,Payers!$B$2:$B$9)</f>
        <v>Sunshine Medicare Advantage</v>
      </c>
      <c r="W2909" s="1" t="str">
        <f t="shared" si="183"/>
        <v>2026-09</v>
      </c>
    </row>
    <row r="2910" spans="1:23">
      <c r="A2910" s="1" t="s">
        <v>4940</v>
      </c>
      <c r="B2910" s="1" t="s">
        <v>4679</v>
      </c>
      <c r="C2910" s="1" t="s">
        <v>25</v>
      </c>
      <c r="D2910" s="1" t="s">
        <v>26</v>
      </c>
      <c r="E2910" s="1" t="s">
        <v>88</v>
      </c>
      <c r="F2910">
        <v>1</v>
      </c>
      <c r="G2910" s="2">
        <v>46027</v>
      </c>
      <c r="H2910" s="2">
        <v>46035</v>
      </c>
      <c r="I2910">
        <v>266.43</v>
      </c>
      <c r="J2910">
        <v>95.94</v>
      </c>
      <c r="K2910">
        <v>76.75</v>
      </c>
      <c r="L2910">
        <v>19.190000000000001</v>
      </c>
      <c r="M2910" s="1" t="s">
        <v>21</v>
      </c>
      <c r="N2910" s="1" t="s">
        <v>22</v>
      </c>
      <c r="O2910" s="2">
        <v>46063</v>
      </c>
      <c r="P2910" s="2">
        <v>46063</v>
      </c>
      <c r="Q2910">
        <f>_xlfn.XLOOKUP(E2910,CPT!$A$2:$A$13,CPT!$D$2:$D$13)</f>
        <v>260</v>
      </c>
      <c r="R2910" s="1">
        <f>_xlfn.XLOOKUP(C2910,Contract!$A$2:$A$9,Contract!$B$2:$B$9)</f>
        <v>0.36</v>
      </c>
      <c r="S2910" s="1">
        <f t="shared" si="180"/>
        <v>93.6</v>
      </c>
      <c r="T2910" s="1">
        <f t="shared" si="181"/>
        <v>-2.3400000000000034</v>
      </c>
      <c r="U2910" s="1" t="str">
        <f t="shared" si="182"/>
        <v>OK</v>
      </c>
      <c r="V2910" s="1" t="str">
        <f>_xlfn.XLOOKUP(C2910,Payers!$A$2:$A$9,Payers!$B$2:$B$9)</f>
        <v>Medicare Part B</v>
      </c>
      <c r="W2910" s="1" t="str">
        <f t="shared" si="183"/>
        <v>2026-01</v>
      </c>
    </row>
    <row r="2911" spans="1:23">
      <c r="A2911" s="1" t="s">
        <v>4941</v>
      </c>
      <c r="B2911" s="1" t="s">
        <v>4942</v>
      </c>
      <c r="C2911" s="1" t="s">
        <v>36</v>
      </c>
      <c r="D2911" s="1" t="s">
        <v>30</v>
      </c>
      <c r="E2911" s="1" t="s">
        <v>31</v>
      </c>
      <c r="F2911">
        <v>3</v>
      </c>
      <c r="G2911" s="2">
        <v>46274</v>
      </c>
      <c r="H2911" s="2">
        <v>46275</v>
      </c>
      <c r="I2911">
        <v>188.14</v>
      </c>
      <c r="M2911" s="1" t="s">
        <v>69</v>
      </c>
      <c r="N2911" s="1" t="s">
        <v>22</v>
      </c>
      <c r="O2911" s="2"/>
      <c r="P2911" s="2"/>
      <c r="Q2911">
        <f>_xlfn.XLOOKUP(E2911,CPT!$A$2:$A$13,CPT!$D$2:$D$13)</f>
        <v>62</v>
      </c>
      <c r="R2911" s="1">
        <f>_xlfn.XLOOKUP(C2911,Contract!$A$2:$A$9,Contract!$B$2:$B$9)</f>
        <v>0.27</v>
      </c>
      <c r="S2911" s="1">
        <f t="shared" si="180"/>
        <v>50.22</v>
      </c>
      <c r="T2911" s="1" t="str">
        <f t="shared" si="181"/>
        <v/>
      </c>
      <c r="U2911" s="1" t="str">
        <f t="shared" si="182"/>
        <v/>
      </c>
      <c r="V2911" s="1" t="str">
        <f>_xlfn.XLOOKUP(C2911,Payers!$A$2:$A$9,Payers!$B$2:$B$9)</f>
        <v>Florida Medicaid</v>
      </c>
      <c r="W2911" s="1" t="str">
        <f t="shared" si="183"/>
        <v>2026-09</v>
      </c>
    </row>
    <row r="2912" spans="1:23">
      <c r="A2912" s="1" t="s">
        <v>4943</v>
      </c>
      <c r="B2912" s="1" t="s">
        <v>4258</v>
      </c>
      <c r="C2912" s="1" t="s">
        <v>18</v>
      </c>
      <c r="D2912" s="1" t="s">
        <v>19</v>
      </c>
      <c r="E2912" s="1" t="s">
        <v>20</v>
      </c>
      <c r="F2912">
        <v>1</v>
      </c>
      <c r="G2912" s="2">
        <v>46182</v>
      </c>
      <c r="H2912" s="2">
        <v>46184</v>
      </c>
      <c r="I2912">
        <v>141.03</v>
      </c>
      <c r="M2912" s="1" t="s">
        <v>32</v>
      </c>
      <c r="N2912" s="1" t="s">
        <v>33</v>
      </c>
      <c r="O2912" s="2">
        <v>46207</v>
      </c>
      <c r="P2912" s="2"/>
      <c r="Q2912">
        <f>_xlfn.XLOOKUP(E2912,CPT!$A$2:$A$13,CPT!$D$2:$D$13)</f>
        <v>145</v>
      </c>
      <c r="R2912" s="1">
        <f>_xlfn.XLOOKUP(C2912,Contract!$A$2:$A$9,Contract!$B$2:$B$9)</f>
        <v>0.38</v>
      </c>
      <c r="S2912" s="1">
        <f t="shared" si="180"/>
        <v>55.1</v>
      </c>
      <c r="T2912" s="1" t="str">
        <f t="shared" si="181"/>
        <v/>
      </c>
      <c r="U2912" s="1" t="str">
        <f t="shared" si="182"/>
        <v/>
      </c>
      <c r="V2912" s="1" t="str">
        <f>_xlfn.XLOOKUP(C2912,Payers!$A$2:$A$9,Payers!$B$2:$B$9)</f>
        <v>Sunshine Medicare Advantage</v>
      </c>
      <c r="W2912" s="1" t="str">
        <f t="shared" si="183"/>
        <v>2026-06</v>
      </c>
    </row>
    <row r="2913" spans="1:23">
      <c r="A2913" s="1" t="s">
        <v>4944</v>
      </c>
      <c r="B2913" s="1" t="s">
        <v>528</v>
      </c>
      <c r="C2913" s="1" t="s">
        <v>18</v>
      </c>
      <c r="D2913" s="1" t="s">
        <v>26</v>
      </c>
      <c r="E2913" s="1" t="s">
        <v>44</v>
      </c>
      <c r="F2913">
        <v>1</v>
      </c>
      <c r="G2913" s="2">
        <v>46116</v>
      </c>
      <c r="H2913" s="2">
        <v>46117</v>
      </c>
      <c r="I2913">
        <v>4834.0200000000004</v>
      </c>
      <c r="J2913">
        <v>1833.53</v>
      </c>
      <c r="K2913">
        <v>1833.53</v>
      </c>
      <c r="L2913">
        <v>0</v>
      </c>
      <c r="M2913" s="1" t="s">
        <v>21</v>
      </c>
      <c r="N2913" s="1" t="s">
        <v>22</v>
      </c>
      <c r="O2913" s="2">
        <v>46176</v>
      </c>
      <c r="P2913" s="2">
        <v>46176</v>
      </c>
      <c r="Q2913">
        <f>_xlfn.XLOOKUP(E2913,CPT!$A$2:$A$13,CPT!$D$2:$D$13)</f>
        <v>4800</v>
      </c>
      <c r="R2913" s="1">
        <f>_xlfn.XLOOKUP(C2913,Contract!$A$2:$A$9,Contract!$B$2:$B$9)</f>
        <v>0.38</v>
      </c>
      <c r="S2913" s="1">
        <f t="shared" si="180"/>
        <v>1824</v>
      </c>
      <c r="T2913" s="1">
        <f t="shared" si="181"/>
        <v>-9.5299999999999727</v>
      </c>
      <c r="U2913" s="1" t="str">
        <f t="shared" si="182"/>
        <v>OK</v>
      </c>
      <c r="V2913" s="1" t="str">
        <f>_xlfn.XLOOKUP(C2913,Payers!$A$2:$A$9,Payers!$B$2:$B$9)</f>
        <v>Sunshine Medicare Advantage</v>
      </c>
      <c r="W2913" s="1" t="str">
        <f t="shared" si="183"/>
        <v>2026-04</v>
      </c>
    </row>
    <row r="2914" spans="1:23">
      <c r="A2914" s="1" t="s">
        <v>4945</v>
      </c>
      <c r="B2914" s="1" t="s">
        <v>2516</v>
      </c>
      <c r="C2914" s="1" t="s">
        <v>60</v>
      </c>
      <c r="D2914" s="1" t="s">
        <v>19</v>
      </c>
      <c r="E2914" s="1" t="s">
        <v>41</v>
      </c>
      <c r="F2914">
        <v>1</v>
      </c>
      <c r="G2914" s="2">
        <v>45988</v>
      </c>
      <c r="H2914" s="2">
        <v>45989</v>
      </c>
      <c r="I2914">
        <v>38.69</v>
      </c>
      <c r="J2914">
        <v>17.43</v>
      </c>
      <c r="K2914">
        <v>17.43</v>
      </c>
      <c r="L2914">
        <v>0</v>
      </c>
      <c r="M2914" s="1" t="s">
        <v>21</v>
      </c>
      <c r="N2914" s="1" t="s">
        <v>22</v>
      </c>
      <c r="O2914" s="2">
        <v>46019</v>
      </c>
      <c r="P2914" s="2">
        <v>46019</v>
      </c>
      <c r="Q2914">
        <f>_xlfn.XLOOKUP(E2914,CPT!$A$2:$A$13,CPT!$D$2:$D$13)</f>
        <v>38</v>
      </c>
      <c r="R2914" s="1">
        <f>_xlfn.XLOOKUP(C2914,Contract!$A$2:$A$9,Contract!$B$2:$B$9)</f>
        <v>0.45</v>
      </c>
      <c r="S2914" s="1">
        <f t="shared" si="180"/>
        <v>17.100000000000001</v>
      </c>
      <c r="T2914" s="1">
        <f t="shared" si="181"/>
        <v>-0.32999999999999829</v>
      </c>
      <c r="U2914" s="1" t="str">
        <f t="shared" si="182"/>
        <v>OK</v>
      </c>
      <c r="V2914" s="1" t="str">
        <f>_xlfn.XLOOKUP(C2914,Payers!$A$2:$A$9,Payers!$B$2:$B$9)</f>
        <v>Blue Horizon Commercial</v>
      </c>
      <c r="W2914" s="1" t="str">
        <f t="shared" si="183"/>
        <v>2025-11</v>
      </c>
    </row>
    <row r="2915" spans="1:23">
      <c r="A2915" s="1" t="s">
        <v>4946</v>
      </c>
      <c r="B2915" s="1" t="s">
        <v>4947</v>
      </c>
      <c r="C2915" s="1" t="s">
        <v>60</v>
      </c>
      <c r="D2915" s="1" t="s">
        <v>19</v>
      </c>
      <c r="E2915" s="1" t="s">
        <v>88</v>
      </c>
      <c r="F2915">
        <v>1</v>
      </c>
      <c r="G2915" s="2">
        <v>45951</v>
      </c>
      <c r="H2915" s="2">
        <v>45952</v>
      </c>
      <c r="I2915">
        <v>258.88</v>
      </c>
      <c r="J2915">
        <v>130.88999999999999</v>
      </c>
      <c r="K2915">
        <v>130.88999999999999</v>
      </c>
      <c r="L2915">
        <v>0</v>
      </c>
      <c r="M2915" s="1" t="s">
        <v>21</v>
      </c>
      <c r="N2915" s="1" t="s">
        <v>22</v>
      </c>
      <c r="O2915" s="2">
        <v>45986</v>
      </c>
      <c r="P2915" s="2">
        <v>45986</v>
      </c>
      <c r="Q2915">
        <f>_xlfn.XLOOKUP(E2915,CPT!$A$2:$A$13,CPT!$D$2:$D$13)</f>
        <v>260</v>
      </c>
      <c r="R2915" s="1">
        <f>_xlfn.XLOOKUP(C2915,Contract!$A$2:$A$9,Contract!$B$2:$B$9)</f>
        <v>0.45</v>
      </c>
      <c r="S2915" s="1">
        <f t="shared" si="180"/>
        <v>117</v>
      </c>
      <c r="T2915" s="1">
        <f t="shared" si="181"/>
        <v>-13.889999999999986</v>
      </c>
      <c r="U2915" s="1" t="str">
        <f t="shared" si="182"/>
        <v>OK</v>
      </c>
      <c r="V2915" s="1" t="str">
        <f>_xlfn.XLOOKUP(C2915,Payers!$A$2:$A$9,Payers!$B$2:$B$9)</f>
        <v>Blue Horizon Commercial</v>
      </c>
      <c r="W2915" s="1" t="str">
        <f t="shared" si="183"/>
        <v>2025-10</v>
      </c>
    </row>
    <row r="2916" spans="1:23">
      <c r="A2916" s="1" t="s">
        <v>4948</v>
      </c>
      <c r="B2916" s="1" t="s">
        <v>2550</v>
      </c>
      <c r="C2916" s="1" t="s">
        <v>76</v>
      </c>
      <c r="D2916" s="1" t="s">
        <v>19</v>
      </c>
      <c r="E2916" s="1" t="s">
        <v>41</v>
      </c>
      <c r="F2916">
        <v>1</v>
      </c>
      <c r="G2916" s="2">
        <v>46033</v>
      </c>
      <c r="H2916" s="2">
        <v>46034</v>
      </c>
      <c r="I2916">
        <v>38.74</v>
      </c>
      <c r="J2916">
        <v>15.22</v>
      </c>
      <c r="K2916">
        <v>15.22</v>
      </c>
      <c r="L2916">
        <v>0</v>
      </c>
      <c r="M2916" s="1" t="s">
        <v>21</v>
      </c>
      <c r="N2916" s="1" t="s">
        <v>22</v>
      </c>
      <c r="O2916" s="2">
        <v>46067</v>
      </c>
      <c r="P2916" s="2">
        <v>46067</v>
      </c>
      <c r="Q2916">
        <f>_xlfn.XLOOKUP(E2916,CPT!$A$2:$A$13,CPT!$D$2:$D$13)</f>
        <v>38</v>
      </c>
      <c r="R2916" s="1">
        <f>_xlfn.XLOOKUP(C2916,Contract!$A$2:$A$9,Contract!$B$2:$B$9)</f>
        <v>0.43</v>
      </c>
      <c r="S2916" s="1">
        <f t="shared" si="180"/>
        <v>16.34</v>
      </c>
      <c r="T2916" s="1">
        <f t="shared" si="181"/>
        <v>1.1199999999999992</v>
      </c>
      <c r="U2916" s="1" t="str">
        <f t="shared" si="182"/>
        <v>Underpaid</v>
      </c>
      <c r="V2916" s="1" t="str">
        <f>_xlfn.XLOOKUP(C2916,Payers!$A$2:$A$9,Payers!$B$2:$B$9)</f>
        <v>Summit Health Commercial</v>
      </c>
      <c r="W2916" s="1" t="str">
        <f t="shared" si="183"/>
        <v>2026-01</v>
      </c>
    </row>
    <row r="2917" spans="1:23">
      <c r="A2917" s="1" t="s">
        <v>4949</v>
      </c>
      <c r="B2917" s="1" t="s">
        <v>4950</v>
      </c>
      <c r="C2917" s="1" t="s">
        <v>76</v>
      </c>
      <c r="D2917" s="1" t="s">
        <v>19</v>
      </c>
      <c r="E2917" s="1" t="s">
        <v>41</v>
      </c>
      <c r="F2917">
        <v>1</v>
      </c>
      <c r="G2917" s="2">
        <v>45975</v>
      </c>
      <c r="H2917" s="2">
        <v>45978</v>
      </c>
      <c r="I2917">
        <v>37.270000000000003</v>
      </c>
      <c r="J2917">
        <v>17.7</v>
      </c>
      <c r="K2917">
        <v>17.7</v>
      </c>
      <c r="L2917">
        <v>0</v>
      </c>
      <c r="M2917" s="1" t="s">
        <v>21</v>
      </c>
      <c r="N2917" s="1" t="s">
        <v>22</v>
      </c>
      <c r="O2917" s="2">
        <v>46007</v>
      </c>
      <c r="P2917" s="2">
        <v>46007</v>
      </c>
      <c r="Q2917">
        <f>_xlfn.XLOOKUP(E2917,CPT!$A$2:$A$13,CPT!$D$2:$D$13)</f>
        <v>38</v>
      </c>
      <c r="R2917" s="1">
        <f>_xlfn.XLOOKUP(C2917,Contract!$A$2:$A$9,Contract!$B$2:$B$9)</f>
        <v>0.43</v>
      </c>
      <c r="S2917" s="1">
        <f t="shared" si="180"/>
        <v>16.34</v>
      </c>
      <c r="T2917" s="1">
        <f t="shared" si="181"/>
        <v>-1.3599999999999994</v>
      </c>
      <c r="U2917" s="1" t="str">
        <f t="shared" si="182"/>
        <v>OK</v>
      </c>
      <c r="V2917" s="1" t="str">
        <f>_xlfn.XLOOKUP(C2917,Payers!$A$2:$A$9,Payers!$B$2:$B$9)</f>
        <v>Summit Health Commercial</v>
      </c>
      <c r="W2917" s="1" t="str">
        <f t="shared" si="183"/>
        <v>2025-11</v>
      </c>
    </row>
    <row r="2918" spans="1:23">
      <c r="A2918" s="1" t="s">
        <v>4951</v>
      </c>
      <c r="B2918" s="1" t="s">
        <v>4952</v>
      </c>
      <c r="C2918" s="1" t="s">
        <v>47</v>
      </c>
      <c r="D2918" s="1" t="s">
        <v>26</v>
      </c>
      <c r="E2918" s="1" t="s">
        <v>88</v>
      </c>
      <c r="F2918">
        <v>1</v>
      </c>
      <c r="G2918" s="2">
        <v>46113</v>
      </c>
      <c r="H2918" s="2">
        <v>46114</v>
      </c>
      <c r="I2918">
        <v>257.5</v>
      </c>
      <c r="J2918">
        <v>66.27</v>
      </c>
      <c r="K2918">
        <v>53.02</v>
      </c>
      <c r="L2918">
        <v>13.25</v>
      </c>
      <c r="M2918" s="1" t="s">
        <v>21</v>
      </c>
      <c r="N2918" s="1" t="s">
        <v>22</v>
      </c>
      <c r="O2918" s="2">
        <v>46167</v>
      </c>
      <c r="P2918" s="2">
        <v>46167</v>
      </c>
      <c r="Q2918">
        <f>_xlfn.XLOOKUP(E2918,CPT!$A$2:$A$13,CPT!$D$2:$D$13)</f>
        <v>260</v>
      </c>
      <c r="R2918" s="1">
        <f>_xlfn.XLOOKUP(C2918,Contract!$A$2:$A$9,Contract!$B$2:$B$9)</f>
        <v>0.28000000000000003</v>
      </c>
      <c r="S2918" s="1">
        <f t="shared" si="180"/>
        <v>72.8</v>
      </c>
      <c r="T2918" s="1">
        <f t="shared" si="181"/>
        <v>6.5300000000000011</v>
      </c>
      <c r="U2918" s="1" t="str">
        <f t="shared" si="182"/>
        <v>Underpaid</v>
      </c>
      <c r="V2918" s="1" t="str">
        <f>_xlfn.XLOOKUP(C2918,Payers!$A$2:$A$9,Payers!$B$2:$B$9)</f>
        <v>Coastal Medicaid MCO</v>
      </c>
      <c r="W2918" s="1" t="str">
        <f t="shared" si="183"/>
        <v>2026-04</v>
      </c>
    </row>
    <row r="2919" spans="1:23">
      <c r="A2919" s="1" t="s">
        <v>4953</v>
      </c>
      <c r="B2919" s="1" t="s">
        <v>4954</v>
      </c>
      <c r="C2919" s="1" t="s">
        <v>18</v>
      </c>
      <c r="D2919" s="1" t="s">
        <v>30</v>
      </c>
      <c r="E2919" s="1" t="s">
        <v>31</v>
      </c>
      <c r="F2919">
        <v>4</v>
      </c>
      <c r="G2919" s="2">
        <v>46138</v>
      </c>
      <c r="H2919" s="2">
        <v>46144</v>
      </c>
      <c r="I2919">
        <v>253.83</v>
      </c>
      <c r="J2919">
        <v>85.39</v>
      </c>
      <c r="K2919">
        <v>85.39</v>
      </c>
      <c r="L2919">
        <v>0</v>
      </c>
      <c r="M2919" s="1" t="s">
        <v>21</v>
      </c>
      <c r="N2919" s="1" t="s">
        <v>22</v>
      </c>
      <c r="O2919" s="2">
        <v>46208</v>
      </c>
      <c r="P2919" s="2">
        <v>46208</v>
      </c>
      <c r="Q2919">
        <f>_xlfn.XLOOKUP(E2919,CPT!$A$2:$A$13,CPT!$D$2:$D$13)</f>
        <v>62</v>
      </c>
      <c r="R2919" s="1">
        <f>_xlfn.XLOOKUP(C2919,Contract!$A$2:$A$9,Contract!$B$2:$B$9)</f>
        <v>0.38</v>
      </c>
      <c r="S2919" s="1">
        <f t="shared" si="180"/>
        <v>94.24</v>
      </c>
      <c r="T2919" s="1">
        <f t="shared" si="181"/>
        <v>8.8499999999999943</v>
      </c>
      <c r="U2919" s="1" t="str">
        <f t="shared" si="182"/>
        <v>Underpaid</v>
      </c>
      <c r="V2919" s="1" t="str">
        <f>_xlfn.XLOOKUP(C2919,Payers!$A$2:$A$9,Payers!$B$2:$B$9)</f>
        <v>Sunshine Medicare Advantage</v>
      </c>
      <c r="W2919" s="1" t="str">
        <f t="shared" si="183"/>
        <v>2026-04</v>
      </c>
    </row>
    <row r="2920" spans="1:23">
      <c r="A2920" s="1" t="s">
        <v>4955</v>
      </c>
      <c r="B2920" s="1" t="s">
        <v>971</v>
      </c>
      <c r="C2920" s="1" t="s">
        <v>79</v>
      </c>
      <c r="D2920" s="1" t="s">
        <v>30</v>
      </c>
      <c r="E2920" s="1" t="s">
        <v>31</v>
      </c>
      <c r="F2920">
        <v>4</v>
      </c>
      <c r="G2920" s="2">
        <v>45973</v>
      </c>
      <c r="H2920" s="2">
        <v>45981</v>
      </c>
      <c r="I2920">
        <v>248.34</v>
      </c>
      <c r="M2920" s="1" t="s">
        <v>69</v>
      </c>
      <c r="N2920" s="1" t="s">
        <v>22</v>
      </c>
      <c r="O2920" s="2"/>
      <c r="P2920" s="2"/>
      <c r="Q2920">
        <f>_xlfn.XLOOKUP(E2920,CPT!$A$2:$A$13,CPT!$D$2:$D$13)</f>
        <v>62</v>
      </c>
      <c r="R2920" s="1">
        <f>_xlfn.XLOOKUP(C2920,Contract!$A$2:$A$9,Contract!$B$2:$B$9)</f>
        <v>1</v>
      </c>
      <c r="S2920" s="1">
        <f t="shared" si="180"/>
        <v>248</v>
      </c>
      <c r="T2920" s="1" t="str">
        <f t="shared" si="181"/>
        <v/>
      </c>
      <c r="U2920" s="1" t="str">
        <f t="shared" si="182"/>
        <v/>
      </c>
      <c r="V2920" s="1" t="str">
        <f>_xlfn.XLOOKUP(C2920,Payers!$A$2:$A$9,Payers!$B$2:$B$9)</f>
        <v>Self-Pay</v>
      </c>
      <c r="W2920" s="1" t="str">
        <f t="shared" si="183"/>
        <v>2025-11</v>
      </c>
    </row>
    <row r="2921" spans="1:23">
      <c r="A2921" s="1" t="s">
        <v>4956</v>
      </c>
      <c r="B2921" s="1" t="s">
        <v>4957</v>
      </c>
      <c r="C2921" s="1" t="s">
        <v>36</v>
      </c>
      <c r="D2921" s="1" t="s">
        <v>37</v>
      </c>
      <c r="E2921" s="1" t="s">
        <v>57</v>
      </c>
      <c r="F2921">
        <v>1</v>
      </c>
      <c r="G2921" s="2">
        <v>46287</v>
      </c>
      <c r="H2921" s="2">
        <v>46288</v>
      </c>
      <c r="I2921">
        <v>215.28</v>
      </c>
      <c r="M2921" s="1" t="s">
        <v>69</v>
      </c>
      <c r="N2921" s="1" t="s">
        <v>22</v>
      </c>
      <c r="O2921" s="2"/>
      <c r="P2921" s="2"/>
      <c r="Q2921">
        <f>_xlfn.XLOOKUP(E2921,CPT!$A$2:$A$13,CPT!$D$2:$D$13)</f>
        <v>210</v>
      </c>
      <c r="R2921" s="1">
        <f>_xlfn.XLOOKUP(C2921,Contract!$A$2:$A$9,Contract!$B$2:$B$9)</f>
        <v>0.27</v>
      </c>
      <c r="S2921" s="1">
        <f t="shared" si="180"/>
        <v>56.7</v>
      </c>
      <c r="T2921" s="1" t="str">
        <f t="shared" si="181"/>
        <v/>
      </c>
      <c r="U2921" s="1" t="str">
        <f t="shared" si="182"/>
        <v/>
      </c>
      <c r="V2921" s="1" t="str">
        <f>_xlfn.XLOOKUP(C2921,Payers!$A$2:$A$9,Payers!$B$2:$B$9)</f>
        <v>Florida Medicaid</v>
      </c>
      <c r="W2921" s="1" t="str">
        <f t="shared" si="183"/>
        <v>2026-09</v>
      </c>
    </row>
    <row r="2922" spans="1:23">
      <c r="A2922" s="1" t="s">
        <v>4958</v>
      </c>
      <c r="B2922" s="1" t="s">
        <v>2607</v>
      </c>
      <c r="C2922" s="1" t="s">
        <v>76</v>
      </c>
      <c r="D2922" s="1" t="s">
        <v>37</v>
      </c>
      <c r="E2922" s="1" t="s">
        <v>57</v>
      </c>
      <c r="F2922">
        <v>1</v>
      </c>
      <c r="G2922" s="2">
        <v>45972</v>
      </c>
      <c r="H2922" s="2">
        <v>45975</v>
      </c>
      <c r="I2922">
        <v>214.67</v>
      </c>
      <c r="J2922">
        <v>79.099999999999994</v>
      </c>
      <c r="K2922">
        <v>79.099999999999994</v>
      </c>
      <c r="L2922">
        <v>0</v>
      </c>
      <c r="M2922" s="1" t="s">
        <v>21</v>
      </c>
      <c r="N2922" s="1" t="s">
        <v>22</v>
      </c>
      <c r="O2922" s="2">
        <v>45999</v>
      </c>
      <c r="P2922" s="2">
        <v>45999</v>
      </c>
      <c r="Q2922">
        <f>_xlfn.XLOOKUP(E2922,CPT!$A$2:$A$13,CPT!$D$2:$D$13)</f>
        <v>210</v>
      </c>
      <c r="R2922" s="1">
        <f>_xlfn.XLOOKUP(C2922,Contract!$A$2:$A$9,Contract!$B$2:$B$9)</f>
        <v>0.43</v>
      </c>
      <c r="S2922" s="1">
        <f t="shared" si="180"/>
        <v>90.3</v>
      </c>
      <c r="T2922" s="1">
        <f t="shared" si="181"/>
        <v>11.200000000000003</v>
      </c>
      <c r="U2922" s="1" t="str">
        <f t="shared" si="182"/>
        <v>Underpaid</v>
      </c>
      <c r="V2922" s="1" t="str">
        <f>_xlfn.XLOOKUP(C2922,Payers!$A$2:$A$9,Payers!$B$2:$B$9)</f>
        <v>Summit Health Commercial</v>
      </c>
      <c r="W2922" s="1" t="str">
        <f t="shared" si="183"/>
        <v>2025-11</v>
      </c>
    </row>
    <row r="2923" spans="1:23">
      <c r="A2923" s="1" t="s">
        <v>4959</v>
      </c>
      <c r="B2923" s="1" t="s">
        <v>4960</v>
      </c>
      <c r="C2923" s="1" t="s">
        <v>60</v>
      </c>
      <c r="D2923" s="1" t="s">
        <v>37</v>
      </c>
      <c r="E2923" s="1" t="s">
        <v>38</v>
      </c>
      <c r="F2923">
        <v>10</v>
      </c>
      <c r="G2923" s="2">
        <v>46069</v>
      </c>
      <c r="H2923" s="2">
        <v>46071</v>
      </c>
      <c r="I2923">
        <v>14409.47</v>
      </c>
      <c r="J2923">
        <v>7057.43</v>
      </c>
      <c r="K2923">
        <v>6351.69</v>
      </c>
      <c r="L2923">
        <v>705.74</v>
      </c>
      <c r="M2923" s="1" t="s">
        <v>21</v>
      </c>
      <c r="N2923" s="1" t="s">
        <v>22</v>
      </c>
      <c r="O2923" s="2">
        <v>46101</v>
      </c>
      <c r="P2923" s="2">
        <v>46101</v>
      </c>
      <c r="Q2923">
        <f>_xlfn.XLOOKUP(E2923,CPT!$A$2:$A$13,CPT!$D$2:$D$13)</f>
        <v>1450</v>
      </c>
      <c r="R2923" s="1">
        <f>_xlfn.XLOOKUP(C2923,Contract!$A$2:$A$9,Contract!$B$2:$B$9)</f>
        <v>0.45</v>
      </c>
      <c r="S2923" s="1">
        <f t="shared" si="180"/>
        <v>6525</v>
      </c>
      <c r="T2923" s="1">
        <f t="shared" si="181"/>
        <v>-532.43000000000029</v>
      </c>
      <c r="U2923" s="1" t="str">
        <f t="shared" si="182"/>
        <v>OK</v>
      </c>
      <c r="V2923" s="1" t="str">
        <f>_xlfn.XLOOKUP(C2923,Payers!$A$2:$A$9,Payers!$B$2:$B$9)</f>
        <v>Blue Horizon Commercial</v>
      </c>
      <c r="W2923" s="1" t="str">
        <f t="shared" si="183"/>
        <v>2026-02</v>
      </c>
    </row>
    <row r="2924" spans="1:23">
      <c r="A2924" s="1" t="s">
        <v>4961</v>
      </c>
      <c r="B2924" s="1" t="s">
        <v>928</v>
      </c>
      <c r="C2924" s="1" t="s">
        <v>60</v>
      </c>
      <c r="D2924" s="1" t="s">
        <v>26</v>
      </c>
      <c r="E2924" s="1" t="s">
        <v>88</v>
      </c>
      <c r="F2924">
        <v>1</v>
      </c>
      <c r="G2924" s="2">
        <v>45948</v>
      </c>
      <c r="H2924" s="2">
        <v>45956</v>
      </c>
      <c r="I2924">
        <v>256.95</v>
      </c>
      <c r="J2924">
        <v>99.97</v>
      </c>
      <c r="K2924">
        <v>99.97</v>
      </c>
      <c r="L2924">
        <v>0</v>
      </c>
      <c r="M2924" s="1" t="s">
        <v>21</v>
      </c>
      <c r="N2924" s="1" t="s">
        <v>22</v>
      </c>
      <c r="O2924" s="2">
        <v>45981</v>
      </c>
      <c r="P2924" s="2">
        <v>45981</v>
      </c>
      <c r="Q2924">
        <f>_xlfn.XLOOKUP(E2924,CPT!$A$2:$A$13,CPT!$D$2:$D$13)</f>
        <v>260</v>
      </c>
      <c r="R2924" s="1">
        <f>_xlfn.XLOOKUP(C2924,Contract!$A$2:$A$9,Contract!$B$2:$B$9)</f>
        <v>0.45</v>
      </c>
      <c r="S2924" s="1">
        <f t="shared" si="180"/>
        <v>117</v>
      </c>
      <c r="T2924" s="1">
        <f t="shared" si="181"/>
        <v>17.03</v>
      </c>
      <c r="U2924" s="1" t="str">
        <f t="shared" si="182"/>
        <v>Underpaid</v>
      </c>
      <c r="V2924" s="1" t="str">
        <f>_xlfn.XLOOKUP(C2924,Payers!$A$2:$A$9,Payers!$B$2:$B$9)</f>
        <v>Blue Horizon Commercial</v>
      </c>
      <c r="W2924" s="1" t="str">
        <f t="shared" si="183"/>
        <v>2025-10</v>
      </c>
    </row>
    <row r="2925" spans="1:23">
      <c r="A2925" s="1" t="s">
        <v>4962</v>
      </c>
      <c r="B2925" s="1" t="s">
        <v>1400</v>
      </c>
      <c r="C2925" s="1" t="s">
        <v>25</v>
      </c>
      <c r="D2925" s="1" t="s">
        <v>26</v>
      </c>
      <c r="E2925" s="1" t="s">
        <v>88</v>
      </c>
      <c r="F2925">
        <v>1</v>
      </c>
      <c r="G2925" s="2">
        <v>46028</v>
      </c>
      <c r="H2925" s="2">
        <v>46034</v>
      </c>
      <c r="I2925">
        <v>256.64</v>
      </c>
      <c r="J2925">
        <v>84.46</v>
      </c>
      <c r="K2925">
        <v>67.569999999999993</v>
      </c>
      <c r="L2925">
        <v>16.89</v>
      </c>
      <c r="M2925" s="1" t="s">
        <v>21</v>
      </c>
      <c r="N2925" s="1" t="s">
        <v>22</v>
      </c>
      <c r="O2925" s="2">
        <v>46045</v>
      </c>
      <c r="P2925" s="2">
        <v>46045</v>
      </c>
      <c r="Q2925">
        <f>_xlfn.XLOOKUP(E2925,CPT!$A$2:$A$13,CPT!$D$2:$D$13)</f>
        <v>260</v>
      </c>
      <c r="R2925" s="1">
        <f>_xlfn.XLOOKUP(C2925,Contract!$A$2:$A$9,Contract!$B$2:$B$9)</f>
        <v>0.36</v>
      </c>
      <c r="S2925" s="1">
        <f t="shared" si="180"/>
        <v>93.6</v>
      </c>
      <c r="T2925" s="1">
        <f t="shared" si="181"/>
        <v>9.14</v>
      </c>
      <c r="U2925" s="1" t="str">
        <f t="shared" si="182"/>
        <v>Underpaid</v>
      </c>
      <c r="V2925" s="1" t="str">
        <f>_xlfn.XLOOKUP(C2925,Payers!$A$2:$A$9,Payers!$B$2:$B$9)</f>
        <v>Medicare Part B</v>
      </c>
      <c r="W2925" s="1" t="str">
        <f t="shared" si="183"/>
        <v>2026-01</v>
      </c>
    </row>
    <row r="2926" spans="1:23">
      <c r="A2926" s="1" t="s">
        <v>4963</v>
      </c>
      <c r="B2926" s="1" t="s">
        <v>4957</v>
      </c>
      <c r="C2926" s="1" t="s">
        <v>76</v>
      </c>
      <c r="D2926" s="1" t="s">
        <v>37</v>
      </c>
      <c r="E2926" s="1" t="s">
        <v>38</v>
      </c>
      <c r="F2926">
        <v>20</v>
      </c>
      <c r="G2926" s="2">
        <v>46293</v>
      </c>
      <c r="H2926" s="2">
        <v>46294</v>
      </c>
      <c r="I2926">
        <v>29347.83</v>
      </c>
      <c r="M2926" s="1" t="s">
        <v>69</v>
      </c>
      <c r="N2926" s="1" t="s">
        <v>22</v>
      </c>
      <c r="O2926" s="2"/>
      <c r="P2926" s="2"/>
      <c r="Q2926">
        <f>_xlfn.XLOOKUP(E2926,CPT!$A$2:$A$13,CPT!$D$2:$D$13)</f>
        <v>1450</v>
      </c>
      <c r="R2926" s="1">
        <f>_xlfn.XLOOKUP(C2926,Contract!$A$2:$A$9,Contract!$B$2:$B$9)</f>
        <v>0.43</v>
      </c>
      <c r="S2926" s="1">
        <f t="shared" si="180"/>
        <v>12470</v>
      </c>
      <c r="T2926" s="1" t="str">
        <f t="shared" si="181"/>
        <v/>
      </c>
      <c r="U2926" s="1" t="str">
        <f t="shared" si="182"/>
        <v/>
      </c>
      <c r="V2926" s="1" t="str">
        <f>_xlfn.XLOOKUP(C2926,Payers!$A$2:$A$9,Payers!$B$2:$B$9)</f>
        <v>Summit Health Commercial</v>
      </c>
      <c r="W2926" s="1" t="str">
        <f t="shared" si="183"/>
        <v>2026-09</v>
      </c>
    </row>
    <row r="2927" spans="1:23">
      <c r="A2927" s="1" t="s">
        <v>4964</v>
      </c>
      <c r="B2927" s="1" t="s">
        <v>3482</v>
      </c>
      <c r="C2927" s="1" t="s">
        <v>79</v>
      </c>
      <c r="D2927" s="1" t="s">
        <v>26</v>
      </c>
      <c r="E2927" s="1" t="s">
        <v>44</v>
      </c>
      <c r="F2927">
        <v>1</v>
      </c>
      <c r="G2927" s="2">
        <v>46050</v>
      </c>
      <c r="H2927" s="2">
        <v>46053</v>
      </c>
      <c r="I2927">
        <v>4785.84</v>
      </c>
      <c r="M2927" s="1" t="s">
        <v>69</v>
      </c>
      <c r="N2927" s="1" t="s">
        <v>22</v>
      </c>
      <c r="O2927" s="2"/>
      <c r="P2927" s="2"/>
      <c r="Q2927">
        <f>_xlfn.XLOOKUP(E2927,CPT!$A$2:$A$13,CPT!$D$2:$D$13)</f>
        <v>4800</v>
      </c>
      <c r="R2927" s="1">
        <f>_xlfn.XLOOKUP(C2927,Contract!$A$2:$A$9,Contract!$B$2:$B$9)</f>
        <v>1</v>
      </c>
      <c r="S2927" s="1">
        <f t="shared" si="180"/>
        <v>4800</v>
      </c>
      <c r="T2927" s="1" t="str">
        <f t="shared" si="181"/>
        <v/>
      </c>
      <c r="U2927" s="1" t="str">
        <f t="shared" si="182"/>
        <v/>
      </c>
      <c r="V2927" s="1" t="str">
        <f>_xlfn.XLOOKUP(C2927,Payers!$A$2:$A$9,Payers!$B$2:$B$9)</f>
        <v>Self-Pay</v>
      </c>
      <c r="W2927" s="1" t="str">
        <f t="shared" si="183"/>
        <v>2026-01</v>
      </c>
    </row>
    <row r="2928" spans="1:23">
      <c r="A2928" s="1" t="s">
        <v>4965</v>
      </c>
      <c r="B2928" s="1" t="s">
        <v>1228</v>
      </c>
      <c r="C2928" s="1" t="s">
        <v>52</v>
      </c>
      <c r="D2928" s="1" t="s">
        <v>19</v>
      </c>
      <c r="E2928" s="1" t="s">
        <v>88</v>
      </c>
      <c r="F2928">
        <v>1</v>
      </c>
      <c r="G2928" s="2">
        <v>45987</v>
      </c>
      <c r="H2928" s="2">
        <v>45989</v>
      </c>
      <c r="I2928">
        <v>264.98</v>
      </c>
      <c r="J2928">
        <v>129.97</v>
      </c>
      <c r="K2928">
        <v>129.97</v>
      </c>
      <c r="L2928">
        <v>0</v>
      </c>
      <c r="M2928" s="1" t="s">
        <v>21</v>
      </c>
      <c r="N2928" s="1" t="s">
        <v>22</v>
      </c>
      <c r="O2928" s="2">
        <v>46014</v>
      </c>
      <c r="P2928" s="2">
        <v>46014</v>
      </c>
      <c r="Q2928">
        <f>_xlfn.XLOOKUP(E2928,CPT!$A$2:$A$13,CPT!$D$2:$D$13)</f>
        <v>260</v>
      </c>
      <c r="R2928" s="1">
        <f>_xlfn.XLOOKUP(C2928,Contract!$A$2:$A$9,Contract!$B$2:$B$9)</f>
        <v>0.47</v>
      </c>
      <c r="S2928" s="1">
        <f t="shared" si="180"/>
        <v>122.2</v>
      </c>
      <c r="T2928" s="1">
        <f t="shared" si="181"/>
        <v>-7.769999999999996</v>
      </c>
      <c r="U2928" s="1" t="str">
        <f t="shared" si="182"/>
        <v>OK</v>
      </c>
      <c r="V2928" s="1" t="str">
        <f>_xlfn.XLOOKUP(C2928,Payers!$A$2:$A$9,Payers!$B$2:$B$9)</f>
        <v>Keystone Commercial PPO</v>
      </c>
      <c r="W2928" s="1" t="str">
        <f t="shared" si="183"/>
        <v>2025-11</v>
      </c>
    </row>
    <row r="2929" spans="1:23">
      <c r="A2929" s="1" t="s">
        <v>4966</v>
      </c>
      <c r="B2929" s="1" t="s">
        <v>4967</v>
      </c>
      <c r="C2929" s="1" t="s">
        <v>36</v>
      </c>
      <c r="D2929" s="1" t="s">
        <v>30</v>
      </c>
      <c r="E2929" s="1" t="s">
        <v>20</v>
      </c>
      <c r="F2929">
        <v>1</v>
      </c>
      <c r="G2929" s="2">
        <v>46171</v>
      </c>
      <c r="H2929" s="2">
        <v>46176</v>
      </c>
      <c r="I2929">
        <v>141.46</v>
      </c>
      <c r="J2929">
        <v>38.54</v>
      </c>
      <c r="K2929">
        <v>30.83</v>
      </c>
      <c r="L2929">
        <v>7.71</v>
      </c>
      <c r="M2929" s="1" t="s">
        <v>21</v>
      </c>
      <c r="N2929" s="1" t="s">
        <v>22</v>
      </c>
      <c r="O2929" s="2">
        <v>46210</v>
      </c>
      <c r="P2929" s="2">
        <v>46210</v>
      </c>
      <c r="Q2929">
        <f>_xlfn.XLOOKUP(E2929,CPT!$A$2:$A$13,CPT!$D$2:$D$13)</f>
        <v>145</v>
      </c>
      <c r="R2929" s="1">
        <f>_xlfn.XLOOKUP(C2929,Contract!$A$2:$A$9,Contract!$B$2:$B$9)</f>
        <v>0.27</v>
      </c>
      <c r="S2929" s="1">
        <f t="shared" si="180"/>
        <v>39.15</v>
      </c>
      <c r="T2929" s="1">
        <f t="shared" si="181"/>
        <v>0.60999999999999943</v>
      </c>
      <c r="U2929" s="1" t="str">
        <f t="shared" si="182"/>
        <v>OK</v>
      </c>
      <c r="V2929" s="1" t="str">
        <f>_xlfn.XLOOKUP(C2929,Payers!$A$2:$A$9,Payers!$B$2:$B$9)</f>
        <v>Florida Medicaid</v>
      </c>
      <c r="W2929" s="1" t="str">
        <f t="shared" si="183"/>
        <v>2026-05</v>
      </c>
    </row>
    <row r="2930" spans="1:23">
      <c r="A2930" s="1" t="s">
        <v>4968</v>
      </c>
      <c r="B2930" s="1" t="s">
        <v>3025</v>
      </c>
      <c r="C2930" s="1" t="s">
        <v>60</v>
      </c>
      <c r="D2930" s="1" t="s">
        <v>19</v>
      </c>
      <c r="E2930" s="1" t="s">
        <v>88</v>
      </c>
      <c r="F2930">
        <v>1</v>
      </c>
      <c r="G2930" s="2">
        <v>46240</v>
      </c>
      <c r="H2930" s="2">
        <v>46253</v>
      </c>
      <c r="I2930">
        <v>253.67</v>
      </c>
      <c r="J2930">
        <v>120.88</v>
      </c>
      <c r="K2930">
        <v>120.88</v>
      </c>
      <c r="L2930">
        <v>0</v>
      </c>
      <c r="M2930" s="1" t="s">
        <v>21</v>
      </c>
      <c r="N2930" s="1" t="s">
        <v>22</v>
      </c>
      <c r="O2930" s="2">
        <v>46279</v>
      </c>
      <c r="P2930" s="2">
        <v>46279</v>
      </c>
      <c r="Q2930">
        <f>_xlfn.XLOOKUP(E2930,CPT!$A$2:$A$13,CPT!$D$2:$D$13)</f>
        <v>260</v>
      </c>
      <c r="R2930" s="1">
        <f>_xlfn.XLOOKUP(C2930,Contract!$A$2:$A$9,Contract!$B$2:$B$9)</f>
        <v>0.45</v>
      </c>
      <c r="S2930" s="1">
        <f t="shared" si="180"/>
        <v>117</v>
      </c>
      <c r="T2930" s="1">
        <f t="shared" si="181"/>
        <v>-3.8799999999999955</v>
      </c>
      <c r="U2930" s="1" t="str">
        <f t="shared" si="182"/>
        <v>OK</v>
      </c>
      <c r="V2930" s="1" t="str">
        <f>_xlfn.XLOOKUP(C2930,Payers!$A$2:$A$9,Payers!$B$2:$B$9)</f>
        <v>Blue Horizon Commercial</v>
      </c>
      <c r="W2930" s="1" t="str">
        <f t="shared" si="183"/>
        <v>2026-08</v>
      </c>
    </row>
    <row r="2931" spans="1:23">
      <c r="A2931" s="1" t="s">
        <v>4969</v>
      </c>
      <c r="B2931" s="1" t="s">
        <v>4970</v>
      </c>
      <c r="C2931" s="1" t="s">
        <v>76</v>
      </c>
      <c r="D2931" s="1" t="s">
        <v>37</v>
      </c>
      <c r="E2931" s="1" t="s">
        <v>57</v>
      </c>
      <c r="F2931">
        <v>1</v>
      </c>
      <c r="G2931" s="2">
        <v>46232</v>
      </c>
      <c r="H2931" s="2">
        <v>46234</v>
      </c>
      <c r="I2931">
        <v>204.76</v>
      </c>
      <c r="J2931">
        <v>79.069999999999993</v>
      </c>
      <c r="K2931">
        <v>79.069999999999993</v>
      </c>
      <c r="L2931">
        <v>0</v>
      </c>
      <c r="M2931" s="1" t="s">
        <v>21</v>
      </c>
      <c r="N2931" s="1" t="s">
        <v>22</v>
      </c>
      <c r="O2931" s="2">
        <v>46265</v>
      </c>
      <c r="P2931" s="2">
        <v>46265</v>
      </c>
      <c r="Q2931">
        <f>_xlfn.XLOOKUP(E2931,CPT!$A$2:$A$13,CPT!$D$2:$D$13)</f>
        <v>210</v>
      </c>
      <c r="R2931" s="1">
        <f>_xlfn.XLOOKUP(C2931,Contract!$A$2:$A$9,Contract!$B$2:$B$9)</f>
        <v>0.43</v>
      </c>
      <c r="S2931" s="1">
        <f t="shared" si="180"/>
        <v>90.3</v>
      </c>
      <c r="T2931" s="1">
        <f t="shared" si="181"/>
        <v>11.230000000000004</v>
      </c>
      <c r="U2931" s="1" t="str">
        <f t="shared" si="182"/>
        <v>Underpaid</v>
      </c>
      <c r="V2931" s="1" t="str">
        <f>_xlfn.XLOOKUP(C2931,Payers!$A$2:$A$9,Payers!$B$2:$B$9)</f>
        <v>Summit Health Commercial</v>
      </c>
      <c r="W2931" s="1" t="str">
        <f t="shared" si="183"/>
        <v>2026-07</v>
      </c>
    </row>
    <row r="2932" spans="1:23">
      <c r="A2932" s="1" t="s">
        <v>4971</v>
      </c>
      <c r="B2932" s="1" t="s">
        <v>3501</v>
      </c>
      <c r="C2932" s="1" t="s">
        <v>76</v>
      </c>
      <c r="D2932" s="1" t="s">
        <v>19</v>
      </c>
      <c r="E2932" s="1" t="s">
        <v>41</v>
      </c>
      <c r="F2932">
        <v>1</v>
      </c>
      <c r="G2932" s="2">
        <v>46186</v>
      </c>
      <c r="H2932" s="2">
        <v>46190</v>
      </c>
      <c r="I2932">
        <v>36.92</v>
      </c>
      <c r="J2932">
        <v>16.88</v>
      </c>
      <c r="K2932">
        <v>15.19</v>
      </c>
      <c r="L2932">
        <v>1.69</v>
      </c>
      <c r="M2932" s="1" t="s">
        <v>21</v>
      </c>
      <c r="N2932" s="1" t="s">
        <v>22</v>
      </c>
      <c r="O2932" s="2">
        <v>46230</v>
      </c>
      <c r="P2932" s="2">
        <v>46230</v>
      </c>
      <c r="Q2932">
        <f>_xlfn.XLOOKUP(E2932,CPT!$A$2:$A$13,CPT!$D$2:$D$13)</f>
        <v>38</v>
      </c>
      <c r="R2932" s="1">
        <f>_xlfn.XLOOKUP(C2932,Contract!$A$2:$A$9,Contract!$B$2:$B$9)</f>
        <v>0.43</v>
      </c>
      <c r="S2932" s="1">
        <f t="shared" si="180"/>
        <v>16.34</v>
      </c>
      <c r="T2932" s="1">
        <f t="shared" si="181"/>
        <v>-0.53999999999999915</v>
      </c>
      <c r="U2932" s="1" t="str">
        <f t="shared" si="182"/>
        <v>OK</v>
      </c>
      <c r="V2932" s="1" t="str">
        <f>_xlfn.XLOOKUP(C2932,Payers!$A$2:$A$9,Payers!$B$2:$B$9)</f>
        <v>Summit Health Commercial</v>
      </c>
      <c r="W2932" s="1" t="str">
        <f t="shared" si="183"/>
        <v>2026-06</v>
      </c>
    </row>
    <row r="2933" spans="1:23">
      <c r="A2933" s="1" t="s">
        <v>4972</v>
      </c>
      <c r="B2933" s="1" t="s">
        <v>2479</v>
      </c>
      <c r="C2933" s="1" t="s">
        <v>76</v>
      </c>
      <c r="D2933" s="1" t="s">
        <v>30</v>
      </c>
      <c r="E2933" s="1" t="s">
        <v>20</v>
      </c>
      <c r="F2933">
        <v>1</v>
      </c>
      <c r="G2933" s="2">
        <v>46034</v>
      </c>
      <c r="H2933" s="2">
        <v>46160</v>
      </c>
      <c r="I2933">
        <v>148.75</v>
      </c>
      <c r="M2933" s="1" t="s">
        <v>32</v>
      </c>
      <c r="N2933" s="1" t="s">
        <v>137</v>
      </c>
      <c r="O2933" s="2">
        <v>46194</v>
      </c>
      <c r="P2933" s="2"/>
      <c r="Q2933">
        <f>_xlfn.XLOOKUP(E2933,CPT!$A$2:$A$13,CPT!$D$2:$D$13)</f>
        <v>145</v>
      </c>
      <c r="R2933" s="1">
        <f>_xlfn.XLOOKUP(C2933,Contract!$A$2:$A$9,Contract!$B$2:$B$9)</f>
        <v>0.43</v>
      </c>
      <c r="S2933" s="1">
        <f t="shared" si="180"/>
        <v>62.35</v>
      </c>
      <c r="T2933" s="1" t="str">
        <f t="shared" si="181"/>
        <v/>
      </c>
      <c r="U2933" s="1" t="str">
        <f t="shared" si="182"/>
        <v/>
      </c>
      <c r="V2933" s="1" t="str">
        <f>_xlfn.XLOOKUP(C2933,Payers!$A$2:$A$9,Payers!$B$2:$B$9)</f>
        <v>Summit Health Commercial</v>
      </c>
      <c r="W2933" s="1" t="str">
        <f t="shared" si="183"/>
        <v>2026-01</v>
      </c>
    </row>
    <row r="2934" spans="1:23">
      <c r="A2934" s="1" t="s">
        <v>4973</v>
      </c>
      <c r="B2934" s="1" t="s">
        <v>4974</v>
      </c>
      <c r="C2934" s="1" t="s">
        <v>76</v>
      </c>
      <c r="D2934" s="1" t="s">
        <v>26</v>
      </c>
      <c r="E2934" s="1" t="s">
        <v>185</v>
      </c>
      <c r="F2934">
        <v>1</v>
      </c>
      <c r="G2934" s="2">
        <v>45937</v>
      </c>
      <c r="H2934" s="2">
        <v>45946</v>
      </c>
      <c r="I2934">
        <v>1147.8599999999999</v>
      </c>
      <c r="J2934">
        <v>436.85</v>
      </c>
      <c r="K2934">
        <v>436.85</v>
      </c>
      <c r="L2934">
        <v>0</v>
      </c>
      <c r="M2934" s="1" t="s">
        <v>21</v>
      </c>
      <c r="N2934" s="1" t="s">
        <v>22</v>
      </c>
      <c r="O2934" s="2">
        <v>45983</v>
      </c>
      <c r="P2934" s="2">
        <v>45983</v>
      </c>
      <c r="Q2934">
        <f>_xlfn.XLOOKUP(E2934,CPT!$A$2:$A$13,CPT!$D$2:$D$13)</f>
        <v>1150</v>
      </c>
      <c r="R2934" s="1">
        <f>_xlfn.XLOOKUP(C2934,Contract!$A$2:$A$9,Contract!$B$2:$B$9)</f>
        <v>0.43</v>
      </c>
      <c r="S2934" s="1">
        <f t="shared" si="180"/>
        <v>494.5</v>
      </c>
      <c r="T2934" s="1">
        <f t="shared" si="181"/>
        <v>57.649999999999977</v>
      </c>
      <c r="U2934" s="1" t="str">
        <f t="shared" si="182"/>
        <v>Underpaid</v>
      </c>
      <c r="V2934" s="1" t="str">
        <f>_xlfn.XLOOKUP(C2934,Payers!$A$2:$A$9,Payers!$B$2:$B$9)</f>
        <v>Summit Health Commercial</v>
      </c>
      <c r="W2934" s="1" t="str">
        <f t="shared" si="183"/>
        <v>2025-10</v>
      </c>
    </row>
    <row r="2935" spans="1:23">
      <c r="A2935" s="1" t="s">
        <v>4975</v>
      </c>
      <c r="B2935" s="1" t="s">
        <v>4976</v>
      </c>
      <c r="C2935" s="1" t="s">
        <v>76</v>
      </c>
      <c r="D2935" s="1" t="s">
        <v>37</v>
      </c>
      <c r="E2935" s="1" t="s">
        <v>38</v>
      </c>
      <c r="F2935">
        <v>30</v>
      </c>
      <c r="G2935" s="2">
        <v>45996</v>
      </c>
      <c r="H2935" s="2">
        <v>46003</v>
      </c>
      <c r="I2935">
        <v>44250.73</v>
      </c>
      <c r="M2935" s="1" t="s">
        <v>32</v>
      </c>
      <c r="N2935" s="1" t="s">
        <v>49</v>
      </c>
      <c r="O2935" s="2">
        <v>46032</v>
      </c>
      <c r="P2935" s="2"/>
      <c r="Q2935">
        <f>_xlfn.XLOOKUP(E2935,CPT!$A$2:$A$13,CPT!$D$2:$D$13)</f>
        <v>1450</v>
      </c>
      <c r="R2935" s="1">
        <f>_xlfn.XLOOKUP(C2935,Contract!$A$2:$A$9,Contract!$B$2:$B$9)</f>
        <v>0.43</v>
      </c>
      <c r="S2935" s="1">
        <f t="shared" si="180"/>
        <v>18705</v>
      </c>
      <c r="T2935" s="1" t="str">
        <f t="shared" si="181"/>
        <v/>
      </c>
      <c r="U2935" s="1" t="str">
        <f t="shared" si="182"/>
        <v/>
      </c>
      <c r="V2935" s="1" t="str">
        <f>_xlfn.XLOOKUP(C2935,Payers!$A$2:$A$9,Payers!$B$2:$B$9)</f>
        <v>Summit Health Commercial</v>
      </c>
      <c r="W2935" s="1" t="str">
        <f t="shared" si="183"/>
        <v>2025-12</v>
      </c>
    </row>
    <row r="2936" spans="1:23">
      <c r="A2936" s="1" t="s">
        <v>4977</v>
      </c>
      <c r="B2936" s="1" t="s">
        <v>4978</v>
      </c>
      <c r="C2936" s="1" t="s">
        <v>47</v>
      </c>
      <c r="D2936" s="1" t="s">
        <v>26</v>
      </c>
      <c r="E2936" s="1" t="s">
        <v>27</v>
      </c>
      <c r="F2936">
        <v>1</v>
      </c>
      <c r="G2936" s="2">
        <v>46043</v>
      </c>
      <c r="H2936" s="2">
        <v>46044</v>
      </c>
      <c r="I2936">
        <v>239.08</v>
      </c>
      <c r="J2936">
        <v>68.56</v>
      </c>
      <c r="K2936">
        <v>68.56</v>
      </c>
      <c r="L2936">
        <v>0</v>
      </c>
      <c r="M2936" s="1" t="s">
        <v>21</v>
      </c>
      <c r="N2936" s="1" t="s">
        <v>22</v>
      </c>
      <c r="O2936" s="2">
        <v>46105</v>
      </c>
      <c r="P2936" s="2">
        <v>46105</v>
      </c>
      <c r="Q2936">
        <f>_xlfn.XLOOKUP(E2936,CPT!$A$2:$A$13,CPT!$D$2:$D$13)</f>
        <v>240</v>
      </c>
      <c r="R2936" s="1">
        <f>_xlfn.XLOOKUP(C2936,Contract!$A$2:$A$9,Contract!$B$2:$B$9)</f>
        <v>0.28000000000000003</v>
      </c>
      <c r="S2936" s="1">
        <f t="shared" si="180"/>
        <v>67.2</v>
      </c>
      <c r="T2936" s="1">
        <f t="shared" si="181"/>
        <v>-1.3599999999999994</v>
      </c>
      <c r="U2936" s="1" t="str">
        <f t="shared" si="182"/>
        <v>OK</v>
      </c>
      <c r="V2936" s="1" t="str">
        <f>_xlfn.XLOOKUP(C2936,Payers!$A$2:$A$9,Payers!$B$2:$B$9)</f>
        <v>Coastal Medicaid MCO</v>
      </c>
      <c r="W2936" s="1" t="str">
        <f t="shared" si="183"/>
        <v>2026-01</v>
      </c>
    </row>
    <row r="2937" spans="1:23">
      <c r="A2937" s="1" t="s">
        <v>4979</v>
      </c>
      <c r="B2937" s="1" t="s">
        <v>4980</v>
      </c>
      <c r="C2937" s="1" t="s">
        <v>47</v>
      </c>
      <c r="D2937" s="1" t="s">
        <v>19</v>
      </c>
      <c r="E2937" s="1" t="s">
        <v>20</v>
      </c>
      <c r="F2937">
        <v>1</v>
      </c>
      <c r="G2937" s="2">
        <v>46000</v>
      </c>
      <c r="H2937" s="2">
        <v>46003</v>
      </c>
      <c r="I2937">
        <v>145</v>
      </c>
      <c r="M2937" s="1" t="s">
        <v>32</v>
      </c>
      <c r="N2937" s="1" t="s">
        <v>33</v>
      </c>
      <c r="O2937" s="2">
        <v>46062</v>
      </c>
      <c r="P2937" s="2"/>
      <c r="Q2937">
        <f>_xlfn.XLOOKUP(E2937,CPT!$A$2:$A$13,CPT!$D$2:$D$13)</f>
        <v>145</v>
      </c>
      <c r="R2937" s="1">
        <f>_xlfn.XLOOKUP(C2937,Contract!$A$2:$A$9,Contract!$B$2:$B$9)</f>
        <v>0.28000000000000003</v>
      </c>
      <c r="S2937" s="1">
        <f t="shared" si="180"/>
        <v>40.6</v>
      </c>
      <c r="T2937" s="1" t="str">
        <f t="shared" si="181"/>
        <v/>
      </c>
      <c r="U2937" s="1" t="str">
        <f t="shared" si="182"/>
        <v/>
      </c>
      <c r="V2937" s="1" t="str">
        <f>_xlfn.XLOOKUP(C2937,Payers!$A$2:$A$9,Payers!$B$2:$B$9)</f>
        <v>Coastal Medicaid MCO</v>
      </c>
      <c r="W2937" s="1" t="str">
        <f t="shared" si="183"/>
        <v>2025-12</v>
      </c>
    </row>
    <row r="2938" spans="1:23">
      <c r="A2938" s="1" t="s">
        <v>4981</v>
      </c>
      <c r="B2938" s="1" t="s">
        <v>4982</v>
      </c>
      <c r="C2938" s="1" t="s">
        <v>52</v>
      </c>
      <c r="D2938" s="1" t="s">
        <v>37</v>
      </c>
      <c r="E2938" s="1" t="s">
        <v>48</v>
      </c>
      <c r="F2938">
        <v>1</v>
      </c>
      <c r="G2938" s="2">
        <v>46182</v>
      </c>
      <c r="H2938" s="2">
        <v>46189</v>
      </c>
      <c r="I2938">
        <v>428.85</v>
      </c>
      <c r="M2938" s="1" t="s">
        <v>32</v>
      </c>
      <c r="N2938" s="1" t="s">
        <v>33</v>
      </c>
      <c r="O2938" s="2">
        <v>46228</v>
      </c>
      <c r="P2938" s="2"/>
      <c r="Q2938">
        <f>_xlfn.XLOOKUP(E2938,CPT!$A$2:$A$13,CPT!$D$2:$D$13)</f>
        <v>420</v>
      </c>
      <c r="R2938" s="1">
        <f>_xlfn.XLOOKUP(C2938,Contract!$A$2:$A$9,Contract!$B$2:$B$9)</f>
        <v>0.47</v>
      </c>
      <c r="S2938" s="1">
        <f t="shared" si="180"/>
        <v>197.4</v>
      </c>
      <c r="T2938" s="1" t="str">
        <f t="shared" si="181"/>
        <v/>
      </c>
      <c r="U2938" s="1" t="str">
        <f t="shared" si="182"/>
        <v/>
      </c>
      <c r="V2938" s="1" t="str">
        <f>_xlfn.XLOOKUP(C2938,Payers!$A$2:$A$9,Payers!$B$2:$B$9)</f>
        <v>Keystone Commercial PPO</v>
      </c>
      <c r="W2938" s="1" t="str">
        <f t="shared" si="183"/>
        <v>2026-06</v>
      </c>
    </row>
    <row r="2939" spans="1:23">
      <c r="A2939" s="1" t="s">
        <v>4983</v>
      </c>
      <c r="B2939" s="1" t="s">
        <v>2803</v>
      </c>
      <c r="C2939" s="1" t="s">
        <v>25</v>
      </c>
      <c r="D2939" s="1" t="s">
        <v>37</v>
      </c>
      <c r="E2939" s="1" t="s">
        <v>57</v>
      </c>
      <c r="F2939">
        <v>1</v>
      </c>
      <c r="G2939" s="2">
        <v>46136</v>
      </c>
      <c r="H2939" s="2">
        <v>46137</v>
      </c>
      <c r="I2939">
        <v>207.55</v>
      </c>
      <c r="J2939">
        <v>67.8</v>
      </c>
      <c r="K2939">
        <v>61.02</v>
      </c>
      <c r="L2939">
        <v>6.78</v>
      </c>
      <c r="M2939" s="1" t="s">
        <v>21</v>
      </c>
      <c r="N2939" s="1" t="s">
        <v>22</v>
      </c>
      <c r="O2939" s="2">
        <v>46148</v>
      </c>
      <c r="P2939" s="2">
        <v>46148</v>
      </c>
      <c r="Q2939">
        <f>_xlfn.XLOOKUP(E2939,CPT!$A$2:$A$13,CPT!$D$2:$D$13)</f>
        <v>210</v>
      </c>
      <c r="R2939" s="1">
        <f>_xlfn.XLOOKUP(C2939,Contract!$A$2:$A$9,Contract!$B$2:$B$9)</f>
        <v>0.36</v>
      </c>
      <c r="S2939" s="1">
        <f t="shared" si="180"/>
        <v>75.599999999999994</v>
      </c>
      <c r="T2939" s="1">
        <f t="shared" si="181"/>
        <v>7.7999999999999972</v>
      </c>
      <c r="U2939" s="1" t="str">
        <f t="shared" si="182"/>
        <v>Underpaid</v>
      </c>
      <c r="V2939" s="1" t="str">
        <f>_xlfn.XLOOKUP(C2939,Payers!$A$2:$A$9,Payers!$B$2:$B$9)</f>
        <v>Medicare Part B</v>
      </c>
      <c r="W2939" s="1" t="str">
        <f t="shared" si="183"/>
        <v>2026-04</v>
      </c>
    </row>
    <row r="2940" spans="1:23">
      <c r="A2940" s="1" t="s">
        <v>4984</v>
      </c>
      <c r="B2940" s="1" t="s">
        <v>4985</v>
      </c>
      <c r="C2940" s="1" t="s">
        <v>79</v>
      </c>
      <c r="D2940" s="1" t="s">
        <v>19</v>
      </c>
      <c r="E2940" s="1" t="s">
        <v>20</v>
      </c>
      <c r="F2940">
        <v>1</v>
      </c>
      <c r="G2940" s="2">
        <v>46016</v>
      </c>
      <c r="H2940" s="2">
        <v>46018</v>
      </c>
      <c r="I2940">
        <v>141.94999999999999</v>
      </c>
      <c r="M2940" s="1" t="s">
        <v>69</v>
      </c>
      <c r="N2940" s="1" t="s">
        <v>22</v>
      </c>
      <c r="O2940" s="2"/>
      <c r="P2940" s="2"/>
      <c r="Q2940">
        <f>_xlfn.XLOOKUP(E2940,CPT!$A$2:$A$13,CPT!$D$2:$D$13)</f>
        <v>145</v>
      </c>
      <c r="R2940" s="1">
        <f>_xlfn.XLOOKUP(C2940,Contract!$A$2:$A$9,Contract!$B$2:$B$9)</f>
        <v>1</v>
      </c>
      <c r="S2940" s="1">
        <f t="shared" si="180"/>
        <v>145</v>
      </c>
      <c r="T2940" s="1" t="str">
        <f t="shared" si="181"/>
        <v/>
      </c>
      <c r="U2940" s="1" t="str">
        <f t="shared" si="182"/>
        <v/>
      </c>
      <c r="V2940" s="1" t="str">
        <f>_xlfn.XLOOKUP(C2940,Payers!$A$2:$A$9,Payers!$B$2:$B$9)</f>
        <v>Self-Pay</v>
      </c>
      <c r="W2940" s="1" t="str">
        <f t="shared" si="183"/>
        <v>2025-12</v>
      </c>
    </row>
    <row r="2941" spans="1:23">
      <c r="A2941" s="1" t="s">
        <v>4986</v>
      </c>
      <c r="B2941" s="1" t="s">
        <v>4987</v>
      </c>
      <c r="C2941" s="1" t="s">
        <v>36</v>
      </c>
      <c r="D2941" s="1" t="s">
        <v>30</v>
      </c>
      <c r="E2941" s="1" t="s">
        <v>20</v>
      </c>
      <c r="F2941">
        <v>1</v>
      </c>
      <c r="G2941" s="2">
        <v>46270</v>
      </c>
      <c r="H2941" s="2">
        <v>46272</v>
      </c>
      <c r="I2941">
        <v>144.65</v>
      </c>
      <c r="J2941">
        <v>35.1</v>
      </c>
      <c r="K2941">
        <v>35.1</v>
      </c>
      <c r="L2941">
        <v>0</v>
      </c>
      <c r="M2941" s="1" t="s">
        <v>21</v>
      </c>
      <c r="N2941" s="1" t="s">
        <v>22</v>
      </c>
      <c r="O2941" s="2">
        <v>46285</v>
      </c>
      <c r="P2941" s="2">
        <v>46285</v>
      </c>
      <c r="Q2941">
        <f>_xlfn.XLOOKUP(E2941,CPT!$A$2:$A$13,CPT!$D$2:$D$13)</f>
        <v>145</v>
      </c>
      <c r="R2941" s="1">
        <f>_xlfn.XLOOKUP(C2941,Contract!$A$2:$A$9,Contract!$B$2:$B$9)</f>
        <v>0.27</v>
      </c>
      <c r="S2941" s="1">
        <f t="shared" si="180"/>
        <v>39.15</v>
      </c>
      <c r="T2941" s="1">
        <f t="shared" si="181"/>
        <v>4.0499999999999972</v>
      </c>
      <c r="U2941" s="1" t="str">
        <f t="shared" si="182"/>
        <v>Underpaid</v>
      </c>
      <c r="V2941" s="1" t="str">
        <f>_xlfn.XLOOKUP(C2941,Payers!$A$2:$A$9,Payers!$B$2:$B$9)</f>
        <v>Florida Medicaid</v>
      </c>
      <c r="W2941" s="1" t="str">
        <f t="shared" si="183"/>
        <v>2026-09</v>
      </c>
    </row>
    <row r="2942" spans="1:23">
      <c r="A2942" s="1" t="s">
        <v>4988</v>
      </c>
      <c r="B2942" s="1" t="s">
        <v>515</v>
      </c>
      <c r="C2942" s="1" t="s">
        <v>52</v>
      </c>
      <c r="D2942" s="1" t="s">
        <v>19</v>
      </c>
      <c r="E2942" s="1" t="s">
        <v>20</v>
      </c>
      <c r="F2942">
        <v>1</v>
      </c>
      <c r="G2942" s="2">
        <v>46067</v>
      </c>
      <c r="H2942" s="2">
        <v>46073</v>
      </c>
      <c r="I2942">
        <v>148.30000000000001</v>
      </c>
      <c r="J2942">
        <v>69.48</v>
      </c>
      <c r="K2942">
        <v>69.48</v>
      </c>
      <c r="L2942">
        <v>0</v>
      </c>
      <c r="M2942" s="1" t="s">
        <v>21</v>
      </c>
      <c r="N2942" s="1" t="s">
        <v>22</v>
      </c>
      <c r="O2942" s="2">
        <v>46113</v>
      </c>
      <c r="P2942" s="2">
        <v>46113</v>
      </c>
      <c r="Q2942">
        <f>_xlfn.XLOOKUP(E2942,CPT!$A$2:$A$13,CPT!$D$2:$D$13)</f>
        <v>145</v>
      </c>
      <c r="R2942" s="1">
        <f>_xlfn.XLOOKUP(C2942,Contract!$A$2:$A$9,Contract!$B$2:$B$9)</f>
        <v>0.47</v>
      </c>
      <c r="S2942" s="1">
        <f t="shared" si="180"/>
        <v>68.150000000000006</v>
      </c>
      <c r="T2942" s="1">
        <f t="shared" si="181"/>
        <v>-1.3299999999999983</v>
      </c>
      <c r="U2942" s="1" t="str">
        <f t="shared" si="182"/>
        <v>OK</v>
      </c>
      <c r="V2942" s="1" t="str">
        <f>_xlfn.XLOOKUP(C2942,Payers!$A$2:$A$9,Payers!$B$2:$B$9)</f>
        <v>Keystone Commercial PPO</v>
      </c>
      <c r="W2942" s="1" t="str">
        <f t="shared" si="183"/>
        <v>2026-02</v>
      </c>
    </row>
    <row r="2943" spans="1:23">
      <c r="A2943" s="1" t="s">
        <v>4989</v>
      </c>
      <c r="B2943" s="1" t="s">
        <v>2793</v>
      </c>
      <c r="C2943" s="1" t="s">
        <v>52</v>
      </c>
      <c r="D2943" s="1" t="s">
        <v>26</v>
      </c>
      <c r="E2943" s="1" t="s">
        <v>41</v>
      </c>
      <c r="F2943">
        <v>1</v>
      </c>
      <c r="G2943" s="2">
        <v>46191</v>
      </c>
      <c r="H2943" s="2">
        <v>46207</v>
      </c>
      <c r="I2943">
        <v>37.880000000000003</v>
      </c>
      <c r="J2943">
        <v>18.5</v>
      </c>
      <c r="K2943">
        <v>16.649999999999999</v>
      </c>
      <c r="L2943">
        <v>1.85</v>
      </c>
      <c r="M2943" s="1" t="s">
        <v>21</v>
      </c>
      <c r="N2943" s="1" t="s">
        <v>22</v>
      </c>
      <c r="O2943" s="2">
        <v>46257</v>
      </c>
      <c r="P2943" s="2">
        <v>46257</v>
      </c>
      <c r="Q2943">
        <f>_xlfn.XLOOKUP(E2943,CPT!$A$2:$A$13,CPT!$D$2:$D$13)</f>
        <v>38</v>
      </c>
      <c r="R2943" s="1">
        <f>_xlfn.XLOOKUP(C2943,Contract!$A$2:$A$9,Contract!$B$2:$B$9)</f>
        <v>0.47</v>
      </c>
      <c r="S2943" s="1">
        <f t="shared" si="180"/>
        <v>17.86</v>
      </c>
      <c r="T2943" s="1">
        <f t="shared" si="181"/>
        <v>-0.64000000000000057</v>
      </c>
      <c r="U2943" s="1" t="str">
        <f t="shared" si="182"/>
        <v>OK</v>
      </c>
      <c r="V2943" s="1" t="str">
        <f>_xlfn.XLOOKUP(C2943,Payers!$A$2:$A$9,Payers!$B$2:$B$9)</f>
        <v>Keystone Commercial PPO</v>
      </c>
      <c r="W2943" s="1" t="str">
        <f t="shared" si="183"/>
        <v>2026-06</v>
      </c>
    </row>
    <row r="2944" spans="1:23">
      <c r="A2944" s="1" t="s">
        <v>4990</v>
      </c>
      <c r="B2944" s="1" t="s">
        <v>4991</v>
      </c>
      <c r="C2944" s="1" t="s">
        <v>18</v>
      </c>
      <c r="D2944" s="1" t="s">
        <v>30</v>
      </c>
      <c r="E2944" s="1" t="s">
        <v>20</v>
      </c>
      <c r="F2944">
        <v>1</v>
      </c>
      <c r="G2944" s="2">
        <v>46101</v>
      </c>
      <c r="H2944" s="2">
        <v>46103</v>
      </c>
      <c r="I2944">
        <v>146.35</v>
      </c>
      <c r="J2944">
        <v>57.8</v>
      </c>
      <c r="K2944">
        <v>57.8</v>
      </c>
      <c r="L2944">
        <v>0</v>
      </c>
      <c r="M2944" s="1" t="s">
        <v>21</v>
      </c>
      <c r="N2944" s="1" t="s">
        <v>22</v>
      </c>
      <c r="O2944" s="2">
        <v>46133</v>
      </c>
      <c r="P2944" s="2">
        <v>46133</v>
      </c>
      <c r="Q2944">
        <f>_xlfn.XLOOKUP(E2944,CPT!$A$2:$A$13,CPT!$D$2:$D$13)</f>
        <v>145</v>
      </c>
      <c r="R2944" s="1">
        <f>_xlfn.XLOOKUP(C2944,Contract!$A$2:$A$9,Contract!$B$2:$B$9)</f>
        <v>0.38</v>
      </c>
      <c r="S2944" s="1">
        <f t="shared" si="180"/>
        <v>55.1</v>
      </c>
      <c r="T2944" s="1">
        <f t="shared" si="181"/>
        <v>-2.6999999999999957</v>
      </c>
      <c r="U2944" s="1" t="str">
        <f t="shared" si="182"/>
        <v>OK</v>
      </c>
      <c r="V2944" s="1" t="str">
        <f>_xlfn.XLOOKUP(C2944,Payers!$A$2:$A$9,Payers!$B$2:$B$9)</f>
        <v>Sunshine Medicare Advantage</v>
      </c>
      <c r="W2944" s="1" t="str">
        <f t="shared" si="183"/>
        <v>2026-03</v>
      </c>
    </row>
    <row r="2945" spans="1:23">
      <c r="A2945" s="1" t="s">
        <v>4992</v>
      </c>
      <c r="B2945" s="1" t="s">
        <v>4993</v>
      </c>
      <c r="C2945" s="1" t="s">
        <v>36</v>
      </c>
      <c r="D2945" s="1" t="s">
        <v>26</v>
      </c>
      <c r="E2945" s="1" t="s">
        <v>88</v>
      </c>
      <c r="F2945">
        <v>1</v>
      </c>
      <c r="G2945" s="2">
        <v>46244</v>
      </c>
      <c r="H2945" s="2">
        <v>46249</v>
      </c>
      <c r="I2945">
        <v>255.32</v>
      </c>
      <c r="J2945">
        <v>67.34</v>
      </c>
      <c r="K2945">
        <v>67.34</v>
      </c>
      <c r="L2945">
        <v>0</v>
      </c>
      <c r="M2945" s="1" t="s">
        <v>21</v>
      </c>
      <c r="N2945" s="1" t="s">
        <v>22</v>
      </c>
      <c r="O2945" s="2">
        <v>46278</v>
      </c>
      <c r="P2945" s="2">
        <v>46278</v>
      </c>
      <c r="Q2945">
        <f>_xlfn.XLOOKUP(E2945,CPT!$A$2:$A$13,CPT!$D$2:$D$13)</f>
        <v>260</v>
      </c>
      <c r="R2945" s="1">
        <f>_xlfn.XLOOKUP(C2945,Contract!$A$2:$A$9,Contract!$B$2:$B$9)</f>
        <v>0.27</v>
      </c>
      <c r="S2945" s="1">
        <f t="shared" si="180"/>
        <v>70.2</v>
      </c>
      <c r="T2945" s="1">
        <f t="shared" si="181"/>
        <v>2.8599999999999994</v>
      </c>
      <c r="U2945" s="1" t="str">
        <f t="shared" si="182"/>
        <v>OK</v>
      </c>
      <c r="V2945" s="1" t="str">
        <f>_xlfn.XLOOKUP(C2945,Payers!$A$2:$A$9,Payers!$B$2:$B$9)</f>
        <v>Florida Medicaid</v>
      </c>
      <c r="W2945" s="1" t="str">
        <f t="shared" si="183"/>
        <v>2026-08</v>
      </c>
    </row>
    <row r="2946" spans="1:23">
      <c r="A2946" s="1" t="s">
        <v>4994</v>
      </c>
      <c r="B2946" s="1" t="s">
        <v>1287</v>
      </c>
      <c r="C2946" s="1" t="s">
        <v>60</v>
      </c>
      <c r="D2946" s="1" t="s">
        <v>19</v>
      </c>
      <c r="E2946" s="1" t="s">
        <v>41</v>
      </c>
      <c r="F2946">
        <v>1</v>
      </c>
      <c r="G2946" s="2">
        <v>45976</v>
      </c>
      <c r="H2946" s="2">
        <v>45990</v>
      </c>
      <c r="I2946">
        <v>38.159999999999997</v>
      </c>
      <c r="J2946">
        <v>15.63</v>
      </c>
      <c r="K2946">
        <v>15.63</v>
      </c>
      <c r="L2946">
        <v>0</v>
      </c>
      <c r="M2946" s="1" t="s">
        <v>21</v>
      </c>
      <c r="N2946" s="1" t="s">
        <v>22</v>
      </c>
      <c r="O2946" s="2">
        <v>46018</v>
      </c>
      <c r="P2946" s="2">
        <v>46018</v>
      </c>
      <c r="Q2946">
        <f>_xlfn.XLOOKUP(E2946,CPT!$A$2:$A$13,CPT!$D$2:$D$13)</f>
        <v>38</v>
      </c>
      <c r="R2946" s="1">
        <f>_xlfn.XLOOKUP(C2946,Contract!$A$2:$A$9,Contract!$B$2:$B$9)</f>
        <v>0.45</v>
      </c>
      <c r="S2946" s="1">
        <f t="shared" ref="S2946:S3009" si="184">ROUND(Q2946*F2946*R2946,2)</f>
        <v>17.100000000000001</v>
      </c>
      <c r="T2946" s="1">
        <f t="shared" ref="T2946:T3009" si="185">IF(M2946="Paid",S2946-J2946,"")</f>
        <v>1.4700000000000006</v>
      </c>
      <c r="U2946" s="1" t="str">
        <f t="shared" ref="U2946:U3009" si="186">IF(M2946&lt;&gt;"Paid","",IF(T2946&gt;S2946*0.05,"Underpaid","OK"))</f>
        <v>Underpaid</v>
      </c>
      <c r="V2946" s="1" t="str">
        <f>_xlfn.XLOOKUP(C2946,Payers!$A$2:$A$9,Payers!$B$2:$B$9)</f>
        <v>Blue Horizon Commercial</v>
      </c>
      <c r="W2946" s="1" t="str">
        <f t="shared" ref="W2946:W3009" si="187">TEXT(G2946,"yyyy-mm")</f>
        <v>2025-11</v>
      </c>
    </row>
    <row r="2947" spans="1:23">
      <c r="A2947" s="1" t="s">
        <v>4995</v>
      </c>
      <c r="B2947" s="1" t="s">
        <v>4996</v>
      </c>
      <c r="C2947" s="1" t="s">
        <v>25</v>
      </c>
      <c r="D2947" s="1" t="s">
        <v>37</v>
      </c>
      <c r="E2947" s="1" t="s">
        <v>48</v>
      </c>
      <c r="F2947">
        <v>1</v>
      </c>
      <c r="G2947" s="2">
        <v>45951</v>
      </c>
      <c r="H2947" s="2">
        <v>45953</v>
      </c>
      <c r="I2947">
        <v>415.49</v>
      </c>
      <c r="J2947">
        <v>163.44</v>
      </c>
      <c r="K2947">
        <v>130.75</v>
      </c>
      <c r="L2947">
        <v>32.69</v>
      </c>
      <c r="M2947" s="1" t="s">
        <v>21</v>
      </c>
      <c r="N2947" s="1" t="s">
        <v>22</v>
      </c>
      <c r="O2947" s="2">
        <v>45972</v>
      </c>
      <c r="P2947" s="2">
        <v>45972</v>
      </c>
      <c r="Q2947">
        <f>_xlfn.XLOOKUP(E2947,CPT!$A$2:$A$13,CPT!$D$2:$D$13)</f>
        <v>420</v>
      </c>
      <c r="R2947" s="1">
        <f>_xlfn.XLOOKUP(C2947,Contract!$A$2:$A$9,Contract!$B$2:$B$9)</f>
        <v>0.36</v>
      </c>
      <c r="S2947" s="1">
        <f t="shared" si="184"/>
        <v>151.19999999999999</v>
      </c>
      <c r="T2947" s="1">
        <f t="shared" si="185"/>
        <v>-12.240000000000009</v>
      </c>
      <c r="U2947" s="1" t="str">
        <f t="shared" si="186"/>
        <v>OK</v>
      </c>
      <c r="V2947" s="1" t="str">
        <f>_xlfn.XLOOKUP(C2947,Payers!$A$2:$A$9,Payers!$B$2:$B$9)</f>
        <v>Medicare Part B</v>
      </c>
      <c r="W2947" s="1" t="str">
        <f t="shared" si="187"/>
        <v>2025-10</v>
      </c>
    </row>
    <row r="2948" spans="1:23">
      <c r="A2948" s="1" t="s">
        <v>4997</v>
      </c>
      <c r="B2948" s="1" t="s">
        <v>1689</v>
      </c>
      <c r="C2948" s="1" t="s">
        <v>36</v>
      </c>
      <c r="D2948" s="1" t="s">
        <v>26</v>
      </c>
      <c r="E2948" s="1" t="s">
        <v>185</v>
      </c>
      <c r="F2948">
        <v>1</v>
      </c>
      <c r="G2948" s="2">
        <v>46022</v>
      </c>
      <c r="H2948" s="2">
        <v>46023</v>
      </c>
      <c r="I2948">
        <v>1144.72</v>
      </c>
      <c r="M2948" s="1" t="s">
        <v>32</v>
      </c>
      <c r="N2948" s="1" t="s">
        <v>33</v>
      </c>
      <c r="O2948" s="2">
        <v>46071</v>
      </c>
      <c r="P2948" s="2"/>
      <c r="Q2948">
        <f>_xlfn.XLOOKUP(E2948,CPT!$A$2:$A$13,CPT!$D$2:$D$13)</f>
        <v>1150</v>
      </c>
      <c r="R2948" s="1">
        <f>_xlfn.XLOOKUP(C2948,Contract!$A$2:$A$9,Contract!$B$2:$B$9)</f>
        <v>0.27</v>
      </c>
      <c r="S2948" s="1">
        <f t="shared" si="184"/>
        <v>310.5</v>
      </c>
      <c r="T2948" s="1" t="str">
        <f t="shared" si="185"/>
        <v/>
      </c>
      <c r="U2948" s="1" t="str">
        <f t="shared" si="186"/>
        <v/>
      </c>
      <c r="V2948" s="1" t="str">
        <f>_xlfn.XLOOKUP(C2948,Payers!$A$2:$A$9,Payers!$B$2:$B$9)</f>
        <v>Florida Medicaid</v>
      </c>
      <c r="W2948" s="1" t="str">
        <f t="shared" si="187"/>
        <v>2025-12</v>
      </c>
    </row>
    <row r="2949" spans="1:23">
      <c r="A2949" s="1" t="s">
        <v>4998</v>
      </c>
      <c r="B2949" s="1" t="s">
        <v>2550</v>
      </c>
      <c r="C2949" s="1" t="s">
        <v>76</v>
      </c>
      <c r="D2949" s="1" t="s">
        <v>37</v>
      </c>
      <c r="E2949" s="1" t="s">
        <v>38</v>
      </c>
      <c r="F2949">
        <v>5</v>
      </c>
      <c r="G2949" s="2">
        <v>46119</v>
      </c>
      <c r="H2949" s="2">
        <v>46123</v>
      </c>
      <c r="I2949">
        <v>7229.15</v>
      </c>
      <c r="M2949" s="1" t="s">
        <v>32</v>
      </c>
      <c r="N2949" s="1" t="s">
        <v>315</v>
      </c>
      <c r="O2949" s="2">
        <v>46153</v>
      </c>
      <c r="P2949" s="2"/>
      <c r="Q2949">
        <f>_xlfn.XLOOKUP(E2949,CPT!$A$2:$A$13,CPT!$D$2:$D$13)</f>
        <v>1450</v>
      </c>
      <c r="R2949" s="1">
        <f>_xlfn.XLOOKUP(C2949,Contract!$A$2:$A$9,Contract!$B$2:$B$9)</f>
        <v>0.43</v>
      </c>
      <c r="S2949" s="1">
        <f t="shared" si="184"/>
        <v>3117.5</v>
      </c>
      <c r="T2949" s="1" t="str">
        <f t="shared" si="185"/>
        <v/>
      </c>
      <c r="U2949" s="1" t="str">
        <f t="shared" si="186"/>
        <v/>
      </c>
      <c r="V2949" s="1" t="str">
        <f>_xlfn.XLOOKUP(C2949,Payers!$A$2:$A$9,Payers!$B$2:$B$9)</f>
        <v>Summit Health Commercial</v>
      </c>
      <c r="W2949" s="1" t="str">
        <f t="shared" si="187"/>
        <v>2026-04</v>
      </c>
    </row>
    <row r="2950" spans="1:23">
      <c r="A2950" s="1" t="s">
        <v>4999</v>
      </c>
      <c r="B2950" s="1" t="s">
        <v>3890</v>
      </c>
      <c r="C2950" s="1" t="s">
        <v>36</v>
      </c>
      <c r="D2950" s="1" t="s">
        <v>30</v>
      </c>
      <c r="E2950" s="1" t="s">
        <v>31</v>
      </c>
      <c r="F2950">
        <v>4</v>
      </c>
      <c r="G2950" s="2">
        <v>46221</v>
      </c>
      <c r="H2950" s="2">
        <v>46227</v>
      </c>
      <c r="I2950">
        <v>244.68</v>
      </c>
      <c r="J2950">
        <v>71.37</v>
      </c>
      <c r="K2950">
        <v>57.1</v>
      </c>
      <c r="L2950">
        <v>14.27</v>
      </c>
      <c r="M2950" s="1" t="s">
        <v>21</v>
      </c>
      <c r="N2950" s="1" t="s">
        <v>22</v>
      </c>
      <c r="O2950" s="2">
        <v>46260</v>
      </c>
      <c r="P2950" s="2">
        <v>46260</v>
      </c>
      <c r="Q2950">
        <f>_xlfn.XLOOKUP(E2950,CPT!$A$2:$A$13,CPT!$D$2:$D$13)</f>
        <v>62</v>
      </c>
      <c r="R2950" s="1">
        <f>_xlfn.XLOOKUP(C2950,Contract!$A$2:$A$9,Contract!$B$2:$B$9)</f>
        <v>0.27</v>
      </c>
      <c r="S2950" s="1">
        <f t="shared" si="184"/>
        <v>66.959999999999994</v>
      </c>
      <c r="T2950" s="1">
        <f t="shared" si="185"/>
        <v>-4.4100000000000108</v>
      </c>
      <c r="U2950" s="1" t="str">
        <f t="shared" si="186"/>
        <v>OK</v>
      </c>
      <c r="V2950" s="1" t="str">
        <f>_xlfn.XLOOKUP(C2950,Payers!$A$2:$A$9,Payers!$B$2:$B$9)</f>
        <v>Florida Medicaid</v>
      </c>
      <c r="W2950" s="1" t="str">
        <f t="shared" si="187"/>
        <v>2026-07</v>
      </c>
    </row>
    <row r="2951" spans="1:23">
      <c r="A2951" s="1" t="s">
        <v>5000</v>
      </c>
      <c r="B2951" s="1" t="s">
        <v>1971</v>
      </c>
      <c r="C2951" s="1" t="s">
        <v>52</v>
      </c>
      <c r="D2951" s="1" t="s">
        <v>37</v>
      </c>
      <c r="E2951" s="1" t="s">
        <v>57</v>
      </c>
      <c r="F2951">
        <v>1</v>
      </c>
      <c r="G2951" s="2">
        <v>46219</v>
      </c>
      <c r="H2951" s="2">
        <v>46221</v>
      </c>
      <c r="I2951">
        <v>204.69</v>
      </c>
      <c r="M2951" s="1" t="s">
        <v>32</v>
      </c>
      <c r="N2951" s="1" t="s">
        <v>33</v>
      </c>
      <c r="O2951" s="2">
        <v>46256</v>
      </c>
      <c r="P2951" s="2"/>
      <c r="Q2951">
        <f>_xlfn.XLOOKUP(E2951,CPT!$A$2:$A$13,CPT!$D$2:$D$13)</f>
        <v>210</v>
      </c>
      <c r="R2951" s="1">
        <f>_xlfn.XLOOKUP(C2951,Contract!$A$2:$A$9,Contract!$B$2:$B$9)</f>
        <v>0.47</v>
      </c>
      <c r="S2951" s="1">
        <f t="shared" si="184"/>
        <v>98.7</v>
      </c>
      <c r="T2951" s="1" t="str">
        <f t="shared" si="185"/>
        <v/>
      </c>
      <c r="U2951" s="1" t="str">
        <f t="shared" si="186"/>
        <v/>
      </c>
      <c r="V2951" s="1" t="str">
        <f>_xlfn.XLOOKUP(C2951,Payers!$A$2:$A$9,Payers!$B$2:$B$9)</f>
        <v>Keystone Commercial PPO</v>
      </c>
      <c r="W2951" s="1" t="str">
        <f t="shared" si="187"/>
        <v>2026-07</v>
      </c>
    </row>
    <row r="2952" spans="1:23">
      <c r="A2952" s="1" t="s">
        <v>5001</v>
      </c>
      <c r="B2952" s="1" t="s">
        <v>4685</v>
      </c>
      <c r="C2952" s="1" t="s">
        <v>52</v>
      </c>
      <c r="D2952" s="1" t="s">
        <v>26</v>
      </c>
      <c r="E2952" s="1" t="s">
        <v>57</v>
      </c>
      <c r="F2952">
        <v>1</v>
      </c>
      <c r="G2952" s="2">
        <v>46287</v>
      </c>
      <c r="H2952" s="2">
        <v>46292</v>
      </c>
      <c r="I2952">
        <v>204.66</v>
      </c>
      <c r="M2952" s="1" t="s">
        <v>69</v>
      </c>
      <c r="N2952" s="1" t="s">
        <v>22</v>
      </c>
      <c r="O2952" s="2"/>
      <c r="P2952" s="2"/>
      <c r="Q2952">
        <f>_xlfn.XLOOKUP(E2952,CPT!$A$2:$A$13,CPT!$D$2:$D$13)</f>
        <v>210</v>
      </c>
      <c r="R2952" s="1">
        <f>_xlfn.XLOOKUP(C2952,Contract!$A$2:$A$9,Contract!$B$2:$B$9)</f>
        <v>0.47</v>
      </c>
      <c r="S2952" s="1">
        <f t="shared" si="184"/>
        <v>98.7</v>
      </c>
      <c r="T2952" s="1" t="str">
        <f t="shared" si="185"/>
        <v/>
      </c>
      <c r="U2952" s="1" t="str">
        <f t="shared" si="186"/>
        <v/>
      </c>
      <c r="V2952" s="1" t="str">
        <f>_xlfn.XLOOKUP(C2952,Payers!$A$2:$A$9,Payers!$B$2:$B$9)</f>
        <v>Keystone Commercial PPO</v>
      </c>
      <c r="W2952" s="1" t="str">
        <f t="shared" si="187"/>
        <v>2026-09</v>
      </c>
    </row>
    <row r="2953" spans="1:23">
      <c r="A2953" s="1" t="s">
        <v>5002</v>
      </c>
      <c r="B2953" s="1" t="s">
        <v>2295</v>
      </c>
      <c r="C2953" s="1" t="s">
        <v>76</v>
      </c>
      <c r="D2953" s="1" t="s">
        <v>26</v>
      </c>
      <c r="E2953" s="1" t="s">
        <v>27</v>
      </c>
      <c r="F2953">
        <v>1</v>
      </c>
      <c r="G2953" s="2">
        <v>45948</v>
      </c>
      <c r="H2953" s="2">
        <v>45949</v>
      </c>
      <c r="I2953">
        <v>243.36</v>
      </c>
      <c r="J2953">
        <v>115.52</v>
      </c>
      <c r="K2953">
        <v>92.42</v>
      </c>
      <c r="L2953">
        <v>23.1</v>
      </c>
      <c r="M2953" s="1" t="s">
        <v>21</v>
      </c>
      <c r="N2953" s="1" t="s">
        <v>22</v>
      </c>
      <c r="O2953" s="2">
        <v>45970</v>
      </c>
      <c r="P2953" s="2">
        <v>45970</v>
      </c>
      <c r="Q2953">
        <f>_xlfn.XLOOKUP(E2953,CPT!$A$2:$A$13,CPT!$D$2:$D$13)</f>
        <v>240</v>
      </c>
      <c r="R2953" s="1">
        <f>_xlfn.XLOOKUP(C2953,Contract!$A$2:$A$9,Contract!$B$2:$B$9)</f>
        <v>0.43</v>
      </c>
      <c r="S2953" s="1">
        <f t="shared" si="184"/>
        <v>103.2</v>
      </c>
      <c r="T2953" s="1">
        <f t="shared" si="185"/>
        <v>-12.319999999999993</v>
      </c>
      <c r="U2953" s="1" t="str">
        <f t="shared" si="186"/>
        <v>OK</v>
      </c>
      <c r="V2953" s="1" t="str">
        <f>_xlfn.XLOOKUP(C2953,Payers!$A$2:$A$9,Payers!$B$2:$B$9)</f>
        <v>Summit Health Commercial</v>
      </c>
      <c r="W2953" s="1" t="str">
        <f t="shared" si="187"/>
        <v>2025-10</v>
      </c>
    </row>
    <row r="2954" spans="1:23">
      <c r="A2954" s="1" t="s">
        <v>5003</v>
      </c>
      <c r="B2954" s="1" t="s">
        <v>117</v>
      </c>
      <c r="C2954" s="1" t="s">
        <v>60</v>
      </c>
      <c r="D2954" s="1" t="s">
        <v>19</v>
      </c>
      <c r="E2954" s="1" t="s">
        <v>41</v>
      </c>
      <c r="F2954">
        <v>1</v>
      </c>
      <c r="G2954" s="2">
        <v>46244</v>
      </c>
      <c r="H2954" s="2">
        <v>46245</v>
      </c>
      <c r="I2954">
        <v>37.450000000000003</v>
      </c>
      <c r="M2954" s="1" t="s">
        <v>32</v>
      </c>
      <c r="N2954" s="1" t="s">
        <v>98</v>
      </c>
      <c r="O2954" s="2">
        <v>46278</v>
      </c>
      <c r="P2954" s="2"/>
      <c r="Q2954">
        <f>_xlfn.XLOOKUP(E2954,CPT!$A$2:$A$13,CPT!$D$2:$D$13)</f>
        <v>38</v>
      </c>
      <c r="R2954" s="1">
        <f>_xlfn.XLOOKUP(C2954,Contract!$A$2:$A$9,Contract!$B$2:$B$9)</f>
        <v>0.45</v>
      </c>
      <c r="S2954" s="1">
        <f t="shared" si="184"/>
        <v>17.100000000000001</v>
      </c>
      <c r="T2954" s="1" t="str">
        <f t="shared" si="185"/>
        <v/>
      </c>
      <c r="U2954" s="1" t="str">
        <f t="shared" si="186"/>
        <v/>
      </c>
      <c r="V2954" s="1" t="str">
        <f>_xlfn.XLOOKUP(C2954,Payers!$A$2:$A$9,Payers!$B$2:$B$9)</f>
        <v>Blue Horizon Commercial</v>
      </c>
      <c r="W2954" s="1" t="str">
        <f t="shared" si="187"/>
        <v>2026-08</v>
      </c>
    </row>
    <row r="2955" spans="1:23">
      <c r="A2955" s="1" t="s">
        <v>5004</v>
      </c>
      <c r="B2955" s="1" t="s">
        <v>5005</v>
      </c>
      <c r="C2955" s="1" t="s">
        <v>25</v>
      </c>
      <c r="D2955" s="1" t="s">
        <v>26</v>
      </c>
      <c r="E2955" s="1" t="s">
        <v>113</v>
      </c>
      <c r="F2955">
        <v>1</v>
      </c>
      <c r="G2955" s="2">
        <v>46070</v>
      </c>
      <c r="H2955" s="2">
        <v>46081</v>
      </c>
      <c r="I2955">
        <v>1032.8499999999999</v>
      </c>
      <c r="J2955">
        <v>345.52</v>
      </c>
      <c r="K2955">
        <v>345.52</v>
      </c>
      <c r="L2955">
        <v>0</v>
      </c>
      <c r="M2955" s="1" t="s">
        <v>21</v>
      </c>
      <c r="N2955" s="1" t="s">
        <v>22</v>
      </c>
      <c r="O2955" s="2">
        <v>46086</v>
      </c>
      <c r="P2955" s="2">
        <v>46086</v>
      </c>
      <c r="Q2955">
        <f>_xlfn.XLOOKUP(E2955,CPT!$A$2:$A$13,CPT!$D$2:$D$13)</f>
        <v>1050</v>
      </c>
      <c r="R2955" s="1">
        <f>_xlfn.XLOOKUP(C2955,Contract!$A$2:$A$9,Contract!$B$2:$B$9)</f>
        <v>0.36</v>
      </c>
      <c r="S2955" s="1">
        <f t="shared" si="184"/>
        <v>378</v>
      </c>
      <c r="T2955" s="1">
        <f t="shared" si="185"/>
        <v>32.480000000000018</v>
      </c>
      <c r="U2955" s="1" t="str">
        <f t="shared" si="186"/>
        <v>Underpaid</v>
      </c>
      <c r="V2955" s="1" t="str">
        <f>_xlfn.XLOOKUP(C2955,Payers!$A$2:$A$9,Payers!$B$2:$B$9)</f>
        <v>Medicare Part B</v>
      </c>
      <c r="W2955" s="1" t="str">
        <f t="shared" si="187"/>
        <v>2026-02</v>
      </c>
    </row>
    <row r="2956" spans="1:23">
      <c r="A2956" s="1" t="s">
        <v>5006</v>
      </c>
      <c r="B2956" s="1" t="s">
        <v>4378</v>
      </c>
      <c r="C2956" s="1" t="s">
        <v>60</v>
      </c>
      <c r="D2956" s="1" t="s">
        <v>37</v>
      </c>
      <c r="E2956" s="1" t="s">
        <v>38</v>
      </c>
      <c r="F2956">
        <v>30</v>
      </c>
      <c r="G2956" s="2">
        <v>46005</v>
      </c>
      <c r="H2956" s="2">
        <v>46009</v>
      </c>
      <c r="I2956">
        <v>44229.55</v>
      </c>
      <c r="J2956">
        <v>18002.009999999998</v>
      </c>
      <c r="K2956">
        <v>18002.009999999998</v>
      </c>
      <c r="L2956">
        <v>0</v>
      </c>
      <c r="M2956" s="1" t="s">
        <v>21</v>
      </c>
      <c r="N2956" s="1" t="s">
        <v>22</v>
      </c>
      <c r="O2956" s="2">
        <v>46035</v>
      </c>
      <c r="P2956" s="2">
        <v>46035</v>
      </c>
      <c r="Q2956">
        <f>_xlfn.XLOOKUP(E2956,CPT!$A$2:$A$13,CPT!$D$2:$D$13)</f>
        <v>1450</v>
      </c>
      <c r="R2956" s="1">
        <f>_xlfn.XLOOKUP(C2956,Contract!$A$2:$A$9,Contract!$B$2:$B$9)</f>
        <v>0.45</v>
      </c>
      <c r="S2956" s="1">
        <f t="shared" si="184"/>
        <v>19575</v>
      </c>
      <c r="T2956" s="1">
        <f t="shared" si="185"/>
        <v>1572.9900000000016</v>
      </c>
      <c r="U2956" s="1" t="str">
        <f t="shared" si="186"/>
        <v>Underpaid</v>
      </c>
      <c r="V2956" s="1" t="str">
        <f>_xlfn.XLOOKUP(C2956,Payers!$A$2:$A$9,Payers!$B$2:$B$9)</f>
        <v>Blue Horizon Commercial</v>
      </c>
      <c r="W2956" s="1" t="str">
        <f t="shared" si="187"/>
        <v>2025-12</v>
      </c>
    </row>
    <row r="2957" spans="1:23">
      <c r="A2957" s="1" t="s">
        <v>5007</v>
      </c>
      <c r="B2957" s="1" t="s">
        <v>66</v>
      </c>
      <c r="C2957" s="1" t="s">
        <v>36</v>
      </c>
      <c r="D2957" s="1" t="s">
        <v>26</v>
      </c>
      <c r="E2957" s="1" t="s">
        <v>27</v>
      </c>
      <c r="F2957">
        <v>1</v>
      </c>
      <c r="G2957" s="2">
        <v>46189</v>
      </c>
      <c r="H2957" s="2">
        <v>46194</v>
      </c>
      <c r="I2957">
        <v>240.66</v>
      </c>
      <c r="J2957">
        <v>72.94</v>
      </c>
      <c r="K2957">
        <v>72.94</v>
      </c>
      <c r="L2957">
        <v>0</v>
      </c>
      <c r="M2957" s="1" t="s">
        <v>21</v>
      </c>
      <c r="N2957" s="1" t="s">
        <v>22</v>
      </c>
      <c r="O2957" s="2">
        <v>46249</v>
      </c>
      <c r="P2957" s="2">
        <v>46249</v>
      </c>
      <c r="Q2957">
        <f>_xlfn.XLOOKUP(E2957,CPT!$A$2:$A$13,CPT!$D$2:$D$13)</f>
        <v>240</v>
      </c>
      <c r="R2957" s="1">
        <f>_xlfn.XLOOKUP(C2957,Contract!$A$2:$A$9,Contract!$B$2:$B$9)</f>
        <v>0.27</v>
      </c>
      <c r="S2957" s="1">
        <f t="shared" si="184"/>
        <v>64.8</v>
      </c>
      <c r="T2957" s="1">
        <f t="shared" si="185"/>
        <v>-8.14</v>
      </c>
      <c r="U2957" s="1" t="str">
        <f t="shared" si="186"/>
        <v>OK</v>
      </c>
      <c r="V2957" s="1" t="str">
        <f>_xlfn.XLOOKUP(C2957,Payers!$A$2:$A$9,Payers!$B$2:$B$9)</f>
        <v>Florida Medicaid</v>
      </c>
      <c r="W2957" s="1" t="str">
        <f t="shared" si="187"/>
        <v>2026-06</v>
      </c>
    </row>
    <row r="2958" spans="1:23">
      <c r="A2958" s="1" t="s">
        <v>5008</v>
      </c>
      <c r="B2958" s="1" t="s">
        <v>704</v>
      </c>
      <c r="C2958" s="1" t="s">
        <v>25</v>
      </c>
      <c r="D2958" s="1" t="s">
        <v>30</v>
      </c>
      <c r="E2958" s="1" t="s">
        <v>20</v>
      </c>
      <c r="F2958">
        <v>1</v>
      </c>
      <c r="G2958" s="2">
        <v>46120</v>
      </c>
      <c r="H2958" s="2">
        <v>46133</v>
      </c>
      <c r="I2958">
        <v>144.55000000000001</v>
      </c>
      <c r="J2958">
        <v>52.08</v>
      </c>
      <c r="K2958">
        <v>46.87</v>
      </c>
      <c r="L2958">
        <v>5.21</v>
      </c>
      <c r="M2958" s="1" t="s">
        <v>21</v>
      </c>
      <c r="N2958" s="1" t="s">
        <v>22</v>
      </c>
      <c r="O2958" s="2">
        <v>46149</v>
      </c>
      <c r="P2958" s="2">
        <v>46149</v>
      </c>
      <c r="Q2958">
        <f>_xlfn.XLOOKUP(E2958,CPT!$A$2:$A$13,CPT!$D$2:$D$13)</f>
        <v>145</v>
      </c>
      <c r="R2958" s="1">
        <f>_xlfn.XLOOKUP(C2958,Contract!$A$2:$A$9,Contract!$B$2:$B$9)</f>
        <v>0.36</v>
      </c>
      <c r="S2958" s="1">
        <f t="shared" si="184"/>
        <v>52.2</v>
      </c>
      <c r="T2958" s="1">
        <f t="shared" si="185"/>
        <v>0.12000000000000455</v>
      </c>
      <c r="U2958" s="1" t="str">
        <f t="shared" si="186"/>
        <v>OK</v>
      </c>
      <c r="V2958" s="1" t="str">
        <f>_xlfn.XLOOKUP(C2958,Payers!$A$2:$A$9,Payers!$B$2:$B$9)</f>
        <v>Medicare Part B</v>
      </c>
      <c r="W2958" s="1" t="str">
        <f t="shared" si="187"/>
        <v>2026-04</v>
      </c>
    </row>
    <row r="2959" spans="1:23">
      <c r="A2959" s="1" t="s">
        <v>5009</v>
      </c>
      <c r="B2959" s="1" t="s">
        <v>56</v>
      </c>
      <c r="C2959" s="1" t="s">
        <v>76</v>
      </c>
      <c r="D2959" s="1" t="s">
        <v>19</v>
      </c>
      <c r="E2959" s="1" t="s">
        <v>57</v>
      </c>
      <c r="F2959">
        <v>1</v>
      </c>
      <c r="G2959" s="2">
        <v>46120</v>
      </c>
      <c r="H2959" s="2">
        <v>46125</v>
      </c>
      <c r="I2959">
        <v>208.68</v>
      </c>
      <c r="J2959">
        <v>98.57</v>
      </c>
      <c r="K2959">
        <v>88.71</v>
      </c>
      <c r="L2959">
        <v>9.86</v>
      </c>
      <c r="M2959" s="1" t="s">
        <v>21</v>
      </c>
      <c r="N2959" s="1" t="s">
        <v>22</v>
      </c>
      <c r="O2959" s="2">
        <v>46153</v>
      </c>
      <c r="P2959" s="2">
        <v>46153</v>
      </c>
      <c r="Q2959">
        <f>_xlfn.XLOOKUP(E2959,CPT!$A$2:$A$13,CPT!$D$2:$D$13)</f>
        <v>210</v>
      </c>
      <c r="R2959" s="1">
        <f>_xlfn.XLOOKUP(C2959,Contract!$A$2:$A$9,Contract!$B$2:$B$9)</f>
        <v>0.43</v>
      </c>
      <c r="S2959" s="1">
        <f t="shared" si="184"/>
        <v>90.3</v>
      </c>
      <c r="T2959" s="1">
        <f t="shared" si="185"/>
        <v>-8.269999999999996</v>
      </c>
      <c r="U2959" s="1" t="str">
        <f t="shared" si="186"/>
        <v>OK</v>
      </c>
      <c r="V2959" s="1" t="str">
        <f>_xlfn.XLOOKUP(C2959,Payers!$A$2:$A$9,Payers!$B$2:$B$9)</f>
        <v>Summit Health Commercial</v>
      </c>
      <c r="W2959" s="1" t="str">
        <f t="shared" si="187"/>
        <v>2026-04</v>
      </c>
    </row>
    <row r="2960" spans="1:23">
      <c r="A2960" s="1" t="s">
        <v>5010</v>
      </c>
      <c r="B2960" s="1" t="s">
        <v>3595</v>
      </c>
      <c r="C2960" s="1" t="s">
        <v>60</v>
      </c>
      <c r="D2960" s="1" t="s">
        <v>30</v>
      </c>
      <c r="E2960" s="1" t="s">
        <v>20</v>
      </c>
      <c r="F2960">
        <v>1</v>
      </c>
      <c r="G2960" s="2">
        <v>46026</v>
      </c>
      <c r="H2960" s="2">
        <v>46038</v>
      </c>
      <c r="I2960">
        <v>143.28</v>
      </c>
      <c r="J2960">
        <v>74.290000000000006</v>
      </c>
      <c r="K2960">
        <v>74.290000000000006</v>
      </c>
      <c r="L2960">
        <v>0</v>
      </c>
      <c r="M2960" s="1" t="s">
        <v>21</v>
      </c>
      <c r="N2960" s="1" t="s">
        <v>22</v>
      </c>
      <c r="O2960" s="2">
        <v>46071</v>
      </c>
      <c r="P2960" s="2">
        <v>46071</v>
      </c>
      <c r="Q2960">
        <f>_xlfn.XLOOKUP(E2960,CPT!$A$2:$A$13,CPT!$D$2:$D$13)</f>
        <v>145</v>
      </c>
      <c r="R2960" s="1">
        <f>_xlfn.XLOOKUP(C2960,Contract!$A$2:$A$9,Contract!$B$2:$B$9)</f>
        <v>0.45</v>
      </c>
      <c r="S2960" s="1">
        <f t="shared" si="184"/>
        <v>65.25</v>
      </c>
      <c r="T2960" s="1">
        <f t="shared" si="185"/>
        <v>-9.0400000000000063</v>
      </c>
      <c r="U2960" s="1" t="str">
        <f t="shared" si="186"/>
        <v>OK</v>
      </c>
      <c r="V2960" s="1" t="str">
        <f>_xlfn.XLOOKUP(C2960,Payers!$A$2:$A$9,Payers!$B$2:$B$9)</f>
        <v>Blue Horizon Commercial</v>
      </c>
      <c r="W2960" s="1" t="str">
        <f t="shared" si="187"/>
        <v>2026-01</v>
      </c>
    </row>
    <row r="2961" spans="1:23">
      <c r="A2961" s="1" t="s">
        <v>5011</v>
      </c>
      <c r="B2961" s="1" t="s">
        <v>5012</v>
      </c>
      <c r="C2961" s="1" t="s">
        <v>76</v>
      </c>
      <c r="D2961" s="1" t="s">
        <v>26</v>
      </c>
      <c r="E2961" s="1" t="s">
        <v>41</v>
      </c>
      <c r="F2961">
        <v>1</v>
      </c>
      <c r="G2961" s="2">
        <v>46130</v>
      </c>
      <c r="H2961" s="2">
        <v>46135</v>
      </c>
      <c r="I2961">
        <v>38.28</v>
      </c>
      <c r="J2961">
        <v>15.09</v>
      </c>
      <c r="K2961">
        <v>13.58</v>
      </c>
      <c r="L2961">
        <v>1.51</v>
      </c>
      <c r="M2961" s="1" t="s">
        <v>21</v>
      </c>
      <c r="N2961" s="1" t="s">
        <v>22</v>
      </c>
      <c r="O2961" s="2">
        <v>46167</v>
      </c>
      <c r="P2961" s="2">
        <v>46167</v>
      </c>
      <c r="Q2961">
        <f>_xlfn.XLOOKUP(E2961,CPT!$A$2:$A$13,CPT!$D$2:$D$13)</f>
        <v>38</v>
      </c>
      <c r="R2961" s="1">
        <f>_xlfn.XLOOKUP(C2961,Contract!$A$2:$A$9,Contract!$B$2:$B$9)</f>
        <v>0.43</v>
      </c>
      <c r="S2961" s="1">
        <f t="shared" si="184"/>
        <v>16.34</v>
      </c>
      <c r="T2961" s="1">
        <f t="shared" si="185"/>
        <v>1.25</v>
      </c>
      <c r="U2961" s="1" t="str">
        <f t="shared" si="186"/>
        <v>Underpaid</v>
      </c>
      <c r="V2961" s="1" t="str">
        <f>_xlfn.XLOOKUP(C2961,Payers!$A$2:$A$9,Payers!$B$2:$B$9)</f>
        <v>Summit Health Commercial</v>
      </c>
      <c r="W2961" s="1" t="str">
        <f t="shared" si="187"/>
        <v>2026-04</v>
      </c>
    </row>
    <row r="2962" spans="1:23">
      <c r="A2962" s="1" t="s">
        <v>5013</v>
      </c>
      <c r="B2962" s="1" t="s">
        <v>5014</v>
      </c>
      <c r="C2962" s="1" t="s">
        <v>18</v>
      </c>
      <c r="D2962" s="1" t="s">
        <v>19</v>
      </c>
      <c r="E2962" s="1" t="s">
        <v>20</v>
      </c>
      <c r="F2962">
        <v>1</v>
      </c>
      <c r="G2962" s="2">
        <v>46057</v>
      </c>
      <c r="H2962" s="2">
        <v>46059</v>
      </c>
      <c r="I2962">
        <v>146.44999999999999</v>
      </c>
      <c r="J2962">
        <v>63.22</v>
      </c>
      <c r="K2962">
        <v>56.9</v>
      </c>
      <c r="L2962">
        <v>6.32</v>
      </c>
      <c r="M2962" s="1" t="s">
        <v>21</v>
      </c>
      <c r="N2962" s="1" t="s">
        <v>22</v>
      </c>
      <c r="O2962" s="2">
        <v>46135</v>
      </c>
      <c r="P2962" s="2">
        <v>46135</v>
      </c>
      <c r="Q2962">
        <f>_xlfn.XLOOKUP(E2962,CPT!$A$2:$A$13,CPT!$D$2:$D$13)</f>
        <v>145</v>
      </c>
      <c r="R2962" s="1">
        <f>_xlfn.XLOOKUP(C2962,Contract!$A$2:$A$9,Contract!$B$2:$B$9)</f>
        <v>0.38</v>
      </c>
      <c r="S2962" s="1">
        <f t="shared" si="184"/>
        <v>55.1</v>
      </c>
      <c r="T2962" s="1">
        <f t="shared" si="185"/>
        <v>-8.1199999999999974</v>
      </c>
      <c r="U2962" s="1" t="str">
        <f t="shared" si="186"/>
        <v>OK</v>
      </c>
      <c r="V2962" s="1" t="str">
        <f>_xlfn.XLOOKUP(C2962,Payers!$A$2:$A$9,Payers!$B$2:$B$9)</f>
        <v>Sunshine Medicare Advantage</v>
      </c>
      <c r="W2962" s="1" t="str">
        <f t="shared" si="187"/>
        <v>2026-02</v>
      </c>
    </row>
    <row r="2963" spans="1:23">
      <c r="A2963" s="1" t="s">
        <v>5015</v>
      </c>
      <c r="B2963" s="1" t="s">
        <v>453</v>
      </c>
      <c r="C2963" s="1" t="s">
        <v>18</v>
      </c>
      <c r="D2963" s="1" t="s">
        <v>30</v>
      </c>
      <c r="E2963" s="1" t="s">
        <v>91</v>
      </c>
      <c r="F2963">
        <v>1</v>
      </c>
      <c r="G2963" s="2">
        <v>46269</v>
      </c>
      <c r="H2963" s="2">
        <v>46276</v>
      </c>
      <c r="I2963">
        <v>57.71</v>
      </c>
      <c r="M2963" s="1" t="s">
        <v>69</v>
      </c>
      <c r="N2963" s="1" t="s">
        <v>22</v>
      </c>
      <c r="O2963" s="2"/>
      <c r="P2963" s="2"/>
      <c r="Q2963">
        <f>_xlfn.XLOOKUP(E2963,CPT!$A$2:$A$13,CPT!$D$2:$D$13)</f>
        <v>58</v>
      </c>
      <c r="R2963" s="1">
        <f>_xlfn.XLOOKUP(C2963,Contract!$A$2:$A$9,Contract!$B$2:$B$9)</f>
        <v>0.38</v>
      </c>
      <c r="S2963" s="1">
        <f t="shared" si="184"/>
        <v>22.04</v>
      </c>
      <c r="T2963" s="1" t="str">
        <f t="shared" si="185"/>
        <v/>
      </c>
      <c r="U2963" s="1" t="str">
        <f t="shared" si="186"/>
        <v/>
      </c>
      <c r="V2963" s="1" t="str">
        <f>_xlfn.XLOOKUP(C2963,Payers!$A$2:$A$9,Payers!$B$2:$B$9)</f>
        <v>Sunshine Medicare Advantage</v>
      </c>
      <c r="W2963" s="1" t="str">
        <f t="shared" si="187"/>
        <v>2026-09</v>
      </c>
    </row>
    <row r="2964" spans="1:23">
      <c r="A2964" s="1" t="s">
        <v>5016</v>
      </c>
      <c r="B2964" s="1" t="s">
        <v>5017</v>
      </c>
      <c r="C2964" s="1" t="s">
        <v>79</v>
      </c>
      <c r="D2964" s="1" t="s">
        <v>26</v>
      </c>
      <c r="E2964" s="1" t="s">
        <v>27</v>
      </c>
      <c r="F2964">
        <v>1</v>
      </c>
      <c r="G2964" s="2">
        <v>46114</v>
      </c>
      <c r="H2964" s="2">
        <v>46115</v>
      </c>
      <c r="I2964">
        <v>234.36</v>
      </c>
      <c r="M2964" s="1" t="s">
        <v>69</v>
      </c>
      <c r="N2964" s="1" t="s">
        <v>22</v>
      </c>
      <c r="O2964" s="2"/>
      <c r="P2964" s="2"/>
      <c r="Q2964">
        <f>_xlfn.XLOOKUP(E2964,CPT!$A$2:$A$13,CPT!$D$2:$D$13)</f>
        <v>240</v>
      </c>
      <c r="R2964" s="1">
        <f>_xlfn.XLOOKUP(C2964,Contract!$A$2:$A$9,Contract!$B$2:$B$9)</f>
        <v>1</v>
      </c>
      <c r="S2964" s="1">
        <f t="shared" si="184"/>
        <v>240</v>
      </c>
      <c r="T2964" s="1" t="str">
        <f t="shared" si="185"/>
        <v/>
      </c>
      <c r="U2964" s="1" t="str">
        <f t="shared" si="186"/>
        <v/>
      </c>
      <c r="V2964" s="1" t="str">
        <f>_xlfn.XLOOKUP(C2964,Payers!$A$2:$A$9,Payers!$B$2:$B$9)</f>
        <v>Self-Pay</v>
      </c>
      <c r="W2964" s="1" t="str">
        <f t="shared" si="187"/>
        <v>2026-04</v>
      </c>
    </row>
    <row r="2965" spans="1:23">
      <c r="A2965" s="1" t="s">
        <v>5018</v>
      </c>
      <c r="B2965" s="1" t="s">
        <v>3616</v>
      </c>
      <c r="C2965" s="1" t="s">
        <v>60</v>
      </c>
      <c r="D2965" s="1" t="s">
        <v>26</v>
      </c>
      <c r="E2965" s="1" t="s">
        <v>57</v>
      </c>
      <c r="F2965">
        <v>1</v>
      </c>
      <c r="G2965" s="2">
        <v>46255</v>
      </c>
      <c r="H2965" s="2">
        <v>46257</v>
      </c>
      <c r="I2965">
        <v>205.04</v>
      </c>
      <c r="M2965" s="1" t="s">
        <v>69</v>
      </c>
      <c r="N2965" s="1" t="s">
        <v>22</v>
      </c>
      <c r="O2965" s="2"/>
      <c r="P2965" s="2"/>
      <c r="Q2965">
        <f>_xlfn.XLOOKUP(E2965,CPT!$A$2:$A$13,CPT!$D$2:$D$13)</f>
        <v>210</v>
      </c>
      <c r="R2965" s="1">
        <f>_xlfn.XLOOKUP(C2965,Contract!$A$2:$A$9,Contract!$B$2:$B$9)</f>
        <v>0.45</v>
      </c>
      <c r="S2965" s="1">
        <f t="shared" si="184"/>
        <v>94.5</v>
      </c>
      <c r="T2965" s="1" t="str">
        <f t="shared" si="185"/>
        <v/>
      </c>
      <c r="U2965" s="1" t="str">
        <f t="shared" si="186"/>
        <v/>
      </c>
      <c r="V2965" s="1" t="str">
        <f>_xlfn.XLOOKUP(C2965,Payers!$A$2:$A$9,Payers!$B$2:$B$9)</f>
        <v>Blue Horizon Commercial</v>
      </c>
      <c r="W2965" s="1" t="str">
        <f t="shared" si="187"/>
        <v>2026-08</v>
      </c>
    </row>
    <row r="2966" spans="1:23">
      <c r="A2966" s="1" t="s">
        <v>5019</v>
      </c>
      <c r="B2966" s="1" t="s">
        <v>2547</v>
      </c>
      <c r="C2966" s="1" t="s">
        <v>25</v>
      </c>
      <c r="D2966" s="1" t="s">
        <v>19</v>
      </c>
      <c r="E2966" s="1" t="s">
        <v>20</v>
      </c>
      <c r="F2966">
        <v>1</v>
      </c>
      <c r="G2966" s="2">
        <v>46102</v>
      </c>
      <c r="H2966" s="2">
        <v>46103</v>
      </c>
      <c r="I2966">
        <v>143</v>
      </c>
      <c r="J2966">
        <v>50.43</v>
      </c>
      <c r="K2966">
        <v>50.43</v>
      </c>
      <c r="L2966">
        <v>0</v>
      </c>
      <c r="M2966" s="1" t="s">
        <v>21</v>
      </c>
      <c r="N2966" s="1" t="s">
        <v>22</v>
      </c>
      <c r="O2966" s="2">
        <v>46114</v>
      </c>
      <c r="P2966" s="2">
        <v>46114</v>
      </c>
      <c r="Q2966">
        <f>_xlfn.XLOOKUP(E2966,CPT!$A$2:$A$13,CPT!$D$2:$D$13)</f>
        <v>145</v>
      </c>
      <c r="R2966" s="1">
        <f>_xlfn.XLOOKUP(C2966,Contract!$A$2:$A$9,Contract!$B$2:$B$9)</f>
        <v>0.36</v>
      </c>
      <c r="S2966" s="1">
        <f t="shared" si="184"/>
        <v>52.2</v>
      </c>
      <c r="T2966" s="1">
        <f t="shared" si="185"/>
        <v>1.7700000000000031</v>
      </c>
      <c r="U2966" s="1" t="str">
        <f t="shared" si="186"/>
        <v>OK</v>
      </c>
      <c r="V2966" s="1" t="str">
        <f>_xlfn.XLOOKUP(C2966,Payers!$A$2:$A$9,Payers!$B$2:$B$9)</f>
        <v>Medicare Part B</v>
      </c>
      <c r="W2966" s="1" t="str">
        <f t="shared" si="187"/>
        <v>2026-03</v>
      </c>
    </row>
    <row r="2967" spans="1:23">
      <c r="A2967" s="1" t="s">
        <v>5020</v>
      </c>
      <c r="B2967" s="1" t="s">
        <v>1118</v>
      </c>
      <c r="C2967" s="1" t="s">
        <v>76</v>
      </c>
      <c r="D2967" s="1" t="s">
        <v>19</v>
      </c>
      <c r="E2967" s="1" t="s">
        <v>20</v>
      </c>
      <c r="F2967">
        <v>1</v>
      </c>
      <c r="G2967" s="2">
        <v>46151</v>
      </c>
      <c r="H2967" s="2">
        <v>46160</v>
      </c>
      <c r="I2967">
        <v>146.71</v>
      </c>
      <c r="J2967">
        <v>61.53</v>
      </c>
      <c r="K2967">
        <v>61.53</v>
      </c>
      <c r="L2967">
        <v>0</v>
      </c>
      <c r="M2967" s="1" t="s">
        <v>21</v>
      </c>
      <c r="N2967" s="1" t="s">
        <v>22</v>
      </c>
      <c r="O2967" s="2">
        <v>46205</v>
      </c>
      <c r="P2967" s="2">
        <v>46205</v>
      </c>
      <c r="Q2967">
        <f>_xlfn.XLOOKUP(E2967,CPT!$A$2:$A$13,CPT!$D$2:$D$13)</f>
        <v>145</v>
      </c>
      <c r="R2967" s="1">
        <f>_xlfn.XLOOKUP(C2967,Contract!$A$2:$A$9,Contract!$B$2:$B$9)</f>
        <v>0.43</v>
      </c>
      <c r="S2967" s="1">
        <f t="shared" si="184"/>
        <v>62.35</v>
      </c>
      <c r="T2967" s="1">
        <f t="shared" si="185"/>
        <v>0.82000000000000028</v>
      </c>
      <c r="U2967" s="1" t="str">
        <f t="shared" si="186"/>
        <v>OK</v>
      </c>
      <c r="V2967" s="1" t="str">
        <f>_xlfn.XLOOKUP(C2967,Payers!$A$2:$A$9,Payers!$B$2:$B$9)</f>
        <v>Summit Health Commercial</v>
      </c>
      <c r="W2967" s="1" t="str">
        <f t="shared" si="187"/>
        <v>2026-05</v>
      </c>
    </row>
    <row r="2968" spans="1:23">
      <c r="A2968" s="1" t="s">
        <v>5021</v>
      </c>
      <c r="B2968" s="1" t="s">
        <v>5022</v>
      </c>
      <c r="C2968" s="1" t="s">
        <v>25</v>
      </c>
      <c r="D2968" s="1" t="s">
        <v>19</v>
      </c>
      <c r="E2968" s="1" t="s">
        <v>41</v>
      </c>
      <c r="F2968">
        <v>1</v>
      </c>
      <c r="G2968" s="2">
        <v>46220</v>
      </c>
      <c r="H2968" s="2">
        <v>46222</v>
      </c>
      <c r="I2968">
        <v>37</v>
      </c>
      <c r="J2968">
        <v>12.51</v>
      </c>
      <c r="K2968">
        <v>12.51</v>
      </c>
      <c r="L2968">
        <v>0</v>
      </c>
      <c r="M2968" s="1" t="s">
        <v>21</v>
      </c>
      <c r="N2968" s="1" t="s">
        <v>22</v>
      </c>
      <c r="O2968" s="2">
        <v>46240</v>
      </c>
      <c r="P2968" s="2">
        <v>46240</v>
      </c>
      <c r="Q2968">
        <f>_xlfn.XLOOKUP(E2968,CPT!$A$2:$A$13,CPT!$D$2:$D$13)</f>
        <v>38</v>
      </c>
      <c r="R2968" s="1">
        <f>_xlfn.XLOOKUP(C2968,Contract!$A$2:$A$9,Contract!$B$2:$B$9)</f>
        <v>0.36</v>
      </c>
      <c r="S2968" s="1">
        <f t="shared" si="184"/>
        <v>13.68</v>
      </c>
      <c r="T2968" s="1">
        <f t="shared" si="185"/>
        <v>1.17</v>
      </c>
      <c r="U2968" s="1" t="str">
        <f t="shared" si="186"/>
        <v>Underpaid</v>
      </c>
      <c r="V2968" s="1" t="str">
        <f>_xlfn.XLOOKUP(C2968,Payers!$A$2:$A$9,Payers!$B$2:$B$9)</f>
        <v>Medicare Part B</v>
      </c>
      <c r="W2968" s="1" t="str">
        <f t="shared" si="187"/>
        <v>2026-07</v>
      </c>
    </row>
    <row r="2969" spans="1:23">
      <c r="A2969" s="1" t="s">
        <v>5023</v>
      </c>
      <c r="B2969" s="1" t="s">
        <v>1980</v>
      </c>
      <c r="C2969" s="1" t="s">
        <v>76</v>
      </c>
      <c r="D2969" s="1" t="s">
        <v>37</v>
      </c>
      <c r="E2969" s="1" t="s">
        <v>57</v>
      </c>
      <c r="F2969">
        <v>1</v>
      </c>
      <c r="G2969" s="2">
        <v>46223</v>
      </c>
      <c r="H2969" s="2">
        <v>46227</v>
      </c>
      <c r="I2969">
        <v>211.04</v>
      </c>
      <c r="J2969">
        <v>84.33</v>
      </c>
      <c r="K2969">
        <v>75.900000000000006</v>
      </c>
      <c r="L2969">
        <v>8.43</v>
      </c>
      <c r="M2969" s="1" t="s">
        <v>21</v>
      </c>
      <c r="N2969" s="1" t="s">
        <v>22</v>
      </c>
      <c r="O2969" s="2">
        <v>46262</v>
      </c>
      <c r="P2969" s="2">
        <v>46262</v>
      </c>
      <c r="Q2969">
        <f>_xlfn.XLOOKUP(E2969,CPT!$A$2:$A$13,CPT!$D$2:$D$13)</f>
        <v>210</v>
      </c>
      <c r="R2969" s="1">
        <f>_xlfn.XLOOKUP(C2969,Contract!$A$2:$A$9,Contract!$B$2:$B$9)</f>
        <v>0.43</v>
      </c>
      <c r="S2969" s="1">
        <f t="shared" si="184"/>
        <v>90.3</v>
      </c>
      <c r="T2969" s="1">
        <f t="shared" si="185"/>
        <v>5.9699999999999989</v>
      </c>
      <c r="U2969" s="1" t="str">
        <f t="shared" si="186"/>
        <v>Underpaid</v>
      </c>
      <c r="V2969" s="1" t="str">
        <f>_xlfn.XLOOKUP(C2969,Payers!$A$2:$A$9,Payers!$B$2:$B$9)</f>
        <v>Summit Health Commercial</v>
      </c>
      <c r="W2969" s="1" t="str">
        <f t="shared" si="187"/>
        <v>2026-07</v>
      </c>
    </row>
    <row r="2970" spans="1:23">
      <c r="A2970" s="1" t="s">
        <v>5024</v>
      </c>
      <c r="B2970" s="1" t="s">
        <v>1058</v>
      </c>
      <c r="C2970" s="1" t="s">
        <v>36</v>
      </c>
      <c r="D2970" s="1" t="s">
        <v>37</v>
      </c>
      <c r="E2970" s="1" t="s">
        <v>38</v>
      </c>
      <c r="F2970">
        <v>30</v>
      </c>
      <c r="G2970" s="2">
        <v>46116</v>
      </c>
      <c r="H2970" s="2">
        <v>46120</v>
      </c>
      <c r="I2970">
        <v>44547.34</v>
      </c>
      <c r="J2970">
        <v>11221.42</v>
      </c>
      <c r="K2970">
        <v>11221.42</v>
      </c>
      <c r="L2970">
        <v>0</v>
      </c>
      <c r="M2970" s="1" t="s">
        <v>21</v>
      </c>
      <c r="N2970" s="1" t="s">
        <v>22</v>
      </c>
      <c r="O2970" s="2">
        <v>46165</v>
      </c>
      <c r="P2970" s="2">
        <v>46165</v>
      </c>
      <c r="Q2970">
        <f>_xlfn.XLOOKUP(E2970,CPT!$A$2:$A$13,CPT!$D$2:$D$13)</f>
        <v>1450</v>
      </c>
      <c r="R2970" s="1">
        <f>_xlfn.XLOOKUP(C2970,Contract!$A$2:$A$9,Contract!$B$2:$B$9)</f>
        <v>0.27</v>
      </c>
      <c r="S2970" s="1">
        <f t="shared" si="184"/>
        <v>11745</v>
      </c>
      <c r="T2970" s="1">
        <f t="shared" si="185"/>
        <v>523.57999999999993</v>
      </c>
      <c r="U2970" s="1" t="str">
        <f t="shared" si="186"/>
        <v>OK</v>
      </c>
      <c r="V2970" s="1" t="str">
        <f>_xlfn.XLOOKUP(C2970,Payers!$A$2:$A$9,Payers!$B$2:$B$9)</f>
        <v>Florida Medicaid</v>
      </c>
      <c r="W2970" s="1" t="str">
        <f t="shared" si="187"/>
        <v>2026-04</v>
      </c>
    </row>
    <row r="2971" spans="1:23">
      <c r="A2971" s="1" t="s">
        <v>5025</v>
      </c>
      <c r="B2971" s="1" t="s">
        <v>5026</v>
      </c>
      <c r="C2971" s="1" t="s">
        <v>60</v>
      </c>
      <c r="D2971" s="1" t="s">
        <v>30</v>
      </c>
      <c r="E2971" s="1" t="s">
        <v>20</v>
      </c>
      <c r="F2971">
        <v>1</v>
      </c>
      <c r="G2971" s="2">
        <v>46161</v>
      </c>
      <c r="H2971" s="2">
        <v>46288</v>
      </c>
      <c r="I2971">
        <v>143.28</v>
      </c>
      <c r="M2971" s="1" t="s">
        <v>69</v>
      </c>
      <c r="N2971" s="1" t="s">
        <v>22</v>
      </c>
      <c r="O2971" s="2"/>
      <c r="P2971" s="2"/>
      <c r="Q2971">
        <f>_xlfn.XLOOKUP(E2971,CPT!$A$2:$A$13,CPT!$D$2:$D$13)</f>
        <v>145</v>
      </c>
      <c r="R2971" s="1">
        <f>_xlfn.XLOOKUP(C2971,Contract!$A$2:$A$9,Contract!$B$2:$B$9)</f>
        <v>0.45</v>
      </c>
      <c r="S2971" s="1">
        <f t="shared" si="184"/>
        <v>65.25</v>
      </c>
      <c r="T2971" s="1" t="str">
        <f t="shared" si="185"/>
        <v/>
      </c>
      <c r="U2971" s="1" t="str">
        <f t="shared" si="186"/>
        <v/>
      </c>
      <c r="V2971" s="1" t="str">
        <f>_xlfn.XLOOKUP(C2971,Payers!$A$2:$A$9,Payers!$B$2:$B$9)</f>
        <v>Blue Horizon Commercial</v>
      </c>
      <c r="W2971" s="1" t="str">
        <f t="shared" si="187"/>
        <v>2026-05</v>
      </c>
    </row>
    <row r="2972" spans="1:23">
      <c r="A2972" s="1" t="s">
        <v>5027</v>
      </c>
      <c r="B2972" s="1" t="s">
        <v>2058</v>
      </c>
      <c r="C2972" s="1" t="s">
        <v>76</v>
      </c>
      <c r="D2972" s="1" t="s">
        <v>19</v>
      </c>
      <c r="E2972" s="1" t="s">
        <v>41</v>
      </c>
      <c r="F2972">
        <v>1</v>
      </c>
      <c r="G2972" s="2">
        <v>46250</v>
      </c>
      <c r="H2972" s="2">
        <v>46251</v>
      </c>
      <c r="I2972">
        <v>37.54</v>
      </c>
      <c r="J2972">
        <v>15.87</v>
      </c>
      <c r="K2972">
        <v>15.87</v>
      </c>
      <c r="L2972">
        <v>0</v>
      </c>
      <c r="M2972" s="1" t="s">
        <v>21</v>
      </c>
      <c r="N2972" s="1" t="s">
        <v>22</v>
      </c>
      <c r="O2972" s="2">
        <v>46295</v>
      </c>
      <c r="P2972" s="2">
        <v>46295</v>
      </c>
      <c r="Q2972">
        <f>_xlfn.XLOOKUP(E2972,CPT!$A$2:$A$13,CPT!$D$2:$D$13)</f>
        <v>38</v>
      </c>
      <c r="R2972" s="1">
        <f>_xlfn.XLOOKUP(C2972,Contract!$A$2:$A$9,Contract!$B$2:$B$9)</f>
        <v>0.43</v>
      </c>
      <c r="S2972" s="1">
        <f t="shared" si="184"/>
        <v>16.34</v>
      </c>
      <c r="T2972" s="1">
        <f t="shared" si="185"/>
        <v>0.47000000000000064</v>
      </c>
      <c r="U2972" s="1" t="str">
        <f t="shared" si="186"/>
        <v>OK</v>
      </c>
      <c r="V2972" s="1" t="str">
        <f>_xlfn.XLOOKUP(C2972,Payers!$A$2:$A$9,Payers!$B$2:$B$9)</f>
        <v>Summit Health Commercial</v>
      </c>
      <c r="W2972" s="1" t="str">
        <f t="shared" si="187"/>
        <v>2026-08</v>
      </c>
    </row>
    <row r="2973" spans="1:23">
      <c r="A2973" s="1" t="s">
        <v>5028</v>
      </c>
      <c r="B2973" s="1" t="s">
        <v>1731</v>
      </c>
      <c r="C2973" s="1" t="s">
        <v>47</v>
      </c>
      <c r="D2973" s="1" t="s">
        <v>19</v>
      </c>
      <c r="E2973" s="1" t="s">
        <v>88</v>
      </c>
      <c r="F2973">
        <v>1</v>
      </c>
      <c r="G2973" s="2">
        <v>45983</v>
      </c>
      <c r="H2973" s="2">
        <v>45985</v>
      </c>
      <c r="I2973">
        <v>266.44</v>
      </c>
      <c r="J2973">
        <v>77.56</v>
      </c>
      <c r="K2973">
        <v>77.56</v>
      </c>
      <c r="L2973">
        <v>0</v>
      </c>
      <c r="M2973" s="1" t="s">
        <v>21</v>
      </c>
      <c r="N2973" s="1" t="s">
        <v>22</v>
      </c>
      <c r="O2973" s="2">
        <v>46036</v>
      </c>
      <c r="P2973" s="2">
        <v>46036</v>
      </c>
      <c r="Q2973">
        <f>_xlfn.XLOOKUP(E2973,CPT!$A$2:$A$13,CPT!$D$2:$D$13)</f>
        <v>260</v>
      </c>
      <c r="R2973" s="1">
        <f>_xlfn.XLOOKUP(C2973,Contract!$A$2:$A$9,Contract!$B$2:$B$9)</f>
        <v>0.28000000000000003</v>
      </c>
      <c r="S2973" s="1">
        <f t="shared" si="184"/>
        <v>72.8</v>
      </c>
      <c r="T2973" s="1">
        <f t="shared" si="185"/>
        <v>-4.7600000000000051</v>
      </c>
      <c r="U2973" s="1" t="str">
        <f t="shared" si="186"/>
        <v>OK</v>
      </c>
      <c r="V2973" s="1" t="str">
        <f>_xlfn.XLOOKUP(C2973,Payers!$A$2:$A$9,Payers!$B$2:$B$9)</f>
        <v>Coastal Medicaid MCO</v>
      </c>
      <c r="W2973" s="1" t="str">
        <f t="shared" si="187"/>
        <v>2025-11</v>
      </c>
    </row>
    <row r="2974" spans="1:23">
      <c r="A2974" s="1" t="s">
        <v>5029</v>
      </c>
      <c r="B2974" s="1" t="s">
        <v>2644</v>
      </c>
      <c r="C2974" s="1" t="s">
        <v>18</v>
      </c>
      <c r="D2974" s="1" t="s">
        <v>26</v>
      </c>
      <c r="E2974" s="1" t="s">
        <v>57</v>
      </c>
      <c r="F2974">
        <v>1</v>
      </c>
      <c r="G2974" s="2">
        <v>46217</v>
      </c>
      <c r="H2974" s="2">
        <v>46226</v>
      </c>
      <c r="I2974">
        <v>211.95</v>
      </c>
      <c r="M2974" s="1" t="s">
        <v>32</v>
      </c>
      <c r="N2974" s="1" t="s">
        <v>33</v>
      </c>
      <c r="O2974" s="2">
        <v>46282</v>
      </c>
      <c r="P2974" s="2"/>
      <c r="Q2974">
        <f>_xlfn.XLOOKUP(E2974,CPT!$A$2:$A$13,CPT!$D$2:$D$13)</f>
        <v>210</v>
      </c>
      <c r="R2974" s="1">
        <f>_xlfn.XLOOKUP(C2974,Contract!$A$2:$A$9,Contract!$B$2:$B$9)</f>
        <v>0.38</v>
      </c>
      <c r="S2974" s="1">
        <f t="shared" si="184"/>
        <v>79.8</v>
      </c>
      <c r="T2974" s="1" t="str">
        <f t="shared" si="185"/>
        <v/>
      </c>
      <c r="U2974" s="1" t="str">
        <f t="shared" si="186"/>
        <v/>
      </c>
      <c r="V2974" s="1" t="str">
        <f>_xlfn.XLOOKUP(C2974,Payers!$A$2:$A$9,Payers!$B$2:$B$9)</f>
        <v>Sunshine Medicare Advantage</v>
      </c>
      <c r="W2974" s="1" t="str">
        <f t="shared" si="187"/>
        <v>2026-07</v>
      </c>
    </row>
    <row r="2975" spans="1:23">
      <c r="A2975" s="1" t="s">
        <v>5030</v>
      </c>
      <c r="B2975" s="1" t="s">
        <v>1515</v>
      </c>
      <c r="C2975" s="1" t="s">
        <v>47</v>
      </c>
      <c r="D2975" s="1" t="s">
        <v>19</v>
      </c>
      <c r="E2975" s="1" t="s">
        <v>57</v>
      </c>
      <c r="F2975">
        <v>1</v>
      </c>
      <c r="G2975" s="2">
        <v>46051</v>
      </c>
      <c r="H2975" s="2">
        <v>46055</v>
      </c>
      <c r="I2975">
        <v>207.35</v>
      </c>
      <c r="J2975">
        <v>66.36</v>
      </c>
      <c r="K2975">
        <v>66.36</v>
      </c>
      <c r="L2975">
        <v>0</v>
      </c>
      <c r="M2975" s="1" t="s">
        <v>21</v>
      </c>
      <c r="N2975" s="1" t="s">
        <v>22</v>
      </c>
      <c r="O2975" s="2">
        <v>46122</v>
      </c>
      <c r="P2975" s="2">
        <v>46122</v>
      </c>
      <c r="Q2975">
        <f>_xlfn.XLOOKUP(E2975,CPT!$A$2:$A$13,CPT!$D$2:$D$13)</f>
        <v>210</v>
      </c>
      <c r="R2975" s="1">
        <f>_xlfn.XLOOKUP(C2975,Contract!$A$2:$A$9,Contract!$B$2:$B$9)</f>
        <v>0.28000000000000003</v>
      </c>
      <c r="S2975" s="1">
        <f t="shared" si="184"/>
        <v>58.8</v>
      </c>
      <c r="T2975" s="1">
        <f t="shared" si="185"/>
        <v>-7.5600000000000023</v>
      </c>
      <c r="U2975" s="1" t="str">
        <f t="shared" si="186"/>
        <v>OK</v>
      </c>
      <c r="V2975" s="1" t="str">
        <f>_xlfn.XLOOKUP(C2975,Payers!$A$2:$A$9,Payers!$B$2:$B$9)</f>
        <v>Coastal Medicaid MCO</v>
      </c>
      <c r="W2975" s="1" t="str">
        <f t="shared" si="187"/>
        <v>2026-01</v>
      </c>
    </row>
    <row r="2976" spans="1:23">
      <c r="A2976" s="1" t="s">
        <v>5031</v>
      </c>
      <c r="B2976" s="1" t="s">
        <v>5032</v>
      </c>
      <c r="C2976" s="1" t="s">
        <v>47</v>
      </c>
      <c r="D2976" s="1" t="s">
        <v>30</v>
      </c>
      <c r="E2976" s="1" t="s">
        <v>20</v>
      </c>
      <c r="F2976">
        <v>1</v>
      </c>
      <c r="G2976" s="2">
        <v>46133</v>
      </c>
      <c r="H2976" s="2">
        <v>46135</v>
      </c>
      <c r="I2976">
        <v>142.16999999999999</v>
      </c>
      <c r="J2976">
        <v>45.82</v>
      </c>
      <c r="K2976">
        <v>41.24</v>
      </c>
      <c r="L2976">
        <v>4.58</v>
      </c>
      <c r="M2976" s="1" t="s">
        <v>21</v>
      </c>
      <c r="N2976" s="1" t="s">
        <v>22</v>
      </c>
      <c r="O2976" s="2">
        <v>46228</v>
      </c>
      <c r="P2976" s="2">
        <v>46228</v>
      </c>
      <c r="Q2976">
        <f>_xlfn.XLOOKUP(E2976,CPT!$A$2:$A$13,CPT!$D$2:$D$13)</f>
        <v>145</v>
      </c>
      <c r="R2976" s="1">
        <f>_xlfn.XLOOKUP(C2976,Contract!$A$2:$A$9,Contract!$B$2:$B$9)</f>
        <v>0.28000000000000003</v>
      </c>
      <c r="S2976" s="1">
        <f t="shared" si="184"/>
        <v>40.6</v>
      </c>
      <c r="T2976" s="1">
        <f t="shared" si="185"/>
        <v>-5.2199999999999989</v>
      </c>
      <c r="U2976" s="1" t="str">
        <f t="shared" si="186"/>
        <v>OK</v>
      </c>
      <c r="V2976" s="1" t="str">
        <f>_xlfn.XLOOKUP(C2976,Payers!$A$2:$A$9,Payers!$B$2:$B$9)</f>
        <v>Coastal Medicaid MCO</v>
      </c>
      <c r="W2976" s="1" t="str">
        <f t="shared" si="187"/>
        <v>2026-04</v>
      </c>
    </row>
    <row r="2977" spans="1:23">
      <c r="A2977" s="1" t="s">
        <v>5033</v>
      </c>
      <c r="B2977" s="1" t="s">
        <v>3879</v>
      </c>
      <c r="C2977" s="1" t="s">
        <v>60</v>
      </c>
      <c r="D2977" s="1" t="s">
        <v>30</v>
      </c>
      <c r="E2977" s="1" t="s">
        <v>91</v>
      </c>
      <c r="F2977">
        <v>2</v>
      </c>
      <c r="G2977" s="2">
        <v>46205</v>
      </c>
      <c r="H2977" s="2">
        <v>46206</v>
      </c>
      <c r="I2977">
        <v>115.59</v>
      </c>
      <c r="J2977">
        <v>48.96</v>
      </c>
      <c r="K2977">
        <v>48.96</v>
      </c>
      <c r="L2977">
        <v>0</v>
      </c>
      <c r="M2977" s="1" t="s">
        <v>21</v>
      </c>
      <c r="N2977" s="1" t="s">
        <v>22</v>
      </c>
      <c r="O2977" s="2">
        <v>46256</v>
      </c>
      <c r="P2977" s="2">
        <v>46256</v>
      </c>
      <c r="Q2977">
        <f>_xlfn.XLOOKUP(E2977,CPT!$A$2:$A$13,CPT!$D$2:$D$13)</f>
        <v>58</v>
      </c>
      <c r="R2977" s="1">
        <f>_xlfn.XLOOKUP(C2977,Contract!$A$2:$A$9,Contract!$B$2:$B$9)</f>
        <v>0.45</v>
      </c>
      <c r="S2977" s="1">
        <f t="shared" si="184"/>
        <v>52.2</v>
      </c>
      <c r="T2977" s="1">
        <f t="shared" si="185"/>
        <v>3.240000000000002</v>
      </c>
      <c r="U2977" s="1" t="str">
        <f t="shared" si="186"/>
        <v>Underpaid</v>
      </c>
      <c r="V2977" s="1" t="str">
        <f>_xlfn.XLOOKUP(C2977,Payers!$A$2:$A$9,Payers!$B$2:$B$9)</f>
        <v>Blue Horizon Commercial</v>
      </c>
      <c r="W2977" s="1" t="str">
        <f t="shared" si="187"/>
        <v>2026-07</v>
      </c>
    </row>
    <row r="2978" spans="1:23">
      <c r="A2978" s="1" t="s">
        <v>5034</v>
      </c>
      <c r="B2978" s="1" t="s">
        <v>2661</v>
      </c>
      <c r="C2978" s="1" t="s">
        <v>25</v>
      </c>
      <c r="D2978" s="1" t="s">
        <v>30</v>
      </c>
      <c r="E2978" s="1" t="s">
        <v>31</v>
      </c>
      <c r="F2978">
        <v>4</v>
      </c>
      <c r="G2978" s="2">
        <v>46255</v>
      </c>
      <c r="H2978" s="2">
        <v>46261</v>
      </c>
      <c r="I2978">
        <v>250.39</v>
      </c>
      <c r="J2978">
        <v>101.35</v>
      </c>
      <c r="K2978">
        <v>91.22</v>
      </c>
      <c r="L2978">
        <v>10.130000000000001</v>
      </c>
      <c r="M2978" s="1" t="s">
        <v>21</v>
      </c>
      <c r="N2978" s="1" t="s">
        <v>22</v>
      </c>
      <c r="O2978" s="2">
        <v>46275</v>
      </c>
      <c r="P2978" s="2">
        <v>46275</v>
      </c>
      <c r="Q2978">
        <f>_xlfn.XLOOKUP(E2978,CPT!$A$2:$A$13,CPT!$D$2:$D$13)</f>
        <v>62</v>
      </c>
      <c r="R2978" s="1">
        <f>_xlfn.XLOOKUP(C2978,Contract!$A$2:$A$9,Contract!$B$2:$B$9)</f>
        <v>0.36</v>
      </c>
      <c r="S2978" s="1">
        <f t="shared" si="184"/>
        <v>89.28</v>
      </c>
      <c r="T2978" s="1">
        <f t="shared" si="185"/>
        <v>-12.069999999999993</v>
      </c>
      <c r="U2978" s="1" t="str">
        <f t="shared" si="186"/>
        <v>OK</v>
      </c>
      <c r="V2978" s="1" t="str">
        <f>_xlfn.XLOOKUP(C2978,Payers!$A$2:$A$9,Payers!$B$2:$B$9)</f>
        <v>Medicare Part B</v>
      </c>
      <c r="W2978" s="1" t="str">
        <f t="shared" si="187"/>
        <v>2026-08</v>
      </c>
    </row>
    <row r="2979" spans="1:23">
      <c r="A2979" s="1" t="s">
        <v>5035</v>
      </c>
      <c r="B2979" s="1" t="s">
        <v>1394</v>
      </c>
      <c r="C2979" s="1" t="s">
        <v>76</v>
      </c>
      <c r="D2979" s="1" t="s">
        <v>26</v>
      </c>
      <c r="E2979" s="1" t="s">
        <v>44</v>
      </c>
      <c r="F2979">
        <v>1</v>
      </c>
      <c r="G2979" s="2">
        <v>46283</v>
      </c>
      <c r="H2979" s="2">
        <v>46285</v>
      </c>
      <c r="I2979">
        <v>4670.91</v>
      </c>
      <c r="M2979" s="1" t="s">
        <v>69</v>
      </c>
      <c r="N2979" s="1" t="s">
        <v>22</v>
      </c>
      <c r="O2979" s="2"/>
      <c r="P2979" s="2"/>
      <c r="Q2979">
        <f>_xlfn.XLOOKUP(E2979,CPT!$A$2:$A$13,CPT!$D$2:$D$13)</f>
        <v>4800</v>
      </c>
      <c r="R2979" s="1">
        <f>_xlfn.XLOOKUP(C2979,Contract!$A$2:$A$9,Contract!$B$2:$B$9)</f>
        <v>0.43</v>
      </c>
      <c r="S2979" s="1">
        <f t="shared" si="184"/>
        <v>2064</v>
      </c>
      <c r="T2979" s="1" t="str">
        <f t="shared" si="185"/>
        <v/>
      </c>
      <c r="U2979" s="1" t="str">
        <f t="shared" si="186"/>
        <v/>
      </c>
      <c r="V2979" s="1" t="str">
        <f>_xlfn.XLOOKUP(C2979,Payers!$A$2:$A$9,Payers!$B$2:$B$9)</f>
        <v>Summit Health Commercial</v>
      </c>
      <c r="W2979" s="1" t="str">
        <f t="shared" si="187"/>
        <v>2026-09</v>
      </c>
    </row>
    <row r="2980" spans="1:23">
      <c r="A2980" s="1" t="s">
        <v>5036</v>
      </c>
      <c r="B2980" s="1" t="s">
        <v>1067</v>
      </c>
      <c r="C2980" s="1" t="s">
        <v>18</v>
      </c>
      <c r="D2980" s="1" t="s">
        <v>26</v>
      </c>
      <c r="E2980" s="1" t="s">
        <v>41</v>
      </c>
      <c r="F2980">
        <v>1</v>
      </c>
      <c r="G2980" s="2">
        <v>46237</v>
      </c>
      <c r="H2980" s="2">
        <v>46240</v>
      </c>
      <c r="I2980">
        <v>38.49</v>
      </c>
      <c r="J2980">
        <v>13.73</v>
      </c>
      <c r="K2980">
        <v>12.36</v>
      </c>
      <c r="L2980">
        <v>1.37</v>
      </c>
      <c r="M2980" s="1" t="s">
        <v>21</v>
      </c>
      <c r="N2980" s="1" t="s">
        <v>22</v>
      </c>
      <c r="O2980" s="2">
        <v>46250</v>
      </c>
      <c r="P2980" s="2">
        <v>46250</v>
      </c>
      <c r="Q2980">
        <f>_xlfn.XLOOKUP(E2980,CPT!$A$2:$A$13,CPT!$D$2:$D$13)</f>
        <v>38</v>
      </c>
      <c r="R2980" s="1">
        <f>_xlfn.XLOOKUP(C2980,Contract!$A$2:$A$9,Contract!$B$2:$B$9)</f>
        <v>0.38</v>
      </c>
      <c r="S2980" s="1">
        <f t="shared" si="184"/>
        <v>14.44</v>
      </c>
      <c r="T2980" s="1">
        <f t="shared" si="185"/>
        <v>0.70999999999999908</v>
      </c>
      <c r="U2980" s="1" t="str">
        <f t="shared" si="186"/>
        <v>OK</v>
      </c>
      <c r="V2980" s="1" t="str">
        <f>_xlfn.XLOOKUP(C2980,Payers!$A$2:$A$9,Payers!$B$2:$B$9)</f>
        <v>Sunshine Medicare Advantage</v>
      </c>
      <c r="W2980" s="1" t="str">
        <f t="shared" si="187"/>
        <v>2026-08</v>
      </c>
    </row>
    <row r="2981" spans="1:23">
      <c r="A2981" s="1" t="s">
        <v>5037</v>
      </c>
      <c r="B2981" s="1" t="s">
        <v>369</v>
      </c>
      <c r="C2981" s="1" t="s">
        <v>76</v>
      </c>
      <c r="D2981" s="1" t="s">
        <v>26</v>
      </c>
      <c r="E2981" s="1" t="s">
        <v>185</v>
      </c>
      <c r="F2981">
        <v>1</v>
      </c>
      <c r="G2981" s="2">
        <v>45964</v>
      </c>
      <c r="H2981" s="2">
        <v>45971</v>
      </c>
      <c r="I2981">
        <v>1145.6400000000001</v>
      </c>
      <c r="J2981">
        <v>503.87</v>
      </c>
      <c r="K2981">
        <v>503.87</v>
      </c>
      <c r="L2981">
        <v>0</v>
      </c>
      <c r="M2981" s="1" t="s">
        <v>21</v>
      </c>
      <c r="N2981" s="1" t="s">
        <v>22</v>
      </c>
      <c r="O2981" s="2">
        <v>46009</v>
      </c>
      <c r="P2981" s="2">
        <v>46009</v>
      </c>
      <c r="Q2981">
        <f>_xlfn.XLOOKUP(E2981,CPT!$A$2:$A$13,CPT!$D$2:$D$13)</f>
        <v>1150</v>
      </c>
      <c r="R2981" s="1">
        <f>_xlfn.XLOOKUP(C2981,Contract!$A$2:$A$9,Contract!$B$2:$B$9)</f>
        <v>0.43</v>
      </c>
      <c r="S2981" s="1">
        <f t="shared" si="184"/>
        <v>494.5</v>
      </c>
      <c r="T2981" s="1">
        <f t="shared" si="185"/>
        <v>-9.3700000000000045</v>
      </c>
      <c r="U2981" s="1" t="str">
        <f t="shared" si="186"/>
        <v>OK</v>
      </c>
      <c r="V2981" s="1" t="str">
        <f>_xlfn.XLOOKUP(C2981,Payers!$A$2:$A$9,Payers!$B$2:$B$9)</f>
        <v>Summit Health Commercial</v>
      </c>
      <c r="W2981" s="1" t="str">
        <f t="shared" si="187"/>
        <v>2025-11</v>
      </c>
    </row>
    <row r="2982" spans="1:23">
      <c r="A2982" s="1" t="s">
        <v>5038</v>
      </c>
      <c r="B2982" s="1" t="s">
        <v>5039</v>
      </c>
      <c r="C2982" s="1" t="s">
        <v>60</v>
      </c>
      <c r="D2982" s="1" t="s">
        <v>26</v>
      </c>
      <c r="E2982" s="1" t="s">
        <v>57</v>
      </c>
      <c r="F2982">
        <v>1</v>
      </c>
      <c r="G2982" s="2">
        <v>46267</v>
      </c>
      <c r="H2982" s="2">
        <v>46271</v>
      </c>
      <c r="I2982">
        <v>205</v>
      </c>
      <c r="M2982" s="1" t="s">
        <v>69</v>
      </c>
      <c r="N2982" s="1" t="s">
        <v>22</v>
      </c>
      <c r="O2982" s="2"/>
      <c r="P2982" s="2"/>
      <c r="Q2982">
        <f>_xlfn.XLOOKUP(E2982,CPT!$A$2:$A$13,CPT!$D$2:$D$13)</f>
        <v>210</v>
      </c>
      <c r="R2982" s="1">
        <f>_xlfn.XLOOKUP(C2982,Contract!$A$2:$A$9,Contract!$B$2:$B$9)</f>
        <v>0.45</v>
      </c>
      <c r="S2982" s="1">
        <f t="shared" si="184"/>
        <v>94.5</v>
      </c>
      <c r="T2982" s="1" t="str">
        <f t="shared" si="185"/>
        <v/>
      </c>
      <c r="U2982" s="1" t="str">
        <f t="shared" si="186"/>
        <v/>
      </c>
      <c r="V2982" s="1" t="str">
        <f>_xlfn.XLOOKUP(C2982,Payers!$A$2:$A$9,Payers!$B$2:$B$9)</f>
        <v>Blue Horizon Commercial</v>
      </c>
      <c r="W2982" s="1" t="str">
        <f t="shared" si="187"/>
        <v>2026-09</v>
      </c>
    </row>
    <row r="2983" spans="1:23">
      <c r="A2983" s="1" t="s">
        <v>5040</v>
      </c>
      <c r="B2983" s="1" t="s">
        <v>2120</v>
      </c>
      <c r="C2983" s="1" t="s">
        <v>60</v>
      </c>
      <c r="D2983" s="1" t="s">
        <v>30</v>
      </c>
      <c r="E2983" s="1" t="s">
        <v>20</v>
      </c>
      <c r="F2983">
        <v>1</v>
      </c>
      <c r="G2983" s="2">
        <v>46166</v>
      </c>
      <c r="H2983" s="2">
        <v>46263</v>
      </c>
      <c r="I2983">
        <v>145.43</v>
      </c>
      <c r="M2983" s="1" t="s">
        <v>69</v>
      </c>
      <c r="N2983" s="1" t="s">
        <v>22</v>
      </c>
      <c r="O2983" s="2"/>
      <c r="P2983" s="2"/>
      <c r="Q2983">
        <f>_xlfn.XLOOKUP(E2983,CPT!$A$2:$A$13,CPT!$D$2:$D$13)</f>
        <v>145</v>
      </c>
      <c r="R2983" s="1">
        <f>_xlfn.XLOOKUP(C2983,Contract!$A$2:$A$9,Contract!$B$2:$B$9)</f>
        <v>0.45</v>
      </c>
      <c r="S2983" s="1">
        <f t="shared" si="184"/>
        <v>65.25</v>
      </c>
      <c r="T2983" s="1" t="str">
        <f t="shared" si="185"/>
        <v/>
      </c>
      <c r="U2983" s="1" t="str">
        <f t="shared" si="186"/>
        <v/>
      </c>
      <c r="V2983" s="1" t="str">
        <f>_xlfn.XLOOKUP(C2983,Payers!$A$2:$A$9,Payers!$B$2:$B$9)</f>
        <v>Blue Horizon Commercial</v>
      </c>
      <c r="W2983" s="1" t="str">
        <f t="shared" si="187"/>
        <v>2026-05</v>
      </c>
    </row>
    <row r="2984" spans="1:23">
      <c r="A2984" s="1" t="s">
        <v>5041</v>
      </c>
      <c r="B2984" s="1" t="s">
        <v>5042</v>
      </c>
      <c r="C2984" s="1" t="s">
        <v>18</v>
      </c>
      <c r="D2984" s="1" t="s">
        <v>19</v>
      </c>
      <c r="E2984" s="1" t="s">
        <v>41</v>
      </c>
      <c r="F2984">
        <v>1</v>
      </c>
      <c r="G2984" s="2">
        <v>46049</v>
      </c>
      <c r="H2984" s="2">
        <v>46053</v>
      </c>
      <c r="I2984">
        <v>37.04</v>
      </c>
      <c r="J2984">
        <v>13</v>
      </c>
      <c r="K2984">
        <v>13</v>
      </c>
      <c r="L2984">
        <v>0</v>
      </c>
      <c r="M2984" s="1" t="s">
        <v>21</v>
      </c>
      <c r="N2984" s="1" t="s">
        <v>22</v>
      </c>
      <c r="O2984" s="2">
        <v>46115</v>
      </c>
      <c r="P2984" s="2">
        <v>46115</v>
      </c>
      <c r="Q2984">
        <f>_xlfn.XLOOKUP(E2984,CPT!$A$2:$A$13,CPT!$D$2:$D$13)</f>
        <v>38</v>
      </c>
      <c r="R2984" s="1">
        <f>_xlfn.XLOOKUP(C2984,Contract!$A$2:$A$9,Contract!$B$2:$B$9)</f>
        <v>0.38</v>
      </c>
      <c r="S2984" s="1">
        <f t="shared" si="184"/>
        <v>14.44</v>
      </c>
      <c r="T2984" s="1">
        <f t="shared" si="185"/>
        <v>1.4399999999999995</v>
      </c>
      <c r="U2984" s="1" t="str">
        <f t="shared" si="186"/>
        <v>Underpaid</v>
      </c>
      <c r="V2984" s="1" t="str">
        <f>_xlfn.XLOOKUP(C2984,Payers!$A$2:$A$9,Payers!$B$2:$B$9)</f>
        <v>Sunshine Medicare Advantage</v>
      </c>
      <c r="W2984" s="1" t="str">
        <f t="shared" si="187"/>
        <v>2026-01</v>
      </c>
    </row>
    <row r="2985" spans="1:23">
      <c r="A2985" s="1" t="s">
        <v>5043</v>
      </c>
      <c r="B2985" s="1" t="s">
        <v>5044</v>
      </c>
      <c r="C2985" s="1" t="s">
        <v>76</v>
      </c>
      <c r="D2985" s="1" t="s">
        <v>26</v>
      </c>
      <c r="E2985" s="1" t="s">
        <v>57</v>
      </c>
      <c r="F2985">
        <v>1</v>
      </c>
      <c r="G2985" s="2">
        <v>46090</v>
      </c>
      <c r="H2985" s="2">
        <v>46096</v>
      </c>
      <c r="I2985">
        <v>212.61</v>
      </c>
      <c r="J2985">
        <v>99.8</v>
      </c>
      <c r="K2985">
        <v>99.8</v>
      </c>
      <c r="L2985">
        <v>0</v>
      </c>
      <c r="M2985" s="1" t="s">
        <v>21</v>
      </c>
      <c r="N2985" s="1" t="s">
        <v>22</v>
      </c>
      <c r="O2985" s="2">
        <v>46114</v>
      </c>
      <c r="P2985" s="2">
        <v>46114</v>
      </c>
      <c r="Q2985">
        <f>_xlfn.XLOOKUP(E2985,CPT!$A$2:$A$13,CPT!$D$2:$D$13)</f>
        <v>210</v>
      </c>
      <c r="R2985" s="1">
        <f>_xlfn.XLOOKUP(C2985,Contract!$A$2:$A$9,Contract!$B$2:$B$9)</f>
        <v>0.43</v>
      </c>
      <c r="S2985" s="1">
        <f t="shared" si="184"/>
        <v>90.3</v>
      </c>
      <c r="T2985" s="1">
        <f t="shared" si="185"/>
        <v>-9.5</v>
      </c>
      <c r="U2985" s="1" t="str">
        <f t="shared" si="186"/>
        <v>OK</v>
      </c>
      <c r="V2985" s="1" t="str">
        <f>_xlfn.XLOOKUP(C2985,Payers!$A$2:$A$9,Payers!$B$2:$B$9)</f>
        <v>Summit Health Commercial</v>
      </c>
      <c r="W2985" s="1" t="str">
        <f t="shared" si="187"/>
        <v>2026-03</v>
      </c>
    </row>
    <row r="2986" spans="1:23">
      <c r="A2986" s="1" t="s">
        <v>5045</v>
      </c>
      <c r="B2986" s="1" t="s">
        <v>5046</v>
      </c>
      <c r="C2986" s="1" t="s">
        <v>18</v>
      </c>
      <c r="D2986" s="1" t="s">
        <v>19</v>
      </c>
      <c r="E2986" s="1" t="s">
        <v>20</v>
      </c>
      <c r="F2986">
        <v>1</v>
      </c>
      <c r="G2986" s="2">
        <v>46213</v>
      </c>
      <c r="H2986" s="2">
        <v>46223</v>
      </c>
      <c r="I2986">
        <v>148.63999999999999</v>
      </c>
      <c r="J2986">
        <v>59.66</v>
      </c>
      <c r="K2986">
        <v>47.73</v>
      </c>
      <c r="L2986">
        <v>11.93</v>
      </c>
      <c r="M2986" s="1" t="s">
        <v>21</v>
      </c>
      <c r="N2986" s="1" t="s">
        <v>22</v>
      </c>
      <c r="O2986" s="2">
        <v>46253</v>
      </c>
      <c r="P2986" s="2">
        <v>46253</v>
      </c>
      <c r="Q2986">
        <f>_xlfn.XLOOKUP(E2986,CPT!$A$2:$A$13,CPT!$D$2:$D$13)</f>
        <v>145</v>
      </c>
      <c r="R2986" s="1">
        <f>_xlfn.XLOOKUP(C2986,Contract!$A$2:$A$9,Contract!$B$2:$B$9)</f>
        <v>0.38</v>
      </c>
      <c r="S2986" s="1">
        <f t="shared" si="184"/>
        <v>55.1</v>
      </c>
      <c r="T2986" s="1">
        <f t="shared" si="185"/>
        <v>-4.5599999999999952</v>
      </c>
      <c r="U2986" s="1" t="str">
        <f t="shared" si="186"/>
        <v>OK</v>
      </c>
      <c r="V2986" s="1" t="str">
        <f>_xlfn.XLOOKUP(C2986,Payers!$A$2:$A$9,Payers!$B$2:$B$9)</f>
        <v>Sunshine Medicare Advantage</v>
      </c>
      <c r="W2986" s="1" t="str">
        <f t="shared" si="187"/>
        <v>2026-07</v>
      </c>
    </row>
    <row r="2987" spans="1:23">
      <c r="A2987" s="1" t="s">
        <v>5047</v>
      </c>
      <c r="B2987" s="1" t="s">
        <v>669</v>
      </c>
      <c r="C2987" s="1" t="s">
        <v>76</v>
      </c>
      <c r="D2987" s="1" t="s">
        <v>37</v>
      </c>
      <c r="E2987" s="1" t="s">
        <v>48</v>
      </c>
      <c r="F2987">
        <v>1</v>
      </c>
      <c r="G2987" s="2">
        <v>46144</v>
      </c>
      <c r="H2987" s="2">
        <v>46147</v>
      </c>
      <c r="I2987">
        <v>425.15</v>
      </c>
      <c r="J2987">
        <v>166.92</v>
      </c>
      <c r="K2987">
        <v>166.92</v>
      </c>
      <c r="L2987">
        <v>0</v>
      </c>
      <c r="M2987" s="1" t="s">
        <v>21</v>
      </c>
      <c r="N2987" s="1" t="s">
        <v>22</v>
      </c>
      <c r="O2987" s="2">
        <v>46168</v>
      </c>
      <c r="P2987" s="2">
        <v>46168</v>
      </c>
      <c r="Q2987">
        <f>_xlfn.XLOOKUP(E2987,CPT!$A$2:$A$13,CPT!$D$2:$D$13)</f>
        <v>420</v>
      </c>
      <c r="R2987" s="1">
        <f>_xlfn.XLOOKUP(C2987,Contract!$A$2:$A$9,Contract!$B$2:$B$9)</f>
        <v>0.43</v>
      </c>
      <c r="S2987" s="1">
        <f t="shared" si="184"/>
        <v>180.6</v>
      </c>
      <c r="T2987" s="1">
        <f t="shared" si="185"/>
        <v>13.680000000000007</v>
      </c>
      <c r="U2987" s="1" t="str">
        <f t="shared" si="186"/>
        <v>Underpaid</v>
      </c>
      <c r="V2987" s="1" t="str">
        <f>_xlfn.XLOOKUP(C2987,Payers!$A$2:$A$9,Payers!$B$2:$B$9)</f>
        <v>Summit Health Commercial</v>
      </c>
      <c r="W2987" s="1" t="str">
        <f t="shared" si="187"/>
        <v>2026-05</v>
      </c>
    </row>
    <row r="2988" spans="1:23">
      <c r="A2988" s="1" t="s">
        <v>5048</v>
      </c>
      <c r="B2988" s="1" t="s">
        <v>5049</v>
      </c>
      <c r="C2988" s="1" t="s">
        <v>76</v>
      </c>
      <c r="D2988" s="1" t="s">
        <v>26</v>
      </c>
      <c r="E2988" s="1" t="s">
        <v>27</v>
      </c>
      <c r="F2988">
        <v>1</v>
      </c>
      <c r="G2988" s="2">
        <v>46243</v>
      </c>
      <c r="H2988" s="2">
        <v>46245</v>
      </c>
      <c r="I2988">
        <v>244.05</v>
      </c>
      <c r="J2988">
        <v>99.75</v>
      </c>
      <c r="K2988">
        <v>89.77</v>
      </c>
      <c r="L2988">
        <v>9.98</v>
      </c>
      <c r="M2988" s="1" t="s">
        <v>21</v>
      </c>
      <c r="N2988" s="1" t="s">
        <v>22</v>
      </c>
      <c r="O2988" s="2">
        <v>46276</v>
      </c>
      <c r="P2988" s="2">
        <v>46276</v>
      </c>
      <c r="Q2988">
        <f>_xlfn.XLOOKUP(E2988,CPT!$A$2:$A$13,CPT!$D$2:$D$13)</f>
        <v>240</v>
      </c>
      <c r="R2988" s="1">
        <f>_xlfn.XLOOKUP(C2988,Contract!$A$2:$A$9,Contract!$B$2:$B$9)</f>
        <v>0.43</v>
      </c>
      <c r="S2988" s="1">
        <f t="shared" si="184"/>
        <v>103.2</v>
      </c>
      <c r="T2988" s="1">
        <f t="shared" si="185"/>
        <v>3.4500000000000028</v>
      </c>
      <c r="U2988" s="1" t="str">
        <f t="shared" si="186"/>
        <v>OK</v>
      </c>
      <c r="V2988" s="1" t="str">
        <f>_xlfn.XLOOKUP(C2988,Payers!$A$2:$A$9,Payers!$B$2:$B$9)</f>
        <v>Summit Health Commercial</v>
      </c>
      <c r="W2988" s="1" t="str">
        <f t="shared" si="187"/>
        <v>2026-08</v>
      </c>
    </row>
    <row r="2989" spans="1:23">
      <c r="A2989" s="1" t="s">
        <v>5050</v>
      </c>
      <c r="B2989" s="1" t="s">
        <v>314</v>
      </c>
      <c r="C2989" s="1" t="s">
        <v>60</v>
      </c>
      <c r="D2989" s="1" t="s">
        <v>26</v>
      </c>
      <c r="E2989" s="1" t="s">
        <v>88</v>
      </c>
      <c r="F2989">
        <v>1</v>
      </c>
      <c r="G2989" s="2">
        <v>46027</v>
      </c>
      <c r="H2989" s="2">
        <v>46033</v>
      </c>
      <c r="I2989">
        <v>263.24</v>
      </c>
      <c r="J2989">
        <v>112.97</v>
      </c>
      <c r="K2989">
        <v>112.97</v>
      </c>
      <c r="L2989">
        <v>0</v>
      </c>
      <c r="M2989" s="1" t="s">
        <v>21</v>
      </c>
      <c r="N2989" s="1" t="s">
        <v>22</v>
      </c>
      <c r="O2989" s="2">
        <v>46055</v>
      </c>
      <c r="P2989" s="2">
        <v>46055</v>
      </c>
      <c r="Q2989">
        <f>_xlfn.XLOOKUP(E2989,CPT!$A$2:$A$13,CPT!$D$2:$D$13)</f>
        <v>260</v>
      </c>
      <c r="R2989" s="1">
        <f>_xlfn.XLOOKUP(C2989,Contract!$A$2:$A$9,Contract!$B$2:$B$9)</f>
        <v>0.45</v>
      </c>
      <c r="S2989" s="1">
        <f t="shared" si="184"/>
        <v>117</v>
      </c>
      <c r="T2989" s="1">
        <f t="shared" si="185"/>
        <v>4.0300000000000011</v>
      </c>
      <c r="U2989" s="1" t="str">
        <f t="shared" si="186"/>
        <v>OK</v>
      </c>
      <c r="V2989" s="1" t="str">
        <f>_xlfn.XLOOKUP(C2989,Payers!$A$2:$A$9,Payers!$B$2:$B$9)</f>
        <v>Blue Horizon Commercial</v>
      </c>
      <c r="W2989" s="1" t="str">
        <f t="shared" si="187"/>
        <v>2026-01</v>
      </c>
    </row>
    <row r="2990" spans="1:23">
      <c r="A2990" s="1" t="s">
        <v>5051</v>
      </c>
      <c r="B2990" s="1" t="s">
        <v>2367</v>
      </c>
      <c r="C2990" s="1" t="s">
        <v>60</v>
      </c>
      <c r="D2990" s="1" t="s">
        <v>19</v>
      </c>
      <c r="E2990" s="1" t="s">
        <v>88</v>
      </c>
      <c r="F2990">
        <v>1</v>
      </c>
      <c r="G2990" s="2">
        <v>46291</v>
      </c>
      <c r="H2990" s="2">
        <v>46292</v>
      </c>
      <c r="I2990">
        <v>266.61</v>
      </c>
      <c r="M2990" s="1" t="s">
        <v>69</v>
      </c>
      <c r="N2990" s="1" t="s">
        <v>22</v>
      </c>
      <c r="O2990" s="2"/>
      <c r="P2990" s="2"/>
      <c r="Q2990">
        <f>_xlfn.XLOOKUP(E2990,CPT!$A$2:$A$13,CPT!$D$2:$D$13)</f>
        <v>260</v>
      </c>
      <c r="R2990" s="1">
        <f>_xlfn.XLOOKUP(C2990,Contract!$A$2:$A$9,Contract!$B$2:$B$9)</f>
        <v>0.45</v>
      </c>
      <c r="S2990" s="1">
        <f t="shared" si="184"/>
        <v>117</v>
      </c>
      <c r="T2990" s="1" t="str">
        <f t="shared" si="185"/>
        <v/>
      </c>
      <c r="U2990" s="1" t="str">
        <f t="shared" si="186"/>
        <v/>
      </c>
      <c r="V2990" s="1" t="str">
        <f>_xlfn.XLOOKUP(C2990,Payers!$A$2:$A$9,Payers!$B$2:$B$9)</f>
        <v>Blue Horizon Commercial</v>
      </c>
      <c r="W2990" s="1" t="str">
        <f t="shared" si="187"/>
        <v>2026-09</v>
      </c>
    </row>
    <row r="2991" spans="1:23">
      <c r="A2991" s="1" t="s">
        <v>5052</v>
      </c>
      <c r="B2991" s="1" t="s">
        <v>5053</v>
      </c>
      <c r="C2991" s="1" t="s">
        <v>76</v>
      </c>
      <c r="D2991" s="1" t="s">
        <v>30</v>
      </c>
      <c r="E2991" s="1" t="s">
        <v>31</v>
      </c>
      <c r="F2991">
        <v>4</v>
      </c>
      <c r="G2991" s="2">
        <v>46113</v>
      </c>
      <c r="H2991" s="2">
        <v>46125</v>
      </c>
      <c r="I2991">
        <v>249.57</v>
      </c>
      <c r="M2991" s="1" t="s">
        <v>32</v>
      </c>
      <c r="N2991" s="1" t="s">
        <v>33</v>
      </c>
      <c r="O2991" s="2">
        <v>46168</v>
      </c>
      <c r="P2991" s="2"/>
      <c r="Q2991">
        <f>_xlfn.XLOOKUP(E2991,CPT!$A$2:$A$13,CPT!$D$2:$D$13)</f>
        <v>62</v>
      </c>
      <c r="R2991" s="1">
        <f>_xlfn.XLOOKUP(C2991,Contract!$A$2:$A$9,Contract!$B$2:$B$9)</f>
        <v>0.43</v>
      </c>
      <c r="S2991" s="1">
        <f t="shared" si="184"/>
        <v>106.64</v>
      </c>
      <c r="T2991" s="1" t="str">
        <f t="shared" si="185"/>
        <v/>
      </c>
      <c r="U2991" s="1" t="str">
        <f t="shared" si="186"/>
        <v/>
      </c>
      <c r="V2991" s="1" t="str">
        <f>_xlfn.XLOOKUP(C2991,Payers!$A$2:$A$9,Payers!$B$2:$B$9)</f>
        <v>Summit Health Commercial</v>
      </c>
      <c r="W2991" s="1" t="str">
        <f t="shared" si="187"/>
        <v>2026-04</v>
      </c>
    </row>
    <row r="2992" spans="1:23">
      <c r="A2992" s="1" t="s">
        <v>5054</v>
      </c>
      <c r="B2992" s="1" t="s">
        <v>3250</v>
      </c>
      <c r="C2992" s="1" t="s">
        <v>47</v>
      </c>
      <c r="D2992" s="1" t="s">
        <v>30</v>
      </c>
      <c r="E2992" s="1" t="s">
        <v>91</v>
      </c>
      <c r="F2992">
        <v>4</v>
      </c>
      <c r="G2992" s="2">
        <v>45951</v>
      </c>
      <c r="H2992" s="2">
        <v>45964</v>
      </c>
      <c r="I2992">
        <v>227.81</v>
      </c>
      <c r="M2992" s="1" t="s">
        <v>32</v>
      </c>
      <c r="N2992" s="1" t="s">
        <v>281</v>
      </c>
      <c r="O2992" s="2">
        <v>46005</v>
      </c>
      <c r="P2992" s="2"/>
      <c r="Q2992">
        <f>_xlfn.XLOOKUP(E2992,CPT!$A$2:$A$13,CPT!$D$2:$D$13)</f>
        <v>58</v>
      </c>
      <c r="R2992" s="1">
        <f>_xlfn.XLOOKUP(C2992,Contract!$A$2:$A$9,Contract!$B$2:$B$9)</f>
        <v>0.28000000000000003</v>
      </c>
      <c r="S2992" s="1">
        <f t="shared" si="184"/>
        <v>64.959999999999994</v>
      </c>
      <c r="T2992" s="1" t="str">
        <f t="shared" si="185"/>
        <v/>
      </c>
      <c r="U2992" s="1" t="str">
        <f t="shared" si="186"/>
        <v/>
      </c>
      <c r="V2992" s="1" t="str">
        <f>_xlfn.XLOOKUP(C2992,Payers!$A$2:$A$9,Payers!$B$2:$B$9)</f>
        <v>Coastal Medicaid MCO</v>
      </c>
      <c r="W2992" s="1" t="str">
        <f t="shared" si="187"/>
        <v>2025-10</v>
      </c>
    </row>
    <row r="2993" spans="1:23">
      <c r="A2993" s="1" t="s">
        <v>5055</v>
      </c>
      <c r="B2993" s="1" t="s">
        <v>3469</v>
      </c>
      <c r="C2993" s="1" t="s">
        <v>18</v>
      </c>
      <c r="D2993" s="1" t="s">
        <v>30</v>
      </c>
      <c r="E2993" s="1" t="s">
        <v>20</v>
      </c>
      <c r="F2993">
        <v>1</v>
      </c>
      <c r="G2993" s="2">
        <v>46048</v>
      </c>
      <c r="H2993" s="2">
        <v>46056</v>
      </c>
      <c r="I2993">
        <v>143.72</v>
      </c>
      <c r="J2993">
        <v>60.99</v>
      </c>
      <c r="K2993">
        <v>54.89</v>
      </c>
      <c r="L2993">
        <v>6.1</v>
      </c>
      <c r="M2993" s="1" t="s">
        <v>21</v>
      </c>
      <c r="N2993" s="1" t="s">
        <v>22</v>
      </c>
      <c r="O2993" s="2">
        <v>46106</v>
      </c>
      <c r="P2993" s="2">
        <v>46106</v>
      </c>
      <c r="Q2993">
        <f>_xlfn.XLOOKUP(E2993,CPT!$A$2:$A$13,CPT!$D$2:$D$13)</f>
        <v>145</v>
      </c>
      <c r="R2993" s="1">
        <f>_xlfn.XLOOKUP(C2993,Contract!$A$2:$A$9,Contract!$B$2:$B$9)</f>
        <v>0.38</v>
      </c>
      <c r="S2993" s="1">
        <f t="shared" si="184"/>
        <v>55.1</v>
      </c>
      <c r="T2993" s="1">
        <f t="shared" si="185"/>
        <v>-5.8900000000000006</v>
      </c>
      <c r="U2993" s="1" t="str">
        <f t="shared" si="186"/>
        <v>OK</v>
      </c>
      <c r="V2993" s="1" t="str">
        <f>_xlfn.XLOOKUP(C2993,Payers!$A$2:$A$9,Payers!$B$2:$B$9)</f>
        <v>Sunshine Medicare Advantage</v>
      </c>
      <c r="W2993" s="1" t="str">
        <f t="shared" si="187"/>
        <v>2026-01</v>
      </c>
    </row>
    <row r="2994" spans="1:23">
      <c r="A2994" s="1" t="s">
        <v>5056</v>
      </c>
      <c r="B2994" s="1" t="s">
        <v>1230</v>
      </c>
      <c r="C2994" s="1" t="s">
        <v>60</v>
      </c>
      <c r="D2994" s="1" t="s">
        <v>30</v>
      </c>
      <c r="E2994" s="1" t="s">
        <v>31</v>
      </c>
      <c r="F2994">
        <v>2</v>
      </c>
      <c r="G2994" s="2">
        <v>46013</v>
      </c>
      <c r="H2994" s="2">
        <v>46025</v>
      </c>
      <c r="I2994">
        <v>125.85</v>
      </c>
      <c r="J2994">
        <v>56.6</v>
      </c>
      <c r="K2994">
        <v>50.94</v>
      </c>
      <c r="L2994">
        <v>5.66</v>
      </c>
      <c r="M2994" s="1" t="s">
        <v>21</v>
      </c>
      <c r="N2994" s="1" t="s">
        <v>22</v>
      </c>
      <c r="O2994" s="2">
        <v>46054</v>
      </c>
      <c r="P2994" s="2">
        <v>46054</v>
      </c>
      <c r="Q2994">
        <f>_xlfn.XLOOKUP(E2994,CPT!$A$2:$A$13,CPT!$D$2:$D$13)</f>
        <v>62</v>
      </c>
      <c r="R2994" s="1">
        <f>_xlfn.XLOOKUP(C2994,Contract!$A$2:$A$9,Contract!$B$2:$B$9)</f>
        <v>0.45</v>
      </c>
      <c r="S2994" s="1">
        <f t="shared" si="184"/>
        <v>55.8</v>
      </c>
      <c r="T2994" s="1">
        <f t="shared" si="185"/>
        <v>-0.80000000000000426</v>
      </c>
      <c r="U2994" s="1" t="str">
        <f t="shared" si="186"/>
        <v>OK</v>
      </c>
      <c r="V2994" s="1" t="str">
        <f>_xlfn.XLOOKUP(C2994,Payers!$A$2:$A$9,Payers!$B$2:$B$9)</f>
        <v>Blue Horizon Commercial</v>
      </c>
      <c r="W2994" s="1" t="str">
        <f t="shared" si="187"/>
        <v>2025-12</v>
      </c>
    </row>
    <row r="2995" spans="1:23">
      <c r="A2995" s="1" t="s">
        <v>5057</v>
      </c>
      <c r="B2995" s="1" t="s">
        <v>4636</v>
      </c>
      <c r="C2995" s="1" t="s">
        <v>76</v>
      </c>
      <c r="D2995" s="1" t="s">
        <v>30</v>
      </c>
      <c r="E2995" s="1" t="s">
        <v>31</v>
      </c>
      <c r="F2995">
        <v>1</v>
      </c>
      <c r="G2995" s="2">
        <v>45984</v>
      </c>
      <c r="H2995" s="2">
        <v>45987</v>
      </c>
      <c r="I2995">
        <v>63.85</v>
      </c>
      <c r="J2995">
        <v>29.98</v>
      </c>
      <c r="K2995">
        <v>26.98</v>
      </c>
      <c r="L2995">
        <v>3</v>
      </c>
      <c r="M2995" s="1" t="s">
        <v>21</v>
      </c>
      <c r="N2995" s="1" t="s">
        <v>22</v>
      </c>
      <c r="O2995" s="2">
        <v>46015</v>
      </c>
      <c r="P2995" s="2">
        <v>46015</v>
      </c>
      <c r="Q2995">
        <f>_xlfn.XLOOKUP(E2995,CPT!$A$2:$A$13,CPT!$D$2:$D$13)</f>
        <v>62</v>
      </c>
      <c r="R2995" s="1">
        <f>_xlfn.XLOOKUP(C2995,Contract!$A$2:$A$9,Contract!$B$2:$B$9)</f>
        <v>0.43</v>
      </c>
      <c r="S2995" s="1">
        <f t="shared" si="184"/>
        <v>26.66</v>
      </c>
      <c r="T2995" s="1">
        <f t="shared" si="185"/>
        <v>-3.3200000000000003</v>
      </c>
      <c r="U2995" s="1" t="str">
        <f t="shared" si="186"/>
        <v>OK</v>
      </c>
      <c r="V2995" s="1" t="str">
        <f>_xlfn.XLOOKUP(C2995,Payers!$A$2:$A$9,Payers!$B$2:$B$9)</f>
        <v>Summit Health Commercial</v>
      </c>
      <c r="W2995" s="1" t="str">
        <f t="shared" si="187"/>
        <v>2025-11</v>
      </c>
    </row>
    <row r="2996" spans="1:23">
      <c r="A2996" s="1" t="s">
        <v>5058</v>
      </c>
      <c r="B2996" s="1" t="s">
        <v>975</v>
      </c>
      <c r="C2996" s="1" t="s">
        <v>18</v>
      </c>
      <c r="D2996" s="1" t="s">
        <v>30</v>
      </c>
      <c r="E2996" s="1" t="s">
        <v>91</v>
      </c>
      <c r="F2996">
        <v>1</v>
      </c>
      <c r="G2996" s="2">
        <v>45944</v>
      </c>
      <c r="H2996" s="2">
        <v>46040</v>
      </c>
      <c r="I2996">
        <v>57.08</v>
      </c>
      <c r="M2996" s="1" t="s">
        <v>32</v>
      </c>
      <c r="N2996" s="1" t="s">
        <v>137</v>
      </c>
      <c r="O2996" s="2">
        <v>46077</v>
      </c>
      <c r="P2996" s="2"/>
      <c r="Q2996">
        <f>_xlfn.XLOOKUP(E2996,CPT!$A$2:$A$13,CPT!$D$2:$D$13)</f>
        <v>58</v>
      </c>
      <c r="R2996" s="1">
        <f>_xlfn.XLOOKUP(C2996,Contract!$A$2:$A$9,Contract!$B$2:$B$9)</f>
        <v>0.38</v>
      </c>
      <c r="S2996" s="1">
        <f t="shared" si="184"/>
        <v>22.04</v>
      </c>
      <c r="T2996" s="1" t="str">
        <f t="shared" si="185"/>
        <v/>
      </c>
      <c r="U2996" s="1" t="str">
        <f t="shared" si="186"/>
        <v/>
      </c>
      <c r="V2996" s="1" t="str">
        <f>_xlfn.XLOOKUP(C2996,Payers!$A$2:$A$9,Payers!$B$2:$B$9)</f>
        <v>Sunshine Medicare Advantage</v>
      </c>
      <c r="W2996" s="1" t="str">
        <f t="shared" si="187"/>
        <v>2025-10</v>
      </c>
    </row>
    <row r="2997" spans="1:23">
      <c r="A2997" s="1" t="s">
        <v>5059</v>
      </c>
      <c r="B2997" s="1" t="s">
        <v>3505</v>
      </c>
      <c r="C2997" s="1" t="s">
        <v>60</v>
      </c>
      <c r="D2997" s="1" t="s">
        <v>37</v>
      </c>
      <c r="E2997" s="1" t="s">
        <v>38</v>
      </c>
      <c r="F2997">
        <v>10</v>
      </c>
      <c r="G2997" s="2">
        <v>46187</v>
      </c>
      <c r="H2997" s="2">
        <v>46192</v>
      </c>
      <c r="I2997">
        <v>14329.96</v>
      </c>
      <c r="M2997" s="1" t="s">
        <v>32</v>
      </c>
      <c r="N2997" s="1" t="s">
        <v>315</v>
      </c>
      <c r="O2997" s="2">
        <v>46217</v>
      </c>
      <c r="P2997" s="2"/>
      <c r="Q2997">
        <f>_xlfn.XLOOKUP(E2997,CPT!$A$2:$A$13,CPT!$D$2:$D$13)</f>
        <v>1450</v>
      </c>
      <c r="R2997" s="1">
        <f>_xlfn.XLOOKUP(C2997,Contract!$A$2:$A$9,Contract!$B$2:$B$9)</f>
        <v>0.45</v>
      </c>
      <c r="S2997" s="1">
        <f t="shared" si="184"/>
        <v>6525</v>
      </c>
      <c r="T2997" s="1" t="str">
        <f t="shared" si="185"/>
        <v/>
      </c>
      <c r="U2997" s="1" t="str">
        <f t="shared" si="186"/>
        <v/>
      </c>
      <c r="V2997" s="1" t="str">
        <f>_xlfn.XLOOKUP(C2997,Payers!$A$2:$A$9,Payers!$B$2:$B$9)</f>
        <v>Blue Horizon Commercial</v>
      </c>
      <c r="W2997" s="1" t="str">
        <f t="shared" si="187"/>
        <v>2026-06</v>
      </c>
    </row>
    <row r="2998" spans="1:23">
      <c r="A2998" s="1" t="s">
        <v>5060</v>
      </c>
      <c r="B2998" s="1" t="s">
        <v>4346</v>
      </c>
      <c r="C2998" s="1" t="s">
        <v>25</v>
      </c>
      <c r="D2998" s="1" t="s">
        <v>19</v>
      </c>
      <c r="E2998" s="1" t="s">
        <v>41</v>
      </c>
      <c r="F2998">
        <v>1</v>
      </c>
      <c r="G2998" s="2">
        <v>46254</v>
      </c>
      <c r="H2998" s="2">
        <v>46260</v>
      </c>
      <c r="I2998">
        <v>37.299999999999997</v>
      </c>
      <c r="J2998">
        <v>13.87</v>
      </c>
      <c r="K2998">
        <v>13.87</v>
      </c>
      <c r="L2998">
        <v>0</v>
      </c>
      <c r="M2998" s="1" t="s">
        <v>21</v>
      </c>
      <c r="N2998" s="1" t="s">
        <v>22</v>
      </c>
      <c r="O2998" s="2">
        <v>46266</v>
      </c>
      <c r="P2998" s="2">
        <v>46266</v>
      </c>
      <c r="Q2998">
        <f>_xlfn.XLOOKUP(E2998,CPT!$A$2:$A$13,CPT!$D$2:$D$13)</f>
        <v>38</v>
      </c>
      <c r="R2998" s="1">
        <f>_xlfn.XLOOKUP(C2998,Contract!$A$2:$A$9,Contract!$B$2:$B$9)</f>
        <v>0.36</v>
      </c>
      <c r="S2998" s="1">
        <f t="shared" si="184"/>
        <v>13.68</v>
      </c>
      <c r="T2998" s="1">
        <f t="shared" si="185"/>
        <v>-0.1899999999999995</v>
      </c>
      <c r="U2998" s="1" t="str">
        <f t="shared" si="186"/>
        <v>OK</v>
      </c>
      <c r="V2998" s="1" t="str">
        <f>_xlfn.XLOOKUP(C2998,Payers!$A$2:$A$9,Payers!$B$2:$B$9)</f>
        <v>Medicare Part B</v>
      </c>
      <c r="W2998" s="1" t="str">
        <f t="shared" si="187"/>
        <v>2026-08</v>
      </c>
    </row>
    <row r="2999" spans="1:23">
      <c r="A2999" s="1" t="s">
        <v>5061</v>
      </c>
      <c r="B2999" s="1" t="s">
        <v>5062</v>
      </c>
      <c r="C2999" s="1" t="s">
        <v>76</v>
      </c>
      <c r="D2999" s="1" t="s">
        <v>37</v>
      </c>
      <c r="E2999" s="1" t="s">
        <v>38</v>
      </c>
      <c r="F2999">
        <v>20</v>
      </c>
      <c r="G2999" s="2">
        <v>46260</v>
      </c>
      <c r="H2999" s="2">
        <v>46262</v>
      </c>
      <c r="I2999">
        <v>29285.87</v>
      </c>
      <c r="M2999" s="1" t="s">
        <v>69</v>
      </c>
      <c r="N2999" s="1" t="s">
        <v>22</v>
      </c>
      <c r="O2999" s="2"/>
      <c r="P2999" s="2"/>
      <c r="Q2999">
        <f>_xlfn.XLOOKUP(E2999,CPT!$A$2:$A$13,CPT!$D$2:$D$13)</f>
        <v>1450</v>
      </c>
      <c r="R2999" s="1">
        <f>_xlfn.XLOOKUP(C2999,Contract!$A$2:$A$9,Contract!$B$2:$B$9)</f>
        <v>0.43</v>
      </c>
      <c r="S2999" s="1">
        <f t="shared" si="184"/>
        <v>12470</v>
      </c>
      <c r="T2999" s="1" t="str">
        <f t="shared" si="185"/>
        <v/>
      </c>
      <c r="U2999" s="1" t="str">
        <f t="shared" si="186"/>
        <v/>
      </c>
      <c r="V2999" s="1" t="str">
        <f>_xlfn.XLOOKUP(C2999,Payers!$A$2:$A$9,Payers!$B$2:$B$9)</f>
        <v>Summit Health Commercial</v>
      </c>
      <c r="W2999" s="1" t="str">
        <f t="shared" si="187"/>
        <v>2026-08</v>
      </c>
    </row>
    <row r="3000" spans="1:23">
      <c r="A3000" s="1" t="s">
        <v>5063</v>
      </c>
      <c r="B3000" s="1" t="s">
        <v>3478</v>
      </c>
      <c r="C3000" s="1" t="s">
        <v>76</v>
      </c>
      <c r="D3000" s="1" t="s">
        <v>26</v>
      </c>
      <c r="E3000" s="1" t="s">
        <v>113</v>
      </c>
      <c r="F3000">
        <v>1</v>
      </c>
      <c r="G3000" s="2">
        <v>45954</v>
      </c>
      <c r="H3000" s="2">
        <v>45956</v>
      </c>
      <c r="I3000">
        <v>1069.2</v>
      </c>
      <c r="J3000">
        <v>395.31</v>
      </c>
      <c r="K3000">
        <v>395.31</v>
      </c>
      <c r="L3000">
        <v>0</v>
      </c>
      <c r="M3000" s="1" t="s">
        <v>21</v>
      </c>
      <c r="N3000" s="1" t="s">
        <v>22</v>
      </c>
      <c r="O3000" s="2">
        <v>45984</v>
      </c>
      <c r="P3000" s="2">
        <v>45984</v>
      </c>
      <c r="Q3000">
        <f>_xlfn.XLOOKUP(E3000,CPT!$A$2:$A$13,CPT!$D$2:$D$13)</f>
        <v>1050</v>
      </c>
      <c r="R3000" s="1">
        <f>_xlfn.XLOOKUP(C3000,Contract!$A$2:$A$9,Contract!$B$2:$B$9)</f>
        <v>0.43</v>
      </c>
      <c r="S3000" s="1">
        <f t="shared" si="184"/>
        <v>451.5</v>
      </c>
      <c r="T3000" s="1">
        <f t="shared" si="185"/>
        <v>56.19</v>
      </c>
      <c r="U3000" s="1" t="str">
        <f t="shared" si="186"/>
        <v>Underpaid</v>
      </c>
      <c r="V3000" s="1" t="str">
        <f>_xlfn.XLOOKUP(C3000,Payers!$A$2:$A$9,Payers!$B$2:$B$9)</f>
        <v>Summit Health Commercial</v>
      </c>
      <c r="W3000" s="1" t="str">
        <f t="shared" si="187"/>
        <v>2025-10</v>
      </c>
    </row>
    <row r="3001" spans="1:23">
      <c r="A3001" s="1" t="s">
        <v>5064</v>
      </c>
      <c r="B3001" s="1" t="s">
        <v>1841</v>
      </c>
      <c r="C3001" s="1" t="s">
        <v>79</v>
      </c>
      <c r="D3001" s="1" t="s">
        <v>26</v>
      </c>
      <c r="E3001" s="1" t="s">
        <v>185</v>
      </c>
      <c r="F3001">
        <v>1</v>
      </c>
      <c r="G3001" s="2">
        <v>46164</v>
      </c>
      <c r="H3001" s="2">
        <v>46165</v>
      </c>
      <c r="I3001">
        <v>1154.9100000000001</v>
      </c>
      <c r="J3001">
        <v>1154.9100000000001</v>
      </c>
      <c r="K3001">
        <v>1154.9100000000001</v>
      </c>
      <c r="L3001">
        <v>0</v>
      </c>
      <c r="M3001" s="1" t="s">
        <v>21</v>
      </c>
      <c r="N3001" s="1" t="s">
        <v>22</v>
      </c>
      <c r="O3001" s="2">
        <v>46232</v>
      </c>
      <c r="P3001" s="2">
        <v>46232</v>
      </c>
      <c r="Q3001">
        <f>_xlfn.XLOOKUP(E3001,CPT!$A$2:$A$13,CPT!$D$2:$D$13)</f>
        <v>1150</v>
      </c>
      <c r="R3001" s="1">
        <f>_xlfn.XLOOKUP(C3001,Contract!$A$2:$A$9,Contract!$B$2:$B$9)</f>
        <v>1</v>
      </c>
      <c r="S3001" s="1">
        <f t="shared" si="184"/>
        <v>1150</v>
      </c>
      <c r="T3001" s="1">
        <f t="shared" si="185"/>
        <v>-4.9100000000000819</v>
      </c>
      <c r="U3001" s="1" t="str">
        <f t="shared" si="186"/>
        <v>OK</v>
      </c>
      <c r="V3001" s="1" t="str">
        <f>_xlfn.XLOOKUP(C3001,Payers!$A$2:$A$9,Payers!$B$2:$B$9)</f>
        <v>Self-Pay</v>
      </c>
      <c r="W3001" s="1" t="str">
        <f t="shared" si="187"/>
        <v>2026-05</v>
      </c>
    </row>
    <row r="3002" spans="1:23">
      <c r="A3002" s="1" t="s">
        <v>5065</v>
      </c>
      <c r="B3002" s="1" t="s">
        <v>2062</v>
      </c>
      <c r="C3002" s="1" t="s">
        <v>18</v>
      </c>
      <c r="D3002" s="1" t="s">
        <v>37</v>
      </c>
      <c r="E3002" s="1" t="s">
        <v>38</v>
      </c>
      <c r="F3002">
        <v>20</v>
      </c>
      <c r="G3002" s="2">
        <v>46236</v>
      </c>
      <c r="H3002" s="2">
        <v>46244</v>
      </c>
      <c r="I3002">
        <v>28866.48</v>
      </c>
      <c r="M3002" s="1" t="s">
        <v>69</v>
      </c>
      <c r="N3002" s="1" t="s">
        <v>22</v>
      </c>
      <c r="O3002" s="2"/>
      <c r="P3002" s="2"/>
      <c r="Q3002">
        <f>_xlfn.XLOOKUP(E3002,CPT!$A$2:$A$13,CPT!$D$2:$D$13)</f>
        <v>1450</v>
      </c>
      <c r="R3002" s="1">
        <f>_xlfn.XLOOKUP(C3002,Contract!$A$2:$A$9,Contract!$B$2:$B$9)</f>
        <v>0.38</v>
      </c>
      <c r="S3002" s="1">
        <f t="shared" si="184"/>
        <v>11020</v>
      </c>
      <c r="T3002" s="1" t="str">
        <f t="shared" si="185"/>
        <v/>
      </c>
      <c r="U3002" s="1" t="str">
        <f t="shared" si="186"/>
        <v/>
      </c>
      <c r="V3002" s="1" t="str">
        <f>_xlfn.XLOOKUP(C3002,Payers!$A$2:$A$9,Payers!$B$2:$B$9)</f>
        <v>Sunshine Medicare Advantage</v>
      </c>
      <c r="W3002" s="1" t="str">
        <f t="shared" si="187"/>
        <v>2026-08</v>
      </c>
    </row>
    <row r="3003" spans="1:23">
      <c r="A3003" s="1" t="s">
        <v>5066</v>
      </c>
      <c r="B3003" s="1" t="s">
        <v>5067</v>
      </c>
      <c r="C3003" s="1" t="s">
        <v>36</v>
      </c>
      <c r="D3003" s="1" t="s">
        <v>26</v>
      </c>
      <c r="E3003" s="1" t="s">
        <v>27</v>
      </c>
      <c r="F3003">
        <v>1</v>
      </c>
      <c r="G3003" s="2">
        <v>46238</v>
      </c>
      <c r="H3003" s="2">
        <v>46242</v>
      </c>
      <c r="I3003">
        <v>245.63</v>
      </c>
      <c r="J3003">
        <v>66.25</v>
      </c>
      <c r="K3003">
        <v>53</v>
      </c>
      <c r="L3003">
        <v>13.25</v>
      </c>
      <c r="M3003" s="1" t="s">
        <v>21</v>
      </c>
      <c r="N3003" s="1" t="s">
        <v>22</v>
      </c>
      <c r="O3003" s="2">
        <v>46287</v>
      </c>
      <c r="P3003" s="2">
        <v>46287</v>
      </c>
      <c r="Q3003">
        <f>_xlfn.XLOOKUP(E3003,CPT!$A$2:$A$13,CPT!$D$2:$D$13)</f>
        <v>240</v>
      </c>
      <c r="R3003" s="1">
        <f>_xlfn.XLOOKUP(C3003,Contract!$A$2:$A$9,Contract!$B$2:$B$9)</f>
        <v>0.27</v>
      </c>
      <c r="S3003" s="1">
        <f t="shared" si="184"/>
        <v>64.8</v>
      </c>
      <c r="T3003" s="1">
        <f t="shared" si="185"/>
        <v>-1.4500000000000028</v>
      </c>
      <c r="U3003" s="1" t="str">
        <f t="shared" si="186"/>
        <v>OK</v>
      </c>
      <c r="V3003" s="1" t="str">
        <f>_xlfn.XLOOKUP(C3003,Payers!$A$2:$A$9,Payers!$B$2:$B$9)</f>
        <v>Florida Medicaid</v>
      </c>
      <c r="W3003" s="1" t="str">
        <f t="shared" si="187"/>
        <v>2026-08</v>
      </c>
    </row>
    <row r="3004" spans="1:23">
      <c r="A3004" s="1" t="s">
        <v>5068</v>
      </c>
      <c r="B3004" s="1" t="s">
        <v>402</v>
      </c>
      <c r="C3004" s="1" t="s">
        <v>47</v>
      </c>
      <c r="D3004" s="1" t="s">
        <v>19</v>
      </c>
      <c r="E3004" s="1" t="s">
        <v>41</v>
      </c>
      <c r="F3004">
        <v>1</v>
      </c>
      <c r="G3004" s="2">
        <v>45963</v>
      </c>
      <c r="H3004" s="2">
        <v>45966</v>
      </c>
      <c r="I3004">
        <v>37.36</v>
      </c>
      <c r="J3004">
        <v>9.2200000000000006</v>
      </c>
      <c r="K3004">
        <v>9.2200000000000006</v>
      </c>
      <c r="L3004">
        <v>0</v>
      </c>
      <c r="M3004" s="1" t="s">
        <v>21</v>
      </c>
      <c r="N3004" s="1" t="s">
        <v>22</v>
      </c>
      <c r="O3004" s="2">
        <v>46032</v>
      </c>
      <c r="P3004" s="2">
        <v>46032</v>
      </c>
      <c r="Q3004">
        <f>_xlfn.XLOOKUP(E3004,CPT!$A$2:$A$13,CPT!$D$2:$D$13)</f>
        <v>38</v>
      </c>
      <c r="R3004" s="1">
        <f>_xlfn.XLOOKUP(C3004,Contract!$A$2:$A$9,Contract!$B$2:$B$9)</f>
        <v>0.28000000000000003</v>
      </c>
      <c r="S3004" s="1">
        <f t="shared" si="184"/>
        <v>10.64</v>
      </c>
      <c r="T3004" s="1">
        <f t="shared" si="185"/>
        <v>1.42</v>
      </c>
      <c r="U3004" s="1" t="str">
        <f t="shared" si="186"/>
        <v>Underpaid</v>
      </c>
      <c r="V3004" s="1" t="str">
        <f>_xlfn.XLOOKUP(C3004,Payers!$A$2:$A$9,Payers!$B$2:$B$9)</f>
        <v>Coastal Medicaid MCO</v>
      </c>
      <c r="W3004" s="1" t="str">
        <f t="shared" si="187"/>
        <v>2025-11</v>
      </c>
    </row>
    <row r="3005" spans="1:23">
      <c r="A3005" s="1" t="s">
        <v>5069</v>
      </c>
      <c r="B3005" s="1" t="s">
        <v>4274</v>
      </c>
      <c r="C3005" s="1" t="s">
        <v>60</v>
      </c>
      <c r="D3005" s="1" t="s">
        <v>19</v>
      </c>
      <c r="E3005" s="1" t="s">
        <v>57</v>
      </c>
      <c r="F3005">
        <v>1</v>
      </c>
      <c r="G3005" s="2">
        <v>46190</v>
      </c>
      <c r="H3005" s="2">
        <v>46191</v>
      </c>
      <c r="I3005">
        <v>209.7</v>
      </c>
      <c r="J3005">
        <v>96.92</v>
      </c>
      <c r="K3005">
        <v>87.23</v>
      </c>
      <c r="L3005">
        <v>9.69</v>
      </c>
      <c r="M3005" s="1" t="s">
        <v>21</v>
      </c>
      <c r="N3005" s="1" t="s">
        <v>22</v>
      </c>
      <c r="O3005" s="2">
        <v>46229</v>
      </c>
      <c r="P3005" s="2">
        <v>46229</v>
      </c>
      <c r="Q3005">
        <f>_xlfn.XLOOKUP(E3005,CPT!$A$2:$A$13,CPT!$D$2:$D$13)</f>
        <v>210</v>
      </c>
      <c r="R3005" s="1">
        <f>_xlfn.XLOOKUP(C3005,Contract!$A$2:$A$9,Contract!$B$2:$B$9)</f>
        <v>0.45</v>
      </c>
      <c r="S3005" s="1">
        <f t="shared" si="184"/>
        <v>94.5</v>
      </c>
      <c r="T3005" s="1">
        <f t="shared" si="185"/>
        <v>-2.4200000000000017</v>
      </c>
      <c r="U3005" s="1" t="str">
        <f t="shared" si="186"/>
        <v>OK</v>
      </c>
      <c r="V3005" s="1" t="str">
        <f>_xlfn.XLOOKUP(C3005,Payers!$A$2:$A$9,Payers!$B$2:$B$9)</f>
        <v>Blue Horizon Commercial</v>
      </c>
      <c r="W3005" s="1" t="str">
        <f t="shared" si="187"/>
        <v>2026-06</v>
      </c>
    </row>
    <row r="3006" spans="1:23">
      <c r="A3006" s="1" t="s">
        <v>5070</v>
      </c>
      <c r="B3006" s="1" t="s">
        <v>5071</v>
      </c>
      <c r="C3006" s="1" t="s">
        <v>47</v>
      </c>
      <c r="D3006" s="1" t="s">
        <v>37</v>
      </c>
      <c r="E3006" s="1" t="s">
        <v>48</v>
      </c>
      <c r="F3006">
        <v>1</v>
      </c>
      <c r="G3006" s="2">
        <v>45974</v>
      </c>
      <c r="H3006" s="2">
        <v>45981</v>
      </c>
      <c r="I3006">
        <v>423.66</v>
      </c>
      <c r="J3006">
        <v>108.03</v>
      </c>
      <c r="K3006">
        <v>108.03</v>
      </c>
      <c r="L3006">
        <v>0</v>
      </c>
      <c r="M3006" s="1" t="s">
        <v>21</v>
      </c>
      <c r="N3006" s="1" t="s">
        <v>22</v>
      </c>
      <c r="O3006" s="2">
        <v>46059</v>
      </c>
      <c r="P3006" s="2">
        <v>46059</v>
      </c>
      <c r="Q3006">
        <f>_xlfn.XLOOKUP(E3006,CPT!$A$2:$A$13,CPT!$D$2:$D$13)</f>
        <v>420</v>
      </c>
      <c r="R3006" s="1">
        <f>_xlfn.XLOOKUP(C3006,Contract!$A$2:$A$9,Contract!$B$2:$B$9)</f>
        <v>0.28000000000000003</v>
      </c>
      <c r="S3006" s="1">
        <f t="shared" si="184"/>
        <v>117.6</v>
      </c>
      <c r="T3006" s="1">
        <f t="shared" si="185"/>
        <v>9.5699999999999932</v>
      </c>
      <c r="U3006" s="1" t="str">
        <f t="shared" si="186"/>
        <v>Underpaid</v>
      </c>
      <c r="V3006" s="1" t="str">
        <f>_xlfn.XLOOKUP(C3006,Payers!$A$2:$A$9,Payers!$B$2:$B$9)</f>
        <v>Coastal Medicaid MCO</v>
      </c>
      <c r="W3006" s="1" t="str">
        <f t="shared" si="187"/>
        <v>2025-11</v>
      </c>
    </row>
    <row r="3007" spans="1:23">
      <c r="A3007" s="1" t="s">
        <v>5072</v>
      </c>
      <c r="B3007" s="1" t="s">
        <v>4857</v>
      </c>
      <c r="C3007" s="1" t="s">
        <v>25</v>
      </c>
      <c r="D3007" s="1" t="s">
        <v>30</v>
      </c>
      <c r="E3007" s="1" t="s">
        <v>20</v>
      </c>
      <c r="F3007">
        <v>1</v>
      </c>
      <c r="G3007" s="2">
        <v>46090</v>
      </c>
      <c r="H3007" s="2">
        <v>46091</v>
      </c>
      <c r="I3007">
        <v>146.97999999999999</v>
      </c>
      <c r="J3007">
        <v>50.41</v>
      </c>
      <c r="K3007">
        <v>40.33</v>
      </c>
      <c r="L3007">
        <v>10.08</v>
      </c>
      <c r="M3007" s="1" t="s">
        <v>21</v>
      </c>
      <c r="N3007" s="1" t="s">
        <v>22</v>
      </c>
      <c r="O3007" s="2">
        <v>46113</v>
      </c>
      <c r="P3007" s="2">
        <v>46113</v>
      </c>
      <c r="Q3007">
        <f>_xlfn.XLOOKUP(E3007,CPT!$A$2:$A$13,CPT!$D$2:$D$13)</f>
        <v>145</v>
      </c>
      <c r="R3007" s="1">
        <f>_xlfn.XLOOKUP(C3007,Contract!$A$2:$A$9,Contract!$B$2:$B$9)</f>
        <v>0.36</v>
      </c>
      <c r="S3007" s="1">
        <f t="shared" si="184"/>
        <v>52.2</v>
      </c>
      <c r="T3007" s="1">
        <f t="shared" si="185"/>
        <v>1.7900000000000063</v>
      </c>
      <c r="U3007" s="1" t="str">
        <f t="shared" si="186"/>
        <v>OK</v>
      </c>
      <c r="V3007" s="1" t="str">
        <f>_xlfn.XLOOKUP(C3007,Payers!$A$2:$A$9,Payers!$B$2:$B$9)</f>
        <v>Medicare Part B</v>
      </c>
      <c r="W3007" s="1" t="str">
        <f t="shared" si="187"/>
        <v>2026-03</v>
      </c>
    </row>
    <row r="3008" spans="1:23">
      <c r="A3008" s="1" t="s">
        <v>5073</v>
      </c>
      <c r="B3008" s="1" t="s">
        <v>2353</v>
      </c>
      <c r="C3008" s="1" t="s">
        <v>25</v>
      </c>
      <c r="D3008" s="1" t="s">
        <v>26</v>
      </c>
      <c r="E3008" s="1" t="s">
        <v>185</v>
      </c>
      <c r="F3008">
        <v>1</v>
      </c>
      <c r="G3008" s="2">
        <v>46222</v>
      </c>
      <c r="H3008" s="2">
        <v>46239</v>
      </c>
      <c r="I3008">
        <v>1122.82</v>
      </c>
      <c r="J3008">
        <v>371.32</v>
      </c>
      <c r="K3008">
        <v>334.19</v>
      </c>
      <c r="L3008">
        <v>37.130000000000003</v>
      </c>
      <c r="M3008" s="1" t="s">
        <v>21</v>
      </c>
      <c r="N3008" s="1" t="s">
        <v>22</v>
      </c>
      <c r="O3008" s="2">
        <v>46254</v>
      </c>
      <c r="P3008" s="2">
        <v>46254</v>
      </c>
      <c r="Q3008">
        <f>_xlfn.XLOOKUP(E3008,CPT!$A$2:$A$13,CPT!$D$2:$D$13)</f>
        <v>1150</v>
      </c>
      <c r="R3008" s="1">
        <f>_xlfn.XLOOKUP(C3008,Contract!$A$2:$A$9,Contract!$B$2:$B$9)</f>
        <v>0.36</v>
      </c>
      <c r="S3008" s="1">
        <f t="shared" si="184"/>
        <v>414</v>
      </c>
      <c r="T3008" s="1">
        <f t="shared" si="185"/>
        <v>42.680000000000007</v>
      </c>
      <c r="U3008" s="1" t="str">
        <f t="shared" si="186"/>
        <v>Underpaid</v>
      </c>
      <c r="V3008" s="1" t="str">
        <f>_xlfn.XLOOKUP(C3008,Payers!$A$2:$A$9,Payers!$B$2:$B$9)</f>
        <v>Medicare Part B</v>
      </c>
      <c r="W3008" s="1" t="str">
        <f t="shared" si="187"/>
        <v>2026-07</v>
      </c>
    </row>
    <row r="3009" spans="1:23">
      <c r="A3009" s="1" t="s">
        <v>5074</v>
      </c>
      <c r="B3009" s="1" t="s">
        <v>2371</v>
      </c>
      <c r="C3009" s="1" t="s">
        <v>60</v>
      </c>
      <c r="D3009" s="1" t="s">
        <v>30</v>
      </c>
      <c r="E3009" s="1" t="s">
        <v>20</v>
      </c>
      <c r="F3009">
        <v>1</v>
      </c>
      <c r="G3009" s="2">
        <v>46051</v>
      </c>
      <c r="H3009" s="2">
        <v>46054</v>
      </c>
      <c r="I3009">
        <v>145.72999999999999</v>
      </c>
      <c r="J3009">
        <v>56.01</v>
      </c>
      <c r="K3009">
        <v>44.81</v>
      </c>
      <c r="L3009">
        <v>11.2</v>
      </c>
      <c r="M3009" s="1" t="s">
        <v>21</v>
      </c>
      <c r="N3009" s="1" t="s">
        <v>22</v>
      </c>
      <c r="O3009" s="2">
        <v>46084</v>
      </c>
      <c r="P3009" s="2">
        <v>46084</v>
      </c>
      <c r="Q3009">
        <f>_xlfn.XLOOKUP(E3009,CPT!$A$2:$A$13,CPT!$D$2:$D$13)</f>
        <v>145</v>
      </c>
      <c r="R3009" s="1">
        <f>_xlfn.XLOOKUP(C3009,Contract!$A$2:$A$9,Contract!$B$2:$B$9)</f>
        <v>0.45</v>
      </c>
      <c r="S3009" s="1">
        <f t="shared" si="184"/>
        <v>65.25</v>
      </c>
      <c r="T3009" s="1">
        <f t="shared" si="185"/>
        <v>9.240000000000002</v>
      </c>
      <c r="U3009" s="1" t="str">
        <f t="shared" si="186"/>
        <v>Underpaid</v>
      </c>
      <c r="V3009" s="1" t="str">
        <f>_xlfn.XLOOKUP(C3009,Payers!$A$2:$A$9,Payers!$B$2:$B$9)</f>
        <v>Blue Horizon Commercial</v>
      </c>
      <c r="W3009" s="1" t="str">
        <f t="shared" si="187"/>
        <v>2026-01</v>
      </c>
    </row>
    <row r="3010" spans="1:23">
      <c r="A3010" s="1" t="s">
        <v>5075</v>
      </c>
      <c r="B3010" s="1" t="s">
        <v>1125</v>
      </c>
      <c r="C3010" s="1" t="s">
        <v>47</v>
      </c>
      <c r="D3010" s="1" t="s">
        <v>19</v>
      </c>
      <c r="E3010" s="1" t="s">
        <v>41</v>
      </c>
      <c r="F3010">
        <v>1</v>
      </c>
      <c r="G3010" s="2">
        <v>45935</v>
      </c>
      <c r="H3010" s="2">
        <v>45936</v>
      </c>
      <c r="I3010">
        <v>37.18</v>
      </c>
      <c r="J3010">
        <v>10.81</v>
      </c>
      <c r="K3010">
        <v>9.73</v>
      </c>
      <c r="L3010">
        <v>1.08</v>
      </c>
      <c r="M3010" s="1" t="s">
        <v>21</v>
      </c>
      <c r="N3010" s="1" t="s">
        <v>22</v>
      </c>
      <c r="O3010" s="2">
        <v>45998</v>
      </c>
      <c r="P3010" s="2">
        <v>45998</v>
      </c>
      <c r="Q3010">
        <f>_xlfn.XLOOKUP(E3010,CPT!$A$2:$A$13,CPT!$D$2:$D$13)</f>
        <v>38</v>
      </c>
      <c r="R3010" s="1">
        <f>_xlfn.XLOOKUP(C3010,Contract!$A$2:$A$9,Contract!$B$2:$B$9)</f>
        <v>0.28000000000000003</v>
      </c>
      <c r="S3010" s="1">
        <f t="shared" ref="S3010:S3073" si="188">ROUND(Q3010*F3010*R3010,2)</f>
        <v>10.64</v>
      </c>
      <c r="T3010" s="1">
        <f t="shared" ref="T3010:T3073" si="189">IF(M3010="Paid",S3010-J3010,"")</f>
        <v>-0.16999999999999993</v>
      </c>
      <c r="U3010" s="1" t="str">
        <f t="shared" ref="U3010:U3073" si="190">IF(M3010&lt;&gt;"Paid","",IF(T3010&gt;S3010*0.05,"Underpaid","OK"))</f>
        <v>OK</v>
      </c>
      <c r="V3010" s="1" t="str">
        <f>_xlfn.XLOOKUP(C3010,Payers!$A$2:$A$9,Payers!$B$2:$B$9)</f>
        <v>Coastal Medicaid MCO</v>
      </c>
      <c r="W3010" s="1" t="str">
        <f t="shared" ref="W3010:W3073" si="191">TEXT(G3010,"yyyy-mm")</f>
        <v>2025-10</v>
      </c>
    </row>
    <row r="3011" spans="1:23">
      <c r="A3011" s="1" t="s">
        <v>5076</v>
      </c>
      <c r="B3011" s="1" t="s">
        <v>5077</v>
      </c>
      <c r="C3011" s="1" t="s">
        <v>76</v>
      </c>
      <c r="D3011" s="1" t="s">
        <v>26</v>
      </c>
      <c r="E3011" s="1" t="s">
        <v>185</v>
      </c>
      <c r="F3011">
        <v>1</v>
      </c>
      <c r="G3011" s="2">
        <v>46263</v>
      </c>
      <c r="H3011" s="2">
        <v>46265</v>
      </c>
      <c r="I3011">
        <v>1139.53</v>
      </c>
      <c r="M3011" s="1" t="s">
        <v>32</v>
      </c>
      <c r="N3011" s="1" t="s">
        <v>315</v>
      </c>
      <c r="O3011" s="2">
        <v>46290</v>
      </c>
      <c r="P3011" s="2"/>
      <c r="Q3011">
        <f>_xlfn.XLOOKUP(E3011,CPT!$A$2:$A$13,CPT!$D$2:$D$13)</f>
        <v>1150</v>
      </c>
      <c r="R3011" s="1">
        <f>_xlfn.XLOOKUP(C3011,Contract!$A$2:$A$9,Contract!$B$2:$B$9)</f>
        <v>0.43</v>
      </c>
      <c r="S3011" s="1">
        <f t="shared" si="188"/>
        <v>494.5</v>
      </c>
      <c r="T3011" s="1" t="str">
        <f t="shared" si="189"/>
        <v/>
      </c>
      <c r="U3011" s="1" t="str">
        <f t="shared" si="190"/>
        <v/>
      </c>
      <c r="V3011" s="1" t="str">
        <f>_xlfn.XLOOKUP(C3011,Payers!$A$2:$A$9,Payers!$B$2:$B$9)</f>
        <v>Summit Health Commercial</v>
      </c>
      <c r="W3011" s="1" t="str">
        <f t="shared" si="191"/>
        <v>2026-08</v>
      </c>
    </row>
    <row r="3012" spans="1:23">
      <c r="A3012" s="1" t="s">
        <v>5078</v>
      </c>
      <c r="B3012" s="1" t="s">
        <v>5079</v>
      </c>
      <c r="C3012" s="1" t="s">
        <v>25</v>
      </c>
      <c r="D3012" s="1" t="s">
        <v>19</v>
      </c>
      <c r="E3012" s="1" t="s">
        <v>57</v>
      </c>
      <c r="F3012">
        <v>1</v>
      </c>
      <c r="G3012" s="2">
        <v>46000</v>
      </c>
      <c r="H3012" s="2">
        <v>46007</v>
      </c>
      <c r="I3012">
        <v>215.98</v>
      </c>
      <c r="J3012">
        <v>66.41</v>
      </c>
      <c r="K3012">
        <v>66.41</v>
      </c>
      <c r="L3012">
        <v>0</v>
      </c>
      <c r="M3012" s="1" t="s">
        <v>21</v>
      </c>
      <c r="N3012" s="1" t="s">
        <v>22</v>
      </c>
      <c r="O3012" s="2">
        <v>46034</v>
      </c>
      <c r="P3012" s="2">
        <v>46034</v>
      </c>
      <c r="Q3012">
        <f>_xlfn.XLOOKUP(E3012,CPT!$A$2:$A$13,CPT!$D$2:$D$13)</f>
        <v>210</v>
      </c>
      <c r="R3012" s="1">
        <f>_xlfn.XLOOKUP(C3012,Contract!$A$2:$A$9,Contract!$B$2:$B$9)</f>
        <v>0.36</v>
      </c>
      <c r="S3012" s="1">
        <f t="shared" si="188"/>
        <v>75.599999999999994</v>
      </c>
      <c r="T3012" s="1">
        <f t="shared" si="189"/>
        <v>9.1899999999999977</v>
      </c>
      <c r="U3012" s="1" t="str">
        <f t="shared" si="190"/>
        <v>Underpaid</v>
      </c>
      <c r="V3012" s="1" t="str">
        <f>_xlfn.XLOOKUP(C3012,Payers!$A$2:$A$9,Payers!$B$2:$B$9)</f>
        <v>Medicare Part B</v>
      </c>
      <c r="W3012" s="1" t="str">
        <f t="shared" si="191"/>
        <v>2025-12</v>
      </c>
    </row>
    <row r="3013" spans="1:23">
      <c r="A3013" s="1" t="s">
        <v>5080</v>
      </c>
      <c r="B3013" s="1" t="s">
        <v>5081</v>
      </c>
      <c r="C3013" s="1" t="s">
        <v>25</v>
      </c>
      <c r="D3013" s="1" t="s">
        <v>26</v>
      </c>
      <c r="E3013" s="1" t="s">
        <v>44</v>
      </c>
      <c r="F3013">
        <v>1</v>
      </c>
      <c r="G3013" s="2">
        <v>46184</v>
      </c>
      <c r="H3013" s="2">
        <v>46185</v>
      </c>
      <c r="I3013">
        <v>4874.83</v>
      </c>
      <c r="M3013" s="1" t="s">
        <v>32</v>
      </c>
      <c r="N3013" s="1" t="s">
        <v>315</v>
      </c>
      <c r="O3013" s="2">
        <v>46205</v>
      </c>
      <c r="P3013" s="2"/>
      <c r="Q3013">
        <f>_xlfn.XLOOKUP(E3013,CPT!$A$2:$A$13,CPT!$D$2:$D$13)</f>
        <v>4800</v>
      </c>
      <c r="R3013" s="1">
        <f>_xlfn.XLOOKUP(C3013,Contract!$A$2:$A$9,Contract!$B$2:$B$9)</f>
        <v>0.36</v>
      </c>
      <c r="S3013" s="1">
        <f t="shared" si="188"/>
        <v>1728</v>
      </c>
      <c r="T3013" s="1" t="str">
        <f t="shared" si="189"/>
        <v/>
      </c>
      <c r="U3013" s="1" t="str">
        <f t="shared" si="190"/>
        <v/>
      </c>
      <c r="V3013" s="1" t="str">
        <f>_xlfn.XLOOKUP(C3013,Payers!$A$2:$A$9,Payers!$B$2:$B$9)</f>
        <v>Medicare Part B</v>
      </c>
      <c r="W3013" s="1" t="str">
        <f t="shared" si="191"/>
        <v>2026-06</v>
      </c>
    </row>
    <row r="3014" spans="1:23">
      <c r="A3014" s="1" t="s">
        <v>5082</v>
      </c>
      <c r="B3014" s="1" t="s">
        <v>3755</v>
      </c>
      <c r="C3014" s="1" t="s">
        <v>60</v>
      </c>
      <c r="D3014" s="1" t="s">
        <v>30</v>
      </c>
      <c r="E3014" s="1" t="s">
        <v>91</v>
      </c>
      <c r="F3014">
        <v>4</v>
      </c>
      <c r="G3014" s="2">
        <v>45942</v>
      </c>
      <c r="H3014" s="2">
        <v>45946</v>
      </c>
      <c r="I3014">
        <v>238.76</v>
      </c>
      <c r="M3014" s="1" t="s">
        <v>32</v>
      </c>
      <c r="N3014" s="1" t="s">
        <v>124</v>
      </c>
      <c r="O3014" s="2">
        <v>45979</v>
      </c>
      <c r="P3014" s="2"/>
      <c r="Q3014">
        <f>_xlfn.XLOOKUP(E3014,CPT!$A$2:$A$13,CPT!$D$2:$D$13)</f>
        <v>58</v>
      </c>
      <c r="R3014" s="1">
        <f>_xlfn.XLOOKUP(C3014,Contract!$A$2:$A$9,Contract!$B$2:$B$9)</f>
        <v>0.45</v>
      </c>
      <c r="S3014" s="1">
        <f t="shared" si="188"/>
        <v>104.4</v>
      </c>
      <c r="T3014" s="1" t="str">
        <f t="shared" si="189"/>
        <v/>
      </c>
      <c r="U3014" s="1" t="str">
        <f t="shared" si="190"/>
        <v/>
      </c>
      <c r="V3014" s="1" t="str">
        <f>_xlfn.XLOOKUP(C3014,Payers!$A$2:$A$9,Payers!$B$2:$B$9)</f>
        <v>Blue Horizon Commercial</v>
      </c>
      <c r="W3014" s="1" t="str">
        <f t="shared" si="191"/>
        <v>2025-10</v>
      </c>
    </row>
    <row r="3015" spans="1:23">
      <c r="A3015" s="1" t="s">
        <v>5083</v>
      </c>
      <c r="B3015" s="1" t="s">
        <v>3080</v>
      </c>
      <c r="C3015" s="1" t="s">
        <v>52</v>
      </c>
      <c r="D3015" s="1" t="s">
        <v>19</v>
      </c>
      <c r="E3015" s="1" t="s">
        <v>41</v>
      </c>
      <c r="F3015">
        <v>1</v>
      </c>
      <c r="G3015" s="2">
        <v>45989</v>
      </c>
      <c r="H3015" s="2">
        <v>46005</v>
      </c>
      <c r="I3015">
        <v>38.700000000000003</v>
      </c>
      <c r="J3015">
        <v>18.09</v>
      </c>
      <c r="K3015">
        <v>18.09</v>
      </c>
      <c r="L3015">
        <v>0</v>
      </c>
      <c r="M3015" s="1" t="s">
        <v>21</v>
      </c>
      <c r="N3015" s="1" t="s">
        <v>22</v>
      </c>
      <c r="O3015" s="2">
        <v>46061</v>
      </c>
      <c r="P3015" s="2">
        <v>46061</v>
      </c>
      <c r="Q3015">
        <f>_xlfn.XLOOKUP(E3015,CPT!$A$2:$A$13,CPT!$D$2:$D$13)</f>
        <v>38</v>
      </c>
      <c r="R3015" s="1">
        <f>_xlfn.XLOOKUP(C3015,Contract!$A$2:$A$9,Contract!$B$2:$B$9)</f>
        <v>0.47</v>
      </c>
      <c r="S3015" s="1">
        <f t="shared" si="188"/>
        <v>17.86</v>
      </c>
      <c r="T3015" s="1">
        <f t="shared" si="189"/>
        <v>-0.23000000000000043</v>
      </c>
      <c r="U3015" s="1" t="str">
        <f t="shared" si="190"/>
        <v>OK</v>
      </c>
      <c r="V3015" s="1" t="str">
        <f>_xlfn.XLOOKUP(C3015,Payers!$A$2:$A$9,Payers!$B$2:$B$9)</f>
        <v>Keystone Commercial PPO</v>
      </c>
      <c r="W3015" s="1" t="str">
        <f t="shared" si="191"/>
        <v>2025-11</v>
      </c>
    </row>
    <row r="3016" spans="1:23">
      <c r="A3016" s="1" t="s">
        <v>5084</v>
      </c>
      <c r="B3016" s="1" t="s">
        <v>2244</v>
      </c>
      <c r="C3016" s="1" t="s">
        <v>52</v>
      </c>
      <c r="D3016" s="1" t="s">
        <v>26</v>
      </c>
      <c r="E3016" s="1" t="s">
        <v>185</v>
      </c>
      <c r="F3016">
        <v>1</v>
      </c>
      <c r="G3016" s="2">
        <v>45955</v>
      </c>
      <c r="H3016" s="2">
        <v>45960</v>
      </c>
      <c r="I3016">
        <v>1163.31</v>
      </c>
      <c r="M3016" s="1" t="s">
        <v>32</v>
      </c>
      <c r="N3016" s="1" t="s">
        <v>33</v>
      </c>
      <c r="O3016" s="2">
        <v>46022</v>
      </c>
      <c r="P3016" s="2"/>
      <c r="Q3016">
        <f>_xlfn.XLOOKUP(E3016,CPT!$A$2:$A$13,CPT!$D$2:$D$13)</f>
        <v>1150</v>
      </c>
      <c r="R3016" s="1">
        <f>_xlfn.XLOOKUP(C3016,Contract!$A$2:$A$9,Contract!$B$2:$B$9)</f>
        <v>0.47</v>
      </c>
      <c r="S3016" s="1">
        <f t="shared" si="188"/>
        <v>540.5</v>
      </c>
      <c r="T3016" s="1" t="str">
        <f t="shared" si="189"/>
        <v/>
      </c>
      <c r="U3016" s="1" t="str">
        <f t="shared" si="190"/>
        <v/>
      </c>
      <c r="V3016" s="1" t="str">
        <f>_xlfn.XLOOKUP(C3016,Payers!$A$2:$A$9,Payers!$B$2:$B$9)</f>
        <v>Keystone Commercial PPO</v>
      </c>
      <c r="W3016" s="1" t="str">
        <f t="shared" si="191"/>
        <v>2025-10</v>
      </c>
    </row>
    <row r="3017" spans="1:23">
      <c r="A3017" s="1" t="s">
        <v>5085</v>
      </c>
      <c r="B3017" s="1" t="s">
        <v>2037</v>
      </c>
      <c r="C3017" s="1" t="s">
        <v>47</v>
      </c>
      <c r="D3017" s="1" t="s">
        <v>30</v>
      </c>
      <c r="E3017" s="1" t="s">
        <v>20</v>
      </c>
      <c r="F3017">
        <v>1</v>
      </c>
      <c r="G3017" s="2">
        <v>46238</v>
      </c>
      <c r="H3017" s="2">
        <v>46243</v>
      </c>
      <c r="I3017">
        <v>147.71</v>
      </c>
      <c r="M3017" s="1" t="s">
        <v>69</v>
      </c>
      <c r="N3017" s="1" t="s">
        <v>22</v>
      </c>
      <c r="O3017" s="2"/>
      <c r="P3017" s="2"/>
      <c r="Q3017">
        <f>_xlfn.XLOOKUP(E3017,CPT!$A$2:$A$13,CPT!$D$2:$D$13)</f>
        <v>145</v>
      </c>
      <c r="R3017" s="1">
        <f>_xlfn.XLOOKUP(C3017,Contract!$A$2:$A$9,Contract!$B$2:$B$9)</f>
        <v>0.28000000000000003</v>
      </c>
      <c r="S3017" s="1">
        <f t="shared" si="188"/>
        <v>40.6</v>
      </c>
      <c r="T3017" s="1" t="str">
        <f t="shared" si="189"/>
        <v/>
      </c>
      <c r="U3017" s="1" t="str">
        <f t="shared" si="190"/>
        <v/>
      </c>
      <c r="V3017" s="1" t="str">
        <f>_xlfn.XLOOKUP(C3017,Payers!$A$2:$A$9,Payers!$B$2:$B$9)</f>
        <v>Coastal Medicaid MCO</v>
      </c>
      <c r="W3017" s="1" t="str">
        <f t="shared" si="191"/>
        <v>2026-08</v>
      </c>
    </row>
    <row r="3018" spans="1:23">
      <c r="A3018" s="1" t="s">
        <v>5086</v>
      </c>
      <c r="B3018" s="1" t="s">
        <v>1975</v>
      </c>
      <c r="C3018" s="1" t="s">
        <v>79</v>
      </c>
      <c r="D3018" s="1" t="s">
        <v>30</v>
      </c>
      <c r="E3018" s="1" t="s">
        <v>20</v>
      </c>
      <c r="F3018">
        <v>1</v>
      </c>
      <c r="G3018" s="2">
        <v>46168</v>
      </c>
      <c r="H3018" s="2">
        <v>46172</v>
      </c>
      <c r="I3018">
        <v>144.5</v>
      </c>
      <c r="J3018">
        <v>144.5</v>
      </c>
      <c r="K3018">
        <v>144.5</v>
      </c>
      <c r="L3018">
        <v>0</v>
      </c>
      <c r="M3018" s="1" t="s">
        <v>21</v>
      </c>
      <c r="N3018" s="1" t="s">
        <v>22</v>
      </c>
      <c r="O3018" s="2">
        <v>46231</v>
      </c>
      <c r="P3018" s="2">
        <v>46231</v>
      </c>
      <c r="Q3018">
        <f>_xlfn.XLOOKUP(E3018,CPT!$A$2:$A$13,CPT!$D$2:$D$13)</f>
        <v>145</v>
      </c>
      <c r="R3018" s="1">
        <f>_xlfn.XLOOKUP(C3018,Contract!$A$2:$A$9,Contract!$B$2:$B$9)</f>
        <v>1</v>
      </c>
      <c r="S3018" s="1">
        <f t="shared" si="188"/>
        <v>145</v>
      </c>
      <c r="T3018" s="1">
        <f t="shared" si="189"/>
        <v>0.5</v>
      </c>
      <c r="U3018" s="1" t="str">
        <f t="shared" si="190"/>
        <v>OK</v>
      </c>
      <c r="V3018" s="1" t="str">
        <f>_xlfn.XLOOKUP(C3018,Payers!$A$2:$A$9,Payers!$B$2:$B$9)</f>
        <v>Self-Pay</v>
      </c>
      <c r="W3018" s="1" t="str">
        <f t="shared" si="191"/>
        <v>2026-05</v>
      </c>
    </row>
    <row r="3019" spans="1:23">
      <c r="A3019" s="1" t="s">
        <v>5087</v>
      </c>
      <c r="B3019" s="1" t="s">
        <v>5088</v>
      </c>
      <c r="C3019" s="1" t="s">
        <v>76</v>
      </c>
      <c r="D3019" s="1" t="s">
        <v>26</v>
      </c>
      <c r="E3019" s="1" t="s">
        <v>88</v>
      </c>
      <c r="F3019">
        <v>1</v>
      </c>
      <c r="G3019" s="2">
        <v>46201</v>
      </c>
      <c r="H3019" s="2">
        <v>46212</v>
      </c>
      <c r="I3019">
        <v>254.09</v>
      </c>
      <c r="J3019">
        <v>93.73</v>
      </c>
      <c r="K3019">
        <v>74.98</v>
      </c>
      <c r="L3019">
        <v>18.75</v>
      </c>
      <c r="M3019" s="1" t="s">
        <v>21</v>
      </c>
      <c r="N3019" s="1" t="s">
        <v>22</v>
      </c>
      <c r="O3019" s="2">
        <v>46240</v>
      </c>
      <c r="P3019" s="2">
        <v>46240</v>
      </c>
      <c r="Q3019">
        <f>_xlfn.XLOOKUP(E3019,CPT!$A$2:$A$13,CPT!$D$2:$D$13)</f>
        <v>260</v>
      </c>
      <c r="R3019" s="1">
        <f>_xlfn.XLOOKUP(C3019,Contract!$A$2:$A$9,Contract!$B$2:$B$9)</f>
        <v>0.43</v>
      </c>
      <c r="S3019" s="1">
        <f t="shared" si="188"/>
        <v>111.8</v>
      </c>
      <c r="T3019" s="1">
        <f t="shared" si="189"/>
        <v>18.069999999999993</v>
      </c>
      <c r="U3019" s="1" t="str">
        <f t="shared" si="190"/>
        <v>Underpaid</v>
      </c>
      <c r="V3019" s="1" t="str">
        <f>_xlfn.XLOOKUP(C3019,Payers!$A$2:$A$9,Payers!$B$2:$B$9)</f>
        <v>Summit Health Commercial</v>
      </c>
      <c r="W3019" s="1" t="str">
        <f t="shared" si="191"/>
        <v>2026-06</v>
      </c>
    </row>
    <row r="3020" spans="1:23">
      <c r="A3020" s="1" t="s">
        <v>5089</v>
      </c>
      <c r="B3020" s="1" t="s">
        <v>301</v>
      </c>
      <c r="C3020" s="1" t="s">
        <v>60</v>
      </c>
      <c r="D3020" s="1" t="s">
        <v>30</v>
      </c>
      <c r="E3020" s="1" t="s">
        <v>31</v>
      </c>
      <c r="F3020">
        <v>1</v>
      </c>
      <c r="G3020" s="2">
        <v>45973</v>
      </c>
      <c r="H3020" s="2">
        <v>45978</v>
      </c>
      <c r="I3020">
        <v>63.57</v>
      </c>
      <c r="M3020" s="1" t="s">
        <v>32</v>
      </c>
      <c r="N3020" s="1" t="s">
        <v>168</v>
      </c>
      <c r="O3020" s="2">
        <v>46003</v>
      </c>
      <c r="P3020" s="2"/>
      <c r="Q3020">
        <f>_xlfn.XLOOKUP(E3020,CPT!$A$2:$A$13,CPT!$D$2:$D$13)</f>
        <v>62</v>
      </c>
      <c r="R3020" s="1">
        <f>_xlfn.XLOOKUP(C3020,Contract!$A$2:$A$9,Contract!$B$2:$B$9)</f>
        <v>0.45</v>
      </c>
      <c r="S3020" s="1">
        <f t="shared" si="188"/>
        <v>27.9</v>
      </c>
      <c r="T3020" s="1" t="str">
        <f t="shared" si="189"/>
        <v/>
      </c>
      <c r="U3020" s="1" t="str">
        <f t="shared" si="190"/>
        <v/>
      </c>
      <c r="V3020" s="1" t="str">
        <f>_xlfn.XLOOKUP(C3020,Payers!$A$2:$A$9,Payers!$B$2:$B$9)</f>
        <v>Blue Horizon Commercial</v>
      </c>
      <c r="W3020" s="1" t="str">
        <f t="shared" si="191"/>
        <v>2025-11</v>
      </c>
    </row>
    <row r="3021" spans="1:23">
      <c r="A3021" s="1" t="s">
        <v>5090</v>
      </c>
      <c r="B3021" s="1" t="s">
        <v>5091</v>
      </c>
      <c r="C3021" s="1" t="s">
        <v>18</v>
      </c>
      <c r="D3021" s="1" t="s">
        <v>19</v>
      </c>
      <c r="E3021" s="1" t="s">
        <v>57</v>
      </c>
      <c r="F3021">
        <v>1</v>
      </c>
      <c r="G3021" s="2">
        <v>46010</v>
      </c>
      <c r="H3021" s="2">
        <v>46012</v>
      </c>
      <c r="I3021">
        <v>208.16</v>
      </c>
      <c r="J3021">
        <v>74.569999999999993</v>
      </c>
      <c r="K3021">
        <v>67.11</v>
      </c>
      <c r="L3021">
        <v>7.46</v>
      </c>
      <c r="M3021" s="1" t="s">
        <v>21</v>
      </c>
      <c r="N3021" s="1" t="s">
        <v>22</v>
      </c>
      <c r="O3021" s="2">
        <v>46068</v>
      </c>
      <c r="P3021" s="2">
        <v>46068</v>
      </c>
      <c r="Q3021">
        <f>_xlfn.XLOOKUP(E3021,CPT!$A$2:$A$13,CPT!$D$2:$D$13)</f>
        <v>210</v>
      </c>
      <c r="R3021" s="1">
        <f>_xlfn.XLOOKUP(C3021,Contract!$A$2:$A$9,Contract!$B$2:$B$9)</f>
        <v>0.38</v>
      </c>
      <c r="S3021" s="1">
        <f t="shared" si="188"/>
        <v>79.8</v>
      </c>
      <c r="T3021" s="1">
        <f t="shared" si="189"/>
        <v>5.230000000000004</v>
      </c>
      <c r="U3021" s="1" t="str">
        <f t="shared" si="190"/>
        <v>Underpaid</v>
      </c>
      <c r="V3021" s="1" t="str">
        <f>_xlfn.XLOOKUP(C3021,Payers!$A$2:$A$9,Payers!$B$2:$B$9)</f>
        <v>Sunshine Medicare Advantage</v>
      </c>
      <c r="W3021" s="1" t="str">
        <f t="shared" si="191"/>
        <v>2025-12</v>
      </c>
    </row>
    <row r="3022" spans="1:23">
      <c r="A3022" s="1" t="s">
        <v>5092</v>
      </c>
      <c r="B3022" s="1" t="s">
        <v>5093</v>
      </c>
      <c r="C3022" s="1" t="s">
        <v>60</v>
      </c>
      <c r="D3022" s="1" t="s">
        <v>19</v>
      </c>
      <c r="E3022" s="1" t="s">
        <v>88</v>
      </c>
      <c r="F3022">
        <v>1</v>
      </c>
      <c r="G3022" s="2">
        <v>46263</v>
      </c>
      <c r="H3022" s="2">
        <v>46264</v>
      </c>
      <c r="I3022">
        <v>262.68</v>
      </c>
      <c r="M3022" s="1" t="s">
        <v>69</v>
      </c>
      <c r="N3022" s="1" t="s">
        <v>22</v>
      </c>
      <c r="O3022" s="2"/>
      <c r="P3022" s="2"/>
      <c r="Q3022">
        <f>_xlfn.XLOOKUP(E3022,CPT!$A$2:$A$13,CPT!$D$2:$D$13)</f>
        <v>260</v>
      </c>
      <c r="R3022" s="1">
        <f>_xlfn.XLOOKUP(C3022,Contract!$A$2:$A$9,Contract!$B$2:$B$9)</f>
        <v>0.45</v>
      </c>
      <c r="S3022" s="1">
        <f t="shared" si="188"/>
        <v>117</v>
      </c>
      <c r="T3022" s="1" t="str">
        <f t="shared" si="189"/>
        <v/>
      </c>
      <c r="U3022" s="1" t="str">
        <f t="shared" si="190"/>
        <v/>
      </c>
      <c r="V3022" s="1" t="str">
        <f>_xlfn.XLOOKUP(C3022,Payers!$A$2:$A$9,Payers!$B$2:$B$9)</f>
        <v>Blue Horizon Commercial</v>
      </c>
      <c r="W3022" s="1" t="str">
        <f t="shared" si="191"/>
        <v>2026-08</v>
      </c>
    </row>
    <row r="3023" spans="1:23">
      <c r="A3023" s="1" t="s">
        <v>5094</v>
      </c>
      <c r="B3023" s="1" t="s">
        <v>5095</v>
      </c>
      <c r="C3023" s="1" t="s">
        <v>76</v>
      </c>
      <c r="D3023" s="1" t="s">
        <v>37</v>
      </c>
      <c r="E3023" s="1" t="s">
        <v>38</v>
      </c>
      <c r="F3023">
        <v>5</v>
      </c>
      <c r="G3023" s="2">
        <v>46181</v>
      </c>
      <c r="H3023" s="2">
        <v>46184</v>
      </c>
      <c r="I3023">
        <v>7140.31</v>
      </c>
      <c r="J3023">
        <v>2627.75</v>
      </c>
      <c r="K3023">
        <v>2627.75</v>
      </c>
      <c r="L3023">
        <v>0</v>
      </c>
      <c r="M3023" s="1" t="s">
        <v>21</v>
      </c>
      <c r="N3023" s="1" t="s">
        <v>22</v>
      </c>
      <c r="O3023" s="2">
        <v>46221</v>
      </c>
      <c r="P3023" s="2">
        <v>46221</v>
      </c>
      <c r="Q3023">
        <f>_xlfn.XLOOKUP(E3023,CPT!$A$2:$A$13,CPT!$D$2:$D$13)</f>
        <v>1450</v>
      </c>
      <c r="R3023" s="1">
        <f>_xlfn.XLOOKUP(C3023,Contract!$A$2:$A$9,Contract!$B$2:$B$9)</f>
        <v>0.43</v>
      </c>
      <c r="S3023" s="1">
        <f t="shared" si="188"/>
        <v>3117.5</v>
      </c>
      <c r="T3023" s="1">
        <f t="shared" si="189"/>
        <v>489.75</v>
      </c>
      <c r="U3023" s="1" t="str">
        <f t="shared" si="190"/>
        <v>Underpaid</v>
      </c>
      <c r="V3023" s="1" t="str">
        <f>_xlfn.XLOOKUP(C3023,Payers!$A$2:$A$9,Payers!$B$2:$B$9)</f>
        <v>Summit Health Commercial</v>
      </c>
      <c r="W3023" s="1" t="str">
        <f t="shared" si="191"/>
        <v>2026-06</v>
      </c>
    </row>
    <row r="3024" spans="1:23">
      <c r="A3024" s="1" t="s">
        <v>5096</v>
      </c>
      <c r="B3024" s="1" t="s">
        <v>1091</v>
      </c>
      <c r="C3024" s="1" t="s">
        <v>60</v>
      </c>
      <c r="D3024" s="1" t="s">
        <v>30</v>
      </c>
      <c r="E3024" s="1" t="s">
        <v>31</v>
      </c>
      <c r="F3024">
        <v>1</v>
      </c>
      <c r="G3024" s="2">
        <v>46276</v>
      </c>
      <c r="H3024" s="2">
        <v>46281</v>
      </c>
      <c r="I3024">
        <v>61.12</v>
      </c>
      <c r="M3024" s="1" t="s">
        <v>69</v>
      </c>
      <c r="N3024" s="1" t="s">
        <v>22</v>
      </c>
      <c r="O3024" s="2"/>
      <c r="P3024" s="2"/>
      <c r="Q3024">
        <f>_xlfn.XLOOKUP(E3024,CPT!$A$2:$A$13,CPT!$D$2:$D$13)</f>
        <v>62</v>
      </c>
      <c r="R3024" s="1">
        <f>_xlfn.XLOOKUP(C3024,Contract!$A$2:$A$9,Contract!$B$2:$B$9)</f>
        <v>0.45</v>
      </c>
      <c r="S3024" s="1">
        <f t="shared" si="188"/>
        <v>27.9</v>
      </c>
      <c r="T3024" s="1" t="str">
        <f t="shared" si="189"/>
        <v/>
      </c>
      <c r="U3024" s="1" t="str">
        <f t="shared" si="190"/>
        <v/>
      </c>
      <c r="V3024" s="1" t="str">
        <f>_xlfn.XLOOKUP(C3024,Payers!$A$2:$A$9,Payers!$B$2:$B$9)</f>
        <v>Blue Horizon Commercial</v>
      </c>
      <c r="W3024" s="1" t="str">
        <f t="shared" si="191"/>
        <v>2026-09</v>
      </c>
    </row>
    <row r="3025" spans="1:23">
      <c r="A3025" s="1" t="s">
        <v>5097</v>
      </c>
      <c r="B3025" s="1" t="s">
        <v>4762</v>
      </c>
      <c r="C3025" s="1" t="s">
        <v>76</v>
      </c>
      <c r="D3025" s="1" t="s">
        <v>30</v>
      </c>
      <c r="E3025" s="1" t="s">
        <v>20</v>
      </c>
      <c r="F3025">
        <v>1</v>
      </c>
      <c r="G3025" s="2">
        <v>46000</v>
      </c>
      <c r="H3025" s="2">
        <v>46003</v>
      </c>
      <c r="I3025">
        <v>143.4</v>
      </c>
      <c r="J3025">
        <v>70.14</v>
      </c>
      <c r="K3025">
        <v>63.13</v>
      </c>
      <c r="L3025">
        <v>7.01</v>
      </c>
      <c r="M3025" s="1" t="s">
        <v>21</v>
      </c>
      <c r="N3025" s="1" t="s">
        <v>22</v>
      </c>
      <c r="O3025" s="2">
        <v>46029</v>
      </c>
      <c r="P3025" s="2">
        <v>46029</v>
      </c>
      <c r="Q3025">
        <f>_xlfn.XLOOKUP(E3025,CPT!$A$2:$A$13,CPT!$D$2:$D$13)</f>
        <v>145</v>
      </c>
      <c r="R3025" s="1">
        <f>_xlfn.XLOOKUP(C3025,Contract!$A$2:$A$9,Contract!$B$2:$B$9)</f>
        <v>0.43</v>
      </c>
      <c r="S3025" s="1">
        <f t="shared" si="188"/>
        <v>62.35</v>
      </c>
      <c r="T3025" s="1">
        <f t="shared" si="189"/>
        <v>-7.7899999999999991</v>
      </c>
      <c r="U3025" s="1" t="str">
        <f t="shared" si="190"/>
        <v>OK</v>
      </c>
      <c r="V3025" s="1" t="str">
        <f>_xlfn.XLOOKUP(C3025,Payers!$A$2:$A$9,Payers!$B$2:$B$9)</f>
        <v>Summit Health Commercial</v>
      </c>
      <c r="W3025" s="1" t="str">
        <f t="shared" si="191"/>
        <v>2025-12</v>
      </c>
    </row>
    <row r="3026" spans="1:23">
      <c r="A3026" s="1" t="s">
        <v>5098</v>
      </c>
      <c r="B3026" s="1" t="s">
        <v>4346</v>
      </c>
      <c r="C3026" s="1" t="s">
        <v>18</v>
      </c>
      <c r="D3026" s="1" t="s">
        <v>37</v>
      </c>
      <c r="E3026" s="1" t="s">
        <v>57</v>
      </c>
      <c r="F3026">
        <v>1</v>
      </c>
      <c r="G3026" s="2">
        <v>46090</v>
      </c>
      <c r="H3026" s="2">
        <v>46091</v>
      </c>
      <c r="I3026">
        <v>207.1</v>
      </c>
      <c r="J3026">
        <v>68.989999999999995</v>
      </c>
      <c r="K3026">
        <v>62.09</v>
      </c>
      <c r="L3026">
        <v>6.9</v>
      </c>
      <c r="M3026" s="1" t="s">
        <v>21</v>
      </c>
      <c r="N3026" s="1" t="s">
        <v>22</v>
      </c>
      <c r="O3026" s="2">
        <v>46138</v>
      </c>
      <c r="P3026" s="2">
        <v>46138</v>
      </c>
      <c r="Q3026">
        <f>_xlfn.XLOOKUP(E3026,CPT!$A$2:$A$13,CPT!$D$2:$D$13)</f>
        <v>210</v>
      </c>
      <c r="R3026" s="1">
        <f>_xlfn.XLOOKUP(C3026,Contract!$A$2:$A$9,Contract!$B$2:$B$9)</f>
        <v>0.38</v>
      </c>
      <c r="S3026" s="1">
        <f t="shared" si="188"/>
        <v>79.8</v>
      </c>
      <c r="T3026" s="1">
        <f t="shared" si="189"/>
        <v>10.810000000000002</v>
      </c>
      <c r="U3026" s="1" t="str">
        <f t="shared" si="190"/>
        <v>Underpaid</v>
      </c>
      <c r="V3026" s="1" t="str">
        <f>_xlfn.XLOOKUP(C3026,Payers!$A$2:$A$9,Payers!$B$2:$B$9)</f>
        <v>Sunshine Medicare Advantage</v>
      </c>
      <c r="W3026" s="1" t="str">
        <f t="shared" si="191"/>
        <v>2026-03</v>
      </c>
    </row>
    <row r="3027" spans="1:23">
      <c r="A3027" s="1" t="s">
        <v>5099</v>
      </c>
      <c r="B3027" s="1" t="s">
        <v>1077</v>
      </c>
      <c r="C3027" s="1" t="s">
        <v>25</v>
      </c>
      <c r="D3027" s="1" t="s">
        <v>19</v>
      </c>
      <c r="E3027" s="1" t="s">
        <v>88</v>
      </c>
      <c r="F3027">
        <v>1</v>
      </c>
      <c r="G3027" s="2">
        <v>46009</v>
      </c>
      <c r="H3027" s="2">
        <v>46010</v>
      </c>
      <c r="I3027">
        <v>258.45999999999998</v>
      </c>
      <c r="J3027">
        <v>89.25</v>
      </c>
      <c r="K3027">
        <v>89.25</v>
      </c>
      <c r="L3027">
        <v>0</v>
      </c>
      <c r="M3027" s="1" t="s">
        <v>21</v>
      </c>
      <c r="N3027" s="1" t="s">
        <v>22</v>
      </c>
      <c r="O3027" s="2">
        <v>46037</v>
      </c>
      <c r="P3027" s="2">
        <v>46037</v>
      </c>
      <c r="Q3027">
        <f>_xlfn.XLOOKUP(E3027,CPT!$A$2:$A$13,CPT!$D$2:$D$13)</f>
        <v>260</v>
      </c>
      <c r="R3027" s="1">
        <f>_xlfn.XLOOKUP(C3027,Contract!$A$2:$A$9,Contract!$B$2:$B$9)</f>
        <v>0.36</v>
      </c>
      <c r="S3027" s="1">
        <f t="shared" si="188"/>
        <v>93.6</v>
      </c>
      <c r="T3027" s="1">
        <f t="shared" si="189"/>
        <v>4.3499999999999943</v>
      </c>
      <c r="U3027" s="1" t="str">
        <f t="shared" si="190"/>
        <v>OK</v>
      </c>
      <c r="V3027" s="1" t="str">
        <f>_xlfn.XLOOKUP(C3027,Payers!$A$2:$A$9,Payers!$B$2:$B$9)</f>
        <v>Medicare Part B</v>
      </c>
      <c r="W3027" s="1" t="str">
        <f t="shared" si="191"/>
        <v>2025-12</v>
      </c>
    </row>
    <row r="3028" spans="1:23">
      <c r="A3028" s="1" t="s">
        <v>5100</v>
      </c>
      <c r="B3028" s="1" t="s">
        <v>855</v>
      </c>
      <c r="C3028" s="1" t="s">
        <v>36</v>
      </c>
      <c r="D3028" s="1" t="s">
        <v>30</v>
      </c>
      <c r="E3028" s="1" t="s">
        <v>20</v>
      </c>
      <c r="F3028">
        <v>1</v>
      </c>
      <c r="G3028" s="2">
        <v>46267</v>
      </c>
      <c r="H3028" s="2">
        <v>46268</v>
      </c>
      <c r="I3028">
        <v>143.36000000000001</v>
      </c>
      <c r="M3028" s="1" t="s">
        <v>69</v>
      </c>
      <c r="N3028" s="1" t="s">
        <v>22</v>
      </c>
      <c r="O3028" s="2"/>
      <c r="P3028" s="2"/>
      <c r="Q3028">
        <f>_xlfn.XLOOKUP(E3028,CPT!$A$2:$A$13,CPT!$D$2:$D$13)</f>
        <v>145</v>
      </c>
      <c r="R3028" s="1">
        <f>_xlfn.XLOOKUP(C3028,Contract!$A$2:$A$9,Contract!$B$2:$B$9)</f>
        <v>0.27</v>
      </c>
      <c r="S3028" s="1">
        <f t="shared" si="188"/>
        <v>39.15</v>
      </c>
      <c r="T3028" s="1" t="str">
        <f t="shared" si="189"/>
        <v/>
      </c>
      <c r="U3028" s="1" t="str">
        <f t="shared" si="190"/>
        <v/>
      </c>
      <c r="V3028" s="1" t="str">
        <f>_xlfn.XLOOKUP(C3028,Payers!$A$2:$A$9,Payers!$B$2:$B$9)</f>
        <v>Florida Medicaid</v>
      </c>
      <c r="W3028" s="1" t="str">
        <f t="shared" si="191"/>
        <v>2026-09</v>
      </c>
    </row>
    <row r="3029" spans="1:23">
      <c r="A3029" s="1" t="s">
        <v>5101</v>
      </c>
      <c r="B3029" s="1" t="s">
        <v>1316</v>
      </c>
      <c r="C3029" s="1" t="s">
        <v>18</v>
      </c>
      <c r="D3029" s="1" t="s">
        <v>37</v>
      </c>
      <c r="E3029" s="1" t="s">
        <v>57</v>
      </c>
      <c r="F3029">
        <v>1</v>
      </c>
      <c r="G3029" s="2">
        <v>46252</v>
      </c>
      <c r="H3029" s="2">
        <v>46257</v>
      </c>
      <c r="I3029">
        <v>207.9</v>
      </c>
      <c r="M3029" s="1" t="s">
        <v>69</v>
      </c>
      <c r="N3029" s="1" t="s">
        <v>22</v>
      </c>
      <c r="O3029" s="2"/>
      <c r="P3029" s="2"/>
      <c r="Q3029">
        <f>_xlfn.XLOOKUP(E3029,CPT!$A$2:$A$13,CPT!$D$2:$D$13)</f>
        <v>210</v>
      </c>
      <c r="R3029" s="1">
        <f>_xlfn.XLOOKUP(C3029,Contract!$A$2:$A$9,Contract!$B$2:$B$9)</f>
        <v>0.38</v>
      </c>
      <c r="S3029" s="1">
        <f t="shared" si="188"/>
        <v>79.8</v>
      </c>
      <c r="T3029" s="1" t="str">
        <f t="shared" si="189"/>
        <v/>
      </c>
      <c r="U3029" s="1" t="str">
        <f t="shared" si="190"/>
        <v/>
      </c>
      <c r="V3029" s="1" t="str">
        <f>_xlfn.XLOOKUP(C3029,Payers!$A$2:$A$9,Payers!$B$2:$B$9)</f>
        <v>Sunshine Medicare Advantage</v>
      </c>
      <c r="W3029" s="1" t="str">
        <f t="shared" si="191"/>
        <v>2026-08</v>
      </c>
    </row>
    <row r="3030" spans="1:23">
      <c r="A3030" s="1" t="s">
        <v>5102</v>
      </c>
      <c r="B3030" s="1" t="s">
        <v>1567</v>
      </c>
      <c r="C3030" s="1" t="s">
        <v>76</v>
      </c>
      <c r="D3030" s="1" t="s">
        <v>30</v>
      </c>
      <c r="E3030" s="1" t="s">
        <v>91</v>
      </c>
      <c r="F3030">
        <v>4</v>
      </c>
      <c r="G3030" s="2">
        <v>46185</v>
      </c>
      <c r="H3030" s="2">
        <v>46186</v>
      </c>
      <c r="I3030">
        <v>234.31</v>
      </c>
      <c r="J3030">
        <v>110.18</v>
      </c>
      <c r="K3030">
        <v>99.16</v>
      </c>
      <c r="L3030">
        <v>11.02</v>
      </c>
      <c r="M3030" s="1" t="s">
        <v>21</v>
      </c>
      <c r="N3030" s="1" t="s">
        <v>22</v>
      </c>
      <c r="O3030" s="2">
        <v>46221</v>
      </c>
      <c r="P3030" s="2">
        <v>46221</v>
      </c>
      <c r="Q3030">
        <f>_xlfn.XLOOKUP(E3030,CPT!$A$2:$A$13,CPT!$D$2:$D$13)</f>
        <v>58</v>
      </c>
      <c r="R3030" s="1">
        <f>_xlfn.XLOOKUP(C3030,Contract!$A$2:$A$9,Contract!$B$2:$B$9)</f>
        <v>0.43</v>
      </c>
      <c r="S3030" s="1">
        <f t="shared" si="188"/>
        <v>99.76</v>
      </c>
      <c r="T3030" s="1">
        <f t="shared" si="189"/>
        <v>-10.420000000000002</v>
      </c>
      <c r="U3030" s="1" t="str">
        <f t="shared" si="190"/>
        <v>OK</v>
      </c>
      <c r="V3030" s="1" t="str">
        <f>_xlfn.XLOOKUP(C3030,Payers!$A$2:$A$9,Payers!$B$2:$B$9)</f>
        <v>Summit Health Commercial</v>
      </c>
      <c r="W3030" s="1" t="str">
        <f t="shared" si="191"/>
        <v>2026-06</v>
      </c>
    </row>
    <row r="3031" spans="1:23">
      <c r="A3031" s="1" t="s">
        <v>5103</v>
      </c>
      <c r="B3031" s="1" t="s">
        <v>167</v>
      </c>
      <c r="C3031" s="1" t="s">
        <v>18</v>
      </c>
      <c r="D3031" s="1" t="s">
        <v>19</v>
      </c>
      <c r="E3031" s="1" t="s">
        <v>88</v>
      </c>
      <c r="F3031">
        <v>1</v>
      </c>
      <c r="G3031" s="2">
        <v>46173</v>
      </c>
      <c r="H3031" s="2">
        <v>46176</v>
      </c>
      <c r="I3031">
        <v>259.88</v>
      </c>
      <c r="J3031">
        <v>112.08</v>
      </c>
      <c r="K3031">
        <v>89.66</v>
      </c>
      <c r="L3031">
        <v>22.42</v>
      </c>
      <c r="M3031" s="1" t="s">
        <v>21</v>
      </c>
      <c r="N3031" s="1" t="s">
        <v>22</v>
      </c>
      <c r="O3031" s="2">
        <v>46214</v>
      </c>
      <c r="P3031" s="2">
        <v>46214</v>
      </c>
      <c r="Q3031">
        <f>_xlfn.XLOOKUP(E3031,CPT!$A$2:$A$13,CPT!$D$2:$D$13)</f>
        <v>260</v>
      </c>
      <c r="R3031" s="1">
        <f>_xlfn.XLOOKUP(C3031,Contract!$A$2:$A$9,Contract!$B$2:$B$9)</f>
        <v>0.38</v>
      </c>
      <c r="S3031" s="1">
        <f t="shared" si="188"/>
        <v>98.8</v>
      </c>
      <c r="T3031" s="1">
        <f t="shared" si="189"/>
        <v>-13.280000000000001</v>
      </c>
      <c r="U3031" s="1" t="str">
        <f t="shared" si="190"/>
        <v>OK</v>
      </c>
      <c r="V3031" s="1" t="str">
        <f>_xlfn.XLOOKUP(C3031,Payers!$A$2:$A$9,Payers!$B$2:$B$9)</f>
        <v>Sunshine Medicare Advantage</v>
      </c>
      <c r="W3031" s="1" t="str">
        <f t="shared" si="191"/>
        <v>2026-05</v>
      </c>
    </row>
    <row r="3032" spans="1:23">
      <c r="A3032" s="1" t="s">
        <v>5104</v>
      </c>
      <c r="B3032" s="1" t="s">
        <v>5105</v>
      </c>
      <c r="C3032" s="1" t="s">
        <v>60</v>
      </c>
      <c r="D3032" s="1" t="s">
        <v>37</v>
      </c>
      <c r="E3032" s="1" t="s">
        <v>38</v>
      </c>
      <c r="F3032">
        <v>20</v>
      </c>
      <c r="G3032" s="2">
        <v>46149</v>
      </c>
      <c r="H3032" s="2">
        <v>46150</v>
      </c>
      <c r="I3032">
        <v>29533.71</v>
      </c>
      <c r="M3032" s="1" t="s">
        <v>32</v>
      </c>
      <c r="N3032" s="1" t="s">
        <v>49</v>
      </c>
      <c r="O3032" s="2">
        <v>46185</v>
      </c>
      <c r="P3032" s="2"/>
      <c r="Q3032">
        <f>_xlfn.XLOOKUP(E3032,CPT!$A$2:$A$13,CPT!$D$2:$D$13)</f>
        <v>1450</v>
      </c>
      <c r="R3032" s="1">
        <f>_xlfn.XLOOKUP(C3032,Contract!$A$2:$A$9,Contract!$B$2:$B$9)</f>
        <v>0.45</v>
      </c>
      <c r="S3032" s="1">
        <f t="shared" si="188"/>
        <v>13050</v>
      </c>
      <c r="T3032" s="1" t="str">
        <f t="shared" si="189"/>
        <v/>
      </c>
      <c r="U3032" s="1" t="str">
        <f t="shared" si="190"/>
        <v/>
      </c>
      <c r="V3032" s="1" t="str">
        <f>_xlfn.XLOOKUP(C3032,Payers!$A$2:$A$9,Payers!$B$2:$B$9)</f>
        <v>Blue Horizon Commercial</v>
      </c>
      <c r="W3032" s="1" t="str">
        <f t="shared" si="191"/>
        <v>2026-05</v>
      </c>
    </row>
    <row r="3033" spans="1:23">
      <c r="A3033" s="1" t="s">
        <v>5106</v>
      </c>
      <c r="B3033" s="1" t="s">
        <v>5107</v>
      </c>
      <c r="C3033" s="1" t="s">
        <v>52</v>
      </c>
      <c r="D3033" s="1" t="s">
        <v>30</v>
      </c>
      <c r="E3033" s="1" t="s">
        <v>91</v>
      </c>
      <c r="F3033">
        <v>3</v>
      </c>
      <c r="G3033" s="2">
        <v>46047</v>
      </c>
      <c r="H3033" s="2">
        <v>46052</v>
      </c>
      <c r="I3033">
        <v>172.45</v>
      </c>
      <c r="J3033">
        <v>69.33</v>
      </c>
      <c r="K3033">
        <v>69.33</v>
      </c>
      <c r="L3033">
        <v>0</v>
      </c>
      <c r="M3033" s="1" t="s">
        <v>21</v>
      </c>
      <c r="N3033" s="1" t="s">
        <v>22</v>
      </c>
      <c r="O3033" s="2">
        <v>46090</v>
      </c>
      <c r="P3033" s="2">
        <v>46090</v>
      </c>
      <c r="Q3033">
        <f>_xlfn.XLOOKUP(E3033,CPT!$A$2:$A$13,CPT!$D$2:$D$13)</f>
        <v>58</v>
      </c>
      <c r="R3033" s="1">
        <f>_xlfn.XLOOKUP(C3033,Contract!$A$2:$A$9,Contract!$B$2:$B$9)</f>
        <v>0.47</v>
      </c>
      <c r="S3033" s="1">
        <f t="shared" si="188"/>
        <v>81.78</v>
      </c>
      <c r="T3033" s="1">
        <f t="shared" si="189"/>
        <v>12.450000000000003</v>
      </c>
      <c r="U3033" s="1" t="str">
        <f t="shared" si="190"/>
        <v>Underpaid</v>
      </c>
      <c r="V3033" s="1" t="str">
        <f>_xlfn.XLOOKUP(C3033,Payers!$A$2:$A$9,Payers!$B$2:$B$9)</f>
        <v>Keystone Commercial PPO</v>
      </c>
      <c r="W3033" s="1" t="str">
        <f t="shared" si="191"/>
        <v>2026-01</v>
      </c>
    </row>
    <row r="3034" spans="1:23">
      <c r="A3034" s="1" t="s">
        <v>5108</v>
      </c>
      <c r="B3034" s="1" t="s">
        <v>987</v>
      </c>
      <c r="C3034" s="1" t="s">
        <v>76</v>
      </c>
      <c r="D3034" s="1" t="s">
        <v>26</v>
      </c>
      <c r="E3034" s="1" t="s">
        <v>44</v>
      </c>
      <c r="F3034">
        <v>1</v>
      </c>
      <c r="G3034" s="2">
        <v>46170</v>
      </c>
      <c r="H3034" s="2">
        <v>46172</v>
      </c>
      <c r="I3034">
        <v>4701.26</v>
      </c>
      <c r="J3034">
        <v>1918.64</v>
      </c>
      <c r="K3034">
        <v>1918.64</v>
      </c>
      <c r="L3034">
        <v>0</v>
      </c>
      <c r="M3034" s="1" t="s">
        <v>21</v>
      </c>
      <c r="N3034" s="1" t="s">
        <v>22</v>
      </c>
      <c r="O3034" s="2">
        <v>46207</v>
      </c>
      <c r="P3034" s="2">
        <v>46207</v>
      </c>
      <c r="Q3034">
        <f>_xlfn.XLOOKUP(E3034,CPT!$A$2:$A$13,CPT!$D$2:$D$13)</f>
        <v>4800</v>
      </c>
      <c r="R3034" s="1">
        <f>_xlfn.XLOOKUP(C3034,Contract!$A$2:$A$9,Contract!$B$2:$B$9)</f>
        <v>0.43</v>
      </c>
      <c r="S3034" s="1">
        <f t="shared" si="188"/>
        <v>2064</v>
      </c>
      <c r="T3034" s="1">
        <f t="shared" si="189"/>
        <v>145.3599999999999</v>
      </c>
      <c r="U3034" s="1" t="str">
        <f t="shared" si="190"/>
        <v>Underpaid</v>
      </c>
      <c r="V3034" s="1" t="str">
        <f>_xlfn.XLOOKUP(C3034,Payers!$A$2:$A$9,Payers!$B$2:$B$9)</f>
        <v>Summit Health Commercial</v>
      </c>
      <c r="W3034" s="1" t="str">
        <f t="shared" si="191"/>
        <v>2026-05</v>
      </c>
    </row>
    <row r="3035" spans="1:23">
      <c r="A3035" s="1" t="s">
        <v>5109</v>
      </c>
      <c r="B3035" s="1" t="s">
        <v>5095</v>
      </c>
      <c r="C3035" s="1" t="s">
        <v>60</v>
      </c>
      <c r="D3035" s="1" t="s">
        <v>19</v>
      </c>
      <c r="E3035" s="1" t="s">
        <v>57</v>
      </c>
      <c r="F3035">
        <v>1</v>
      </c>
      <c r="G3035" s="2">
        <v>46254</v>
      </c>
      <c r="H3035" s="2">
        <v>46257</v>
      </c>
      <c r="I3035">
        <v>213.06</v>
      </c>
      <c r="J3035">
        <v>85.24</v>
      </c>
      <c r="K3035">
        <v>85.24</v>
      </c>
      <c r="L3035">
        <v>0</v>
      </c>
      <c r="M3035" s="1" t="s">
        <v>21</v>
      </c>
      <c r="N3035" s="1" t="s">
        <v>22</v>
      </c>
      <c r="O3035" s="2">
        <v>46293</v>
      </c>
      <c r="P3035" s="2">
        <v>46293</v>
      </c>
      <c r="Q3035">
        <f>_xlfn.XLOOKUP(E3035,CPT!$A$2:$A$13,CPT!$D$2:$D$13)</f>
        <v>210</v>
      </c>
      <c r="R3035" s="1">
        <f>_xlfn.XLOOKUP(C3035,Contract!$A$2:$A$9,Contract!$B$2:$B$9)</f>
        <v>0.45</v>
      </c>
      <c r="S3035" s="1">
        <f t="shared" si="188"/>
        <v>94.5</v>
      </c>
      <c r="T3035" s="1">
        <f t="shared" si="189"/>
        <v>9.2600000000000051</v>
      </c>
      <c r="U3035" s="1" t="str">
        <f t="shared" si="190"/>
        <v>Underpaid</v>
      </c>
      <c r="V3035" s="1" t="str">
        <f>_xlfn.XLOOKUP(C3035,Payers!$A$2:$A$9,Payers!$B$2:$B$9)</f>
        <v>Blue Horizon Commercial</v>
      </c>
      <c r="W3035" s="1" t="str">
        <f t="shared" si="191"/>
        <v>2026-08</v>
      </c>
    </row>
    <row r="3036" spans="1:23">
      <c r="A3036" s="1" t="s">
        <v>5110</v>
      </c>
      <c r="B3036" s="1" t="s">
        <v>5111</v>
      </c>
      <c r="C3036" s="1" t="s">
        <v>18</v>
      </c>
      <c r="D3036" s="1" t="s">
        <v>37</v>
      </c>
      <c r="E3036" s="1" t="s">
        <v>38</v>
      </c>
      <c r="F3036">
        <v>10</v>
      </c>
      <c r="G3036" s="2">
        <v>46082</v>
      </c>
      <c r="H3036" s="2">
        <v>46085</v>
      </c>
      <c r="I3036">
        <v>14173.21</v>
      </c>
      <c r="M3036" s="1" t="s">
        <v>32</v>
      </c>
      <c r="N3036" s="1" t="s">
        <v>315</v>
      </c>
      <c r="O3036" s="2">
        <v>46148</v>
      </c>
      <c r="P3036" s="2"/>
      <c r="Q3036">
        <f>_xlfn.XLOOKUP(E3036,CPT!$A$2:$A$13,CPT!$D$2:$D$13)</f>
        <v>1450</v>
      </c>
      <c r="R3036" s="1">
        <f>_xlfn.XLOOKUP(C3036,Contract!$A$2:$A$9,Contract!$B$2:$B$9)</f>
        <v>0.38</v>
      </c>
      <c r="S3036" s="1">
        <f t="shared" si="188"/>
        <v>5510</v>
      </c>
      <c r="T3036" s="1" t="str">
        <f t="shared" si="189"/>
        <v/>
      </c>
      <c r="U3036" s="1" t="str">
        <f t="shared" si="190"/>
        <v/>
      </c>
      <c r="V3036" s="1" t="str">
        <f>_xlfn.XLOOKUP(C3036,Payers!$A$2:$A$9,Payers!$B$2:$B$9)</f>
        <v>Sunshine Medicare Advantage</v>
      </c>
      <c r="W3036" s="1" t="str">
        <f t="shared" si="191"/>
        <v>2026-03</v>
      </c>
    </row>
    <row r="3037" spans="1:23">
      <c r="A3037" s="1" t="s">
        <v>5112</v>
      </c>
      <c r="B3037" s="1" t="s">
        <v>5113</v>
      </c>
      <c r="C3037" s="1" t="s">
        <v>25</v>
      </c>
      <c r="D3037" s="1" t="s">
        <v>26</v>
      </c>
      <c r="E3037" s="1" t="s">
        <v>41</v>
      </c>
      <c r="F3037">
        <v>1</v>
      </c>
      <c r="G3037" s="2">
        <v>46191</v>
      </c>
      <c r="H3037" s="2">
        <v>46193</v>
      </c>
      <c r="I3037">
        <v>38.99</v>
      </c>
      <c r="J3037">
        <v>12.53</v>
      </c>
      <c r="K3037">
        <v>11.28</v>
      </c>
      <c r="L3037">
        <v>1.25</v>
      </c>
      <c r="M3037" s="1" t="s">
        <v>21</v>
      </c>
      <c r="N3037" s="1" t="s">
        <v>22</v>
      </c>
      <c r="O3037" s="2">
        <v>46202</v>
      </c>
      <c r="P3037" s="2">
        <v>46202</v>
      </c>
      <c r="Q3037">
        <f>_xlfn.XLOOKUP(E3037,CPT!$A$2:$A$13,CPT!$D$2:$D$13)</f>
        <v>38</v>
      </c>
      <c r="R3037" s="1">
        <f>_xlfn.XLOOKUP(C3037,Contract!$A$2:$A$9,Contract!$B$2:$B$9)</f>
        <v>0.36</v>
      </c>
      <c r="S3037" s="1">
        <f t="shared" si="188"/>
        <v>13.68</v>
      </c>
      <c r="T3037" s="1">
        <f t="shared" si="189"/>
        <v>1.1500000000000004</v>
      </c>
      <c r="U3037" s="1" t="str">
        <f t="shared" si="190"/>
        <v>Underpaid</v>
      </c>
      <c r="V3037" s="1" t="str">
        <f>_xlfn.XLOOKUP(C3037,Payers!$A$2:$A$9,Payers!$B$2:$B$9)</f>
        <v>Medicare Part B</v>
      </c>
      <c r="W3037" s="1" t="str">
        <f t="shared" si="191"/>
        <v>2026-06</v>
      </c>
    </row>
    <row r="3038" spans="1:23">
      <c r="A3038" s="1" t="s">
        <v>5114</v>
      </c>
      <c r="B3038" s="1" t="s">
        <v>2240</v>
      </c>
      <c r="C3038" s="1" t="s">
        <v>52</v>
      </c>
      <c r="D3038" s="1" t="s">
        <v>37</v>
      </c>
      <c r="E3038" s="1" t="s">
        <v>38</v>
      </c>
      <c r="F3038">
        <v>20</v>
      </c>
      <c r="G3038" s="2">
        <v>46186</v>
      </c>
      <c r="H3038" s="2">
        <v>46192</v>
      </c>
      <c r="I3038">
        <v>29121.64</v>
      </c>
      <c r="J3038">
        <v>15037.55</v>
      </c>
      <c r="K3038">
        <v>13533.79</v>
      </c>
      <c r="L3038">
        <v>1503.76</v>
      </c>
      <c r="M3038" s="1" t="s">
        <v>21</v>
      </c>
      <c r="N3038" s="1" t="s">
        <v>22</v>
      </c>
      <c r="O3038" s="2">
        <v>46219</v>
      </c>
      <c r="P3038" s="2">
        <v>46219</v>
      </c>
      <c r="Q3038">
        <f>_xlfn.XLOOKUP(E3038,CPT!$A$2:$A$13,CPT!$D$2:$D$13)</f>
        <v>1450</v>
      </c>
      <c r="R3038" s="1">
        <f>_xlfn.XLOOKUP(C3038,Contract!$A$2:$A$9,Contract!$B$2:$B$9)</f>
        <v>0.47</v>
      </c>
      <c r="S3038" s="1">
        <f t="shared" si="188"/>
        <v>13630</v>
      </c>
      <c r="T3038" s="1">
        <f t="shared" si="189"/>
        <v>-1407.5499999999993</v>
      </c>
      <c r="U3038" s="1" t="str">
        <f t="shared" si="190"/>
        <v>OK</v>
      </c>
      <c r="V3038" s="1" t="str">
        <f>_xlfn.XLOOKUP(C3038,Payers!$A$2:$A$9,Payers!$B$2:$B$9)</f>
        <v>Keystone Commercial PPO</v>
      </c>
      <c r="W3038" s="1" t="str">
        <f t="shared" si="191"/>
        <v>2026-06</v>
      </c>
    </row>
    <row r="3039" spans="1:23">
      <c r="A3039" s="1" t="s">
        <v>5115</v>
      </c>
      <c r="B3039" s="1" t="s">
        <v>277</v>
      </c>
      <c r="C3039" s="1" t="s">
        <v>18</v>
      </c>
      <c r="D3039" s="1" t="s">
        <v>19</v>
      </c>
      <c r="E3039" s="1" t="s">
        <v>41</v>
      </c>
      <c r="F3039">
        <v>1</v>
      </c>
      <c r="G3039" s="2">
        <v>45990</v>
      </c>
      <c r="H3039" s="2">
        <v>45996</v>
      </c>
      <c r="I3039">
        <v>37.26</v>
      </c>
      <c r="J3039">
        <v>14.22</v>
      </c>
      <c r="K3039">
        <v>12.8</v>
      </c>
      <c r="L3039">
        <v>1.42</v>
      </c>
      <c r="M3039" s="1" t="s">
        <v>21</v>
      </c>
      <c r="N3039" s="1" t="s">
        <v>22</v>
      </c>
      <c r="O3039" s="2">
        <v>46032</v>
      </c>
      <c r="P3039" s="2">
        <v>46032</v>
      </c>
      <c r="Q3039">
        <f>_xlfn.XLOOKUP(E3039,CPT!$A$2:$A$13,CPT!$D$2:$D$13)</f>
        <v>38</v>
      </c>
      <c r="R3039" s="1">
        <f>_xlfn.XLOOKUP(C3039,Contract!$A$2:$A$9,Contract!$B$2:$B$9)</f>
        <v>0.38</v>
      </c>
      <c r="S3039" s="1">
        <f t="shared" si="188"/>
        <v>14.44</v>
      </c>
      <c r="T3039" s="1">
        <f t="shared" si="189"/>
        <v>0.21999999999999886</v>
      </c>
      <c r="U3039" s="1" t="str">
        <f t="shared" si="190"/>
        <v>OK</v>
      </c>
      <c r="V3039" s="1" t="str">
        <f>_xlfn.XLOOKUP(C3039,Payers!$A$2:$A$9,Payers!$B$2:$B$9)</f>
        <v>Sunshine Medicare Advantage</v>
      </c>
      <c r="W3039" s="1" t="str">
        <f t="shared" si="191"/>
        <v>2025-11</v>
      </c>
    </row>
    <row r="3040" spans="1:23">
      <c r="A3040" s="1" t="s">
        <v>5116</v>
      </c>
      <c r="B3040" s="1" t="s">
        <v>2365</v>
      </c>
      <c r="C3040" s="1" t="s">
        <v>36</v>
      </c>
      <c r="D3040" s="1" t="s">
        <v>37</v>
      </c>
      <c r="E3040" s="1" t="s">
        <v>57</v>
      </c>
      <c r="F3040">
        <v>1</v>
      </c>
      <c r="G3040" s="2">
        <v>46155</v>
      </c>
      <c r="H3040" s="2">
        <v>46159</v>
      </c>
      <c r="I3040">
        <v>212.89</v>
      </c>
      <c r="M3040" s="1" t="s">
        <v>32</v>
      </c>
      <c r="N3040" s="1" t="s">
        <v>33</v>
      </c>
      <c r="O3040" s="2">
        <v>46204</v>
      </c>
      <c r="P3040" s="2"/>
      <c r="Q3040">
        <f>_xlfn.XLOOKUP(E3040,CPT!$A$2:$A$13,CPT!$D$2:$D$13)</f>
        <v>210</v>
      </c>
      <c r="R3040" s="1">
        <f>_xlfn.XLOOKUP(C3040,Contract!$A$2:$A$9,Contract!$B$2:$B$9)</f>
        <v>0.27</v>
      </c>
      <c r="S3040" s="1">
        <f t="shared" si="188"/>
        <v>56.7</v>
      </c>
      <c r="T3040" s="1" t="str">
        <f t="shared" si="189"/>
        <v/>
      </c>
      <c r="U3040" s="1" t="str">
        <f t="shared" si="190"/>
        <v/>
      </c>
      <c r="V3040" s="1" t="str">
        <f>_xlfn.XLOOKUP(C3040,Payers!$A$2:$A$9,Payers!$B$2:$B$9)</f>
        <v>Florida Medicaid</v>
      </c>
      <c r="W3040" s="1" t="str">
        <f t="shared" si="191"/>
        <v>2026-05</v>
      </c>
    </row>
    <row r="3041" spans="1:23">
      <c r="A3041" s="1" t="s">
        <v>5117</v>
      </c>
      <c r="B3041" s="1" t="s">
        <v>5118</v>
      </c>
      <c r="C3041" s="1" t="s">
        <v>52</v>
      </c>
      <c r="D3041" s="1" t="s">
        <v>19</v>
      </c>
      <c r="E3041" s="1" t="s">
        <v>57</v>
      </c>
      <c r="F3041">
        <v>1</v>
      </c>
      <c r="G3041" s="2">
        <v>45983</v>
      </c>
      <c r="H3041" s="2">
        <v>45994</v>
      </c>
      <c r="I3041">
        <v>209.52</v>
      </c>
      <c r="J3041">
        <v>84.53</v>
      </c>
      <c r="K3041">
        <v>76.08</v>
      </c>
      <c r="L3041">
        <v>8.4499999999999993</v>
      </c>
      <c r="M3041" s="1" t="s">
        <v>21</v>
      </c>
      <c r="N3041" s="1" t="s">
        <v>22</v>
      </c>
      <c r="O3041" s="2">
        <v>46034</v>
      </c>
      <c r="P3041" s="2">
        <v>46034</v>
      </c>
      <c r="Q3041">
        <f>_xlfn.XLOOKUP(E3041,CPT!$A$2:$A$13,CPT!$D$2:$D$13)</f>
        <v>210</v>
      </c>
      <c r="R3041" s="1">
        <f>_xlfn.XLOOKUP(C3041,Contract!$A$2:$A$9,Contract!$B$2:$B$9)</f>
        <v>0.47</v>
      </c>
      <c r="S3041" s="1">
        <f t="shared" si="188"/>
        <v>98.7</v>
      </c>
      <c r="T3041" s="1">
        <f t="shared" si="189"/>
        <v>14.170000000000002</v>
      </c>
      <c r="U3041" s="1" t="str">
        <f t="shared" si="190"/>
        <v>Underpaid</v>
      </c>
      <c r="V3041" s="1" t="str">
        <f>_xlfn.XLOOKUP(C3041,Payers!$A$2:$A$9,Payers!$B$2:$B$9)</f>
        <v>Keystone Commercial PPO</v>
      </c>
      <c r="W3041" s="1" t="str">
        <f t="shared" si="191"/>
        <v>2025-11</v>
      </c>
    </row>
    <row r="3042" spans="1:23">
      <c r="A3042" s="1" t="s">
        <v>5119</v>
      </c>
      <c r="B3042" s="1" t="s">
        <v>4371</v>
      </c>
      <c r="C3042" s="1" t="s">
        <v>76</v>
      </c>
      <c r="D3042" s="1" t="s">
        <v>26</v>
      </c>
      <c r="E3042" s="1" t="s">
        <v>113</v>
      </c>
      <c r="F3042">
        <v>1</v>
      </c>
      <c r="G3042" s="2">
        <v>46118</v>
      </c>
      <c r="H3042" s="2">
        <v>46119</v>
      </c>
      <c r="I3042">
        <v>1024.76</v>
      </c>
      <c r="J3042">
        <v>438.72</v>
      </c>
      <c r="K3042">
        <v>394.85</v>
      </c>
      <c r="L3042">
        <v>43.87</v>
      </c>
      <c r="M3042" s="1" t="s">
        <v>21</v>
      </c>
      <c r="N3042" s="1" t="s">
        <v>22</v>
      </c>
      <c r="O3042" s="2">
        <v>46174</v>
      </c>
      <c r="P3042" s="2">
        <v>46174</v>
      </c>
      <c r="Q3042">
        <f>_xlfn.XLOOKUP(E3042,CPT!$A$2:$A$13,CPT!$D$2:$D$13)</f>
        <v>1050</v>
      </c>
      <c r="R3042" s="1">
        <f>_xlfn.XLOOKUP(C3042,Contract!$A$2:$A$9,Contract!$B$2:$B$9)</f>
        <v>0.43</v>
      </c>
      <c r="S3042" s="1">
        <f t="shared" si="188"/>
        <v>451.5</v>
      </c>
      <c r="T3042" s="1">
        <f t="shared" si="189"/>
        <v>12.779999999999973</v>
      </c>
      <c r="U3042" s="1" t="str">
        <f t="shared" si="190"/>
        <v>OK</v>
      </c>
      <c r="V3042" s="1" t="str">
        <f>_xlfn.XLOOKUP(C3042,Payers!$A$2:$A$9,Payers!$B$2:$B$9)</f>
        <v>Summit Health Commercial</v>
      </c>
      <c r="W3042" s="1" t="str">
        <f t="shared" si="191"/>
        <v>2026-04</v>
      </c>
    </row>
    <row r="3043" spans="1:23">
      <c r="A3043" s="1" t="s">
        <v>5120</v>
      </c>
      <c r="B3043" s="1" t="s">
        <v>1373</v>
      </c>
      <c r="C3043" s="1" t="s">
        <v>47</v>
      </c>
      <c r="D3043" s="1" t="s">
        <v>30</v>
      </c>
      <c r="E3043" s="1" t="s">
        <v>20</v>
      </c>
      <c r="F3043">
        <v>1</v>
      </c>
      <c r="G3043" s="2">
        <v>45998</v>
      </c>
      <c r="H3043" s="2">
        <v>46134</v>
      </c>
      <c r="I3043">
        <v>145.28</v>
      </c>
      <c r="M3043" s="1" t="s">
        <v>32</v>
      </c>
      <c r="N3043" s="1" t="s">
        <v>137</v>
      </c>
      <c r="O3043" s="2">
        <v>46182</v>
      </c>
      <c r="P3043" s="2"/>
      <c r="Q3043">
        <f>_xlfn.XLOOKUP(E3043,CPT!$A$2:$A$13,CPT!$D$2:$D$13)</f>
        <v>145</v>
      </c>
      <c r="R3043" s="1">
        <f>_xlfn.XLOOKUP(C3043,Contract!$A$2:$A$9,Contract!$B$2:$B$9)</f>
        <v>0.28000000000000003</v>
      </c>
      <c r="S3043" s="1">
        <f t="shared" si="188"/>
        <v>40.6</v>
      </c>
      <c r="T3043" s="1" t="str">
        <f t="shared" si="189"/>
        <v/>
      </c>
      <c r="U3043" s="1" t="str">
        <f t="shared" si="190"/>
        <v/>
      </c>
      <c r="V3043" s="1" t="str">
        <f>_xlfn.XLOOKUP(C3043,Payers!$A$2:$A$9,Payers!$B$2:$B$9)</f>
        <v>Coastal Medicaid MCO</v>
      </c>
      <c r="W3043" s="1" t="str">
        <f t="shared" si="191"/>
        <v>2025-12</v>
      </c>
    </row>
    <row r="3044" spans="1:23">
      <c r="A3044" s="1" t="s">
        <v>5121</v>
      </c>
      <c r="B3044" s="1" t="s">
        <v>811</v>
      </c>
      <c r="C3044" s="1" t="s">
        <v>52</v>
      </c>
      <c r="D3044" s="1" t="s">
        <v>19</v>
      </c>
      <c r="E3044" s="1" t="s">
        <v>57</v>
      </c>
      <c r="F3044">
        <v>1</v>
      </c>
      <c r="G3044" s="2">
        <v>46146</v>
      </c>
      <c r="H3044" s="2">
        <v>46153</v>
      </c>
      <c r="I3044">
        <v>209.88</v>
      </c>
      <c r="M3044" s="1" t="s">
        <v>32</v>
      </c>
      <c r="N3044" s="1" t="s">
        <v>98</v>
      </c>
      <c r="O3044" s="2">
        <v>46195</v>
      </c>
      <c r="P3044" s="2"/>
      <c r="Q3044">
        <f>_xlfn.XLOOKUP(E3044,CPT!$A$2:$A$13,CPT!$D$2:$D$13)</f>
        <v>210</v>
      </c>
      <c r="R3044" s="1">
        <f>_xlfn.XLOOKUP(C3044,Contract!$A$2:$A$9,Contract!$B$2:$B$9)</f>
        <v>0.47</v>
      </c>
      <c r="S3044" s="1">
        <f t="shared" si="188"/>
        <v>98.7</v>
      </c>
      <c r="T3044" s="1" t="str">
        <f t="shared" si="189"/>
        <v/>
      </c>
      <c r="U3044" s="1" t="str">
        <f t="shared" si="190"/>
        <v/>
      </c>
      <c r="V3044" s="1" t="str">
        <f>_xlfn.XLOOKUP(C3044,Payers!$A$2:$A$9,Payers!$B$2:$B$9)</f>
        <v>Keystone Commercial PPO</v>
      </c>
      <c r="W3044" s="1" t="str">
        <f t="shared" si="191"/>
        <v>2026-05</v>
      </c>
    </row>
    <row r="3045" spans="1:23">
      <c r="A3045" s="1" t="s">
        <v>5122</v>
      </c>
      <c r="B3045" s="1" t="s">
        <v>4405</v>
      </c>
      <c r="C3045" s="1" t="s">
        <v>60</v>
      </c>
      <c r="D3045" s="1" t="s">
        <v>30</v>
      </c>
      <c r="E3045" s="1" t="s">
        <v>91</v>
      </c>
      <c r="F3045">
        <v>4</v>
      </c>
      <c r="G3045" s="2">
        <v>45999</v>
      </c>
      <c r="H3045" s="2">
        <v>46013</v>
      </c>
      <c r="I3045">
        <v>231.17</v>
      </c>
      <c r="J3045">
        <v>106.57</v>
      </c>
      <c r="K3045">
        <v>106.57</v>
      </c>
      <c r="L3045">
        <v>0</v>
      </c>
      <c r="M3045" s="1" t="s">
        <v>21</v>
      </c>
      <c r="N3045" s="1" t="s">
        <v>22</v>
      </c>
      <c r="O3045" s="2">
        <v>46059</v>
      </c>
      <c r="P3045" s="2">
        <v>46059</v>
      </c>
      <c r="Q3045">
        <f>_xlfn.XLOOKUP(E3045,CPT!$A$2:$A$13,CPT!$D$2:$D$13)</f>
        <v>58</v>
      </c>
      <c r="R3045" s="1">
        <f>_xlfn.XLOOKUP(C3045,Contract!$A$2:$A$9,Contract!$B$2:$B$9)</f>
        <v>0.45</v>
      </c>
      <c r="S3045" s="1">
        <f t="shared" si="188"/>
        <v>104.4</v>
      </c>
      <c r="T3045" s="1">
        <f t="shared" si="189"/>
        <v>-2.1699999999999875</v>
      </c>
      <c r="U3045" s="1" t="str">
        <f t="shared" si="190"/>
        <v>OK</v>
      </c>
      <c r="V3045" s="1" t="str">
        <f>_xlfn.XLOOKUP(C3045,Payers!$A$2:$A$9,Payers!$B$2:$B$9)</f>
        <v>Blue Horizon Commercial</v>
      </c>
      <c r="W3045" s="1" t="str">
        <f t="shared" si="191"/>
        <v>2025-12</v>
      </c>
    </row>
    <row r="3046" spans="1:23">
      <c r="A3046" s="1" t="s">
        <v>5123</v>
      </c>
      <c r="B3046" s="1" t="s">
        <v>3045</v>
      </c>
      <c r="C3046" s="1" t="s">
        <v>60</v>
      </c>
      <c r="D3046" s="1" t="s">
        <v>30</v>
      </c>
      <c r="E3046" s="1" t="s">
        <v>31</v>
      </c>
      <c r="F3046">
        <v>2</v>
      </c>
      <c r="G3046" s="2">
        <v>46001</v>
      </c>
      <c r="H3046" s="2">
        <v>46004</v>
      </c>
      <c r="I3046">
        <v>120.29</v>
      </c>
      <c r="J3046">
        <v>60.77</v>
      </c>
      <c r="K3046">
        <v>48.62</v>
      </c>
      <c r="L3046">
        <v>12.15</v>
      </c>
      <c r="M3046" s="1" t="s">
        <v>21</v>
      </c>
      <c r="N3046" s="1" t="s">
        <v>22</v>
      </c>
      <c r="O3046" s="2">
        <v>46017</v>
      </c>
      <c r="P3046" s="2">
        <v>46017</v>
      </c>
      <c r="Q3046">
        <f>_xlfn.XLOOKUP(E3046,CPT!$A$2:$A$13,CPT!$D$2:$D$13)</f>
        <v>62</v>
      </c>
      <c r="R3046" s="1">
        <f>_xlfn.XLOOKUP(C3046,Contract!$A$2:$A$9,Contract!$B$2:$B$9)</f>
        <v>0.45</v>
      </c>
      <c r="S3046" s="1">
        <f t="shared" si="188"/>
        <v>55.8</v>
      </c>
      <c r="T3046" s="1">
        <f t="shared" si="189"/>
        <v>-4.970000000000006</v>
      </c>
      <c r="U3046" s="1" t="str">
        <f t="shared" si="190"/>
        <v>OK</v>
      </c>
      <c r="V3046" s="1" t="str">
        <f>_xlfn.XLOOKUP(C3046,Payers!$A$2:$A$9,Payers!$B$2:$B$9)</f>
        <v>Blue Horizon Commercial</v>
      </c>
      <c r="W3046" s="1" t="str">
        <f t="shared" si="191"/>
        <v>2025-12</v>
      </c>
    </row>
    <row r="3047" spans="1:23">
      <c r="A3047" s="1" t="s">
        <v>5124</v>
      </c>
      <c r="B3047" s="1" t="s">
        <v>54</v>
      </c>
      <c r="C3047" s="1" t="s">
        <v>60</v>
      </c>
      <c r="D3047" s="1" t="s">
        <v>37</v>
      </c>
      <c r="E3047" s="1" t="s">
        <v>48</v>
      </c>
      <c r="F3047">
        <v>1</v>
      </c>
      <c r="G3047" s="2">
        <v>46106</v>
      </c>
      <c r="H3047" s="2">
        <v>46109</v>
      </c>
      <c r="I3047">
        <v>412.86</v>
      </c>
      <c r="J3047">
        <v>177.49</v>
      </c>
      <c r="K3047">
        <v>177.49</v>
      </c>
      <c r="L3047">
        <v>0</v>
      </c>
      <c r="M3047" s="1" t="s">
        <v>21</v>
      </c>
      <c r="N3047" s="1" t="s">
        <v>22</v>
      </c>
      <c r="O3047" s="2">
        <v>46122</v>
      </c>
      <c r="P3047" s="2">
        <v>46122</v>
      </c>
      <c r="Q3047">
        <f>_xlfn.XLOOKUP(E3047,CPT!$A$2:$A$13,CPT!$D$2:$D$13)</f>
        <v>420</v>
      </c>
      <c r="R3047" s="1">
        <f>_xlfn.XLOOKUP(C3047,Contract!$A$2:$A$9,Contract!$B$2:$B$9)</f>
        <v>0.45</v>
      </c>
      <c r="S3047" s="1">
        <f t="shared" si="188"/>
        <v>189</v>
      </c>
      <c r="T3047" s="1">
        <f t="shared" si="189"/>
        <v>11.509999999999991</v>
      </c>
      <c r="U3047" s="1" t="str">
        <f t="shared" si="190"/>
        <v>Underpaid</v>
      </c>
      <c r="V3047" s="1" t="str">
        <f>_xlfn.XLOOKUP(C3047,Payers!$A$2:$A$9,Payers!$B$2:$B$9)</f>
        <v>Blue Horizon Commercial</v>
      </c>
      <c r="W3047" s="1" t="str">
        <f t="shared" si="191"/>
        <v>2026-03</v>
      </c>
    </row>
    <row r="3048" spans="1:23">
      <c r="A3048" s="1" t="s">
        <v>5125</v>
      </c>
      <c r="B3048" s="1" t="s">
        <v>1213</v>
      </c>
      <c r="C3048" s="1" t="s">
        <v>60</v>
      </c>
      <c r="D3048" s="1" t="s">
        <v>30</v>
      </c>
      <c r="E3048" s="1" t="s">
        <v>91</v>
      </c>
      <c r="F3048">
        <v>3</v>
      </c>
      <c r="G3048" s="2">
        <v>46217</v>
      </c>
      <c r="H3048" s="2">
        <v>46218</v>
      </c>
      <c r="I3048">
        <v>174.62</v>
      </c>
      <c r="M3048" s="1" t="s">
        <v>32</v>
      </c>
      <c r="N3048" s="1" t="s">
        <v>168</v>
      </c>
      <c r="O3048" s="2">
        <v>46257</v>
      </c>
      <c r="P3048" s="2"/>
      <c r="Q3048">
        <f>_xlfn.XLOOKUP(E3048,CPT!$A$2:$A$13,CPT!$D$2:$D$13)</f>
        <v>58</v>
      </c>
      <c r="R3048" s="1">
        <f>_xlfn.XLOOKUP(C3048,Contract!$A$2:$A$9,Contract!$B$2:$B$9)</f>
        <v>0.45</v>
      </c>
      <c r="S3048" s="1">
        <f t="shared" si="188"/>
        <v>78.3</v>
      </c>
      <c r="T3048" s="1" t="str">
        <f t="shared" si="189"/>
        <v/>
      </c>
      <c r="U3048" s="1" t="str">
        <f t="shared" si="190"/>
        <v/>
      </c>
      <c r="V3048" s="1" t="str">
        <f>_xlfn.XLOOKUP(C3048,Payers!$A$2:$A$9,Payers!$B$2:$B$9)</f>
        <v>Blue Horizon Commercial</v>
      </c>
      <c r="W3048" s="1" t="str">
        <f t="shared" si="191"/>
        <v>2026-07</v>
      </c>
    </row>
    <row r="3049" spans="1:23">
      <c r="A3049" s="1" t="s">
        <v>5126</v>
      </c>
      <c r="B3049" s="1" t="s">
        <v>430</v>
      </c>
      <c r="C3049" s="1" t="s">
        <v>25</v>
      </c>
      <c r="D3049" s="1" t="s">
        <v>26</v>
      </c>
      <c r="E3049" s="1" t="s">
        <v>57</v>
      </c>
      <c r="F3049">
        <v>1</v>
      </c>
      <c r="G3049" s="2">
        <v>46029</v>
      </c>
      <c r="H3049" s="2">
        <v>46031</v>
      </c>
      <c r="I3049">
        <v>214.9</v>
      </c>
      <c r="J3049">
        <v>72.819999999999993</v>
      </c>
      <c r="K3049">
        <v>65.540000000000006</v>
      </c>
      <c r="L3049">
        <v>7.28</v>
      </c>
      <c r="M3049" s="1" t="s">
        <v>21</v>
      </c>
      <c r="N3049" s="1" t="s">
        <v>22</v>
      </c>
      <c r="O3049" s="2">
        <v>46051</v>
      </c>
      <c r="P3049" s="2">
        <v>46051</v>
      </c>
      <c r="Q3049">
        <f>_xlfn.XLOOKUP(E3049,CPT!$A$2:$A$13,CPT!$D$2:$D$13)</f>
        <v>210</v>
      </c>
      <c r="R3049" s="1">
        <f>_xlfn.XLOOKUP(C3049,Contract!$A$2:$A$9,Contract!$B$2:$B$9)</f>
        <v>0.36</v>
      </c>
      <c r="S3049" s="1">
        <f t="shared" si="188"/>
        <v>75.599999999999994</v>
      </c>
      <c r="T3049" s="1">
        <f t="shared" si="189"/>
        <v>2.7800000000000011</v>
      </c>
      <c r="U3049" s="1" t="str">
        <f t="shared" si="190"/>
        <v>OK</v>
      </c>
      <c r="V3049" s="1" t="str">
        <f>_xlfn.XLOOKUP(C3049,Payers!$A$2:$A$9,Payers!$B$2:$B$9)</f>
        <v>Medicare Part B</v>
      </c>
      <c r="W3049" s="1" t="str">
        <f t="shared" si="191"/>
        <v>2026-01</v>
      </c>
    </row>
    <row r="3050" spans="1:23">
      <c r="A3050" s="1" t="s">
        <v>5127</v>
      </c>
      <c r="B3050" s="1" t="s">
        <v>5128</v>
      </c>
      <c r="C3050" s="1" t="s">
        <v>18</v>
      </c>
      <c r="D3050" s="1" t="s">
        <v>30</v>
      </c>
      <c r="E3050" s="1" t="s">
        <v>31</v>
      </c>
      <c r="F3050">
        <v>4</v>
      </c>
      <c r="G3050" s="2">
        <v>46163</v>
      </c>
      <c r="H3050" s="2">
        <v>46165</v>
      </c>
      <c r="I3050">
        <v>254.14</v>
      </c>
      <c r="J3050">
        <v>82.9</v>
      </c>
      <c r="K3050">
        <v>82.9</v>
      </c>
      <c r="L3050">
        <v>0</v>
      </c>
      <c r="M3050" s="1" t="s">
        <v>21</v>
      </c>
      <c r="N3050" s="1" t="s">
        <v>22</v>
      </c>
      <c r="O3050" s="2">
        <v>46228</v>
      </c>
      <c r="P3050" s="2">
        <v>46228</v>
      </c>
      <c r="Q3050">
        <f>_xlfn.XLOOKUP(E3050,CPT!$A$2:$A$13,CPT!$D$2:$D$13)</f>
        <v>62</v>
      </c>
      <c r="R3050" s="1">
        <f>_xlfn.XLOOKUP(C3050,Contract!$A$2:$A$9,Contract!$B$2:$B$9)</f>
        <v>0.38</v>
      </c>
      <c r="S3050" s="1">
        <f t="shared" si="188"/>
        <v>94.24</v>
      </c>
      <c r="T3050" s="1">
        <f t="shared" si="189"/>
        <v>11.339999999999989</v>
      </c>
      <c r="U3050" s="1" t="str">
        <f t="shared" si="190"/>
        <v>Underpaid</v>
      </c>
      <c r="V3050" s="1" t="str">
        <f>_xlfn.XLOOKUP(C3050,Payers!$A$2:$A$9,Payers!$B$2:$B$9)</f>
        <v>Sunshine Medicare Advantage</v>
      </c>
      <c r="W3050" s="1" t="str">
        <f t="shared" si="191"/>
        <v>2026-05</v>
      </c>
    </row>
    <row r="3051" spans="1:23">
      <c r="A3051" s="1" t="s">
        <v>5129</v>
      </c>
      <c r="B3051" s="1" t="s">
        <v>1190</v>
      </c>
      <c r="C3051" s="1" t="s">
        <v>60</v>
      </c>
      <c r="D3051" s="1" t="s">
        <v>19</v>
      </c>
      <c r="E3051" s="1" t="s">
        <v>41</v>
      </c>
      <c r="F3051">
        <v>1</v>
      </c>
      <c r="G3051" s="2">
        <v>45945</v>
      </c>
      <c r="H3051" s="2">
        <v>45949</v>
      </c>
      <c r="I3051">
        <v>38.14</v>
      </c>
      <c r="M3051" s="1" t="s">
        <v>32</v>
      </c>
      <c r="N3051" s="1" t="s">
        <v>33</v>
      </c>
      <c r="O3051" s="2">
        <v>45985</v>
      </c>
      <c r="P3051" s="2"/>
      <c r="Q3051">
        <f>_xlfn.XLOOKUP(E3051,CPT!$A$2:$A$13,CPT!$D$2:$D$13)</f>
        <v>38</v>
      </c>
      <c r="R3051" s="1">
        <f>_xlfn.XLOOKUP(C3051,Contract!$A$2:$A$9,Contract!$B$2:$B$9)</f>
        <v>0.45</v>
      </c>
      <c r="S3051" s="1">
        <f t="shared" si="188"/>
        <v>17.100000000000001</v>
      </c>
      <c r="T3051" s="1" t="str">
        <f t="shared" si="189"/>
        <v/>
      </c>
      <c r="U3051" s="1" t="str">
        <f t="shared" si="190"/>
        <v/>
      </c>
      <c r="V3051" s="1" t="str">
        <f>_xlfn.XLOOKUP(C3051,Payers!$A$2:$A$9,Payers!$B$2:$B$9)</f>
        <v>Blue Horizon Commercial</v>
      </c>
      <c r="W3051" s="1" t="str">
        <f t="shared" si="191"/>
        <v>2025-10</v>
      </c>
    </row>
    <row r="3052" spans="1:23">
      <c r="A3052" s="1" t="s">
        <v>5130</v>
      </c>
      <c r="B3052" s="1" t="s">
        <v>1349</v>
      </c>
      <c r="C3052" s="1" t="s">
        <v>76</v>
      </c>
      <c r="D3052" s="1" t="s">
        <v>37</v>
      </c>
      <c r="E3052" s="1" t="s">
        <v>48</v>
      </c>
      <c r="F3052">
        <v>1</v>
      </c>
      <c r="G3052" s="2">
        <v>46056</v>
      </c>
      <c r="H3052" s="2">
        <v>46061</v>
      </c>
      <c r="I3052">
        <v>422.42</v>
      </c>
      <c r="J3052">
        <v>175.73</v>
      </c>
      <c r="K3052">
        <v>175.73</v>
      </c>
      <c r="L3052">
        <v>0</v>
      </c>
      <c r="M3052" s="1" t="s">
        <v>21</v>
      </c>
      <c r="N3052" s="1" t="s">
        <v>22</v>
      </c>
      <c r="O3052" s="2">
        <v>46099</v>
      </c>
      <c r="P3052" s="2">
        <v>46099</v>
      </c>
      <c r="Q3052">
        <f>_xlfn.XLOOKUP(E3052,CPT!$A$2:$A$13,CPT!$D$2:$D$13)</f>
        <v>420</v>
      </c>
      <c r="R3052" s="1">
        <f>_xlfn.XLOOKUP(C3052,Contract!$A$2:$A$9,Contract!$B$2:$B$9)</f>
        <v>0.43</v>
      </c>
      <c r="S3052" s="1">
        <f t="shared" si="188"/>
        <v>180.6</v>
      </c>
      <c r="T3052" s="1">
        <f t="shared" si="189"/>
        <v>4.8700000000000045</v>
      </c>
      <c r="U3052" s="1" t="str">
        <f t="shared" si="190"/>
        <v>OK</v>
      </c>
      <c r="V3052" s="1" t="str">
        <f>_xlfn.XLOOKUP(C3052,Payers!$A$2:$A$9,Payers!$B$2:$B$9)</f>
        <v>Summit Health Commercial</v>
      </c>
      <c r="W3052" s="1" t="str">
        <f t="shared" si="191"/>
        <v>2026-02</v>
      </c>
    </row>
    <row r="3053" spans="1:23">
      <c r="A3053" s="1" t="s">
        <v>5131</v>
      </c>
      <c r="B3053" s="1" t="s">
        <v>4460</v>
      </c>
      <c r="C3053" s="1" t="s">
        <v>47</v>
      </c>
      <c r="D3053" s="1" t="s">
        <v>26</v>
      </c>
      <c r="E3053" s="1" t="s">
        <v>27</v>
      </c>
      <c r="F3053">
        <v>1</v>
      </c>
      <c r="G3053" s="2">
        <v>46250</v>
      </c>
      <c r="H3053" s="2">
        <v>46253</v>
      </c>
      <c r="I3053">
        <v>240.23</v>
      </c>
      <c r="M3053" s="1" t="s">
        <v>69</v>
      </c>
      <c r="N3053" s="1" t="s">
        <v>22</v>
      </c>
      <c r="O3053" s="2"/>
      <c r="P3053" s="2"/>
      <c r="Q3053">
        <f>_xlfn.XLOOKUP(E3053,CPT!$A$2:$A$13,CPT!$D$2:$D$13)</f>
        <v>240</v>
      </c>
      <c r="R3053" s="1">
        <f>_xlfn.XLOOKUP(C3053,Contract!$A$2:$A$9,Contract!$B$2:$B$9)</f>
        <v>0.28000000000000003</v>
      </c>
      <c r="S3053" s="1">
        <f t="shared" si="188"/>
        <v>67.2</v>
      </c>
      <c r="T3053" s="1" t="str">
        <f t="shared" si="189"/>
        <v/>
      </c>
      <c r="U3053" s="1" t="str">
        <f t="shared" si="190"/>
        <v/>
      </c>
      <c r="V3053" s="1" t="str">
        <f>_xlfn.XLOOKUP(C3053,Payers!$A$2:$A$9,Payers!$B$2:$B$9)</f>
        <v>Coastal Medicaid MCO</v>
      </c>
      <c r="W3053" s="1" t="str">
        <f t="shared" si="191"/>
        <v>2026-08</v>
      </c>
    </row>
    <row r="3054" spans="1:23">
      <c r="A3054" s="1" t="s">
        <v>5132</v>
      </c>
      <c r="B3054" s="1" t="s">
        <v>2282</v>
      </c>
      <c r="C3054" s="1" t="s">
        <v>60</v>
      </c>
      <c r="D3054" s="1" t="s">
        <v>37</v>
      </c>
      <c r="E3054" s="1" t="s">
        <v>38</v>
      </c>
      <c r="F3054">
        <v>5</v>
      </c>
      <c r="G3054" s="2">
        <v>46031</v>
      </c>
      <c r="H3054" s="2">
        <v>46035</v>
      </c>
      <c r="I3054">
        <v>7388.79</v>
      </c>
      <c r="J3054">
        <v>3629.46</v>
      </c>
      <c r="K3054">
        <v>3266.51</v>
      </c>
      <c r="L3054">
        <v>362.95</v>
      </c>
      <c r="M3054" s="1" t="s">
        <v>21</v>
      </c>
      <c r="N3054" s="1" t="s">
        <v>22</v>
      </c>
      <c r="O3054" s="2">
        <v>46074</v>
      </c>
      <c r="P3054" s="2">
        <v>46074</v>
      </c>
      <c r="Q3054">
        <f>_xlfn.XLOOKUP(E3054,CPT!$A$2:$A$13,CPT!$D$2:$D$13)</f>
        <v>1450</v>
      </c>
      <c r="R3054" s="1">
        <f>_xlfn.XLOOKUP(C3054,Contract!$A$2:$A$9,Contract!$B$2:$B$9)</f>
        <v>0.45</v>
      </c>
      <c r="S3054" s="1">
        <f t="shared" si="188"/>
        <v>3262.5</v>
      </c>
      <c r="T3054" s="1">
        <f t="shared" si="189"/>
        <v>-366.96000000000004</v>
      </c>
      <c r="U3054" s="1" t="str">
        <f t="shared" si="190"/>
        <v>OK</v>
      </c>
      <c r="V3054" s="1" t="str">
        <f>_xlfn.XLOOKUP(C3054,Payers!$A$2:$A$9,Payers!$B$2:$B$9)</f>
        <v>Blue Horizon Commercial</v>
      </c>
      <c r="W3054" s="1" t="str">
        <f t="shared" si="191"/>
        <v>2026-01</v>
      </c>
    </row>
    <row r="3055" spans="1:23">
      <c r="A3055" s="1" t="s">
        <v>5133</v>
      </c>
      <c r="B3055" s="1" t="s">
        <v>5134</v>
      </c>
      <c r="C3055" s="1" t="s">
        <v>60</v>
      </c>
      <c r="D3055" s="1" t="s">
        <v>19</v>
      </c>
      <c r="E3055" s="1" t="s">
        <v>20</v>
      </c>
      <c r="F3055">
        <v>1</v>
      </c>
      <c r="G3055" s="2">
        <v>46074</v>
      </c>
      <c r="H3055" s="2">
        <v>46075</v>
      </c>
      <c r="I3055">
        <v>141.71</v>
      </c>
      <c r="M3055" s="1" t="s">
        <v>32</v>
      </c>
      <c r="N3055" s="1" t="s">
        <v>124</v>
      </c>
      <c r="O3055" s="2">
        <v>46089</v>
      </c>
      <c r="P3055" s="2"/>
      <c r="Q3055">
        <f>_xlfn.XLOOKUP(E3055,CPT!$A$2:$A$13,CPT!$D$2:$D$13)</f>
        <v>145</v>
      </c>
      <c r="R3055" s="1">
        <f>_xlfn.XLOOKUP(C3055,Contract!$A$2:$A$9,Contract!$B$2:$B$9)</f>
        <v>0.45</v>
      </c>
      <c r="S3055" s="1">
        <f t="shared" si="188"/>
        <v>65.25</v>
      </c>
      <c r="T3055" s="1" t="str">
        <f t="shared" si="189"/>
        <v/>
      </c>
      <c r="U3055" s="1" t="str">
        <f t="shared" si="190"/>
        <v/>
      </c>
      <c r="V3055" s="1" t="str">
        <f>_xlfn.XLOOKUP(C3055,Payers!$A$2:$A$9,Payers!$B$2:$B$9)</f>
        <v>Blue Horizon Commercial</v>
      </c>
      <c r="W3055" s="1" t="str">
        <f t="shared" si="191"/>
        <v>2026-02</v>
      </c>
    </row>
    <row r="3056" spans="1:23">
      <c r="A3056" s="1" t="s">
        <v>5135</v>
      </c>
      <c r="B3056" s="1" t="s">
        <v>121</v>
      </c>
      <c r="C3056" s="1" t="s">
        <v>18</v>
      </c>
      <c r="D3056" s="1" t="s">
        <v>19</v>
      </c>
      <c r="E3056" s="1" t="s">
        <v>88</v>
      </c>
      <c r="F3056">
        <v>1</v>
      </c>
      <c r="G3056" s="2">
        <v>46104</v>
      </c>
      <c r="H3056" s="2">
        <v>46105</v>
      </c>
      <c r="I3056">
        <v>267.01</v>
      </c>
      <c r="J3056">
        <v>110.17</v>
      </c>
      <c r="K3056">
        <v>88.14</v>
      </c>
      <c r="L3056">
        <v>22.03</v>
      </c>
      <c r="M3056" s="1" t="s">
        <v>21</v>
      </c>
      <c r="N3056" s="1" t="s">
        <v>22</v>
      </c>
      <c r="O3056" s="2">
        <v>46155</v>
      </c>
      <c r="P3056" s="2">
        <v>46155</v>
      </c>
      <c r="Q3056">
        <f>_xlfn.XLOOKUP(E3056,CPT!$A$2:$A$13,CPT!$D$2:$D$13)</f>
        <v>260</v>
      </c>
      <c r="R3056" s="1">
        <f>_xlfn.XLOOKUP(C3056,Contract!$A$2:$A$9,Contract!$B$2:$B$9)</f>
        <v>0.38</v>
      </c>
      <c r="S3056" s="1">
        <f t="shared" si="188"/>
        <v>98.8</v>
      </c>
      <c r="T3056" s="1">
        <f t="shared" si="189"/>
        <v>-11.370000000000005</v>
      </c>
      <c r="U3056" s="1" t="str">
        <f t="shared" si="190"/>
        <v>OK</v>
      </c>
      <c r="V3056" s="1" t="str">
        <f>_xlfn.XLOOKUP(C3056,Payers!$A$2:$A$9,Payers!$B$2:$B$9)</f>
        <v>Sunshine Medicare Advantage</v>
      </c>
      <c r="W3056" s="1" t="str">
        <f t="shared" si="191"/>
        <v>2026-03</v>
      </c>
    </row>
    <row r="3057" spans="1:23">
      <c r="A3057" s="1" t="s">
        <v>5136</v>
      </c>
      <c r="B3057" s="1" t="s">
        <v>5137</v>
      </c>
      <c r="C3057" s="1" t="s">
        <v>76</v>
      </c>
      <c r="D3057" s="1" t="s">
        <v>30</v>
      </c>
      <c r="E3057" s="1" t="s">
        <v>91</v>
      </c>
      <c r="F3057">
        <v>4</v>
      </c>
      <c r="G3057" s="2">
        <v>46080</v>
      </c>
      <c r="H3057" s="2">
        <v>46083</v>
      </c>
      <c r="I3057">
        <v>230.52</v>
      </c>
      <c r="J3057">
        <v>86.42</v>
      </c>
      <c r="K3057">
        <v>86.42</v>
      </c>
      <c r="L3057">
        <v>0</v>
      </c>
      <c r="M3057" s="1" t="s">
        <v>21</v>
      </c>
      <c r="N3057" s="1" t="s">
        <v>22</v>
      </c>
      <c r="O3057" s="2">
        <v>46117</v>
      </c>
      <c r="P3057" s="2">
        <v>46117</v>
      </c>
      <c r="Q3057">
        <f>_xlfn.XLOOKUP(E3057,CPT!$A$2:$A$13,CPT!$D$2:$D$13)</f>
        <v>58</v>
      </c>
      <c r="R3057" s="1">
        <f>_xlfn.XLOOKUP(C3057,Contract!$A$2:$A$9,Contract!$B$2:$B$9)</f>
        <v>0.43</v>
      </c>
      <c r="S3057" s="1">
        <f t="shared" si="188"/>
        <v>99.76</v>
      </c>
      <c r="T3057" s="1">
        <f t="shared" si="189"/>
        <v>13.340000000000003</v>
      </c>
      <c r="U3057" s="1" t="str">
        <f t="shared" si="190"/>
        <v>Underpaid</v>
      </c>
      <c r="V3057" s="1" t="str">
        <f>_xlfn.XLOOKUP(C3057,Payers!$A$2:$A$9,Payers!$B$2:$B$9)</f>
        <v>Summit Health Commercial</v>
      </c>
      <c r="W3057" s="1" t="str">
        <f t="shared" si="191"/>
        <v>2026-02</v>
      </c>
    </row>
    <row r="3058" spans="1:23">
      <c r="A3058" s="1" t="s">
        <v>5138</v>
      </c>
      <c r="B3058" s="1" t="s">
        <v>5139</v>
      </c>
      <c r="C3058" s="1" t="s">
        <v>60</v>
      </c>
      <c r="D3058" s="1" t="s">
        <v>37</v>
      </c>
      <c r="E3058" s="1" t="s">
        <v>38</v>
      </c>
      <c r="F3058">
        <v>20</v>
      </c>
      <c r="G3058" s="2">
        <v>46046</v>
      </c>
      <c r="H3058" s="2">
        <v>46048</v>
      </c>
      <c r="I3058">
        <v>29461.85</v>
      </c>
      <c r="M3058" s="1" t="s">
        <v>32</v>
      </c>
      <c r="N3058" s="1" t="s">
        <v>124</v>
      </c>
      <c r="O3058" s="2">
        <v>46072</v>
      </c>
      <c r="P3058" s="2"/>
      <c r="Q3058">
        <f>_xlfn.XLOOKUP(E3058,CPT!$A$2:$A$13,CPT!$D$2:$D$13)</f>
        <v>1450</v>
      </c>
      <c r="R3058" s="1">
        <f>_xlfn.XLOOKUP(C3058,Contract!$A$2:$A$9,Contract!$B$2:$B$9)</f>
        <v>0.45</v>
      </c>
      <c r="S3058" s="1">
        <f t="shared" si="188"/>
        <v>13050</v>
      </c>
      <c r="T3058" s="1" t="str">
        <f t="shared" si="189"/>
        <v/>
      </c>
      <c r="U3058" s="1" t="str">
        <f t="shared" si="190"/>
        <v/>
      </c>
      <c r="V3058" s="1" t="str">
        <f>_xlfn.XLOOKUP(C3058,Payers!$A$2:$A$9,Payers!$B$2:$B$9)</f>
        <v>Blue Horizon Commercial</v>
      </c>
      <c r="W3058" s="1" t="str">
        <f t="shared" si="191"/>
        <v>2026-01</v>
      </c>
    </row>
    <row r="3059" spans="1:23">
      <c r="A3059" s="1" t="s">
        <v>5140</v>
      </c>
      <c r="B3059" s="1" t="s">
        <v>5141</v>
      </c>
      <c r="C3059" s="1" t="s">
        <v>47</v>
      </c>
      <c r="D3059" s="1" t="s">
        <v>26</v>
      </c>
      <c r="E3059" s="1" t="s">
        <v>27</v>
      </c>
      <c r="F3059">
        <v>1</v>
      </c>
      <c r="G3059" s="2">
        <v>45985</v>
      </c>
      <c r="H3059" s="2">
        <v>45994</v>
      </c>
      <c r="I3059">
        <v>238.93</v>
      </c>
      <c r="J3059">
        <v>71.89</v>
      </c>
      <c r="K3059">
        <v>57.51</v>
      </c>
      <c r="L3059">
        <v>14.38</v>
      </c>
      <c r="M3059" s="1" t="s">
        <v>21</v>
      </c>
      <c r="N3059" s="1" t="s">
        <v>22</v>
      </c>
      <c r="O3059" s="2">
        <v>46060</v>
      </c>
      <c r="P3059" s="2">
        <v>46060</v>
      </c>
      <c r="Q3059">
        <f>_xlfn.XLOOKUP(E3059,CPT!$A$2:$A$13,CPT!$D$2:$D$13)</f>
        <v>240</v>
      </c>
      <c r="R3059" s="1">
        <f>_xlfn.XLOOKUP(C3059,Contract!$A$2:$A$9,Contract!$B$2:$B$9)</f>
        <v>0.28000000000000003</v>
      </c>
      <c r="S3059" s="1">
        <f t="shared" si="188"/>
        <v>67.2</v>
      </c>
      <c r="T3059" s="1">
        <f t="shared" si="189"/>
        <v>-4.6899999999999977</v>
      </c>
      <c r="U3059" s="1" t="str">
        <f t="shared" si="190"/>
        <v>OK</v>
      </c>
      <c r="V3059" s="1" t="str">
        <f>_xlfn.XLOOKUP(C3059,Payers!$A$2:$A$9,Payers!$B$2:$B$9)</f>
        <v>Coastal Medicaid MCO</v>
      </c>
      <c r="W3059" s="1" t="str">
        <f t="shared" si="191"/>
        <v>2025-11</v>
      </c>
    </row>
    <row r="3060" spans="1:23">
      <c r="A3060" s="1" t="s">
        <v>5142</v>
      </c>
      <c r="B3060" s="1" t="s">
        <v>2164</v>
      </c>
      <c r="C3060" s="1" t="s">
        <v>52</v>
      </c>
      <c r="D3060" s="1" t="s">
        <v>26</v>
      </c>
      <c r="E3060" s="1" t="s">
        <v>88</v>
      </c>
      <c r="F3060">
        <v>1</v>
      </c>
      <c r="G3060" s="2">
        <v>46278</v>
      </c>
      <c r="H3060" s="2">
        <v>46287</v>
      </c>
      <c r="I3060">
        <v>260.93</v>
      </c>
      <c r="M3060" s="1" t="s">
        <v>69</v>
      </c>
      <c r="N3060" s="1" t="s">
        <v>22</v>
      </c>
      <c r="O3060" s="2"/>
      <c r="P3060" s="2"/>
      <c r="Q3060">
        <f>_xlfn.XLOOKUP(E3060,CPT!$A$2:$A$13,CPT!$D$2:$D$13)</f>
        <v>260</v>
      </c>
      <c r="R3060" s="1">
        <f>_xlfn.XLOOKUP(C3060,Contract!$A$2:$A$9,Contract!$B$2:$B$9)</f>
        <v>0.47</v>
      </c>
      <c r="S3060" s="1">
        <f t="shared" si="188"/>
        <v>122.2</v>
      </c>
      <c r="T3060" s="1" t="str">
        <f t="shared" si="189"/>
        <v/>
      </c>
      <c r="U3060" s="1" t="str">
        <f t="shared" si="190"/>
        <v/>
      </c>
      <c r="V3060" s="1" t="str">
        <f>_xlfn.XLOOKUP(C3060,Payers!$A$2:$A$9,Payers!$B$2:$B$9)</f>
        <v>Keystone Commercial PPO</v>
      </c>
      <c r="W3060" s="1" t="str">
        <f t="shared" si="191"/>
        <v>2026-09</v>
      </c>
    </row>
    <row r="3061" spans="1:23">
      <c r="A3061" s="1" t="s">
        <v>5143</v>
      </c>
      <c r="B3061" s="1" t="s">
        <v>2944</v>
      </c>
      <c r="C3061" s="1" t="s">
        <v>76</v>
      </c>
      <c r="D3061" s="1" t="s">
        <v>30</v>
      </c>
      <c r="E3061" s="1" t="s">
        <v>20</v>
      </c>
      <c r="F3061">
        <v>1</v>
      </c>
      <c r="G3061" s="2">
        <v>46069</v>
      </c>
      <c r="H3061" s="2">
        <v>46189</v>
      </c>
      <c r="I3061">
        <v>146.05000000000001</v>
      </c>
      <c r="M3061" s="1" t="s">
        <v>32</v>
      </c>
      <c r="N3061" s="1" t="s">
        <v>137</v>
      </c>
      <c r="O3061" s="2">
        <v>46201</v>
      </c>
      <c r="P3061" s="2"/>
      <c r="Q3061">
        <f>_xlfn.XLOOKUP(E3061,CPT!$A$2:$A$13,CPT!$D$2:$D$13)</f>
        <v>145</v>
      </c>
      <c r="R3061" s="1">
        <f>_xlfn.XLOOKUP(C3061,Contract!$A$2:$A$9,Contract!$B$2:$B$9)</f>
        <v>0.43</v>
      </c>
      <c r="S3061" s="1">
        <f t="shared" si="188"/>
        <v>62.35</v>
      </c>
      <c r="T3061" s="1" t="str">
        <f t="shared" si="189"/>
        <v/>
      </c>
      <c r="U3061" s="1" t="str">
        <f t="shared" si="190"/>
        <v/>
      </c>
      <c r="V3061" s="1" t="str">
        <f>_xlfn.XLOOKUP(C3061,Payers!$A$2:$A$9,Payers!$B$2:$B$9)</f>
        <v>Summit Health Commercial</v>
      </c>
      <c r="W3061" s="1" t="str">
        <f t="shared" si="191"/>
        <v>2026-02</v>
      </c>
    </row>
    <row r="3062" spans="1:23">
      <c r="A3062" s="1" t="s">
        <v>5144</v>
      </c>
      <c r="B3062" s="1" t="s">
        <v>5145</v>
      </c>
      <c r="C3062" s="1" t="s">
        <v>76</v>
      </c>
      <c r="D3062" s="1" t="s">
        <v>37</v>
      </c>
      <c r="E3062" s="1" t="s">
        <v>48</v>
      </c>
      <c r="F3062">
        <v>1</v>
      </c>
      <c r="G3062" s="2">
        <v>45977</v>
      </c>
      <c r="H3062" s="2">
        <v>45981</v>
      </c>
      <c r="I3062">
        <v>420.1</v>
      </c>
      <c r="J3062">
        <v>176.8</v>
      </c>
      <c r="K3062">
        <v>141.44</v>
      </c>
      <c r="L3062">
        <v>35.36</v>
      </c>
      <c r="M3062" s="1" t="s">
        <v>21</v>
      </c>
      <c r="N3062" s="1" t="s">
        <v>22</v>
      </c>
      <c r="O3062" s="2">
        <v>46006</v>
      </c>
      <c r="P3062" s="2">
        <v>46006</v>
      </c>
      <c r="Q3062">
        <f>_xlfn.XLOOKUP(E3062,CPT!$A$2:$A$13,CPT!$D$2:$D$13)</f>
        <v>420</v>
      </c>
      <c r="R3062" s="1">
        <f>_xlfn.XLOOKUP(C3062,Contract!$A$2:$A$9,Contract!$B$2:$B$9)</f>
        <v>0.43</v>
      </c>
      <c r="S3062" s="1">
        <f t="shared" si="188"/>
        <v>180.6</v>
      </c>
      <c r="T3062" s="1">
        <f t="shared" si="189"/>
        <v>3.7999999999999829</v>
      </c>
      <c r="U3062" s="1" t="str">
        <f t="shared" si="190"/>
        <v>OK</v>
      </c>
      <c r="V3062" s="1" t="str">
        <f>_xlfn.XLOOKUP(C3062,Payers!$A$2:$A$9,Payers!$B$2:$B$9)</f>
        <v>Summit Health Commercial</v>
      </c>
      <c r="W3062" s="1" t="str">
        <f t="shared" si="191"/>
        <v>2025-11</v>
      </c>
    </row>
    <row r="3063" spans="1:23">
      <c r="A3063" s="1" t="s">
        <v>5146</v>
      </c>
      <c r="B3063" s="1" t="s">
        <v>736</v>
      </c>
      <c r="C3063" s="1" t="s">
        <v>76</v>
      </c>
      <c r="D3063" s="1" t="s">
        <v>26</v>
      </c>
      <c r="E3063" s="1" t="s">
        <v>57</v>
      </c>
      <c r="F3063">
        <v>1</v>
      </c>
      <c r="G3063" s="2">
        <v>46039</v>
      </c>
      <c r="H3063" s="2">
        <v>46040</v>
      </c>
      <c r="I3063">
        <v>214.77</v>
      </c>
      <c r="J3063">
        <v>87.71</v>
      </c>
      <c r="K3063">
        <v>87.71</v>
      </c>
      <c r="L3063">
        <v>0</v>
      </c>
      <c r="M3063" s="1" t="s">
        <v>21</v>
      </c>
      <c r="N3063" s="1" t="s">
        <v>22</v>
      </c>
      <c r="O3063" s="2">
        <v>46066</v>
      </c>
      <c r="P3063" s="2">
        <v>46066</v>
      </c>
      <c r="Q3063">
        <f>_xlfn.XLOOKUP(E3063,CPT!$A$2:$A$13,CPT!$D$2:$D$13)</f>
        <v>210</v>
      </c>
      <c r="R3063" s="1">
        <f>_xlfn.XLOOKUP(C3063,Contract!$A$2:$A$9,Contract!$B$2:$B$9)</f>
        <v>0.43</v>
      </c>
      <c r="S3063" s="1">
        <f t="shared" si="188"/>
        <v>90.3</v>
      </c>
      <c r="T3063" s="1">
        <f t="shared" si="189"/>
        <v>2.5900000000000034</v>
      </c>
      <c r="U3063" s="1" t="str">
        <f t="shared" si="190"/>
        <v>OK</v>
      </c>
      <c r="V3063" s="1" t="str">
        <f>_xlfn.XLOOKUP(C3063,Payers!$A$2:$A$9,Payers!$B$2:$B$9)</f>
        <v>Summit Health Commercial</v>
      </c>
      <c r="W3063" s="1" t="str">
        <f t="shared" si="191"/>
        <v>2026-01</v>
      </c>
    </row>
    <row r="3064" spans="1:23">
      <c r="A3064" s="1" t="s">
        <v>5147</v>
      </c>
      <c r="B3064" s="1" t="s">
        <v>5148</v>
      </c>
      <c r="C3064" s="1" t="s">
        <v>25</v>
      </c>
      <c r="D3064" s="1" t="s">
        <v>30</v>
      </c>
      <c r="E3064" s="1" t="s">
        <v>91</v>
      </c>
      <c r="F3064">
        <v>2</v>
      </c>
      <c r="G3064" s="2">
        <v>46069</v>
      </c>
      <c r="H3064" s="2">
        <v>46070</v>
      </c>
      <c r="I3064">
        <v>112.54</v>
      </c>
      <c r="J3064">
        <v>38.56</v>
      </c>
      <c r="K3064">
        <v>34.700000000000003</v>
      </c>
      <c r="L3064">
        <v>3.86</v>
      </c>
      <c r="M3064" s="1" t="s">
        <v>21</v>
      </c>
      <c r="N3064" s="1" t="s">
        <v>22</v>
      </c>
      <c r="O3064" s="2">
        <v>46091</v>
      </c>
      <c r="P3064" s="2">
        <v>46091</v>
      </c>
      <c r="Q3064">
        <f>_xlfn.XLOOKUP(E3064,CPT!$A$2:$A$13,CPT!$D$2:$D$13)</f>
        <v>58</v>
      </c>
      <c r="R3064" s="1">
        <f>_xlfn.XLOOKUP(C3064,Contract!$A$2:$A$9,Contract!$B$2:$B$9)</f>
        <v>0.36</v>
      </c>
      <c r="S3064" s="1">
        <f t="shared" si="188"/>
        <v>41.76</v>
      </c>
      <c r="T3064" s="1">
        <f t="shared" si="189"/>
        <v>3.1999999999999957</v>
      </c>
      <c r="U3064" s="1" t="str">
        <f t="shared" si="190"/>
        <v>Underpaid</v>
      </c>
      <c r="V3064" s="1" t="str">
        <f>_xlfn.XLOOKUP(C3064,Payers!$A$2:$A$9,Payers!$B$2:$B$9)</f>
        <v>Medicare Part B</v>
      </c>
      <c r="W3064" s="1" t="str">
        <f t="shared" si="191"/>
        <v>2026-02</v>
      </c>
    </row>
    <row r="3065" spans="1:23">
      <c r="A3065" s="1" t="s">
        <v>5149</v>
      </c>
      <c r="B3065" s="1" t="s">
        <v>3835</v>
      </c>
      <c r="C3065" s="1" t="s">
        <v>60</v>
      </c>
      <c r="D3065" s="1" t="s">
        <v>37</v>
      </c>
      <c r="E3065" s="1" t="s">
        <v>38</v>
      </c>
      <c r="F3065">
        <v>10</v>
      </c>
      <c r="G3065" s="2">
        <v>46287</v>
      </c>
      <c r="H3065" s="2">
        <v>46295</v>
      </c>
      <c r="I3065">
        <v>14723.46</v>
      </c>
      <c r="M3065" s="1" t="s">
        <v>69</v>
      </c>
      <c r="N3065" s="1" t="s">
        <v>22</v>
      </c>
      <c r="O3065" s="2"/>
      <c r="P3065" s="2"/>
      <c r="Q3065">
        <f>_xlfn.XLOOKUP(E3065,CPT!$A$2:$A$13,CPT!$D$2:$D$13)</f>
        <v>1450</v>
      </c>
      <c r="R3065" s="1">
        <f>_xlfn.XLOOKUP(C3065,Contract!$A$2:$A$9,Contract!$B$2:$B$9)</f>
        <v>0.45</v>
      </c>
      <c r="S3065" s="1">
        <f t="shared" si="188"/>
        <v>6525</v>
      </c>
      <c r="T3065" s="1" t="str">
        <f t="shared" si="189"/>
        <v/>
      </c>
      <c r="U3065" s="1" t="str">
        <f t="shared" si="190"/>
        <v/>
      </c>
      <c r="V3065" s="1" t="str">
        <f>_xlfn.XLOOKUP(C3065,Payers!$A$2:$A$9,Payers!$B$2:$B$9)</f>
        <v>Blue Horizon Commercial</v>
      </c>
      <c r="W3065" s="1" t="str">
        <f t="shared" si="191"/>
        <v>2026-09</v>
      </c>
    </row>
    <row r="3066" spans="1:23">
      <c r="A3066" s="1" t="s">
        <v>5150</v>
      </c>
      <c r="B3066" s="1" t="s">
        <v>5151</v>
      </c>
      <c r="C3066" s="1" t="s">
        <v>60</v>
      </c>
      <c r="D3066" s="1" t="s">
        <v>37</v>
      </c>
      <c r="E3066" s="1" t="s">
        <v>57</v>
      </c>
      <c r="F3066">
        <v>1</v>
      </c>
      <c r="G3066" s="2">
        <v>46037</v>
      </c>
      <c r="H3066" s="2">
        <v>46043</v>
      </c>
      <c r="I3066">
        <v>215.85</v>
      </c>
      <c r="J3066">
        <v>93.03</v>
      </c>
      <c r="K3066">
        <v>93.03</v>
      </c>
      <c r="L3066">
        <v>0</v>
      </c>
      <c r="M3066" s="1" t="s">
        <v>21</v>
      </c>
      <c r="N3066" s="1" t="s">
        <v>22</v>
      </c>
      <c r="O3066" s="2">
        <v>46090</v>
      </c>
      <c r="P3066" s="2">
        <v>46090</v>
      </c>
      <c r="Q3066">
        <f>_xlfn.XLOOKUP(E3066,CPT!$A$2:$A$13,CPT!$D$2:$D$13)</f>
        <v>210</v>
      </c>
      <c r="R3066" s="1">
        <f>_xlfn.XLOOKUP(C3066,Contract!$A$2:$A$9,Contract!$B$2:$B$9)</f>
        <v>0.45</v>
      </c>
      <c r="S3066" s="1">
        <f t="shared" si="188"/>
        <v>94.5</v>
      </c>
      <c r="T3066" s="1">
        <f t="shared" si="189"/>
        <v>1.4699999999999989</v>
      </c>
      <c r="U3066" s="1" t="str">
        <f t="shared" si="190"/>
        <v>OK</v>
      </c>
      <c r="V3066" s="1" t="str">
        <f>_xlfn.XLOOKUP(C3066,Payers!$A$2:$A$9,Payers!$B$2:$B$9)</f>
        <v>Blue Horizon Commercial</v>
      </c>
      <c r="W3066" s="1" t="str">
        <f t="shared" si="191"/>
        <v>2026-01</v>
      </c>
    </row>
    <row r="3067" spans="1:23">
      <c r="A3067" s="1" t="s">
        <v>5152</v>
      </c>
      <c r="B3067" s="1" t="s">
        <v>5153</v>
      </c>
      <c r="C3067" s="1" t="s">
        <v>60</v>
      </c>
      <c r="D3067" s="1" t="s">
        <v>30</v>
      </c>
      <c r="E3067" s="1" t="s">
        <v>31</v>
      </c>
      <c r="F3067">
        <v>2</v>
      </c>
      <c r="G3067" s="2">
        <v>46105</v>
      </c>
      <c r="H3067" s="2">
        <v>46113</v>
      </c>
      <c r="I3067">
        <v>125.19</v>
      </c>
      <c r="J3067">
        <v>54.01</v>
      </c>
      <c r="K3067">
        <v>54.01</v>
      </c>
      <c r="L3067">
        <v>0</v>
      </c>
      <c r="M3067" s="1" t="s">
        <v>21</v>
      </c>
      <c r="N3067" s="1" t="s">
        <v>22</v>
      </c>
      <c r="O3067" s="2">
        <v>46124</v>
      </c>
      <c r="P3067" s="2">
        <v>46124</v>
      </c>
      <c r="Q3067">
        <f>_xlfn.XLOOKUP(E3067,CPT!$A$2:$A$13,CPT!$D$2:$D$13)</f>
        <v>62</v>
      </c>
      <c r="R3067" s="1">
        <f>_xlfn.XLOOKUP(C3067,Contract!$A$2:$A$9,Contract!$B$2:$B$9)</f>
        <v>0.45</v>
      </c>
      <c r="S3067" s="1">
        <f t="shared" si="188"/>
        <v>55.8</v>
      </c>
      <c r="T3067" s="1">
        <f t="shared" si="189"/>
        <v>1.7899999999999991</v>
      </c>
      <c r="U3067" s="1" t="str">
        <f t="shared" si="190"/>
        <v>OK</v>
      </c>
      <c r="V3067" s="1" t="str">
        <f>_xlfn.XLOOKUP(C3067,Payers!$A$2:$A$9,Payers!$B$2:$B$9)</f>
        <v>Blue Horizon Commercial</v>
      </c>
      <c r="W3067" s="1" t="str">
        <f t="shared" si="191"/>
        <v>2026-03</v>
      </c>
    </row>
    <row r="3068" spans="1:23">
      <c r="A3068" s="1" t="s">
        <v>5154</v>
      </c>
      <c r="B3068" s="1" t="s">
        <v>5155</v>
      </c>
      <c r="C3068" s="1" t="s">
        <v>18</v>
      </c>
      <c r="D3068" s="1" t="s">
        <v>26</v>
      </c>
      <c r="E3068" s="1" t="s">
        <v>185</v>
      </c>
      <c r="F3068">
        <v>1</v>
      </c>
      <c r="G3068" s="2">
        <v>46125</v>
      </c>
      <c r="H3068" s="2">
        <v>46129</v>
      </c>
      <c r="I3068">
        <v>1116.8599999999999</v>
      </c>
      <c r="J3068">
        <v>474.26</v>
      </c>
      <c r="K3068">
        <v>379.41</v>
      </c>
      <c r="L3068">
        <v>94.85</v>
      </c>
      <c r="M3068" s="1" t="s">
        <v>21</v>
      </c>
      <c r="N3068" s="1" t="s">
        <v>22</v>
      </c>
      <c r="O3068" s="2">
        <v>46190</v>
      </c>
      <c r="P3068" s="2">
        <v>46190</v>
      </c>
      <c r="Q3068">
        <f>_xlfn.XLOOKUP(E3068,CPT!$A$2:$A$13,CPT!$D$2:$D$13)</f>
        <v>1150</v>
      </c>
      <c r="R3068" s="1">
        <f>_xlfn.XLOOKUP(C3068,Contract!$A$2:$A$9,Contract!$B$2:$B$9)</f>
        <v>0.38</v>
      </c>
      <c r="S3068" s="1">
        <f t="shared" si="188"/>
        <v>437</v>
      </c>
      <c r="T3068" s="1">
        <f t="shared" si="189"/>
        <v>-37.259999999999991</v>
      </c>
      <c r="U3068" s="1" t="str">
        <f t="shared" si="190"/>
        <v>OK</v>
      </c>
      <c r="V3068" s="1" t="str">
        <f>_xlfn.XLOOKUP(C3068,Payers!$A$2:$A$9,Payers!$B$2:$B$9)</f>
        <v>Sunshine Medicare Advantage</v>
      </c>
      <c r="W3068" s="1" t="str">
        <f t="shared" si="191"/>
        <v>2026-04</v>
      </c>
    </row>
    <row r="3069" spans="1:23">
      <c r="A3069" s="1" t="s">
        <v>5156</v>
      </c>
      <c r="B3069" s="1" t="s">
        <v>3536</v>
      </c>
      <c r="C3069" s="1" t="s">
        <v>25</v>
      </c>
      <c r="D3069" s="1" t="s">
        <v>19</v>
      </c>
      <c r="E3069" s="1" t="s">
        <v>41</v>
      </c>
      <c r="F3069">
        <v>1</v>
      </c>
      <c r="G3069" s="2">
        <v>45954</v>
      </c>
      <c r="H3069" s="2">
        <v>45955</v>
      </c>
      <c r="I3069">
        <v>38.450000000000003</v>
      </c>
      <c r="J3069">
        <v>15.61</v>
      </c>
      <c r="K3069">
        <v>15.61</v>
      </c>
      <c r="L3069">
        <v>0</v>
      </c>
      <c r="M3069" s="1" t="s">
        <v>21</v>
      </c>
      <c r="N3069" s="1" t="s">
        <v>22</v>
      </c>
      <c r="O3069" s="2">
        <v>45969</v>
      </c>
      <c r="P3069" s="2">
        <v>45969</v>
      </c>
      <c r="Q3069">
        <f>_xlfn.XLOOKUP(E3069,CPT!$A$2:$A$13,CPT!$D$2:$D$13)</f>
        <v>38</v>
      </c>
      <c r="R3069" s="1">
        <f>_xlfn.XLOOKUP(C3069,Contract!$A$2:$A$9,Contract!$B$2:$B$9)</f>
        <v>0.36</v>
      </c>
      <c r="S3069" s="1">
        <f t="shared" si="188"/>
        <v>13.68</v>
      </c>
      <c r="T3069" s="1">
        <f t="shared" si="189"/>
        <v>-1.9299999999999997</v>
      </c>
      <c r="U3069" s="1" t="str">
        <f t="shared" si="190"/>
        <v>OK</v>
      </c>
      <c r="V3069" s="1" t="str">
        <f>_xlfn.XLOOKUP(C3069,Payers!$A$2:$A$9,Payers!$B$2:$B$9)</f>
        <v>Medicare Part B</v>
      </c>
      <c r="W3069" s="1" t="str">
        <f t="shared" si="191"/>
        <v>2025-10</v>
      </c>
    </row>
    <row r="3070" spans="1:23">
      <c r="A3070" s="1" t="s">
        <v>5157</v>
      </c>
      <c r="B3070" s="1" t="s">
        <v>5158</v>
      </c>
      <c r="C3070" s="1" t="s">
        <v>36</v>
      </c>
      <c r="D3070" s="1" t="s">
        <v>30</v>
      </c>
      <c r="E3070" s="1" t="s">
        <v>31</v>
      </c>
      <c r="F3070">
        <v>1</v>
      </c>
      <c r="G3070" s="2">
        <v>46138</v>
      </c>
      <c r="H3070" s="2">
        <v>46139</v>
      </c>
      <c r="I3070">
        <v>62.57</v>
      </c>
      <c r="J3070">
        <v>19.190000000000001</v>
      </c>
      <c r="K3070">
        <v>15.35</v>
      </c>
      <c r="L3070">
        <v>3.84</v>
      </c>
      <c r="M3070" s="1" t="s">
        <v>21</v>
      </c>
      <c r="N3070" s="1" t="s">
        <v>22</v>
      </c>
      <c r="O3070" s="2">
        <v>46176</v>
      </c>
      <c r="P3070" s="2">
        <v>46176</v>
      </c>
      <c r="Q3070">
        <f>_xlfn.XLOOKUP(E3070,CPT!$A$2:$A$13,CPT!$D$2:$D$13)</f>
        <v>62</v>
      </c>
      <c r="R3070" s="1">
        <f>_xlfn.XLOOKUP(C3070,Contract!$A$2:$A$9,Contract!$B$2:$B$9)</f>
        <v>0.27</v>
      </c>
      <c r="S3070" s="1">
        <f t="shared" si="188"/>
        <v>16.739999999999998</v>
      </c>
      <c r="T3070" s="1">
        <f t="shared" si="189"/>
        <v>-2.4500000000000028</v>
      </c>
      <c r="U3070" s="1" t="str">
        <f t="shared" si="190"/>
        <v>OK</v>
      </c>
      <c r="V3070" s="1" t="str">
        <f>_xlfn.XLOOKUP(C3070,Payers!$A$2:$A$9,Payers!$B$2:$B$9)</f>
        <v>Florida Medicaid</v>
      </c>
      <c r="W3070" s="1" t="str">
        <f t="shared" si="191"/>
        <v>2026-04</v>
      </c>
    </row>
    <row r="3071" spans="1:23">
      <c r="A3071" s="1" t="s">
        <v>5159</v>
      </c>
      <c r="B3071" s="1" t="s">
        <v>5160</v>
      </c>
      <c r="C3071" s="1" t="s">
        <v>18</v>
      </c>
      <c r="D3071" s="1" t="s">
        <v>30</v>
      </c>
      <c r="E3071" s="1" t="s">
        <v>31</v>
      </c>
      <c r="F3071">
        <v>2</v>
      </c>
      <c r="G3071" s="2">
        <v>45953</v>
      </c>
      <c r="H3071" s="2">
        <v>45956</v>
      </c>
      <c r="I3071">
        <v>120.61</v>
      </c>
      <c r="M3071" s="1" t="s">
        <v>32</v>
      </c>
      <c r="N3071" s="1" t="s">
        <v>33</v>
      </c>
      <c r="O3071" s="2">
        <v>46040</v>
      </c>
      <c r="P3071" s="2"/>
      <c r="Q3071">
        <f>_xlfn.XLOOKUP(E3071,CPT!$A$2:$A$13,CPT!$D$2:$D$13)</f>
        <v>62</v>
      </c>
      <c r="R3071" s="1">
        <f>_xlfn.XLOOKUP(C3071,Contract!$A$2:$A$9,Contract!$B$2:$B$9)</f>
        <v>0.38</v>
      </c>
      <c r="S3071" s="1">
        <f t="shared" si="188"/>
        <v>47.12</v>
      </c>
      <c r="T3071" s="1" t="str">
        <f t="shared" si="189"/>
        <v/>
      </c>
      <c r="U3071" s="1" t="str">
        <f t="shared" si="190"/>
        <v/>
      </c>
      <c r="V3071" s="1" t="str">
        <f>_xlfn.XLOOKUP(C3071,Payers!$A$2:$A$9,Payers!$B$2:$B$9)</f>
        <v>Sunshine Medicare Advantage</v>
      </c>
      <c r="W3071" s="1" t="str">
        <f t="shared" si="191"/>
        <v>2025-10</v>
      </c>
    </row>
    <row r="3072" spans="1:23">
      <c r="A3072" s="1" t="s">
        <v>5161</v>
      </c>
      <c r="B3072" s="1" t="s">
        <v>5162</v>
      </c>
      <c r="C3072" s="1" t="s">
        <v>25</v>
      </c>
      <c r="D3072" s="1" t="s">
        <v>26</v>
      </c>
      <c r="E3072" s="1" t="s">
        <v>44</v>
      </c>
      <c r="F3072">
        <v>1</v>
      </c>
      <c r="G3072" s="2">
        <v>46089</v>
      </c>
      <c r="H3072" s="2">
        <v>46091</v>
      </c>
      <c r="I3072">
        <v>4912.82</v>
      </c>
      <c r="J3072">
        <v>1734.33</v>
      </c>
      <c r="K3072">
        <v>1387.46</v>
      </c>
      <c r="L3072">
        <v>346.87</v>
      </c>
      <c r="M3072" s="1" t="s">
        <v>21</v>
      </c>
      <c r="N3072" s="1" t="s">
        <v>22</v>
      </c>
      <c r="O3072" s="2">
        <v>46104</v>
      </c>
      <c r="P3072" s="2">
        <v>46104</v>
      </c>
      <c r="Q3072">
        <f>_xlfn.XLOOKUP(E3072,CPT!$A$2:$A$13,CPT!$D$2:$D$13)</f>
        <v>4800</v>
      </c>
      <c r="R3072" s="1">
        <f>_xlfn.XLOOKUP(C3072,Contract!$A$2:$A$9,Contract!$B$2:$B$9)</f>
        <v>0.36</v>
      </c>
      <c r="S3072" s="1">
        <f t="shared" si="188"/>
        <v>1728</v>
      </c>
      <c r="T3072" s="1">
        <f t="shared" si="189"/>
        <v>-6.3299999999999272</v>
      </c>
      <c r="U3072" s="1" t="str">
        <f t="shared" si="190"/>
        <v>OK</v>
      </c>
      <c r="V3072" s="1" t="str">
        <f>_xlfn.XLOOKUP(C3072,Payers!$A$2:$A$9,Payers!$B$2:$B$9)</f>
        <v>Medicare Part B</v>
      </c>
      <c r="W3072" s="1" t="str">
        <f t="shared" si="191"/>
        <v>2026-03</v>
      </c>
    </row>
    <row r="3073" spans="1:23">
      <c r="A3073" s="1" t="s">
        <v>5163</v>
      </c>
      <c r="B3073" s="1" t="s">
        <v>4960</v>
      </c>
      <c r="C3073" s="1" t="s">
        <v>52</v>
      </c>
      <c r="D3073" s="1" t="s">
        <v>19</v>
      </c>
      <c r="E3073" s="1" t="s">
        <v>41</v>
      </c>
      <c r="F3073">
        <v>1</v>
      </c>
      <c r="G3073" s="2">
        <v>45971</v>
      </c>
      <c r="H3073" s="2">
        <v>45980</v>
      </c>
      <c r="I3073">
        <v>38.93</v>
      </c>
      <c r="J3073">
        <v>20.11</v>
      </c>
      <c r="K3073">
        <v>20.11</v>
      </c>
      <c r="L3073">
        <v>0</v>
      </c>
      <c r="M3073" s="1" t="s">
        <v>21</v>
      </c>
      <c r="N3073" s="1" t="s">
        <v>22</v>
      </c>
      <c r="O3073" s="2">
        <v>46008</v>
      </c>
      <c r="P3073" s="2">
        <v>46008</v>
      </c>
      <c r="Q3073">
        <f>_xlfn.XLOOKUP(E3073,CPT!$A$2:$A$13,CPT!$D$2:$D$13)</f>
        <v>38</v>
      </c>
      <c r="R3073" s="1">
        <f>_xlfn.XLOOKUP(C3073,Contract!$A$2:$A$9,Contract!$B$2:$B$9)</f>
        <v>0.47</v>
      </c>
      <c r="S3073" s="1">
        <f t="shared" si="188"/>
        <v>17.86</v>
      </c>
      <c r="T3073" s="1">
        <f t="shared" si="189"/>
        <v>-2.25</v>
      </c>
      <c r="U3073" s="1" t="str">
        <f t="shared" si="190"/>
        <v>OK</v>
      </c>
      <c r="V3073" s="1" t="str">
        <f>_xlfn.XLOOKUP(C3073,Payers!$A$2:$A$9,Payers!$B$2:$B$9)</f>
        <v>Keystone Commercial PPO</v>
      </c>
      <c r="W3073" s="1" t="str">
        <f t="shared" si="191"/>
        <v>2025-11</v>
      </c>
    </row>
    <row r="3074" spans="1:23">
      <c r="A3074" s="1" t="s">
        <v>5164</v>
      </c>
      <c r="B3074" s="1" t="s">
        <v>3176</v>
      </c>
      <c r="C3074" s="1" t="s">
        <v>36</v>
      </c>
      <c r="D3074" s="1" t="s">
        <v>26</v>
      </c>
      <c r="E3074" s="1" t="s">
        <v>185</v>
      </c>
      <c r="F3074">
        <v>1</v>
      </c>
      <c r="G3074" s="2">
        <v>46154</v>
      </c>
      <c r="H3074" s="2">
        <v>46157</v>
      </c>
      <c r="I3074">
        <v>1145.1099999999999</v>
      </c>
      <c r="J3074">
        <v>312.95</v>
      </c>
      <c r="K3074">
        <v>312.95</v>
      </c>
      <c r="L3074">
        <v>0</v>
      </c>
      <c r="M3074" s="1" t="s">
        <v>21</v>
      </c>
      <c r="N3074" s="1" t="s">
        <v>22</v>
      </c>
      <c r="O3074" s="2">
        <v>46192</v>
      </c>
      <c r="P3074" s="2">
        <v>46192</v>
      </c>
      <c r="Q3074">
        <f>_xlfn.XLOOKUP(E3074,CPT!$A$2:$A$13,CPT!$D$2:$D$13)</f>
        <v>1150</v>
      </c>
      <c r="R3074" s="1">
        <f>_xlfn.XLOOKUP(C3074,Contract!$A$2:$A$9,Contract!$B$2:$B$9)</f>
        <v>0.27</v>
      </c>
      <c r="S3074" s="1">
        <f t="shared" ref="S3074:S3137" si="192">ROUND(Q3074*F3074*R3074,2)</f>
        <v>310.5</v>
      </c>
      <c r="T3074" s="1">
        <f t="shared" ref="T3074:T3137" si="193">IF(M3074="Paid",S3074-J3074,"")</f>
        <v>-2.4499999999999886</v>
      </c>
      <c r="U3074" s="1" t="str">
        <f t="shared" ref="U3074:U3137" si="194">IF(M3074&lt;&gt;"Paid","",IF(T3074&gt;S3074*0.05,"Underpaid","OK"))</f>
        <v>OK</v>
      </c>
      <c r="V3074" s="1" t="str">
        <f>_xlfn.XLOOKUP(C3074,Payers!$A$2:$A$9,Payers!$B$2:$B$9)</f>
        <v>Florida Medicaid</v>
      </c>
      <c r="W3074" s="1" t="str">
        <f t="shared" ref="W3074:W3137" si="195">TEXT(G3074,"yyyy-mm")</f>
        <v>2026-05</v>
      </c>
    </row>
    <row r="3075" spans="1:23">
      <c r="A3075" s="1" t="s">
        <v>5165</v>
      </c>
      <c r="B3075" s="1" t="s">
        <v>3829</v>
      </c>
      <c r="C3075" s="1" t="s">
        <v>25</v>
      </c>
      <c r="D3075" s="1" t="s">
        <v>19</v>
      </c>
      <c r="E3075" s="1" t="s">
        <v>57</v>
      </c>
      <c r="F3075">
        <v>1</v>
      </c>
      <c r="G3075" s="2">
        <v>46059</v>
      </c>
      <c r="H3075" s="2">
        <v>46065</v>
      </c>
      <c r="I3075">
        <v>205.07</v>
      </c>
      <c r="J3075">
        <v>73.14</v>
      </c>
      <c r="K3075">
        <v>58.51</v>
      </c>
      <c r="L3075">
        <v>14.63</v>
      </c>
      <c r="M3075" s="1" t="s">
        <v>21</v>
      </c>
      <c r="N3075" s="1" t="s">
        <v>22</v>
      </c>
      <c r="O3075" s="2">
        <v>46083</v>
      </c>
      <c r="P3075" s="2">
        <v>46083</v>
      </c>
      <c r="Q3075">
        <f>_xlfn.XLOOKUP(E3075,CPT!$A$2:$A$13,CPT!$D$2:$D$13)</f>
        <v>210</v>
      </c>
      <c r="R3075" s="1">
        <f>_xlfn.XLOOKUP(C3075,Contract!$A$2:$A$9,Contract!$B$2:$B$9)</f>
        <v>0.36</v>
      </c>
      <c r="S3075" s="1">
        <f t="shared" si="192"/>
        <v>75.599999999999994</v>
      </c>
      <c r="T3075" s="1">
        <f t="shared" si="193"/>
        <v>2.4599999999999937</v>
      </c>
      <c r="U3075" s="1" t="str">
        <f t="shared" si="194"/>
        <v>OK</v>
      </c>
      <c r="V3075" s="1" t="str">
        <f>_xlfn.XLOOKUP(C3075,Payers!$A$2:$A$9,Payers!$B$2:$B$9)</f>
        <v>Medicare Part B</v>
      </c>
      <c r="W3075" s="1" t="str">
        <f t="shared" si="195"/>
        <v>2026-02</v>
      </c>
    </row>
    <row r="3076" spans="1:23">
      <c r="A3076" s="1" t="s">
        <v>5166</v>
      </c>
      <c r="B3076" s="1" t="s">
        <v>1826</v>
      </c>
      <c r="C3076" s="1" t="s">
        <v>25</v>
      </c>
      <c r="D3076" s="1" t="s">
        <v>37</v>
      </c>
      <c r="E3076" s="1" t="s">
        <v>57</v>
      </c>
      <c r="F3076">
        <v>1</v>
      </c>
      <c r="G3076" s="2">
        <v>45973</v>
      </c>
      <c r="H3076" s="2">
        <v>45974</v>
      </c>
      <c r="I3076">
        <v>211.68</v>
      </c>
      <c r="J3076">
        <v>78.010000000000005</v>
      </c>
      <c r="K3076">
        <v>78.010000000000005</v>
      </c>
      <c r="L3076">
        <v>0</v>
      </c>
      <c r="M3076" s="1" t="s">
        <v>21</v>
      </c>
      <c r="N3076" s="1" t="s">
        <v>22</v>
      </c>
      <c r="O3076" s="2">
        <v>45983</v>
      </c>
      <c r="P3076" s="2">
        <v>45983</v>
      </c>
      <c r="Q3076">
        <f>_xlfn.XLOOKUP(E3076,CPT!$A$2:$A$13,CPT!$D$2:$D$13)</f>
        <v>210</v>
      </c>
      <c r="R3076" s="1">
        <f>_xlfn.XLOOKUP(C3076,Contract!$A$2:$A$9,Contract!$B$2:$B$9)</f>
        <v>0.36</v>
      </c>
      <c r="S3076" s="1">
        <f t="shared" si="192"/>
        <v>75.599999999999994</v>
      </c>
      <c r="T3076" s="1">
        <f t="shared" si="193"/>
        <v>-2.4100000000000108</v>
      </c>
      <c r="U3076" s="1" t="str">
        <f t="shared" si="194"/>
        <v>OK</v>
      </c>
      <c r="V3076" s="1" t="str">
        <f>_xlfn.XLOOKUP(C3076,Payers!$A$2:$A$9,Payers!$B$2:$B$9)</f>
        <v>Medicare Part B</v>
      </c>
      <c r="W3076" s="1" t="str">
        <f t="shared" si="195"/>
        <v>2025-11</v>
      </c>
    </row>
    <row r="3077" spans="1:23">
      <c r="A3077" s="1" t="s">
        <v>5167</v>
      </c>
      <c r="B3077" s="1" t="s">
        <v>509</v>
      </c>
      <c r="C3077" s="1" t="s">
        <v>60</v>
      </c>
      <c r="D3077" s="1" t="s">
        <v>26</v>
      </c>
      <c r="E3077" s="1" t="s">
        <v>44</v>
      </c>
      <c r="F3077">
        <v>1</v>
      </c>
      <c r="G3077" s="2">
        <v>46167</v>
      </c>
      <c r="H3077" s="2">
        <v>46168</v>
      </c>
      <c r="I3077">
        <v>4857.22</v>
      </c>
      <c r="J3077">
        <v>1940</v>
      </c>
      <c r="K3077">
        <v>1940</v>
      </c>
      <c r="L3077">
        <v>0</v>
      </c>
      <c r="M3077" s="1" t="s">
        <v>21</v>
      </c>
      <c r="N3077" s="1" t="s">
        <v>22</v>
      </c>
      <c r="O3077" s="2">
        <v>46188</v>
      </c>
      <c r="P3077" s="2">
        <v>46188</v>
      </c>
      <c r="Q3077">
        <f>_xlfn.XLOOKUP(E3077,CPT!$A$2:$A$13,CPT!$D$2:$D$13)</f>
        <v>4800</v>
      </c>
      <c r="R3077" s="1">
        <f>_xlfn.XLOOKUP(C3077,Contract!$A$2:$A$9,Contract!$B$2:$B$9)</f>
        <v>0.45</v>
      </c>
      <c r="S3077" s="1">
        <f t="shared" si="192"/>
        <v>2160</v>
      </c>
      <c r="T3077" s="1">
        <f t="shared" si="193"/>
        <v>220</v>
      </c>
      <c r="U3077" s="1" t="str">
        <f t="shared" si="194"/>
        <v>Underpaid</v>
      </c>
      <c r="V3077" s="1" t="str">
        <f>_xlfn.XLOOKUP(C3077,Payers!$A$2:$A$9,Payers!$B$2:$B$9)</f>
        <v>Blue Horizon Commercial</v>
      </c>
      <c r="W3077" s="1" t="str">
        <f t="shared" si="195"/>
        <v>2026-05</v>
      </c>
    </row>
    <row r="3078" spans="1:23">
      <c r="A3078" s="1" t="s">
        <v>5168</v>
      </c>
      <c r="B3078" s="1" t="s">
        <v>1443</v>
      </c>
      <c r="C3078" s="1" t="s">
        <v>76</v>
      </c>
      <c r="D3078" s="1" t="s">
        <v>37</v>
      </c>
      <c r="E3078" s="1" t="s">
        <v>57</v>
      </c>
      <c r="F3078">
        <v>1</v>
      </c>
      <c r="G3078" s="2">
        <v>46110</v>
      </c>
      <c r="H3078" s="2">
        <v>46121</v>
      </c>
      <c r="I3078">
        <v>208.99</v>
      </c>
      <c r="J3078">
        <v>85.55</v>
      </c>
      <c r="K3078">
        <v>68.44</v>
      </c>
      <c r="L3078">
        <v>17.11</v>
      </c>
      <c r="M3078" s="1" t="s">
        <v>21</v>
      </c>
      <c r="N3078" s="1" t="s">
        <v>22</v>
      </c>
      <c r="O3078" s="2">
        <v>46156</v>
      </c>
      <c r="P3078" s="2">
        <v>46156</v>
      </c>
      <c r="Q3078">
        <f>_xlfn.XLOOKUP(E3078,CPT!$A$2:$A$13,CPT!$D$2:$D$13)</f>
        <v>210</v>
      </c>
      <c r="R3078" s="1">
        <f>_xlfn.XLOOKUP(C3078,Contract!$A$2:$A$9,Contract!$B$2:$B$9)</f>
        <v>0.43</v>
      </c>
      <c r="S3078" s="1">
        <f t="shared" si="192"/>
        <v>90.3</v>
      </c>
      <c r="T3078" s="1">
        <f t="shared" si="193"/>
        <v>4.75</v>
      </c>
      <c r="U3078" s="1" t="str">
        <f t="shared" si="194"/>
        <v>Underpaid</v>
      </c>
      <c r="V3078" s="1" t="str">
        <f>_xlfn.XLOOKUP(C3078,Payers!$A$2:$A$9,Payers!$B$2:$B$9)</f>
        <v>Summit Health Commercial</v>
      </c>
      <c r="W3078" s="1" t="str">
        <f t="shared" si="195"/>
        <v>2026-03</v>
      </c>
    </row>
    <row r="3079" spans="1:23">
      <c r="A3079" s="1" t="s">
        <v>5169</v>
      </c>
      <c r="B3079" s="1" t="s">
        <v>5170</v>
      </c>
      <c r="C3079" s="1" t="s">
        <v>60</v>
      </c>
      <c r="D3079" s="1" t="s">
        <v>37</v>
      </c>
      <c r="E3079" s="1" t="s">
        <v>48</v>
      </c>
      <c r="F3079">
        <v>1</v>
      </c>
      <c r="G3079" s="2">
        <v>46092</v>
      </c>
      <c r="H3079" s="2">
        <v>46096</v>
      </c>
      <c r="I3079">
        <v>417.93</v>
      </c>
      <c r="J3079">
        <v>163.76</v>
      </c>
      <c r="K3079">
        <v>163.76</v>
      </c>
      <c r="L3079">
        <v>0</v>
      </c>
      <c r="M3079" s="1" t="s">
        <v>21</v>
      </c>
      <c r="N3079" s="1" t="s">
        <v>22</v>
      </c>
      <c r="O3079" s="2">
        <v>46118</v>
      </c>
      <c r="P3079" s="2">
        <v>46118</v>
      </c>
      <c r="Q3079">
        <f>_xlfn.XLOOKUP(E3079,CPT!$A$2:$A$13,CPT!$D$2:$D$13)</f>
        <v>420</v>
      </c>
      <c r="R3079" s="1">
        <f>_xlfn.XLOOKUP(C3079,Contract!$A$2:$A$9,Contract!$B$2:$B$9)</f>
        <v>0.45</v>
      </c>
      <c r="S3079" s="1">
        <f t="shared" si="192"/>
        <v>189</v>
      </c>
      <c r="T3079" s="1">
        <f t="shared" si="193"/>
        <v>25.240000000000009</v>
      </c>
      <c r="U3079" s="1" t="str">
        <f t="shared" si="194"/>
        <v>Underpaid</v>
      </c>
      <c r="V3079" s="1" t="str">
        <f>_xlfn.XLOOKUP(C3079,Payers!$A$2:$A$9,Payers!$B$2:$B$9)</f>
        <v>Blue Horizon Commercial</v>
      </c>
      <c r="W3079" s="1" t="str">
        <f t="shared" si="195"/>
        <v>2026-03</v>
      </c>
    </row>
    <row r="3080" spans="1:23">
      <c r="A3080" s="1" t="s">
        <v>5171</v>
      </c>
      <c r="B3080" s="1" t="s">
        <v>1636</v>
      </c>
      <c r="C3080" s="1" t="s">
        <v>76</v>
      </c>
      <c r="D3080" s="1" t="s">
        <v>37</v>
      </c>
      <c r="E3080" s="1" t="s">
        <v>57</v>
      </c>
      <c r="F3080">
        <v>1</v>
      </c>
      <c r="G3080" s="2">
        <v>46156</v>
      </c>
      <c r="H3080" s="2">
        <v>46159</v>
      </c>
      <c r="I3080">
        <v>211.93</v>
      </c>
      <c r="J3080">
        <v>95.32</v>
      </c>
      <c r="K3080">
        <v>85.79</v>
      </c>
      <c r="L3080">
        <v>9.5299999999999994</v>
      </c>
      <c r="M3080" s="1" t="s">
        <v>21</v>
      </c>
      <c r="N3080" s="1" t="s">
        <v>22</v>
      </c>
      <c r="O3080" s="2">
        <v>46174</v>
      </c>
      <c r="P3080" s="2">
        <v>46174</v>
      </c>
      <c r="Q3080">
        <f>_xlfn.XLOOKUP(E3080,CPT!$A$2:$A$13,CPT!$D$2:$D$13)</f>
        <v>210</v>
      </c>
      <c r="R3080" s="1">
        <f>_xlfn.XLOOKUP(C3080,Contract!$A$2:$A$9,Contract!$B$2:$B$9)</f>
        <v>0.43</v>
      </c>
      <c r="S3080" s="1">
        <f t="shared" si="192"/>
        <v>90.3</v>
      </c>
      <c r="T3080" s="1">
        <f t="shared" si="193"/>
        <v>-5.019999999999996</v>
      </c>
      <c r="U3080" s="1" t="str">
        <f t="shared" si="194"/>
        <v>OK</v>
      </c>
      <c r="V3080" s="1" t="str">
        <f>_xlfn.XLOOKUP(C3080,Payers!$A$2:$A$9,Payers!$B$2:$B$9)</f>
        <v>Summit Health Commercial</v>
      </c>
      <c r="W3080" s="1" t="str">
        <f t="shared" si="195"/>
        <v>2026-05</v>
      </c>
    </row>
    <row r="3081" spans="1:23">
      <c r="A3081" s="1" t="s">
        <v>5172</v>
      </c>
      <c r="B3081" s="1" t="s">
        <v>3098</v>
      </c>
      <c r="C3081" s="1" t="s">
        <v>76</v>
      </c>
      <c r="D3081" s="1" t="s">
        <v>19</v>
      </c>
      <c r="E3081" s="1" t="s">
        <v>41</v>
      </c>
      <c r="F3081">
        <v>1</v>
      </c>
      <c r="G3081" s="2">
        <v>46059</v>
      </c>
      <c r="H3081" s="2">
        <v>46062</v>
      </c>
      <c r="I3081">
        <v>37.96</v>
      </c>
      <c r="J3081">
        <v>14.34</v>
      </c>
      <c r="K3081">
        <v>12.91</v>
      </c>
      <c r="L3081">
        <v>1.43</v>
      </c>
      <c r="M3081" s="1" t="s">
        <v>21</v>
      </c>
      <c r="N3081" s="1" t="s">
        <v>22</v>
      </c>
      <c r="O3081" s="2">
        <v>46099</v>
      </c>
      <c r="P3081" s="2">
        <v>46099</v>
      </c>
      <c r="Q3081">
        <f>_xlfn.XLOOKUP(E3081,CPT!$A$2:$A$13,CPT!$D$2:$D$13)</f>
        <v>38</v>
      </c>
      <c r="R3081" s="1">
        <f>_xlfn.XLOOKUP(C3081,Contract!$A$2:$A$9,Contract!$B$2:$B$9)</f>
        <v>0.43</v>
      </c>
      <c r="S3081" s="1">
        <f t="shared" si="192"/>
        <v>16.34</v>
      </c>
      <c r="T3081" s="1">
        <f t="shared" si="193"/>
        <v>2</v>
      </c>
      <c r="U3081" s="1" t="str">
        <f t="shared" si="194"/>
        <v>Underpaid</v>
      </c>
      <c r="V3081" s="1" t="str">
        <f>_xlfn.XLOOKUP(C3081,Payers!$A$2:$A$9,Payers!$B$2:$B$9)</f>
        <v>Summit Health Commercial</v>
      </c>
      <c r="W3081" s="1" t="str">
        <f t="shared" si="195"/>
        <v>2026-02</v>
      </c>
    </row>
    <row r="3082" spans="1:23">
      <c r="A3082" s="1" t="s">
        <v>5173</v>
      </c>
      <c r="B3082" s="1" t="s">
        <v>5174</v>
      </c>
      <c r="C3082" s="1" t="s">
        <v>52</v>
      </c>
      <c r="D3082" s="1" t="s">
        <v>37</v>
      </c>
      <c r="E3082" s="1" t="s">
        <v>57</v>
      </c>
      <c r="F3082">
        <v>1</v>
      </c>
      <c r="G3082" s="2">
        <v>46099</v>
      </c>
      <c r="H3082" s="2">
        <v>46110</v>
      </c>
      <c r="I3082">
        <v>214.79</v>
      </c>
      <c r="M3082" s="1" t="s">
        <v>32</v>
      </c>
      <c r="N3082" s="1" t="s">
        <v>124</v>
      </c>
      <c r="O3082" s="2">
        <v>46143</v>
      </c>
      <c r="P3082" s="2"/>
      <c r="Q3082">
        <f>_xlfn.XLOOKUP(E3082,CPT!$A$2:$A$13,CPT!$D$2:$D$13)</f>
        <v>210</v>
      </c>
      <c r="R3082" s="1">
        <f>_xlfn.XLOOKUP(C3082,Contract!$A$2:$A$9,Contract!$B$2:$B$9)</f>
        <v>0.47</v>
      </c>
      <c r="S3082" s="1">
        <f t="shared" si="192"/>
        <v>98.7</v>
      </c>
      <c r="T3082" s="1" t="str">
        <f t="shared" si="193"/>
        <v/>
      </c>
      <c r="U3082" s="1" t="str">
        <f t="shared" si="194"/>
        <v/>
      </c>
      <c r="V3082" s="1" t="str">
        <f>_xlfn.XLOOKUP(C3082,Payers!$A$2:$A$9,Payers!$B$2:$B$9)</f>
        <v>Keystone Commercial PPO</v>
      </c>
      <c r="W3082" s="1" t="str">
        <f t="shared" si="195"/>
        <v>2026-03</v>
      </c>
    </row>
    <row r="3083" spans="1:23">
      <c r="A3083" s="1" t="s">
        <v>5175</v>
      </c>
      <c r="B3083" s="1" t="s">
        <v>722</v>
      </c>
      <c r="C3083" s="1" t="s">
        <v>76</v>
      </c>
      <c r="D3083" s="1" t="s">
        <v>26</v>
      </c>
      <c r="E3083" s="1" t="s">
        <v>185</v>
      </c>
      <c r="F3083">
        <v>1</v>
      </c>
      <c r="G3083" s="2">
        <v>46072</v>
      </c>
      <c r="H3083" s="2">
        <v>46073</v>
      </c>
      <c r="I3083">
        <v>1125.28</v>
      </c>
      <c r="M3083" s="1" t="s">
        <v>32</v>
      </c>
      <c r="N3083" s="1" t="s">
        <v>33</v>
      </c>
      <c r="O3083" s="2">
        <v>46096</v>
      </c>
      <c r="P3083" s="2"/>
      <c r="Q3083">
        <f>_xlfn.XLOOKUP(E3083,CPT!$A$2:$A$13,CPT!$D$2:$D$13)</f>
        <v>1150</v>
      </c>
      <c r="R3083" s="1">
        <f>_xlfn.XLOOKUP(C3083,Contract!$A$2:$A$9,Contract!$B$2:$B$9)</f>
        <v>0.43</v>
      </c>
      <c r="S3083" s="1">
        <f t="shared" si="192"/>
        <v>494.5</v>
      </c>
      <c r="T3083" s="1" t="str">
        <f t="shared" si="193"/>
        <v/>
      </c>
      <c r="U3083" s="1" t="str">
        <f t="shared" si="194"/>
        <v/>
      </c>
      <c r="V3083" s="1" t="str">
        <f>_xlfn.XLOOKUP(C3083,Payers!$A$2:$A$9,Payers!$B$2:$B$9)</f>
        <v>Summit Health Commercial</v>
      </c>
      <c r="W3083" s="1" t="str">
        <f t="shared" si="195"/>
        <v>2026-02</v>
      </c>
    </row>
    <row r="3084" spans="1:23">
      <c r="A3084" s="1" t="s">
        <v>5176</v>
      </c>
      <c r="B3084" s="1" t="s">
        <v>2460</v>
      </c>
      <c r="C3084" s="1" t="s">
        <v>25</v>
      </c>
      <c r="D3084" s="1" t="s">
        <v>19</v>
      </c>
      <c r="E3084" s="1" t="s">
        <v>57</v>
      </c>
      <c r="F3084">
        <v>1</v>
      </c>
      <c r="G3084" s="2">
        <v>46152</v>
      </c>
      <c r="H3084" s="2">
        <v>46154</v>
      </c>
      <c r="I3084">
        <v>213.59</v>
      </c>
      <c r="M3084" s="1" t="s">
        <v>32</v>
      </c>
      <c r="N3084" s="1" t="s">
        <v>168</v>
      </c>
      <c r="O3084" s="2">
        <v>46160</v>
      </c>
      <c r="P3084" s="2"/>
      <c r="Q3084">
        <f>_xlfn.XLOOKUP(E3084,CPT!$A$2:$A$13,CPT!$D$2:$D$13)</f>
        <v>210</v>
      </c>
      <c r="R3084" s="1">
        <f>_xlfn.XLOOKUP(C3084,Contract!$A$2:$A$9,Contract!$B$2:$B$9)</f>
        <v>0.36</v>
      </c>
      <c r="S3084" s="1">
        <f t="shared" si="192"/>
        <v>75.599999999999994</v>
      </c>
      <c r="T3084" s="1" t="str">
        <f t="shared" si="193"/>
        <v/>
      </c>
      <c r="U3084" s="1" t="str">
        <f t="shared" si="194"/>
        <v/>
      </c>
      <c r="V3084" s="1" t="str">
        <f>_xlfn.XLOOKUP(C3084,Payers!$A$2:$A$9,Payers!$B$2:$B$9)</f>
        <v>Medicare Part B</v>
      </c>
      <c r="W3084" s="1" t="str">
        <f t="shared" si="195"/>
        <v>2026-05</v>
      </c>
    </row>
    <row r="3085" spans="1:23">
      <c r="A3085" s="1" t="s">
        <v>5177</v>
      </c>
      <c r="B3085" s="1" t="s">
        <v>5178</v>
      </c>
      <c r="C3085" s="1" t="s">
        <v>47</v>
      </c>
      <c r="D3085" s="1" t="s">
        <v>26</v>
      </c>
      <c r="E3085" s="1" t="s">
        <v>44</v>
      </c>
      <c r="F3085">
        <v>1</v>
      </c>
      <c r="G3085" s="2">
        <v>46062</v>
      </c>
      <c r="H3085" s="2">
        <v>46063</v>
      </c>
      <c r="I3085">
        <v>4727.1899999999996</v>
      </c>
      <c r="J3085">
        <v>1191.6500000000001</v>
      </c>
      <c r="K3085">
        <v>1191.6500000000001</v>
      </c>
      <c r="L3085">
        <v>0</v>
      </c>
      <c r="M3085" s="1" t="s">
        <v>21</v>
      </c>
      <c r="N3085" s="1" t="s">
        <v>22</v>
      </c>
      <c r="O3085" s="2">
        <v>46147</v>
      </c>
      <c r="P3085" s="2">
        <v>46147</v>
      </c>
      <c r="Q3085">
        <f>_xlfn.XLOOKUP(E3085,CPT!$A$2:$A$13,CPT!$D$2:$D$13)</f>
        <v>4800</v>
      </c>
      <c r="R3085" s="1">
        <f>_xlfn.XLOOKUP(C3085,Contract!$A$2:$A$9,Contract!$B$2:$B$9)</f>
        <v>0.28000000000000003</v>
      </c>
      <c r="S3085" s="1">
        <f t="shared" si="192"/>
        <v>1344</v>
      </c>
      <c r="T3085" s="1">
        <f t="shared" si="193"/>
        <v>152.34999999999991</v>
      </c>
      <c r="U3085" s="1" t="str">
        <f t="shared" si="194"/>
        <v>Underpaid</v>
      </c>
      <c r="V3085" s="1" t="str">
        <f>_xlfn.XLOOKUP(C3085,Payers!$A$2:$A$9,Payers!$B$2:$B$9)</f>
        <v>Coastal Medicaid MCO</v>
      </c>
      <c r="W3085" s="1" t="str">
        <f t="shared" si="195"/>
        <v>2026-02</v>
      </c>
    </row>
    <row r="3086" spans="1:23">
      <c r="A3086" s="1" t="s">
        <v>5179</v>
      </c>
      <c r="B3086" s="1" t="s">
        <v>2166</v>
      </c>
      <c r="C3086" s="1" t="s">
        <v>60</v>
      </c>
      <c r="D3086" s="1" t="s">
        <v>30</v>
      </c>
      <c r="E3086" s="1" t="s">
        <v>31</v>
      </c>
      <c r="F3086">
        <v>3</v>
      </c>
      <c r="G3086" s="2">
        <v>45988</v>
      </c>
      <c r="H3086" s="2">
        <v>45989</v>
      </c>
      <c r="I3086">
        <v>183.35</v>
      </c>
      <c r="J3086">
        <v>77.97</v>
      </c>
      <c r="K3086">
        <v>77.97</v>
      </c>
      <c r="L3086">
        <v>0</v>
      </c>
      <c r="M3086" s="1" t="s">
        <v>21</v>
      </c>
      <c r="N3086" s="1" t="s">
        <v>22</v>
      </c>
      <c r="O3086" s="2">
        <v>46009</v>
      </c>
      <c r="P3086" s="2">
        <v>46009</v>
      </c>
      <c r="Q3086">
        <f>_xlfn.XLOOKUP(E3086,CPT!$A$2:$A$13,CPT!$D$2:$D$13)</f>
        <v>62</v>
      </c>
      <c r="R3086" s="1">
        <f>_xlfn.XLOOKUP(C3086,Contract!$A$2:$A$9,Contract!$B$2:$B$9)</f>
        <v>0.45</v>
      </c>
      <c r="S3086" s="1">
        <f t="shared" si="192"/>
        <v>83.7</v>
      </c>
      <c r="T3086" s="1">
        <f t="shared" si="193"/>
        <v>5.730000000000004</v>
      </c>
      <c r="U3086" s="1" t="str">
        <f t="shared" si="194"/>
        <v>Underpaid</v>
      </c>
      <c r="V3086" s="1" t="str">
        <f>_xlfn.XLOOKUP(C3086,Payers!$A$2:$A$9,Payers!$B$2:$B$9)</f>
        <v>Blue Horizon Commercial</v>
      </c>
      <c r="W3086" s="1" t="str">
        <f t="shared" si="195"/>
        <v>2025-11</v>
      </c>
    </row>
    <row r="3087" spans="1:23">
      <c r="A3087" s="1" t="s">
        <v>5180</v>
      </c>
      <c r="B3087" s="1" t="s">
        <v>1824</v>
      </c>
      <c r="C3087" s="1" t="s">
        <v>25</v>
      </c>
      <c r="D3087" s="1" t="s">
        <v>26</v>
      </c>
      <c r="E3087" s="1" t="s">
        <v>57</v>
      </c>
      <c r="F3087">
        <v>1</v>
      </c>
      <c r="G3087" s="2">
        <v>45984</v>
      </c>
      <c r="H3087" s="2">
        <v>45986</v>
      </c>
      <c r="I3087">
        <v>208.03</v>
      </c>
      <c r="J3087">
        <v>73.900000000000006</v>
      </c>
      <c r="K3087">
        <v>66.510000000000005</v>
      </c>
      <c r="L3087">
        <v>7.39</v>
      </c>
      <c r="M3087" s="1" t="s">
        <v>21</v>
      </c>
      <c r="N3087" s="1" t="s">
        <v>22</v>
      </c>
      <c r="O3087" s="2">
        <v>46003</v>
      </c>
      <c r="P3087" s="2">
        <v>46003</v>
      </c>
      <c r="Q3087">
        <f>_xlfn.XLOOKUP(E3087,CPT!$A$2:$A$13,CPT!$D$2:$D$13)</f>
        <v>210</v>
      </c>
      <c r="R3087" s="1">
        <f>_xlfn.XLOOKUP(C3087,Contract!$A$2:$A$9,Contract!$B$2:$B$9)</f>
        <v>0.36</v>
      </c>
      <c r="S3087" s="1">
        <f t="shared" si="192"/>
        <v>75.599999999999994</v>
      </c>
      <c r="T3087" s="1">
        <f t="shared" si="193"/>
        <v>1.6999999999999886</v>
      </c>
      <c r="U3087" s="1" t="str">
        <f t="shared" si="194"/>
        <v>OK</v>
      </c>
      <c r="V3087" s="1" t="str">
        <f>_xlfn.XLOOKUP(C3087,Payers!$A$2:$A$9,Payers!$B$2:$B$9)</f>
        <v>Medicare Part B</v>
      </c>
      <c r="W3087" s="1" t="str">
        <f t="shared" si="195"/>
        <v>2025-11</v>
      </c>
    </row>
    <row r="3088" spans="1:23">
      <c r="A3088" s="1" t="s">
        <v>5181</v>
      </c>
      <c r="B3088" s="1" t="s">
        <v>2435</v>
      </c>
      <c r="C3088" s="1" t="s">
        <v>76</v>
      </c>
      <c r="D3088" s="1" t="s">
        <v>19</v>
      </c>
      <c r="E3088" s="1" t="s">
        <v>57</v>
      </c>
      <c r="F3088">
        <v>1</v>
      </c>
      <c r="G3088" s="2">
        <v>46162</v>
      </c>
      <c r="H3088" s="2">
        <v>46171</v>
      </c>
      <c r="I3088">
        <v>215.77</v>
      </c>
      <c r="J3088">
        <v>92.29</v>
      </c>
      <c r="K3088">
        <v>92.29</v>
      </c>
      <c r="L3088">
        <v>0</v>
      </c>
      <c r="M3088" s="1" t="s">
        <v>21</v>
      </c>
      <c r="N3088" s="1" t="s">
        <v>22</v>
      </c>
      <c r="O3088" s="2">
        <v>46202</v>
      </c>
      <c r="P3088" s="2">
        <v>46202</v>
      </c>
      <c r="Q3088">
        <f>_xlfn.XLOOKUP(E3088,CPT!$A$2:$A$13,CPT!$D$2:$D$13)</f>
        <v>210</v>
      </c>
      <c r="R3088" s="1">
        <f>_xlfn.XLOOKUP(C3088,Contract!$A$2:$A$9,Contract!$B$2:$B$9)</f>
        <v>0.43</v>
      </c>
      <c r="S3088" s="1">
        <f t="shared" si="192"/>
        <v>90.3</v>
      </c>
      <c r="T3088" s="1">
        <f t="shared" si="193"/>
        <v>-1.9900000000000091</v>
      </c>
      <c r="U3088" s="1" t="str">
        <f t="shared" si="194"/>
        <v>OK</v>
      </c>
      <c r="V3088" s="1" t="str">
        <f>_xlfn.XLOOKUP(C3088,Payers!$A$2:$A$9,Payers!$B$2:$B$9)</f>
        <v>Summit Health Commercial</v>
      </c>
      <c r="W3088" s="1" t="str">
        <f t="shared" si="195"/>
        <v>2026-05</v>
      </c>
    </row>
    <row r="3089" spans="1:23">
      <c r="A3089" s="1" t="s">
        <v>5182</v>
      </c>
      <c r="B3089" s="1" t="s">
        <v>2387</v>
      </c>
      <c r="C3089" s="1" t="s">
        <v>79</v>
      </c>
      <c r="D3089" s="1" t="s">
        <v>19</v>
      </c>
      <c r="E3089" s="1" t="s">
        <v>41</v>
      </c>
      <c r="F3089">
        <v>1</v>
      </c>
      <c r="G3089" s="2">
        <v>46247</v>
      </c>
      <c r="H3089" s="2">
        <v>46256</v>
      </c>
      <c r="I3089">
        <v>37.85</v>
      </c>
      <c r="M3089" s="1" t="s">
        <v>69</v>
      </c>
      <c r="N3089" s="1" t="s">
        <v>22</v>
      </c>
      <c r="O3089" s="2"/>
      <c r="P3089" s="2"/>
      <c r="Q3089">
        <f>_xlfn.XLOOKUP(E3089,CPT!$A$2:$A$13,CPT!$D$2:$D$13)</f>
        <v>38</v>
      </c>
      <c r="R3089" s="1">
        <f>_xlfn.XLOOKUP(C3089,Contract!$A$2:$A$9,Contract!$B$2:$B$9)</f>
        <v>1</v>
      </c>
      <c r="S3089" s="1">
        <f t="shared" si="192"/>
        <v>38</v>
      </c>
      <c r="T3089" s="1" t="str">
        <f t="shared" si="193"/>
        <v/>
      </c>
      <c r="U3089" s="1" t="str">
        <f t="shared" si="194"/>
        <v/>
      </c>
      <c r="V3089" s="1" t="str">
        <f>_xlfn.XLOOKUP(C3089,Payers!$A$2:$A$9,Payers!$B$2:$B$9)</f>
        <v>Self-Pay</v>
      </c>
      <c r="W3089" s="1" t="str">
        <f t="shared" si="195"/>
        <v>2026-08</v>
      </c>
    </row>
    <row r="3090" spans="1:23">
      <c r="A3090" s="1" t="s">
        <v>5183</v>
      </c>
      <c r="B3090" s="1" t="s">
        <v>5184</v>
      </c>
      <c r="C3090" s="1" t="s">
        <v>18</v>
      </c>
      <c r="D3090" s="1" t="s">
        <v>30</v>
      </c>
      <c r="E3090" s="1" t="s">
        <v>20</v>
      </c>
      <c r="F3090">
        <v>1</v>
      </c>
      <c r="G3090" s="2">
        <v>46225</v>
      </c>
      <c r="H3090" s="2">
        <v>46234</v>
      </c>
      <c r="I3090">
        <v>143.74</v>
      </c>
      <c r="J3090">
        <v>47.6</v>
      </c>
      <c r="K3090">
        <v>42.84</v>
      </c>
      <c r="L3090">
        <v>4.76</v>
      </c>
      <c r="M3090" s="1" t="s">
        <v>21</v>
      </c>
      <c r="N3090" s="1" t="s">
        <v>22</v>
      </c>
      <c r="O3090" s="2">
        <v>46265</v>
      </c>
      <c r="P3090" s="2">
        <v>46265</v>
      </c>
      <c r="Q3090">
        <f>_xlfn.XLOOKUP(E3090,CPT!$A$2:$A$13,CPT!$D$2:$D$13)</f>
        <v>145</v>
      </c>
      <c r="R3090" s="1">
        <f>_xlfn.XLOOKUP(C3090,Contract!$A$2:$A$9,Contract!$B$2:$B$9)</f>
        <v>0.38</v>
      </c>
      <c r="S3090" s="1">
        <f t="shared" si="192"/>
        <v>55.1</v>
      </c>
      <c r="T3090" s="1">
        <f t="shared" si="193"/>
        <v>7.5</v>
      </c>
      <c r="U3090" s="1" t="str">
        <f t="shared" si="194"/>
        <v>Underpaid</v>
      </c>
      <c r="V3090" s="1" t="str">
        <f>_xlfn.XLOOKUP(C3090,Payers!$A$2:$A$9,Payers!$B$2:$B$9)</f>
        <v>Sunshine Medicare Advantage</v>
      </c>
      <c r="W3090" s="1" t="str">
        <f t="shared" si="195"/>
        <v>2026-07</v>
      </c>
    </row>
    <row r="3091" spans="1:23">
      <c r="A3091" s="1" t="s">
        <v>5185</v>
      </c>
      <c r="B3091" s="1" t="s">
        <v>289</v>
      </c>
      <c r="C3091" s="1" t="s">
        <v>18</v>
      </c>
      <c r="D3091" s="1" t="s">
        <v>19</v>
      </c>
      <c r="E3091" s="1" t="s">
        <v>20</v>
      </c>
      <c r="F3091">
        <v>1</v>
      </c>
      <c r="G3091" s="2">
        <v>46238</v>
      </c>
      <c r="H3091" s="2">
        <v>46242</v>
      </c>
      <c r="I3091">
        <v>146</v>
      </c>
      <c r="M3091" s="1" t="s">
        <v>32</v>
      </c>
      <c r="N3091" s="1" t="s">
        <v>281</v>
      </c>
      <c r="O3091" s="2">
        <v>46264</v>
      </c>
      <c r="P3091" s="2"/>
      <c r="Q3091">
        <f>_xlfn.XLOOKUP(E3091,CPT!$A$2:$A$13,CPT!$D$2:$D$13)</f>
        <v>145</v>
      </c>
      <c r="R3091" s="1">
        <f>_xlfn.XLOOKUP(C3091,Contract!$A$2:$A$9,Contract!$B$2:$B$9)</f>
        <v>0.38</v>
      </c>
      <c r="S3091" s="1">
        <f t="shared" si="192"/>
        <v>55.1</v>
      </c>
      <c r="T3091" s="1" t="str">
        <f t="shared" si="193"/>
        <v/>
      </c>
      <c r="U3091" s="1" t="str">
        <f t="shared" si="194"/>
        <v/>
      </c>
      <c r="V3091" s="1" t="str">
        <f>_xlfn.XLOOKUP(C3091,Payers!$A$2:$A$9,Payers!$B$2:$B$9)</f>
        <v>Sunshine Medicare Advantage</v>
      </c>
      <c r="W3091" s="1" t="str">
        <f t="shared" si="195"/>
        <v>2026-08</v>
      </c>
    </row>
    <row r="3092" spans="1:23">
      <c r="A3092" s="1" t="s">
        <v>5186</v>
      </c>
      <c r="B3092" s="1" t="s">
        <v>1612</v>
      </c>
      <c r="C3092" s="1" t="s">
        <v>25</v>
      </c>
      <c r="D3092" s="1" t="s">
        <v>30</v>
      </c>
      <c r="E3092" s="1" t="s">
        <v>91</v>
      </c>
      <c r="F3092">
        <v>4</v>
      </c>
      <c r="G3092" s="2">
        <v>46146</v>
      </c>
      <c r="H3092" s="2">
        <v>46150</v>
      </c>
      <c r="I3092">
        <v>238.25</v>
      </c>
      <c r="J3092">
        <v>97.4</v>
      </c>
      <c r="K3092">
        <v>87.66</v>
      </c>
      <c r="L3092">
        <v>9.74</v>
      </c>
      <c r="M3092" s="1" t="s">
        <v>21</v>
      </c>
      <c r="N3092" s="1" t="s">
        <v>22</v>
      </c>
      <c r="O3092" s="2">
        <v>46166</v>
      </c>
      <c r="P3092" s="2">
        <v>46166</v>
      </c>
      <c r="Q3092">
        <f>_xlfn.XLOOKUP(E3092,CPT!$A$2:$A$13,CPT!$D$2:$D$13)</f>
        <v>58</v>
      </c>
      <c r="R3092" s="1">
        <f>_xlfn.XLOOKUP(C3092,Contract!$A$2:$A$9,Contract!$B$2:$B$9)</f>
        <v>0.36</v>
      </c>
      <c r="S3092" s="1">
        <f t="shared" si="192"/>
        <v>83.52</v>
      </c>
      <c r="T3092" s="1">
        <f t="shared" si="193"/>
        <v>-13.88000000000001</v>
      </c>
      <c r="U3092" s="1" t="str">
        <f t="shared" si="194"/>
        <v>OK</v>
      </c>
      <c r="V3092" s="1" t="str">
        <f>_xlfn.XLOOKUP(C3092,Payers!$A$2:$A$9,Payers!$B$2:$B$9)</f>
        <v>Medicare Part B</v>
      </c>
      <c r="W3092" s="1" t="str">
        <f t="shared" si="195"/>
        <v>2026-05</v>
      </c>
    </row>
    <row r="3093" spans="1:23">
      <c r="A3093" s="1" t="s">
        <v>5187</v>
      </c>
      <c r="B3093" s="1" t="s">
        <v>5188</v>
      </c>
      <c r="C3093" s="1" t="s">
        <v>52</v>
      </c>
      <c r="D3093" s="1" t="s">
        <v>26</v>
      </c>
      <c r="E3093" s="1" t="s">
        <v>27</v>
      </c>
      <c r="F3093">
        <v>1</v>
      </c>
      <c r="G3093" s="2">
        <v>46153</v>
      </c>
      <c r="H3093" s="2">
        <v>46159</v>
      </c>
      <c r="I3093">
        <v>239.73</v>
      </c>
      <c r="J3093">
        <v>130.41999999999999</v>
      </c>
      <c r="K3093">
        <v>130.41999999999999</v>
      </c>
      <c r="L3093">
        <v>0</v>
      </c>
      <c r="M3093" s="1" t="s">
        <v>21</v>
      </c>
      <c r="N3093" s="1" t="s">
        <v>22</v>
      </c>
      <c r="O3093" s="2">
        <v>46218</v>
      </c>
      <c r="P3093" s="2">
        <v>46218</v>
      </c>
      <c r="Q3093">
        <f>_xlfn.XLOOKUP(E3093,CPT!$A$2:$A$13,CPT!$D$2:$D$13)</f>
        <v>240</v>
      </c>
      <c r="R3093" s="1">
        <f>_xlfn.XLOOKUP(C3093,Contract!$A$2:$A$9,Contract!$B$2:$B$9)</f>
        <v>0.47</v>
      </c>
      <c r="S3093" s="1">
        <f t="shared" si="192"/>
        <v>112.8</v>
      </c>
      <c r="T3093" s="1">
        <f t="shared" si="193"/>
        <v>-17.61999999999999</v>
      </c>
      <c r="U3093" s="1" t="str">
        <f t="shared" si="194"/>
        <v>OK</v>
      </c>
      <c r="V3093" s="1" t="str">
        <f>_xlfn.XLOOKUP(C3093,Payers!$A$2:$A$9,Payers!$B$2:$B$9)</f>
        <v>Keystone Commercial PPO</v>
      </c>
      <c r="W3093" s="1" t="str">
        <f t="shared" si="195"/>
        <v>2026-05</v>
      </c>
    </row>
    <row r="3094" spans="1:23">
      <c r="A3094" s="1" t="s">
        <v>5189</v>
      </c>
      <c r="B3094" s="1" t="s">
        <v>4224</v>
      </c>
      <c r="C3094" s="1" t="s">
        <v>25</v>
      </c>
      <c r="D3094" s="1" t="s">
        <v>30</v>
      </c>
      <c r="E3094" s="1" t="s">
        <v>31</v>
      </c>
      <c r="F3094">
        <v>1</v>
      </c>
      <c r="G3094" s="2">
        <v>46184</v>
      </c>
      <c r="H3094" s="2">
        <v>46185</v>
      </c>
      <c r="I3094">
        <v>62.4</v>
      </c>
      <c r="J3094">
        <v>24.95</v>
      </c>
      <c r="K3094">
        <v>24.95</v>
      </c>
      <c r="L3094">
        <v>0</v>
      </c>
      <c r="M3094" s="1" t="s">
        <v>21</v>
      </c>
      <c r="N3094" s="1" t="s">
        <v>22</v>
      </c>
      <c r="O3094" s="2">
        <v>46202</v>
      </c>
      <c r="P3094" s="2">
        <v>46202</v>
      </c>
      <c r="Q3094">
        <f>_xlfn.XLOOKUP(E3094,CPT!$A$2:$A$13,CPT!$D$2:$D$13)</f>
        <v>62</v>
      </c>
      <c r="R3094" s="1">
        <f>_xlfn.XLOOKUP(C3094,Contract!$A$2:$A$9,Contract!$B$2:$B$9)</f>
        <v>0.36</v>
      </c>
      <c r="S3094" s="1">
        <f t="shared" si="192"/>
        <v>22.32</v>
      </c>
      <c r="T3094" s="1">
        <f t="shared" si="193"/>
        <v>-2.629999999999999</v>
      </c>
      <c r="U3094" s="1" t="str">
        <f t="shared" si="194"/>
        <v>OK</v>
      </c>
      <c r="V3094" s="1" t="str">
        <f>_xlfn.XLOOKUP(C3094,Payers!$A$2:$A$9,Payers!$B$2:$B$9)</f>
        <v>Medicare Part B</v>
      </c>
      <c r="W3094" s="1" t="str">
        <f t="shared" si="195"/>
        <v>2026-06</v>
      </c>
    </row>
    <row r="3095" spans="1:23">
      <c r="A3095" s="1" t="s">
        <v>5190</v>
      </c>
      <c r="B3095" s="1" t="s">
        <v>5191</v>
      </c>
      <c r="C3095" s="1" t="s">
        <v>60</v>
      </c>
      <c r="D3095" s="1" t="s">
        <v>19</v>
      </c>
      <c r="E3095" s="1" t="s">
        <v>41</v>
      </c>
      <c r="F3095">
        <v>1</v>
      </c>
      <c r="G3095" s="2">
        <v>45996</v>
      </c>
      <c r="H3095" s="2">
        <v>46004</v>
      </c>
      <c r="I3095">
        <v>37.14</v>
      </c>
      <c r="J3095">
        <v>14.5</v>
      </c>
      <c r="K3095">
        <v>14.5</v>
      </c>
      <c r="L3095">
        <v>0</v>
      </c>
      <c r="M3095" s="1" t="s">
        <v>21</v>
      </c>
      <c r="N3095" s="1" t="s">
        <v>22</v>
      </c>
      <c r="O3095" s="2">
        <v>46015</v>
      </c>
      <c r="P3095" s="2">
        <v>46015</v>
      </c>
      <c r="Q3095">
        <f>_xlfn.XLOOKUP(E3095,CPT!$A$2:$A$13,CPT!$D$2:$D$13)</f>
        <v>38</v>
      </c>
      <c r="R3095" s="1">
        <f>_xlfn.XLOOKUP(C3095,Contract!$A$2:$A$9,Contract!$B$2:$B$9)</f>
        <v>0.45</v>
      </c>
      <c r="S3095" s="1">
        <f t="shared" si="192"/>
        <v>17.100000000000001</v>
      </c>
      <c r="T3095" s="1">
        <f t="shared" si="193"/>
        <v>2.6000000000000014</v>
      </c>
      <c r="U3095" s="1" t="str">
        <f t="shared" si="194"/>
        <v>Underpaid</v>
      </c>
      <c r="V3095" s="1" t="str">
        <f>_xlfn.XLOOKUP(C3095,Payers!$A$2:$A$9,Payers!$B$2:$B$9)</f>
        <v>Blue Horizon Commercial</v>
      </c>
      <c r="W3095" s="1" t="str">
        <f t="shared" si="195"/>
        <v>2025-12</v>
      </c>
    </row>
    <row r="3096" spans="1:23">
      <c r="A3096" s="1" t="s">
        <v>5192</v>
      </c>
      <c r="B3096" s="1" t="s">
        <v>1434</v>
      </c>
      <c r="C3096" s="1" t="s">
        <v>18</v>
      </c>
      <c r="D3096" s="1" t="s">
        <v>26</v>
      </c>
      <c r="E3096" s="1" t="s">
        <v>185</v>
      </c>
      <c r="F3096">
        <v>1</v>
      </c>
      <c r="G3096" s="2">
        <v>46126</v>
      </c>
      <c r="H3096" s="2">
        <v>46128</v>
      </c>
      <c r="I3096">
        <v>1127.3399999999999</v>
      </c>
      <c r="J3096">
        <v>400.44</v>
      </c>
      <c r="K3096">
        <v>400.44</v>
      </c>
      <c r="L3096">
        <v>0</v>
      </c>
      <c r="M3096" s="1" t="s">
        <v>21</v>
      </c>
      <c r="N3096" s="1" t="s">
        <v>22</v>
      </c>
      <c r="O3096" s="2">
        <v>46176</v>
      </c>
      <c r="P3096" s="2">
        <v>46176</v>
      </c>
      <c r="Q3096">
        <f>_xlfn.XLOOKUP(E3096,CPT!$A$2:$A$13,CPT!$D$2:$D$13)</f>
        <v>1150</v>
      </c>
      <c r="R3096" s="1">
        <f>_xlfn.XLOOKUP(C3096,Contract!$A$2:$A$9,Contract!$B$2:$B$9)</f>
        <v>0.38</v>
      </c>
      <c r="S3096" s="1">
        <f t="shared" si="192"/>
        <v>437</v>
      </c>
      <c r="T3096" s="1">
        <f t="shared" si="193"/>
        <v>36.56</v>
      </c>
      <c r="U3096" s="1" t="str">
        <f t="shared" si="194"/>
        <v>Underpaid</v>
      </c>
      <c r="V3096" s="1" t="str">
        <f>_xlfn.XLOOKUP(C3096,Payers!$A$2:$A$9,Payers!$B$2:$B$9)</f>
        <v>Sunshine Medicare Advantage</v>
      </c>
      <c r="W3096" s="1" t="str">
        <f t="shared" si="195"/>
        <v>2026-04</v>
      </c>
    </row>
    <row r="3097" spans="1:23">
      <c r="A3097" s="1" t="s">
        <v>5193</v>
      </c>
      <c r="B3097" s="1" t="s">
        <v>3688</v>
      </c>
      <c r="C3097" s="1" t="s">
        <v>60</v>
      </c>
      <c r="D3097" s="1" t="s">
        <v>26</v>
      </c>
      <c r="E3097" s="1" t="s">
        <v>113</v>
      </c>
      <c r="F3097">
        <v>1</v>
      </c>
      <c r="G3097" s="2">
        <v>46051</v>
      </c>
      <c r="H3097" s="2">
        <v>46068</v>
      </c>
      <c r="I3097">
        <v>1056.4000000000001</v>
      </c>
      <c r="J3097">
        <v>478.62</v>
      </c>
      <c r="K3097">
        <v>430.76</v>
      </c>
      <c r="L3097">
        <v>47.86</v>
      </c>
      <c r="M3097" s="1" t="s">
        <v>21</v>
      </c>
      <c r="N3097" s="1" t="s">
        <v>22</v>
      </c>
      <c r="O3097" s="2">
        <v>46091</v>
      </c>
      <c r="P3097" s="2">
        <v>46091</v>
      </c>
      <c r="Q3097">
        <f>_xlfn.XLOOKUP(E3097,CPT!$A$2:$A$13,CPT!$D$2:$D$13)</f>
        <v>1050</v>
      </c>
      <c r="R3097" s="1">
        <f>_xlfn.XLOOKUP(C3097,Contract!$A$2:$A$9,Contract!$B$2:$B$9)</f>
        <v>0.45</v>
      </c>
      <c r="S3097" s="1">
        <f t="shared" si="192"/>
        <v>472.5</v>
      </c>
      <c r="T3097" s="1">
        <f t="shared" si="193"/>
        <v>-6.1200000000000045</v>
      </c>
      <c r="U3097" s="1" t="str">
        <f t="shared" si="194"/>
        <v>OK</v>
      </c>
      <c r="V3097" s="1" t="str">
        <f>_xlfn.XLOOKUP(C3097,Payers!$A$2:$A$9,Payers!$B$2:$B$9)</f>
        <v>Blue Horizon Commercial</v>
      </c>
      <c r="W3097" s="1" t="str">
        <f t="shared" si="195"/>
        <v>2026-01</v>
      </c>
    </row>
    <row r="3098" spans="1:23">
      <c r="A3098" s="1" t="s">
        <v>5194</v>
      </c>
      <c r="B3098" s="1" t="s">
        <v>1333</v>
      </c>
      <c r="C3098" s="1" t="s">
        <v>60</v>
      </c>
      <c r="D3098" s="1" t="s">
        <v>37</v>
      </c>
      <c r="E3098" s="1" t="s">
        <v>48</v>
      </c>
      <c r="F3098">
        <v>1</v>
      </c>
      <c r="G3098" s="2">
        <v>46054</v>
      </c>
      <c r="H3098" s="2">
        <v>46055</v>
      </c>
      <c r="I3098">
        <v>424.37</v>
      </c>
      <c r="J3098">
        <v>175.22</v>
      </c>
      <c r="K3098">
        <v>157.69999999999999</v>
      </c>
      <c r="L3098">
        <v>17.52</v>
      </c>
      <c r="M3098" s="1" t="s">
        <v>21</v>
      </c>
      <c r="N3098" s="1" t="s">
        <v>22</v>
      </c>
      <c r="O3098" s="2">
        <v>46078</v>
      </c>
      <c r="P3098" s="2">
        <v>46078</v>
      </c>
      <c r="Q3098">
        <f>_xlfn.XLOOKUP(E3098,CPT!$A$2:$A$13,CPT!$D$2:$D$13)</f>
        <v>420</v>
      </c>
      <c r="R3098" s="1">
        <f>_xlfn.XLOOKUP(C3098,Contract!$A$2:$A$9,Contract!$B$2:$B$9)</f>
        <v>0.45</v>
      </c>
      <c r="S3098" s="1">
        <f t="shared" si="192"/>
        <v>189</v>
      </c>
      <c r="T3098" s="1">
        <f t="shared" si="193"/>
        <v>13.780000000000001</v>
      </c>
      <c r="U3098" s="1" t="str">
        <f t="shared" si="194"/>
        <v>Underpaid</v>
      </c>
      <c r="V3098" s="1" t="str">
        <f>_xlfn.XLOOKUP(C3098,Payers!$A$2:$A$9,Payers!$B$2:$B$9)</f>
        <v>Blue Horizon Commercial</v>
      </c>
      <c r="W3098" s="1" t="str">
        <f t="shared" si="195"/>
        <v>2026-02</v>
      </c>
    </row>
    <row r="3099" spans="1:23">
      <c r="A3099" s="1" t="s">
        <v>5195</v>
      </c>
      <c r="B3099" s="1" t="s">
        <v>5196</v>
      </c>
      <c r="C3099" s="1" t="s">
        <v>60</v>
      </c>
      <c r="D3099" s="1" t="s">
        <v>37</v>
      </c>
      <c r="E3099" s="1" t="s">
        <v>38</v>
      </c>
      <c r="F3099">
        <v>20</v>
      </c>
      <c r="G3099" s="2">
        <v>46075</v>
      </c>
      <c r="H3099" s="2">
        <v>46087</v>
      </c>
      <c r="I3099">
        <v>28459.95</v>
      </c>
      <c r="M3099" s="1" t="s">
        <v>32</v>
      </c>
      <c r="N3099" s="1" t="s">
        <v>315</v>
      </c>
      <c r="O3099" s="2">
        <v>46109</v>
      </c>
      <c r="P3099" s="2"/>
      <c r="Q3099">
        <f>_xlfn.XLOOKUP(E3099,CPT!$A$2:$A$13,CPT!$D$2:$D$13)</f>
        <v>1450</v>
      </c>
      <c r="R3099" s="1">
        <f>_xlfn.XLOOKUP(C3099,Contract!$A$2:$A$9,Contract!$B$2:$B$9)</f>
        <v>0.45</v>
      </c>
      <c r="S3099" s="1">
        <f t="shared" si="192"/>
        <v>13050</v>
      </c>
      <c r="T3099" s="1" t="str">
        <f t="shared" si="193"/>
        <v/>
      </c>
      <c r="U3099" s="1" t="str">
        <f t="shared" si="194"/>
        <v/>
      </c>
      <c r="V3099" s="1" t="str">
        <f>_xlfn.XLOOKUP(C3099,Payers!$A$2:$A$9,Payers!$B$2:$B$9)</f>
        <v>Blue Horizon Commercial</v>
      </c>
      <c r="W3099" s="1" t="str">
        <f t="shared" si="195"/>
        <v>2026-02</v>
      </c>
    </row>
    <row r="3100" spans="1:23">
      <c r="A3100" s="1" t="s">
        <v>5197</v>
      </c>
      <c r="B3100" s="1" t="s">
        <v>5012</v>
      </c>
      <c r="C3100" s="1" t="s">
        <v>47</v>
      </c>
      <c r="D3100" s="1" t="s">
        <v>37</v>
      </c>
      <c r="E3100" s="1" t="s">
        <v>38</v>
      </c>
      <c r="F3100">
        <v>5</v>
      </c>
      <c r="G3100" s="2">
        <v>46194</v>
      </c>
      <c r="H3100" s="2">
        <v>46199</v>
      </c>
      <c r="I3100">
        <v>7404.41</v>
      </c>
      <c r="J3100">
        <v>2135.31</v>
      </c>
      <c r="K3100">
        <v>1921.78</v>
      </c>
      <c r="L3100">
        <v>213.53</v>
      </c>
      <c r="M3100" s="1" t="s">
        <v>21</v>
      </c>
      <c r="N3100" s="1" t="s">
        <v>22</v>
      </c>
      <c r="O3100" s="2">
        <v>46250</v>
      </c>
      <c r="P3100" s="2">
        <v>46250</v>
      </c>
      <c r="Q3100">
        <f>_xlfn.XLOOKUP(E3100,CPT!$A$2:$A$13,CPT!$D$2:$D$13)</f>
        <v>1450</v>
      </c>
      <c r="R3100" s="1">
        <f>_xlfn.XLOOKUP(C3100,Contract!$A$2:$A$9,Contract!$B$2:$B$9)</f>
        <v>0.28000000000000003</v>
      </c>
      <c r="S3100" s="1">
        <f t="shared" si="192"/>
        <v>2030</v>
      </c>
      <c r="T3100" s="1">
        <f t="shared" si="193"/>
        <v>-105.30999999999995</v>
      </c>
      <c r="U3100" s="1" t="str">
        <f t="shared" si="194"/>
        <v>OK</v>
      </c>
      <c r="V3100" s="1" t="str">
        <f>_xlfn.XLOOKUP(C3100,Payers!$A$2:$A$9,Payers!$B$2:$B$9)</f>
        <v>Coastal Medicaid MCO</v>
      </c>
      <c r="W3100" s="1" t="str">
        <f t="shared" si="195"/>
        <v>2026-06</v>
      </c>
    </row>
    <row r="3101" spans="1:23">
      <c r="A3101" s="1" t="s">
        <v>5198</v>
      </c>
      <c r="B3101" s="1" t="s">
        <v>823</v>
      </c>
      <c r="C3101" s="1" t="s">
        <v>60</v>
      </c>
      <c r="D3101" s="1" t="s">
        <v>26</v>
      </c>
      <c r="E3101" s="1" t="s">
        <v>44</v>
      </c>
      <c r="F3101">
        <v>1</v>
      </c>
      <c r="G3101" s="2">
        <v>45943</v>
      </c>
      <c r="H3101" s="2">
        <v>45944</v>
      </c>
      <c r="I3101">
        <v>4917.3</v>
      </c>
      <c r="J3101">
        <v>2329.3200000000002</v>
      </c>
      <c r="K3101">
        <v>2329.3200000000002</v>
      </c>
      <c r="L3101">
        <v>0</v>
      </c>
      <c r="M3101" s="1" t="s">
        <v>21</v>
      </c>
      <c r="N3101" s="1" t="s">
        <v>22</v>
      </c>
      <c r="O3101" s="2">
        <v>45972</v>
      </c>
      <c r="P3101" s="2">
        <v>45972</v>
      </c>
      <c r="Q3101">
        <f>_xlfn.XLOOKUP(E3101,CPT!$A$2:$A$13,CPT!$D$2:$D$13)</f>
        <v>4800</v>
      </c>
      <c r="R3101" s="1">
        <f>_xlfn.XLOOKUP(C3101,Contract!$A$2:$A$9,Contract!$B$2:$B$9)</f>
        <v>0.45</v>
      </c>
      <c r="S3101" s="1">
        <f t="shared" si="192"/>
        <v>2160</v>
      </c>
      <c r="T3101" s="1">
        <f t="shared" si="193"/>
        <v>-169.32000000000016</v>
      </c>
      <c r="U3101" s="1" t="str">
        <f t="shared" si="194"/>
        <v>OK</v>
      </c>
      <c r="V3101" s="1" t="str">
        <f>_xlfn.XLOOKUP(C3101,Payers!$A$2:$A$9,Payers!$B$2:$B$9)</f>
        <v>Blue Horizon Commercial</v>
      </c>
      <c r="W3101" s="1" t="str">
        <f t="shared" si="195"/>
        <v>2025-10</v>
      </c>
    </row>
    <row r="3102" spans="1:23">
      <c r="A3102" s="1" t="s">
        <v>5199</v>
      </c>
      <c r="B3102" s="1" t="s">
        <v>815</v>
      </c>
      <c r="C3102" s="1" t="s">
        <v>18</v>
      </c>
      <c r="D3102" s="1" t="s">
        <v>37</v>
      </c>
      <c r="E3102" s="1" t="s">
        <v>57</v>
      </c>
      <c r="F3102">
        <v>1</v>
      </c>
      <c r="G3102" s="2">
        <v>45997</v>
      </c>
      <c r="H3102" s="2">
        <v>46000</v>
      </c>
      <c r="I3102">
        <v>213.23</v>
      </c>
      <c r="J3102">
        <v>74.47</v>
      </c>
      <c r="K3102">
        <v>59.58</v>
      </c>
      <c r="L3102">
        <v>14.89</v>
      </c>
      <c r="M3102" s="1" t="s">
        <v>21</v>
      </c>
      <c r="N3102" s="1" t="s">
        <v>22</v>
      </c>
      <c r="O3102" s="2">
        <v>46038</v>
      </c>
      <c r="P3102" s="2">
        <v>46038</v>
      </c>
      <c r="Q3102">
        <f>_xlfn.XLOOKUP(E3102,CPT!$A$2:$A$13,CPT!$D$2:$D$13)</f>
        <v>210</v>
      </c>
      <c r="R3102" s="1">
        <f>_xlfn.XLOOKUP(C3102,Contract!$A$2:$A$9,Contract!$B$2:$B$9)</f>
        <v>0.38</v>
      </c>
      <c r="S3102" s="1">
        <f t="shared" si="192"/>
        <v>79.8</v>
      </c>
      <c r="T3102" s="1">
        <f t="shared" si="193"/>
        <v>5.3299999999999983</v>
      </c>
      <c r="U3102" s="1" t="str">
        <f t="shared" si="194"/>
        <v>Underpaid</v>
      </c>
      <c r="V3102" s="1" t="str">
        <f>_xlfn.XLOOKUP(C3102,Payers!$A$2:$A$9,Payers!$B$2:$B$9)</f>
        <v>Sunshine Medicare Advantage</v>
      </c>
      <c r="W3102" s="1" t="str">
        <f t="shared" si="195"/>
        <v>2025-12</v>
      </c>
    </row>
    <row r="3103" spans="1:23">
      <c r="A3103" s="1" t="s">
        <v>5200</v>
      </c>
      <c r="B3103" s="1" t="s">
        <v>5201</v>
      </c>
      <c r="C3103" s="1" t="s">
        <v>52</v>
      </c>
      <c r="D3103" s="1" t="s">
        <v>26</v>
      </c>
      <c r="E3103" s="1" t="s">
        <v>57</v>
      </c>
      <c r="F3103">
        <v>1</v>
      </c>
      <c r="G3103" s="2">
        <v>46174</v>
      </c>
      <c r="H3103" s="2">
        <v>46176</v>
      </c>
      <c r="I3103">
        <v>215.63</v>
      </c>
      <c r="J3103">
        <v>115.41</v>
      </c>
      <c r="K3103">
        <v>103.87</v>
      </c>
      <c r="L3103">
        <v>11.54</v>
      </c>
      <c r="M3103" s="1" t="s">
        <v>21</v>
      </c>
      <c r="N3103" s="1" t="s">
        <v>22</v>
      </c>
      <c r="O3103" s="2">
        <v>46225</v>
      </c>
      <c r="P3103" s="2">
        <v>46225</v>
      </c>
      <c r="Q3103">
        <f>_xlfn.XLOOKUP(E3103,CPT!$A$2:$A$13,CPT!$D$2:$D$13)</f>
        <v>210</v>
      </c>
      <c r="R3103" s="1">
        <f>_xlfn.XLOOKUP(C3103,Contract!$A$2:$A$9,Contract!$B$2:$B$9)</f>
        <v>0.47</v>
      </c>
      <c r="S3103" s="1">
        <f t="shared" si="192"/>
        <v>98.7</v>
      </c>
      <c r="T3103" s="1">
        <f t="shared" si="193"/>
        <v>-16.709999999999994</v>
      </c>
      <c r="U3103" s="1" t="str">
        <f t="shared" si="194"/>
        <v>OK</v>
      </c>
      <c r="V3103" s="1" t="str">
        <f>_xlfn.XLOOKUP(C3103,Payers!$A$2:$A$9,Payers!$B$2:$B$9)</f>
        <v>Keystone Commercial PPO</v>
      </c>
      <c r="W3103" s="1" t="str">
        <f t="shared" si="195"/>
        <v>2026-06</v>
      </c>
    </row>
    <row r="3104" spans="1:23">
      <c r="A3104" s="1" t="s">
        <v>5202</v>
      </c>
      <c r="B3104" s="1" t="s">
        <v>754</v>
      </c>
      <c r="C3104" s="1" t="s">
        <v>47</v>
      </c>
      <c r="D3104" s="1" t="s">
        <v>30</v>
      </c>
      <c r="E3104" s="1" t="s">
        <v>31</v>
      </c>
      <c r="F3104">
        <v>2</v>
      </c>
      <c r="G3104" s="2">
        <v>46139</v>
      </c>
      <c r="H3104" s="2">
        <v>46148</v>
      </c>
      <c r="I3104">
        <v>121.07</v>
      </c>
      <c r="M3104" s="1" t="s">
        <v>32</v>
      </c>
      <c r="N3104" s="1" t="s">
        <v>168</v>
      </c>
      <c r="O3104" s="2">
        <v>46219</v>
      </c>
      <c r="P3104" s="2"/>
      <c r="Q3104">
        <f>_xlfn.XLOOKUP(E3104,CPT!$A$2:$A$13,CPT!$D$2:$D$13)</f>
        <v>62</v>
      </c>
      <c r="R3104" s="1">
        <f>_xlfn.XLOOKUP(C3104,Contract!$A$2:$A$9,Contract!$B$2:$B$9)</f>
        <v>0.28000000000000003</v>
      </c>
      <c r="S3104" s="1">
        <f t="shared" si="192"/>
        <v>34.72</v>
      </c>
      <c r="T3104" s="1" t="str">
        <f t="shared" si="193"/>
        <v/>
      </c>
      <c r="U3104" s="1" t="str">
        <f t="shared" si="194"/>
        <v/>
      </c>
      <c r="V3104" s="1" t="str">
        <f>_xlfn.XLOOKUP(C3104,Payers!$A$2:$A$9,Payers!$B$2:$B$9)</f>
        <v>Coastal Medicaid MCO</v>
      </c>
      <c r="W3104" s="1" t="str">
        <f t="shared" si="195"/>
        <v>2026-04</v>
      </c>
    </row>
    <row r="3105" spans="1:23">
      <c r="A3105" s="1" t="s">
        <v>5203</v>
      </c>
      <c r="B3105" s="1" t="s">
        <v>5204</v>
      </c>
      <c r="C3105" s="1" t="s">
        <v>76</v>
      </c>
      <c r="D3105" s="1" t="s">
        <v>30</v>
      </c>
      <c r="E3105" s="1" t="s">
        <v>31</v>
      </c>
      <c r="F3105">
        <v>1</v>
      </c>
      <c r="G3105" s="2">
        <v>46259</v>
      </c>
      <c r="H3105" s="2">
        <v>46261</v>
      </c>
      <c r="I3105">
        <v>60.91</v>
      </c>
      <c r="M3105" s="1" t="s">
        <v>69</v>
      </c>
      <c r="N3105" s="1" t="s">
        <v>22</v>
      </c>
      <c r="O3105" s="2"/>
      <c r="P3105" s="2"/>
      <c r="Q3105">
        <f>_xlfn.XLOOKUP(E3105,CPT!$A$2:$A$13,CPT!$D$2:$D$13)</f>
        <v>62</v>
      </c>
      <c r="R3105" s="1">
        <f>_xlfn.XLOOKUP(C3105,Contract!$A$2:$A$9,Contract!$B$2:$B$9)</f>
        <v>0.43</v>
      </c>
      <c r="S3105" s="1">
        <f t="shared" si="192"/>
        <v>26.66</v>
      </c>
      <c r="T3105" s="1" t="str">
        <f t="shared" si="193"/>
        <v/>
      </c>
      <c r="U3105" s="1" t="str">
        <f t="shared" si="194"/>
        <v/>
      </c>
      <c r="V3105" s="1" t="str">
        <f>_xlfn.XLOOKUP(C3105,Payers!$A$2:$A$9,Payers!$B$2:$B$9)</f>
        <v>Summit Health Commercial</v>
      </c>
      <c r="W3105" s="1" t="str">
        <f t="shared" si="195"/>
        <v>2026-08</v>
      </c>
    </row>
    <row r="3106" spans="1:23">
      <c r="A3106" s="1" t="s">
        <v>5205</v>
      </c>
      <c r="B3106" s="1" t="s">
        <v>1992</v>
      </c>
      <c r="C3106" s="1" t="s">
        <v>36</v>
      </c>
      <c r="D3106" s="1" t="s">
        <v>26</v>
      </c>
      <c r="E3106" s="1" t="s">
        <v>27</v>
      </c>
      <c r="F3106">
        <v>1</v>
      </c>
      <c r="G3106" s="2">
        <v>46207</v>
      </c>
      <c r="H3106" s="2">
        <v>46212</v>
      </c>
      <c r="I3106">
        <v>246.8</v>
      </c>
      <c r="J3106">
        <v>60.02</v>
      </c>
      <c r="K3106">
        <v>60.02</v>
      </c>
      <c r="L3106">
        <v>0</v>
      </c>
      <c r="M3106" s="1" t="s">
        <v>21</v>
      </c>
      <c r="N3106" s="1" t="s">
        <v>22</v>
      </c>
      <c r="O3106" s="2">
        <v>46248</v>
      </c>
      <c r="P3106" s="2">
        <v>46248</v>
      </c>
      <c r="Q3106">
        <f>_xlfn.XLOOKUP(E3106,CPT!$A$2:$A$13,CPT!$D$2:$D$13)</f>
        <v>240</v>
      </c>
      <c r="R3106" s="1">
        <f>_xlfn.XLOOKUP(C3106,Contract!$A$2:$A$9,Contract!$B$2:$B$9)</f>
        <v>0.27</v>
      </c>
      <c r="S3106" s="1">
        <f t="shared" si="192"/>
        <v>64.8</v>
      </c>
      <c r="T3106" s="1">
        <f t="shared" si="193"/>
        <v>4.779999999999994</v>
      </c>
      <c r="U3106" s="1" t="str">
        <f t="shared" si="194"/>
        <v>Underpaid</v>
      </c>
      <c r="V3106" s="1" t="str">
        <f>_xlfn.XLOOKUP(C3106,Payers!$A$2:$A$9,Payers!$B$2:$B$9)</f>
        <v>Florida Medicaid</v>
      </c>
      <c r="W3106" s="1" t="str">
        <f t="shared" si="195"/>
        <v>2026-07</v>
      </c>
    </row>
    <row r="3107" spans="1:23">
      <c r="A3107" s="1" t="s">
        <v>5206</v>
      </c>
      <c r="B3107" s="1" t="s">
        <v>2622</v>
      </c>
      <c r="C3107" s="1" t="s">
        <v>60</v>
      </c>
      <c r="D3107" s="1" t="s">
        <v>37</v>
      </c>
      <c r="E3107" s="1" t="s">
        <v>57</v>
      </c>
      <c r="F3107">
        <v>1</v>
      </c>
      <c r="G3107" s="2">
        <v>45998</v>
      </c>
      <c r="H3107" s="2">
        <v>46002</v>
      </c>
      <c r="I3107">
        <v>211.3</v>
      </c>
      <c r="M3107" s="1" t="s">
        <v>32</v>
      </c>
      <c r="N3107" s="1" t="s">
        <v>124</v>
      </c>
      <c r="O3107" s="2">
        <v>46038</v>
      </c>
      <c r="P3107" s="2"/>
      <c r="Q3107">
        <f>_xlfn.XLOOKUP(E3107,CPT!$A$2:$A$13,CPT!$D$2:$D$13)</f>
        <v>210</v>
      </c>
      <c r="R3107" s="1">
        <f>_xlfn.XLOOKUP(C3107,Contract!$A$2:$A$9,Contract!$B$2:$B$9)</f>
        <v>0.45</v>
      </c>
      <c r="S3107" s="1">
        <f t="shared" si="192"/>
        <v>94.5</v>
      </c>
      <c r="T3107" s="1" t="str">
        <f t="shared" si="193"/>
        <v/>
      </c>
      <c r="U3107" s="1" t="str">
        <f t="shared" si="194"/>
        <v/>
      </c>
      <c r="V3107" s="1" t="str">
        <f>_xlfn.XLOOKUP(C3107,Payers!$A$2:$A$9,Payers!$B$2:$B$9)</f>
        <v>Blue Horizon Commercial</v>
      </c>
      <c r="W3107" s="1" t="str">
        <f t="shared" si="195"/>
        <v>2025-12</v>
      </c>
    </row>
    <row r="3108" spans="1:23">
      <c r="A3108" s="1" t="s">
        <v>5207</v>
      </c>
      <c r="B3108" s="1" t="s">
        <v>4847</v>
      </c>
      <c r="C3108" s="1" t="s">
        <v>76</v>
      </c>
      <c r="D3108" s="1" t="s">
        <v>19</v>
      </c>
      <c r="E3108" s="1" t="s">
        <v>88</v>
      </c>
      <c r="F3108">
        <v>1</v>
      </c>
      <c r="G3108" s="2">
        <v>46272</v>
      </c>
      <c r="H3108" s="2">
        <v>46284</v>
      </c>
      <c r="I3108">
        <v>266.55</v>
      </c>
      <c r="M3108" s="1" t="s">
        <v>69</v>
      </c>
      <c r="N3108" s="1" t="s">
        <v>22</v>
      </c>
      <c r="O3108" s="2"/>
      <c r="P3108" s="2"/>
      <c r="Q3108">
        <f>_xlfn.XLOOKUP(E3108,CPT!$A$2:$A$13,CPT!$D$2:$D$13)</f>
        <v>260</v>
      </c>
      <c r="R3108" s="1">
        <f>_xlfn.XLOOKUP(C3108,Contract!$A$2:$A$9,Contract!$B$2:$B$9)</f>
        <v>0.43</v>
      </c>
      <c r="S3108" s="1">
        <f t="shared" si="192"/>
        <v>111.8</v>
      </c>
      <c r="T3108" s="1" t="str">
        <f t="shared" si="193"/>
        <v/>
      </c>
      <c r="U3108" s="1" t="str">
        <f t="shared" si="194"/>
        <v/>
      </c>
      <c r="V3108" s="1" t="str">
        <f>_xlfn.XLOOKUP(C3108,Payers!$A$2:$A$9,Payers!$B$2:$B$9)</f>
        <v>Summit Health Commercial</v>
      </c>
      <c r="W3108" s="1" t="str">
        <f t="shared" si="195"/>
        <v>2026-09</v>
      </c>
    </row>
    <row r="3109" spans="1:23">
      <c r="A3109" s="1" t="s">
        <v>5208</v>
      </c>
      <c r="B3109" s="1" t="s">
        <v>5209</v>
      </c>
      <c r="C3109" s="1" t="s">
        <v>60</v>
      </c>
      <c r="D3109" s="1" t="s">
        <v>37</v>
      </c>
      <c r="E3109" s="1" t="s">
        <v>57</v>
      </c>
      <c r="F3109">
        <v>1</v>
      </c>
      <c r="G3109" s="2">
        <v>45932</v>
      </c>
      <c r="H3109" s="2">
        <v>45940</v>
      </c>
      <c r="I3109">
        <v>212.74</v>
      </c>
      <c r="J3109">
        <v>88.32</v>
      </c>
      <c r="K3109">
        <v>88.32</v>
      </c>
      <c r="L3109">
        <v>0</v>
      </c>
      <c r="M3109" s="1" t="s">
        <v>21</v>
      </c>
      <c r="N3109" s="1" t="s">
        <v>22</v>
      </c>
      <c r="O3109" s="2">
        <v>45959</v>
      </c>
      <c r="P3109" s="2">
        <v>45959</v>
      </c>
      <c r="Q3109">
        <f>_xlfn.XLOOKUP(E3109,CPT!$A$2:$A$13,CPT!$D$2:$D$13)</f>
        <v>210</v>
      </c>
      <c r="R3109" s="1">
        <f>_xlfn.XLOOKUP(C3109,Contract!$A$2:$A$9,Contract!$B$2:$B$9)</f>
        <v>0.45</v>
      </c>
      <c r="S3109" s="1">
        <f t="shared" si="192"/>
        <v>94.5</v>
      </c>
      <c r="T3109" s="1">
        <f t="shared" si="193"/>
        <v>6.1800000000000068</v>
      </c>
      <c r="U3109" s="1" t="str">
        <f t="shared" si="194"/>
        <v>Underpaid</v>
      </c>
      <c r="V3109" s="1" t="str">
        <f>_xlfn.XLOOKUP(C3109,Payers!$A$2:$A$9,Payers!$B$2:$B$9)</f>
        <v>Blue Horizon Commercial</v>
      </c>
      <c r="W3109" s="1" t="str">
        <f t="shared" si="195"/>
        <v>2025-10</v>
      </c>
    </row>
    <row r="3110" spans="1:23">
      <c r="A3110" s="1" t="s">
        <v>5210</v>
      </c>
      <c r="B3110" s="1" t="s">
        <v>5211</v>
      </c>
      <c r="C3110" s="1" t="s">
        <v>60</v>
      </c>
      <c r="D3110" s="1" t="s">
        <v>26</v>
      </c>
      <c r="E3110" s="1" t="s">
        <v>185</v>
      </c>
      <c r="F3110">
        <v>1</v>
      </c>
      <c r="G3110" s="2">
        <v>46013</v>
      </c>
      <c r="H3110" s="2">
        <v>46017</v>
      </c>
      <c r="I3110">
        <v>1167.1600000000001</v>
      </c>
      <c r="J3110">
        <v>539.64</v>
      </c>
      <c r="K3110">
        <v>539.64</v>
      </c>
      <c r="L3110">
        <v>0</v>
      </c>
      <c r="M3110" s="1" t="s">
        <v>21</v>
      </c>
      <c r="N3110" s="1" t="s">
        <v>22</v>
      </c>
      <c r="O3110" s="2">
        <v>46044</v>
      </c>
      <c r="P3110" s="2">
        <v>46044</v>
      </c>
      <c r="Q3110">
        <f>_xlfn.XLOOKUP(E3110,CPT!$A$2:$A$13,CPT!$D$2:$D$13)</f>
        <v>1150</v>
      </c>
      <c r="R3110" s="1">
        <f>_xlfn.XLOOKUP(C3110,Contract!$A$2:$A$9,Contract!$B$2:$B$9)</f>
        <v>0.45</v>
      </c>
      <c r="S3110" s="1">
        <f t="shared" si="192"/>
        <v>517.5</v>
      </c>
      <c r="T3110" s="1">
        <f t="shared" si="193"/>
        <v>-22.139999999999986</v>
      </c>
      <c r="U3110" s="1" t="str">
        <f t="shared" si="194"/>
        <v>OK</v>
      </c>
      <c r="V3110" s="1" t="str">
        <f>_xlfn.XLOOKUP(C3110,Payers!$A$2:$A$9,Payers!$B$2:$B$9)</f>
        <v>Blue Horizon Commercial</v>
      </c>
      <c r="W3110" s="1" t="str">
        <f t="shared" si="195"/>
        <v>2025-12</v>
      </c>
    </row>
    <row r="3111" spans="1:23">
      <c r="A3111" s="1" t="s">
        <v>5212</v>
      </c>
      <c r="B3111" s="1" t="s">
        <v>713</v>
      </c>
      <c r="C3111" s="1" t="s">
        <v>60</v>
      </c>
      <c r="D3111" s="1" t="s">
        <v>26</v>
      </c>
      <c r="E3111" s="1" t="s">
        <v>41</v>
      </c>
      <c r="F3111">
        <v>1</v>
      </c>
      <c r="G3111" s="2">
        <v>46157</v>
      </c>
      <c r="H3111" s="2">
        <v>46160</v>
      </c>
      <c r="I3111">
        <v>37.770000000000003</v>
      </c>
      <c r="J3111">
        <v>16.79</v>
      </c>
      <c r="K3111">
        <v>16.79</v>
      </c>
      <c r="L3111">
        <v>0</v>
      </c>
      <c r="M3111" s="1" t="s">
        <v>21</v>
      </c>
      <c r="N3111" s="1" t="s">
        <v>22</v>
      </c>
      <c r="O3111" s="2">
        <v>46192</v>
      </c>
      <c r="P3111" s="2">
        <v>46192</v>
      </c>
      <c r="Q3111">
        <f>_xlfn.XLOOKUP(E3111,CPT!$A$2:$A$13,CPT!$D$2:$D$13)</f>
        <v>38</v>
      </c>
      <c r="R3111" s="1">
        <f>_xlfn.XLOOKUP(C3111,Contract!$A$2:$A$9,Contract!$B$2:$B$9)</f>
        <v>0.45</v>
      </c>
      <c r="S3111" s="1">
        <f t="shared" si="192"/>
        <v>17.100000000000001</v>
      </c>
      <c r="T3111" s="1">
        <f t="shared" si="193"/>
        <v>0.31000000000000227</v>
      </c>
      <c r="U3111" s="1" t="str">
        <f t="shared" si="194"/>
        <v>OK</v>
      </c>
      <c r="V3111" s="1" t="str">
        <f>_xlfn.XLOOKUP(C3111,Payers!$A$2:$A$9,Payers!$B$2:$B$9)</f>
        <v>Blue Horizon Commercial</v>
      </c>
      <c r="W3111" s="1" t="str">
        <f t="shared" si="195"/>
        <v>2026-05</v>
      </c>
    </row>
    <row r="3112" spans="1:23">
      <c r="A3112" s="1" t="s">
        <v>5213</v>
      </c>
      <c r="B3112" s="1" t="s">
        <v>1672</v>
      </c>
      <c r="C3112" s="1" t="s">
        <v>47</v>
      </c>
      <c r="D3112" s="1" t="s">
        <v>19</v>
      </c>
      <c r="E3112" s="1" t="s">
        <v>41</v>
      </c>
      <c r="F3112">
        <v>1</v>
      </c>
      <c r="G3112" s="2">
        <v>46094</v>
      </c>
      <c r="H3112" s="2">
        <v>46095</v>
      </c>
      <c r="I3112">
        <v>38.380000000000003</v>
      </c>
      <c r="J3112">
        <v>9.77</v>
      </c>
      <c r="K3112">
        <v>9.77</v>
      </c>
      <c r="L3112">
        <v>0</v>
      </c>
      <c r="M3112" s="1" t="s">
        <v>21</v>
      </c>
      <c r="N3112" s="1" t="s">
        <v>22</v>
      </c>
      <c r="O3112" s="2">
        <v>46138</v>
      </c>
      <c r="P3112" s="2">
        <v>46138</v>
      </c>
      <c r="Q3112">
        <f>_xlfn.XLOOKUP(E3112,CPT!$A$2:$A$13,CPT!$D$2:$D$13)</f>
        <v>38</v>
      </c>
      <c r="R3112" s="1">
        <f>_xlfn.XLOOKUP(C3112,Contract!$A$2:$A$9,Contract!$B$2:$B$9)</f>
        <v>0.28000000000000003</v>
      </c>
      <c r="S3112" s="1">
        <f t="shared" si="192"/>
        <v>10.64</v>
      </c>
      <c r="T3112" s="1">
        <f t="shared" si="193"/>
        <v>0.87000000000000099</v>
      </c>
      <c r="U3112" s="1" t="str">
        <f t="shared" si="194"/>
        <v>Underpaid</v>
      </c>
      <c r="V3112" s="1" t="str">
        <f>_xlfn.XLOOKUP(C3112,Payers!$A$2:$A$9,Payers!$B$2:$B$9)</f>
        <v>Coastal Medicaid MCO</v>
      </c>
      <c r="W3112" s="1" t="str">
        <f t="shared" si="195"/>
        <v>2026-03</v>
      </c>
    </row>
    <row r="3113" spans="1:23">
      <c r="A3113" s="1" t="s">
        <v>5214</v>
      </c>
      <c r="B3113" s="1" t="s">
        <v>5215</v>
      </c>
      <c r="C3113" s="1" t="s">
        <v>47</v>
      </c>
      <c r="D3113" s="1" t="s">
        <v>26</v>
      </c>
      <c r="E3113" s="1" t="s">
        <v>88</v>
      </c>
      <c r="F3113">
        <v>1</v>
      </c>
      <c r="G3113" s="2">
        <v>46271</v>
      </c>
      <c r="H3113" s="2">
        <v>46276</v>
      </c>
      <c r="I3113">
        <v>258.8</v>
      </c>
      <c r="M3113" s="1" t="s">
        <v>69</v>
      </c>
      <c r="N3113" s="1" t="s">
        <v>22</v>
      </c>
      <c r="O3113" s="2"/>
      <c r="P3113" s="2"/>
      <c r="Q3113">
        <f>_xlfn.XLOOKUP(E3113,CPT!$A$2:$A$13,CPT!$D$2:$D$13)</f>
        <v>260</v>
      </c>
      <c r="R3113" s="1">
        <f>_xlfn.XLOOKUP(C3113,Contract!$A$2:$A$9,Contract!$B$2:$B$9)</f>
        <v>0.28000000000000003</v>
      </c>
      <c r="S3113" s="1">
        <f t="shared" si="192"/>
        <v>72.8</v>
      </c>
      <c r="T3113" s="1" t="str">
        <f t="shared" si="193"/>
        <v/>
      </c>
      <c r="U3113" s="1" t="str">
        <f t="shared" si="194"/>
        <v/>
      </c>
      <c r="V3113" s="1" t="str">
        <f>_xlfn.XLOOKUP(C3113,Payers!$A$2:$A$9,Payers!$B$2:$B$9)</f>
        <v>Coastal Medicaid MCO</v>
      </c>
      <c r="W3113" s="1" t="str">
        <f t="shared" si="195"/>
        <v>2026-09</v>
      </c>
    </row>
    <row r="3114" spans="1:23">
      <c r="A3114" s="1" t="s">
        <v>5216</v>
      </c>
      <c r="B3114" s="1" t="s">
        <v>1936</v>
      </c>
      <c r="C3114" s="1" t="s">
        <v>47</v>
      </c>
      <c r="D3114" s="1" t="s">
        <v>30</v>
      </c>
      <c r="E3114" s="1" t="s">
        <v>91</v>
      </c>
      <c r="F3114">
        <v>2</v>
      </c>
      <c r="G3114" s="2">
        <v>46076</v>
      </c>
      <c r="H3114" s="2">
        <v>46079</v>
      </c>
      <c r="I3114">
        <v>115.09</v>
      </c>
      <c r="J3114">
        <v>30.2</v>
      </c>
      <c r="K3114">
        <v>27.18</v>
      </c>
      <c r="L3114">
        <v>3.02</v>
      </c>
      <c r="M3114" s="1" t="s">
        <v>21</v>
      </c>
      <c r="N3114" s="1" t="s">
        <v>22</v>
      </c>
      <c r="O3114" s="2">
        <v>46135</v>
      </c>
      <c r="P3114" s="2">
        <v>46135</v>
      </c>
      <c r="Q3114">
        <f>_xlfn.XLOOKUP(E3114,CPT!$A$2:$A$13,CPT!$D$2:$D$13)</f>
        <v>58</v>
      </c>
      <c r="R3114" s="1">
        <f>_xlfn.XLOOKUP(C3114,Contract!$A$2:$A$9,Contract!$B$2:$B$9)</f>
        <v>0.28000000000000003</v>
      </c>
      <c r="S3114" s="1">
        <f t="shared" si="192"/>
        <v>32.479999999999997</v>
      </c>
      <c r="T3114" s="1">
        <f t="shared" si="193"/>
        <v>2.2799999999999976</v>
      </c>
      <c r="U3114" s="1" t="str">
        <f t="shared" si="194"/>
        <v>Underpaid</v>
      </c>
      <c r="V3114" s="1" t="str">
        <f>_xlfn.XLOOKUP(C3114,Payers!$A$2:$A$9,Payers!$B$2:$B$9)</f>
        <v>Coastal Medicaid MCO</v>
      </c>
      <c r="W3114" s="1" t="str">
        <f t="shared" si="195"/>
        <v>2026-02</v>
      </c>
    </row>
    <row r="3115" spans="1:23">
      <c r="A3115" s="1" t="s">
        <v>5217</v>
      </c>
      <c r="B3115" s="1" t="s">
        <v>2563</v>
      </c>
      <c r="C3115" s="1" t="s">
        <v>60</v>
      </c>
      <c r="D3115" s="1" t="s">
        <v>30</v>
      </c>
      <c r="E3115" s="1" t="s">
        <v>20</v>
      </c>
      <c r="F3115">
        <v>1</v>
      </c>
      <c r="G3115" s="2">
        <v>46025</v>
      </c>
      <c r="H3115" s="2">
        <v>46032</v>
      </c>
      <c r="I3115">
        <v>146.84</v>
      </c>
      <c r="J3115">
        <v>71.44</v>
      </c>
      <c r="K3115">
        <v>57.15</v>
      </c>
      <c r="L3115">
        <v>14.29</v>
      </c>
      <c r="M3115" s="1" t="s">
        <v>21</v>
      </c>
      <c r="N3115" s="1" t="s">
        <v>22</v>
      </c>
      <c r="O3115" s="2">
        <v>46060</v>
      </c>
      <c r="P3115" s="2">
        <v>46060</v>
      </c>
      <c r="Q3115">
        <f>_xlfn.XLOOKUP(E3115,CPT!$A$2:$A$13,CPT!$D$2:$D$13)</f>
        <v>145</v>
      </c>
      <c r="R3115" s="1">
        <f>_xlfn.XLOOKUP(C3115,Contract!$A$2:$A$9,Contract!$B$2:$B$9)</f>
        <v>0.45</v>
      </c>
      <c r="S3115" s="1">
        <f t="shared" si="192"/>
        <v>65.25</v>
      </c>
      <c r="T3115" s="1">
        <f t="shared" si="193"/>
        <v>-6.1899999999999977</v>
      </c>
      <c r="U3115" s="1" t="str">
        <f t="shared" si="194"/>
        <v>OK</v>
      </c>
      <c r="V3115" s="1" t="str">
        <f>_xlfn.XLOOKUP(C3115,Payers!$A$2:$A$9,Payers!$B$2:$B$9)</f>
        <v>Blue Horizon Commercial</v>
      </c>
      <c r="W3115" s="1" t="str">
        <f t="shared" si="195"/>
        <v>2026-01</v>
      </c>
    </row>
    <row r="3116" spans="1:23">
      <c r="A3116" s="1" t="s">
        <v>5218</v>
      </c>
      <c r="B3116" s="1" t="s">
        <v>1161</v>
      </c>
      <c r="C3116" s="1" t="s">
        <v>18</v>
      </c>
      <c r="D3116" s="1" t="s">
        <v>26</v>
      </c>
      <c r="E3116" s="1" t="s">
        <v>44</v>
      </c>
      <c r="F3116">
        <v>1</v>
      </c>
      <c r="G3116" s="2">
        <v>46102</v>
      </c>
      <c r="H3116" s="2">
        <v>46105</v>
      </c>
      <c r="I3116">
        <v>4741.45</v>
      </c>
      <c r="M3116" s="1" t="s">
        <v>32</v>
      </c>
      <c r="N3116" s="1" t="s">
        <v>315</v>
      </c>
      <c r="O3116" s="2">
        <v>46168</v>
      </c>
      <c r="P3116" s="2"/>
      <c r="Q3116">
        <f>_xlfn.XLOOKUP(E3116,CPT!$A$2:$A$13,CPT!$D$2:$D$13)</f>
        <v>4800</v>
      </c>
      <c r="R3116" s="1">
        <f>_xlfn.XLOOKUP(C3116,Contract!$A$2:$A$9,Contract!$B$2:$B$9)</f>
        <v>0.38</v>
      </c>
      <c r="S3116" s="1">
        <f t="shared" si="192"/>
        <v>1824</v>
      </c>
      <c r="T3116" s="1" t="str">
        <f t="shared" si="193"/>
        <v/>
      </c>
      <c r="U3116" s="1" t="str">
        <f t="shared" si="194"/>
        <v/>
      </c>
      <c r="V3116" s="1" t="str">
        <f>_xlfn.XLOOKUP(C3116,Payers!$A$2:$A$9,Payers!$B$2:$B$9)</f>
        <v>Sunshine Medicare Advantage</v>
      </c>
      <c r="W3116" s="1" t="str">
        <f t="shared" si="195"/>
        <v>2026-03</v>
      </c>
    </row>
    <row r="3117" spans="1:23">
      <c r="A3117" s="1" t="s">
        <v>5219</v>
      </c>
      <c r="B3117" s="1" t="s">
        <v>2196</v>
      </c>
      <c r="C3117" s="1" t="s">
        <v>25</v>
      </c>
      <c r="D3117" s="1" t="s">
        <v>30</v>
      </c>
      <c r="E3117" s="1" t="s">
        <v>91</v>
      </c>
      <c r="F3117">
        <v>1</v>
      </c>
      <c r="G3117" s="2">
        <v>46128</v>
      </c>
      <c r="H3117" s="2">
        <v>46132</v>
      </c>
      <c r="I3117">
        <v>58.71</v>
      </c>
      <c r="J3117">
        <v>23.04</v>
      </c>
      <c r="K3117">
        <v>23.04</v>
      </c>
      <c r="L3117">
        <v>0</v>
      </c>
      <c r="M3117" s="1" t="s">
        <v>21</v>
      </c>
      <c r="N3117" s="1" t="s">
        <v>22</v>
      </c>
      <c r="O3117" s="2">
        <v>46163</v>
      </c>
      <c r="P3117" s="2">
        <v>46163</v>
      </c>
      <c r="Q3117">
        <f>_xlfn.XLOOKUP(E3117,CPT!$A$2:$A$13,CPT!$D$2:$D$13)</f>
        <v>58</v>
      </c>
      <c r="R3117" s="1">
        <f>_xlfn.XLOOKUP(C3117,Contract!$A$2:$A$9,Contract!$B$2:$B$9)</f>
        <v>0.36</v>
      </c>
      <c r="S3117" s="1">
        <f t="shared" si="192"/>
        <v>20.88</v>
      </c>
      <c r="T3117" s="1">
        <f t="shared" si="193"/>
        <v>-2.16</v>
      </c>
      <c r="U3117" s="1" t="str">
        <f t="shared" si="194"/>
        <v>OK</v>
      </c>
      <c r="V3117" s="1" t="str">
        <f>_xlfn.XLOOKUP(C3117,Payers!$A$2:$A$9,Payers!$B$2:$B$9)</f>
        <v>Medicare Part B</v>
      </c>
      <c r="W3117" s="1" t="str">
        <f t="shared" si="195"/>
        <v>2026-04</v>
      </c>
    </row>
    <row r="3118" spans="1:23">
      <c r="A3118" s="1" t="s">
        <v>5220</v>
      </c>
      <c r="B3118" s="1" t="s">
        <v>5221</v>
      </c>
      <c r="C3118" s="1" t="s">
        <v>47</v>
      </c>
      <c r="D3118" s="1" t="s">
        <v>37</v>
      </c>
      <c r="E3118" s="1" t="s">
        <v>57</v>
      </c>
      <c r="F3118">
        <v>1</v>
      </c>
      <c r="G3118" s="2">
        <v>46048</v>
      </c>
      <c r="H3118" s="2">
        <v>46051</v>
      </c>
      <c r="I3118">
        <v>212.59</v>
      </c>
      <c r="M3118" s="1" t="s">
        <v>32</v>
      </c>
      <c r="N3118" s="1" t="s">
        <v>33</v>
      </c>
      <c r="O3118" s="2">
        <v>46110</v>
      </c>
      <c r="P3118" s="2"/>
      <c r="Q3118">
        <f>_xlfn.XLOOKUP(E3118,CPT!$A$2:$A$13,CPT!$D$2:$D$13)</f>
        <v>210</v>
      </c>
      <c r="R3118" s="1">
        <f>_xlfn.XLOOKUP(C3118,Contract!$A$2:$A$9,Contract!$B$2:$B$9)</f>
        <v>0.28000000000000003</v>
      </c>
      <c r="S3118" s="1">
        <f t="shared" si="192"/>
        <v>58.8</v>
      </c>
      <c r="T3118" s="1" t="str">
        <f t="shared" si="193"/>
        <v/>
      </c>
      <c r="U3118" s="1" t="str">
        <f t="shared" si="194"/>
        <v/>
      </c>
      <c r="V3118" s="1" t="str">
        <f>_xlfn.XLOOKUP(C3118,Payers!$A$2:$A$9,Payers!$B$2:$B$9)</f>
        <v>Coastal Medicaid MCO</v>
      </c>
      <c r="W3118" s="1" t="str">
        <f t="shared" si="195"/>
        <v>2026-01</v>
      </c>
    </row>
    <row r="3119" spans="1:23">
      <c r="A3119" s="1" t="s">
        <v>5222</v>
      </c>
      <c r="B3119" s="1" t="s">
        <v>991</v>
      </c>
      <c r="C3119" s="1" t="s">
        <v>18</v>
      </c>
      <c r="D3119" s="1" t="s">
        <v>26</v>
      </c>
      <c r="E3119" s="1" t="s">
        <v>88</v>
      </c>
      <c r="F3119">
        <v>1</v>
      </c>
      <c r="G3119" s="2">
        <v>46104</v>
      </c>
      <c r="H3119" s="2">
        <v>46114</v>
      </c>
      <c r="I3119">
        <v>257.70999999999998</v>
      </c>
      <c r="J3119">
        <v>108.98</v>
      </c>
      <c r="K3119">
        <v>108.98</v>
      </c>
      <c r="L3119">
        <v>0</v>
      </c>
      <c r="M3119" s="1" t="s">
        <v>21</v>
      </c>
      <c r="N3119" s="1" t="s">
        <v>22</v>
      </c>
      <c r="O3119" s="2">
        <v>46147</v>
      </c>
      <c r="P3119" s="2">
        <v>46147</v>
      </c>
      <c r="Q3119">
        <f>_xlfn.XLOOKUP(E3119,CPT!$A$2:$A$13,CPT!$D$2:$D$13)</f>
        <v>260</v>
      </c>
      <c r="R3119" s="1">
        <f>_xlfn.XLOOKUP(C3119,Contract!$A$2:$A$9,Contract!$B$2:$B$9)</f>
        <v>0.38</v>
      </c>
      <c r="S3119" s="1">
        <f t="shared" si="192"/>
        <v>98.8</v>
      </c>
      <c r="T3119" s="1">
        <f t="shared" si="193"/>
        <v>-10.180000000000007</v>
      </c>
      <c r="U3119" s="1" t="str">
        <f t="shared" si="194"/>
        <v>OK</v>
      </c>
      <c r="V3119" s="1" t="str">
        <f>_xlfn.XLOOKUP(C3119,Payers!$A$2:$A$9,Payers!$B$2:$B$9)</f>
        <v>Sunshine Medicare Advantage</v>
      </c>
      <c r="W3119" s="1" t="str">
        <f t="shared" si="195"/>
        <v>2026-03</v>
      </c>
    </row>
    <row r="3120" spans="1:23">
      <c r="A3120" s="1" t="s">
        <v>5223</v>
      </c>
      <c r="B3120" s="1" t="s">
        <v>5224</v>
      </c>
      <c r="C3120" s="1" t="s">
        <v>52</v>
      </c>
      <c r="D3120" s="1" t="s">
        <v>37</v>
      </c>
      <c r="E3120" s="1" t="s">
        <v>38</v>
      </c>
      <c r="F3120">
        <v>5</v>
      </c>
      <c r="G3120" s="2">
        <v>46142</v>
      </c>
      <c r="H3120" s="2">
        <v>46144</v>
      </c>
      <c r="I3120">
        <v>7151.26</v>
      </c>
      <c r="J3120">
        <v>3175.96</v>
      </c>
      <c r="K3120">
        <v>2540.77</v>
      </c>
      <c r="L3120">
        <v>635.19000000000005</v>
      </c>
      <c r="M3120" s="1" t="s">
        <v>21</v>
      </c>
      <c r="N3120" s="1" t="s">
        <v>22</v>
      </c>
      <c r="O3120" s="2">
        <v>46206</v>
      </c>
      <c r="P3120" s="2">
        <v>46206</v>
      </c>
      <c r="Q3120">
        <f>_xlfn.XLOOKUP(E3120,CPT!$A$2:$A$13,CPT!$D$2:$D$13)</f>
        <v>1450</v>
      </c>
      <c r="R3120" s="1">
        <f>_xlfn.XLOOKUP(C3120,Contract!$A$2:$A$9,Contract!$B$2:$B$9)</f>
        <v>0.47</v>
      </c>
      <c r="S3120" s="1">
        <f t="shared" si="192"/>
        <v>3407.5</v>
      </c>
      <c r="T3120" s="1">
        <f t="shared" si="193"/>
        <v>231.53999999999996</v>
      </c>
      <c r="U3120" s="1" t="str">
        <f t="shared" si="194"/>
        <v>Underpaid</v>
      </c>
      <c r="V3120" s="1" t="str">
        <f>_xlfn.XLOOKUP(C3120,Payers!$A$2:$A$9,Payers!$B$2:$B$9)</f>
        <v>Keystone Commercial PPO</v>
      </c>
      <c r="W3120" s="1" t="str">
        <f t="shared" si="195"/>
        <v>2026-04</v>
      </c>
    </row>
    <row r="3121" spans="1:23">
      <c r="A3121" s="1" t="s">
        <v>5225</v>
      </c>
      <c r="B3121" s="1" t="s">
        <v>5226</v>
      </c>
      <c r="C3121" s="1" t="s">
        <v>36</v>
      </c>
      <c r="D3121" s="1" t="s">
        <v>19</v>
      </c>
      <c r="E3121" s="1" t="s">
        <v>57</v>
      </c>
      <c r="F3121">
        <v>1</v>
      </c>
      <c r="G3121" s="2">
        <v>46010</v>
      </c>
      <c r="H3121" s="2">
        <v>46014</v>
      </c>
      <c r="I3121">
        <v>205.95</v>
      </c>
      <c r="M3121" s="1" t="s">
        <v>32</v>
      </c>
      <c r="N3121" s="1" t="s">
        <v>98</v>
      </c>
      <c r="O3121" s="2">
        <v>46059</v>
      </c>
      <c r="P3121" s="2"/>
      <c r="Q3121">
        <f>_xlfn.XLOOKUP(E3121,CPT!$A$2:$A$13,CPT!$D$2:$D$13)</f>
        <v>210</v>
      </c>
      <c r="R3121" s="1">
        <f>_xlfn.XLOOKUP(C3121,Contract!$A$2:$A$9,Contract!$B$2:$B$9)</f>
        <v>0.27</v>
      </c>
      <c r="S3121" s="1">
        <f t="shared" si="192"/>
        <v>56.7</v>
      </c>
      <c r="T3121" s="1" t="str">
        <f t="shared" si="193"/>
        <v/>
      </c>
      <c r="U3121" s="1" t="str">
        <f t="shared" si="194"/>
        <v/>
      </c>
      <c r="V3121" s="1" t="str">
        <f>_xlfn.XLOOKUP(C3121,Payers!$A$2:$A$9,Payers!$B$2:$B$9)</f>
        <v>Florida Medicaid</v>
      </c>
      <c r="W3121" s="1" t="str">
        <f t="shared" si="195"/>
        <v>2025-12</v>
      </c>
    </row>
    <row r="3122" spans="1:23">
      <c r="A3122" s="1" t="s">
        <v>5227</v>
      </c>
      <c r="B3122" s="1" t="s">
        <v>5228</v>
      </c>
      <c r="C3122" s="1" t="s">
        <v>60</v>
      </c>
      <c r="D3122" s="1" t="s">
        <v>26</v>
      </c>
      <c r="E3122" s="1" t="s">
        <v>41</v>
      </c>
      <c r="F3122">
        <v>1</v>
      </c>
      <c r="G3122" s="2">
        <v>46009</v>
      </c>
      <c r="H3122" s="2">
        <v>46014</v>
      </c>
      <c r="I3122">
        <v>37.24</v>
      </c>
      <c r="M3122" s="1" t="s">
        <v>32</v>
      </c>
      <c r="N3122" s="1" t="s">
        <v>168</v>
      </c>
      <c r="O3122" s="2">
        <v>46048</v>
      </c>
      <c r="P3122" s="2"/>
      <c r="Q3122">
        <f>_xlfn.XLOOKUP(E3122,CPT!$A$2:$A$13,CPT!$D$2:$D$13)</f>
        <v>38</v>
      </c>
      <c r="R3122" s="1">
        <f>_xlfn.XLOOKUP(C3122,Contract!$A$2:$A$9,Contract!$B$2:$B$9)</f>
        <v>0.45</v>
      </c>
      <c r="S3122" s="1">
        <f t="shared" si="192"/>
        <v>17.100000000000001</v>
      </c>
      <c r="T3122" s="1" t="str">
        <f t="shared" si="193"/>
        <v/>
      </c>
      <c r="U3122" s="1" t="str">
        <f t="shared" si="194"/>
        <v/>
      </c>
      <c r="V3122" s="1" t="str">
        <f>_xlfn.XLOOKUP(C3122,Payers!$A$2:$A$9,Payers!$B$2:$B$9)</f>
        <v>Blue Horizon Commercial</v>
      </c>
      <c r="W3122" s="1" t="str">
        <f t="shared" si="195"/>
        <v>2025-12</v>
      </c>
    </row>
    <row r="3123" spans="1:23">
      <c r="A3123" s="1" t="s">
        <v>5229</v>
      </c>
      <c r="B3123" s="1" t="s">
        <v>1769</v>
      </c>
      <c r="C3123" s="1" t="s">
        <v>52</v>
      </c>
      <c r="D3123" s="1" t="s">
        <v>19</v>
      </c>
      <c r="E3123" s="1" t="s">
        <v>20</v>
      </c>
      <c r="F3123">
        <v>1</v>
      </c>
      <c r="G3123" s="2">
        <v>46152</v>
      </c>
      <c r="H3123" s="2">
        <v>46157</v>
      </c>
      <c r="I3123">
        <v>146.54</v>
      </c>
      <c r="J3123">
        <v>62.74</v>
      </c>
      <c r="K3123">
        <v>62.74</v>
      </c>
      <c r="L3123">
        <v>0</v>
      </c>
      <c r="M3123" s="1" t="s">
        <v>21</v>
      </c>
      <c r="N3123" s="1" t="s">
        <v>22</v>
      </c>
      <c r="O3123" s="2">
        <v>46198</v>
      </c>
      <c r="P3123" s="2">
        <v>46198</v>
      </c>
      <c r="Q3123">
        <f>_xlfn.XLOOKUP(E3123,CPT!$A$2:$A$13,CPT!$D$2:$D$13)</f>
        <v>145</v>
      </c>
      <c r="R3123" s="1">
        <f>_xlfn.XLOOKUP(C3123,Contract!$A$2:$A$9,Contract!$B$2:$B$9)</f>
        <v>0.47</v>
      </c>
      <c r="S3123" s="1">
        <f t="shared" si="192"/>
        <v>68.150000000000006</v>
      </c>
      <c r="T3123" s="1">
        <f t="shared" si="193"/>
        <v>5.4100000000000037</v>
      </c>
      <c r="U3123" s="1" t="str">
        <f t="shared" si="194"/>
        <v>Underpaid</v>
      </c>
      <c r="V3123" s="1" t="str">
        <f>_xlfn.XLOOKUP(C3123,Payers!$A$2:$A$9,Payers!$B$2:$B$9)</f>
        <v>Keystone Commercial PPO</v>
      </c>
      <c r="W3123" s="1" t="str">
        <f t="shared" si="195"/>
        <v>2026-05</v>
      </c>
    </row>
    <row r="3124" spans="1:23">
      <c r="A3124" s="1" t="s">
        <v>5230</v>
      </c>
      <c r="B3124" s="1" t="s">
        <v>5231</v>
      </c>
      <c r="C3124" s="1" t="s">
        <v>25</v>
      </c>
      <c r="D3124" s="1" t="s">
        <v>19</v>
      </c>
      <c r="E3124" s="1" t="s">
        <v>57</v>
      </c>
      <c r="F3124">
        <v>1</v>
      </c>
      <c r="G3124" s="2">
        <v>46267</v>
      </c>
      <c r="H3124" s="2">
        <v>46270</v>
      </c>
      <c r="I3124">
        <v>207.41</v>
      </c>
      <c r="M3124" s="1" t="s">
        <v>69</v>
      </c>
      <c r="N3124" s="1" t="s">
        <v>22</v>
      </c>
      <c r="O3124" s="2"/>
      <c r="P3124" s="2"/>
      <c r="Q3124">
        <f>_xlfn.XLOOKUP(E3124,CPT!$A$2:$A$13,CPT!$D$2:$D$13)</f>
        <v>210</v>
      </c>
      <c r="R3124" s="1">
        <f>_xlfn.XLOOKUP(C3124,Contract!$A$2:$A$9,Contract!$B$2:$B$9)</f>
        <v>0.36</v>
      </c>
      <c r="S3124" s="1">
        <f t="shared" si="192"/>
        <v>75.599999999999994</v>
      </c>
      <c r="T3124" s="1" t="str">
        <f t="shared" si="193"/>
        <v/>
      </c>
      <c r="U3124" s="1" t="str">
        <f t="shared" si="194"/>
        <v/>
      </c>
      <c r="V3124" s="1" t="str">
        <f>_xlfn.XLOOKUP(C3124,Payers!$A$2:$A$9,Payers!$B$2:$B$9)</f>
        <v>Medicare Part B</v>
      </c>
      <c r="W3124" s="1" t="str">
        <f t="shared" si="195"/>
        <v>2026-09</v>
      </c>
    </row>
    <row r="3125" spans="1:23">
      <c r="A3125" s="1" t="s">
        <v>5232</v>
      </c>
      <c r="B3125" s="1" t="s">
        <v>343</v>
      </c>
      <c r="C3125" s="1" t="s">
        <v>76</v>
      </c>
      <c r="D3125" s="1" t="s">
        <v>26</v>
      </c>
      <c r="E3125" s="1" t="s">
        <v>185</v>
      </c>
      <c r="F3125">
        <v>1</v>
      </c>
      <c r="G3125" s="2">
        <v>46131</v>
      </c>
      <c r="H3125" s="2">
        <v>46133</v>
      </c>
      <c r="I3125">
        <v>1141.53</v>
      </c>
      <c r="J3125">
        <v>477.59</v>
      </c>
      <c r="K3125">
        <v>477.59</v>
      </c>
      <c r="L3125">
        <v>0</v>
      </c>
      <c r="M3125" s="1" t="s">
        <v>21</v>
      </c>
      <c r="N3125" s="1" t="s">
        <v>22</v>
      </c>
      <c r="O3125" s="2">
        <v>46173</v>
      </c>
      <c r="P3125" s="2">
        <v>46173</v>
      </c>
      <c r="Q3125">
        <f>_xlfn.XLOOKUP(E3125,CPT!$A$2:$A$13,CPT!$D$2:$D$13)</f>
        <v>1150</v>
      </c>
      <c r="R3125" s="1">
        <f>_xlfn.XLOOKUP(C3125,Contract!$A$2:$A$9,Contract!$B$2:$B$9)</f>
        <v>0.43</v>
      </c>
      <c r="S3125" s="1">
        <f t="shared" si="192"/>
        <v>494.5</v>
      </c>
      <c r="T3125" s="1">
        <f t="shared" si="193"/>
        <v>16.910000000000025</v>
      </c>
      <c r="U3125" s="1" t="str">
        <f t="shared" si="194"/>
        <v>OK</v>
      </c>
      <c r="V3125" s="1" t="str">
        <f>_xlfn.XLOOKUP(C3125,Payers!$A$2:$A$9,Payers!$B$2:$B$9)</f>
        <v>Summit Health Commercial</v>
      </c>
      <c r="W3125" s="1" t="str">
        <f t="shared" si="195"/>
        <v>2026-04</v>
      </c>
    </row>
    <row r="3126" spans="1:23">
      <c r="A3126" s="1" t="s">
        <v>5233</v>
      </c>
      <c r="B3126" s="1" t="s">
        <v>2940</v>
      </c>
      <c r="C3126" s="1" t="s">
        <v>76</v>
      </c>
      <c r="D3126" s="1" t="s">
        <v>30</v>
      </c>
      <c r="E3126" s="1" t="s">
        <v>20</v>
      </c>
      <c r="F3126">
        <v>1</v>
      </c>
      <c r="G3126" s="2">
        <v>46196</v>
      </c>
      <c r="H3126" s="2">
        <v>46197</v>
      </c>
      <c r="I3126">
        <v>144.19999999999999</v>
      </c>
      <c r="J3126">
        <v>66.03</v>
      </c>
      <c r="K3126">
        <v>66.03</v>
      </c>
      <c r="L3126">
        <v>0</v>
      </c>
      <c r="M3126" s="1" t="s">
        <v>21</v>
      </c>
      <c r="N3126" s="1" t="s">
        <v>22</v>
      </c>
      <c r="O3126" s="2">
        <v>46220</v>
      </c>
      <c r="P3126" s="2">
        <v>46220</v>
      </c>
      <c r="Q3126">
        <f>_xlfn.XLOOKUP(E3126,CPT!$A$2:$A$13,CPT!$D$2:$D$13)</f>
        <v>145</v>
      </c>
      <c r="R3126" s="1">
        <f>_xlfn.XLOOKUP(C3126,Contract!$A$2:$A$9,Contract!$B$2:$B$9)</f>
        <v>0.43</v>
      </c>
      <c r="S3126" s="1">
        <f t="shared" si="192"/>
        <v>62.35</v>
      </c>
      <c r="T3126" s="1">
        <f t="shared" si="193"/>
        <v>-3.6799999999999997</v>
      </c>
      <c r="U3126" s="1" t="str">
        <f t="shared" si="194"/>
        <v>OK</v>
      </c>
      <c r="V3126" s="1" t="str">
        <f>_xlfn.XLOOKUP(C3126,Payers!$A$2:$A$9,Payers!$B$2:$B$9)</f>
        <v>Summit Health Commercial</v>
      </c>
      <c r="W3126" s="1" t="str">
        <f t="shared" si="195"/>
        <v>2026-06</v>
      </c>
    </row>
    <row r="3127" spans="1:23">
      <c r="A3127" s="1" t="s">
        <v>5234</v>
      </c>
      <c r="B3127" s="1" t="s">
        <v>2619</v>
      </c>
      <c r="C3127" s="1" t="s">
        <v>60</v>
      </c>
      <c r="D3127" s="1" t="s">
        <v>37</v>
      </c>
      <c r="E3127" s="1" t="s">
        <v>48</v>
      </c>
      <c r="F3127">
        <v>1</v>
      </c>
      <c r="G3127" s="2">
        <v>46175</v>
      </c>
      <c r="H3127" s="2">
        <v>46177</v>
      </c>
      <c r="I3127">
        <v>427.38</v>
      </c>
      <c r="J3127">
        <v>213.28</v>
      </c>
      <c r="K3127">
        <v>213.28</v>
      </c>
      <c r="L3127">
        <v>0</v>
      </c>
      <c r="M3127" s="1" t="s">
        <v>21</v>
      </c>
      <c r="N3127" s="1" t="s">
        <v>22</v>
      </c>
      <c r="O3127" s="2">
        <v>46203</v>
      </c>
      <c r="P3127" s="2">
        <v>46203</v>
      </c>
      <c r="Q3127">
        <f>_xlfn.XLOOKUP(E3127,CPT!$A$2:$A$13,CPT!$D$2:$D$13)</f>
        <v>420</v>
      </c>
      <c r="R3127" s="1">
        <f>_xlfn.XLOOKUP(C3127,Contract!$A$2:$A$9,Contract!$B$2:$B$9)</f>
        <v>0.45</v>
      </c>
      <c r="S3127" s="1">
        <f t="shared" si="192"/>
        <v>189</v>
      </c>
      <c r="T3127" s="1">
        <f t="shared" si="193"/>
        <v>-24.28</v>
      </c>
      <c r="U3127" s="1" t="str">
        <f t="shared" si="194"/>
        <v>OK</v>
      </c>
      <c r="V3127" s="1" t="str">
        <f>_xlfn.XLOOKUP(C3127,Payers!$A$2:$A$9,Payers!$B$2:$B$9)</f>
        <v>Blue Horizon Commercial</v>
      </c>
      <c r="W3127" s="1" t="str">
        <f t="shared" si="195"/>
        <v>2026-06</v>
      </c>
    </row>
    <row r="3128" spans="1:23">
      <c r="A3128" s="1" t="s">
        <v>5235</v>
      </c>
      <c r="B3128" s="1" t="s">
        <v>3403</v>
      </c>
      <c r="C3128" s="1" t="s">
        <v>76</v>
      </c>
      <c r="D3128" s="1" t="s">
        <v>30</v>
      </c>
      <c r="E3128" s="1" t="s">
        <v>31</v>
      </c>
      <c r="F3128">
        <v>2</v>
      </c>
      <c r="G3128" s="2">
        <v>46012</v>
      </c>
      <c r="H3128" s="2">
        <v>46024</v>
      </c>
      <c r="I3128">
        <v>122.1</v>
      </c>
      <c r="J3128">
        <v>59.05</v>
      </c>
      <c r="K3128">
        <v>59.05</v>
      </c>
      <c r="L3128">
        <v>0</v>
      </c>
      <c r="M3128" s="1" t="s">
        <v>21</v>
      </c>
      <c r="N3128" s="1" t="s">
        <v>22</v>
      </c>
      <c r="O3128" s="2">
        <v>46061</v>
      </c>
      <c r="P3128" s="2">
        <v>46061</v>
      </c>
      <c r="Q3128">
        <f>_xlfn.XLOOKUP(E3128,CPT!$A$2:$A$13,CPT!$D$2:$D$13)</f>
        <v>62</v>
      </c>
      <c r="R3128" s="1">
        <f>_xlfn.XLOOKUP(C3128,Contract!$A$2:$A$9,Contract!$B$2:$B$9)</f>
        <v>0.43</v>
      </c>
      <c r="S3128" s="1">
        <f t="shared" si="192"/>
        <v>53.32</v>
      </c>
      <c r="T3128" s="1">
        <f t="shared" si="193"/>
        <v>-5.7299999999999969</v>
      </c>
      <c r="U3128" s="1" t="str">
        <f t="shared" si="194"/>
        <v>OK</v>
      </c>
      <c r="V3128" s="1" t="str">
        <f>_xlfn.XLOOKUP(C3128,Payers!$A$2:$A$9,Payers!$B$2:$B$9)</f>
        <v>Summit Health Commercial</v>
      </c>
      <c r="W3128" s="1" t="str">
        <f t="shared" si="195"/>
        <v>2025-12</v>
      </c>
    </row>
    <row r="3129" spans="1:23">
      <c r="A3129" s="1" t="s">
        <v>5236</v>
      </c>
      <c r="B3129" s="1" t="s">
        <v>4572</v>
      </c>
      <c r="C3129" s="1" t="s">
        <v>18</v>
      </c>
      <c r="D3129" s="1" t="s">
        <v>30</v>
      </c>
      <c r="E3129" s="1" t="s">
        <v>20</v>
      </c>
      <c r="F3129">
        <v>1</v>
      </c>
      <c r="G3129" s="2">
        <v>46170</v>
      </c>
      <c r="H3129" s="2">
        <v>46177</v>
      </c>
      <c r="I3129">
        <v>142.19</v>
      </c>
      <c r="J3129">
        <v>50.18</v>
      </c>
      <c r="K3129">
        <v>40.14</v>
      </c>
      <c r="L3129">
        <v>10.039999999999999</v>
      </c>
      <c r="M3129" s="1" t="s">
        <v>21</v>
      </c>
      <c r="N3129" s="1" t="s">
        <v>22</v>
      </c>
      <c r="O3129" s="2">
        <v>46209</v>
      </c>
      <c r="P3129" s="2">
        <v>46209</v>
      </c>
      <c r="Q3129">
        <f>_xlfn.XLOOKUP(E3129,CPT!$A$2:$A$13,CPT!$D$2:$D$13)</f>
        <v>145</v>
      </c>
      <c r="R3129" s="1">
        <f>_xlfn.XLOOKUP(C3129,Contract!$A$2:$A$9,Contract!$B$2:$B$9)</f>
        <v>0.38</v>
      </c>
      <c r="S3129" s="1">
        <f t="shared" si="192"/>
        <v>55.1</v>
      </c>
      <c r="T3129" s="1">
        <f t="shared" si="193"/>
        <v>4.9200000000000017</v>
      </c>
      <c r="U3129" s="1" t="str">
        <f t="shared" si="194"/>
        <v>Underpaid</v>
      </c>
      <c r="V3129" s="1" t="str">
        <f>_xlfn.XLOOKUP(C3129,Payers!$A$2:$A$9,Payers!$B$2:$B$9)</f>
        <v>Sunshine Medicare Advantage</v>
      </c>
      <c r="W3129" s="1" t="str">
        <f t="shared" si="195"/>
        <v>2026-05</v>
      </c>
    </row>
    <row r="3130" spans="1:23">
      <c r="A3130" s="1" t="s">
        <v>5237</v>
      </c>
      <c r="B3130" s="1" t="s">
        <v>4808</v>
      </c>
      <c r="C3130" s="1" t="s">
        <v>76</v>
      </c>
      <c r="D3130" s="1" t="s">
        <v>19</v>
      </c>
      <c r="E3130" s="1" t="s">
        <v>20</v>
      </c>
      <c r="F3130">
        <v>1</v>
      </c>
      <c r="G3130" s="2">
        <v>46083</v>
      </c>
      <c r="H3130" s="2">
        <v>46089</v>
      </c>
      <c r="I3130">
        <v>145.87</v>
      </c>
      <c r="M3130" s="1" t="s">
        <v>32</v>
      </c>
      <c r="N3130" s="1" t="s">
        <v>33</v>
      </c>
      <c r="O3130" s="2">
        <v>46115</v>
      </c>
      <c r="P3130" s="2"/>
      <c r="Q3130">
        <f>_xlfn.XLOOKUP(E3130,CPT!$A$2:$A$13,CPT!$D$2:$D$13)</f>
        <v>145</v>
      </c>
      <c r="R3130" s="1">
        <f>_xlfn.XLOOKUP(C3130,Contract!$A$2:$A$9,Contract!$B$2:$B$9)</f>
        <v>0.43</v>
      </c>
      <c r="S3130" s="1">
        <f t="shared" si="192"/>
        <v>62.35</v>
      </c>
      <c r="T3130" s="1" t="str">
        <f t="shared" si="193"/>
        <v/>
      </c>
      <c r="U3130" s="1" t="str">
        <f t="shared" si="194"/>
        <v/>
      </c>
      <c r="V3130" s="1" t="str">
        <f>_xlfn.XLOOKUP(C3130,Payers!$A$2:$A$9,Payers!$B$2:$B$9)</f>
        <v>Summit Health Commercial</v>
      </c>
      <c r="W3130" s="1" t="str">
        <f t="shared" si="195"/>
        <v>2026-03</v>
      </c>
    </row>
    <row r="3131" spans="1:23">
      <c r="A3131" s="1" t="s">
        <v>5238</v>
      </c>
      <c r="B3131" s="1" t="s">
        <v>5239</v>
      </c>
      <c r="C3131" s="1" t="s">
        <v>79</v>
      </c>
      <c r="D3131" s="1" t="s">
        <v>30</v>
      </c>
      <c r="E3131" s="1" t="s">
        <v>20</v>
      </c>
      <c r="F3131">
        <v>1</v>
      </c>
      <c r="G3131" s="2">
        <v>46070</v>
      </c>
      <c r="H3131" s="2">
        <v>46074</v>
      </c>
      <c r="I3131">
        <v>149.11000000000001</v>
      </c>
      <c r="J3131">
        <v>149.11000000000001</v>
      </c>
      <c r="K3131">
        <v>149.11000000000001</v>
      </c>
      <c r="L3131">
        <v>0</v>
      </c>
      <c r="M3131" s="1" t="s">
        <v>21</v>
      </c>
      <c r="N3131" s="1" t="s">
        <v>22</v>
      </c>
      <c r="O3131" s="2">
        <v>46147</v>
      </c>
      <c r="P3131" s="2">
        <v>46147</v>
      </c>
      <c r="Q3131">
        <f>_xlfn.XLOOKUP(E3131,CPT!$A$2:$A$13,CPT!$D$2:$D$13)</f>
        <v>145</v>
      </c>
      <c r="R3131" s="1">
        <f>_xlfn.XLOOKUP(C3131,Contract!$A$2:$A$9,Contract!$B$2:$B$9)</f>
        <v>1</v>
      </c>
      <c r="S3131" s="1">
        <f t="shared" si="192"/>
        <v>145</v>
      </c>
      <c r="T3131" s="1">
        <f t="shared" si="193"/>
        <v>-4.1100000000000136</v>
      </c>
      <c r="U3131" s="1" t="str">
        <f t="shared" si="194"/>
        <v>OK</v>
      </c>
      <c r="V3131" s="1" t="str">
        <f>_xlfn.XLOOKUP(C3131,Payers!$A$2:$A$9,Payers!$B$2:$B$9)</f>
        <v>Self-Pay</v>
      </c>
      <c r="W3131" s="1" t="str">
        <f t="shared" si="195"/>
        <v>2026-02</v>
      </c>
    </row>
    <row r="3132" spans="1:23">
      <c r="A3132" s="1" t="s">
        <v>5240</v>
      </c>
      <c r="B3132" s="1" t="s">
        <v>5241</v>
      </c>
      <c r="C3132" s="1" t="s">
        <v>18</v>
      </c>
      <c r="D3132" s="1" t="s">
        <v>30</v>
      </c>
      <c r="E3132" s="1" t="s">
        <v>20</v>
      </c>
      <c r="F3132">
        <v>1</v>
      </c>
      <c r="G3132" s="2">
        <v>46249</v>
      </c>
      <c r="H3132" s="2">
        <v>46252</v>
      </c>
      <c r="I3132">
        <v>143.78</v>
      </c>
      <c r="M3132" s="1" t="s">
        <v>69</v>
      </c>
      <c r="N3132" s="1" t="s">
        <v>22</v>
      </c>
      <c r="O3132" s="2"/>
      <c r="P3132" s="2"/>
      <c r="Q3132">
        <f>_xlfn.XLOOKUP(E3132,CPT!$A$2:$A$13,CPT!$D$2:$D$13)</f>
        <v>145</v>
      </c>
      <c r="R3132" s="1">
        <f>_xlfn.XLOOKUP(C3132,Contract!$A$2:$A$9,Contract!$B$2:$B$9)</f>
        <v>0.38</v>
      </c>
      <c r="S3132" s="1">
        <f t="shared" si="192"/>
        <v>55.1</v>
      </c>
      <c r="T3132" s="1" t="str">
        <f t="shared" si="193"/>
        <v/>
      </c>
      <c r="U3132" s="1" t="str">
        <f t="shared" si="194"/>
        <v/>
      </c>
      <c r="V3132" s="1" t="str">
        <f>_xlfn.XLOOKUP(C3132,Payers!$A$2:$A$9,Payers!$B$2:$B$9)</f>
        <v>Sunshine Medicare Advantage</v>
      </c>
      <c r="W3132" s="1" t="str">
        <f t="shared" si="195"/>
        <v>2026-08</v>
      </c>
    </row>
    <row r="3133" spans="1:23">
      <c r="A3133" s="1" t="s">
        <v>5242</v>
      </c>
      <c r="B3133" s="1" t="s">
        <v>5243</v>
      </c>
      <c r="C3133" s="1" t="s">
        <v>79</v>
      </c>
      <c r="D3133" s="1" t="s">
        <v>26</v>
      </c>
      <c r="E3133" s="1" t="s">
        <v>27</v>
      </c>
      <c r="F3133">
        <v>1</v>
      </c>
      <c r="G3133" s="2">
        <v>46047</v>
      </c>
      <c r="H3133" s="2">
        <v>46049</v>
      </c>
      <c r="I3133">
        <v>242.81</v>
      </c>
      <c r="M3133" s="1" t="s">
        <v>69</v>
      </c>
      <c r="N3133" s="1" t="s">
        <v>22</v>
      </c>
      <c r="O3133" s="2"/>
      <c r="P3133" s="2"/>
      <c r="Q3133">
        <f>_xlfn.XLOOKUP(E3133,CPT!$A$2:$A$13,CPT!$D$2:$D$13)</f>
        <v>240</v>
      </c>
      <c r="R3133" s="1">
        <f>_xlfn.XLOOKUP(C3133,Contract!$A$2:$A$9,Contract!$B$2:$B$9)</f>
        <v>1</v>
      </c>
      <c r="S3133" s="1">
        <f t="shared" si="192"/>
        <v>240</v>
      </c>
      <c r="T3133" s="1" t="str">
        <f t="shared" si="193"/>
        <v/>
      </c>
      <c r="U3133" s="1" t="str">
        <f t="shared" si="194"/>
        <v/>
      </c>
      <c r="V3133" s="1" t="str">
        <f>_xlfn.XLOOKUP(C3133,Payers!$A$2:$A$9,Payers!$B$2:$B$9)</f>
        <v>Self-Pay</v>
      </c>
      <c r="W3133" s="1" t="str">
        <f t="shared" si="195"/>
        <v>2026-01</v>
      </c>
    </row>
    <row r="3134" spans="1:23">
      <c r="A3134" s="1" t="s">
        <v>5244</v>
      </c>
      <c r="B3134" s="1" t="s">
        <v>275</v>
      </c>
      <c r="C3134" s="1" t="s">
        <v>18</v>
      </c>
      <c r="D3134" s="1" t="s">
        <v>26</v>
      </c>
      <c r="E3134" s="1" t="s">
        <v>27</v>
      </c>
      <c r="F3134">
        <v>1</v>
      </c>
      <c r="G3134" s="2">
        <v>46068</v>
      </c>
      <c r="H3134" s="2">
        <v>46072</v>
      </c>
      <c r="I3134">
        <v>239.55</v>
      </c>
      <c r="J3134">
        <v>95.77</v>
      </c>
      <c r="K3134">
        <v>76.62</v>
      </c>
      <c r="L3134">
        <v>19.149999999999999</v>
      </c>
      <c r="M3134" s="1" t="s">
        <v>21</v>
      </c>
      <c r="N3134" s="1" t="s">
        <v>22</v>
      </c>
      <c r="O3134" s="2">
        <v>46126</v>
      </c>
      <c r="P3134" s="2">
        <v>46126</v>
      </c>
      <c r="Q3134">
        <f>_xlfn.XLOOKUP(E3134,CPT!$A$2:$A$13,CPT!$D$2:$D$13)</f>
        <v>240</v>
      </c>
      <c r="R3134" s="1">
        <f>_xlfn.XLOOKUP(C3134,Contract!$A$2:$A$9,Contract!$B$2:$B$9)</f>
        <v>0.38</v>
      </c>
      <c r="S3134" s="1">
        <f t="shared" si="192"/>
        <v>91.2</v>
      </c>
      <c r="T3134" s="1">
        <f t="shared" si="193"/>
        <v>-4.5699999999999932</v>
      </c>
      <c r="U3134" s="1" t="str">
        <f t="shared" si="194"/>
        <v>OK</v>
      </c>
      <c r="V3134" s="1" t="str">
        <f>_xlfn.XLOOKUP(C3134,Payers!$A$2:$A$9,Payers!$B$2:$B$9)</f>
        <v>Sunshine Medicare Advantage</v>
      </c>
      <c r="W3134" s="1" t="str">
        <f t="shared" si="195"/>
        <v>2026-02</v>
      </c>
    </row>
    <row r="3135" spans="1:23">
      <c r="A3135" s="1" t="s">
        <v>5245</v>
      </c>
      <c r="B3135" s="1" t="s">
        <v>2834</v>
      </c>
      <c r="C3135" s="1" t="s">
        <v>25</v>
      </c>
      <c r="D3135" s="1" t="s">
        <v>30</v>
      </c>
      <c r="E3135" s="1" t="s">
        <v>31</v>
      </c>
      <c r="F3135">
        <v>3</v>
      </c>
      <c r="G3135" s="2">
        <v>46243</v>
      </c>
      <c r="H3135" s="2">
        <v>46244</v>
      </c>
      <c r="I3135">
        <v>189.43</v>
      </c>
      <c r="J3135">
        <v>77.33</v>
      </c>
      <c r="K3135">
        <v>77.33</v>
      </c>
      <c r="L3135">
        <v>0</v>
      </c>
      <c r="M3135" s="1" t="s">
        <v>21</v>
      </c>
      <c r="N3135" s="1" t="s">
        <v>22</v>
      </c>
      <c r="O3135" s="2">
        <v>46258</v>
      </c>
      <c r="P3135" s="2">
        <v>46258</v>
      </c>
      <c r="Q3135">
        <f>_xlfn.XLOOKUP(E3135,CPT!$A$2:$A$13,CPT!$D$2:$D$13)</f>
        <v>62</v>
      </c>
      <c r="R3135" s="1">
        <f>_xlfn.XLOOKUP(C3135,Contract!$A$2:$A$9,Contract!$B$2:$B$9)</f>
        <v>0.36</v>
      </c>
      <c r="S3135" s="1">
        <f t="shared" si="192"/>
        <v>66.959999999999994</v>
      </c>
      <c r="T3135" s="1">
        <f t="shared" si="193"/>
        <v>-10.370000000000005</v>
      </c>
      <c r="U3135" s="1" t="str">
        <f t="shared" si="194"/>
        <v>OK</v>
      </c>
      <c r="V3135" s="1" t="str">
        <f>_xlfn.XLOOKUP(C3135,Payers!$A$2:$A$9,Payers!$B$2:$B$9)</f>
        <v>Medicare Part B</v>
      </c>
      <c r="W3135" s="1" t="str">
        <f t="shared" si="195"/>
        <v>2026-08</v>
      </c>
    </row>
    <row r="3136" spans="1:23">
      <c r="A3136" s="1" t="s">
        <v>5246</v>
      </c>
      <c r="B3136" s="1" t="s">
        <v>902</v>
      </c>
      <c r="C3136" s="1" t="s">
        <v>52</v>
      </c>
      <c r="D3136" s="1" t="s">
        <v>19</v>
      </c>
      <c r="E3136" s="1" t="s">
        <v>20</v>
      </c>
      <c r="F3136">
        <v>1</v>
      </c>
      <c r="G3136" s="2">
        <v>46118</v>
      </c>
      <c r="H3136" s="2">
        <v>46119</v>
      </c>
      <c r="I3136">
        <v>142.22</v>
      </c>
      <c r="M3136" s="1" t="s">
        <v>32</v>
      </c>
      <c r="N3136" s="1" t="s">
        <v>98</v>
      </c>
      <c r="O3136" s="2">
        <v>46170</v>
      </c>
      <c r="P3136" s="2"/>
      <c r="Q3136">
        <f>_xlfn.XLOOKUP(E3136,CPT!$A$2:$A$13,CPT!$D$2:$D$13)</f>
        <v>145</v>
      </c>
      <c r="R3136" s="1">
        <f>_xlfn.XLOOKUP(C3136,Contract!$A$2:$A$9,Contract!$B$2:$B$9)</f>
        <v>0.47</v>
      </c>
      <c r="S3136" s="1">
        <f t="shared" si="192"/>
        <v>68.150000000000006</v>
      </c>
      <c r="T3136" s="1" t="str">
        <f t="shared" si="193"/>
        <v/>
      </c>
      <c r="U3136" s="1" t="str">
        <f t="shared" si="194"/>
        <v/>
      </c>
      <c r="V3136" s="1" t="str">
        <f>_xlfn.XLOOKUP(C3136,Payers!$A$2:$A$9,Payers!$B$2:$B$9)</f>
        <v>Keystone Commercial PPO</v>
      </c>
      <c r="W3136" s="1" t="str">
        <f t="shared" si="195"/>
        <v>2026-04</v>
      </c>
    </row>
    <row r="3137" spans="1:23">
      <c r="A3137" s="1" t="s">
        <v>5247</v>
      </c>
      <c r="B3137" s="1" t="s">
        <v>4065</v>
      </c>
      <c r="C3137" s="1" t="s">
        <v>18</v>
      </c>
      <c r="D3137" s="1" t="s">
        <v>19</v>
      </c>
      <c r="E3137" s="1" t="s">
        <v>57</v>
      </c>
      <c r="F3137">
        <v>1</v>
      </c>
      <c r="G3137" s="2">
        <v>46080</v>
      </c>
      <c r="H3137" s="2">
        <v>46084</v>
      </c>
      <c r="I3137">
        <v>213.38</v>
      </c>
      <c r="M3137" s="1" t="s">
        <v>32</v>
      </c>
      <c r="N3137" s="1" t="s">
        <v>33</v>
      </c>
      <c r="O3137" s="2">
        <v>46171</v>
      </c>
      <c r="P3137" s="2"/>
      <c r="Q3137">
        <f>_xlfn.XLOOKUP(E3137,CPT!$A$2:$A$13,CPT!$D$2:$D$13)</f>
        <v>210</v>
      </c>
      <c r="R3137" s="1">
        <f>_xlfn.XLOOKUP(C3137,Contract!$A$2:$A$9,Contract!$B$2:$B$9)</f>
        <v>0.38</v>
      </c>
      <c r="S3137" s="1">
        <f t="shared" si="192"/>
        <v>79.8</v>
      </c>
      <c r="T3137" s="1" t="str">
        <f t="shared" si="193"/>
        <v/>
      </c>
      <c r="U3137" s="1" t="str">
        <f t="shared" si="194"/>
        <v/>
      </c>
      <c r="V3137" s="1" t="str">
        <f>_xlfn.XLOOKUP(C3137,Payers!$A$2:$A$9,Payers!$B$2:$B$9)</f>
        <v>Sunshine Medicare Advantage</v>
      </c>
      <c r="W3137" s="1" t="str">
        <f t="shared" si="195"/>
        <v>2026-02</v>
      </c>
    </row>
    <row r="3138" spans="1:23">
      <c r="A3138" s="1" t="s">
        <v>5248</v>
      </c>
      <c r="B3138" s="1" t="s">
        <v>265</v>
      </c>
      <c r="C3138" s="1" t="s">
        <v>25</v>
      </c>
      <c r="D3138" s="1" t="s">
        <v>26</v>
      </c>
      <c r="E3138" s="1" t="s">
        <v>185</v>
      </c>
      <c r="F3138">
        <v>1</v>
      </c>
      <c r="G3138" s="2">
        <v>46056</v>
      </c>
      <c r="H3138" s="2">
        <v>46062</v>
      </c>
      <c r="I3138">
        <v>1122.24</v>
      </c>
      <c r="J3138">
        <v>381.41</v>
      </c>
      <c r="K3138">
        <v>381.41</v>
      </c>
      <c r="L3138">
        <v>0</v>
      </c>
      <c r="M3138" s="1" t="s">
        <v>21</v>
      </c>
      <c r="N3138" s="1" t="s">
        <v>22</v>
      </c>
      <c r="O3138" s="2">
        <v>46086</v>
      </c>
      <c r="P3138" s="2">
        <v>46086</v>
      </c>
      <c r="Q3138">
        <f>_xlfn.XLOOKUP(E3138,CPT!$A$2:$A$13,CPT!$D$2:$D$13)</f>
        <v>1150</v>
      </c>
      <c r="R3138" s="1">
        <f>_xlfn.XLOOKUP(C3138,Contract!$A$2:$A$9,Contract!$B$2:$B$9)</f>
        <v>0.36</v>
      </c>
      <c r="S3138" s="1">
        <f t="shared" ref="S3138:S3201" si="196">ROUND(Q3138*F3138*R3138,2)</f>
        <v>414</v>
      </c>
      <c r="T3138" s="1">
        <f t="shared" ref="T3138:T3201" si="197">IF(M3138="Paid",S3138-J3138,"")</f>
        <v>32.589999999999975</v>
      </c>
      <c r="U3138" s="1" t="str">
        <f t="shared" ref="U3138:U3201" si="198">IF(M3138&lt;&gt;"Paid","",IF(T3138&gt;S3138*0.05,"Underpaid","OK"))</f>
        <v>Underpaid</v>
      </c>
      <c r="V3138" s="1" t="str">
        <f>_xlfn.XLOOKUP(C3138,Payers!$A$2:$A$9,Payers!$B$2:$B$9)</f>
        <v>Medicare Part B</v>
      </c>
      <c r="W3138" s="1" t="str">
        <f t="shared" ref="W3138:W3201" si="199">TEXT(G3138,"yyyy-mm")</f>
        <v>2026-02</v>
      </c>
    </row>
    <row r="3139" spans="1:23">
      <c r="A3139" s="1" t="s">
        <v>5249</v>
      </c>
      <c r="B3139" s="1" t="s">
        <v>629</v>
      </c>
      <c r="C3139" s="1" t="s">
        <v>60</v>
      </c>
      <c r="D3139" s="1" t="s">
        <v>37</v>
      </c>
      <c r="E3139" s="1" t="s">
        <v>57</v>
      </c>
      <c r="F3139">
        <v>1</v>
      </c>
      <c r="G3139" s="2">
        <v>46228</v>
      </c>
      <c r="H3139" s="2">
        <v>46234</v>
      </c>
      <c r="I3139">
        <v>211.75</v>
      </c>
      <c r="M3139" s="1" t="s">
        <v>32</v>
      </c>
      <c r="N3139" s="1" t="s">
        <v>124</v>
      </c>
      <c r="O3139" s="2">
        <v>46254</v>
      </c>
      <c r="P3139" s="2"/>
      <c r="Q3139">
        <f>_xlfn.XLOOKUP(E3139,CPT!$A$2:$A$13,CPT!$D$2:$D$13)</f>
        <v>210</v>
      </c>
      <c r="R3139" s="1">
        <f>_xlfn.XLOOKUP(C3139,Contract!$A$2:$A$9,Contract!$B$2:$B$9)</f>
        <v>0.45</v>
      </c>
      <c r="S3139" s="1">
        <f t="shared" si="196"/>
        <v>94.5</v>
      </c>
      <c r="T3139" s="1" t="str">
        <f t="shared" si="197"/>
        <v/>
      </c>
      <c r="U3139" s="1" t="str">
        <f t="shared" si="198"/>
        <v/>
      </c>
      <c r="V3139" s="1" t="str">
        <f>_xlfn.XLOOKUP(C3139,Payers!$A$2:$A$9,Payers!$B$2:$B$9)</f>
        <v>Blue Horizon Commercial</v>
      </c>
      <c r="W3139" s="1" t="str">
        <f t="shared" si="199"/>
        <v>2026-07</v>
      </c>
    </row>
    <row r="3140" spans="1:23">
      <c r="A3140" s="1" t="s">
        <v>5250</v>
      </c>
      <c r="B3140" s="1" t="s">
        <v>5251</v>
      </c>
      <c r="C3140" s="1" t="s">
        <v>60</v>
      </c>
      <c r="D3140" s="1" t="s">
        <v>26</v>
      </c>
      <c r="E3140" s="1" t="s">
        <v>44</v>
      </c>
      <c r="F3140">
        <v>1</v>
      </c>
      <c r="G3140" s="2">
        <v>46081</v>
      </c>
      <c r="H3140" s="2">
        <v>46085</v>
      </c>
      <c r="I3140">
        <v>4900.78</v>
      </c>
      <c r="J3140">
        <v>2012.36</v>
      </c>
      <c r="K3140">
        <v>1609.89</v>
      </c>
      <c r="L3140">
        <v>402.47</v>
      </c>
      <c r="M3140" s="1" t="s">
        <v>21</v>
      </c>
      <c r="N3140" s="1" t="s">
        <v>22</v>
      </c>
      <c r="O3140" s="2">
        <v>46125</v>
      </c>
      <c r="P3140" s="2">
        <v>46125</v>
      </c>
      <c r="Q3140">
        <f>_xlfn.XLOOKUP(E3140,CPT!$A$2:$A$13,CPT!$D$2:$D$13)</f>
        <v>4800</v>
      </c>
      <c r="R3140" s="1">
        <f>_xlfn.XLOOKUP(C3140,Contract!$A$2:$A$9,Contract!$B$2:$B$9)</f>
        <v>0.45</v>
      </c>
      <c r="S3140" s="1">
        <f t="shared" si="196"/>
        <v>2160</v>
      </c>
      <c r="T3140" s="1">
        <f t="shared" si="197"/>
        <v>147.6400000000001</v>
      </c>
      <c r="U3140" s="1" t="str">
        <f t="shared" si="198"/>
        <v>Underpaid</v>
      </c>
      <c r="V3140" s="1" t="str">
        <f>_xlfn.XLOOKUP(C3140,Payers!$A$2:$A$9,Payers!$B$2:$B$9)</f>
        <v>Blue Horizon Commercial</v>
      </c>
      <c r="W3140" s="1" t="str">
        <f t="shared" si="199"/>
        <v>2026-02</v>
      </c>
    </row>
    <row r="3141" spans="1:23">
      <c r="A3141" s="1" t="s">
        <v>5252</v>
      </c>
      <c r="B3141" s="1" t="s">
        <v>4323</v>
      </c>
      <c r="C3141" s="1" t="s">
        <v>76</v>
      </c>
      <c r="D3141" s="1" t="s">
        <v>19</v>
      </c>
      <c r="E3141" s="1" t="s">
        <v>20</v>
      </c>
      <c r="F3141">
        <v>1</v>
      </c>
      <c r="G3141" s="2">
        <v>46183</v>
      </c>
      <c r="H3141" s="2">
        <v>46187</v>
      </c>
      <c r="I3141">
        <v>143.30000000000001</v>
      </c>
      <c r="M3141" s="1" t="s">
        <v>32</v>
      </c>
      <c r="N3141" s="1" t="s">
        <v>49</v>
      </c>
      <c r="O3141" s="2">
        <v>46203</v>
      </c>
      <c r="P3141" s="2"/>
      <c r="Q3141">
        <f>_xlfn.XLOOKUP(E3141,CPT!$A$2:$A$13,CPT!$D$2:$D$13)</f>
        <v>145</v>
      </c>
      <c r="R3141" s="1">
        <f>_xlfn.XLOOKUP(C3141,Contract!$A$2:$A$9,Contract!$B$2:$B$9)</f>
        <v>0.43</v>
      </c>
      <c r="S3141" s="1">
        <f t="shared" si="196"/>
        <v>62.35</v>
      </c>
      <c r="T3141" s="1" t="str">
        <f t="shared" si="197"/>
        <v/>
      </c>
      <c r="U3141" s="1" t="str">
        <f t="shared" si="198"/>
        <v/>
      </c>
      <c r="V3141" s="1" t="str">
        <f>_xlfn.XLOOKUP(C3141,Payers!$A$2:$A$9,Payers!$B$2:$B$9)</f>
        <v>Summit Health Commercial</v>
      </c>
      <c r="W3141" s="1" t="str">
        <f t="shared" si="199"/>
        <v>2026-06</v>
      </c>
    </row>
    <row r="3142" spans="1:23">
      <c r="A3142" s="1" t="s">
        <v>5253</v>
      </c>
      <c r="B3142" s="1" t="s">
        <v>4229</v>
      </c>
      <c r="C3142" s="1" t="s">
        <v>52</v>
      </c>
      <c r="D3142" s="1" t="s">
        <v>19</v>
      </c>
      <c r="E3142" s="1" t="s">
        <v>57</v>
      </c>
      <c r="F3142">
        <v>1</v>
      </c>
      <c r="G3142" s="2">
        <v>46203</v>
      </c>
      <c r="H3142" s="2">
        <v>46213</v>
      </c>
      <c r="I3142">
        <v>215.89</v>
      </c>
      <c r="J3142">
        <v>87.83</v>
      </c>
      <c r="K3142">
        <v>87.83</v>
      </c>
      <c r="L3142">
        <v>0</v>
      </c>
      <c r="M3142" s="1" t="s">
        <v>21</v>
      </c>
      <c r="N3142" s="1" t="s">
        <v>22</v>
      </c>
      <c r="O3142" s="2">
        <v>46243</v>
      </c>
      <c r="P3142" s="2">
        <v>46243</v>
      </c>
      <c r="Q3142">
        <f>_xlfn.XLOOKUP(E3142,CPT!$A$2:$A$13,CPT!$D$2:$D$13)</f>
        <v>210</v>
      </c>
      <c r="R3142" s="1">
        <f>_xlfn.XLOOKUP(C3142,Contract!$A$2:$A$9,Contract!$B$2:$B$9)</f>
        <v>0.47</v>
      </c>
      <c r="S3142" s="1">
        <f t="shared" si="196"/>
        <v>98.7</v>
      </c>
      <c r="T3142" s="1">
        <f t="shared" si="197"/>
        <v>10.870000000000005</v>
      </c>
      <c r="U3142" s="1" t="str">
        <f t="shared" si="198"/>
        <v>Underpaid</v>
      </c>
      <c r="V3142" s="1" t="str">
        <f>_xlfn.XLOOKUP(C3142,Payers!$A$2:$A$9,Payers!$B$2:$B$9)</f>
        <v>Keystone Commercial PPO</v>
      </c>
      <c r="W3142" s="1" t="str">
        <f t="shared" si="199"/>
        <v>2026-06</v>
      </c>
    </row>
    <row r="3143" spans="1:23">
      <c r="A3143" s="1" t="s">
        <v>5254</v>
      </c>
      <c r="B3143" s="1" t="s">
        <v>5255</v>
      </c>
      <c r="C3143" s="1" t="s">
        <v>76</v>
      </c>
      <c r="D3143" s="1" t="s">
        <v>30</v>
      </c>
      <c r="E3143" s="1" t="s">
        <v>31</v>
      </c>
      <c r="F3143">
        <v>4</v>
      </c>
      <c r="G3143" s="2">
        <v>46221</v>
      </c>
      <c r="H3143" s="2">
        <v>46229</v>
      </c>
      <c r="I3143">
        <v>242.26</v>
      </c>
      <c r="J3143">
        <v>109.41</v>
      </c>
      <c r="K3143">
        <v>109.41</v>
      </c>
      <c r="L3143">
        <v>0</v>
      </c>
      <c r="M3143" s="1" t="s">
        <v>21</v>
      </c>
      <c r="N3143" s="1" t="s">
        <v>22</v>
      </c>
      <c r="O3143" s="2">
        <v>46251</v>
      </c>
      <c r="P3143" s="2">
        <v>46251</v>
      </c>
      <c r="Q3143">
        <f>_xlfn.XLOOKUP(E3143,CPT!$A$2:$A$13,CPT!$D$2:$D$13)</f>
        <v>62</v>
      </c>
      <c r="R3143" s="1">
        <f>_xlfn.XLOOKUP(C3143,Contract!$A$2:$A$9,Contract!$B$2:$B$9)</f>
        <v>0.43</v>
      </c>
      <c r="S3143" s="1">
        <f t="shared" si="196"/>
        <v>106.64</v>
      </c>
      <c r="T3143" s="1">
        <f t="shared" si="197"/>
        <v>-2.769999999999996</v>
      </c>
      <c r="U3143" s="1" t="str">
        <f t="shared" si="198"/>
        <v>OK</v>
      </c>
      <c r="V3143" s="1" t="str">
        <f>_xlfn.XLOOKUP(C3143,Payers!$A$2:$A$9,Payers!$B$2:$B$9)</f>
        <v>Summit Health Commercial</v>
      </c>
      <c r="W3143" s="1" t="str">
        <f t="shared" si="199"/>
        <v>2026-07</v>
      </c>
    </row>
    <row r="3144" spans="1:23">
      <c r="A3144" s="1" t="s">
        <v>5256</v>
      </c>
      <c r="B3144" s="1" t="s">
        <v>1515</v>
      </c>
      <c r="C3144" s="1" t="s">
        <v>60</v>
      </c>
      <c r="D3144" s="1" t="s">
        <v>30</v>
      </c>
      <c r="E3144" s="1" t="s">
        <v>20</v>
      </c>
      <c r="F3144">
        <v>1</v>
      </c>
      <c r="G3144" s="2">
        <v>46066</v>
      </c>
      <c r="H3144" s="2">
        <v>46070</v>
      </c>
      <c r="I3144">
        <v>146.72</v>
      </c>
      <c r="J3144">
        <v>62.95</v>
      </c>
      <c r="K3144">
        <v>56.65</v>
      </c>
      <c r="L3144">
        <v>6.3</v>
      </c>
      <c r="M3144" s="1" t="s">
        <v>21</v>
      </c>
      <c r="N3144" s="1" t="s">
        <v>22</v>
      </c>
      <c r="O3144" s="2">
        <v>46096</v>
      </c>
      <c r="P3144" s="2">
        <v>46096</v>
      </c>
      <c r="Q3144">
        <f>_xlfn.XLOOKUP(E3144,CPT!$A$2:$A$13,CPT!$D$2:$D$13)</f>
        <v>145</v>
      </c>
      <c r="R3144" s="1">
        <f>_xlfn.XLOOKUP(C3144,Contract!$A$2:$A$9,Contract!$B$2:$B$9)</f>
        <v>0.45</v>
      </c>
      <c r="S3144" s="1">
        <f t="shared" si="196"/>
        <v>65.25</v>
      </c>
      <c r="T3144" s="1">
        <f t="shared" si="197"/>
        <v>2.2999999999999972</v>
      </c>
      <c r="U3144" s="1" t="str">
        <f t="shared" si="198"/>
        <v>OK</v>
      </c>
      <c r="V3144" s="1" t="str">
        <f>_xlfn.XLOOKUP(C3144,Payers!$A$2:$A$9,Payers!$B$2:$B$9)</f>
        <v>Blue Horizon Commercial</v>
      </c>
      <c r="W3144" s="1" t="str">
        <f t="shared" si="199"/>
        <v>2026-02</v>
      </c>
    </row>
    <row r="3145" spans="1:23">
      <c r="A3145" s="1" t="s">
        <v>5257</v>
      </c>
      <c r="B3145" s="1" t="s">
        <v>5174</v>
      </c>
      <c r="C3145" s="1" t="s">
        <v>47</v>
      </c>
      <c r="D3145" s="1" t="s">
        <v>37</v>
      </c>
      <c r="E3145" s="1" t="s">
        <v>38</v>
      </c>
      <c r="F3145">
        <v>10</v>
      </c>
      <c r="G3145" s="2">
        <v>45976</v>
      </c>
      <c r="H3145" s="2">
        <v>45979</v>
      </c>
      <c r="I3145">
        <v>14162.18</v>
      </c>
      <c r="J3145">
        <v>4228.51</v>
      </c>
      <c r="K3145">
        <v>4228.51</v>
      </c>
      <c r="L3145">
        <v>0</v>
      </c>
      <c r="M3145" s="1" t="s">
        <v>21</v>
      </c>
      <c r="N3145" s="1" t="s">
        <v>22</v>
      </c>
      <c r="O3145" s="2">
        <v>46022</v>
      </c>
      <c r="P3145" s="2">
        <v>46022</v>
      </c>
      <c r="Q3145">
        <f>_xlfn.XLOOKUP(E3145,CPT!$A$2:$A$13,CPT!$D$2:$D$13)</f>
        <v>1450</v>
      </c>
      <c r="R3145" s="1">
        <f>_xlfn.XLOOKUP(C3145,Contract!$A$2:$A$9,Contract!$B$2:$B$9)</f>
        <v>0.28000000000000003</v>
      </c>
      <c r="S3145" s="1">
        <f t="shared" si="196"/>
        <v>4060</v>
      </c>
      <c r="T3145" s="1">
        <f t="shared" si="197"/>
        <v>-168.51000000000022</v>
      </c>
      <c r="U3145" s="1" t="str">
        <f t="shared" si="198"/>
        <v>OK</v>
      </c>
      <c r="V3145" s="1" t="str">
        <f>_xlfn.XLOOKUP(C3145,Payers!$A$2:$A$9,Payers!$B$2:$B$9)</f>
        <v>Coastal Medicaid MCO</v>
      </c>
      <c r="W3145" s="1" t="str">
        <f t="shared" si="199"/>
        <v>2025-11</v>
      </c>
    </row>
    <row r="3146" spans="1:23">
      <c r="A3146" s="1" t="s">
        <v>5258</v>
      </c>
      <c r="B3146" s="1" t="s">
        <v>4251</v>
      </c>
      <c r="C3146" s="1" t="s">
        <v>60</v>
      </c>
      <c r="D3146" s="1" t="s">
        <v>30</v>
      </c>
      <c r="E3146" s="1" t="s">
        <v>20</v>
      </c>
      <c r="F3146">
        <v>1</v>
      </c>
      <c r="G3146" s="2">
        <v>46128</v>
      </c>
      <c r="H3146" s="2">
        <v>46129</v>
      </c>
      <c r="I3146">
        <v>144.94999999999999</v>
      </c>
      <c r="M3146" s="1" t="s">
        <v>32</v>
      </c>
      <c r="N3146" s="1" t="s">
        <v>124</v>
      </c>
      <c r="O3146" s="2">
        <v>46165</v>
      </c>
      <c r="P3146" s="2"/>
      <c r="Q3146">
        <f>_xlfn.XLOOKUP(E3146,CPT!$A$2:$A$13,CPT!$D$2:$D$13)</f>
        <v>145</v>
      </c>
      <c r="R3146" s="1">
        <f>_xlfn.XLOOKUP(C3146,Contract!$A$2:$A$9,Contract!$B$2:$B$9)</f>
        <v>0.45</v>
      </c>
      <c r="S3146" s="1">
        <f t="shared" si="196"/>
        <v>65.25</v>
      </c>
      <c r="T3146" s="1" t="str">
        <f t="shared" si="197"/>
        <v/>
      </c>
      <c r="U3146" s="1" t="str">
        <f t="shared" si="198"/>
        <v/>
      </c>
      <c r="V3146" s="1" t="str">
        <f>_xlfn.XLOOKUP(C3146,Payers!$A$2:$A$9,Payers!$B$2:$B$9)</f>
        <v>Blue Horizon Commercial</v>
      </c>
      <c r="W3146" s="1" t="str">
        <f t="shared" si="199"/>
        <v>2026-04</v>
      </c>
    </row>
    <row r="3147" spans="1:23">
      <c r="A3147" s="1" t="s">
        <v>5259</v>
      </c>
      <c r="B3147" s="1" t="s">
        <v>5260</v>
      </c>
      <c r="C3147" s="1" t="s">
        <v>18</v>
      </c>
      <c r="D3147" s="1" t="s">
        <v>37</v>
      </c>
      <c r="E3147" s="1" t="s">
        <v>48</v>
      </c>
      <c r="F3147">
        <v>1</v>
      </c>
      <c r="G3147" s="2">
        <v>46237</v>
      </c>
      <c r="H3147" s="2">
        <v>46239</v>
      </c>
      <c r="I3147">
        <v>407.58</v>
      </c>
      <c r="J3147">
        <v>156.25</v>
      </c>
      <c r="K3147">
        <v>140.63</v>
      </c>
      <c r="L3147">
        <v>15.62</v>
      </c>
      <c r="M3147" s="1" t="s">
        <v>21</v>
      </c>
      <c r="N3147" s="1" t="s">
        <v>22</v>
      </c>
      <c r="O3147" s="2">
        <v>46247</v>
      </c>
      <c r="P3147" s="2">
        <v>46247</v>
      </c>
      <c r="Q3147">
        <f>_xlfn.XLOOKUP(E3147,CPT!$A$2:$A$13,CPT!$D$2:$D$13)</f>
        <v>420</v>
      </c>
      <c r="R3147" s="1">
        <f>_xlfn.XLOOKUP(C3147,Contract!$A$2:$A$9,Contract!$B$2:$B$9)</f>
        <v>0.38</v>
      </c>
      <c r="S3147" s="1">
        <f t="shared" si="196"/>
        <v>159.6</v>
      </c>
      <c r="T3147" s="1">
        <f t="shared" si="197"/>
        <v>3.3499999999999943</v>
      </c>
      <c r="U3147" s="1" t="str">
        <f t="shared" si="198"/>
        <v>OK</v>
      </c>
      <c r="V3147" s="1" t="str">
        <f>_xlfn.XLOOKUP(C3147,Payers!$A$2:$A$9,Payers!$B$2:$B$9)</f>
        <v>Sunshine Medicare Advantage</v>
      </c>
      <c r="W3147" s="1" t="str">
        <f t="shared" si="199"/>
        <v>2026-08</v>
      </c>
    </row>
    <row r="3148" spans="1:23">
      <c r="A3148" s="1" t="s">
        <v>5261</v>
      </c>
      <c r="B3148" s="1" t="s">
        <v>4831</v>
      </c>
      <c r="C3148" s="1" t="s">
        <v>60</v>
      </c>
      <c r="D3148" s="1" t="s">
        <v>26</v>
      </c>
      <c r="E3148" s="1" t="s">
        <v>113</v>
      </c>
      <c r="F3148">
        <v>1</v>
      </c>
      <c r="G3148" s="2">
        <v>45939</v>
      </c>
      <c r="H3148" s="2">
        <v>45940</v>
      </c>
      <c r="I3148">
        <v>1029.25</v>
      </c>
      <c r="J3148">
        <v>403.17</v>
      </c>
      <c r="K3148">
        <v>362.85</v>
      </c>
      <c r="L3148">
        <v>40.32</v>
      </c>
      <c r="M3148" s="1" t="s">
        <v>21</v>
      </c>
      <c r="N3148" s="1" t="s">
        <v>22</v>
      </c>
      <c r="O3148" s="2">
        <v>45960</v>
      </c>
      <c r="P3148" s="2">
        <v>45960</v>
      </c>
      <c r="Q3148">
        <f>_xlfn.XLOOKUP(E3148,CPT!$A$2:$A$13,CPT!$D$2:$D$13)</f>
        <v>1050</v>
      </c>
      <c r="R3148" s="1">
        <f>_xlfn.XLOOKUP(C3148,Contract!$A$2:$A$9,Contract!$B$2:$B$9)</f>
        <v>0.45</v>
      </c>
      <c r="S3148" s="1">
        <f t="shared" si="196"/>
        <v>472.5</v>
      </c>
      <c r="T3148" s="1">
        <f t="shared" si="197"/>
        <v>69.329999999999984</v>
      </c>
      <c r="U3148" s="1" t="str">
        <f t="shared" si="198"/>
        <v>Underpaid</v>
      </c>
      <c r="V3148" s="1" t="str">
        <f>_xlfn.XLOOKUP(C3148,Payers!$A$2:$A$9,Payers!$B$2:$B$9)</f>
        <v>Blue Horizon Commercial</v>
      </c>
      <c r="W3148" s="1" t="str">
        <f t="shared" si="199"/>
        <v>2025-10</v>
      </c>
    </row>
    <row r="3149" spans="1:23">
      <c r="A3149" s="1" t="s">
        <v>5262</v>
      </c>
      <c r="B3149" s="1" t="s">
        <v>1367</v>
      </c>
      <c r="C3149" s="1" t="s">
        <v>76</v>
      </c>
      <c r="D3149" s="1" t="s">
        <v>37</v>
      </c>
      <c r="E3149" s="1" t="s">
        <v>38</v>
      </c>
      <c r="F3149">
        <v>5</v>
      </c>
      <c r="G3149" s="2">
        <v>46275</v>
      </c>
      <c r="H3149" s="2">
        <v>46276</v>
      </c>
      <c r="I3149">
        <v>7189.54</v>
      </c>
      <c r="J3149">
        <v>2864.13</v>
      </c>
      <c r="K3149">
        <v>2864.13</v>
      </c>
      <c r="L3149">
        <v>0</v>
      </c>
      <c r="M3149" s="1" t="s">
        <v>21</v>
      </c>
      <c r="N3149" s="1" t="s">
        <v>22</v>
      </c>
      <c r="O3149" s="2">
        <v>46287</v>
      </c>
      <c r="P3149" s="2">
        <v>46287</v>
      </c>
      <c r="Q3149">
        <f>_xlfn.XLOOKUP(E3149,CPT!$A$2:$A$13,CPT!$D$2:$D$13)</f>
        <v>1450</v>
      </c>
      <c r="R3149" s="1">
        <f>_xlfn.XLOOKUP(C3149,Contract!$A$2:$A$9,Contract!$B$2:$B$9)</f>
        <v>0.43</v>
      </c>
      <c r="S3149" s="1">
        <f t="shared" si="196"/>
        <v>3117.5</v>
      </c>
      <c r="T3149" s="1">
        <f t="shared" si="197"/>
        <v>253.36999999999989</v>
      </c>
      <c r="U3149" s="1" t="str">
        <f t="shared" si="198"/>
        <v>Underpaid</v>
      </c>
      <c r="V3149" s="1" t="str">
        <f>_xlfn.XLOOKUP(C3149,Payers!$A$2:$A$9,Payers!$B$2:$B$9)</f>
        <v>Summit Health Commercial</v>
      </c>
      <c r="W3149" s="1" t="str">
        <f t="shared" si="199"/>
        <v>2026-09</v>
      </c>
    </row>
    <row r="3150" spans="1:23">
      <c r="A3150" s="1" t="s">
        <v>5263</v>
      </c>
      <c r="B3150" s="1" t="s">
        <v>2744</v>
      </c>
      <c r="C3150" s="1" t="s">
        <v>52</v>
      </c>
      <c r="D3150" s="1" t="s">
        <v>37</v>
      </c>
      <c r="E3150" s="1" t="s">
        <v>38</v>
      </c>
      <c r="F3150">
        <v>5</v>
      </c>
      <c r="G3150" s="2">
        <v>46094</v>
      </c>
      <c r="H3150" s="2">
        <v>46097</v>
      </c>
      <c r="I3150">
        <v>7262.01</v>
      </c>
      <c r="M3150" s="1" t="s">
        <v>32</v>
      </c>
      <c r="N3150" s="1" t="s">
        <v>315</v>
      </c>
      <c r="O3150" s="2">
        <v>46132</v>
      </c>
      <c r="P3150" s="2"/>
      <c r="Q3150">
        <f>_xlfn.XLOOKUP(E3150,CPT!$A$2:$A$13,CPT!$D$2:$D$13)</f>
        <v>1450</v>
      </c>
      <c r="R3150" s="1">
        <f>_xlfn.XLOOKUP(C3150,Contract!$A$2:$A$9,Contract!$B$2:$B$9)</f>
        <v>0.47</v>
      </c>
      <c r="S3150" s="1">
        <f t="shared" si="196"/>
        <v>3407.5</v>
      </c>
      <c r="T3150" s="1" t="str">
        <f t="shared" si="197"/>
        <v/>
      </c>
      <c r="U3150" s="1" t="str">
        <f t="shared" si="198"/>
        <v/>
      </c>
      <c r="V3150" s="1" t="str">
        <f>_xlfn.XLOOKUP(C3150,Payers!$A$2:$A$9,Payers!$B$2:$B$9)</f>
        <v>Keystone Commercial PPO</v>
      </c>
      <c r="W3150" s="1" t="str">
        <f t="shared" si="199"/>
        <v>2026-03</v>
      </c>
    </row>
    <row r="3151" spans="1:23">
      <c r="A3151" s="1" t="s">
        <v>5264</v>
      </c>
      <c r="B3151" s="1" t="s">
        <v>257</v>
      </c>
      <c r="C3151" s="1" t="s">
        <v>25</v>
      </c>
      <c r="D3151" s="1" t="s">
        <v>26</v>
      </c>
      <c r="E3151" s="1" t="s">
        <v>88</v>
      </c>
      <c r="F3151">
        <v>1</v>
      </c>
      <c r="G3151" s="2">
        <v>46047</v>
      </c>
      <c r="H3151" s="2">
        <v>46052</v>
      </c>
      <c r="I3151">
        <v>267.74</v>
      </c>
      <c r="J3151">
        <v>101.18</v>
      </c>
      <c r="K3151">
        <v>101.18</v>
      </c>
      <c r="L3151">
        <v>0</v>
      </c>
      <c r="M3151" s="1" t="s">
        <v>21</v>
      </c>
      <c r="N3151" s="1" t="s">
        <v>22</v>
      </c>
      <c r="O3151" s="2">
        <v>46071</v>
      </c>
      <c r="P3151" s="2">
        <v>46071</v>
      </c>
      <c r="Q3151">
        <f>_xlfn.XLOOKUP(E3151,CPT!$A$2:$A$13,CPT!$D$2:$D$13)</f>
        <v>260</v>
      </c>
      <c r="R3151" s="1">
        <f>_xlfn.XLOOKUP(C3151,Contract!$A$2:$A$9,Contract!$B$2:$B$9)</f>
        <v>0.36</v>
      </c>
      <c r="S3151" s="1">
        <f t="shared" si="196"/>
        <v>93.6</v>
      </c>
      <c r="T3151" s="1">
        <f t="shared" si="197"/>
        <v>-7.5800000000000125</v>
      </c>
      <c r="U3151" s="1" t="str">
        <f t="shared" si="198"/>
        <v>OK</v>
      </c>
      <c r="V3151" s="1" t="str">
        <f>_xlfn.XLOOKUP(C3151,Payers!$A$2:$A$9,Payers!$B$2:$B$9)</f>
        <v>Medicare Part B</v>
      </c>
      <c r="W3151" s="1" t="str">
        <f t="shared" si="199"/>
        <v>2026-01</v>
      </c>
    </row>
    <row r="3152" spans="1:23">
      <c r="A3152" s="1" t="s">
        <v>5265</v>
      </c>
      <c r="B3152" s="1" t="s">
        <v>898</v>
      </c>
      <c r="C3152" s="1" t="s">
        <v>76</v>
      </c>
      <c r="D3152" s="1" t="s">
        <v>30</v>
      </c>
      <c r="E3152" s="1" t="s">
        <v>31</v>
      </c>
      <c r="F3152">
        <v>1</v>
      </c>
      <c r="G3152" s="2">
        <v>45934</v>
      </c>
      <c r="H3152" s="2">
        <v>45935</v>
      </c>
      <c r="I3152">
        <v>61.99</v>
      </c>
      <c r="J3152">
        <v>30.47</v>
      </c>
      <c r="K3152">
        <v>30.47</v>
      </c>
      <c r="L3152">
        <v>0</v>
      </c>
      <c r="M3152" s="1" t="s">
        <v>21</v>
      </c>
      <c r="N3152" s="1" t="s">
        <v>22</v>
      </c>
      <c r="O3152" s="2">
        <v>45967</v>
      </c>
      <c r="P3152" s="2">
        <v>45967</v>
      </c>
      <c r="Q3152">
        <f>_xlfn.XLOOKUP(E3152,CPT!$A$2:$A$13,CPT!$D$2:$D$13)</f>
        <v>62</v>
      </c>
      <c r="R3152" s="1">
        <f>_xlfn.XLOOKUP(C3152,Contract!$A$2:$A$9,Contract!$B$2:$B$9)</f>
        <v>0.43</v>
      </c>
      <c r="S3152" s="1">
        <f t="shared" si="196"/>
        <v>26.66</v>
      </c>
      <c r="T3152" s="1">
        <f t="shared" si="197"/>
        <v>-3.8099999999999987</v>
      </c>
      <c r="U3152" s="1" t="str">
        <f t="shared" si="198"/>
        <v>OK</v>
      </c>
      <c r="V3152" s="1" t="str">
        <f>_xlfn.XLOOKUP(C3152,Payers!$A$2:$A$9,Payers!$B$2:$B$9)</f>
        <v>Summit Health Commercial</v>
      </c>
      <c r="W3152" s="1" t="str">
        <f t="shared" si="199"/>
        <v>2025-10</v>
      </c>
    </row>
    <row r="3153" spans="1:23">
      <c r="A3153" s="1" t="s">
        <v>5266</v>
      </c>
      <c r="B3153" s="1" t="s">
        <v>3245</v>
      </c>
      <c r="C3153" s="1" t="s">
        <v>18</v>
      </c>
      <c r="D3153" s="1" t="s">
        <v>26</v>
      </c>
      <c r="E3153" s="1" t="s">
        <v>44</v>
      </c>
      <c r="F3153">
        <v>1</v>
      </c>
      <c r="G3153" s="2">
        <v>46051</v>
      </c>
      <c r="H3153" s="2">
        <v>46053</v>
      </c>
      <c r="I3153">
        <v>4693.57</v>
      </c>
      <c r="M3153" s="1" t="s">
        <v>32</v>
      </c>
      <c r="N3153" s="1" t="s">
        <v>315</v>
      </c>
      <c r="O3153" s="2">
        <v>46130</v>
      </c>
      <c r="P3153" s="2"/>
      <c r="Q3153">
        <f>_xlfn.XLOOKUP(E3153,CPT!$A$2:$A$13,CPT!$D$2:$D$13)</f>
        <v>4800</v>
      </c>
      <c r="R3153" s="1">
        <f>_xlfn.XLOOKUP(C3153,Contract!$A$2:$A$9,Contract!$B$2:$B$9)</f>
        <v>0.38</v>
      </c>
      <c r="S3153" s="1">
        <f t="shared" si="196"/>
        <v>1824</v>
      </c>
      <c r="T3153" s="1" t="str">
        <f t="shared" si="197"/>
        <v/>
      </c>
      <c r="U3153" s="1" t="str">
        <f t="shared" si="198"/>
        <v/>
      </c>
      <c r="V3153" s="1" t="str">
        <f>_xlfn.XLOOKUP(C3153,Payers!$A$2:$A$9,Payers!$B$2:$B$9)</f>
        <v>Sunshine Medicare Advantage</v>
      </c>
      <c r="W3153" s="1" t="str">
        <f t="shared" si="199"/>
        <v>2026-01</v>
      </c>
    </row>
    <row r="3154" spans="1:23">
      <c r="A3154" s="1" t="s">
        <v>5267</v>
      </c>
      <c r="B3154" s="1" t="s">
        <v>4860</v>
      </c>
      <c r="C3154" s="1" t="s">
        <v>25</v>
      </c>
      <c r="D3154" s="1" t="s">
        <v>26</v>
      </c>
      <c r="E3154" s="1" t="s">
        <v>27</v>
      </c>
      <c r="F3154">
        <v>1</v>
      </c>
      <c r="G3154" s="2">
        <v>46117</v>
      </c>
      <c r="H3154" s="2">
        <v>46119</v>
      </c>
      <c r="I3154">
        <v>233.22</v>
      </c>
      <c r="J3154">
        <v>72.58</v>
      </c>
      <c r="K3154">
        <v>65.319999999999993</v>
      </c>
      <c r="L3154">
        <v>7.26</v>
      </c>
      <c r="M3154" s="1" t="s">
        <v>21</v>
      </c>
      <c r="N3154" s="1" t="s">
        <v>22</v>
      </c>
      <c r="O3154" s="2">
        <v>46133</v>
      </c>
      <c r="P3154" s="2">
        <v>46133</v>
      </c>
      <c r="Q3154">
        <f>_xlfn.XLOOKUP(E3154,CPT!$A$2:$A$13,CPT!$D$2:$D$13)</f>
        <v>240</v>
      </c>
      <c r="R3154" s="1">
        <f>_xlfn.XLOOKUP(C3154,Contract!$A$2:$A$9,Contract!$B$2:$B$9)</f>
        <v>0.36</v>
      </c>
      <c r="S3154" s="1">
        <f t="shared" si="196"/>
        <v>86.4</v>
      </c>
      <c r="T3154" s="1">
        <f t="shared" si="197"/>
        <v>13.820000000000007</v>
      </c>
      <c r="U3154" s="1" t="str">
        <f t="shared" si="198"/>
        <v>Underpaid</v>
      </c>
      <c r="V3154" s="1" t="str">
        <f>_xlfn.XLOOKUP(C3154,Payers!$A$2:$A$9,Payers!$B$2:$B$9)</f>
        <v>Medicare Part B</v>
      </c>
      <c r="W3154" s="1" t="str">
        <f t="shared" si="199"/>
        <v>2026-04</v>
      </c>
    </row>
    <row r="3155" spans="1:23">
      <c r="A3155" s="1" t="s">
        <v>5268</v>
      </c>
      <c r="B3155" s="1" t="s">
        <v>5269</v>
      </c>
      <c r="C3155" s="1" t="s">
        <v>60</v>
      </c>
      <c r="D3155" s="1" t="s">
        <v>30</v>
      </c>
      <c r="E3155" s="1" t="s">
        <v>20</v>
      </c>
      <c r="F3155">
        <v>1</v>
      </c>
      <c r="G3155" s="2">
        <v>45956</v>
      </c>
      <c r="H3155" s="2">
        <v>45958</v>
      </c>
      <c r="I3155">
        <v>146.46</v>
      </c>
      <c r="J3155">
        <v>64.680000000000007</v>
      </c>
      <c r="K3155">
        <v>51.74</v>
      </c>
      <c r="L3155">
        <v>12.94</v>
      </c>
      <c r="M3155" s="1" t="s">
        <v>21</v>
      </c>
      <c r="N3155" s="1" t="s">
        <v>22</v>
      </c>
      <c r="O3155" s="2">
        <v>45975</v>
      </c>
      <c r="P3155" s="2">
        <v>45975</v>
      </c>
      <c r="Q3155">
        <f>_xlfn.XLOOKUP(E3155,CPT!$A$2:$A$13,CPT!$D$2:$D$13)</f>
        <v>145</v>
      </c>
      <c r="R3155" s="1">
        <f>_xlfn.XLOOKUP(C3155,Contract!$A$2:$A$9,Contract!$B$2:$B$9)</f>
        <v>0.45</v>
      </c>
      <c r="S3155" s="1">
        <f t="shared" si="196"/>
        <v>65.25</v>
      </c>
      <c r="T3155" s="1">
        <f t="shared" si="197"/>
        <v>0.56999999999999318</v>
      </c>
      <c r="U3155" s="1" t="str">
        <f t="shared" si="198"/>
        <v>OK</v>
      </c>
      <c r="V3155" s="1" t="str">
        <f>_xlfn.XLOOKUP(C3155,Payers!$A$2:$A$9,Payers!$B$2:$B$9)</f>
        <v>Blue Horizon Commercial</v>
      </c>
      <c r="W3155" s="1" t="str">
        <f t="shared" si="199"/>
        <v>2025-10</v>
      </c>
    </row>
    <row r="3156" spans="1:23">
      <c r="A3156" s="1" t="s">
        <v>5270</v>
      </c>
      <c r="B3156" s="1" t="s">
        <v>5271</v>
      </c>
      <c r="C3156" s="1" t="s">
        <v>25</v>
      </c>
      <c r="D3156" s="1" t="s">
        <v>19</v>
      </c>
      <c r="E3156" s="1" t="s">
        <v>57</v>
      </c>
      <c r="F3156">
        <v>1</v>
      </c>
      <c r="G3156" s="2">
        <v>45976</v>
      </c>
      <c r="H3156" s="2">
        <v>45989</v>
      </c>
      <c r="I3156">
        <v>205.76</v>
      </c>
      <c r="J3156">
        <v>81.67</v>
      </c>
      <c r="K3156">
        <v>81.67</v>
      </c>
      <c r="L3156">
        <v>0</v>
      </c>
      <c r="M3156" s="1" t="s">
        <v>21</v>
      </c>
      <c r="N3156" s="1" t="s">
        <v>22</v>
      </c>
      <c r="O3156" s="2">
        <v>45999</v>
      </c>
      <c r="P3156" s="2">
        <v>45999</v>
      </c>
      <c r="Q3156">
        <f>_xlfn.XLOOKUP(E3156,CPT!$A$2:$A$13,CPT!$D$2:$D$13)</f>
        <v>210</v>
      </c>
      <c r="R3156" s="1">
        <f>_xlfn.XLOOKUP(C3156,Contract!$A$2:$A$9,Contract!$B$2:$B$9)</f>
        <v>0.36</v>
      </c>
      <c r="S3156" s="1">
        <f t="shared" si="196"/>
        <v>75.599999999999994</v>
      </c>
      <c r="T3156" s="1">
        <f t="shared" si="197"/>
        <v>-6.0700000000000074</v>
      </c>
      <c r="U3156" s="1" t="str">
        <f t="shared" si="198"/>
        <v>OK</v>
      </c>
      <c r="V3156" s="1" t="str">
        <f>_xlfn.XLOOKUP(C3156,Payers!$A$2:$A$9,Payers!$B$2:$B$9)</f>
        <v>Medicare Part B</v>
      </c>
      <c r="W3156" s="1" t="str">
        <f t="shared" si="199"/>
        <v>2025-11</v>
      </c>
    </row>
    <row r="3157" spans="1:23">
      <c r="A3157" s="1" t="s">
        <v>5272</v>
      </c>
      <c r="B3157" s="1" t="s">
        <v>3050</v>
      </c>
      <c r="C3157" s="1" t="s">
        <v>47</v>
      </c>
      <c r="D3157" s="1" t="s">
        <v>19</v>
      </c>
      <c r="E3157" s="1" t="s">
        <v>20</v>
      </c>
      <c r="F3157">
        <v>1</v>
      </c>
      <c r="G3157" s="2">
        <v>46208</v>
      </c>
      <c r="H3157" s="2">
        <v>46211</v>
      </c>
      <c r="I3157">
        <v>149.19999999999999</v>
      </c>
      <c r="J3157">
        <v>46.99</v>
      </c>
      <c r="K3157">
        <v>46.99</v>
      </c>
      <c r="L3157">
        <v>0</v>
      </c>
      <c r="M3157" s="1" t="s">
        <v>21</v>
      </c>
      <c r="N3157" s="1" t="s">
        <v>22</v>
      </c>
      <c r="O3157" s="2">
        <v>46280</v>
      </c>
      <c r="P3157" s="2">
        <v>46280</v>
      </c>
      <c r="Q3157">
        <f>_xlfn.XLOOKUP(E3157,CPT!$A$2:$A$13,CPT!$D$2:$D$13)</f>
        <v>145</v>
      </c>
      <c r="R3157" s="1">
        <f>_xlfn.XLOOKUP(C3157,Contract!$A$2:$A$9,Contract!$B$2:$B$9)</f>
        <v>0.28000000000000003</v>
      </c>
      <c r="S3157" s="1">
        <f t="shared" si="196"/>
        <v>40.6</v>
      </c>
      <c r="T3157" s="1">
        <f t="shared" si="197"/>
        <v>-6.3900000000000006</v>
      </c>
      <c r="U3157" s="1" t="str">
        <f t="shared" si="198"/>
        <v>OK</v>
      </c>
      <c r="V3157" s="1" t="str">
        <f>_xlfn.XLOOKUP(C3157,Payers!$A$2:$A$9,Payers!$B$2:$B$9)</f>
        <v>Coastal Medicaid MCO</v>
      </c>
      <c r="W3157" s="1" t="str">
        <f t="shared" si="199"/>
        <v>2026-07</v>
      </c>
    </row>
    <row r="3158" spans="1:23">
      <c r="A3158" s="1" t="s">
        <v>5273</v>
      </c>
      <c r="B3158" s="1" t="s">
        <v>5274</v>
      </c>
      <c r="C3158" s="1" t="s">
        <v>36</v>
      </c>
      <c r="D3158" s="1" t="s">
        <v>30</v>
      </c>
      <c r="E3158" s="1" t="s">
        <v>91</v>
      </c>
      <c r="F3158">
        <v>4</v>
      </c>
      <c r="G3158" s="2">
        <v>46102</v>
      </c>
      <c r="H3158" s="2">
        <v>46109</v>
      </c>
      <c r="I3158">
        <v>230.7</v>
      </c>
      <c r="J3158">
        <v>70.08</v>
      </c>
      <c r="K3158">
        <v>63.07</v>
      </c>
      <c r="L3158">
        <v>7.01</v>
      </c>
      <c r="M3158" s="1" t="s">
        <v>21</v>
      </c>
      <c r="N3158" s="1" t="s">
        <v>22</v>
      </c>
      <c r="O3158" s="2">
        <v>46139</v>
      </c>
      <c r="P3158" s="2">
        <v>46139</v>
      </c>
      <c r="Q3158">
        <f>_xlfn.XLOOKUP(E3158,CPT!$A$2:$A$13,CPT!$D$2:$D$13)</f>
        <v>58</v>
      </c>
      <c r="R3158" s="1">
        <f>_xlfn.XLOOKUP(C3158,Contract!$A$2:$A$9,Contract!$B$2:$B$9)</f>
        <v>0.27</v>
      </c>
      <c r="S3158" s="1">
        <f t="shared" si="196"/>
        <v>62.64</v>
      </c>
      <c r="T3158" s="1">
        <f t="shared" si="197"/>
        <v>-7.4399999999999977</v>
      </c>
      <c r="U3158" s="1" t="str">
        <f t="shared" si="198"/>
        <v>OK</v>
      </c>
      <c r="V3158" s="1" t="str">
        <f>_xlfn.XLOOKUP(C3158,Payers!$A$2:$A$9,Payers!$B$2:$B$9)</f>
        <v>Florida Medicaid</v>
      </c>
      <c r="W3158" s="1" t="str">
        <f t="shared" si="199"/>
        <v>2026-03</v>
      </c>
    </row>
    <row r="3159" spans="1:23">
      <c r="A3159" s="1" t="s">
        <v>5275</v>
      </c>
      <c r="B3159" s="1" t="s">
        <v>1398</v>
      </c>
      <c r="C3159" s="1" t="s">
        <v>60</v>
      </c>
      <c r="D3159" s="1" t="s">
        <v>19</v>
      </c>
      <c r="E3159" s="1" t="s">
        <v>20</v>
      </c>
      <c r="F3159">
        <v>1</v>
      </c>
      <c r="G3159" s="2">
        <v>45950</v>
      </c>
      <c r="H3159" s="2">
        <v>45957</v>
      </c>
      <c r="I3159">
        <v>145.59</v>
      </c>
      <c r="J3159">
        <v>61.57</v>
      </c>
      <c r="K3159">
        <v>61.57</v>
      </c>
      <c r="L3159">
        <v>0</v>
      </c>
      <c r="M3159" s="1" t="s">
        <v>21</v>
      </c>
      <c r="N3159" s="1" t="s">
        <v>22</v>
      </c>
      <c r="O3159" s="2">
        <v>45981</v>
      </c>
      <c r="P3159" s="2">
        <v>45981</v>
      </c>
      <c r="Q3159">
        <f>_xlfn.XLOOKUP(E3159,CPT!$A$2:$A$13,CPT!$D$2:$D$13)</f>
        <v>145</v>
      </c>
      <c r="R3159" s="1">
        <f>_xlfn.XLOOKUP(C3159,Contract!$A$2:$A$9,Contract!$B$2:$B$9)</f>
        <v>0.45</v>
      </c>
      <c r="S3159" s="1">
        <f t="shared" si="196"/>
        <v>65.25</v>
      </c>
      <c r="T3159" s="1">
        <f t="shared" si="197"/>
        <v>3.6799999999999997</v>
      </c>
      <c r="U3159" s="1" t="str">
        <f t="shared" si="198"/>
        <v>Underpaid</v>
      </c>
      <c r="V3159" s="1" t="str">
        <f>_xlfn.XLOOKUP(C3159,Payers!$A$2:$A$9,Payers!$B$2:$B$9)</f>
        <v>Blue Horizon Commercial</v>
      </c>
      <c r="W3159" s="1" t="str">
        <f t="shared" si="199"/>
        <v>2025-10</v>
      </c>
    </row>
    <row r="3160" spans="1:23">
      <c r="A3160" s="1" t="s">
        <v>5276</v>
      </c>
      <c r="B3160" s="1" t="s">
        <v>1387</v>
      </c>
      <c r="C3160" s="1" t="s">
        <v>18</v>
      </c>
      <c r="D3160" s="1" t="s">
        <v>30</v>
      </c>
      <c r="E3160" s="1" t="s">
        <v>91</v>
      </c>
      <c r="F3160">
        <v>1</v>
      </c>
      <c r="G3160" s="2">
        <v>45951</v>
      </c>
      <c r="H3160" s="2">
        <v>45956</v>
      </c>
      <c r="I3160">
        <v>59.34</v>
      </c>
      <c r="J3160">
        <v>26.12</v>
      </c>
      <c r="K3160">
        <v>26.12</v>
      </c>
      <c r="L3160">
        <v>0</v>
      </c>
      <c r="M3160" s="1" t="s">
        <v>21</v>
      </c>
      <c r="N3160" s="1" t="s">
        <v>22</v>
      </c>
      <c r="O3160" s="2">
        <v>46020</v>
      </c>
      <c r="P3160" s="2">
        <v>46020</v>
      </c>
      <c r="Q3160">
        <f>_xlfn.XLOOKUP(E3160,CPT!$A$2:$A$13,CPT!$D$2:$D$13)</f>
        <v>58</v>
      </c>
      <c r="R3160" s="1">
        <f>_xlfn.XLOOKUP(C3160,Contract!$A$2:$A$9,Contract!$B$2:$B$9)</f>
        <v>0.38</v>
      </c>
      <c r="S3160" s="1">
        <f t="shared" si="196"/>
        <v>22.04</v>
      </c>
      <c r="T3160" s="1">
        <f t="shared" si="197"/>
        <v>-4.0800000000000018</v>
      </c>
      <c r="U3160" s="1" t="str">
        <f t="shared" si="198"/>
        <v>OK</v>
      </c>
      <c r="V3160" s="1" t="str">
        <f>_xlfn.XLOOKUP(C3160,Payers!$A$2:$A$9,Payers!$B$2:$B$9)</f>
        <v>Sunshine Medicare Advantage</v>
      </c>
      <c r="W3160" s="1" t="str">
        <f t="shared" si="199"/>
        <v>2025-10</v>
      </c>
    </row>
    <row r="3161" spans="1:23">
      <c r="A3161" s="1" t="s">
        <v>5277</v>
      </c>
      <c r="B3161" s="1" t="s">
        <v>3933</v>
      </c>
      <c r="C3161" s="1" t="s">
        <v>76</v>
      </c>
      <c r="D3161" s="1" t="s">
        <v>19</v>
      </c>
      <c r="E3161" s="1" t="s">
        <v>57</v>
      </c>
      <c r="F3161">
        <v>1</v>
      </c>
      <c r="G3161" s="2">
        <v>46028</v>
      </c>
      <c r="H3161" s="2">
        <v>46029</v>
      </c>
      <c r="I3161">
        <v>212.88</v>
      </c>
      <c r="J3161">
        <v>94.86</v>
      </c>
      <c r="K3161">
        <v>94.86</v>
      </c>
      <c r="L3161">
        <v>0</v>
      </c>
      <c r="M3161" s="1" t="s">
        <v>21</v>
      </c>
      <c r="N3161" s="1" t="s">
        <v>22</v>
      </c>
      <c r="O3161" s="2">
        <v>46058</v>
      </c>
      <c r="P3161" s="2">
        <v>46058</v>
      </c>
      <c r="Q3161">
        <f>_xlfn.XLOOKUP(E3161,CPT!$A$2:$A$13,CPT!$D$2:$D$13)</f>
        <v>210</v>
      </c>
      <c r="R3161" s="1">
        <f>_xlfn.XLOOKUP(C3161,Contract!$A$2:$A$9,Contract!$B$2:$B$9)</f>
        <v>0.43</v>
      </c>
      <c r="S3161" s="1">
        <f t="shared" si="196"/>
        <v>90.3</v>
      </c>
      <c r="T3161" s="1">
        <f t="shared" si="197"/>
        <v>-4.5600000000000023</v>
      </c>
      <c r="U3161" s="1" t="str">
        <f t="shared" si="198"/>
        <v>OK</v>
      </c>
      <c r="V3161" s="1" t="str">
        <f>_xlfn.XLOOKUP(C3161,Payers!$A$2:$A$9,Payers!$B$2:$B$9)</f>
        <v>Summit Health Commercial</v>
      </c>
      <c r="W3161" s="1" t="str">
        <f t="shared" si="199"/>
        <v>2026-01</v>
      </c>
    </row>
    <row r="3162" spans="1:23">
      <c r="A3162" s="1" t="s">
        <v>5278</v>
      </c>
      <c r="B3162" s="1" t="s">
        <v>1851</v>
      </c>
      <c r="C3162" s="1" t="s">
        <v>25</v>
      </c>
      <c r="D3162" s="1" t="s">
        <v>26</v>
      </c>
      <c r="E3162" s="1" t="s">
        <v>27</v>
      </c>
      <c r="F3162">
        <v>1</v>
      </c>
      <c r="G3162" s="2">
        <v>46051</v>
      </c>
      <c r="H3162" s="2">
        <v>46054</v>
      </c>
      <c r="I3162">
        <v>237.99</v>
      </c>
      <c r="J3162">
        <v>84.57</v>
      </c>
      <c r="K3162">
        <v>84.57</v>
      </c>
      <c r="L3162">
        <v>0</v>
      </c>
      <c r="M3162" s="1" t="s">
        <v>21</v>
      </c>
      <c r="N3162" s="1" t="s">
        <v>22</v>
      </c>
      <c r="O3162" s="2">
        <v>46075</v>
      </c>
      <c r="P3162" s="2">
        <v>46075</v>
      </c>
      <c r="Q3162">
        <f>_xlfn.XLOOKUP(E3162,CPT!$A$2:$A$13,CPT!$D$2:$D$13)</f>
        <v>240</v>
      </c>
      <c r="R3162" s="1">
        <f>_xlfn.XLOOKUP(C3162,Contract!$A$2:$A$9,Contract!$B$2:$B$9)</f>
        <v>0.36</v>
      </c>
      <c r="S3162" s="1">
        <f t="shared" si="196"/>
        <v>86.4</v>
      </c>
      <c r="T3162" s="1">
        <f t="shared" si="197"/>
        <v>1.8300000000000125</v>
      </c>
      <c r="U3162" s="1" t="str">
        <f t="shared" si="198"/>
        <v>OK</v>
      </c>
      <c r="V3162" s="1" t="str">
        <f>_xlfn.XLOOKUP(C3162,Payers!$A$2:$A$9,Payers!$B$2:$B$9)</f>
        <v>Medicare Part B</v>
      </c>
      <c r="W3162" s="1" t="str">
        <f t="shared" si="199"/>
        <v>2026-01</v>
      </c>
    </row>
    <row r="3163" spans="1:23">
      <c r="A3163" s="1" t="s">
        <v>5279</v>
      </c>
      <c r="B3163" s="1" t="s">
        <v>5280</v>
      </c>
      <c r="C3163" s="1" t="s">
        <v>18</v>
      </c>
      <c r="D3163" s="1" t="s">
        <v>19</v>
      </c>
      <c r="E3163" s="1" t="s">
        <v>88</v>
      </c>
      <c r="F3163">
        <v>1</v>
      </c>
      <c r="G3163" s="2">
        <v>46281</v>
      </c>
      <c r="H3163" s="2">
        <v>46282</v>
      </c>
      <c r="I3163">
        <v>261.98</v>
      </c>
      <c r="M3163" s="1" t="s">
        <v>69</v>
      </c>
      <c r="N3163" s="1" t="s">
        <v>22</v>
      </c>
      <c r="O3163" s="2"/>
      <c r="P3163" s="2"/>
      <c r="Q3163">
        <f>_xlfn.XLOOKUP(E3163,CPT!$A$2:$A$13,CPT!$D$2:$D$13)</f>
        <v>260</v>
      </c>
      <c r="R3163" s="1">
        <f>_xlfn.XLOOKUP(C3163,Contract!$A$2:$A$9,Contract!$B$2:$B$9)</f>
        <v>0.38</v>
      </c>
      <c r="S3163" s="1">
        <f t="shared" si="196"/>
        <v>98.8</v>
      </c>
      <c r="T3163" s="1" t="str">
        <f t="shared" si="197"/>
        <v/>
      </c>
      <c r="U3163" s="1" t="str">
        <f t="shared" si="198"/>
        <v/>
      </c>
      <c r="V3163" s="1" t="str">
        <f>_xlfn.XLOOKUP(C3163,Payers!$A$2:$A$9,Payers!$B$2:$B$9)</f>
        <v>Sunshine Medicare Advantage</v>
      </c>
      <c r="W3163" s="1" t="str">
        <f t="shared" si="199"/>
        <v>2026-09</v>
      </c>
    </row>
    <row r="3164" spans="1:23">
      <c r="A3164" s="1" t="s">
        <v>5281</v>
      </c>
      <c r="B3164" s="1" t="s">
        <v>5282</v>
      </c>
      <c r="C3164" s="1" t="s">
        <v>25</v>
      </c>
      <c r="D3164" s="1" t="s">
        <v>19</v>
      </c>
      <c r="E3164" s="1" t="s">
        <v>41</v>
      </c>
      <c r="F3164">
        <v>1</v>
      </c>
      <c r="G3164" s="2">
        <v>46031</v>
      </c>
      <c r="H3164" s="2">
        <v>46038</v>
      </c>
      <c r="I3164">
        <v>38.49</v>
      </c>
      <c r="J3164">
        <v>13.36</v>
      </c>
      <c r="K3164">
        <v>10.69</v>
      </c>
      <c r="L3164">
        <v>2.67</v>
      </c>
      <c r="M3164" s="1" t="s">
        <v>21</v>
      </c>
      <c r="N3164" s="1" t="s">
        <v>22</v>
      </c>
      <c r="O3164" s="2">
        <v>46051</v>
      </c>
      <c r="P3164" s="2">
        <v>46051</v>
      </c>
      <c r="Q3164">
        <f>_xlfn.XLOOKUP(E3164,CPT!$A$2:$A$13,CPT!$D$2:$D$13)</f>
        <v>38</v>
      </c>
      <c r="R3164" s="1">
        <f>_xlfn.XLOOKUP(C3164,Contract!$A$2:$A$9,Contract!$B$2:$B$9)</f>
        <v>0.36</v>
      </c>
      <c r="S3164" s="1">
        <f t="shared" si="196"/>
        <v>13.68</v>
      </c>
      <c r="T3164" s="1">
        <f t="shared" si="197"/>
        <v>0.32000000000000028</v>
      </c>
      <c r="U3164" s="1" t="str">
        <f t="shared" si="198"/>
        <v>OK</v>
      </c>
      <c r="V3164" s="1" t="str">
        <f>_xlfn.XLOOKUP(C3164,Payers!$A$2:$A$9,Payers!$B$2:$B$9)</f>
        <v>Medicare Part B</v>
      </c>
      <c r="W3164" s="1" t="str">
        <f t="shared" si="199"/>
        <v>2026-01</v>
      </c>
    </row>
    <row r="3165" spans="1:23">
      <c r="A3165" s="1" t="s">
        <v>5283</v>
      </c>
      <c r="B3165" s="1" t="s">
        <v>2776</v>
      </c>
      <c r="C3165" s="1" t="s">
        <v>76</v>
      </c>
      <c r="D3165" s="1" t="s">
        <v>19</v>
      </c>
      <c r="E3165" s="1" t="s">
        <v>57</v>
      </c>
      <c r="F3165">
        <v>1</v>
      </c>
      <c r="G3165" s="2">
        <v>46132</v>
      </c>
      <c r="H3165" s="2">
        <v>46134</v>
      </c>
      <c r="I3165">
        <v>213.73</v>
      </c>
      <c r="J3165">
        <v>94.29</v>
      </c>
      <c r="K3165">
        <v>75.430000000000007</v>
      </c>
      <c r="L3165">
        <v>18.86</v>
      </c>
      <c r="M3165" s="1" t="s">
        <v>21</v>
      </c>
      <c r="N3165" s="1" t="s">
        <v>22</v>
      </c>
      <c r="O3165" s="2">
        <v>46164</v>
      </c>
      <c r="P3165" s="2">
        <v>46164</v>
      </c>
      <c r="Q3165">
        <f>_xlfn.XLOOKUP(E3165,CPT!$A$2:$A$13,CPT!$D$2:$D$13)</f>
        <v>210</v>
      </c>
      <c r="R3165" s="1">
        <f>_xlfn.XLOOKUP(C3165,Contract!$A$2:$A$9,Contract!$B$2:$B$9)</f>
        <v>0.43</v>
      </c>
      <c r="S3165" s="1">
        <f t="shared" si="196"/>
        <v>90.3</v>
      </c>
      <c r="T3165" s="1">
        <f t="shared" si="197"/>
        <v>-3.9900000000000091</v>
      </c>
      <c r="U3165" s="1" t="str">
        <f t="shared" si="198"/>
        <v>OK</v>
      </c>
      <c r="V3165" s="1" t="str">
        <f>_xlfn.XLOOKUP(C3165,Payers!$A$2:$A$9,Payers!$B$2:$B$9)</f>
        <v>Summit Health Commercial</v>
      </c>
      <c r="W3165" s="1" t="str">
        <f t="shared" si="199"/>
        <v>2026-04</v>
      </c>
    </row>
    <row r="3166" spans="1:23">
      <c r="A3166" s="1" t="s">
        <v>5284</v>
      </c>
      <c r="B3166" s="1" t="s">
        <v>1436</v>
      </c>
      <c r="C3166" s="1" t="s">
        <v>36</v>
      </c>
      <c r="D3166" s="1" t="s">
        <v>19</v>
      </c>
      <c r="E3166" s="1" t="s">
        <v>57</v>
      </c>
      <c r="F3166">
        <v>1</v>
      </c>
      <c r="G3166" s="2">
        <v>46010</v>
      </c>
      <c r="H3166" s="2">
        <v>46012</v>
      </c>
      <c r="I3166">
        <v>209.66</v>
      </c>
      <c r="J3166">
        <v>51.78</v>
      </c>
      <c r="K3166">
        <v>51.78</v>
      </c>
      <c r="L3166">
        <v>0</v>
      </c>
      <c r="M3166" s="1" t="s">
        <v>21</v>
      </c>
      <c r="N3166" s="1" t="s">
        <v>22</v>
      </c>
      <c r="O3166" s="2">
        <v>46052</v>
      </c>
      <c r="P3166" s="2">
        <v>46052</v>
      </c>
      <c r="Q3166">
        <f>_xlfn.XLOOKUP(E3166,CPT!$A$2:$A$13,CPT!$D$2:$D$13)</f>
        <v>210</v>
      </c>
      <c r="R3166" s="1">
        <f>_xlfn.XLOOKUP(C3166,Contract!$A$2:$A$9,Contract!$B$2:$B$9)</f>
        <v>0.27</v>
      </c>
      <c r="S3166" s="1">
        <f t="shared" si="196"/>
        <v>56.7</v>
      </c>
      <c r="T3166" s="1">
        <f t="shared" si="197"/>
        <v>4.9200000000000017</v>
      </c>
      <c r="U3166" s="1" t="str">
        <f t="shared" si="198"/>
        <v>Underpaid</v>
      </c>
      <c r="V3166" s="1" t="str">
        <f>_xlfn.XLOOKUP(C3166,Payers!$A$2:$A$9,Payers!$B$2:$B$9)</f>
        <v>Florida Medicaid</v>
      </c>
      <c r="W3166" s="1" t="str">
        <f t="shared" si="199"/>
        <v>2025-12</v>
      </c>
    </row>
    <row r="3167" spans="1:23">
      <c r="A3167" s="1" t="s">
        <v>5285</v>
      </c>
      <c r="B3167" s="1" t="s">
        <v>5286</v>
      </c>
      <c r="C3167" s="1" t="s">
        <v>36</v>
      </c>
      <c r="D3167" s="1" t="s">
        <v>19</v>
      </c>
      <c r="E3167" s="1" t="s">
        <v>20</v>
      </c>
      <c r="F3167">
        <v>1</v>
      </c>
      <c r="G3167" s="2">
        <v>46141</v>
      </c>
      <c r="H3167" s="2">
        <v>46143</v>
      </c>
      <c r="I3167">
        <v>144.34</v>
      </c>
      <c r="J3167">
        <v>34.32</v>
      </c>
      <c r="K3167">
        <v>34.32</v>
      </c>
      <c r="L3167">
        <v>0</v>
      </c>
      <c r="M3167" s="1" t="s">
        <v>21</v>
      </c>
      <c r="N3167" s="1" t="s">
        <v>22</v>
      </c>
      <c r="O3167" s="2">
        <v>46193</v>
      </c>
      <c r="P3167" s="2">
        <v>46193</v>
      </c>
      <c r="Q3167">
        <f>_xlfn.XLOOKUP(E3167,CPT!$A$2:$A$13,CPT!$D$2:$D$13)</f>
        <v>145</v>
      </c>
      <c r="R3167" s="1">
        <f>_xlfn.XLOOKUP(C3167,Contract!$A$2:$A$9,Contract!$B$2:$B$9)</f>
        <v>0.27</v>
      </c>
      <c r="S3167" s="1">
        <f t="shared" si="196"/>
        <v>39.15</v>
      </c>
      <c r="T3167" s="1">
        <f t="shared" si="197"/>
        <v>4.8299999999999983</v>
      </c>
      <c r="U3167" s="1" t="str">
        <f t="shared" si="198"/>
        <v>Underpaid</v>
      </c>
      <c r="V3167" s="1" t="str">
        <f>_xlfn.XLOOKUP(C3167,Payers!$A$2:$A$9,Payers!$B$2:$B$9)</f>
        <v>Florida Medicaid</v>
      </c>
      <c r="W3167" s="1" t="str">
        <f t="shared" si="199"/>
        <v>2026-04</v>
      </c>
    </row>
    <row r="3168" spans="1:23">
      <c r="A3168" s="1" t="s">
        <v>5287</v>
      </c>
      <c r="B3168" s="1" t="s">
        <v>5288</v>
      </c>
      <c r="C3168" s="1" t="s">
        <v>76</v>
      </c>
      <c r="D3168" s="1" t="s">
        <v>19</v>
      </c>
      <c r="E3168" s="1" t="s">
        <v>57</v>
      </c>
      <c r="F3168">
        <v>1</v>
      </c>
      <c r="G3168" s="2">
        <v>46283</v>
      </c>
      <c r="H3168" s="2">
        <v>46284</v>
      </c>
      <c r="I3168">
        <v>216.11</v>
      </c>
      <c r="M3168" s="1" t="s">
        <v>69</v>
      </c>
      <c r="N3168" s="1" t="s">
        <v>22</v>
      </c>
      <c r="O3168" s="2"/>
      <c r="P3168" s="2"/>
      <c r="Q3168">
        <f>_xlfn.XLOOKUP(E3168,CPT!$A$2:$A$13,CPT!$D$2:$D$13)</f>
        <v>210</v>
      </c>
      <c r="R3168" s="1">
        <f>_xlfn.XLOOKUP(C3168,Contract!$A$2:$A$9,Contract!$B$2:$B$9)</f>
        <v>0.43</v>
      </c>
      <c r="S3168" s="1">
        <f t="shared" si="196"/>
        <v>90.3</v>
      </c>
      <c r="T3168" s="1" t="str">
        <f t="shared" si="197"/>
        <v/>
      </c>
      <c r="U3168" s="1" t="str">
        <f t="shared" si="198"/>
        <v/>
      </c>
      <c r="V3168" s="1" t="str">
        <f>_xlfn.XLOOKUP(C3168,Payers!$A$2:$A$9,Payers!$B$2:$B$9)</f>
        <v>Summit Health Commercial</v>
      </c>
      <c r="W3168" s="1" t="str">
        <f t="shared" si="199"/>
        <v>2026-09</v>
      </c>
    </row>
    <row r="3169" spans="1:23">
      <c r="A3169" s="1" t="s">
        <v>5289</v>
      </c>
      <c r="B3169" s="1" t="s">
        <v>3279</v>
      </c>
      <c r="C3169" s="1" t="s">
        <v>60</v>
      </c>
      <c r="D3169" s="1" t="s">
        <v>19</v>
      </c>
      <c r="E3169" s="1" t="s">
        <v>57</v>
      </c>
      <c r="F3169">
        <v>1</v>
      </c>
      <c r="G3169" s="2">
        <v>46166</v>
      </c>
      <c r="H3169" s="2">
        <v>46168</v>
      </c>
      <c r="I3169">
        <v>204.11</v>
      </c>
      <c r="J3169">
        <v>100.4</v>
      </c>
      <c r="K3169">
        <v>100.4</v>
      </c>
      <c r="L3169">
        <v>0</v>
      </c>
      <c r="M3169" s="1" t="s">
        <v>21</v>
      </c>
      <c r="N3169" s="1" t="s">
        <v>22</v>
      </c>
      <c r="O3169" s="2">
        <v>46210</v>
      </c>
      <c r="P3169" s="2">
        <v>46210</v>
      </c>
      <c r="Q3169">
        <f>_xlfn.XLOOKUP(E3169,CPT!$A$2:$A$13,CPT!$D$2:$D$13)</f>
        <v>210</v>
      </c>
      <c r="R3169" s="1">
        <f>_xlfn.XLOOKUP(C3169,Contract!$A$2:$A$9,Contract!$B$2:$B$9)</f>
        <v>0.45</v>
      </c>
      <c r="S3169" s="1">
        <f t="shared" si="196"/>
        <v>94.5</v>
      </c>
      <c r="T3169" s="1">
        <f t="shared" si="197"/>
        <v>-5.9000000000000057</v>
      </c>
      <c r="U3169" s="1" t="str">
        <f t="shared" si="198"/>
        <v>OK</v>
      </c>
      <c r="V3169" s="1" t="str">
        <f>_xlfn.XLOOKUP(C3169,Payers!$A$2:$A$9,Payers!$B$2:$B$9)</f>
        <v>Blue Horizon Commercial</v>
      </c>
      <c r="W3169" s="1" t="str">
        <f t="shared" si="199"/>
        <v>2026-05</v>
      </c>
    </row>
    <row r="3170" spans="1:23">
      <c r="A3170" s="1" t="s">
        <v>5290</v>
      </c>
      <c r="B3170" s="1" t="s">
        <v>396</v>
      </c>
      <c r="C3170" s="1" t="s">
        <v>47</v>
      </c>
      <c r="D3170" s="1" t="s">
        <v>30</v>
      </c>
      <c r="E3170" s="1" t="s">
        <v>20</v>
      </c>
      <c r="F3170">
        <v>1</v>
      </c>
      <c r="G3170" s="2">
        <v>46035</v>
      </c>
      <c r="H3170" s="2">
        <v>46037</v>
      </c>
      <c r="I3170">
        <v>143.01</v>
      </c>
      <c r="M3170" s="1" t="s">
        <v>32</v>
      </c>
      <c r="N3170" s="1" t="s">
        <v>124</v>
      </c>
      <c r="O3170" s="2">
        <v>46084</v>
      </c>
      <c r="P3170" s="2"/>
      <c r="Q3170">
        <f>_xlfn.XLOOKUP(E3170,CPT!$A$2:$A$13,CPT!$D$2:$D$13)</f>
        <v>145</v>
      </c>
      <c r="R3170" s="1">
        <f>_xlfn.XLOOKUP(C3170,Contract!$A$2:$A$9,Contract!$B$2:$B$9)</f>
        <v>0.28000000000000003</v>
      </c>
      <c r="S3170" s="1">
        <f t="shared" si="196"/>
        <v>40.6</v>
      </c>
      <c r="T3170" s="1" t="str">
        <f t="shared" si="197"/>
        <v/>
      </c>
      <c r="U3170" s="1" t="str">
        <f t="shared" si="198"/>
        <v/>
      </c>
      <c r="V3170" s="1" t="str">
        <f>_xlfn.XLOOKUP(C3170,Payers!$A$2:$A$9,Payers!$B$2:$B$9)</f>
        <v>Coastal Medicaid MCO</v>
      </c>
      <c r="W3170" s="1" t="str">
        <f t="shared" si="199"/>
        <v>2026-01</v>
      </c>
    </row>
    <row r="3171" spans="1:23">
      <c r="A3171" s="1" t="s">
        <v>5291</v>
      </c>
      <c r="B3171" s="1" t="s">
        <v>1553</v>
      </c>
      <c r="C3171" s="1" t="s">
        <v>25</v>
      </c>
      <c r="D3171" s="1" t="s">
        <v>26</v>
      </c>
      <c r="E3171" s="1" t="s">
        <v>27</v>
      </c>
      <c r="F3171">
        <v>1</v>
      </c>
      <c r="G3171" s="2">
        <v>46084</v>
      </c>
      <c r="H3171" s="2">
        <v>46088</v>
      </c>
      <c r="I3171">
        <v>235.39</v>
      </c>
      <c r="J3171">
        <v>77.819999999999993</v>
      </c>
      <c r="K3171">
        <v>77.819999999999993</v>
      </c>
      <c r="L3171">
        <v>0</v>
      </c>
      <c r="M3171" s="1" t="s">
        <v>21</v>
      </c>
      <c r="N3171" s="1" t="s">
        <v>22</v>
      </c>
      <c r="O3171" s="2">
        <v>46103</v>
      </c>
      <c r="P3171" s="2">
        <v>46103</v>
      </c>
      <c r="Q3171">
        <f>_xlfn.XLOOKUP(E3171,CPT!$A$2:$A$13,CPT!$D$2:$D$13)</f>
        <v>240</v>
      </c>
      <c r="R3171" s="1">
        <f>_xlfn.XLOOKUP(C3171,Contract!$A$2:$A$9,Contract!$B$2:$B$9)</f>
        <v>0.36</v>
      </c>
      <c r="S3171" s="1">
        <f t="shared" si="196"/>
        <v>86.4</v>
      </c>
      <c r="T3171" s="1">
        <f t="shared" si="197"/>
        <v>8.5800000000000125</v>
      </c>
      <c r="U3171" s="1" t="str">
        <f t="shared" si="198"/>
        <v>Underpaid</v>
      </c>
      <c r="V3171" s="1" t="str">
        <f>_xlfn.XLOOKUP(C3171,Payers!$A$2:$A$9,Payers!$B$2:$B$9)</f>
        <v>Medicare Part B</v>
      </c>
      <c r="W3171" s="1" t="str">
        <f t="shared" si="199"/>
        <v>2026-03</v>
      </c>
    </row>
    <row r="3172" spans="1:23">
      <c r="A3172" s="1" t="s">
        <v>5292</v>
      </c>
      <c r="B3172" s="1" t="s">
        <v>4108</v>
      </c>
      <c r="C3172" s="1" t="s">
        <v>60</v>
      </c>
      <c r="D3172" s="1" t="s">
        <v>26</v>
      </c>
      <c r="E3172" s="1" t="s">
        <v>27</v>
      </c>
      <c r="F3172">
        <v>1</v>
      </c>
      <c r="G3172" s="2">
        <v>46139</v>
      </c>
      <c r="H3172" s="2">
        <v>46142</v>
      </c>
      <c r="I3172">
        <v>236.73</v>
      </c>
      <c r="J3172">
        <v>119.85</v>
      </c>
      <c r="K3172">
        <v>95.88</v>
      </c>
      <c r="L3172">
        <v>23.97</v>
      </c>
      <c r="M3172" s="1" t="s">
        <v>21</v>
      </c>
      <c r="N3172" s="1" t="s">
        <v>22</v>
      </c>
      <c r="O3172" s="2">
        <v>46166</v>
      </c>
      <c r="P3172" s="2">
        <v>46166</v>
      </c>
      <c r="Q3172">
        <f>_xlfn.XLOOKUP(E3172,CPT!$A$2:$A$13,CPT!$D$2:$D$13)</f>
        <v>240</v>
      </c>
      <c r="R3172" s="1">
        <f>_xlfn.XLOOKUP(C3172,Contract!$A$2:$A$9,Contract!$B$2:$B$9)</f>
        <v>0.45</v>
      </c>
      <c r="S3172" s="1">
        <f t="shared" si="196"/>
        <v>108</v>
      </c>
      <c r="T3172" s="1">
        <f t="shared" si="197"/>
        <v>-11.849999999999994</v>
      </c>
      <c r="U3172" s="1" t="str">
        <f t="shared" si="198"/>
        <v>OK</v>
      </c>
      <c r="V3172" s="1" t="str">
        <f>_xlfn.XLOOKUP(C3172,Payers!$A$2:$A$9,Payers!$B$2:$B$9)</f>
        <v>Blue Horizon Commercial</v>
      </c>
      <c r="W3172" s="1" t="str">
        <f t="shared" si="199"/>
        <v>2026-04</v>
      </c>
    </row>
    <row r="3173" spans="1:23">
      <c r="A3173" s="1" t="s">
        <v>5293</v>
      </c>
      <c r="B3173" s="1" t="s">
        <v>4822</v>
      </c>
      <c r="C3173" s="1" t="s">
        <v>60</v>
      </c>
      <c r="D3173" s="1" t="s">
        <v>26</v>
      </c>
      <c r="E3173" s="1" t="s">
        <v>41</v>
      </c>
      <c r="F3173">
        <v>1</v>
      </c>
      <c r="G3173" s="2">
        <v>46040</v>
      </c>
      <c r="H3173" s="2">
        <v>46044</v>
      </c>
      <c r="I3173">
        <v>38.35</v>
      </c>
      <c r="J3173">
        <v>17.239999999999998</v>
      </c>
      <c r="K3173">
        <v>17.239999999999998</v>
      </c>
      <c r="L3173">
        <v>0</v>
      </c>
      <c r="M3173" s="1" t="s">
        <v>21</v>
      </c>
      <c r="N3173" s="1" t="s">
        <v>22</v>
      </c>
      <c r="O3173" s="2">
        <v>46066</v>
      </c>
      <c r="P3173" s="2">
        <v>46066</v>
      </c>
      <c r="Q3173">
        <f>_xlfn.XLOOKUP(E3173,CPT!$A$2:$A$13,CPT!$D$2:$D$13)</f>
        <v>38</v>
      </c>
      <c r="R3173" s="1">
        <f>_xlfn.XLOOKUP(C3173,Contract!$A$2:$A$9,Contract!$B$2:$B$9)</f>
        <v>0.45</v>
      </c>
      <c r="S3173" s="1">
        <f t="shared" si="196"/>
        <v>17.100000000000001</v>
      </c>
      <c r="T3173" s="1">
        <f t="shared" si="197"/>
        <v>-0.13999999999999702</v>
      </c>
      <c r="U3173" s="1" t="str">
        <f t="shared" si="198"/>
        <v>OK</v>
      </c>
      <c r="V3173" s="1" t="str">
        <f>_xlfn.XLOOKUP(C3173,Payers!$A$2:$A$9,Payers!$B$2:$B$9)</f>
        <v>Blue Horizon Commercial</v>
      </c>
      <c r="W3173" s="1" t="str">
        <f t="shared" si="199"/>
        <v>2026-01</v>
      </c>
    </row>
    <row r="3174" spans="1:23">
      <c r="A3174" s="1" t="s">
        <v>5294</v>
      </c>
      <c r="B3174" s="1" t="s">
        <v>3281</v>
      </c>
      <c r="C3174" s="1" t="s">
        <v>60</v>
      </c>
      <c r="D3174" s="1" t="s">
        <v>26</v>
      </c>
      <c r="E3174" s="1" t="s">
        <v>88</v>
      </c>
      <c r="F3174">
        <v>1</v>
      </c>
      <c r="G3174" s="2">
        <v>46092</v>
      </c>
      <c r="H3174" s="2">
        <v>46094</v>
      </c>
      <c r="I3174">
        <v>264.83</v>
      </c>
      <c r="J3174">
        <v>124.77</v>
      </c>
      <c r="K3174">
        <v>112.29</v>
      </c>
      <c r="L3174">
        <v>12.48</v>
      </c>
      <c r="M3174" s="1" t="s">
        <v>21</v>
      </c>
      <c r="N3174" s="1" t="s">
        <v>22</v>
      </c>
      <c r="O3174" s="2">
        <v>46123</v>
      </c>
      <c r="P3174" s="2">
        <v>46123</v>
      </c>
      <c r="Q3174">
        <f>_xlfn.XLOOKUP(E3174,CPT!$A$2:$A$13,CPT!$D$2:$D$13)</f>
        <v>260</v>
      </c>
      <c r="R3174" s="1">
        <f>_xlfn.XLOOKUP(C3174,Contract!$A$2:$A$9,Contract!$B$2:$B$9)</f>
        <v>0.45</v>
      </c>
      <c r="S3174" s="1">
        <f t="shared" si="196"/>
        <v>117</v>
      </c>
      <c r="T3174" s="1">
        <f t="shared" si="197"/>
        <v>-7.769999999999996</v>
      </c>
      <c r="U3174" s="1" t="str">
        <f t="shared" si="198"/>
        <v>OK</v>
      </c>
      <c r="V3174" s="1" t="str">
        <f>_xlfn.XLOOKUP(C3174,Payers!$A$2:$A$9,Payers!$B$2:$B$9)</f>
        <v>Blue Horizon Commercial</v>
      </c>
      <c r="W3174" s="1" t="str">
        <f t="shared" si="199"/>
        <v>2026-03</v>
      </c>
    </row>
    <row r="3175" spans="1:23">
      <c r="A3175" s="1" t="s">
        <v>5295</v>
      </c>
      <c r="B3175" s="1" t="s">
        <v>4208</v>
      </c>
      <c r="C3175" s="1" t="s">
        <v>47</v>
      </c>
      <c r="D3175" s="1" t="s">
        <v>30</v>
      </c>
      <c r="E3175" s="1" t="s">
        <v>31</v>
      </c>
      <c r="F3175">
        <v>1</v>
      </c>
      <c r="G3175" s="2">
        <v>46051</v>
      </c>
      <c r="H3175" s="2">
        <v>46054</v>
      </c>
      <c r="I3175">
        <v>61.4</v>
      </c>
      <c r="M3175" s="1" t="s">
        <v>32</v>
      </c>
      <c r="N3175" s="1" t="s">
        <v>124</v>
      </c>
      <c r="O3175" s="2">
        <v>46102</v>
      </c>
      <c r="P3175" s="2"/>
      <c r="Q3175">
        <f>_xlfn.XLOOKUP(E3175,CPT!$A$2:$A$13,CPT!$D$2:$D$13)</f>
        <v>62</v>
      </c>
      <c r="R3175" s="1">
        <f>_xlfn.XLOOKUP(C3175,Contract!$A$2:$A$9,Contract!$B$2:$B$9)</f>
        <v>0.28000000000000003</v>
      </c>
      <c r="S3175" s="1">
        <f t="shared" si="196"/>
        <v>17.36</v>
      </c>
      <c r="T3175" s="1" t="str">
        <f t="shared" si="197"/>
        <v/>
      </c>
      <c r="U3175" s="1" t="str">
        <f t="shared" si="198"/>
        <v/>
      </c>
      <c r="V3175" s="1" t="str">
        <f>_xlfn.XLOOKUP(C3175,Payers!$A$2:$A$9,Payers!$B$2:$B$9)</f>
        <v>Coastal Medicaid MCO</v>
      </c>
      <c r="W3175" s="1" t="str">
        <f t="shared" si="199"/>
        <v>2026-01</v>
      </c>
    </row>
    <row r="3176" spans="1:23">
      <c r="A3176" s="1" t="s">
        <v>5296</v>
      </c>
      <c r="B3176" s="1" t="s">
        <v>3692</v>
      </c>
      <c r="C3176" s="1" t="s">
        <v>18</v>
      </c>
      <c r="D3176" s="1" t="s">
        <v>26</v>
      </c>
      <c r="E3176" s="1" t="s">
        <v>57</v>
      </c>
      <c r="F3176">
        <v>1</v>
      </c>
      <c r="G3176" s="2">
        <v>46204</v>
      </c>
      <c r="H3176" s="2">
        <v>46211</v>
      </c>
      <c r="I3176">
        <v>211.76</v>
      </c>
      <c r="J3176">
        <v>72.63</v>
      </c>
      <c r="K3176">
        <v>72.63</v>
      </c>
      <c r="L3176">
        <v>0</v>
      </c>
      <c r="M3176" s="1" t="s">
        <v>21</v>
      </c>
      <c r="N3176" s="1" t="s">
        <v>22</v>
      </c>
      <c r="O3176" s="2">
        <v>46264</v>
      </c>
      <c r="P3176" s="2">
        <v>46264</v>
      </c>
      <c r="Q3176">
        <f>_xlfn.XLOOKUP(E3176,CPT!$A$2:$A$13,CPT!$D$2:$D$13)</f>
        <v>210</v>
      </c>
      <c r="R3176" s="1">
        <f>_xlfn.XLOOKUP(C3176,Contract!$A$2:$A$9,Contract!$B$2:$B$9)</f>
        <v>0.38</v>
      </c>
      <c r="S3176" s="1">
        <f t="shared" si="196"/>
        <v>79.8</v>
      </c>
      <c r="T3176" s="1">
        <f t="shared" si="197"/>
        <v>7.1700000000000017</v>
      </c>
      <c r="U3176" s="1" t="str">
        <f t="shared" si="198"/>
        <v>Underpaid</v>
      </c>
      <c r="V3176" s="1" t="str">
        <f>_xlfn.XLOOKUP(C3176,Payers!$A$2:$A$9,Payers!$B$2:$B$9)</f>
        <v>Sunshine Medicare Advantage</v>
      </c>
      <c r="W3176" s="1" t="str">
        <f t="shared" si="199"/>
        <v>2026-07</v>
      </c>
    </row>
    <row r="3177" spans="1:23">
      <c r="A3177" s="1" t="s">
        <v>5297</v>
      </c>
      <c r="B3177" s="1" t="s">
        <v>902</v>
      </c>
      <c r="C3177" s="1" t="s">
        <v>52</v>
      </c>
      <c r="D3177" s="1" t="s">
        <v>19</v>
      </c>
      <c r="E3177" s="1" t="s">
        <v>20</v>
      </c>
      <c r="F3177">
        <v>1</v>
      </c>
      <c r="G3177" s="2">
        <v>46233</v>
      </c>
      <c r="H3177" s="2">
        <v>46239</v>
      </c>
      <c r="I3177">
        <v>144.04</v>
      </c>
      <c r="J3177">
        <v>75.790000000000006</v>
      </c>
      <c r="K3177">
        <v>60.63</v>
      </c>
      <c r="L3177">
        <v>15.16</v>
      </c>
      <c r="M3177" s="1" t="s">
        <v>21</v>
      </c>
      <c r="N3177" s="1" t="s">
        <v>22</v>
      </c>
      <c r="O3177" s="2">
        <v>46288</v>
      </c>
      <c r="P3177" s="2">
        <v>46288</v>
      </c>
      <c r="Q3177">
        <f>_xlfn.XLOOKUP(E3177,CPT!$A$2:$A$13,CPT!$D$2:$D$13)</f>
        <v>145</v>
      </c>
      <c r="R3177" s="1">
        <f>_xlfn.XLOOKUP(C3177,Contract!$A$2:$A$9,Contract!$B$2:$B$9)</f>
        <v>0.47</v>
      </c>
      <c r="S3177" s="1">
        <f t="shared" si="196"/>
        <v>68.150000000000006</v>
      </c>
      <c r="T3177" s="1">
        <f t="shared" si="197"/>
        <v>-7.6400000000000006</v>
      </c>
      <c r="U3177" s="1" t="str">
        <f t="shared" si="198"/>
        <v>OK</v>
      </c>
      <c r="V3177" s="1" t="str">
        <f>_xlfn.XLOOKUP(C3177,Payers!$A$2:$A$9,Payers!$B$2:$B$9)</f>
        <v>Keystone Commercial PPO</v>
      </c>
      <c r="W3177" s="1" t="str">
        <f t="shared" si="199"/>
        <v>2026-07</v>
      </c>
    </row>
    <row r="3178" spans="1:23">
      <c r="A3178" s="1" t="s">
        <v>5298</v>
      </c>
      <c r="B3178" s="1" t="s">
        <v>5299</v>
      </c>
      <c r="C3178" s="1" t="s">
        <v>25</v>
      </c>
      <c r="D3178" s="1" t="s">
        <v>37</v>
      </c>
      <c r="E3178" s="1" t="s">
        <v>48</v>
      </c>
      <c r="F3178">
        <v>1</v>
      </c>
      <c r="G3178" s="2">
        <v>46006</v>
      </c>
      <c r="H3178" s="2">
        <v>46013</v>
      </c>
      <c r="I3178">
        <v>427.53</v>
      </c>
      <c r="J3178">
        <v>153.47999999999999</v>
      </c>
      <c r="K3178">
        <v>122.78</v>
      </c>
      <c r="L3178">
        <v>30.7</v>
      </c>
      <c r="M3178" s="1" t="s">
        <v>21</v>
      </c>
      <c r="N3178" s="1" t="s">
        <v>22</v>
      </c>
      <c r="O3178" s="2">
        <v>46038</v>
      </c>
      <c r="P3178" s="2">
        <v>46038</v>
      </c>
      <c r="Q3178">
        <f>_xlfn.XLOOKUP(E3178,CPT!$A$2:$A$13,CPT!$D$2:$D$13)</f>
        <v>420</v>
      </c>
      <c r="R3178" s="1">
        <f>_xlfn.XLOOKUP(C3178,Contract!$A$2:$A$9,Contract!$B$2:$B$9)</f>
        <v>0.36</v>
      </c>
      <c r="S3178" s="1">
        <f t="shared" si="196"/>
        <v>151.19999999999999</v>
      </c>
      <c r="T3178" s="1">
        <f t="shared" si="197"/>
        <v>-2.2800000000000011</v>
      </c>
      <c r="U3178" s="1" t="str">
        <f t="shared" si="198"/>
        <v>OK</v>
      </c>
      <c r="V3178" s="1" t="str">
        <f>_xlfn.XLOOKUP(C3178,Payers!$A$2:$A$9,Payers!$B$2:$B$9)</f>
        <v>Medicare Part B</v>
      </c>
      <c r="W3178" s="1" t="str">
        <f t="shared" si="199"/>
        <v>2025-12</v>
      </c>
    </row>
    <row r="3179" spans="1:23">
      <c r="A3179" s="1" t="s">
        <v>5300</v>
      </c>
      <c r="B3179" s="1" t="s">
        <v>3062</v>
      </c>
      <c r="C3179" s="1" t="s">
        <v>36</v>
      </c>
      <c r="D3179" s="1" t="s">
        <v>26</v>
      </c>
      <c r="E3179" s="1" t="s">
        <v>88</v>
      </c>
      <c r="F3179">
        <v>1</v>
      </c>
      <c r="G3179" s="2">
        <v>46067</v>
      </c>
      <c r="H3179" s="2">
        <v>46069</v>
      </c>
      <c r="I3179">
        <v>259.02999999999997</v>
      </c>
      <c r="M3179" s="1" t="s">
        <v>32</v>
      </c>
      <c r="N3179" s="1" t="s">
        <v>33</v>
      </c>
      <c r="O3179" s="2">
        <v>46104</v>
      </c>
      <c r="P3179" s="2"/>
      <c r="Q3179">
        <f>_xlfn.XLOOKUP(E3179,CPT!$A$2:$A$13,CPT!$D$2:$D$13)</f>
        <v>260</v>
      </c>
      <c r="R3179" s="1">
        <f>_xlfn.XLOOKUP(C3179,Contract!$A$2:$A$9,Contract!$B$2:$B$9)</f>
        <v>0.27</v>
      </c>
      <c r="S3179" s="1">
        <f t="shared" si="196"/>
        <v>70.2</v>
      </c>
      <c r="T3179" s="1" t="str">
        <f t="shared" si="197"/>
        <v/>
      </c>
      <c r="U3179" s="1" t="str">
        <f t="shared" si="198"/>
        <v/>
      </c>
      <c r="V3179" s="1" t="str">
        <f>_xlfn.XLOOKUP(C3179,Payers!$A$2:$A$9,Payers!$B$2:$B$9)</f>
        <v>Florida Medicaid</v>
      </c>
      <c r="W3179" s="1" t="str">
        <f t="shared" si="199"/>
        <v>2026-02</v>
      </c>
    </row>
    <row r="3180" spans="1:23">
      <c r="A3180" s="1" t="s">
        <v>5301</v>
      </c>
      <c r="B3180" s="1" t="s">
        <v>5302</v>
      </c>
      <c r="C3180" s="1" t="s">
        <v>60</v>
      </c>
      <c r="D3180" s="1" t="s">
        <v>26</v>
      </c>
      <c r="E3180" s="1" t="s">
        <v>88</v>
      </c>
      <c r="F3180">
        <v>1</v>
      </c>
      <c r="G3180" s="2">
        <v>46177</v>
      </c>
      <c r="H3180" s="2">
        <v>46188</v>
      </c>
      <c r="I3180">
        <v>254.77</v>
      </c>
      <c r="J3180">
        <v>111.64</v>
      </c>
      <c r="K3180">
        <v>111.64</v>
      </c>
      <c r="L3180">
        <v>0</v>
      </c>
      <c r="M3180" s="1" t="s">
        <v>21</v>
      </c>
      <c r="N3180" s="1" t="s">
        <v>22</v>
      </c>
      <c r="O3180" s="2">
        <v>46232</v>
      </c>
      <c r="P3180" s="2">
        <v>46232</v>
      </c>
      <c r="Q3180">
        <f>_xlfn.XLOOKUP(E3180,CPT!$A$2:$A$13,CPT!$D$2:$D$13)</f>
        <v>260</v>
      </c>
      <c r="R3180" s="1">
        <f>_xlfn.XLOOKUP(C3180,Contract!$A$2:$A$9,Contract!$B$2:$B$9)</f>
        <v>0.45</v>
      </c>
      <c r="S3180" s="1">
        <f t="shared" si="196"/>
        <v>117</v>
      </c>
      <c r="T3180" s="1">
        <f t="shared" si="197"/>
        <v>5.3599999999999994</v>
      </c>
      <c r="U3180" s="1" t="str">
        <f t="shared" si="198"/>
        <v>OK</v>
      </c>
      <c r="V3180" s="1" t="str">
        <f>_xlfn.XLOOKUP(C3180,Payers!$A$2:$A$9,Payers!$B$2:$B$9)</f>
        <v>Blue Horizon Commercial</v>
      </c>
      <c r="W3180" s="1" t="str">
        <f t="shared" si="199"/>
        <v>2026-06</v>
      </c>
    </row>
    <row r="3181" spans="1:23">
      <c r="A3181" s="1" t="s">
        <v>5303</v>
      </c>
      <c r="B3181" s="1" t="s">
        <v>2746</v>
      </c>
      <c r="C3181" s="1" t="s">
        <v>60</v>
      </c>
      <c r="D3181" s="1" t="s">
        <v>26</v>
      </c>
      <c r="E3181" s="1" t="s">
        <v>57</v>
      </c>
      <c r="F3181">
        <v>1</v>
      </c>
      <c r="G3181" s="2">
        <v>46131</v>
      </c>
      <c r="H3181" s="2">
        <v>46133</v>
      </c>
      <c r="I3181">
        <v>214.9</v>
      </c>
      <c r="J3181">
        <v>98.15</v>
      </c>
      <c r="K3181">
        <v>98.15</v>
      </c>
      <c r="L3181">
        <v>0</v>
      </c>
      <c r="M3181" s="1" t="s">
        <v>21</v>
      </c>
      <c r="N3181" s="1" t="s">
        <v>22</v>
      </c>
      <c r="O3181" s="2">
        <v>46160</v>
      </c>
      <c r="P3181" s="2">
        <v>46160</v>
      </c>
      <c r="Q3181">
        <f>_xlfn.XLOOKUP(E3181,CPT!$A$2:$A$13,CPT!$D$2:$D$13)</f>
        <v>210</v>
      </c>
      <c r="R3181" s="1">
        <f>_xlfn.XLOOKUP(C3181,Contract!$A$2:$A$9,Contract!$B$2:$B$9)</f>
        <v>0.45</v>
      </c>
      <c r="S3181" s="1">
        <f t="shared" si="196"/>
        <v>94.5</v>
      </c>
      <c r="T3181" s="1">
        <f t="shared" si="197"/>
        <v>-3.6500000000000057</v>
      </c>
      <c r="U3181" s="1" t="str">
        <f t="shared" si="198"/>
        <v>OK</v>
      </c>
      <c r="V3181" s="1" t="str">
        <f>_xlfn.XLOOKUP(C3181,Payers!$A$2:$A$9,Payers!$B$2:$B$9)</f>
        <v>Blue Horizon Commercial</v>
      </c>
      <c r="W3181" s="1" t="str">
        <f t="shared" si="199"/>
        <v>2026-04</v>
      </c>
    </row>
    <row r="3182" spans="1:23">
      <c r="A3182" s="1" t="s">
        <v>5304</v>
      </c>
      <c r="B3182" s="1" t="s">
        <v>578</v>
      </c>
      <c r="C3182" s="1" t="s">
        <v>25</v>
      </c>
      <c r="D3182" s="1" t="s">
        <v>26</v>
      </c>
      <c r="E3182" s="1" t="s">
        <v>113</v>
      </c>
      <c r="F3182">
        <v>1</v>
      </c>
      <c r="G3182" s="2">
        <v>46125</v>
      </c>
      <c r="H3182" s="2">
        <v>46132</v>
      </c>
      <c r="I3182">
        <v>1057.43</v>
      </c>
      <c r="J3182">
        <v>375.07</v>
      </c>
      <c r="K3182">
        <v>375.07</v>
      </c>
      <c r="L3182">
        <v>0</v>
      </c>
      <c r="M3182" s="1" t="s">
        <v>21</v>
      </c>
      <c r="N3182" s="1" t="s">
        <v>22</v>
      </c>
      <c r="O3182" s="2">
        <v>46152</v>
      </c>
      <c r="P3182" s="2">
        <v>46152</v>
      </c>
      <c r="Q3182">
        <f>_xlfn.XLOOKUP(E3182,CPT!$A$2:$A$13,CPT!$D$2:$D$13)</f>
        <v>1050</v>
      </c>
      <c r="R3182" s="1">
        <f>_xlfn.XLOOKUP(C3182,Contract!$A$2:$A$9,Contract!$B$2:$B$9)</f>
        <v>0.36</v>
      </c>
      <c r="S3182" s="1">
        <f t="shared" si="196"/>
        <v>378</v>
      </c>
      <c r="T3182" s="1">
        <f t="shared" si="197"/>
        <v>2.9300000000000068</v>
      </c>
      <c r="U3182" s="1" t="str">
        <f t="shared" si="198"/>
        <v>OK</v>
      </c>
      <c r="V3182" s="1" t="str">
        <f>_xlfn.XLOOKUP(C3182,Payers!$A$2:$A$9,Payers!$B$2:$B$9)</f>
        <v>Medicare Part B</v>
      </c>
      <c r="W3182" s="1" t="str">
        <f t="shared" si="199"/>
        <v>2026-04</v>
      </c>
    </row>
    <row r="3183" spans="1:23">
      <c r="A3183" s="1" t="s">
        <v>5305</v>
      </c>
      <c r="B3183" s="1" t="s">
        <v>5306</v>
      </c>
      <c r="C3183" s="1" t="s">
        <v>76</v>
      </c>
      <c r="D3183" s="1" t="s">
        <v>26</v>
      </c>
      <c r="E3183" s="1" t="s">
        <v>88</v>
      </c>
      <c r="F3183">
        <v>1</v>
      </c>
      <c r="G3183" s="2">
        <v>46069</v>
      </c>
      <c r="H3183" s="2">
        <v>46071</v>
      </c>
      <c r="I3183">
        <v>254.33</v>
      </c>
      <c r="J3183">
        <v>99.35</v>
      </c>
      <c r="K3183">
        <v>79.48</v>
      </c>
      <c r="L3183">
        <v>19.87</v>
      </c>
      <c r="M3183" s="1" t="s">
        <v>21</v>
      </c>
      <c r="N3183" s="1" t="s">
        <v>22</v>
      </c>
      <c r="O3183" s="2">
        <v>46098</v>
      </c>
      <c r="P3183" s="2">
        <v>46098</v>
      </c>
      <c r="Q3183">
        <f>_xlfn.XLOOKUP(E3183,CPT!$A$2:$A$13,CPT!$D$2:$D$13)</f>
        <v>260</v>
      </c>
      <c r="R3183" s="1">
        <f>_xlfn.XLOOKUP(C3183,Contract!$A$2:$A$9,Contract!$B$2:$B$9)</f>
        <v>0.43</v>
      </c>
      <c r="S3183" s="1">
        <f t="shared" si="196"/>
        <v>111.8</v>
      </c>
      <c r="T3183" s="1">
        <f t="shared" si="197"/>
        <v>12.450000000000003</v>
      </c>
      <c r="U3183" s="1" t="str">
        <f t="shared" si="198"/>
        <v>Underpaid</v>
      </c>
      <c r="V3183" s="1" t="str">
        <f>_xlfn.XLOOKUP(C3183,Payers!$A$2:$A$9,Payers!$B$2:$B$9)</f>
        <v>Summit Health Commercial</v>
      </c>
      <c r="W3183" s="1" t="str">
        <f t="shared" si="199"/>
        <v>2026-02</v>
      </c>
    </row>
    <row r="3184" spans="1:23">
      <c r="A3184" s="1" t="s">
        <v>5307</v>
      </c>
      <c r="B3184" s="1" t="s">
        <v>4952</v>
      </c>
      <c r="C3184" s="1" t="s">
        <v>25</v>
      </c>
      <c r="D3184" s="1" t="s">
        <v>26</v>
      </c>
      <c r="E3184" s="1" t="s">
        <v>44</v>
      </c>
      <c r="F3184">
        <v>1</v>
      </c>
      <c r="G3184" s="2">
        <v>46147</v>
      </c>
      <c r="H3184" s="2">
        <v>46163</v>
      </c>
      <c r="I3184">
        <v>4675.51</v>
      </c>
      <c r="J3184">
        <v>1510.2</v>
      </c>
      <c r="K3184">
        <v>1359.18</v>
      </c>
      <c r="L3184">
        <v>151.02000000000001</v>
      </c>
      <c r="M3184" s="1" t="s">
        <v>21</v>
      </c>
      <c r="N3184" s="1" t="s">
        <v>22</v>
      </c>
      <c r="O3184" s="2">
        <v>46178</v>
      </c>
      <c r="P3184" s="2">
        <v>46178</v>
      </c>
      <c r="Q3184">
        <f>_xlfn.XLOOKUP(E3184,CPT!$A$2:$A$13,CPT!$D$2:$D$13)</f>
        <v>4800</v>
      </c>
      <c r="R3184" s="1">
        <f>_xlfn.XLOOKUP(C3184,Contract!$A$2:$A$9,Contract!$B$2:$B$9)</f>
        <v>0.36</v>
      </c>
      <c r="S3184" s="1">
        <f t="shared" si="196"/>
        <v>1728</v>
      </c>
      <c r="T3184" s="1">
        <f t="shared" si="197"/>
        <v>217.79999999999995</v>
      </c>
      <c r="U3184" s="1" t="str">
        <f t="shared" si="198"/>
        <v>Underpaid</v>
      </c>
      <c r="V3184" s="1" t="str">
        <f>_xlfn.XLOOKUP(C3184,Payers!$A$2:$A$9,Payers!$B$2:$B$9)</f>
        <v>Medicare Part B</v>
      </c>
      <c r="W3184" s="1" t="str">
        <f t="shared" si="199"/>
        <v>2026-05</v>
      </c>
    </row>
    <row r="3185" spans="1:23">
      <c r="A3185" s="1" t="s">
        <v>5308</v>
      </c>
      <c r="B3185" s="1" t="s">
        <v>3949</v>
      </c>
      <c r="C3185" s="1" t="s">
        <v>52</v>
      </c>
      <c r="D3185" s="1" t="s">
        <v>30</v>
      </c>
      <c r="E3185" s="1" t="s">
        <v>20</v>
      </c>
      <c r="F3185">
        <v>1</v>
      </c>
      <c r="G3185" s="2">
        <v>46154</v>
      </c>
      <c r="H3185" s="2">
        <v>46160</v>
      </c>
      <c r="I3185">
        <v>142.51</v>
      </c>
      <c r="J3185">
        <v>67.42</v>
      </c>
      <c r="K3185">
        <v>67.42</v>
      </c>
      <c r="L3185">
        <v>0</v>
      </c>
      <c r="M3185" s="1" t="s">
        <v>21</v>
      </c>
      <c r="N3185" s="1" t="s">
        <v>22</v>
      </c>
      <c r="O3185" s="2">
        <v>46180</v>
      </c>
      <c r="P3185" s="2">
        <v>46180</v>
      </c>
      <c r="Q3185">
        <f>_xlfn.XLOOKUP(E3185,CPT!$A$2:$A$13,CPT!$D$2:$D$13)</f>
        <v>145</v>
      </c>
      <c r="R3185" s="1">
        <f>_xlfn.XLOOKUP(C3185,Contract!$A$2:$A$9,Contract!$B$2:$B$9)</f>
        <v>0.47</v>
      </c>
      <c r="S3185" s="1">
        <f t="shared" si="196"/>
        <v>68.150000000000006</v>
      </c>
      <c r="T3185" s="1">
        <f t="shared" si="197"/>
        <v>0.73000000000000398</v>
      </c>
      <c r="U3185" s="1" t="str">
        <f t="shared" si="198"/>
        <v>OK</v>
      </c>
      <c r="V3185" s="1" t="str">
        <f>_xlfn.XLOOKUP(C3185,Payers!$A$2:$A$9,Payers!$B$2:$B$9)</f>
        <v>Keystone Commercial PPO</v>
      </c>
      <c r="W3185" s="1" t="str">
        <f t="shared" si="199"/>
        <v>2026-05</v>
      </c>
    </row>
    <row r="3186" spans="1:23">
      <c r="A3186" s="1" t="s">
        <v>5309</v>
      </c>
      <c r="B3186" s="1" t="s">
        <v>2493</v>
      </c>
      <c r="C3186" s="1" t="s">
        <v>52</v>
      </c>
      <c r="D3186" s="1" t="s">
        <v>19</v>
      </c>
      <c r="E3186" s="1" t="s">
        <v>41</v>
      </c>
      <c r="F3186">
        <v>1</v>
      </c>
      <c r="G3186" s="2">
        <v>46171</v>
      </c>
      <c r="H3186" s="2">
        <v>46175</v>
      </c>
      <c r="I3186">
        <v>38.36</v>
      </c>
      <c r="J3186">
        <v>20</v>
      </c>
      <c r="K3186">
        <v>16</v>
      </c>
      <c r="L3186">
        <v>4</v>
      </c>
      <c r="M3186" s="1" t="s">
        <v>21</v>
      </c>
      <c r="N3186" s="1" t="s">
        <v>22</v>
      </c>
      <c r="O3186" s="2">
        <v>46208</v>
      </c>
      <c r="P3186" s="2">
        <v>46208</v>
      </c>
      <c r="Q3186">
        <f>_xlfn.XLOOKUP(E3186,CPT!$A$2:$A$13,CPT!$D$2:$D$13)</f>
        <v>38</v>
      </c>
      <c r="R3186" s="1">
        <f>_xlfn.XLOOKUP(C3186,Contract!$A$2:$A$9,Contract!$B$2:$B$9)</f>
        <v>0.47</v>
      </c>
      <c r="S3186" s="1">
        <f t="shared" si="196"/>
        <v>17.86</v>
      </c>
      <c r="T3186" s="1">
        <f t="shared" si="197"/>
        <v>-2.1400000000000006</v>
      </c>
      <c r="U3186" s="1" t="str">
        <f t="shared" si="198"/>
        <v>OK</v>
      </c>
      <c r="V3186" s="1" t="str">
        <f>_xlfn.XLOOKUP(C3186,Payers!$A$2:$A$9,Payers!$B$2:$B$9)</f>
        <v>Keystone Commercial PPO</v>
      </c>
      <c r="W3186" s="1" t="str">
        <f t="shared" si="199"/>
        <v>2026-05</v>
      </c>
    </row>
    <row r="3187" spans="1:23">
      <c r="A3187" s="1" t="s">
        <v>5310</v>
      </c>
      <c r="B3187" s="1" t="s">
        <v>5311</v>
      </c>
      <c r="C3187" s="1" t="s">
        <v>60</v>
      </c>
      <c r="D3187" s="1" t="s">
        <v>37</v>
      </c>
      <c r="E3187" s="1" t="s">
        <v>38</v>
      </c>
      <c r="F3187">
        <v>10</v>
      </c>
      <c r="G3187" s="2">
        <v>46231</v>
      </c>
      <c r="H3187" s="2">
        <v>46237</v>
      </c>
      <c r="I3187">
        <v>14591.56</v>
      </c>
      <c r="J3187">
        <v>6191.26</v>
      </c>
      <c r="K3187">
        <v>5572.13</v>
      </c>
      <c r="L3187">
        <v>619.13</v>
      </c>
      <c r="M3187" s="1" t="s">
        <v>21</v>
      </c>
      <c r="N3187" s="1" t="s">
        <v>22</v>
      </c>
      <c r="O3187" s="2">
        <v>46270</v>
      </c>
      <c r="P3187" s="2">
        <v>46270</v>
      </c>
      <c r="Q3187">
        <f>_xlfn.XLOOKUP(E3187,CPT!$A$2:$A$13,CPT!$D$2:$D$13)</f>
        <v>1450</v>
      </c>
      <c r="R3187" s="1">
        <f>_xlfn.XLOOKUP(C3187,Contract!$A$2:$A$9,Contract!$B$2:$B$9)</f>
        <v>0.45</v>
      </c>
      <c r="S3187" s="1">
        <f t="shared" si="196"/>
        <v>6525</v>
      </c>
      <c r="T3187" s="1">
        <f t="shared" si="197"/>
        <v>333.73999999999978</v>
      </c>
      <c r="U3187" s="1" t="str">
        <f t="shared" si="198"/>
        <v>Underpaid</v>
      </c>
      <c r="V3187" s="1" t="str">
        <f>_xlfn.XLOOKUP(C3187,Payers!$A$2:$A$9,Payers!$B$2:$B$9)</f>
        <v>Blue Horizon Commercial</v>
      </c>
      <c r="W3187" s="1" t="str">
        <f t="shared" si="199"/>
        <v>2026-07</v>
      </c>
    </row>
    <row r="3188" spans="1:23">
      <c r="A3188" s="1" t="s">
        <v>5312</v>
      </c>
      <c r="B3188" s="1" t="s">
        <v>3201</v>
      </c>
      <c r="C3188" s="1" t="s">
        <v>60</v>
      </c>
      <c r="D3188" s="1" t="s">
        <v>30</v>
      </c>
      <c r="E3188" s="1" t="s">
        <v>20</v>
      </c>
      <c r="F3188">
        <v>1</v>
      </c>
      <c r="G3188" s="2">
        <v>46052</v>
      </c>
      <c r="H3188" s="2">
        <v>46059</v>
      </c>
      <c r="I3188">
        <v>143.62</v>
      </c>
      <c r="J3188">
        <v>65.25</v>
      </c>
      <c r="K3188">
        <v>52.2</v>
      </c>
      <c r="L3188">
        <v>13.05</v>
      </c>
      <c r="M3188" s="1" t="s">
        <v>21</v>
      </c>
      <c r="N3188" s="1" t="s">
        <v>22</v>
      </c>
      <c r="O3188" s="2">
        <v>46088</v>
      </c>
      <c r="P3188" s="2">
        <v>46088</v>
      </c>
      <c r="Q3188">
        <f>_xlfn.XLOOKUP(E3188,CPT!$A$2:$A$13,CPT!$D$2:$D$13)</f>
        <v>145</v>
      </c>
      <c r="R3188" s="1">
        <f>_xlfn.XLOOKUP(C3188,Contract!$A$2:$A$9,Contract!$B$2:$B$9)</f>
        <v>0.45</v>
      </c>
      <c r="S3188" s="1">
        <f t="shared" si="196"/>
        <v>65.25</v>
      </c>
      <c r="T3188" s="1">
        <f t="shared" si="197"/>
        <v>0</v>
      </c>
      <c r="U3188" s="1" t="str">
        <f t="shared" si="198"/>
        <v>OK</v>
      </c>
      <c r="V3188" s="1" t="str">
        <f>_xlfn.XLOOKUP(C3188,Payers!$A$2:$A$9,Payers!$B$2:$B$9)</f>
        <v>Blue Horizon Commercial</v>
      </c>
      <c r="W3188" s="1" t="str">
        <f t="shared" si="199"/>
        <v>2026-01</v>
      </c>
    </row>
    <row r="3189" spans="1:23">
      <c r="A3189" s="1" t="s">
        <v>5313</v>
      </c>
      <c r="B3189" s="1" t="s">
        <v>5314</v>
      </c>
      <c r="C3189" s="1" t="s">
        <v>52</v>
      </c>
      <c r="D3189" s="1" t="s">
        <v>37</v>
      </c>
      <c r="E3189" s="1" t="s">
        <v>57</v>
      </c>
      <c r="F3189">
        <v>1</v>
      </c>
      <c r="G3189" s="2">
        <v>46113</v>
      </c>
      <c r="H3189" s="2">
        <v>46116</v>
      </c>
      <c r="I3189">
        <v>207.57</v>
      </c>
      <c r="J3189">
        <v>83.34</v>
      </c>
      <c r="K3189">
        <v>66.67</v>
      </c>
      <c r="L3189">
        <v>16.670000000000002</v>
      </c>
      <c r="M3189" s="1" t="s">
        <v>21</v>
      </c>
      <c r="N3189" s="1" t="s">
        <v>22</v>
      </c>
      <c r="O3189" s="2">
        <v>46142</v>
      </c>
      <c r="P3189" s="2">
        <v>46142</v>
      </c>
      <c r="Q3189">
        <f>_xlfn.XLOOKUP(E3189,CPT!$A$2:$A$13,CPT!$D$2:$D$13)</f>
        <v>210</v>
      </c>
      <c r="R3189" s="1">
        <f>_xlfn.XLOOKUP(C3189,Contract!$A$2:$A$9,Contract!$B$2:$B$9)</f>
        <v>0.47</v>
      </c>
      <c r="S3189" s="1">
        <f t="shared" si="196"/>
        <v>98.7</v>
      </c>
      <c r="T3189" s="1">
        <f t="shared" si="197"/>
        <v>15.36</v>
      </c>
      <c r="U3189" s="1" t="str">
        <f t="shared" si="198"/>
        <v>Underpaid</v>
      </c>
      <c r="V3189" s="1" t="str">
        <f>_xlfn.XLOOKUP(C3189,Payers!$A$2:$A$9,Payers!$B$2:$B$9)</f>
        <v>Keystone Commercial PPO</v>
      </c>
      <c r="W3189" s="1" t="str">
        <f t="shared" si="199"/>
        <v>2026-04</v>
      </c>
    </row>
    <row r="3190" spans="1:23">
      <c r="A3190" s="1" t="s">
        <v>5315</v>
      </c>
      <c r="B3190" s="1" t="s">
        <v>5316</v>
      </c>
      <c r="C3190" s="1" t="s">
        <v>60</v>
      </c>
      <c r="D3190" s="1" t="s">
        <v>30</v>
      </c>
      <c r="E3190" s="1" t="s">
        <v>31</v>
      </c>
      <c r="F3190">
        <v>3</v>
      </c>
      <c r="G3190" s="2">
        <v>45976</v>
      </c>
      <c r="H3190" s="2">
        <v>45978</v>
      </c>
      <c r="I3190">
        <v>183.67</v>
      </c>
      <c r="J3190">
        <v>91.35</v>
      </c>
      <c r="K3190">
        <v>91.35</v>
      </c>
      <c r="L3190">
        <v>0</v>
      </c>
      <c r="M3190" s="1" t="s">
        <v>21</v>
      </c>
      <c r="N3190" s="1" t="s">
        <v>22</v>
      </c>
      <c r="O3190" s="2">
        <v>46005</v>
      </c>
      <c r="P3190" s="2">
        <v>46005</v>
      </c>
      <c r="Q3190">
        <f>_xlfn.XLOOKUP(E3190,CPT!$A$2:$A$13,CPT!$D$2:$D$13)</f>
        <v>62</v>
      </c>
      <c r="R3190" s="1">
        <f>_xlfn.XLOOKUP(C3190,Contract!$A$2:$A$9,Contract!$B$2:$B$9)</f>
        <v>0.45</v>
      </c>
      <c r="S3190" s="1">
        <f t="shared" si="196"/>
        <v>83.7</v>
      </c>
      <c r="T3190" s="1">
        <f t="shared" si="197"/>
        <v>-7.6499999999999915</v>
      </c>
      <c r="U3190" s="1" t="str">
        <f t="shared" si="198"/>
        <v>OK</v>
      </c>
      <c r="V3190" s="1" t="str">
        <f>_xlfn.XLOOKUP(C3190,Payers!$A$2:$A$9,Payers!$B$2:$B$9)</f>
        <v>Blue Horizon Commercial</v>
      </c>
      <c r="W3190" s="1" t="str">
        <f t="shared" si="199"/>
        <v>2025-11</v>
      </c>
    </row>
    <row r="3191" spans="1:23">
      <c r="A3191" s="1" t="s">
        <v>5317</v>
      </c>
      <c r="B3191" s="1" t="s">
        <v>1525</v>
      </c>
      <c r="C3191" s="1" t="s">
        <v>76</v>
      </c>
      <c r="D3191" s="1" t="s">
        <v>26</v>
      </c>
      <c r="E3191" s="1" t="s">
        <v>185</v>
      </c>
      <c r="F3191">
        <v>1</v>
      </c>
      <c r="G3191" s="2">
        <v>46081</v>
      </c>
      <c r="H3191" s="2">
        <v>46083</v>
      </c>
      <c r="I3191">
        <v>1119.7</v>
      </c>
      <c r="J3191">
        <v>498.51</v>
      </c>
      <c r="K3191">
        <v>448.66</v>
      </c>
      <c r="L3191">
        <v>49.85</v>
      </c>
      <c r="M3191" s="1" t="s">
        <v>21</v>
      </c>
      <c r="N3191" s="1" t="s">
        <v>22</v>
      </c>
      <c r="O3191" s="2">
        <v>46119</v>
      </c>
      <c r="P3191" s="2">
        <v>46119</v>
      </c>
      <c r="Q3191">
        <f>_xlfn.XLOOKUP(E3191,CPT!$A$2:$A$13,CPT!$D$2:$D$13)</f>
        <v>1150</v>
      </c>
      <c r="R3191" s="1">
        <f>_xlfn.XLOOKUP(C3191,Contract!$A$2:$A$9,Contract!$B$2:$B$9)</f>
        <v>0.43</v>
      </c>
      <c r="S3191" s="1">
        <f t="shared" si="196"/>
        <v>494.5</v>
      </c>
      <c r="T3191" s="1">
        <f t="shared" si="197"/>
        <v>-4.0099999999999909</v>
      </c>
      <c r="U3191" s="1" t="str">
        <f t="shared" si="198"/>
        <v>OK</v>
      </c>
      <c r="V3191" s="1" t="str">
        <f>_xlfn.XLOOKUP(C3191,Payers!$A$2:$A$9,Payers!$B$2:$B$9)</f>
        <v>Summit Health Commercial</v>
      </c>
      <c r="W3191" s="1" t="str">
        <f t="shared" si="199"/>
        <v>2026-02</v>
      </c>
    </row>
    <row r="3192" spans="1:23">
      <c r="A3192" s="1" t="s">
        <v>5318</v>
      </c>
      <c r="B3192" s="1" t="s">
        <v>5319</v>
      </c>
      <c r="C3192" s="1" t="s">
        <v>60</v>
      </c>
      <c r="D3192" s="1" t="s">
        <v>19</v>
      </c>
      <c r="E3192" s="1" t="s">
        <v>88</v>
      </c>
      <c r="F3192">
        <v>1</v>
      </c>
      <c r="G3192" s="2">
        <v>46072</v>
      </c>
      <c r="H3192" s="2">
        <v>46075</v>
      </c>
      <c r="I3192">
        <v>262.2</v>
      </c>
      <c r="J3192">
        <v>126.43</v>
      </c>
      <c r="K3192">
        <v>101.14</v>
      </c>
      <c r="L3192">
        <v>25.29</v>
      </c>
      <c r="M3192" s="1" t="s">
        <v>21</v>
      </c>
      <c r="N3192" s="1" t="s">
        <v>22</v>
      </c>
      <c r="O3192" s="2">
        <v>46101</v>
      </c>
      <c r="P3192" s="2">
        <v>46101</v>
      </c>
      <c r="Q3192">
        <f>_xlfn.XLOOKUP(E3192,CPT!$A$2:$A$13,CPT!$D$2:$D$13)</f>
        <v>260</v>
      </c>
      <c r="R3192" s="1">
        <f>_xlfn.XLOOKUP(C3192,Contract!$A$2:$A$9,Contract!$B$2:$B$9)</f>
        <v>0.45</v>
      </c>
      <c r="S3192" s="1">
        <f t="shared" si="196"/>
        <v>117</v>
      </c>
      <c r="T3192" s="1">
        <f t="shared" si="197"/>
        <v>-9.4300000000000068</v>
      </c>
      <c r="U3192" s="1" t="str">
        <f t="shared" si="198"/>
        <v>OK</v>
      </c>
      <c r="V3192" s="1" t="str">
        <f>_xlfn.XLOOKUP(C3192,Payers!$A$2:$A$9,Payers!$B$2:$B$9)</f>
        <v>Blue Horizon Commercial</v>
      </c>
      <c r="W3192" s="1" t="str">
        <f t="shared" si="199"/>
        <v>2026-02</v>
      </c>
    </row>
    <row r="3193" spans="1:23">
      <c r="A3193" s="1" t="s">
        <v>5320</v>
      </c>
      <c r="B3193" s="1" t="s">
        <v>5321</v>
      </c>
      <c r="C3193" s="1" t="s">
        <v>47</v>
      </c>
      <c r="D3193" s="1" t="s">
        <v>30</v>
      </c>
      <c r="E3193" s="1" t="s">
        <v>20</v>
      </c>
      <c r="F3193">
        <v>1</v>
      </c>
      <c r="G3193" s="2">
        <v>46096</v>
      </c>
      <c r="H3193" s="2">
        <v>46098</v>
      </c>
      <c r="I3193">
        <v>144.63999999999999</v>
      </c>
      <c r="M3193" s="1" t="s">
        <v>32</v>
      </c>
      <c r="N3193" s="1" t="s">
        <v>168</v>
      </c>
      <c r="O3193" s="2">
        <v>46156</v>
      </c>
      <c r="P3193" s="2"/>
      <c r="Q3193">
        <f>_xlfn.XLOOKUP(E3193,CPT!$A$2:$A$13,CPT!$D$2:$D$13)</f>
        <v>145</v>
      </c>
      <c r="R3193" s="1">
        <f>_xlfn.XLOOKUP(C3193,Contract!$A$2:$A$9,Contract!$B$2:$B$9)</f>
        <v>0.28000000000000003</v>
      </c>
      <c r="S3193" s="1">
        <f t="shared" si="196"/>
        <v>40.6</v>
      </c>
      <c r="T3193" s="1" t="str">
        <f t="shared" si="197"/>
        <v/>
      </c>
      <c r="U3193" s="1" t="str">
        <f t="shared" si="198"/>
        <v/>
      </c>
      <c r="V3193" s="1" t="str">
        <f>_xlfn.XLOOKUP(C3193,Payers!$A$2:$A$9,Payers!$B$2:$B$9)</f>
        <v>Coastal Medicaid MCO</v>
      </c>
      <c r="W3193" s="1" t="str">
        <f t="shared" si="199"/>
        <v>2026-03</v>
      </c>
    </row>
    <row r="3194" spans="1:23">
      <c r="A3194" s="1" t="s">
        <v>5322</v>
      </c>
      <c r="B3194" s="1" t="s">
        <v>538</v>
      </c>
      <c r="C3194" s="1" t="s">
        <v>60</v>
      </c>
      <c r="D3194" s="1" t="s">
        <v>37</v>
      </c>
      <c r="E3194" s="1" t="s">
        <v>48</v>
      </c>
      <c r="F3194">
        <v>1</v>
      </c>
      <c r="G3194" s="2">
        <v>46018</v>
      </c>
      <c r="H3194" s="2">
        <v>46030</v>
      </c>
      <c r="I3194">
        <v>431.17</v>
      </c>
      <c r="J3194">
        <v>213.91</v>
      </c>
      <c r="K3194">
        <v>213.91</v>
      </c>
      <c r="L3194">
        <v>0</v>
      </c>
      <c r="M3194" s="1" t="s">
        <v>21</v>
      </c>
      <c r="N3194" s="1" t="s">
        <v>22</v>
      </c>
      <c r="O3194" s="2">
        <v>46044</v>
      </c>
      <c r="P3194" s="2">
        <v>46044</v>
      </c>
      <c r="Q3194">
        <f>_xlfn.XLOOKUP(E3194,CPT!$A$2:$A$13,CPT!$D$2:$D$13)</f>
        <v>420</v>
      </c>
      <c r="R3194" s="1">
        <f>_xlfn.XLOOKUP(C3194,Contract!$A$2:$A$9,Contract!$B$2:$B$9)</f>
        <v>0.45</v>
      </c>
      <c r="S3194" s="1">
        <f t="shared" si="196"/>
        <v>189</v>
      </c>
      <c r="T3194" s="1">
        <f t="shared" si="197"/>
        <v>-24.909999999999997</v>
      </c>
      <c r="U3194" s="1" t="str">
        <f t="shared" si="198"/>
        <v>OK</v>
      </c>
      <c r="V3194" s="1" t="str">
        <f>_xlfn.XLOOKUP(C3194,Payers!$A$2:$A$9,Payers!$B$2:$B$9)</f>
        <v>Blue Horizon Commercial</v>
      </c>
      <c r="W3194" s="1" t="str">
        <f t="shared" si="199"/>
        <v>2025-12</v>
      </c>
    </row>
    <row r="3195" spans="1:23">
      <c r="A3195" s="1" t="s">
        <v>5323</v>
      </c>
      <c r="B3195" s="1" t="s">
        <v>4642</v>
      </c>
      <c r="C3195" s="1" t="s">
        <v>18</v>
      </c>
      <c r="D3195" s="1" t="s">
        <v>37</v>
      </c>
      <c r="E3195" s="1" t="s">
        <v>48</v>
      </c>
      <c r="F3195">
        <v>1</v>
      </c>
      <c r="G3195" s="2">
        <v>46011</v>
      </c>
      <c r="H3195" s="2">
        <v>46015</v>
      </c>
      <c r="I3195">
        <v>428.87</v>
      </c>
      <c r="J3195">
        <v>147.46</v>
      </c>
      <c r="K3195">
        <v>132.71</v>
      </c>
      <c r="L3195">
        <v>14.75</v>
      </c>
      <c r="M3195" s="1" t="s">
        <v>21</v>
      </c>
      <c r="N3195" s="1" t="s">
        <v>22</v>
      </c>
      <c r="O3195" s="2">
        <v>46080</v>
      </c>
      <c r="P3195" s="2">
        <v>46080</v>
      </c>
      <c r="Q3195">
        <f>_xlfn.XLOOKUP(E3195,CPT!$A$2:$A$13,CPT!$D$2:$D$13)</f>
        <v>420</v>
      </c>
      <c r="R3195" s="1">
        <f>_xlfn.XLOOKUP(C3195,Contract!$A$2:$A$9,Contract!$B$2:$B$9)</f>
        <v>0.38</v>
      </c>
      <c r="S3195" s="1">
        <f t="shared" si="196"/>
        <v>159.6</v>
      </c>
      <c r="T3195" s="1">
        <f t="shared" si="197"/>
        <v>12.139999999999986</v>
      </c>
      <c r="U3195" s="1" t="str">
        <f t="shared" si="198"/>
        <v>Underpaid</v>
      </c>
      <c r="V3195" s="1" t="str">
        <f>_xlfn.XLOOKUP(C3195,Payers!$A$2:$A$9,Payers!$B$2:$B$9)</f>
        <v>Sunshine Medicare Advantage</v>
      </c>
      <c r="W3195" s="1" t="str">
        <f t="shared" si="199"/>
        <v>2025-12</v>
      </c>
    </row>
    <row r="3196" spans="1:23">
      <c r="A3196" s="1" t="s">
        <v>5324</v>
      </c>
      <c r="B3196" s="1" t="s">
        <v>2415</v>
      </c>
      <c r="C3196" s="1" t="s">
        <v>76</v>
      </c>
      <c r="D3196" s="1" t="s">
        <v>37</v>
      </c>
      <c r="E3196" s="1" t="s">
        <v>48</v>
      </c>
      <c r="F3196">
        <v>1</v>
      </c>
      <c r="G3196" s="2">
        <v>46013</v>
      </c>
      <c r="H3196" s="2">
        <v>46017</v>
      </c>
      <c r="I3196">
        <v>412.67</v>
      </c>
      <c r="J3196">
        <v>186.22</v>
      </c>
      <c r="K3196">
        <v>186.22</v>
      </c>
      <c r="L3196">
        <v>0</v>
      </c>
      <c r="M3196" s="1" t="s">
        <v>21</v>
      </c>
      <c r="N3196" s="1" t="s">
        <v>22</v>
      </c>
      <c r="O3196" s="2">
        <v>46029</v>
      </c>
      <c r="P3196" s="2">
        <v>46029</v>
      </c>
      <c r="Q3196">
        <f>_xlfn.XLOOKUP(E3196,CPT!$A$2:$A$13,CPT!$D$2:$D$13)</f>
        <v>420</v>
      </c>
      <c r="R3196" s="1">
        <f>_xlfn.XLOOKUP(C3196,Contract!$A$2:$A$9,Contract!$B$2:$B$9)</f>
        <v>0.43</v>
      </c>
      <c r="S3196" s="1">
        <f t="shared" si="196"/>
        <v>180.6</v>
      </c>
      <c r="T3196" s="1">
        <f t="shared" si="197"/>
        <v>-5.6200000000000045</v>
      </c>
      <c r="U3196" s="1" t="str">
        <f t="shared" si="198"/>
        <v>OK</v>
      </c>
      <c r="V3196" s="1" t="str">
        <f>_xlfn.XLOOKUP(C3196,Payers!$A$2:$A$9,Payers!$B$2:$B$9)</f>
        <v>Summit Health Commercial</v>
      </c>
      <c r="W3196" s="1" t="str">
        <f t="shared" si="199"/>
        <v>2025-12</v>
      </c>
    </row>
    <row r="3197" spans="1:23">
      <c r="A3197" s="1" t="s">
        <v>5325</v>
      </c>
      <c r="B3197" s="1" t="s">
        <v>892</v>
      </c>
      <c r="C3197" s="1" t="s">
        <v>25</v>
      </c>
      <c r="D3197" s="1" t="s">
        <v>26</v>
      </c>
      <c r="E3197" s="1" t="s">
        <v>57</v>
      </c>
      <c r="F3197">
        <v>1</v>
      </c>
      <c r="G3197" s="2">
        <v>46104</v>
      </c>
      <c r="H3197" s="2">
        <v>46107</v>
      </c>
      <c r="I3197">
        <v>207.09</v>
      </c>
      <c r="M3197" s="1" t="s">
        <v>32</v>
      </c>
      <c r="N3197" s="1" t="s">
        <v>33</v>
      </c>
      <c r="O3197" s="2">
        <v>46118</v>
      </c>
      <c r="P3197" s="2"/>
      <c r="Q3197">
        <f>_xlfn.XLOOKUP(E3197,CPT!$A$2:$A$13,CPT!$D$2:$D$13)</f>
        <v>210</v>
      </c>
      <c r="R3197" s="1">
        <f>_xlfn.XLOOKUP(C3197,Contract!$A$2:$A$9,Contract!$B$2:$B$9)</f>
        <v>0.36</v>
      </c>
      <c r="S3197" s="1">
        <f t="shared" si="196"/>
        <v>75.599999999999994</v>
      </c>
      <c r="T3197" s="1" t="str">
        <f t="shared" si="197"/>
        <v/>
      </c>
      <c r="U3197" s="1" t="str">
        <f t="shared" si="198"/>
        <v/>
      </c>
      <c r="V3197" s="1" t="str">
        <f>_xlfn.XLOOKUP(C3197,Payers!$A$2:$A$9,Payers!$B$2:$B$9)</f>
        <v>Medicare Part B</v>
      </c>
      <c r="W3197" s="1" t="str">
        <f t="shared" si="199"/>
        <v>2026-03</v>
      </c>
    </row>
    <row r="3198" spans="1:23">
      <c r="A3198" s="1" t="s">
        <v>5326</v>
      </c>
      <c r="B3198" s="1" t="s">
        <v>671</v>
      </c>
      <c r="C3198" s="1" t="s">
        <v>60</v>
      </c>
      <c r="D3198" s="1" t="s">
        <v>30</v>
      </c>
      <c r="E3198" s="1" t="s">
        <v>91</v>
      </c>
      <c r="F3198">
        <v>4</v>
      </c>
      <c r="G3198" s="2">
        <v>46219</v>
      </c>
      <c r="H3198" s="2">
        <v>46228</v>
      </c>
      <c r="I3198">
        <v>229.49</v>
      </c>
      <c r="J3198">
        <v>98.15</v>
      </c>
      <c r="K3198">
        <v>78.52</v>
      </c>
      <c r="L3198">
        <v>19.63</v>
      </c>
      <c r="M3198" s="1" t="s">
        <v>21</v>
      </c>
      <c r="N3198" s="1" t="s">
        <v>22</v>
      </c>
      <c r="O3198" s="2">
        <v>46254</v>
      </c>
      <c r="P3198" s="2">
        <v>46254</v>
      </c>
      <c r="Q3198">
        <f>_xlfn.XLOOKUP(E3198,CPT!$A$2:$A$13,CPT!$D$2:$D$13)</f>
        <v>58</v>
      </c>
      <c r="R3198" s="1">
        <f>_xlfn.XLOOKUP(C3198,Contract!$A$2:$A$9,Contract!$B$2:$B$9)</f>
        <v>0.45</v>
      </c>
      <c r="S3198" s="1">
        <f t="shared" si="196"/>
        <v>104.4</v>
      </c>
      <c r="T3198" s="1">
        <f t="shared" si="197"/>
        <v>6.25</v>
      </c>
      <c r="U3198" s="1" t="str">
        <f t="shared" si="198"/>
        <v>Underpaid</v>
      </c>
      <c r="V3198" s="1" t="str">
        <f>_xlfn.XLOOKUP(C3198,Payers!$A$2:$A$9,Payers!$B$2:$B$9)</f>
        <v>Blue Horizon Commercial</v>
      </c>
      <c r="W3198" s="1" t="str">
        <f t="shared" si="199"/>
        <v>2026-07</v>
      </c>
    </row>
    <row r="3199" spans="1:23">
      <c r="A3199" s="1" t="s">
        <v>5327</v>
      </c>
      <c r="B3199" s="1" t="s">
        <v>4457</v>
      </c>
      <c r="C3199" s="1" t="s">
        <v>60</v>
      </c>
      <c r="D3199" s="1" t="s">
        <v>37</v>
      </c>
      <c r="E3199" s="1" t="s">
        <v>48</v>
      </c>
      <c r="F3199">
        <v>1</v>
      </c>
      <c r="G3199" s="2">
        <v>46076</v>
      </c>
      <c r="H3199" s="2">
        <v>46078</v>
      </c>
      <c r="I3199">
        <v>417.91</v>
      </c>
      <c r="J3199">
        <v>202.56</v>
      </c>
      <c r="K3199">
        <v>202.56</v>
      </c>
      <c r="L3199">
        <v>0</v>
      </c>
      <c r="M3199" s="1" t="s">
        <v>21</v>
      </c>
      <c r="N3199" s="1" t="s">
        <v>22</v>
      </c>
      <c r="O3199" s="2">
        <v>46100</v>
      </c>
      <c r="P3199" s="2">
        <v>46100</v>
      </c>
      <c r="Q3199">
        <f>_xlfn.XLOOKUP(E3199,CPT!$A$2:$A$13,CPT!$D$2:$D$13)</f>
        <v>420</v>
      </c>
      <c r="R3199" s="1">
        <f>_xlfn.XLOOKUP(C3199,Contract!$A$2:$A$9,Contract!$B$2:$B$9)</f>
        <v>0.45</v>
      </c>
      <c r="S3199" s="1">
        <f t="shared" si="196"/>
        <v>189</v>
      </c>
      <c r="T3199" s="1">
        <f t="shared" si="197"/>
        <v>-13.560000000000002</v>
      </c>
      <c r="U3199" s="1" t="str">
        <f t="shared" si="198"/>
        <v>OK</v>
      </c>
      <c r="V3199" s="1" t="str">
        <f>_xlfn.XLOOKUP(C3199,Payers!$A$2:$A$9,Payers!$B$2:$B$9)</f>
        <v>Blue Horizon Commercial</v>
      </c>
      <c r="W3199" s="1" t="str">
        <f t="shared" si="199"/>
        <v>2026-02</v>
      </c>
    </row>
    <row r="3200" spans="1:23">
      <c r="A3200" s="1" t="s">
        <v>5328</v>
      </c>
      <c r="B3200" s="1" t="s">
        <v>2079</v>
      </c>
      <c r="C3200" s="1" t="s">
        <v>60</v>
      </c>
      <c r="D3200" s="1" t="s">
        <v>26</v>
      </c>
      <c r="E3200" s="1" t="s">
        <v>185</v>
      </c>
      <c r="F3200">
        <v>1</v>
      </c>
      <c r="G3200" s="2">
        <v>46134</v>
      </c>
      <c r="H3200" s="2">
        <v>46135</v>
      </c>
      <c r="I3200">
        <v>1170.05</v>
      </c>
      <c r="J3200">
        <v>457.11</v>
      </c>
      <c r="K3200">
        <v>365.69</v>
      </c>
      <c r="L3200">
        <v>91.42</v>
      </c>
      <c r="M3200" s="1" t="s">
        <v>21</v>
      </c>
      <c r="N3200" s="1" t="s">
        <v>22</v>
      </c>
      <c r="O3200" s="2">
        <v>46153</v>
      </c>
      <c r="P3200" s="2">
        <v>46153</v>
      </c>
      <c r="Q3200">
        <f>_xlfn.XLOOKUP(E3200,CPT!$A$2:$A$13,CPT!$D$2:$D$13)</f>
        <v>1150</v>
      </c>
      <c r="R3200" s="1">
        <f>_xlfn.XLOOKUP(C3200,Contract!$A$2:$A$9,Contract!$B$2:$B$9)</f>
        <v>0.45</v>
      </c>
      <c r="S3200" s="1">
        <f t="shared" si="196"/>
        <v>517.5</v>
      </c>
      <c r="T3200" s="1">
        <f t="shared" si="197"/>
        <v>60.389999999999986</v>
      </c>
      <c r="U3200" s="1" t="str">
        <f t="shared" si="198"/>
        <v>Underpaid</v>
      </c>
      <c r="V3200" s="1" t="str">
        <f>_xlfn.XLOOKUP(C3200,Payers!$A$2:$A$9,Payers!$B$2:$B$9)</f>
        <v>Blue Horizon Commercial</v>
      </c>
      <c r="W3200" s="1" t="str">
        <f t="shared" si="199"/>
        <v>2026-04</v>
      </c>
    </row>
    <row r="3201" spans="1:23">
      <c r="A3201" s="1" t="s">
        <v>5329</v>
      </c>
      <c r="B3201" s="1" t="s">
        <v>845</v>
      </c>
      <c r="C3201" s="1" t="s">
        <v>25</v>
      </c>
      <c r="D3201" s="1" t="s">
        <v>19</v>
      </c>
      <c r="E3201" s="1" t="s">
        <v>57</v>
      </c>
      <c r="F3201">
        <v>1</v>
      </c>
      <c r="G3201" s="2">
        <v>46109</v>
      </c>
      <c r="H3201" s="2">
        <v>46118</v>
      </c>
      <c r="I3201">
        <v>216.26</v>
      </c>
      <c r="J3201">
        <v>71.040000000000006</v>
      </c>
      <c r="K3201">
        <v>71.040000000000006</v>
      </c>
      <c r="L3201">
        <v>0</v>
      </c>
      <c r="M3201" s="1" t="s">
        <v>21</v>
      </c>
      <c r="N3201" s="1" t="s">
        <v>22</v>
      </c>
      <c r="O3201" s="2">
        <v>46134</v>
      </c>
      <c r="P3201" s="2">
        <v>46134</v>
      </c>
      <c r="Q3201">
        <f>_xlfn.XLOOKUP(E3201,CPT!$A$2:$A$13,CPT!$D$2:$D$13)</f>
        <v>210</v>
      </c>
      <c r="R3201" s="1">
        <f>_xlfn.XLOOKUP(C3201,Contract!$A$2:$A$9,Contract!$B$2:$B$9)</f>
        <v>0.36</v>
      </c>
      <c r="S3201" s="1">
        <f t="shared" si="196"/>
        <v>75.599999999999994</v>
      </c>
      <c r="T3201" s="1">
        <f t="shared" si="197"/>
        <v>4.5599999999999881</v>
      </c>
      <c r="U3201" s="1" t="str">
        <f t="shared" si="198"/>
        <v>Underpaid</v>
      </c>
      <c r="V3201" s="1" t="str">
        <f>_xlfn.XLOOKUP(C3201,Payers!$A$2:$A$9,Payers!$B$2:$B$9)</f>
        <v>Medicare Part B</v>
      </c>
      <c r="W3201" s="1" t="str">
        <f t="shared" si="199"/>
        <v>2026-03</v>
      </c>
    </row>
    <row r="3202" spans="1:23">
      <c r="A3202" s="1" t="s">
        <v>5330</v>
      </c>
      <c r="B3202" s="1" t="s">
        <v>5331</v>
      </c>
      <c r="C3202" s="1" t="s">
        <v>60</v>
      </c>
      <c r="D3202" s="1" t="s">
        <v>26</v>
      </c>
      <c r="E3202" s="1" t="s">
        <v>27</v>
      </c>
      <c r="F3202">
        <v>1</v>
      </c>
      <c r="G3202" s="2">
        <v>45974</v>
      </c>
      <c r="H3202" s="2">
        <v>45981</v>
      </c>
      <c r="I3202">
        <v>244.38</v>
      </c>
      <c r="M3202" s="1" t="s">
        <v>32</v>
      </c>
      <c r="N3202" s="1" t="s">
        <v>33</v>
      </c>
      <c r="O3202" s="2">
        <v>46008</v>
      </c>
      <c r="P3202" s="2"/>
      <c r="Q3202">
        <f>_xlfn.XLOOKUP(E3202,CPT!$A$2:$A$13,CPT!$D$2:$D$13)</f>
        <v>240</v>
      </c>
      <c r="R3202" s="1">
        <f>_xlfn.XLOOKUP(C3202,Contract!$A$2:$A$9,Contract!$B$2:$B$9)</f>
        <v>0.45</v>
      </c>
      <c r="S3202" s="1">
        <f t="shared" ref="S3202:S3265" si="200">ROUND(Q3202*F3202*R3202,2)</f>
        <v>108</v>
      </c>
      <c r="T3202" s="1" t="str">
        <f t="shared" ref="T3202:T3265" si="201">IF(M3202="Paid",S3202-J3202,"")</f>
        <v/>
      </c>
      <c r="U3202" s="1" t="str">
        <f t="shared" ref="U3202:U3265" si="202">IF(M3202&lt;&gt;"Paid","",IF(T3202&gt;S3202*0.05,"Underpaid","OK"))</f>
        <v/>
      </c>
      <c r="V3202" s="1" t="str">
        <f>_xlfn.XLOOKUP(C3202,Payers!$A$2:$A$9,Payers!$B$2:$B$9)</f>
        <v>Blue Horizon Commercial</v>
      </c>
      <c r="W3202" s="1" t="str">
        <f t="shared" ref="W3202:W3265" si="203">TEXT(G3202,"yyyy-mm")</f>
        <v>2025-11</v>
      </c>
    </row>
    <row r="3203" spans="1:23">
      <c r="A3203" s="1" t="s">
        <v>5332</v>
      </c>
      <c r="B3203" s="1" t="s">
        <v>5333</v>
      </c>
      <c r="C3203" s="1" t="s">
        <v>25</v>
      </c>
      <c r="D3203" s="1" t="s">
        <v>26</v>
      </c>
      <c r="E3203" s="1" t="s">
        <v>113</v>
      </c>
      <c r="F3203">
        <v>1</v>
      </c>
      <c r="G3203" s="2">
        <v>46151</v>
      </c>
      <c r="H3203" s="2">
        <v>46152</v>
      </c>
      <c r="I3203">
        <v>1021.92</v>
      </c>
      <c r="M3203" s="1" t="s">
        <v>32</v>
      </c>
      <c r="N3203" s="1" t="s">
        <v>33</v>
      </c>
      <c r="O3203" s="2">
        <v>46161</v>
      </c>
      <c r="P3203" s="2"/>
      <c r="Q3203">
        <f>_xlfn.XLOOKUP(E3203,CPT!$A$2:$A$13,CPT!$D$2:$D$13)</f>
        <v>1050</v>
      </c>
      <c r="R3203" s="1">
        <f>_xlfn.XLOOKUP(C3203,Contract!$A$2:$A$9,Contract!$B$2:$B$9)</f>
        <v>0.36</v>
      </c>
      <c r="S3203" s="1">
        <f t="shared" si="200"/>
        <v>378</v>
      </c>
      <c r="T3203" s="1" t="str">
        <f t="shared" si="201"/>
        <v/>
      </c>
      <c r="U3203" s="1" t="str">
        <f t="shared" si="202"/>
        <v/>
      </c>
      <c r="V3203" s="1" t="str">
        <f>_xlfn.XLOOKUP(C3203,Payers!$A$2:$A$9,Payers!$B$2:$B$9)</f>
        <v>Medicare Part B</v>
      </c>
      <c r="W3203" s="1" t="str">
        <f t="shared" si="203"/>
        <v>2026-05</v>
      </c>
    </row>
    <row r="3204" spans="1:23">
      <c r="A3204" s="1" t="s">
        <v>5334</v>
      </c>
      <c r="B3204" s="1" t="s">
        <v>4391</v>
      </c>
      <c r="C3204" s="1" t="s">
        <v>25</v>
      </c>
      <c r="D3204" s="1" t="s">
        <v>30</v>
      </c>
      <c r="E3204" s="1" t="s">
        <v>31</v>
      </c>
      <c r="F3204">
        <v>2</v>
      </c>
      <c r="G3204" s="2">
        <v>46143</v>
      </c>
      <c r="H3204" s="2">
        <v>46149</v>
      </c>
      <c r="I3204">
        <v>125.67</v>
      </c>
      <c r="J3204">
        <v>49.23</v>
      </c>
      <c r="K3204">
        <v>44.31</v>
      </c>
      <c r="L3204">
        <v>4.92</v>
      </c>
      <c r="M3204" s="1" t="s">
        <v>21</v>
      </c>
      <c r="N3204" s="1" t="s">
        <v>22</v>
      </c>
      <c r="O3204" s="2">
        <v>46156</v>
      </c>
      <c r="P3204" s="2">
        <v>46156</v>
      </c>
      <c r="Q3204">
        <f>_xlfn.XLOOKUP(E3204,CPT!$A$2:$A$13,CPT!$D$2:$D$13)</f>
        <v>62</v>
      </c>
      <c r="R3204" s="1">
        <f>_xlfn.XLOOKUP(C3204,Contract!$A$2:$A$9,Contract!$B$2:$B$9)</f>
        <v>0.36</v>
      </c>
      <c r="S3204" s="1">
        <f t="shared" si="200"/>
        <v>44.64</v>
      </c>
      <c r="T3204" s="1">
        <f t="shared" si="201"/>
        <v>-4.5899999999999963</v>
      </c>
      <c r="U3204" s="1" t="str">
        <f t="shared" si="202"/>
        <v>OK</v>
      </c>
      <c r="V3204" s="1" t="str">
        <f>_xlfn.XLOOKUP(C3204,Payers!$A$2:$A$9,Payers!$B$2:$B$9)</f>
        <v>Medicare Part B</v>
      </c>
      <c r="W3204" s="1" t="str">
        <f t="shared" si="203"/>
        <v>2026-05</v>
      </c>
    </row>
    <row r="3205" spans="1:23">
      <c r="A3205" s="1" t="s">
        <v>5335</v>
      </c>
      <c r="B3205" s="1" t="s">
        <v>4454</v>
      </c>
      <c r="C3205" s="1" t="s">
        <v>76</v>
      </c>
      <c r="D3205" s="1" t="s">
        <v>30</v>
      </c>
      <c r="E3205" s="1" t="s">
        <v>91</v>
      </c>
      <c r="F3205">
        <v>1</v>
      </c>
      <c r="G3205" s="2">
        <v>46109</v>
      </c>
      <c r="H3205" s="2">
        <v>46118</v>
      </c>
      <c r="I3205">
        <v>57.41</v>
      </c>
      <c r="J3205">
        <v>24.58</v>
      </c>
      <c r="K3205">
        <v>22.12</v>
      </c>
      <c r="L3205">
        <v>2.46</v>
      </c>
      <c r="M3205" s="1" t="s">
        <v>21</v>
      </c>
      <c r="N3205" s="1" t="s">
        <v>22</v>
      </c>
      <c r="O3205" s="2">
        <v>46155</v>
      </c>
      <c r="P3205" s="2">
        <v>46155</v>
      </c>
      <c r="Q3205">
        <f>_xlfn.XLOOKUP(E3205,CPT!$A$2:$A$13,CPT!$D$2:$D$13)</f>
        <v>58</v>
      </c>
      <c r="R3205" s="1">
        <f>_xlfn.XLOOKUP(C3205,Contract!$A$2:$A$9,Contract!$B$2:$B$9)</f>
        <v>0.43</v>
      </c>
      <c r="S3205" s="1">
        <f t="shared" si="200"/>
        <v>24.94</v>
      </c>
      <c r="T3205" s="1">
        <f t="shared" si="201"/>
        <v>0.36000000000000298</v>
      </c>
      <c r="U3205" s="1" t="str">
        <f t="shared" si="202"/>
        <v>OK</v>
      </c>
      <c r="V3205" s="1" t="str">
        <f>_xlfn.XLOOKUP(C3205,Payers!$A$2:$A$9,Payers!$B$2:$B$9)</f>
        <v>Summit Health Commercial</v>
      </c>
      <c r="W3205" s="1" t="str">
        <f t="shared" si="203"/>
        <v>2026-03</v>
      </c>
    </row>
    <row r="3206" spans="1:23">
      <c r="A3206" s="1" t="s">
        <v>5336</v>
      </c>
      <c r="B3206" s="1" t="s">
        <v>5337</v>
      </c>
      <c r="C3206" s="1" t="s">
        <v>60</v>
      </c>
      <c r="D3206" s="1" t="s">
        <v>30</v>
      </c>
      <c r="E3206" s="1" t="s">
        <v>91</v>
      </c>
      <c r="F3206">
        <v>1</v>
      </c>
      <c r="G3206" s="2">
        <v>45987</v>
      </c>
      <c r="H3206" s="2">
        <v>45988</v>
      </c>
      <c r="I3206">
        <v>59.4</v>
      </c>
      <c r="J3206">
        <v>25.66</v>
      </c>
      <c r="K3206">
        <v>25.66</v>
      </c>
      <c r="L3206">
        <v>0</v>
      </c>
      <c r="M3206" s="1" t="s">
        <v>21</v>
      </c>
      <c r="N3206" s="1" t="s">
        <v>22</v>
      </c>
      <c r="O3206" s="2">
        <v>46016</v>
      </c>
      <c r="P3206" s="2">
        <v>46016</v>
      </c>
      <c r="Q3206">
        <f>_xlfn.XLOOKUP(E3206,CPT!$A$2:$A$13,CPT!$D$2:$D$13)</f>
        <v>58</v>
      </c>
      <c r="R3206" s="1">
        <f>_xlfn.XLOOKUP(C3206,Contract!$A$2:$A$9,Contract!$B$2:$B$9)</f>
        <v>0.45</v>
      </c>
      <c r="S3206" s="1">
        <f t="shared" si="200"/>
        <v>26.1</v>
      </c>
      <c r="T3206" s="1">
        <f t="shared" si="201"/>
        <v>0.44000000000000128</v>
      </c>
      <c r="U3206" s="1" t="str">
        <f t="shared" si="202"/>
        <v>OK</v>
      </c>
      <c r="V3206" s="1" t="str">
        <f>_xlfn.XLOOKUP(C3206,Payers!$A$2:$A$9,Payers!$B$2:$B$9)</f>
        <v>Blue Horizon Commercial</v>
      </c>
      <c r="W3206" s="1" t="str">
        <f t="shared" si="203"/>
        <v>2025-11</v>
      </c>
    </row>
    <row r="3207" spans="1:23">
      <c r="A3207" s="1" t="s">
        <v>5338</v>
      </c>
      <c r="B3207" s="1" t="s">
        <v>5339</v>
      </c>
      <c r="C3207" s="1" t="s">
        <v>25</v>
      </c>
      <c r="D3207" s="1" t="s">
        <v>37</v>
      </c>
      <c r="E3207" s="1" t="s">
        <v>38</v>
      </c>
      <c r="F3207">
        <v>10</v>
      </c>
      <c r="G3207" s="2">
        <v>45973</v>
      </c>
      <c r="H3207" s="2">
        <v>45979</v>
      </c>
      <c r="I3207">
        <v>14382.74</v>
      </c>
      <c r="M3207" s="1" t="s">
        <v>32</v>
      </c>
      <c r="N3207" s="1" t="s">
        <v>124</v>
      </c>
      <c r="O3207" s="2">
        <v>45998</v>
      </c>
      <c r="P3207" s="2"/>
      <c r="Q3207">
        <f>_xlfn.XLOOKUP(E3207,CPT!$A$2:$A$13,CPT!$D$2:$D$13)</f>
        <v>1450</v>
      </c>
      <c r="R3207" s="1">
        <f>_xlfn.XLOOKUP(C3207,Contract!$A$2:$A$9,Contract!$B$2:$B$9)</f>
        <v>0.36</v>
      </c>
      <c r="S3207" s="1">
        <f t="shared" si="200"/>
        <v>5220</v>
      </c>
      <c r="T3207" s="1" t="str">
        <f t="shared" si="201"/>
        <v/>
      </c>
      <c r="U3207" s="1" t="str">
        <f t="shared" si="202"/>
        <v/>
      </c>
      <c r="V3207" s="1" t="str">
        <f>_xlfn.XLOOKUP(C3207,Payers!$A$2:$A$9,Payers!$B$2:$B$9)</f>
        <v>Medicare Part B</v>
      </c>
      <c r="W3207" s="1" t="str">
        <f t="shared" si="203"/>
        <v>2025-11</v>
      </c>
    </row>
    <row r="3208" spans="1:23">
      <c r="A3208" s="1" t="s">
        <v>5340</v>
      </c>
      <c r="B3208" s="1" t="s">
        <v>5341</v>
      </c>
      <c r="C3208" s="1" t="s">
        <v>60</v>
      </c>
      <c r="D3208" s="1" t="s">
        <v>26</v>
      </c>
      <c r="E3208" s="1" t="s">
        <v>88</v>
      </c>
      <c r="F3208">
        <v>1</v>
      </c>
      <c r="G3208" s="2">
        <v>46059</v>
      </c>
      <c r="H3208" s="2">
        <v>46060</v>
      </c>
      <c r="I3208">
        <v>252.47</v>
      </c>
      <c r="J3208">
        <v>96.44</v>
      </c>
      <c r="K3208">
        <v>86.8</v>
      </c>
      <c r="L3208">
        <v>9.64</v>
      </c>
      <c r="M3208" s="1" t="s">
        <v>21</v>
      </c>
      <c r="N3208" s="1" t="s">
        <v>22</v>
      </c>
      <c r="O3208" s="2">
        <v>46075</v>
      </c>
      <c r="P3208" s="2">
        <v>46075</v>
      </c>
      <c r="Q3208">
        <f>_xlfn.XLOOKUP(E3208,CPT!$A$2:$A$13,CPT!$D$2:$D$13)</f>
        <v>260</v>
      </c>
      <c r="R3208" s="1">
        <f>_xlfn.XLOOKUP(C3208,Contract!$A$2:$A$9,Contract!$B$2:$B$9)</f>
        <v>0.45</v>
      </c>
      <c r="S3208" s="1">
        <f t="shared" si="200"/>
        <v>117</v>
      </c>
      <c r="T3208" s="1">
        <f t="shared" si="201"/>
        <v>20.560000000000002</v>
      </c>
      <c r="U3208" s="1" t="str">
        <f t="shared" si="202"/>
        <v>Underpaid</v>
      </c>
      <c r="V3208" s="1" t="str">
        <f>_xlfn.XLOOKUP(C3208,Payers!$A$2:$A$9,Payers!$B$2:$B$9)</f>
        <v>Blue Horizon Commercial</v>
      </c>
      <c r="W3208" s="1" t="str">
        <f t="shared" si="203"/>
        <v>2026-02</v>
      </c>
    </row>
    <row r="3209" spans="1:23">
      <c r="A3209" s="1" t="s">
        <v>5342</v>
      </c>
      <c r="B3209" s="1" t="s">
        <v>5343</v>
      </c>
      <c r="C3209" s="1" t="s">
        <v>36</v>
      </c>
      <c r="D3209" s="1" t="s">
        <v>30</v>
      </c>
      <c r="E3209" s="1" t="s">
        <v>20</v>
      </c>
      <c r="F3209">
        <v>1</v>
      </c>
      <c r="G3209" s="2">
        <v>46087</v>
      </c>
      <c r="H3209" s="2">
        <v>46090</v>
      </c>
      <c r="I3209">
        <v>147.74</v>
      </c>
      <c r="J3209">
        <v>44.91</v>
      </c>
      <c r="K3209">
        <v>35.93</v>
      </c>
      <c r="L3209">
        <v>8.98</v>
      </c>
      <c r="M3209" s="1" t="s">
        <v>21</v>
      </c>
      <c r="N3209" s="1" t="s">
        <v>22</v>
      </c>
      <c r="O3209" s="2">
        <v>46137</v>
      </c>
      <c r="P3209" s="2">
        <v>46137</v>
      </c>
      <c r="Q3209">
        <f>_xlfn.XLOOKUP(E3209,CPT!$A$2:$A$13,CPT!$D$2:$D$13)</f>
        <v>145</v>
      </c>
      <c r="R3209" s="1">
        <f>_xlfn.XLOOKUP(C3209,Contract!$A$2:$A$9,Contract!$B$2:$B$9)</f>
        <v>0.27</v>
      </c>
      <c r="S3209" s="1">
        <f t="shared" si="200"/>
        <v>39.15</v>
      </c>
      <c r="T3209" s="1">
        <f t="shared" si="201"/>
        <v>-5.759999999999998</v>
      </c>
      <c r="U3209" s="1" t="str">
        <f t="shared" si="202"/>
        <v>OK</v>
      </c>
      <c r="V3209" s="1" t="str">
        <f>_xlfn.XLOOKUP(C3209,Payers!$A$2:$A$9,Payers!$B$2:$B$9)</f>
        <v>Florida Medicaid</v>
      </c>
      <c r="W3209" s="1" t="str">
        <f t="shared" si="203"/>
        <v>2026-03</v>
      </c>
    </row>
    <row r="3210" spans="1:23">
      <c r="A3210" s="1" t="s">
        <v>5344</v>
      </c>
      <c r="B3210" s="1" t="s">
        <v>2314</v>
      </c>
      <c r="C3210" s="1" t="s">
        <v>18</v>
      </c>
      <c r="D3210" s="1" t="s">
        <v>19</v>
      </c>
      <c r="E3210" s="1" t="s">
        <v>57</v>
      </c>
      <c r="F3210">
        <v>1</v>
      </c>
      <c r="G3210" s="2">
        <v>46061</v>
      </c>
      <c r="H3210" s="2">
        <v>46064</v>
      </c>
      <c r="I3210">
        <v>212.03</v>
      </c>
      <c r="J3210">
        <v>90.98</v>
      </c>
      <c r="K3210">
        <v>81.88</v>
      </c>
      <c r="L3210">
        <v>9.1</v>
      </c>
      <c r="M3210" s="1" t="s">
        <v>21</v>
      </c>
      <c r="N3210" s="1" t="s">
        <v>22</v>
      </c>
      <c r="O3210" s="2">
        <v>46110</v>
      </c>
      <c r="P3210" s="2">
        <v>46110</v>
      </c>
      <c r="Q3210">
        <f>_xlfn.XLOOKUP(E3210,CPT!$A$2:$A$13,CPT!$D$2:$D$13)</f>
        <v>210</v>
      </c>
      <c r="R3210" s="1">
        <f>_xlfn.XLOOKUP(C3210,Contract!$A$2:$A$9,Contract!$B$2:$B$9)</f>
        <v>0.38</v>
      </c>
      <c r="S3210" s="1">
        <f t="shared" si="200"/>
        <v>79.8</v>
      </c>
      <c r="T3210" s="1">
        <f t="shared" si="201"/>
        <v>-11.180000000000007</v>
      </c>
      <c r="U3210" s="1" t="str">
        <f t="shared" si="202"/>
        <v>OK</v>
      </c>
      <c r="V3210" s="1" t="str">
        <f>_xlfn.XLOOKUP(C3210,Payers!$A$2:$A$9,Payers!$B$2:$B$9)</f>
        <v>Sunshine Medicare Advantage</v>
      </c>
      <c r="W3210" s="1" t="str">
        <f t="shared" si="203"/>
        <v>2026-02</v>
      </c>
    </row>
    <row r="3211" spans="1:23">
      <c r="A3211" s="1" t="s">
        <v>5345</v>
      </c>
      <c r="B3211" s="1" t="s">
        <v>5346</v>
      </c>
      <c r="C3211" s="1" t="s">
        <v>36</v>
      </c>
      <c r="D3211" s="1" t="s">
        <v>19</v>
      </c>
      <c r="E3211" s="1" t="s">
        <v>88</v>
      </c>
      <c r="F3211">
        <v>1</v>
      </c>
      <c r="G3211" s="2">
        <v>46017</v>
      </c>
      <c r="H3211" s="2">
        <v>46022</v>
      </c>
      <c r="I3211">
        <v>257.58</v>
      </c>
      <c r="M3211" s="1" t="s">
        <v>32</v>
      </c>
      <c r="N3211" s="1" t="s">
        <v>168</v>
      </c>
      <c r="O3211" s="2">
        <v>46063</v>
      </c>
      <c r="P3211" s="2"/>
      <c r="Q3211">
        <f>_xlfn.XLOOKUP(E3211,CPT!$A$2:$A$13,CPT!$D$2:$D$13)</f>
        <v>260</v>
      </c>
      <c r="R3211" s="1">
        <f>_xlfn.XLOOKUP(C3211,Contract!$A$2:$A$9,Contract!$B$2:$B$9)</f>
        <v>0.27</v>
      </c>
      <c r="S3211" s="1">
        <f t="shared" si="200"/>
        <v>70.2</v>
      </c>
      <c r="T3211" s="1" t="str">
        <f t="shared" si="201"/>
        <v/>
      </c>
      <c r="U3211" s="1" t="str">
        <f t="shared" si="202"/>
        <v/>
      </c>
      <c r="V3211" s="1" t="str">
        <f>_xlfn.XLOOKUP(C3211,Payers!$A$2:$A$9,Payers!$B$2:$B$9)</f>
        <v>Florida Medicaid</v>
      </c>
      <c r="W3211" s="1" t="str">
        <f t="shared" si="203"/>
        <v>2025-12</v>
      </c>
    </row>
    <row r="3212" spans="1:23">
      <c r="A3212" s="1" t="s">
        <v>5347</v>
      </c>
      <c r="B3212" s="1" t="s">
        <v>2666</v>
      </c>
      <c r="C3212" s="1" t="s">
        <v>25</v>
      </c>
      <c r="D3212" s="1" t="s">
        <v>19</v>
      </c>
      <c r="E3212" s="1" t="s">
        <v>57</v>
      </c>
      <c r="F3212">
        <v>1</v>
      </c>
      <c r="G3212" s="2">
        <v>46202</v>
      </c>
      <c r="H3212" s="2">
        <v>46206</v>
      </c>
      <c r="I3212">
        <v>216.13</v>
      </c>
      <c r="J3212">
        <v>80.03</v>
      </c>
      <c r="K3212">
        <v>72.03</v>
      </c>
      <c r="L3212">
        <v>8</v>
      </c>
      <c r="M3212" s="1" t="s">
        <v>21</v>
      </c>
      <c r="N3212" s="1" t="s">
        <v>22</v>
      </c>
      <c r="O3212" s="2">
        <v>46230</v>
      </c>
      <c r="P3212" s="2">
        <v>46230</v>
      </c>
      <c r="Q3212">
        <f>_xlfn.XLOOKUP(E3212,CPT!$A$2:$A$13,CPT!$D$2:$D$13)</f>
        <v>210</v>
      </c>
      <c r="R3212" s="1">
        <f>_xlfn.XLOOKUP(C3212,Contract!$A$2:$A$9,Contract!$B$2:$B$9)</f>
        <v>0.36</v>
      </c>
      <c r="S3212" s="1">
        <f t="shared" si="200"/>
        <v>75.599999999999994</v>
      </c>
      <c r="T3212" s="1">
        <f t="shared" si="201"/>
        <v>-4.4300000000000068</v>
      </c>
      <c r="U3212" s="1" t="str">
        <f t="shared" si="202"/>
        <v>OK</v>
      </c>
      <c r="V3212" s="1" t="str">
        <f>_xlfn.XLOOKUP(C3212,Payers!$A$2:$A$9,Payers!$B$2:$B$9)</f>
        <v>Medicare Part B</v>
      </c>
      <c r="W3212" s="1" t="str">
        <f t="shared" si="203"/>
        <v>2026-06</v>
      </c>
    </row>
    <row r="3213" spans="1:23">
      <c r="A3213" s="1" t="s">
        <v>5348</v>
      </c>
      <c r="B3213" s="1" t="s">
        <v>5349</v>
      </c>
      <c r="C3213" s="1" t="s">
        <v>76</v>
      </c>
      <c r="D3213" s="1" t="s">
        <v>19</v>
      </c>
      <c r="E3213" s="1" t="s">
        <v>20</v>
      </c>
      <c r="F3213">
        <v>1</v>
      </c>
      <c r="G3213" s="2">
        <v>46101</v>
      </c>
      <c r="H3213" s="2">
        <v>46102</v>
      </c>
      <c r="I3213">
        <v>146.09</v>
      </c>
      <c r="J3213">
        <v>64.09</v>
      </c>
      <c r="K3213">
        <v>57.68</v>
      </c>
      <c r="L3213">
        <v>6.41</v>
      </c>
      <c r="M3213" s="1" t="s">
        <v>21</v>
      </c>
      <c r="N3213" s="1" t="s">
        <v>22</v>
      </c>
      <c r="O3213" s="2">
        <v>46124</v>
      </c>
      <c r="P3213" s="2">
        <v>46124</v>
      </c>
      <c r="Q3213">
        <f>_xlfn.XLOOKUP(E3213,CPT!$A$2:$A$13,CPT!$D$2:$D$13)</f>
        <v>145</v>
      </c>
      <c r="R3213" s="1">
        <f>_xlfn.XLOOKUP(C3213,Contract!$A$2:$A$9,Contract!$B$2:$B$9)</f>
        <v>0.43</v>
      </c>
      <c r="S3213" s="1">
        <f t="shared" si="200"/>
        <v>62.35</v>
      </c>
      <c r="T3213" s="1">
        <f t="shared" si="201"/>
        <v>-1.740000000000002</v>
      </c>
      <c r="U3213" s="1" t="str">
        <f t="shared" si="202"/>
        <v>OK</v>
      </c>
      <c r="V3213" s="1" t="str">
        <f>_xlfn.XLOOKUP(C3213,Payers!$A$2:$A$9,Payers!$B$2:$B$9)</f>
        <v>Summit Health Commercial</v>
      </c>
      <c r="W3213" s="1" t="str">
        <f t="shared" si="203"/>
        <v>2026-03</v>
      </c>
    </row>
    <row r="3214" spans="1:23">
      <c r="A3214" s="1" t="s">
        <v>5350</v>
      </c>
      <c r="B3214" s="1" t="s">
        <v>3335</v>
      </c>
      <c r="C3214" s="1" t="s">
        <v>79</v>
      </c>
      <c r="D3214" s="1" t="s">
        <v>30</v>
      </c>
      <c r="E3214" s="1" t="s">
        <v>20</v>
      </c>
      <c r="F3214">
        <v>1</v>
      </c>
      <c r="G3214" s="2">
        <v>46083</v>
      </c>
      <c r="H3214" s="2">
        <v>46089</v>
      </c>
      <c r="I3214">
        <v>144.41</v>
      </c>
      <c r="J3214">
        <v>144.41</v>
      </c>
      <c r="K3214">
        <v>144.41</v>
      </c>
      <c r="L3214">
        <v>0</v>
      </c>
      <c r="M3214" s="1" t="s">
        <v>21</v>
      </c>
      <c r="N3214" s="1" t="s">
        <v>22</v>
      </c>
      <c r="O3214" s="2">
        <v>46181</v>
      </c>
      <c r="P3214" s="2">
        <v>46181</v>
      </c>
      <c r="Q3214">
        <f>_xlfn.XLOOKUP(E3214,CPT!$A$2:$A$13,CPT!$D$2:$D$13)</f>
        <v>145</v>
      </c>
      <c r="R3214" s="1">
        <f>_xlfn.XLOOKUP(C3214,Contract!$A$2:$A$9,Contract!$B$2:$B$9)</f>
        <v>1</v>
      </c>
      <c r="S3214" s="1">
        <f t="shared" si="200"/>
        <v>145</v>
      </c>
      <c r="T3214" s="1">
        <f t="shared" si="201"/>
        <v>0.59000000000000341</v>
      </c>
      <c r="U3214" s="1" t="str">
        <f t="shared" si="202"/>
        <v>OK</v>
      </c>
      <c r="V3214" s="1" t="str">
        <f>_xlfn.XLOOKUP(C3214,Payers!$A$2:$A$9,Payers!$B$2:$B$9)</f>
        <v>Self-Pay</v>
      </c>
      <c r="W3214" s="1" t="str">
        <f t="shared" si="203"/>
        <v>2026-03</v>
      </c>
    </row>
    <row r="3215" spans="1:23">
      <c r="A3215" s="1" t="s">
        <v>5351</v>
      </c>
      <c r="B3215" s="1" t="s">
        <v>1351</v>
      </c>
      <c r="C3215" s="1" t="s">
        <v>79</v>
      </c>
      <c r="D3215" s="1" t="s">
        <v>26</v>
      </c>
      <c r="E3215" s="1" t="s">
        <v>57</v>
      </c>
      <c r="F3215">
        <v>1</v>
      </c>
      <c r="G3215" s="2">
        <v>46200</v>
      </c>
      <c r="H3215" s="2">
        <v>46204</v>
      </c>
      <c r="I3215">
        <v>208.43</v>
      </c>
      <c r="M3215" s="1" t="s">
        <v>69</v>
      </c>
      <c r="N3215" s="1" t="s">
        <v>22</v>
      </c>
      <c r="O3215" s="2"/>
      <c r="P3215" s="2"/>
      <c r="Q3215">
        <f>_xlfn.XLOOKUP(E3215,CPT!$A$2:$A$13,CPT!$D$2:$D$13)</f>
        <v>210</v>
      </c>
      <c r="R3215" s="1">
        <f>_xlfn.XLOOKUP(C3215,Contract!$A$2:$A$9,Contract!$B$2:$B$9)</f>
        <v>1</v>
      </c>
      <c r="S3215" s="1">
        <f t="shared" si="200"/>
        <v>210</v>
      </c>
      <c r="T3215" s="1" t="str">
        <f t="shared" si="201"/>
        <v/>
      </c>
      <c r="U3215" s="1" t="str">
        <f t="shared" si="202"/>
        <v/>
      </c>
      <c r="V3215" s="1" t="str">
        <f>_xlfn.XLOOKUP(C3215,Payers!$A$2:$A$9,Payers!$B$2:$B$9)</f>
        <v>Self-Pay</v>
      </c>
      <c r="W3215" s="1" t="str">
        <f t="shared" si="203"/>
        <v>2026-06</v>
      </c>
    </row>
    <row r="3216" spans="1:23">
      <c r="A3216" s="1" t="s">
        <v>5352</v>
      </c>
      <c r="B3216" s="1" t="s">
        <v>5353</v>
      </c>
      <c r="C3216" s="1" t="s">
        <v>25</v>
      </c>
      <c r="D3216" s="1" t="s">
        <v>37</v>
      </c>
      <c r="E3216" s="1" t="s">
        <v>57</v>
      </c>
      <c r="F3216">
        <v>1</v>
      </c>
      <c r="G3216" s="2">
        <v>46180</v>
      </c>
      <c r="H3216" s="2">
        <v>46182</v>
      </c>
      <c r="I3216">
        <v>211.25</v>
      </c>
      <c r="M3216" s="1" t="s">
        <v>32</v>
      </c>
      <c r="N3216" s="1" t="s">
        <v>281</v>
      </c>
      <c r="O3216" s="2">
        <v>46198</v>
      </c>
      <c r="P3216" s="2"/>
      <c r="Q3216">
        <f>_xlfn.XLOOKUP(E3216,CPT!$A$2:$A$13,CPT!$D$2:$D$13)</f>
        <v>210</v>
      </c>
      <c r="R3216" s="1">
        <f>_xlfn.XLOOKUP(C3216,Contract!$A$2:$A$9,Contract!$B$2:$B$9)</f>
        <v>0.36</v>
      </c>
      <c r="S3216" s="1">
        <f t="shared" si="200"/>
        <v>75.599999999999994</v>
      </c>
      <c r="T3216" s="1" t="str">
        <f t="shared" si="201"/>
        <v/>
      </c>
      <c r="U3216" s="1" t="str">
        <f t="shared" si="202"/>
        <v/>
      </c>
      <c r="V3216" s="1" t="str">
        <f>_xlfn.XLOOKUP(C3216,Payers!$A$2:$A$9,Payers!$B$2:$B$9)</f>
        <v>Medicare Part B</v>
      </c>
      <c r="W3216" s="1" t="str">
        <f t="shared" si="203"/>
        <v>2026-06</v>
      </c>
    </row>
    <row r="3217" spans="1:23">
      <c r="A3217" s="1" t="s">
        <v>5354</v>
      </c>
      <c r="B3217" s="1" t="s">
        <v>2987</v>
      </c>
      <c r="C3217" s="1" t="s">
        <v>60</v>
      </c>
      <c r="D3217" s="1" t="s">
        <v>26</v>
      </c>
      <c r="E3217" s="1" t="s">
        <v>113</v>
      </c>
      <c r="F3217">
        <v>1</v>
      </c>
      <c r="G3217" s="2">
        <v>46259</v>
      </c>
      <c r="H3217" s="2">
        <v>46269</v>
      </c>
      <c r="I3217">
        <v>1078.54</v>
      </c>
      <c r="M3217" s="1" t="s">
        <v>69</v>
      </c>
      <c r="N3217" s="1" t="s">
        <v>22</v>
      </c>
      <c r="O3217" s="2"/>
      <c r="P3217" s="2"/>
      <c r="Q3217">
        <f>_xlfn.XLOOKUP(E3217,CPT!$A$2:$A$13,CPT!$D$2:$D$13)</f>
        <v>1050</v>
      </c>
      <c r="R3217" s="1">
        <f>_xlfn.XLOOKUP(C3217,Contract!$A$2:$A$9,Contract!$B$2:$B$9)</f>
        <v>0.45</v>
      </c>
      <c r="S3217" s="1">
        <f t="shared" si="200"/>
        <v>472.5</v>
      </c>
      <c r="T3217" s="1" t="str">
        <f t="shared" si="201"/>
        <v/>
      </c>
      <c r="U3217" s="1" t="str">
        <f t="shared" si="202"/>
        <v/>
      </c>
      <c r="V3217" s="1" t="str">
        <f>_xlfn.XLOOKUP(C3217,Payers!$A$2:$A$9,Payers!$B$2:$B$9)</f>
        <v>Blue Horizon Commercial</v>
      </c>
      <c r="W3217" s="1" t="str">
        <f t="shared" si="203"/>
        <v>2026-08</v>
      </c>
    </row>
    <row r="3218" spans="1:23">
      <c r="A3218" s="1" t="s">
        <v>5355</v>
      </c>
      <c r="B3218" s="1" t="s">
        <v>2432</v>
      </c>
      <c r="C3218" s="1" t="s">
        <v>18</v>
      </c>
      <c r="D3218" s="1" t="s">
        <v>26</v>
      </c>
      <c r="E3218" s="1" t="s">
        <v>44</v>
      </c>
      <c r="F3218">
        <v>1</v>
      </c>
      <c r="G3218" s="2">
        <v>46272</v>
      </c>
      <c r="H3218" s="2">
        <v>46275</v>
      </c>
      <c r="I3218">
        <v>4678.09</v>
      </c>
      <c r="M3218" s="1" t="s">
        <v>69</v>
      </c>
      <c r="N3218" s="1" t="s">
        <v>22</v>
      </c>
      <c r="O3218" s="2"/>
      <c r="P3218" s="2"/>
      <c r="Q3218">
        <f>_xlfn.XLOOKUP(E3218,CPT!$A$2:$A$13,CPT!$D$2:$D$13)</f>
        <v>4800</v>
      </c>
      <c r="R3218" s="1">
        <f>_xlfn.XLOOKUP(C3218,Contract!$A$2:$A$9,Contract!$B$2:$B$9)</f>
        <v>0.38</v>
      </c>
      <c r="S3218" s="1">
        <f t="shared" si="200"/>
        <v>1824</v>
      </c>
      <c r="T3218" s="1" t="str">
        <f t="shared" si="201"/>
        <v/>
      </c>
      <c r="U3218" s="1" t="str">
        <f t="shared" si="202"/>
        <v/>
      </c>
      <c r="V3218" s="1" t="str">
        <f>_xlfn.XLOOKUP(C3218,Payers!$A$2:$A$9,Payers!$B$2:$B$9)</f>
        <v>Sunshine Medicare Advantage</v>
      </c>
      <c r="W3218" s="1" t="str">
        <f t="shared" si="203"/>
        <v>2026-09</v>
      </c>
    </row>
    <row r="3219" spans="1:23">
      <c r="A3219" s="1" t="s">
        <v>5356</v>
      </c>
      <c r="B3219" s="1" t="s">
        <v>5357</v>
      </c>
      <c r="C3219" s="1" t="s">
        <v>60</v>
      </c>
      <c r="D3219" s="1" t="s">
        <v>19</v>
      </c>
      <c r="E3219" s="1" t="s">
        <v>57</v>
      </c>
      <c r="F3219">
        <v>1</v>
      </c>
      <c r="G3219" s="2">
        <v>45981</v>
      </c>
      <c r="H3219" s="2">
        <v>45983</v>
      </c>
      <c r="I3219">
        <v>206.49</v>
      </c>
      <c r="J3219">
        <v>95.45</v>
      </c>
      <c r="K3219">
        <v>95.45</v>
      </c>
      <c r="L3219">
        <v>0</v>
      </c>
      <c r="M3219" s="1" t="s">
        <v>21</v>
      </c>
      <c r="N3219" s="1" t="s">
        <v>22</v>
      </c>
      <c r="O3219" s="2">
        <v>46011</v>
      </c>
      <c r="P3219" s="2">
        <v>46011</v>
      </c>
      <c r="Q3219">
        <f>_xlfn.XLOOKUP(E3219,CPT!$A$2:$A$13,CPT!$D$2:$D$13)</f>
        <v>210</v>
      </c>
      <c r="R3219" s="1">
        <f>_xlfn.XLOOKUP(C3219,Contract!$A$2:$A$9,Contract!$B$2:$B$9)</f>
        <v>0.45</v>
      </c>
      <c r="S3219" s="1">
        <f t="shared" si="200"/>
        <v>94.5</v>
      </c>
      <c r="T3219" s="1">
        <f t="shared" si="201"/>
        <v>-0.95000000000000284</v>
      </c>
      <c r="U3219" s="1" t="str">
        <f t="shared" si="202"/>
        <v>OK</v>
      </c>
      <c r="V3219" s="1" t="str">
        <f>_xlfn.XLOOKUP(C3219,Payers!$A$2:$A$9,Payers!$B$2:$B$9)</f>
        <v>Blue Horizon Commercial</v>
      </c>
      <c r="W3219" s="1" t="str">
        <f t="shared" si="203"/>
        <v>2025-11</v>
      </c>
    </row>
    <row r="3220" spans="1:23">
      <c r="A3220" s="1" t="s">
        <v>5358</v>
      </c>
      <c r="B3220" s="1" t="s">
        <v>3212</v>
      </c>
      <c r="C3220" s="1" t="s">
        <v>76</v>
      </c>
      <c r="D3220" s="1" t="s">
        <v>37</v>
      </c>
      <c r="E3220" s="1" t="s">
        <v>38</v>
      </c>
      <c r="F3220">
        <v>20</v>
      </c>
      <c r="G3220" s="2">
        <v>46068</v>
      </c>
      <c r="H3220" s="2">
        <v>46076</v>
      </c>
      <c r="I3220">
        <v>28967.69</v>
      </c>
      <c r="J3220">
        <v>11569.15</v>
      </c>
      <c r="K3220">
        <v>11569.15</v>
      </c>
      <c r="L3220">
        <v>0</v>
      </c>
      <c r="M3220" s="1" t="s">
        <v>21</v>
      </c>
      <c r="N3220" s="1" t="s">
        <v>22</v>
      </c>
      <c r="O3220" s="2">
        <v>46112</v>
      </c>
      <c r="P3220" s="2">
        <v>46112</v>
      </c>
      <c r="Q3220">
        <f>_xlfn.XLOOKUP(E3220,CPT!$A$2:$A$13,CPT!$D$2:$D$13)</f>
        <v>1450</v>
      </c>
      <c r="R3220" s="1">
        <f>_xlfn.XLOOKUP(C3220,Contract!$A$2:$A$9,Contract!$B$2:$B$9)</f>
        <v>0.43</v>
      </c>
      <c r="S3220" s="1">
        <f t="shared" si="200"/>
        <v>12470</v>
      </c>
      <c r="T3220" s="1">
        <f t="shared" si="201"/>
        <v>900.85000000000036</v>
      </c>
      <c r="U3220" s="1" t="str">
        <f t="shared" si="202"/>
        <v>Underpaid</v>
      </c>
      <c r="V3220" s="1" t="str">
        <f>_xlfn.XLOOKUP(C3220,Payers!$A$2:$A$9,Payers!$B$2:$B$9)</f>
        <v>Summit Health Commercial</v>
      </c>
      <c r="W3220" s="1" t="str">
        <f t="shared" si="203"/>
        <v>2026-02</v>
      </c>
    </row>
    <row r="3221" spans="1:23">
      <c r="A3221" s="1" t="s">
        <v>5359</v>
      </c>
      <c r="B3221" s="1" t="s">
        <v>5360</v>
      </c>
      <c r="C3221" s="1" t="s">
        <v>52</v>
      </c>
      <c r="D3221" s="1" t="s">
        <v>37</v>
      </c>
      <c r="E3221" s="1" t="s">
        <v>48</v>
      </c>
      <c r="F3221">
        <v>1</v>
      </c>
      <c r="G3221" s="2">
        <v>46188</v>
      </c>
      <c r="H3221" s="2">
        <v>46189</v>
      </c>
      <c r="I3221">
        <v>415.93</v>
      </c>
      <c r="J3221">
        <v>169.15</v>
      </c>
      <c r="K3221">
        <v>135.32</v>
      </c>
      <c r="L3221">
        <v>33.83</v>
      </c>
      <c r="M3221" s="1" t="s">
        <v>21</v>
      </c>
      <c r="N3221" s="1" t="s">
        <v>22</v>
      </c>
      <c r="O3221" s="2">
        <v>46248</v>
      </c>
      <c r="P3221" s="2">
        <v>46248</v>
      </c>
      <c r="Q3221">
        <f>_xlfn.XLOOKUP(E3221,CPT!$A$2:$A$13,CPT!$D$2:$D$13)</f>
        <v>420</v>
      </c>
      <c r="R3221" s="1">
        <f>_xlfn.XLOOKUP(C3221,Contract!$A$2:$A$9,Contract!$B$2:$B$9)</f>
        <v>0.47</v>
      </c>
      <c r="S3221" s="1">
        <f t="shared" si="200"/>
        <v>197.4</v>
      </c>
      <c r="T3221" s="1">
        <f t="shared" si="201"/>
        <v>28.25</v>
      </c>
      <c r="U3221" s="1" t="str">
        <f t="shared" si="202"/>
        <v>Underpaid</v>
      </c>
      <c r="V3221" s="1" t="str">
        <f>_xlfn.XLOOKUP(C3221,Payers!$A$2:$A$9,Payers!$B$2:$B$9)</f>
        <v>Keystone Commercial PPO</v>
      </c>
      <c r="W3221" s="1" t="str">
        <f t="shared" si="203"/>
        <v>2026-06</v>
      </c>
    </row>
    <row r="3222" spans="1:23">
      <c r="A3222" s="1" t="s">
        <v>5361</v>
      </c>
      <c r="B3222" s="1" t="s">
        <v>1069</v>
      </c>
      <c r="C3222" s="1" t="s">
        <v>76</v>
      </c>
      <c r="D3222" s="1" t="s">
        <v>30</v>
      </c>
      <c r="E3222" s="1" t="s">
        <v>31</v>
      </c>
      <c r="F3222">
        <v>1</v>
      </c>
      <c r="G3222" s="2">
        <v>46170</v>
      </c>
      <c r="H3222" s="2">
        <v>46172</v>
      </c>
      <c r="I3222">
        <v>62.72</v>
      </c>
      <c r="J3222">
        <v>29.81</v>
      </c>
      <c r="K3222">
        <v>26.83</v>
      </c>
      <c r="L3222">
        <v>2.98</v>
      </c>
      <c r="M3222" s="1" t="s">
        <v>21</v>
      </c>
      <c r="N3222" s="1" t="s">
        <v>22</v>
      </c>
      <c r="O3222" s="2">
        <v>46179</v>
      </c>
      <c r="P3222" s="2">
        <v>46179</v>
      </c>
      <c r="Q3222">
        <f>_xlfn.XLOOKUP(E3222,CPT!$A$2:$A$13,CPT!$D$2:$D$13)</f>
        <v>62</v>
      </c>
      <c r="R3222" s="1">
        <f>_xlfn.XLOOKUP(C3222,Contract!$A$2:$A$9,Contract!$B$2:$B$9)</f>
        <v>0.43</v>
      </c>
      <c r="S3222" s="1">
        <f t="shared" si="200"/>
        <v>26.66</v>
      </c>
      <c r="T3222" s="1">
        <f t="shared" si="201"/>
        <v>-3.1499999999999986</v>
      </c>
      <c r="U3222" s="1" t="str">
        <f t="shared" si="202"/>
        <v>OK</v>
      </c>
      <c r="V3222" s="1" t="str">
        <f>_xlfn.XLOOKUP(C3222,Payers!$A$2:$A$9,Payers!$B$2:$B$9)</f>
        <v>Summit Health Commercial</v>
      </c>
      <c r="W3222" s="1" t="str">
        <f t="shared" si="203"/>
        <v>2026-05</v>
      </c>
    </row>
    <row r="3223" spans="1:23">
      <c r="A3223" s="1" t="s">
        <v>5362</v>
      </c>
      <c r="B3223" s="1" t="s">
        <v>552</v>
      </c>
      <c r="C3223" s="1" t="s">
        <v>47</v>
      </c>
      <c r="D3223" s="1" t="s">
        <v>19</v>
      </c>
      <c r="E3223" s="1" t="s">
        <v>41</v>
      </c>
      <c r="F3223">
        <v>1</v>
      </c>
      <c r="G3223" s="2">
        <v>46053</v>
      </c>
      <c r="H3223" s="2">
        <v>46056</v>
      </c>
      <c r="I3223">
        <v>37.74</v>
      </c>
      <c r="M3223" s="1" t="s">
        <v>32</v>
      </c>
      <c r="N3223" s="1" t="s">
        <v>98</v>
      </c>
      <c r="O3223" s="2">
        <v>46144</v>
      </c>
      <c r="P3223" s="2"/>
      <c r="Q3223">
        <f>_xlfn.XLOOKUP(E3223,CPT!$A$2:$A$13,CPT!$D$2:$D$13)</f>
        <v>38</v>
      </c>
      <c r="R3223" s="1">
        <f>_xlfn.XLOOKUP(C3223,Contract!$A$2:$A$9,Contract!$B$2:$B$9)</f>
        <v>0.28000000000000003</v>
      </c>
      <c r="S3223" s="1">
        <f t="shared" si="200"/>
        <v>10.64</v>
      </c>
      <c r="T3223" s="1" t="str">
        <f t="shared" si="201"/>
        <v/>
      </c>
      <c r="U3223" s="1" t="str">
        <f t="shared" si="202"/>
        <v/>
      </c>
      <c r="V3223" s="1" t="str">
        <f>_xlfn.XLOOKUP(C3223,Payers!$A$2:$A$9,Payers!$B$2:$B$9)</f>
        <v>Coastal Medicaid MCO</v>
      </c>
      <c r="W3223" s="1" t="str">
        <f t="shared" si="203"/>
        <v>2026-01</v>
      </c>
    </row>
    <row r="3224" spans="1:23">
      <c r="A3224" s="1" t="s">
        <v>5363</v>
      </c>
      <c r="B3224" s="1" t="s">
        <v>1678</v>
      </c>
      <c r="C3224" s="1" t="s">
        <v>60</v>
      </c>
      <c r="D3224" s="1" t="s">
        <v>26</v>
      </c>
      <c r="E3224" s="1" t="s">
        <v>88</v>
      </c>
      <c r="F3224">
        <v>1</v>
      </c>
      <c r="G3224" s="2">
        <v>46231</v>
      </c>
      <c r="H3224" s="2">
        <v>46248</v>
      </c>
      <c r="I3224">
        <v>257.41000000000003</v>
      </c>
      <c r="J3224">
        <v>107.21</v>
      </c>
      <c r="K3224">
        <v>107.21</v>
      </c>
      <c r="L3224">
        <v>0</v>
      </c>
      <c r="M3224" s="1" t="s">
        <v>21</v>
      </c>
      <c r="N3224" s="1" t="s">
        <v>22</v>
      </c>
      <c r="O3224" s="2">
        <v>46273</v>
      </c>
      <c r="P3224" s="2">
        <v>46273</v>
      </c>
      <c r="Q3224">
        <f>_xlfn.XLOOKUP(E3224,CPT!$A$2:$A$13,CPT!$D$2:$D$13)</f>
        <v>260</v>
      </c>
      <c r="R3224" s="1">
        <f>_xlfn.XLOOKUP(C3224,Contract!$A$2:$A$9,Contract!$B$2:$B$9)</f>
        <v>0.45</v>
      </c>
      <c r="S3224" s="1">
        <f t="shared" si="200"/>
        <v>117</v>
      </c>
      <c r="T3224" s="1">
        <f t="shared" si="201"/>
        <v>9.7900000000000063</v>
      </c>
      <c r="U3224" s="1" t="str">
        <f t="shared" si="202"/>
        <v>Underpaid</v>
      </c>
      <c r="V3224" s="1" t="str">
        <f>_xlfn.XLOOKUP(C3224,Payers!$A$2:$A$9,Payers!$B$2:$B$9)</f>
        <v>Blue Horizon Commercial</v>
      </c>
      <c r="W3224" s="1" t="str">
        <f t="shared" si="203"/>
        <v>2026-07</v>
      </c>
    </row>
    <row r="3225" spans="1:23">
      <c r="A3225" s="1" t="s">
        <v>5364</v>
      </c>
      <c r="B3225" s="1" t="s">
        <v>5365</v>
      </c>
      <c r="C3225" s="1" t="s">
        <v>60</v>
      </c>
      <c r="D3225" s="1" t="s">
        <v>19</v>
      </c>
      <c r="E3225" s="1" t="s">
        <v>41</v>
      </c>
      <c r="F3225">
        <v>1</v>
      </c>
      <c r="G3225" s="2">
        <v>45996</v>
      </c>
      <c r="H3225" s="2">
        <v>45997</v>
      </c>
      <c r="I3225">
        <v>37.049999999999997</v>
      </c>
      <c r="J3225">
        <v>18.77</v>
      </c>
      <c r="K3225">
        <v>15.02</v>
      </c>
      <c r="L3225">
        <v>3.75</v>
      </c>
      <c r="M3225" s="1" t="s">
        <v>21</v>
      </c>
      <c r="N3225" s="1" t="s">
        <v>22</v>
      </c>
      <c r="O3225" s="2">
        <v>46027</v>
      </c>
      <c r="P3225" s="2">
        <v>46027</v>
      </c>
      <c r="Q3225">
        <f>_xlfn.XLOOKUP(E3225,CPT!$A$2:$A$13,CPT!$D$2:$D$13)</f>
        <v>38</v>
      </c>
      <c r="R3225" s="1">
        <f>_xlfn.XLOOKUP(C3225,Contract!$A$2:$A$9,Contract!$B$2:$B$9)</f>
        <v>0.45</v>
      </c>
      <c r="S3225" s="1">
        <f t="shared" si="200"/>
        <v>17.100000000000001</v>
      </c>
      <c r="T3225" s="1">
        <f t="shared" si="201"/>
        <v>-1.6699999999999982</v>
      </c>
      <c r="U3225" s="1" t="str">
        <f t="shared" si="202"/>
        <v>OK</v>
      </c>
      <c r="V3225" s="1" t="str">
        <f>_xlfn.XLOOKUP(C3225,Payers!$A$2:$A$9,Payers!$B$2:$B$9)</f>
        <v>Blue Horizon Commercial</v>
      </c>
      <c r="W3225" s="1" t="str">
        <f t="shared" si="203"/>
        <v>2025-12</v>
      </c>
    </row>
    <row r="3226" spans="1:23">
      <c r="A3226" s="1" t="s">
        <v>5366</v>
      </c>
      <c r="B3226" s="1" t="s">
        <v>2516</v>
      </c>
      <c r="C3226" s="1" t="s">
        <v>25</v>
      </c>
      <c r="D3226" s="1" t="s">
        <v>37</v>
      </c>
      <c r="E3226" s="1" t="s">
        <v>48</v>
      </c>
      <c r="F3226">
        <v>1</v>
      </c>
      <c r="G3226" s="2">
        <v>46289</v>
      </c>
      <c r="H3226" s="2">
        <v>46293</v>
      </c>
      <c r="I3226">
        <v>429.51</v>
      </c>
      <c r="M3226" s="1" t="s">
        <v>69</v>
      </c>
      <c r="N3226" s="1" t="s">
        <v>22</v>
      </c>
      <c r="O3226" s="2"/>
      <c r="P3226" s="2"/>
      <c r="Q3226">
        <f>_xlfn.XLOOKUP(E3226,CPT!$A$2:$A$13,CPT!$D$2:$D$13)</f>
        <v>420</v>
      </c>
      <c r="R3226" s="1">
        <f>_xlfn.XLOOKUP(C3226,Contract!$A$2:$A$9,Contract!$B$2:$B$9)</f>
        <v>0.36</v>
      </c>
      <c r="S3226" s="1">
        <f t="shared" si="200"/>
        <v>151.19999999999999</v>
      </c>
      <c r="T3226" s="1" t="str">
        <f t="shared" si="201"/>
        <v/>
      </c>
      <c r="U3226" s="1" t="str">
        <f t="shared" si="202"/>
        <v/>
      </c>
      <c r="V3226" s="1" t="str">
        <f>_xlfn.XLOOKUP(C3226,Payers!$A$2:$A$9,Payers!$B$2:$B$9)</f>
        <v>Medicare Part B</v>
      </c>
      <c r="W3226" s="1" t="str">
        <f t="shared" si="203"/>
        <v>2026-09</v>
      </c>
    </row>
    <row r="3227" spans="1:23">
      <c r="A3227" s="1" t="s">
        <v>5367</v>
      </c>
      <c r="B3227" s="1" t="s">
        <v>5368</v>
      </c>
      <c r="C3227" s="1" t="s">
        <v>18</v>
      </c>
      <c r="D3227" s="1" t="s">
        <v>19</v>
      </c>
      <c r="E3227" s="1" t="s">
        <v>41</v>
      </c>
      <c r="F3227">
        <v>1</v>
      </c>
      <c r="G3227" s="2">
        <v>45974</v>
      </c>
      <c r="H3227" s="2">
        <v>45985</v>
      </c>
      <c r="I3227">
        <v>38.159999999999997</v>
      </c>
      <c r="M3227" s="1" t="s">
        <v>32</v>
      </c>
      <c r="N3227" s="1" t="s">
        <v>33</v>
      </c>
      <c r="O3227" s="2">
        <v>46024</v>
      </c>
      <c r="P3227" s="2"/>
      <c r="Q3227">
        <f>_xlfn.XLOOKUP(E3227,CPT!$A$2:$A$13,CPT!$D$2:$D$13)</f>
        <v>38</v>
      </c>
      <c r="R3227" s="1">
        <f>_xlfn.XLOOKUP(C3227,Contract!$A$2:$A$9,Contract!$B$2:$B$9)</f>
        <v>0.38</v>
      </c>
      <c r="S3227" s="1">
        <f t="shared" si="200"/>
        <v>14.44</v>
      </c>
      <c r="T3227" s="1" t="str">
        <f t="shared" si="201"/>
        <v/>
      </c>
      <c r="U3227" s="1" t="str">
        <f t="shared" si="202"/>
        <v/>
      </c>
      <c r="V3227" s="1" t="str">
        <f>_xlfn.XLOOKUP(C3227,Payers!$A$2:$A$9,Payers!$B$2:$B$9)</f>
        <v>Sunshine Medicare Advantage</v>
      </c>
      <c r="W3227" s="1" t="str">
        <f t="shared" si="203"/>
        <v>2025-11</v>
      </c>
    </row>
    <row r="3228" spans="1:23">
      <c r="A3228" s="1" t="s">
        <v>5369</v>
      </c>
      <c r="B3228" s="1" t="s">
        <v>2321</v>
      </c>
      <c r="C3228" s="1" t="s">
        <v>60</v>
      </c>
      <c r="D3228" s="1" t="s">
        <v>19</v>
      </c>
      <c r="E3228" s="1" t="s">
        <v>57</v>
      </c>
      <c r="F3228">
        <v>1</v>
      </c>
      <c r="G3228" s="2">
        <v>46108</v>
      </c>
      <c r="H3228" s="2">
        <v>46114</v>
      </c>
      <c r="I3228">
        <v>213.95</v>
      </c>
      <c r="J3228">
        <v>85.29</v>
      </c>
      <c r="K3228">
        <v>68.23</v>
      </c>
      <c r="L3228">
        <v>17.059999999999999</v>
      </c>
      <c r="M3228" s="1" t="s">
        <v>21</v>
      </c>
      <c r="N3228" s="1" t="s">
        <v>22</v>
      </c>
      <c r="O3228" s="2">
        <v>46146</v>
      </c>
      <c r="P3228" s="2">
        <v>46146</v>
      </c>
      <c r="Q3228">
        <f>_xlfn.XLOOKUP(E3228,CPT!$A$2:$A$13,CPT!$D$2:$D$13)</f>
        <v>210</v>
      </c>
      <c r="R3228" s="1">
        <f>_xlfn.XLOOKUP(C3228,Contract!$A$2:$A$9,Contract!$B$2:$B$9)</f>
        <v>0.45</v>
      </c>
      <c r="S3228" s="1">
        <f t="shared" si="200"/>
        <v>94.5</v>
      </c>
      <c r="T3228" s="1">
        <f t="shared" si="201"/>
        <v>9.2099999999999937</v>
      </c>
      <c r="U3228" s="1" t="str">
        <f t="shared" si="202"/>
        <v>Underpaid</v>
      </c>
      <c r="V3228" s="1" t="str">
        <f>_xlfn.XLOOKUP(C3228,Payers!$A$2:$A$9,Payers!$B$2:$B$9)</f>
        <v>Blue Horizon Commercial</v>
      </c>
      <c r="W3228" s="1" t="str">
        <f t="shared" si="203"/>
        <v>2026-03</v>
      </c>
    </row>
    <row r="3229" spans="1:23">
      <c r="A3229" s="1" t="s">
        <v>5370</v>
      </c>
      <c r="B3229" s="1" t="s">
        <v>1610</v>
      </c>
      <c r="C3229" s="1" t="s">
        <v>60</v>
      </c>
      <c r="D3229" s="1" t="s">
        <v>19</v>
      </c>
      <c r="E3229" s="1" t="s">
        <v>20</v>
      </c>
      <c r="F3229">
        <v>1</v>
      </c>
      <c r="G3229" s="2">
        <v>46130</v>
      </c>
      <c r="H3229" s="2">
        <v>46131</v>
      </c>
      <c r="I3229">
        <v>142.41999999999999</v>
      </c>
      <c r="J3229">
        <v>65.5</v>
      </c>
      <c r="K3229">
        <v>52.4</v>
      </c>
      <c r="L3229">
        <v>13.1</v>
      </c>
      <c r="M3229" s="1" t="s">
        <v>21</v>
      </c>
      <c r="N3229" s="1" t="s">
        <v>22</v>
      </c>
      <c r="O3229" s="2">
        <v>46159</v>
      </c>
      <c r="P3229" s="2">
        <v>46159</v>
      </c>
      <c r="Q3229">
        <f>_xlfn.XLOOKUP(E3229,CPT!$A$2:$A$13,CPT!$D$2:$D$13)</f>
        <v>145</v>
      </c>
      <c r="R3229" s="1">
        <f>_xlfn.XLOOKUP(C3229,Contract!$A$2:$A$9,Contract!$B$2:$B$9)</f>
        <v>0.45</v>
      </c>
      <c r="S3229" s="1">
        <f t="shared" si="200"/>
        <v>65.25</v>
      </c>
      <c r="T3229" s="1">
        <f t="shared" si="201"/>
        <v>-0.25</v>
      </c>
      <c r="U3229" s="1" t="str">
        <f t="shared" si="202"/>
        <v>OK</v>
      </c>
      <c r="V3229" s="1" t="str">
        <f>_xlfn.XLOOKUP(C3229,Payers!$A$2:$A$9,Payers!$B$2:$B$9)</f>
        <v>Blue Horizon Commercial</v>
      </c>
      <c r="W3229" s="1" t="str">
        <f t="shared" si="203"/>
        <v>2026-04</v>
      </c>
    </row>
    <row r="3230" spans="1:23">
      <c r="A3230" s="1" t="s">
        <v>5371</v>
      </c>
      <c r="B3230" s="1" t="s">
        <v>3688</v>
      </c>
      <c r="C3230" s="1" t="s">
        <v>36</v>
      </c>
      <c r="D3230" s="1" t="s">
        <v>19</v>
      </c>
      <c r="E3230" s="1" t="s">
        <v>20</v>
      </c>
      <c r="F3230">
        <v>1</v>
      </c>
      <c r="G3230" s="2">
        <v>46116</v>
      </c>
      <c r="H3230" s="2">
        <v>46118</v>
      </c>
      <c r="I3230">
        <v>146.46</v>
      </c>
      <c r="J3230">
        <v>38.56</v>
      </c>
      <c r="K3230">
        <v>30.85</v>
      </c>
      <c r="L3230">
        <v>7.71</v>
      </c>
      <c r="M3230" s="1" t="s">
        <v>21</v>
      </c>
      <c r="N3230" s="1" t="s">
        <v>22</v>
      </c>
      <c r="O3230" s="2">
        <v>46162</v>
      </c>
      <c r="P3230" s="2">
        <v>46162</v>
      </c>
      <c r="Q3230">
        <f>_xlfn.XLOOKUP(E3230,CPT!$A$2:$A$13,CPT!$D$2:$D$13)</f>
        <v>145</v>
      </c>
      <c r="R3230" s="1">
        <f>_xlfn.XLOOKUP(C3230,Contract!$A$2:$A$9,Contract!$B$2:$B$9)</f>
        <v>0.27</v>
      </c>
      <c r="S3230" s="1">
        <f t="shared" si="200"/>
        <v>39.15</v>
      </c>
      <c r="T3230" s="1">
        <f t="shared" si="201"/>
        <v>0.58999999999999631</v>
      </c>
      <c r="U3230" s="1" t="str">
        <f t="shared" si="202"/>
        <v>OK</v>
      </c>
      <c r="V3230" s="1" t="str">
        <f>_xlfn.XLOOKUP(C3230,Payers!$A$2:$A$9,Payers!$B$2:$B$9)</f>
        <v>Florida Medicaid</v>
      </c>
      <c r="W3230" s="1" t="str">
        <f t="shared" si="203"/>
        <v>2026-04</v>
      </c>
    </row>
    <row r="3231" spans="1:23">
      <c r="A3231" s="1" t="s">
        <v>5372</v>
      </c>
      <c r="B3231" s="1" t="s">
        <v>5373</v>
      </c>
      <c r="C3231" s="1" t="s">
        <v>60</v>
      </c>
      <c r="D3231" s="1" t="s">
        <v>19</v>
      </c>
      <c r="E3231" s="1" t="s">
        <v>41</v>
      </c>
      <c r="F3231">
        <v>1</v>
      </c>
      <c r="G3231" s="2">
        <v>46111</v>
      </c>
      <c r="H3231" s="2">
        <v>46113</v>
      </c>
      <c r="I3231">
        <v>37.979999999999997</v>
      </c>
      <c r="J3231">
        <v>15.97</v>
      </c>
      <c r="K3231">
        <v>14.37</v>
      </c>
      <c r="L3231">
        <v>1.6</v>
      </c>
      <c r="M3231" s="1" t="s">
        <v>21</v>
      </c>
      <c r="N3231" s="1" t="s">
        <v>22</v>
      </c>
      <c r="O3231" s="2">
        <v>46145</v>
      </c>
      <c r="P3231" s="2">
        <v>46145</v>
      </c>
      <c r="Q3231">
        <f>_xlfn.XLOOKUP(E3231,CPT!$A$2:$A$13,CPT!$D$2:$D$13)</f>
        <v>38</v>
      </c>
      <c r="R3231" s="1">
        <f>_xlfn.XLOOKUP(C3231,Contract!$A$2:$A$9,Contract!$B$2:$B$9)</f>
        <v>0.45</v>
      </c>
      <c r="S3231" s="1">
        <f t="shared" si="200"/>
        <v>17.100000000000001</v>
      </c>
      <c r="T3231" s="1">
        <f t="shared" si="201"/>
        <v>1.1300000000000008</v>
      </c>
      <c r="U3231" s="1" t="str">
        <f t="shared" si="202"/>
        <v>Underpaid</v>
      </c>
      <c r="V3231" s="1" t="str">
        <f>_xlfn.XLOOKUP(C3231,Payers!$A$2:$A$9,Payers!$B$2:$B$9)</f>
        <v>Blue Horizon Commercial</v>
      </c>
      <c r="W3231" s="1" t="str">
        <f t="shared" si="203"/>
        <v>2026-03</v>
      </c>
    </row>
    <row r="3232" spans="1:23">
      <c r="A3232" s="1" t="s">
        <v>5374</v>
      </c>
      <c r="B3232" s="1" t="s">
        <v>5375</v>
      </c>
      <c r="C3232" s="1" t="s">
        <v>76</v>
      </c>
      <c r="D3232" s="1" t="s">
        <v>26</v>
      </c>
      <c r="E3232" s="1" t="s">
        <v>44</v>
      </c>
      <c r="F3232">
        <v>1</v>
      </c>
      <c r="G3232" s="2">
        <v>45935</v>
      </c>
      <c r="H3232" s="2">
        <v>45940</v>
      </c>
      <c r="I3232">
        <v>4897.37</v>
      </c>
      <c r="M3232" s="1" t="s">
        <v>32</v>
      </c>
      <c r="N3232" s="1" t="s">
        <v>33</v>
      </c>
      <c r="O3232" s="2">
        <v>45987</v>
      </c>
      <c r="P3232" s="2"/>
      <c r="Q3232">
        <f>_xlfn.XLOOKUP(E3232,CPT!$A$2:$A$13,CPT!$D$2:$D$13)</f>
        <v>4800</v>
      </c>
      <c r="R3232" s="1">
        <f>_xlfn.XLOOKUP(C3232,Contract!$A$2:$A$9,Contract!$B$2:$B$9)</f>
        <v>0.43</v>
      </c>
      <c r="S3232" s="1">
        <f t="shared" si="200"/>
        <v>2064</v>
      </c>
      <c r="T3232" s="1" t="str">
        <f t="shared" si="201"/>
        <v/>
      </c>
      <c r="U3232" s="1" t="str">
        <f t="shared" si="202"/>
        <v/>
      </c>
      <c r="V3232" s="1" t="str">
        <f>_xlfn.XLOOKUP(C3232,Payers!$A$2:$A$9,Payers!$B$2:$B$9)</f>
        <v>Summit Health Commercial</v>
      </c>
      <c r="W3232" s="1" t="str">
        <f t="shared" si="203"/>
        <v>2025-10</v>
      </c>
    </row>
    <row r="3233" spans="1:23">
      <c r="A3233" s="1" t="s">
        <v>5376</v>
      </c>
      <c r="B3233" s="1" t="s">
        <v>1375</v>
      </c>
      <c r="C3233" s="1" t="s">
        <v>76</v>
      </c>
      <c r="D3233" s="1" t="s">
        <v>26</v>
      </c>
      <c r="E3233" s="1" t="s">
        <v>113</v>
      </c>
      <c r="F3233">
        <v>1</v>
      </c>
      <c r="G3233" s="2">
        <v>46286</v>
      </c>
      <c r="H3233" s="2">
        <v>46287</v>
      </c>
      <c r="I3233">
        <v>1080.68</v>
      </c>
      <c r="M3233" s="1" t="s">
        <v>69</v>
      </c>
      <c r="N3233" s="1" t="s">
        <v>22</v>
      </c>
      <c r="O3233" s="2"/>
      <c r="P3233" s="2"/>
      <c r="Q3233">
        <f>_xlfn.XLOOKUP(E3233,CPT!$A$2:$A$13,CPT!$D$2:$D$13)</f>
        <v>1050</v>
      </c>
      <c r="R3233" s="1">
        <f>_xlfn.XLOOKUP(C3233,Contract!$A$2:$A$9,Contract!$B$2:$B$9)</f>
        <v>0.43</v>
      </c>
      <c r="S3233" s="1">
        <f t="shared" si="200"/>
        <v>451.5</v>
      </c>
      <c r="T3233" s="1" t="str">
        <f t="shared" si="201"/>
        <v/>
      </c>
      <c r="U3233" s="1" t="str">
        <f t="shared" si="202"/>
        <v/>
      </c>
      <c r="V3233" s="1" t="str">
        <f>_xlfn.XLOOKUP(C3233,Payers!$A$2:$A$9,Payers!$B$2:$B$9)</f>
        <v>Summit Health Commercial</v>
      </c>
      <c r="W3233" s="1" t="str">
        <f t="shared" si="203"/>
        <v>2026-09</v>
      </c>
    </row>
    <row r="3234" spans="1:23">
      <c r="A3234" s="1" t="s">
        <v>5377</v>
      </c>
      <c r="B3234" s="1" t="s">
        <v>5378</v>
      </c>
      <c r="C3234" s="1" t="s">
        <v>36</v>
      </c>
      <c r="D3234" s="1" t="s">
        <v>26</v>
      </c>
      <c r="E3234" s="1" t="s">
        <v>185</v>
      </c>
      <c r="F3234">
        <v>1</v>
      </c>
      <c r="G3234" s="2">
        <v>45972</v>
      </c>
      <c r="H3234" s="2">
        <v>45975</v>
      </c>
      <c r="I3234">
        <v>1123.5</v>
      </c>
      <c r="J3234">
        <v>257.37</v>
      </c>
      <c r="K3234">
        <v>257.37</v>
      </c>
      <c r="L3234">
        <v>0</v>
      </c>
      <c r="M3234" s="1" t="s">
        <v>21</v>
      </c>
      <c r="N3234" s="1" t="s">
        <v>22</v>
      </c>
      <c r="O3234" s="2">
        <v>46016</v>
      </c>
      <c r="P3234" s="2">
        <v>46016</v>
      </c>
      <c r="Q3234">
        <f>_xlfn.XLOOKUP(E3234,CPT!$A$2:$A$13,CPT!$D$2:$D$13)</f>
        <v>1150</v>
      </c>
      <c r="R3234" s="1">
        <f>_xlfn.XLOOKUP(C3234,Contract!$A$2:$A$9,Contract!$B$2:$B$9)</f>
        <v>0.27</v>
      </c>
      <c r="S3234" s="1">
        <f t="shared" si="200"/>
        <v>310.5</v>
      </c>
      <c r="T3234" s="1">
        <f t="shared" si="201"/>
        <v>53.129999999999995</v>
      </c>
      <c r="U3234" s="1" t="str">
        <f t="shared" si="202"/>
        <v>Underpaid</v>
      </c>
      <c r="V3234" s="1" t="str">
        <f>_xlfn.XLOOKUP(C3234,Payers!$A$2:$A$9,Payers!$B$2:$B$9)</f>
        <v>Florida Medicaid</v>
      </c>
      <c r="W3234" s="1" t="str">
        <f t="shared" si="203"/>
        <v>2025-11</v>
      </c>
    </row>
    <row r="3235" spans="1:23">
      <c r="A3235" s="1" t="s">
        <v>5379</v>
      </c>
      <c r="B3235" s="1" t="s">
        <v>5380</v>
      </c>
      <c r="C3235" s="1" t="s">
        <v>18</v>
      </c>
      <c r="D3235" s="1" t="s">
        <v>30</v>
      </c>
      <c r="E3235" s="1" t="s">
        <v>20</v>
      </c>
      <c r="F3235">
        <v>1</v>
      </c>
      <c r="G3235" s="2">
        <v>46229</v>
      </c>
      <c r="H3235" s="2">
        <v>46234</v>
      </c>
      <c r="I3235">
        <v>143.52000000000001</v>
      </c>
      <c r="M3235" s="1" t="s">
        <v>69</v>
      </c>
      <c r="N3235" s="1" t="s">
        <v>22</v>
      </c>
      <c r="O3235" s="2"/>
      <c r="P3235" s="2"/>
      <c r="Q3235">
        <f>_xlfn.XLOOKUP(E3235,CPT!$A$2:$A$13,CPT!$D$2:$D$13)</f>
        <v>145</v>
      </c>
      <c r="R3235" s="1">
        <f>_xlfn.XLOOKUP(C3235,Contract!$A$2:$A$9,Contract!$B$2:$B$9)</f>
        <v>0.38</v>
      </c>
      <c r="S3235" s="1">
        <f t="shared" si="200"/>
        <v>55.1</v>
      </c>
      <c r="T3235" s="1" t="str">
        <f t="shared" si="201"/>
        <v/>
      </c>
      <c r="U3235" s="1" t="str">
        <f t="shared" si="202"/>
        <v/>
      </c>
      <c r="V3235" s="1" t="str">
        <f>_xlfn.XLOOKUP(C3235,Payers!$A$2:$A$9,Payers!$B$2:$B$9)</f>
        <v>Sunshine Medicare Advantage</v>
      </c>
      <c r="W3235" s="1" t="str">
        <f t="shared" si="203"/>
        <v>2026-07</v>
      </c>
    </row>
    <row r="3236" spans="1:23">
      <c r="A3236" s="1" t="s">
        <v>5381</v>
      </c>
      <c r="B3236" s="1" t="s">
        <v>3951</v>
      </c>
      <c r="C3236" s="1" t="s">
        <v>18</v>
      </c>
      <c r="D3236" s="1" t="s">
        <v>30</v>
      </c>
      <c r="E3236" s="1" t="s">
        <v>31</v>
      </c>
      <c r="F3236">
        <v>4</v>
      </c>
      <c r="G3236" s="2">
        <v>45979</v>
      </c>
      <c r="H3236" s="2">
        <v>46105</v>
      </c>
      <c r="I3236">
        <v>254.4</v>
      </c>
      <c r="M3236" s="1" t="s">
        <v>32</v>
      </c>
      <c r="N3236" s="1" t="s">
        <v>137</v>
      </c>
      <c r="O3236" s="2">
        <v>46177</v>
      </c>
      <c r="P3236" s="2"/>
      <c r="Q3236">
        <f>_xlfn.XLOOKUP(E3236,CPT!$A$2:$A$13,CPT!$D$2:$D$13)</f>
        <v>62</v>
      </c>
      <c r="R3236" s="1">
        <f>_xlfn.XLOOKUP(C3236,Contract!$A$2:$A$9,Contract!$B$2:$B$9)</f>
        <v>0.38</v>
      </c>
      <c r="S3236" s="1">
        <f t="shared" si="200"/>
        <v>94.24</v>
      </c>
      <c r="T3236" s="1" t="str">
        <f t="shared" si="201"/>
        <v/>
      </c>
      <c r="U3236" s="1" t="str">
        <f t="shared" si="202"/>
        <v/>
      </c>
      <c r="V3236" s="1" t="str">
        <f>_xlfn.XLOOKUP(C3236,Payers!$A$2:$A$9,Payers!$B$2:$B$9)</f>
        <v>Sunshine Medicare Advantage</v>
      </c>
      <c r="W3236" s="1" t="str">
        <f t="shared" si="203"/>
        <v>2025-11</v>
      </c>
    </row>
    <row r="3237" spans="1:23">
      <c r="A3237" s="1" t="s">
        <v>5382</v>
      </c>
      <c r="B3237" s="1" t="s">
        <v>5383</v>
      </c>
      <c r="C3237" s="1" t="s">
        <v>76</v>
      </c>
      <c r="D3237" s="1" t="s">
        <v>19</v>
      </c>
      <c r="E3237" s="1" t="s">
        <v>57</v>
      </c>
      <c r="F3237">
        <v>1</v>
      </c>
      <c r="G3237" s="2">
        <v>46246</v>
      </c>
      <c r="H3237" s="2">
        <v>46247</v>
      </c>
      <c r="I3237">
        <v>207.53</v>
      </c>
      <c r="M3237" s="1" t="s">
        <v>32</v>
      </c>
      <c r="N3237" s="1" t="s">
        <v>33</v>
      </c>
      <c r="O3237" s="2">
        <v>46273</v>
      </c>
      <c r="P3237" s="2"/>
      <c r="Q3237">
        <f>_xlfn.XLOOKUP(E3237,CPT!$A$2:$A$13,CPT!$D$2:$D$13)</f>
        <v>210</v>
      </c>
      <c r="R3237" s="1">
        <f>_xlfn.XLOOKUP(C3237,Contract!$A$2:$A$9,Contract!$B$2:$B$9)</f>
        <v>0.43</v>
      </c>
      <c r="S3237" s="1">
        <f t="shared" si="200"/>
        <v>90.3</v>
      </c>
      <c r="T3237" s="1" t="str">
        <f t="shared" si="201"/>
        <v/>
      </c>
      <c r="U3237" s="1" t="str">
        <f t="shared" si="202"/>
        <v/>
      </c>
      <c r="V3237" s="1" t="str">
        <f>_xlfn.XLOOKUP(C3237,Payers!$A$2:$A$9,Payers!$B$2:$B$9)</f>
        <v>Summit Health Commercial</v>
      </c>
      <c r="W3237" s="1" t="str">
        <f t="shared" si="203"/>
        <v>2026-08</v>
      </c>
    </row>
    <row r="3238" spans="1:23">
      <c r="A3238" s="1" t="s">
        <v>5384</v>
      </c>
      <c r="B3238" s="1" t="s">
        <v>2812</v>
      </c>
      <c r="C3238" s="1" t="s">
        <v>60</v>
      </c>
      <c r="D3238" s="1" t="s">
        <v>26</v>
      </c>
      <c r="E3238" s="1" t="s">
        <v>88</v>
      </c>
      <c r="F3238">
        <v>1</v>
      </c>
      <c r="G3238" s="2">
        <v>46281</v>
      </c>
      <c r="H3238" s="2">
        <v>46282</v>
      </c>
      <c r="I3238">
        <v>259.86</v>
      </c>
      <c r="M3238" s="1" t="s">
        <v>69</v>
      </c>
      <c r="N3238" s="1" t="s">
        <v>22</v>
      </c>
      <c r="O3238" s="2"/>
      <c r="P3238" s="2"/>
      <c r="Q3238">
        <f>_xlfn.XLOOKUP(E3238,CPT!$A$2:$A$13,CPT!$D$2:$D$13)</f>
        <v>260</v>
      </c>
      <c r="R3238" s="1">
        <f>_xlfn.XLOOKUP(C3238,Contract!$A$2:$A$9,Contract!$B$2:$B$9)</f>
        <v>0.45</v>
      </c>
      <c r="S3238" s="1">
        <f t="shared" si="200"/>
        <v>117</v>
      </c>
      <c r="T3238" s="1" t="str">
        <f t="shared" si="201"/>
        <v/>
      </c>
      <c r="U3238" s="1" t="str">
        <f t="shared" si="202"/>
        <v/>
      </c>
      <c r="V3238" s="1" t="str">
        <f>_xlfn.XLOOKUP(C3238,Payers!$A$2:$A$9,Payers!$B$2:$B$9)</f>
        <v>Blue Horizon Commercial</v>
      </c>
      <c r="W3238" s="1" t="str">
        <f t="shared" si="203"/>
        <v>2026-09</v>
      </c>
    </row>
    <row r="3239" spans="1:23">
      <c r="A3239" s="1" t="s">
        <v>5385</v>
      </c>
      <c r="B3239" s="1" t="s">
        <v>5386</v>
      </c>
      <c r="C3239" s="1" t="s">
        <v>60</v>
      </c>
      <c r="D3239" s="1" t="s">
        <v>26</v>
      </c>
      <c r="E3239" s="1" t="s">
        <v>185</v>
      </c>
      <c r="F3239">
        <v>1</v>
      </c>
      <c r="G3239" s="2">
        <v>46255</v>
      </c>
      <c r="H3239" s="2">
        <v>46260</v>
      </c>
      <c r="I3239">
        <v>1163.01</v>
      </c>
      <c r="M3239" s="1" t="s">
        <v>69</v>
      </c>
      <c r="N3239" s="1" t="s">
        <v>22</v>
      </c>
      <c r="O3239" s="2"/>
      <c r="P3239" s="2"/>
      <c r="Q3239">
        <f>_xlfn.XLOOKUP(E3239,CPT!$A$2:$A$13,CPT!$D$2:$D$13)</f>
        <v>1150</v>
      </c>
      <c r="R3239" s="1">
        <f>_xlfn.XLOOKUP(C3239,Contract!$A$2:$A$9,Contract!$B$2:$B$9)</f>
        <v>0.45</v>
      </c>
      <c r="S3239" s="1">
        <f t="shared" si="200"/>
        <v>517.5</v>
      </c>
      <c r="T3239" s="1" t="str">
        <f t="shared" si="201"/>
        <v/>
      </c>
      <c r="U3239" s="1" t="str">
        <f t="shared" si="202"/>
        <v/>
      </c>
      <c r="V3239" s="1" t="str">
        <f>_xlfn.XLOOKUP(C3239,Payers!$A$2:$A$9,Payers!$B$2:$B$9)</f>
        <v>Blue Horizon Commercial</v>
      </c>
      <c r="W3239" s="1" t="str">
        <f t="shared" si="203"/>
        <v>2026-08</v>
      </c>
    </row>
    <row r="3240" spans="1:23">
      <c r="A3240" s="1" t="s">
        <v>5387</v>
      </c>
      <c r="B3240" s="1" t="s">
        <v>2426</v>
      </c>
      <c r="C3240" s="1" t="s">
        <v>79</v>
      </c>
      <c r="D3240" s="1" t="s">
        <v>19</v>
      </c>
      <c r="E3240" s="1" t="s">
        <v>41</v>
      </c>
      <c r="F3240">
        <v>1</v>
      </c>
      <c r="G3240" s="2">
        <v>46099</v>
      </c>
      <c r="H3240" s="2">
        <v>46107</v>
      </c>
      <c r="I3240">
        <v>37.81</v>
      </c>
      <c r="J3240">
        <v>37.81</v>
      </c>
      <c r="K3240">
        <v>37.81</v>
      </c>
      <c r="L3240">
        <v>0</v>
      </c>
      <c r="M3240" s="1" t="s">
        <v>21</v>
      </c>
      <c r="N3240" s="1" t="s">
        <v>22</v>
      </c>
      <c r="O3240" s="2">
        <v>46159</v>
      </c>
      <c r="P3240" s="2">
        <v>46159</v>
      </c>
      <c r="Q3240">
        <f>_xlfn.XLOOKUP(E3240,CPT!$A$2:$A$13,CPT!$D$2:$D$13)</f>
        <v>38</v>
      </c>
      <c r="R3240" s="1">
        <f>_xlfn.XLOOKUP(C3240,Contract!$A$2:$A$9,Contract!$B$2:$B$9)</f>
        <v>1</v>
      </c>
      <c r="S3240" s="1">
        <f t="shared" si="200"/>
        <v>38</v>
      </c>
      <c r="T3240" s="1">
        <f t="shared" si="201"/>
        <v>0.18999999999999773</v>
      </c>
      <c r="U3240" s="1" t="str">
        <f t="shared" si="202"/>
        <v>OK</v>
      </c>
      <c r="V3240" s="1" t="str">
        <f>_xlfn.XLOOKUP(C3240,Payers!$A$2:$A$9,Payers!$B$2:$B$9)</f>
        <v>Self-Pay</v>
      </c>
      <c r="W3240" s="1" t="str">
        <f t="shared" si="203"/>
        <v>2026-03</v>
      </c>
    </row>
    <row r="3241" spans="1:23">
      <c r="A3241" s="1" t="s">
        <v>5388</v>
      </c>
      <c r="B3241" s="1" t="s">
        <v>3285</v>
      </c>
      <c r="C3241" s="1" t="s">
        <v>76</v>
      </c>
      <c r="D3241" s="1" t="s">
        <v>26</v>
      </c>
      <c r="E3241" s="1" t="s">
        <v>185</v>
      </c>
      <c r="F3241">
        <v>1</v>
      </c>
      <c r="G3241" s="2">
        <v>46163</v>
      </c>
      <c r="H3241" s="2">
        <v>46166</v>
      </c>
      <c r="I3241">
        <v>1153.83</v>
      </c>
      <c r="M3241" s="1" t="s">
        <v>32</v>
      </c>
      <c r="N3241" s="1" t="s">
        <v>33</v>
      </c>
      <c r="O3241" s="2">
        <v>46212</v>
      </c>
      <c r="P3241" s="2"/>
      <c r="Q3241">
        <f>_xlfn.XLOOKUP(E3241,CPT!$A$2:$A$13,CPT!$D$2:$D$13)</f>
        <v>1150</v>
      </c>
      <c r="R3241" s="1">
        <f>_xlfn.XLOOKUP(C3241,Contract!$A$2:$A$9,Contract!$B$2:$B$9)</f>
        <v>0.43</v>
      </c>
      <c r="S3241" s="1">
        <f t="shared" si="200"/>
        <v>494.5</v>
      </c>
      <c r="T3241" s="1" t="str">
        <f t="shared" si="201"/>
        <v/>
      </c>
      <c r="U3241" s="1" t="str">
        <f t="shared" si="202"/>
        <v/>
      </c>
      <c r="V3241" s="1" t="str">
        <f>_xlfn.XLOOKUP(C3241,Payers!$A$2:$A$9,Payers!$B$2:$B$9)</f>
        <v>Summit Health Commercial</v>
      </c>
      <c r="W3241" s="1" t="str">
        <f t="shared" si="203"/>
        <v>2026-05</v>
      </c>
    </row>
    <row r="3242" spans="1:23">
      <c r="A3242" s="1" t="s">
        <v>5389</v>
      </c>
      <c r="B3242" s="1" t="s">
        <v>5390</v>
      </c>
      <c r="C3242" s="1" t="s">
        <v>25</v>
      </c>
      <c r="D3242" s="1" t="s">
        <v>26</v>
      </c>
      <c r="E3242" s="1" t="s">
        <v>41</v>
      </c>
      <c r="F3242">
        <v>1</v>
      </c>
      <c r="G3242" s="2">
        <v>46189</v>
      </c>
      <c r="H3242" s="2">
        <v>46192</v>
      </c>
      <c r="I3242">
        <v>37.4</v>
      </c>
      <c r="J3242">
        <v>11.39</v>
      </c>
      <c r="K3242">
        <v>10.25</v>
      </c>
      <c r="L3242">
        <v>1.1399999999999999</v>
      </c>
      <c r="M3242" s="1" t="s">
        <v>21</v>
      </c>
      <c r="N3242" s="1" t="s">
        <v>22</v>
      </c>
      <c r="O3242" s="2">
        <v>46208</v>
      </c>
      <c r="P3242" s="2">
        <v>46208</v>
      </c>
      <c r="Q3242">
        <f>_xlfn.XLOOKUP(E3242,CPT!$A$2:$A$13,CPT!$D$2:$D$13)</f>
        <v>38</v>
      </c>
      <c r="R3242" s="1">
        <f>_xlfn.XLOOKUP(C3242,Contract!$A$2:$A$9,Contract!$B$2:$B$9)</f>
        <v>0.36</v>
      </c>
      <c r="S3242" s="1">
        <f t="shared" si="200"/>
        <v>13.68</v>
      </c>
      <c r="T3242" s="1">
        <f t="shared" si="201"/>
        <v>2.2899999999999991</v>
      </c>
      <c r="U3242" s="1" t="str">
        <f t="shared" si="202"/>
        <v>Underpaid</v>
      </c>
      <c r="V3242" s="1" t="str">
        <f>_xlfn.XLOOKUP(C3242,Payers!$A$2:$A$9,Payers!$B$2:$B$9)</f>
        <v>Medicare Part B</v>
      </c>
      <c r="W3242" s="1" t="str">
        <f t="shared" si="203"/>
        <v>2026-06</v>
      </c>
    </row>
    <row r="3243" spans="1:23">
      <c r="A3243" s="1" t="s">
        <v>5391</v>
      </c>
      <c r="B3243" s="1" t="s">
        <v>1774</v>
      </c>
      <c r="C3243" s="1" t="s">
        <v>52</v>
      </c>
      <c r="D3243" s="1" t="s">
        <v>19</v>
      </c>
      <c r="E3243" s="1" t="s">
        <v>41</v>
      </c>
      <c r="F3243">
        <v>1</v>
      </c>
      <c r="G3243" s="2">
        <v>46225</v>
      </c>
      <c r="H3243" s="2">
        <v>46228</v>
      </c>
      <c r="I3243">
        <v>37.06</v>
      </c>
      <c r="M3243" s="1" t="s">
        <v>32</v>
      </c>
      <c r="N3243" s="1" t="s">
        <v>281</v>
      </c>
      <c r="O3243" s="2">
        <v>46261</v>
      </c>
      <c r="P3243" s="2"/>
      <c r="Q3243">
        <f>_xlfn.XLOOKUP(E3243,CPT!$A$2:$A$13,CPT!$D$2:$D$13)</f>
        <v>38</v>
      </c>
      <c r="R3243" s="1">
        <f>_xlfn.XLOOKUP(C3243,Contract!$A$2:$A$9,Contract!$B$2:$B$9)</f>
        <v>0.47</v>
      </c>
      <c r="S3243" s="1">
        <f t="shared" si="200"/>
        <v>17.86</v>
      </c>
      <c r="T3243" s="1" t="str">
        <f t="shared" si="201"/>
        <v/>
      </c>
      <c r="U3243" s="1" t="str">
        <f t="shared" si="202"/>
        <v/>
      </c>
      <c r="V3243" s="1" t="str">
        <f>_xlfn.XLOOKUP(C3243,Payers!$A$2:$A$9,Payers!$B$2:$B$9)</f>
        <v>Keystone Commercial PPO</v>
      </c>
      <c r="W3243" s="1" t="str">
        <f t="shared" si="203"/>
        <v>2026-07</v>
      </c>
    </row>
    <row r="3244" spans="1:23">
      <c r="A3244" s="1" t="s">
        <v>5392</v>
      </c>
      <c r="B3244" s="1" t="s">
        <v>5393</v>
      </c>
      <c r="C3244" s="1" t="s">
        <v>79</v>
      </c>
      <c r="D3244" s="1" t="s">
        <v>30</v>
      </c>
      <c r="E3244" s="1" t="s">
        <v>31</v>
      </c>
      <c r="F3244">
        <v>2</v>
      </c>
      <c r="G3244" s="2">
        <v>46291</v>
      </c>
      <c r="H3244" s="2">
        <v>46295</v>
      </c>
      <c r="I3244">
        <v>121.09</v>
      </c>
      <c r="M3244" s="1" t="s">
        <v>69</v>
      </c>
      <c r="N3244" s="1" t="s">
        <v>22</v>
      </c>
      <c r="O3244" s="2"/>
      <c r="P3244" s="2"/>
      <c r="Q3244">
        <f>_xlfn.XLOOKUP(E3244,CPT!$A$2:$A$13,CPT!$D$2:$D$13)</f>
        <v>62</v>
      </c>
      <c r="R3244" s="1">
        <f>_xlfn.XLOOKUP(C3244,Contract!$A$2:$A$9,Contract!$B$2:$B$9)</f>
        <v>1</v>
      </c>
      <c r="S3244" s="1">
        <f t="shared" si="200"/>
        <v>124</v>
      </c>
      <c r="T3244" s="1" t="str">
        <f t="shared" si="201"/>
        <v/>
      </c>
      <c r="U3244" s="1" t="str">
        <f t="shared" si="202"/>
        <v/>
      </c>
      <c r="V3244" s="1" t="str">
        <f>_xlfn.XLOOKUP(C3244,Payers!$A$2:$A$9,Payers!$B$2:$B$9)</f>
        <v>Self-Pay</v>
      </c>
      <c r="W3244" s="1" t="str">
        <f t="shared" si="203"/>
        <v>2026-09</v>
      </c>
    </row>
    <row r="3245" spans="1:23">
      <c r="A3245" s="1" t="s">
        <v>5394</v>
      </c>
      <c r="B3245" s="1" t="s">
        <v>4840</v>
      </c>
      <c r="C3245" s="1" t="s">
        <v>25</v>
      </c>
      <c r="D3245" s="1" t="s">
        <v>30</v>
      </c>
      <c r="E3245" s="1" t="s">
        <v>31</v>
      </c>
      <c r="F3245">
        <v>1</v>
      </c>
      <c r="G3245" s="2">
        <v>46218</v>
      </c>
      <c r="H3245" s="2">
        <v>46220</v>
      </c>
      <c r="I3245">
        <v>62.3</v>
      </c>
      <c r="J3245">
        <v>20.73</v>
      </c>
      <c r="K3245">
        <v>18.66</v>
      </c>
      <c r="L3245">
        <v>2.0699999999999998</v>
      </c>
      <c r="M3245" s="1" t="s">
        <v>21</v>
      </c>
      <c r="N3245" s="1" t="s">
        <v>22</v>
      </c>
      <c r="O3245" s="2">
        <v>46234</v>
      </c>
      <c r="P3245" s="2">
        <v>46234</v>
      </c>
      <c r="Q3245">
        <f>_xlfn.XLOOKUP(E3245,CPT!$A$2:$A$13,CPT!$D$2:$D$13)</f>
        <v>62</v>
      </c>
      <c r="R3245" s="1">
        <f>_xlfn.XLOOKUP(C3245,Contract!$A$2:$A$9,Contract!$B$2:$B$9)</f>
        <v>0.36</v>
      </c>
      <c r="S3245" s="1">
        <f t="shared" si="200"/>
        <v>22.32</v>
      </c>
      <c r="T3245" s="1">
        <f t="shared" si="201"/>
        <v>1.5899999999999999</v>
      </c>
      <c r="U3245" s="1" t="str">
        <f t="shared" si="202"/>
        <v>Underpaid</v>
      </c>
      <c r="V3245" s="1" t="str">
        <f>_xlfn.XLOOKUP(C3245,Payers!$A$2:$A$9,Payers!$B$2:$B$9)</f>
        <v>Medicare Part B</v>
      </c>
      <c r="W3245" s="1" t="str">
        <f t="shared" si="203"/>
        <v>2026-07</v>
      </c>
    </row>
    <row r="3246" spans="1:23">
      <c r="A3246" s="1" t="s">
        <v>5395</v>
      </c>
      <c r="B3246" s="1" t="s">
        <v>5396</v>
      </c>
      <c r="C3246" s="1" t="s">
        <v>47</v>
      </c>
      <c r="D3246" s="1" t="s">
        <v>19</v>
      </c>
      <c r="E3246" s="1" t="s">
        <v>41</v>
      </c>
      <c r="F3246">
        <v>1</v>
      </c>
      <c r="G3246" s="2">
        <v>45970</v>
      </c>
      <c r="H3246" s="2">
        <v>45972</v>
      </c>
      <c r="I3246">
        <v>38.51</v>
      </c>
      <c r="J3246">
        <v>11.89</v>
      </c>
      <c r="K3246">
        <v>11.89</v>
      </c>
      <c r="L3246">
        <v>0</v>
      </c>
      <c r="M3246" s="1" t="s">
        <v>21</v>
      </c>
      <c r="N3246" s="1" t="s">
        <v>22</v>
      </c>
      <c r="O3246" s="2">
        <v>46023</v>
      </c>
      <c r="P3246" s="2">
        <v>46023</v>
      </c>
      <c r="Q3246">
        <f>_xlfn.XLOOKUP(E3246,CPT!$A$2:$A$13,CPT!$D$2:$D$13)</f>
        <v>38</v>
      </c>
      <c r="R3246" s="1">
        <f>_xlfn.XLOOKUP(C3246,Contract!$A$2:$A$9,Contract!$B$2:$B$9)</f>
        <v>0.28000000000000003</v>
      </c>
      <c r="S3246" s="1">
        <f t="shared" si="200"/>
        <v>10.64</v>
      </c>
      <c r="T3246" s="1">
        <f t="shared" si="201"/>
        <v>-1.25</v>
      </c>
      <c r="U3246" s="1" t="str">
        <f t="shared" si="202"/>
        <v>OK</v>
      </c>
      <c r="V3246" s="1" t="str">
        <f>_xlfn.XLOOKUP(C3246,Payers!$A$2:$A$9,Payers!$B$2:$B$9)</f>
        <v>Coastal Medicaid MCO</v>
      </c>
      <c r="W3246" s="1" t="str">
        <f t="shared" si="203"/>
        <v>2025-11</v>
      </c>
    </row>
    <row r="3247" spans="1:23">
      <c r="A3247" s="1" t="s">
        <v>5397</v>
      </c>
      <c r="B3247" s="1" t="s">
        <v>2035</v>
      </c>
      <c r="C3247" s="1" t="s">
        <v>18</v>
      </c>
      <c r="D3247" s="1" t="s">
        <v>30</v>
      </c>
      <c r="E3247" s="1" t="s">
        <v>31</v>
      </c>
      <c r="F3247">
        <v>1</v>
      </c>
      <c r="G3247" s="2">
        <v>46235</v>
      </c>
      <c r="H3247" s="2">
        <v>46241</v>
      </c>
      <c r="I3247">
        <v>62.82</v>
      </c>
      <c r="M3247" s="1" t="s">
        <v>69</v>
      </c>
      <c r="N3247" s="1" t="s">
        <v>22</v>
      </c>
      <c r="O3247" s="2"/>
      <c r="P3247" s="2"/>
      <c r="Q3247">
        <f>_xlfn.XLOOKUP(E3247,CPT!$A$2:$A$13,CPT!$D$2:$D$13)</f>
        <v>62</v>
      </c>
      <c r="R3247" s="1">
        <f>_xlfn.XLOOKUP(C3247,Contract!$A$2:$A$9,Contract!$B$2:$B$9)</f>
        <v>0.38</v>
      </c>
      <c r="S3247" s="1">
        <f t="shared" si="200"/>
        <v>23.56</v>
      </c>
      <c r="T3247" s="1" t="str">
        <f t="shared" si="201"/>
        <v/>
      </c>
      <c r="U3247" s="1" t="str">
        <f t="shared" si="202"/>
        <v/>
      </c>
      <c r="V3247" s="1" t="str">
        <f>_xlfn.XLOOKUP(C3247,Payers!$A$2:$A$9,Payers!$B$2:$B$9)</f>
        <v>Sunshine Medicare Advantage</v>
      </c>
      <c r="W3247" s="1" t="str">
        <f t="shared" si="203"/>
        <v>2026-08</v>
      </c>
    </row>
    <row r="3248" spans="1:23">
      <c r="A3248" s="1" t="s">
        <v>5398</v>
      </c>
      <c r="B3248" s="1" t="s">
        <v>5399</v>
      </c>
      <c r="C3248" s="1" t="s">
        <v>60</v>
      </c>
      <c r="D3248" s="1" t="s">
        <v>37</v>
      </c>
      <c r="E3248" s="1" t="s">
        <v>48</v>
      </c>
      <c r="F3248">
        <v>1</v>
      </c>
      <c r="G3248" s="2">
        <v>46233</v>
      </c>
      <c r="H3248" s="2">
        <v>46235</v>
      </c>
      <c r="I3248">
        <v>426.47</v>
      </c>
      <c r="M3248" s="1" t="s">
        <v>32</v>
      </c>
      <c r="N3248" s="1" t="s">
        <v>315</v>
      </c>
      <c r="O3248" s="2">
        <v>46273</v>
      </c>
      <c r="P3248" s="2"/>
      <c r="Q3248">
        <f>_xlfn.XLOOKUP(E3248,CPT!$A$2:$A$13,CPT!$D$2:$D$13)</f>
        <v>420</v>
      </c>
      <c r="R3248" s="1">
        <f>_xlfn.XLOOKUP(C3248,Contract!$A$2:$A$9,Contract!$B$2:$B$9)</f>
        <v>0.45</v>
      </c>
      <c r="S3248" s="1">
        <f t="shared" si="200"/>
        <v>189</v>
      </c>
      <c r="T3248" s="1" t="str">
        <f t="shared" si="201"/>
        <v/>
      </c>
      <c r="U3248" s="1" t="str">
        <f t="shared" si="202"/>
        <v/>
      </c>
      <c r="V3248" s="1" t="str">
        <f>_xlfn.XLOOKUP(C3248,Payers!$A$2:$A$9,Payers!$B$2:$B$9)</f>
        <v>Blue Horizon Commercial</v>
      </c>
      <c r="W3248" s="1" t="str">
        <f t="shared" si="203"/>
        <v>2026-07</v>
      </c>
    </row>
    <row r="3249" spans="1:23">
      <c r="A3249" s="1" t="s">
        <v>5400</v>
      </c>
      <c r="B3249" s="1" t="s">
        <v>5401</v>
      </c>
      <c r="C3249" s="1" t="s">
        <v>60</v>
      </c>
      <c r="D3249" s="1" t="s">
        <v>37</v>
      </c>
      <c r="E3249" s="1" t="s">
        <v>57</v>
      </c>
      <c r="F3249">
        <v>1</v>
      </c>
      <c r="G3249" s="2">
        <v>45948</v>
      </c>
      <c r="H3249" s="2">
        <v>45951</v>
      </c>
      <c r="I3249">
        <v>212.59</v>
      </c>
      <c r="M3249" s="1" t="s">
        <v>32</v>
      </c>
      <c r="N3249" s="1" t="s">
        <v>49</v>
      </c>
      <c r="O3249" s="2">
        <v>45985</v>
      </c>
      <c r="P3249" s="2"/>
      <c r="Q3249">
        <f>_xlfn.XLOOKUP(E3249,CPT!$A$2:$A$13,CPT!$D$2:$D$13)</f>
        <v>210</v>
      </c>
      <c r="R3249" s="1">
        <f>_xlfn.XLOOKUP(C3249,Contract!$A$2:$A$9,Contract!$B$2:$B$9)</f>
        <v>0.45</v>
      </c>
      <c r="S3249" s="1">
        <f t="shared" si="200"/>
        <v>94.5</v>
      </c>
      <c r="T3249" s="1" t="str">
        <f t="shared" si="201"/>
        <v/>
      </c>
      <c r="U3249" s="1" t="str">
        <f t="shared" si="202"/>
        <v/>
      </c>
      <c r="V3249" s="1" t="str">
        <f>_xlfn.XLOOKUP(C3249,Payers!$A$2:$A$9,Payers!$B$2:$B$9)</f>
        <v>Blue Horizon Commercial</v>
      </c>
      <c r="W3249" s="1" t="str">
        <f t="shared" si="203"/>
        <v>2025-10</v>
      </c>
    </row>
    <row r="3250" spans="1:23">
      <c r="A3250" s="1" t="s">
        <v>5402</v>
      </c>
      <c r="B3250" s="1" t="s">
        <v>5403</v>
      </c>
      <c r="C3250" s="1" t="s">
        <v>47</v>
      </c>
      <c r="D3250" s="1" t="s">
        <v>19</v>
      </c>
      <c r="E3250" s="1" t="s">
        <v>20</v>
      </c>
      <c r="F3250">
        <v>1</v>
      </c>
      <c r="G3250" s="2">
        <v>46011</v>
      </c>
      <c r="H3250" s="2">
        <v>46021</v>
      </c>
      <c r="I3250">
        <v>140.75</v>
      </c>
      <c r="J3250">
        <v>38</v>
      </c>
      <c r="K3250">
        <v>30.4</v>
      </c>
      <c r="L3250">
        <v>7.6</v>
      </c>
      <c r="M3250" s="1" t="s">
        <v>21</v>
      </c>
      <c r="N3250" s="1" t="s">
        <v>22</v>
      </c>
      <c r="O3250" s="2">
        <v>46031</v>
      </c>
      <c r="P3250" s="2">
        <v>46031</v>
      </c>
      <c r="Q3250">
        <f>_xlfn.XLOOKUP(E3250,CPT!$A$2:$A$13,CPT!$D$2:$D$13)</f>
        <v>145</v>
      </c>
      <c r="R3250" s="1">
        <f>_xlfn.XLOOKUP(C3250,Contract!$A$2:$A$9,Contract!$B$2:$B$9)</f>
        <v>0.28000000000000003</v>
      </c>
      <c r="S3250" s="1">
        <f t="shared" si="200"/>
        <v>40.6</v>
      </c>
      <c r="T3250" s="1">
        <f t="shared" si="201"/>
        <v>2.6000000000000014</v>
      </c>
      <c r="U3250" s="1" t="str">
        <f t="shared" si="202"/>
        <v>Underpaid</v>
      </c>
      <c r="V3250" s="1" t="str">
        <f>_xlfn.XLOOKUP(C3250,Payers!$A$2:$A$9,Payers!$B$2:$B$9)</f>
        <v>Coastal Medicaid MCO</v>
      </c>
      <c r="W3250" s="1" t="str">
        <f t="shared" si="203"/>
        <v>2025-12</v>
      </c>
    </row>
    <row r="3251" spans="1:23">
      <c r="A3251" s="1" t="s">
        <v>5404</v>
      </c>
      <c r="B3251" s="1" t="s">
        <v>5405</v>
      </c>
      <c r="C3251" s="1" t="s">
        <v>25</v>
      </c>
      <c r="D3251" s="1" t="s">
        <v>30</v>
      </c>
      <c r="E3251" s="1" t="s">
        <v>31</v>
      </c>
      <c r="F3251">
        <v>1</v>
      </c>
      <c r="G3251" s="2">
        <v>46045</v>
      </c>
      <c r="H3251" s="2">
        <v>46048</v>
      </c>
      <c r="I3251">
        <v>63.02</v>
      </c>
      <c r="J3251">
        <v>22.13</v>
      </c>
      <c r="K3251">
        <v>22.13</v>
      </c>
      <c r="L3251">
        <v>0</v>
      </c>
      <c r="M3251" s="1" t="s">
        <v>21</v>
      </c>
      <c r="N3251" s="1" t="s">
        <v>22</v>
      </c>
      <c r="O3251" s="2">
        <v>46068</v>
      </c>
      <c r="P3251" s="2">
        <v>46068</v>
      </c>
      <c r="Q3251">
        <f>_xlfn.XLOOKUP(E3251,CPT!$A$2:$A$13,CPT!$D$2:$D$13)</f>
        <v>62</v>
      </c>
      <c r="R3251" s="1">
        <f>_xlfn.XLOOKUP(C3251,Contract!$A$2:$A$9,Contract!$B$2:$B$9)</f>
        <v>0.36</v>
      </c>
      <c r="S3251" s="1">
        <f t="shared" si="200"/>
        <v>22.32</v>
      </c>
      <c r="T3251" s="1">
        <f t="shared" si="201"/>
        <v>0.19000000000000128</v>
      </c>
      <c r="U3251" s="1" t="str">
        <f t="shared" si="202"/>
        <v>OK</v>
      </c>
      <c r="V3251" s="1" t="str">
        <f>_xlfn.XLOOKUP(C3251,Payers!$A$2:$A$9,Payers!$B$2:$B$9)</f>
        <v>Medicare Part B</v>
      </c>
      <c r="W3251" s="1" t="str">
        <f t="shared" si="203"/>
        <v>2026-01</v>
      </c>
    </row>
    <row r="3252" spans="1:23">
      <c r="A3252" s="1" t="s">
        <v>5406</v>
      </c>
      <c r="B3252" s="1" t="s">
        <v>3176</v>
      </c>
      <c r="C3252" s="1" t="s">
        <v>25</v>
      </c>
      <c r="D3252" s="1" t="s">
        <v>37</v>
      </c>
      <c r="E3252" s="1" t="s">
        <v>57</v>
      </c>
      <c r="F3252">
        <v>1</v>
      </c>
      <c r="G3252" s="2">
        <v>45932</v>
      </c>
      <c r="H3252" s="2">
        <v>45937</v>
      </c>
      <c r="I3252">
        <v>208.08</v>
      </c>
      <c r="J3252">
        <v>82.03</v>
      </c>
      <c r="K3252">
        <v>65.62</v>
      </c>
      <c r="L3252">
        <v>16.41</v>
      </c>
      <c r="M3252" s="1" t="s">
        <v>21</v>
      </c>
      <c r="N3252" s="1" t="s">
        <v>22</v>
      </c>
      <c r="O3252" s="2">
        <v>45960</v>
      </c>
      <c r="P3252" s="2">
        <v>45960</v>
      </c>
      <c r="Q3252">
        <f>_xlfn.XLOOKUP(E3252,CPT!$A$2:$A$13,CPT!$D$2:$D$13)</f>
        <v>210</v>
      </c>
      <c r="R3252" s="1">
        <f>_xlfn.XLOOKUP(C3252,Contract!$A$2:$A$9,Contract!$B$2:$B$9)</f>
        <v>0.36</v>
      </c>
      <c r="S3252" s="1">
        <f t="shared" si="200"/>
        <v>75.599999999999994</v>
      </c>
      <c r="T3252" s="1">
        <f t="shared" si="201"/>
        <v>-6.4300000000000068</v>
      </c>
      <c r="U3252" s="1" t="str">
        <f t="shared" si="202"/>
        <v>OK</v>
      </c>
      <c r="V3252" s="1" t="str">
        <f>_xlfn.XLOOKUP(C3252,Payers!$A$2:$A$9,Payers!$B$2:$B$9)</f>
        <v>Medicare Part B</v>
      </c>
      <c r="W3252" s="1" t="str">
        <f t="shared" si="203"/>
        <v>2025-10</v>
      </c>
    </row>
    <row r="3253" spans="1:23">
      <c r="A3253" s="1" t="s">
        <v>5407</v>
      </c>
      <c r="B3253" s="1" t="s">
        <v>5408</v>
      </c>
      <c r="C3253" s="1" t="s">
        <v>76</v>
      </c>
      <c r="D3253" s="1" t="s">
        <v>19</v>
      </c>
      <c r="E3253" s="1" t="s">
        <v>88</v>
      </c>
      <c r="F3253">
        <v>1</v>
      </c>
      <c r="G3253" s="2">
        <v>46161</v>
      </c>
      <c r="H3253" s="2">
        <v>46163</v>
      </c>
      <c r="I3253">
        <v>255.34</v>
      </c>
      <c r="J3253">
        <v>116.83</v>
      </c>
      <c r="K3253">
        <v>116.83</v>
      </c>
      <c r="L3253">
        <v>0</v>
      </c>
      <c r="M3253" s="1" t="s">
        <v>21</v>
      </c>
      <c r="N3253" s="1" t="s">
        <v>22</v>
      </c>
      <c r="O3253" s="2">
        <v>46179</v>
      </c>
      <c r="P3253" s="2">
        <v>46179</v>
      </c>
      <c r="Q3253">
        <f>_xlfn.XLOOKUP(E3253,CPT!$A$2:$A$13,CPT!$D$2:$D$13)</f>
        <v>260</v>
      </c>
      <c r="R3253" s="1">
        <f>_xlfn.XLOOKUP(C3253,Contract!$A$2:$A$9,Contract!$B$2:$B$9)</f>
        <v>0.43</v>
      </c>
      <c r="S3253" s="1">
        <f t="shared" si="200"/>
        <v>111.8</v>
      </c>
      <c r="T3253" s="1">
        <f t="shared" si="201"/>
        <v>-5.0300000000000011</v>
      </c>
      <c r="U3253" s="1" t="str">
        <f t="shared" si="202"/>
        <v>OK</v>
      </c>
      <c r="V3253" s="1" t="str">
        <f>_xlfn.XLOOKUP(C3253,Payers!$A$2:$A$9,Payers!$B$2:$B$9)</f>
        <v>Summit Health Commercial</v>
      </c>
      <c r="W3253" s="1" t="str">
        <f t="shared" si="203"/>
        <v>2026-05</v>
      </c>
    </row>
    <row r="3254" spans="1:23">
      <c r="A3254" s="1" t="s">
        <v>5409</v>
      </c>
      <c r="B3254" s="1" t="s">
        <v>5410</v>
      </c>
      <c r="C3254" s="1" t="s">
        <v>76</v>
      </c>
      <c r="D3254" s="1" t="s">
        <v>30</v>
      </c>
      <c r="E3254" s="1" t="s">
        <v>91</v>
      </c>
      <c r="F3254">
        <v>3</v>
      </c>
      <c r="G3254" s="2">
        <v>46148</v>
      </c>
      <c r="H3254" s="2">
        <v>46151</v>
      </c>
      <c r="I3254">
        <v>175.61</v>
      </c>
      <c r="J3254">
        <v>64.56</v>
      </c>
      <c r="K3254">
        <v>51.65</v>
      </c>
      <c r="L3254">
        <v>12.91</v>
      </c>
      <c r="M3254" s="1" t="s">
        <v>21</v>
      </c>
      <c r="N3254" s="1" t="s">
        <v>22</v>
      </c>
      <c r="O3254" s="2">
        <v>46167</v>
      </c>
      <c r="P3254" s="2">
        <v>46167</v>
      </c>
      <c r="Q3254">
        <f>_xlfn.XLOOKUP(E3254,CPT!$A$2:$A$13,CPT!$D$2:$D$13)</f>
        <v>58</v>
      </c>
      <c r="R3254" s="1">
        <f>_xlfn.XLOOKUP(C3254,Contract!$A$2:$A$9,Contract!$B$2:$B$9)</f>
        <v>0.43</v>
      </c>
      <c r="S3254" s="1">
        <f t="shared" si="200"/>
        <v>74.819999999999993</v>
      </c>
      <c r="T3254" s="1">
        <f t="shared" si="201"/>
        <v>10.259999999999991</v>
      </c>
      <c r="U3254" s="1" t="str">
        <f t="shared" si="202"/>
        <v>Underpaid</v>
      </c>
      <c r="V3254" s="1" t="str">
        <f>_xlfn.XLOOKUP(C3254,Payers!$A$2:$A$9,Payers!$B$2:$B$9)</f>
        <v>Summit Health Commercial</v>
      </c>
      <c r="W3254" s="1" t="str">
        <f t="shared" si="203"/>
        <v>2026-05</v>
      </c>
    </row>
    <row r="3255" spans="1:23">
      <c r="A3255" s="1" t="s">
        <v>5411</v>
      </c>
      <c r="B3255" s="1" t="s">
        <v>3297</v>
      </c>
      <c r="C3255" s="1" t="s">
        <v>60</v>
      </c>
      <c r="D3255" s="1" t="s">
        <v>26</v>
      </c>
      <c r="E3255" s="1" t="s">
        <v>44</v>
      </c>
      <c r="F3255">
        <v>1</v>
      </c>
      <c r="G3255" s="2">
        <v>46039</v>
      </c>
      <c r="H3255" s="2">
        <v>46040</v>
      </c>
      <c r="I3255">
        <v>4938.53</v>
      </c>
      <c r="J3255">
        <v>1998.39</v>
      </c>
      <c r="K3255">
        <v>1598.71</v>
      </c>
      <c r="L3255">
        <v>399.68</v>
      </c>
      <c r="M3255" s="1" t="s">
        <v>21</v>
      </c>
      <c r="N3255" s="1" t="s">
        <v>22</v>
      </c>
      <c r="O3255" s="2">
        <v>46085</v>
      </c>
      <c r="P3255" s="2">
        <v>46085</v>
      </c>
      <c r="Q3255">
        <f>_xlfn.XLOOKUP(E3255,CPT!$A$2:$A$13,CPT!$D$2:$D$13)</f>
        <v>4800</v>
      </c>
      <c r="R3255" s="1">
        <f>_xlfn.XLOOKUP(C3255,Contract!$A$2:$A$9,Contract!$B$2:$B$9)</f>
        <v>0.45</v>
      </c>
      <c r="S3255" s="1">
        <f t="shared" si="200"/>
        <v>2160</v>
      </c>
      <c r="T3255" s="1">
        <f t="shared" si="201"/>
        <v>161.6099999999999</v>
      </c>
      <c r="U3255" s="1" t="str">
        <f t="shared" si="202"/>
        <v>Underpaid</v>
      </c>
      <c r="V3255" s="1" t="str">
        <f>_xlfn.XLOOKUP(C3255,Payers!$A$2:$A$9,Payers!$B$2:$B$9)</f>
        <v>Blue Horizon Commercial</v>
      </c>
      <c r="W3255" s="1" t="str">
        <f t="shared" si="203"/>
        <v>2026-01</v>
      </c>
    </row>
    <row r="3256" spans="1:23">
      <c r="A3256" s="1" t="s">
        <v>5412</v>
      </c>
      <c r="B3256" s="1" t="s">
        <v>2472</v>
      </c>
      <c r="C3256" s="1" t="s">
        <v>18</v>
      </c>
      <c r="D3256" s="1" t="s">
        <v>26</v>
      </c>
      <c r="E3256" s="1" t="s">
        <v>113</v>
      </c>
      <c r="F3256">
        <v>1</v>
      </c>
      <c r="G3256" s="2">
        <v>45955</v>
      </c>
      <c r="H3256" s="2">
        <v>45959</v>
      </c>
      <c r="I3256">
        <v>1061.74</v>
      </c>
      <c r="J3256">
        <v>381.59</v>
      </c>
      <c r="K3256">
        <v>305.27</v>
      </c>
      <c r="L3256">
        <v>76.319999999999993</v>
      </c>
      <c r="M3256" s="1" t="s">
        <v>21</v>
      </c>
      <c r="N3256" s="1" t="s">
        <v>22</v>
      </c>
      <c r="O3256" s="2">
        <v>46026</v>
      </c>
      <c r="P3256" s="2">
        <v>46026</v>
      </c>
      <c r="Q3256">
        <f>_xlfn.XLOOKUP(E3256,CPT!$A$2:$A$13,CPT!$D$2:$D$13)</f>
        <v>1050</v>
      </c>
      <c r="R3256" s="1">
        <f>_xlfn.XLOOKUP(C3256,Contract!$A$2:$A$9,Contract!$B$2:$B$9)</f>
        <v>0.38</v>
      </c>
      <c r="S3256" s="1">
        <f t="shared" si="200"/>
        <v>399</v>
      </c>
      <c r="T3256" s="1">
        <f t="shared" si="201"/>
        <v>17.410000000000025</v>
      </c>
      <c r="U3256" s="1" t="str">
        <f t="shared" si="202"/>
        <v>OK</v>
      </c>
      <c r="V3256" s="1" t="str">
        <f>_xlfn.XLOOKUP(C3256,Payers!$A$2:$A$9,Payers!$B$2:$B$9)</f>
        <v>Sunshine Medicare Advantage</v>
      </c>
      <c r="W3256" s="1" t="str">
        <f t="shared" si="203"/>
        <v>2025-10</v>
      </c>
    </row>
    <row r="3257" spans="1:23">
      <c r="A3257" s="1" t="s">
        <v>5413</v>
      </c>
      <c r="B3257" s="1" t="s">
        <v>4346</v>
      </c>
      <c r="C3257" s="1" t="s">
        <v>36</v>
      </c>
      <c r="D3257" s="1" t="s">
        <v>30</v>
      </c>
      <c r="E3257" s="1" t="s">
        <v>20</v>
      </c>
      <c r="F3257">
        <v>1</v>
      </c>
      <c r="G3257" s="2">
        <v>45937</v>
      </c>
      <c r="H3257" s="2">
        <v>45938</v>
      </c>
      <c r="I3257">
        <v>141.01</v>
      </c>
      <c r="M3257" s="1" t="s">
        <v>32</v>
      </c>
      <c r="N3257" s="1" t="s">
        <v>281</v>
      </c>
      <c r="O3257" s="2">
        <v>45961</v>
      </c>
      <c r="P3257" s="2"/>
      <c r="Q3257">
        <f>_xlfn.XLOOKUP(E3257,CPT!$A$2:$A$13,CPT!$D$2:$D$13)</f>
        <v>145</v>
      </c>
      <c r="R3257" s="1">
        <f>_xlfn.XLOOKUP(C3257,Contract!$A$2:$A$9,Contract!$B$2:$B$9)</f>
        <v>0.27</v>
      </c>
      <c r="S3257" s="1">
        <f t="shared" si="200"/>
        <v>39.15</v>
      </c>
      <c r="T3257" s="1" t="str">
        <f t="shared" si="201"/>
        <v/>
      </c>
      <c r="U3257" s="1" t="str">
        <f t="shared" si="202"/>
        <v/>
      </c>
      <c r="V3257" s="1" t="str">
        <f>_xlfn.XLOOKUP(C3257,Payers!$A$2:$A$9,Payers!$B$2:$B$9)</f>
        <v>Florida Medicaid</v>
      </c>
      <c r="W3257" s="1" t="str">
        <f t="shared" si="203"/>
        <v>2025-10</v>
      </c>
    </row>
    <row r="3258" spans="1:23">
      <c r="A3258" s="1" t="s">
        <v>5414</v>
      </c>
      <c r="B3258" s="1" t="s">
        <v>3664</v>
      </c>
      <c r="C3258" s="1" t="s">
        <v>60</v>
      </c>
      <c r="D3258" s="1" t="s">
        <v>30</v>
      </c>
      <c r="E3258" s="1" t="s">
        <v>20</v>
      </c>
      <c r="F3258">
        <v>1</v>
      </c>
      <c r="G3258" s="2">
        <v>46089</v>
      </c>
      <c r="H3258" s="2">
        <v>46091</v>
      </c>
      <c r="I3258">
        <v>146.99</v>
      </c>
      <c r="J3258">
        <v>60.63</v>
      </c>
      <c r="K3258">
        <v>54.57</v>
      </c>
      <c r="L3258">
        <v>6.06</v>
      </c>
      <c r="M3258" s="1" t="s">
        <v>21</v>
      </c>
      <c r="N3258" s="1" t="s">
        <v>22</v>
      </c>
      <c r="O3258" s="2">
        <v>46099</v>
      </c>
      <c r="P3258" s="2">
        <v>46099</v>
      </c>
      <c r="Q3258">
        <f>_xlfn.XLOOKUP(E3258,CPT!$A$2:$A$13,CPT!$D$2:$D$13)</f>
        <v>145</v>
      </c>
      <c r="R3258" s="1">
        <f>_xlfn.XLOOKUP(C3258,Contract!$A$2:$A$9,Contract!$B$2:$B$9)</f>
        <v>0.45</v>
      </c>
      <c r="S3258" s="1">
        <f t="shared" si="200"/>
        <v>65.25</v>
      </c>
      <c r="T3258" s="1">
        <f t="shared" si="201"/>
        <v>4.6199999999999974</v>
      </c>
      <c r="U3258" s="1" t="str">
        <f t="shared" si="202"/>
        <v>Underpaid</v>
      </c>
      <c r="V3258" s="1" t="str">
        <f>_xlfn.XLOOKUP(C3258,Payers!$A$2:$A$9,Payers!$B$2:$B$9)</f>
        <v>Blue Horizon Commercial</v>
      </c>
      <c r="W3258" s="1" t="str">
        <f t="shared" si="203"/>
        <v>2026-03</v>
      </c>
    </row>
    <row r="3259" spans="1:23">
      <c r="A3259" s="1" t="s">
        <v>5415</v>
      </c>
      <c r="B3259" s="1" t="s">
        <v>5416</v>
      </c>
      <c r="C3259" s="1" t="s">
        <v>25</v>
      </c>
      <c r="D3259" s="1" t="s">
        <v>26</v>
      </c>
      <c r="E3259" s="1" t="s">
        <v>27</v>
      </c>
      <c r="F3259">
        <v>1</v>
      </c>
      <c r="G3259" s="2">
        <v>46225</v>
      </c>
      <c r="H3259" s="2">
        <v>46226</v>
      </c>
      <c r="I3259">
        <v>238.24</v>
      </c>
      <c r="J3259">
        <v>75.34</v>
      </c>
      <c r="K3259">
        <v>75.34</v>
      </c>
      <c r="L3259">
        <v>0</v>
      </c>
      <c r="M3259" s="1" t="s">
        <v>21</v>
      </c>
      <c r="N3259" s="1" t="s">
        <v>22</v>
      </c>
      <c r="O3259" s="2">
        <v>46237</v>
      </c>
      <c r="P3259" s="2">
        <v>46237</v>
      </c>
      <c r="Q3259">
        <f>_xlfn.XLOOKUP(E3259,CPT!$A$2:$A$13,CPT!$D$2:$D$13)</f>
        <v>240</v>
      </c>
      <c r="R3259" s="1">
        <f>_xlfn.XLOOKUP(C3259,Contract!$A$2:$A$9,Contract!$B$2:$B$9)</f>
        <v>0.36</v>
      </c>
      <c r="S3259" s="1">
        <f t="shared" si="200"/>
        <v>86.4</v>
      </c>
      <c r="T3259" s="1">
        <f t="shared" si="201"/>
        <v>11.060000000000002</v>
      </c>
      <c r="U3259" s="1" t="str">
        <f t="shared" si="202"/>
        <v>Underpaid</v>
      </c>
      <c r="V3259" s="1" t="str">
        <f>_xlfn.XLOOKUP(C3259,Payers!$A$2:$A$9,Payers!$B$2:$B$9)</f>
        <v>Medicare Part B</v>
      </c>
      <c r="W3259" s="1" t="str">
        <f t="shared" si="203"/>
        <v>2026-07</v>
      </c>
    </row>
    <row r="3260" spans="1:23">
      <c r="A3260" s="1" t="s">
        <v>5417</v>
      </c>
      <c r="B3260" s="1" t="s">
        <v>347</v>
      </c>
      <c r="C3260" s="1" t="s">
        <v>25</v>
      </c>
      <c r="D3260" s="1" t="s">
        <v>26</v>
      </c>
      <c r="E3260" s="1" t="s">
        <v>41</v>
      </c>
      <c r="F3260">
        <v>1</v>
      </c>
      <c r="G3260" s="2">
        <v>46060</v>
      </c>
      <c r="H3260" s="2">
        <v>46065</v>
      </c>
      <c r="I3260">
        <v>38.35</v>
      </c>
      <c r="J3260">
        <v>11.95</v>
      </c>
      <c r="K3260">
        <v>11.95</v>
      </c>
      <c r="L3260">
        <v>0</v>
      </c>
      <c r="M3260" s="1" t="s">
        <v>21</v>
      </c>
      <c r="N3260" s="1" t="s">
        <v>22</v>
      </c>
      <c r="O3260" s="2">
        <v>46092</v>
      </c>
      <c r="P3260" s="2">
        <v>46092</v>
      </c>
      <c r="Q3260">
        <f>_xlfn.XLOOKUP(E3260,CPT!$A$2:$A$13,CPT!$D$2:$D$13)</f>
        <v>38</v>
      </c>
      <c r="R3260" s="1">
        <f>_xlfn.XLOOKUP(C3260,Contract!$A$2:$A$9,Contract!$B$2:$B$9)</f>
        <v>0.36</v>
      </c>
      <c r="S3260" s="1">
        <f t="shared" si="200"/>
        <v>13.68</v>
      </c>
      <c r="T3260" s="1">
        <f t="shared" si="201"/>
        <v>1.7300000000000004</v>
      </c>
      <c r="U3260" s="1" t="str">
        <f t="shared" si="202"/>
        <v>Underpaid</v>
      </c>
      <c r="V3260" s="1" t="str">
        <f>_xlfn.XLOOKUP(C3260,Payers!$A$2:$A$9,Payers!$B$2:$B$9)</f>
        <v>Medicare Part B</v>
      </c>
      <c r="W3260" s="1" t="str">
        <f t="shared" si="203"/>
        <v>2026-02</v>
      </c>
    </row>
    <row r="3261" spans="1:23">
      <c r="A3261" s="1" t="s">
        <v>5418</v>
      </c>
      <c r="B3261" s="1" t="s">
        <v>5419</v>
      </c>
      <c r="C3261" s="1" t="s">
        <v>76</v>
      </c>
      <c r="D3261" s="1" t="s">
        <v>37</v>
      </c>
      <c r="E3261" s="1" t="s">
        <v>57</v>
      </c>
      <c r="F3261">
        <v>1</v>
      </c>
      <c r="G3261" s="2">
        <v>45938</v>
      </c>
      <c r="H3261" s="2">
        <v>45939</v>
      </c>
      <c r="I3261">
        <v>210.98</v>
      </c>
      <c r="J3261">
        <v>77.930000000000007</v>
      </c>
      <c r="K3261">
        <v>77.930000000000007</v>
      </c>
      <c r="L3261">
        <v>0</v>
      </c>
      <c r="M3261" s="1" t="s">
        <v>21</v>
      </c>
      <c r="N3261" s="1" t="s">
        <v>22</v>
      </c>
      <c r="O3261" s="2">
        <v>45981</v>
      </c>
      <c r="P3261" s="2">
        <v>45981</v>
      </c>
      <c r="Q3261">
        <f>_xlfn.XLOOKUP(E3261,CPT!$A$2:$A$13,CPT!$D$2:$D$13)</f>
        <v>210</v>
      </c>
      <c r="R3261" s="1">
        <f>_xlfn.XLOOKUP(C3261,Contract!$A$2:$A$9,Contract!$B$2:$B$9)</f>
        <v>0.43</v>
      </c>
      <c r="S3261" s="1">
        <f t="shared" si="200"/>
        <v>90.3</v>
      </c>
      <c r="T3261" s="1">
        <f t="shared" si="201"/>
        <v>12.36999999999999</v>
      </c>
      <c r="U3261" s="1" t="str">
        <f t="shared" si="202"/>
        <v>Underpaid</v>
      </c>
      <c r="V3261" s="1" t="str">
        <f>_xlfn.XLOOKUP(C3261,Payers!$A$2:$A$9,Payers!$B$2:$B$9)</f>
        <v>Summit Health Commercial</v>
      </c>
      <c r="W3261" s="1" t="str">
        <f t="shared" si="203"/>
        <v>2025-10</v>
      </c>
    </row>
    <row r="3262" spans="1:23">
      <c r="A3262" s="1" t="s">
        <v>5420</v>
      </c>
      <c r="B3262" s="1" t="s">
        <v>78</v>
      </c>
      <c r="C3262" s="1" t="s">
        <v>18</v>
      </c>
      <c r="D3262" s="1" t="s">
        <v>19</v>
      </c>
      <c r="E3262" s="1" t="s">
        <v>20</v>
      </c>
      <c r="F3262">
        <v>1</v>
      </c>
      <c r="G3262" s="2">
        <v>46047</v>
      </c>
      <c r="H3262" s="2">
        <v>46048</v>
      </c>
      <c r="I3262">
        <v>147.26</v>
      </c>
      <c r="J3262">
        <v>60</v>
      </c>
      <c r="K3262">
        <v>48</v>
      </c>
      <c r="L3262">
        <v>12</v>
      </c>
      <c r="M3262" s="1" t="s">
        <v>21</v>
      </c>
      <c r="N3262" s="1" t="s">
        <v>22</v>
      </c>
      <c r="O3262" s="2">
        <v>46080</v>
      </c>
      <c r="P3262" s="2">
        <v>46080</v>
      </c>
      <c r="Q3262">
        <f>_xlfn.XLOOKUP(E3262,CPT!$A$2:$A$13,CPT!$D$2:$D$13)</f>
        <v>145</v>
      </c>
      <c r="R3262" s="1">
        <f>_xlfn.XLOOKUP(C3262,Contract!$A$2:$A$9,Contract!$B$2:$B$9)</f>
        <v>0.38</v>
      </c>
      <c r="S3262" s="1">
        <f t="shared" si="200"/>
        <v>55.1</v>
      </c>
      <c r="T3262" s="1">
        <f t="shared" si="201"/>
        <v>-4.8999999999999986</v>
      </c>
      <c r="U3262" s="1" t="str">
        <f t="shared" si="202"/>
        <v>OK</v>
      </c>
      <c r="V3262" s="1" t="str">
        <f>_xlfn.XLOOKUP(C3262,Payers!$A$2:$A$9,Payers!$B$2:$B$9)</f>
        <v>Sunshine Medicare Advantage</v>
      </c>
      <c r="W3262" s="1" t="str">
        <f t="shared" si="203"/>
        <v>2026-01</v>
      </c>
    </row>
    <row r="3263" spans="1:23">
      <c r="A3263" s="1" t="s">
        <v>5421</v>
      </c>
      <c r="B3263" s="1" t="s">
        <v>2062</v>
      </c>
      <c r="C3263" s="1" t="s">
        <v>36</v>
      </c>
      <c r="D3263" s="1" t="s">
        <v>19</v>
      </c>
      <c r="E3263" s="1" t="s">
        <v>41</v>
      </c>
      <c r="F3263">
        <v>1</v>
      </c>
      <c r="G3263" s="2">
        <v>46199</v>
      </c>
      <c r="H3263" s="2">
        <v>46201</v>
      </c>
      <c r="I3263">
        <v>38.18</v>
      </c>
      <c r="J3263">
        <v>8.93</v>
      </c>
      <c r="K3263">
        <v>8.93</v>
      </c>
      <c r="L3263">
        <v>0</v>
      </c>
      <c r="M3263" s="1" t="s">
        <v>21</v>
      </c>
      <c r="N3263" s="1" t="s">
        <v>22</v>
      </c>
      <c r="O3263" s="2">
        <v>46208</v>
      </c>
      <c r="P3263" s="2">
        <v>46208</v>
      </c>
      <c r="Q3263">
        <f>_xlfn.XLOOKUP(E3263,CPT!$A$2:$A$13,CPT!$D$2:$D$13)</f>
        <v>38</v>
      </c>
      <c r="R3263" s="1">
        <f>_xlfn.XLOOKUP(C3263,Contract!$A$2:$A$9,Contract!$B$2:$B$9)</f>
        <v>0.27</v>
      </c>
      <c r="S3263" s="1">
        <f t="shared" si="200"/>
        <v>10.26</v>
      </c>
      <c r="T3263" s="1">
        <f t="shared" si="201"/>
        <v>1.33</v>
      </c>
      <c r="U3263" s="1" t="str">
        <f t="shared" si="202"/>
        <v>Underpaid</v>
      </c>
      <c r="V3263" s="1" t="str">
        <f>_xlfn.XLOOKUP(C3263,Payers!$A$2:$A$9,Payers!$B$2:$B$9)</f>
        <v>Florida Medicaid</v>
      </c>
      <c r="W3263" s="1" t="str">
        <f t="shared" si="203"/>
        <v>2026-06</v>
      </c>
    </row>
    <row r="3264" spans="1:23">
      <c r="A3264" s="1" t="s">
        <v>5422</v>
      </c>
      <c r="B3264" s="1" t="s">
        <v>5423</v>
      </c>
      <c r="C3264" s="1" t="s">
        <v>60</v>
      </c>
      <c r="D3264" s="1" t="s">
        <v>30</v>
      </c>
      <c r="E3264" s="1" t="s">
        <v>91</v>
      </c>
      <c r="F3264">
        <v>3</v>
      </c>
      <c r="G3264" s="2">
        <v>46039</v>
      </c>
      <c r="H3264" s="2">
        <v>46054</v>
      </c>
      <c r="I3264">
        <v>175.17</v>
      </c>
      <c r="J3264">
        <v>73.599999999999994</v>
      </c>
      <c r="K3264">
        <v>73.599999999999994</v>
      </c>
      <c r="L3264">
        <v>0</v>
      </c>
      <c r="M3264" s="1" t="s">
        <v>21</v>
      </c>
      <c r="N3264" s="1" t="s">
        <v>22</v>
      </c>
      <c r="O3264" s="2">
        <v>46076</v>
      </c>
      <c r="P3264" s="2">
        <v>46076</v>
      </c>
      <c r="Q3264">
        <f>_xlfn.XLOOKUP(E3264,CPT!$A$2:$A$13,CPT!$D$2:$D$13)</f>
        <v>58</v>
      </c>
      <c r="R3264" s="1">
        <f>_xlfn.XLOOKUP(C3264,Contract!$A$2:$A$9,Contract!$B$2:$B$9)</f>
        <v>0.45</v>
      </c>
      <c r="S3264" s="1">
        <f t="shared" si="200"/>
        <v>78.3</v>
      </c>
      <c r="T3264" s="1">
        <f t="shared" si="201"/>
        <v>4.7000000000000028</v>
      </c>
      <c r="U3264" s="1" t="str">
        <f t="shared" si="202"/>
        <v>Underpaid</v>
      </c>
      <c r="V3264" s="1" t="str">
        <f>_xlfn.XLOOKUP(C3264,Payers!$A$2:$A$9,Payers!$B$2:$B$9)</f>
        <v>Blue Horizon Commercial</v>
      </c>
      <c r="W3264" s="1" t="str">
        <f t="shared" si="203"/>
        <v>2026-01</v>
      </c>
    </row>
    <row r="3265" spans="1:23">
      <c r="A3265" s="1" t="s">
        <v>5424</v>
      </c>
      <c r="B3265" s="1" t="s">
        <v>5153</v>
      </c>
      <c r="C3265" s="1" t="s">
        <v>76</v>
      </c>
      <c r="D3265" s="1" t="s">
        <v>26</v>
      </c>
      <c r="E3265" s="1" t="s">
        <v>57</v>
      </c>
      <c r="F3265">
        <v>1</v>
      </c>
      <c r="G3265" s="2">
        <v>46013</v>
      </c>
      <c r="H3265" s="2">
        <v>46017</v>
      </c>
      <c r="I3265">
        <v>212.4</v>
      </c>
      <c r="J3265">
        <v>94.29</v>
      </c>
      <c r="K3265">
        <v>75.430000000000007</v>
      </c>
      <c r="L3265">
        <v>18.86</v>
      </c>
      <c r="M3265" s="1" t="s">
        <v>21</v>
      </c>
      <c r="N3265" s="1" t="s">
        <v>22</v>
      </c>
      <c r="O3265" s="2">
        <v>46036</v>
      </c>
      <c r="P3265" s="2">
        <v>46036</v>
      </c>
      <c r="Q3265">
        <f>_xlfn.XLOOKUP(E3265,CPT!$A$2:$A$13,CPT!$D$2:$D$13)</f>
        <v>210</v>
      </c>
      <c r="R3265" s="1">
        <f>_xlfn.XLOOKUP(C3265,Contract!$A$2:$A$9,Contract!$B$2:$B$9)</f>
        <v>0.43</v>
      </c>
      <c r="S3265" s="1">
        <f t="shared" si="200"/>
        <v>90.3</v>
      </c>
      <c r="T3265" s="1">
        <f t="shared" si="201"/>
        <v>-3.9900000000000091</v>
      </c>
      <c r="U3265" s="1" t="str">
        <f t="shared" si="202"/>
        <v>OK</v>
      </c>
      <c r="V3265" s="1" t="str">
        <f>_xlfn.XLOOKUP(C3265,Payers!$A$2:$A$9,Payers!$B$2:$B$9)</f>
        <v>Summit Health Commercial</v>
      </c>
      <c r="W3265" s="1" t="str">
        <f t="shared" si="203"/>
        <v>2025-12</v>
      </c>
    </row>
    <row r="3266" spans="1:23">
      <c r="A3266" s="1" t="s">
        <v>5425</v>
      </c>
      <c r="B3266" s="1" t="s">
        <v>5426</v>
      </c>
      <c r="C3266" s="1" t="s">
        <v>18</v>
      </c>
      <c r="D3266" s="1" t="s">
        <v>26</v>
      </c>
      <c r="E3266" s="1" t="s">
        <v>113</v>
      </c>
      <c r="F3266">
        <v>1</v>
      </c>
      <c r="G3266" s="2">
        <v>46055</v>
      </c>
      <c r="H3266" s="2">
        <v>46064</v>
      </c>
      <c r="I3266">
        <v>1050.6199999999999</v>
      </c>
      <c r="J3266">
        <v>382.89</v>
      </c>
      <c r="K3266">
        <v>344.6</v>
      </c>
      <c r="L3266">
        <v>38.29</v>
      </c>
      <c r="M3266" s="1" t="s">
        <v>21</v>
      </c>
      <c r="N3266" s="1" t="s">
        <v>22</v>
      </c>
      <c r="O3266" s="2">
        <v>46113</v>
      </c>
      <c r="P3266" s="2">
        <v>46113</v>
      </c>
      <c r="Q3266">
        <f>_xlfn.XLOOKUP(E3266,CPT!$A$2:$A$13,CPT!$D$2:$D$13)</f>
        <v>1050</v>
      </c>
      <c r="R3266" s="1">
        <f>_xlfn.XLOOKUP(C3266,Contract!$A$2:$A$9,Contract!$B$2:$B$9)</f>
        <v>0.38</v>
      </c>
      <c r="S3266" s="1">
        <f t="shared" ref="S3266:S3329" si="204">ROUND(Q3266*F3266*R3266,2)</f>
        <v>399</v>
      </c>
      <c r="T3266" s="1">
        <f t="shared" ref="T3266:T3329" si="205">IF(M3266="Paid",S3266-J3266,"")</f>
        <v>16.110000000000014</v>
      </c>
      <c r="U3266" s="1" t="str">
        <f t="shared" ref="U3266:U3329" si="206">IF(M3266&lt;&gt;"Paid","",IF(T3266&gt;S3266*0.05,"Underpaid","OK"))</f>
        <v>OK</v>
      </c>
      <c r="V3266" s="1" t="str">
        <f>_xlfn.XLOOKUP(C3266,Payers!$A$2:$A$9,Payers!$B$2:$B$9)</f>
        <v>Sunshine Medicare Advantage</v>
      </c>
      <c r="W3266" s="1" t="str">
        <f t="shared" ref="W3266:W3329" si="207">TEXT(G3266,"yyyy-mm")</f>
        <v>2026-02</v>
      </c>
    </row>
    <row r="3267" spans="1:23">
      <c r="A3267" s="1" t="s">
        <v>5427</v>
      </c>
      <c r="B3267" s="1" t="s">
        <v>2779</v>
      </c>
      <c r="C3267" s="1" t="s">
        <v>47</v>
      </c>
      <c r="D3267" s="1" t="s">
        <v>26</v>
      </c>
      <c r="E3267" s="1" t="s">
        <v>44</v>
      </c>
      <c r="F3267">
        <v>1</v>
      </c>
      <c r="G3267" s="2">
        <v>45970</v>
      </c>
      <c r="H3267" s="2">
        <v>45973</v>
      </c>
      <c r="I3267">
        <v>4890.0600000000004</v>
      </c>
      <c r="M3267" s="1" t="s">
        <v>32</v>
      </c>
      <c r="N3267" s="1" t="s">
        <v>49</v>
      </c>
      <c r="O3267" s="2">
        <v>46040</v>
      </c>
      <c r="P3267" s="2"/>
      <c r="Q3267">
        <f>_xlfn.XLOOKUP(E3267,CPT!$A$2:$A$13,CPT!$D$2:$D$13)</f>
        <v>4800</v>
      </c>
      <c r="R3267" s="1">
        <f>_xlfn.XLOOKUP(C3267,Contract!$A$2:$A$9,Contract!$B$2:$B$9)</f>
        <v>0.28000000000000003</v>
      </c>
      <c r="S3267" s="1">
        <f t="shared" si="204"/>
        <v>1344</v>
      </c>
      <c r="T3267" s="1" t="str">
        <f t="shared" si="205"/>
        <v/>
      </c>
      <c r="U3267" s="1" t="str">
        <f t="shared" si="206"/>
        <v/>
      </c>
      <c r="V3267" s="1" t="str">
        <f>_xlfn.XLOOKUP(C3267,Payers!$A$2:$A$9,Payers!$B$2:$B$9)</f>
        <v>Coastal Medicaid MCO</v>
      </c>
      <c r="W3267" s="1" t="str">
        <f t="shared" si="207"/>
        <v>2025-11</v>
      </c>
    </row>
    <row r="3268" spans="1:23">
      <c r="A3268" s="1" t="s">
        <v>5428</v>
      </c>
      <c r="B3268" s="1" t="s">
        <v>1638</v>
      </c>
      <c r="C3268" s="1" t="s">
        <v>25</v>
      </c>
      <c r="D3268" s="1" t="s">
        <v>30</v>
      </c>
      <c r="E3268" s="1" t="s">
        <v>20</v>
      </c>
      <c r="F3268">
        <v>1</v>
      </c>
      <c r="G3268" s="2">
        <v>46241</v>
      </c>
      <c r="H3268" s="2">
        <v>46242</v>
      </c>
      <c r="I3268">
        <v>141.82</v>
      </c>
      <c r="J3268">
        <v>51.54</v>
      </c>
      <c r="K3268">
        <v>41.23</v>
      </c>
      <c r="L3268">
        <v>10.31</v>
      </c>
      <c r="M3268" s="1" t="s">
        <v>21</v>
      </c>
      <c r="N3268" s="1" t="s">
        <v>22</v>
      </c>
      <c r="O3268" s="2">
        <v>46265</v>
      </c>
      <c r="P3268" s="2">
        <v>46265</v>
      </c>
      <c r="Q3268">
        <f>_xlfn.XLOOKUP(E3268,CPT!$A$2:$A$13,CPT!$D$2:$D$13)</f>
        <v>145</v>
      </c>
      <c r="R3268" s="1">
        <f>_xlfn.XLOOKUP(C3268,Contract!$A$2:$A$9,Contract!$B$2:$B$9)</f>
        <v>0.36</v>
      </c>
      <c r="S3268" s="1">
        <f t="shared" si="204"/>
        <v>52.2</v>
      </c>
      <c r="T3268" s="1">
        <f t="shared" si="205"/>
        <v>0.66000000000000369</v>
      </c>
      <c r="U3268" s="1" t="str">
        <f t="shared" si="206"/>
        <v>OK</v>
      </c>
      <c r="V3268" s="1" t="str">
        <f>_xlfn.XLOOKUP(C3268,Payers!$A$2:$A$9,Payers!$B$2:$B$9)</f>
        <v>Medicare Part B</v>
      </c>
      <c r="W3268" s="1" t="str">
        <f t="shared" si="207"/>
        <v>2026-08</v>
      </c>
    </row>
    <row r="3269" spans="1:23">
      <c r="A3269" s="1" t="s">
        <v>5429</v>
      </c>
      <c r="B3269" s="1" t="s">
        <v>1396</v>
      </c>
      <c r="C3269" s="1" t="s">
        <v>25</v>
      </c>
      <c r="D3269" s="1" t="s">
        <v>26</v>
      </c>
      <c r="E3269" s="1" t="s">
        <v>27</v>
      </c>
      <c r="F3269">
        <v>1</v>
      </c>
      <c r="G3269" s="2">
        <v>46026</v>
      </c>
      <c r="H3269" s="2">
        <v>46034</v>
      </c>
      <c r="I3269">
        <v>236.23</v>
      </c>
      <c r="J3269">
        <v>72.16</v>
      </c>
      <c r="K3269">
        <v>57.73</v>
      </c>
      <c r="L3269">
        <v>14.43</v>
      </c>
      <c r="M3269" s="1" t="s">
        <v>21</v>
      </c>
      <c r="N3269" s="1" t="s">
        <v>22</v>
      </c>
      <c r="O3269" s="2">
        <v>46051</v>
      </c>
      <c r="P3269" s="2">
        <v>46051</v>
      </c>
      <c r="Q3269">
        <f>_xlfn.XLOOKUP(E3269,CPT!$A$2:$A$13,CPT!$D$2:$D$13)</f>
        <v>240</v>
      </c>
      <c r="R3269" s="1">
        <f>_xlfn.XLOOKUP(C3269,Contract!$A$2:$A$9,Contract!$B$2:$B$9)</f>
        <v>0.36</v>
      </c>
      <c r="S3269" s="1">
        <f t="shared" si="204"/>
        <v>86.4</v>
      </c>
      <c r="T3269" s="1">
        <f t="shared" si="205"/>
        <v>14.240000000000009</v>
      </c>
      <c r="U3269" s="1" t="str">
        <f t="shared" si="206"/>
        <v>Underpaid</v>
      </c>
      <c r="V3269" s="1" t="str">
        <f>_xlfn.XLOOKUP(C3269,Payers!$A$2:$A$9,Payers!$B$2:$B$9)</f>
        <v>Medicare Part B</v>
      </c>
      <c r="W3269" s="1" t="str">
        <f t="shared" si="207"/>
        <v>2026-01</v>
      </c>
    </row>
    <row r="3270" spans="1:23">
      <c r="A3270" s="1" t="s">
        <v>5430</v>
      </c>
      <c r="B3270" s="1" t="s">
        <v>4442</v>
      </c>
      <c r="C3270" s="1" t="s">
        <v>25</v>
      </c>
      <c r="D3270" s="1" t="s">
        <v>19</v>
      </c>
      <c r="E3270" s="1" t="s">
        <v>20</v>
      </c>
      <c r="F3270">
        <v>1</v>
      </c>
      <c r="G3270" s="2">
        <v>46260</v>
      </c>
      <c r="H3270" s="2">
        <v>46266</v>
      </c>
      <c r="I3270">
        <v>142.13</v>
      </c>
      <c r="J3270">
        <v>57.99</v>
      </c>
      <c r="K3270">
        <v>46.39</v>
      </c>
      <c r="L3270">
        <v>11.6</v>
      </c>
      <c r="M3270" s="1" t="s">
        <v>21</v>
      </c>
      <c r="N3270" s="1" t="s">
        <v>22</v>
      </c>
      <c r="O3270" s="2">
        <v>46280</v>
      </c>
      <c r="P3270" s="2">
        <v>46280</v>
      </c>
      <c r="Q3270">
        <f>_xlfn.XLOOKUP(E3270,CPT!$A$2:$A$13,CPT!$D$2:$D$13)</f>
        <v>145</v>
      </c>
      <c r="R3270" s="1">
        <f>_xlfn.XLOOKUP(C3270,Contract!$A$2:$A$9,Contract!$B$2:$B$9)</f>
        <v>0.36</v>
      </c>
      <c r="S3270" s="1">
        <f t="shared" si="204"/>
        <v>52.2</v>
      </c>
      <c r="T3270" s="1">
        <f t="shared" si="205"/>
        <v>-5.7899999999999991</v>
      </c>
      <c r="U3270" s="1" t="str">
        <f t="shared" si="206"/>
        <v>OK</v>
      </c>
      <c r="V3270" s="1" t="str">
        <f>_xlfn.XLOOKUP(C3270,Payers!$A$2:$A$9,Payers!$B$2:$B$9)</f>
        <v>Medicare Part B</v>
      </c>
      <c r="W3270" s="1" t="str">
        <f t="shared" si="207"/>
        <v>2026-08</v>
      </c>
    </row>
    <row r="3271" spans="1:23">
      <c r="A3271" s="1" t="s">
        <v>5431</v>
      </c>
      <c r="B3271" s="1" t="s">
        <v>3255</v>
      </c>
      <c r="C3271" s="1" t="s">
        <v>76</v>
      </c>
      <c r="D3271" s="1" t="s">
        <v>26</v>
      </c>
      <c r="E3271" s="1" t="s">
        <v>113</v>
      </c>
      <c r="F3271">
        <v>1</v>
      </c>
      <c r="G3271" s="2">
        <v>46143</v>
      </c>
      <c r="H3271" s="2">
        <v>46145</v>
      </c>
      <c r="I3271">
        <v>1048.53</v>
      </c>
      <c r="J3271">
        <v>475.35</v>
      </c>
      <c r="K3271">
        <v>427.81</v>
      </c>
      <c r="L3271">
        <v>47.54</v>
      </c>
      <c r="M3271" s="1" t="s">
        <v>21</v>
      </c>
      <c r="N3271" s="1" t="s">
        <v>22</v>
      </c>
      <c r="O3271" s="2">
        <v>46183</v>
      </c>
      <c r="P3271" s="2">
        <v>46183</v>
      </c>
      <c r="Q3271">
        <f>_xlfn.XLOOKUP(E3271,CPT!$A$2:$A$13,CPT!$D$2:$D$13)</f>
        <v>1050</v>
      </c>
      <c r="R3271" s="1">
        <f>_xlfn.XLOOKUP(C3271,Contract!$A$2:$A$9,Contract!$B$2:$B$9)</f>
        <v>0.43</v>
      </c>
      <c r="S3271" s="1">
        <f t="shared" si="204"/>
        <v>451.5</v>
      </c>
      <c r="T3271" s="1">
        <f t="shared" si="205"/>
        <v>-23.850000000000023</v>
      </c>
      <c r="U3271" s="1" t="str">
        <f t="shared" si="206"/>
        <v>OK</v>
      </c>
      <c r="V3271" s="1" t="str">
        <f>_xlfn.XLOOKUP(C3271,Payers!$A$2:$A$9,Payers!$B$2:$B$9)</f>
        <v>Summit Health Commercial</v>
      </c>
      <c r="W3271" s="1" t="str">
        <f t="shared" si="207"/>
        <v>2026-05</v>
      </c>
    </row>
    <row r="3272" spans="1:23">
      <c r="A3272" s="1" t="s">
        <v>5432</v>
      </c>
      <c r="B3272" s="1" t="s">
        <v>3798</v>
      </c>
      <c r="C3272" s="1" t="s">
        <v>18</v>
      </c>
      <c r="D3272" s="1" t="s">
        <v>26</v>
      </c>
      <c r="E3272" s="1" t="s">
        <v>185</v>
      </c>
      <c r="F3272">
        <v>1</v>
      </c>
      <c r="G3272" s="2">
        <v>46112</v>
      </c>
      <c r="H3272" s="2">
        <v>46114</v>
      </c>
      <c r="I3272">
        <v>1146.0899999999999</v>
      </c>
      <c r="J3272">
        <v>462.65</v>
      </c>
      <c r="K3272">
        <v>462.65</v>
      </c>
      <c r="L3272">
        <v>0</v>
      </c>
      <c r="M3272" s="1" t="s">
        <v>21</v>
      </c>
      <c r="N3272" s="1" t="s">
        <v>22</v>
      </c>
      <c r="O3272" s="2">
        <v>46183</v>
      </c>
      <c r="P3272" s="2">
        <v>46183</v>
      </c>
      <c r="Q3272">
        <f>_xlfn.XLOOKUP(E3272,CPT!$A$2:$A$13,CPT!$D$2:$D$13)</f>
        <v>1150</v>
      </c>
      <c r="R3272" s="1">
        <f>_xlfn.XLOOKUP(C3272,Contract!$A$2:$A$9,Contract!$B$2:$B$9)</f>
        <v>0.38</v>
      </c>
      <c r="S3272" s="1">
        <f t="shared" si="204"/>
        <v>437</v>
      </c>
      <c r="T3272" s="1">
        <f t="shared" si="205"/>
        <v>-25.649999999999977</v>
      </c>
      <c r="U3272" s="1" t="str">
        <f t="shared" si="206"/>
        <v>OK</v>
      </c>
      <c r="V3272" s="1" t="str">
        <f>_xlfn.XLOOKUP(C3272,Payers!$A$2:$A$9,Payers!$B$2:$B$9)</f>
        <v>Sunshine Medicare Advantage</v>
      </c>
      <c r="W3272" s="1" t="str">
        <f t="shared" si="207"/>
        <v>2026-03</v>
      </c>
    </row>
    <row r="3273" spans="1:23">
      <c r="A3273" s="1" t="s">
        <v>5433</v>
      </c>
      <c r="B3273" s="1" t="s">
        <v>1320</v>
      </c>
      <c r="C3273" s="1" t="s">
        <v>25</v>
      </c>
      <c r="D3273" s="1" t="s">
        <v>26</v>
      </c>
      <c r="E3273" s="1" t="s">
        <v>113</v>
      </c>
      <c r="F3273">
        <v>1</v>
      </c>
      <c r="G3273" s="2">
        <v>46240</v>
      </c>
      <c r="H3273" s="2">
        <v>46241</v>
      </c>
      <c r="I3273">
        <v>1054.6300000000001</v>
      </c>
      <c r="M3273" s="1" t="s">
        <v>32</v>
      </c>
      <c r="N3273" s="1" t="s">
        <v>49</v>
      </c>
      <c r="O3273" s="2">
        <v>46256</v>
      </c>
      <c r="P3273" s="2"/>
      <c r="Q3273">
        <f>_xlfn.XLOOKUP(E3273,CPT!$A$2:$A$13,CPT!$D$2:$D$13)</f>
        <v>1050</v>
      </c>
      <c r="R3273" s="1">
        <f>_xlfn.XLOOKUP(C3273,Contract!$A$2:$A$9,Contract!$B$2:$B$9)</f>
        <v>0.36</v>
      </c>
      <c r="S3273" s="1">
        <f t="shared" si="204"/>
        <v>378</v>
      </c>
      <c r="T3273" s="1" t="str">
        <f t="shared" si="205"/>
        <v/>
      </c>
      <c r="U3273" s="1" t="str">
        <f t="shared" si="206"/>
        <v/>
      </c>
      <c r="V3273" s="1" t="str">
        <f>_xlfn.XLOOKUP(C3273,Payers!$A$2:$A$9,Payers!$B$2:$B$9)</f>
        <v>Medicare Part B</v>
      </c>
      <c r="W3273" s="1" t="str">
        <f t="shared" si="207"/>
        <v>2026-08</v>
      </c>
    </row>
    <row r="3274" spans="1:23">
      <c r="A3274" s="1" t="s">
        <v>5434</v>
      </c>
      <c r="B3274" s="1" t="s">
        <v>1093</v>
      </c>
      <c r="C3274" s="1" t="s">
        <v>18</v>
      </c>
      <c r="D3274" s="1" t="s">
        <v>30</v>
      </c>
      <c r="E3274" s="1" t="s">
        <v>91</v>
      </c>
      <c r="F3274">
        <v>1</v>
      </c>
      <c r="G3274" s="2">
        <v>46174</v>
      </c>
      <c r="H3274" s="2">
        <v>46178</v>
      </c>
      <c r="I3274">
        <v>59</v>
      </c>
      <c r="J3274">
        <v>22.06</v>
      </c>
      <c r="K3274">
        <v>22.06</v>
      </c>
      <c r="L3274">
        <v>0</v>
      </c>
      <c r="M3274" s="1" t="s">
        <v>21</v>
      </c>
      <c r="N3274" s="1" t="s">
        <v>22</v>
      </c>
      <c r="O3274" s="2">
        <v>46228</v>
      </c>
      <c r="P3274" s="2">
        <v>46228</v>
      </c>
      <c r="Q3274">
        <f>_xlfn.XLOOKUP(E3274,CPT!$A$2:$A$13,CPT!$D$2:$D$13)</f>
        <v>58</v>
      </c>
      <c r="R3274" s="1">
        <f>_xlfn.XLOOKUP(C3274,Contract!$A$2:$A$9,Contract!$B$2:$B$9)</f>
        <v>0.38</v>
      </c>
      <c r="S3274" s="1">
        <f t="shared" si="204"/>
        <v>22.04</v>
      </c>
      <c r="T3274" s="1">
        <f t="shared" si="205"/>
        <v>-1.9999999999999574E-2</v>
      </c>
      <c r="U3274" s="1" t="str">
        <f t="shared" si="206"/>
        <v>OK</v>
      </c>
      <c r="V3274" s="1" t="str">
        <f>_xlfn.XLOOKUP(C3274,Payers!$A$2:$A$9,Payers!$B$2:$B$9)</f>
        <v>Sunshine Medicare Advantage</v>
      </c>
      <c r="W3274" s="1" t="str">
        <f t="shared" si="207"/>
        <v>2026-06</v>
      </c>
    </row>
    <row r="3275" spans="1:23">
      <c r="A3275" s="1" t="s">
        <v>5435</v>
      </c>
      <c r="B3275" s="1" t="s">
        <v>3668</v>
      </c>
      <c r="C3275" s="1" t="s">
        <v>18</v>
      </c>
      <c r="D3275" s="1" t="s">
        <v>19</v>
      </c>
      <c r="E3275" s="1" t="s">
        <v>41</v>
      </c>
      <c r="F3275">
        <v>1</v>
      </c>
      <c r="G3275" s="2">
        <v>46203</v>
      </c>
      <c r="H3275" s="2">
        <v>46207</v>
      </c>
      <c r="I3275">
        <v>36.880000000000003</v>
      </c>
      <c r="M3275" s="1" t="s">
        <v>32</v>
      </c>
      <c r="N3275" s="1" t="s">
        <v>168</v>
      </c>
      <c r="O3275" s="2">
        <v>46240</v>
      </c>
      <c r="P3275" s="2"/>
      <c r="Q3275">
        <f>_xlfn.XLOOKUP(E3275,CPT!$A$2:$A$13,CPT!$D$2:$D$13)</f>
        <v>38</v>
      </c>
      <c r="R3275" s="1">
        <f>_xlfn.XLOOKUP(C3275,Contract!$A$2:$A$9,Contract!$B$2:$B$9)</f>
        <v>0.38</v>
      </c>
      <c r="S3275" s="1">
        <f t="shared" si="204"/>
        <v>14.44</v>
      </c>
      <c r="T3275" s="1" t="str">
        <f t="shared" si="205"/>
        <v/>
      </c>
      <c r="U3275" s="1" t="str">
        <f t="shared" si="206"/>
        <v/>
      </c>
      <c r="V3275" s="1" t="str">
        <f>_xlfn.XLOOKUP(C3275,Payers!$A$2:$A$9,Payers!$B$2:$B$9)</f>
        <v>Sunshine Medicare Advantage</v>
      </c>
      <c r="W3275" s="1" t="str">
        <f t="shared" si="207"/>
        <v>2026-06</v>
      </c>
    </row>
    <row r="3276" spans="1:23">
      <c r="A3276" s="1" t="s">
        <v>5436</v>
      </c>
      <c r="B3276" s="1" t="s">
        <v>4599</v>
      </c>
      <c r="C3276" s="1" t="s">
        <v>18</v>
      </c>
      <c r="D3276" s="1" t="s">
        <v>37</v>
      </c>
      <c r="E3276" s="1" t="s">
        <v>38</v>
      </c>
      <c r="F3276">
        <v>30</v>
      </c>
      <c r="G3276" s="2">
        <v>46094</v>
      </c>
      <c r="H3276" s="2">
        <v>46105</v>
      </c>
      <c r="I3276">
        <v>42329.73</v>
      </c>
      <c r="M3276" s="1" t="s">
        <v>32</v>
      </c>
      <c r="N3276" s="1" t="s">
        <v>33</v>
      </c>
      <c r="O3276" s="2">
        <v>46160</v>
      </c>
      <c r="P3276" s="2"/>
      <c r="Q3276">
        <f>_xlfn.XLOOKUP(E3276,CPT!$A$2:$A$13,CPT!$D$2:$D$13)</f>
        <v>1450</v>
      </c>
      <c r="R3276" s="1">
        <f>_xlfn.XLOOKUP(C3276,Contract!$A$2:$A$9,Contract!$B$2:$B$9)</f>
        <v>0.38</v>
      </c>
      <c r="S3276" s="1">
        <f t="shared" si="204"/>
        <v>16530</v>
      </c>
      <c r="T3276" s="1" t="str">
        <f t="shared" si="205"/>
        <v/>
      </c>
      <c r="U3276" s="1" t="str">
        <f t="shared" si="206"/>
        <v/>
      </c>
      <c r="V3276" s="1" t="str">
        <f>_xlfn.XLOOKUP(C3276,Payers!$A$2:$A$9,Payers!$B$2:$B$9)</f>
        <v>Sunshine Medicare Advantage</v>
      </c>
      <c r="W3276" s="1" t="str">
        <f t="shared" si="207"/>
        <v>2026-03</v>
      </c>
    </row>
    <row r="3277" spans="1:23">
      <c r="A3277" s="1" t="s">
        <v>5437</v>
      </c>
      <c r="B3277" s="1" t="s">
        <v>3317</v>
      </c>
      <c r="C3277" s="1" t="s">
        <v>76</v>
      </c>
      <c r="D3277" s="1" t="s">
        <v>19</v>
      </c>
      <c r="E3277" s="1" t="s">
        <v>57</v>
      </c>
      <c r="F3277">
        <v>1</v>
      </c>
      <c r="G3277" s="2">
        <v>46115</v>
      </c>
      <c r="H3277" s="2">
        <v>46121</v>
      </c>
      <c r="I3277">
        <v>205.44</v>
      </c>
      <c r="J3277">
        <v>83.43</v>
      </c>
      <c r="K3277">
        <v>75.09</v>
      </c>
      <c r="L3277">
        <v>8.34</v>
      </c>
      <c r="M3277" s="1" t="s">
        <v>21</v>
      </c>
      <c r="N3277" s="1" t="s">
        <v>22</v>
      </c>
      <c r="O3277" s="2">
        <v>46159</v>
      </c>
      <c r="P3277" s="2">
        <v>46159</v>
      </c>
      <c r="Q3277">
        <f>_xlfn.XLOOKUP(E3277,CPT!$A$2:$A$13,CPT!$D$2:$D$13)</f>
        <v>210</v>
      </c>
      <c r="R3277" s="1">
        <f>_xlfn.XLOOKUP(C3277,Contract!$A$2:$A$9,Contract!$B$2:$B$9)</f>
        <v>0.43</v>
      </c>
      <c r="S3277" s="1">
        <f t="shared" si="204"/>
        <v>90.3</v>
      </c>
      <c r="T3277" s="1">
        <f t="shared" si="205"/>
        <v>6.8699999999999903</v>
      </c>
      <c r="U3277" s="1" t="str">
        <f t="shared" si="206"/>
        <v>Underpaid</v>
      </c>
      <c r="V3277" s="1" t="str">
        <f>_xlfn.XLOOKUP(C3277,Payers!$A$2:$A$9,Payers!$B$2:$B$9)</f>
        <v>Summit Health Commercial</v>
      </c>
      <c r="W3277" s="1" t="str">
        <f t="shared" si="207"/>
        <v>2026-04</v>
      </c>
    </row>
    <row r="3278" spans="1:23">
      <c r="A3278" s="1" t="s">
        <v>5438</v>
      </c>
      <c r="B3278" s="1" t="s">
        <v>631</v>
      </c>
      <c r="C3278" s="1" t="s">
        <v>47</v>
      </c>
      <c r="D3278" s="1" t="s">
        <v>37</v>
      </c>
      <c r="E3278" s="1" t="s">
        <v>57</v>
      </c>
      <c r="F3278">
        <v>1</v>
      </c>
      <c r="G3278" s="2">
        <v>46257</v>
      </c>
      <c r="H3278" s="2">
        <v>46258</v>
      </c>
      <c r="I3278">
        <v>205.38</v>
      </c>
      <c r="M3278" s="1" t="s">
        <v>69</v>
      </c>
      <c r="N3278" s="1" t="s">
        <v>22</v>
      </c>
      <c r="O3278" s="2"/>
      <c r="P3278" s="2"/>
      <c r="Q3278">
        <f>_xlfn.XLOOKUP(E3278,CPT!$A$2:$A$13,CPT!$D$2:$D$13)</f>
        <v>210</v>
      </c>
      <c r="R3278" s="1">
        <f>_xlfn.XLOOKUP(C3278,Contract!$A$2:$A$9,Contract!$B$2:$B$9)</f>
        <v>0.28000000000000003</v>
      </c>
      <c r="S3278" s="1">
        <f t="shared" si="204"/>
        <v>58.8</v>
      </c>
      <c r="T3278" s="1" t="str">
        <f t="shared" si="205"/>
        <v/>
      </c>
      <c r="U3278" s="1" t="str">
        <f t="shared" si="206"/>
        <v/>
      </c>
      <c r="V3278" s="1" t="str">
        <f>_xlfn.XLOOKUP(C3278,Payers!$A$2:$A$9,Payers!$B$2:$B$9)</f>
        <v>Coastal Medicaid MCO</v>
      </c>
      <c r="W3278" s="1" t="str">
        <f t="shared" si="207"/>
        <v>2026-08</v>
      </c>
    </row>
    <row r="3279" spans="1:23">
      <c r="A3279" s="1" t="s">
        <v>5439</v>
      </c>
      <c r="B3279" s="1" t="s">
        <v>5440</v>
      </c>
      <c r="C3279" s="1" t="s">
        <v>47</v>
      </c>
      <c r="D3279" s="1" t="s">
        <v>30</v>
      </c>
      <c r="E3279" s="1" t="s">
        <v>20</v>
      </c>
      <c r="F3279">
        <v>1</v>
      </c>
      <c r="G3279" s="2">
        <v>46005</v>
      </c>
      <c r="H3279" s="2">
        <v>46007</v>
      </c>
      <c r="I3279">
        <v>144.69</v>
      </c>
      <c r="J3279">
        <v>38.979999999999997</v>
      </c>
      <c r="K3279">
        <v>38.979999999999997</v>
      </c>
      <c r="L3279">
        <v>0</v>
      </c>
      <c r="M3279" s="1" t="s">
        <v>21</v>
      </c>
      <c r="N3279" s="1" t="s">
        <v>22</v>
      </c>
      <c r="O3279" s="2">
        <v>46078</v>
      </c>
      <c r="P3279" s="2">
        <v>46078</v>
      </c>
      <c r="Q3279">
        <f>_xlfn.XLOOKUP(E3279,CPT!$A$2:$A$13,CPT!$D$2:$D$13)</f>
        <v>145</v>
      </c>
      <c r="R3279" s="1">
        <f>_xlfn.XLOOKUP(C3279,Contract!$A$2:$A$9,Contract!$B$2:$B$9)</f>
        <v>0.28000000000000003</v>
      </c>
      <c r="S3279" s="1">
        <f t="shared" si="204"/>
        <v>40.6</v>
      </c>
      <c r="T3279" s="1">
        <f t="shared" si="205"/>
        <v>1.6200000000000045</v>
      </c>
      <c r="U3279" s="1" t="str">
        <f t="shared" si="206"/>
        <v>OK</v>
      </c>
      <c r="V3279" s="1" t="str">
        <f>_xlfn.XLOOKUP(C3279,Payers!$A$2:$A$9,Payers!$B$2:$B$9)</f>
        <v>Coastal Medicaid MCO</v>
      </c>
      <c r="W3279" s="1" t="str">
        <f t="shared" si="207"/>
        <v>2025-12</v>
      </c>
    </row>
    <row r="3280" spans="1:23">
      <c r="A3280" s="1" t="s">
        <v>5441</v>
      </c>
      <c r="B3280" s="1" t="s">
        <v>3825</v>
      </c>
      <c r="C3280" s="1" t="s">
        <v>47</v>
      </c>
      <c r="D3280" s="1" t="s">
        <v>30</v>
      </c>
      <c r="E3280" s="1" t="s">
        <v>20</v>
      </c>
      <c r="F3280">
        <v>1</v>
      </c>
      <c r="G3280" s="2">
        <v>46124</v>
      </c>
      <c r="H3280" s="2">
        <v>46127</v>
      </c>
      <c r="I3280">
        <v>145.69999999999999</v>
      </c>
      <c r="J3280">
        <v>43.47</v>
      </c>
      <c r="K3280">
        <v>43.47</v>
      </c>
      <c r="L3280">
        <v>0</v>
      </c>
      <c r="M3280" s="1" t="s">
        <v>21</v>
      </c>
      <c r="N3280" s="1" t="s">
        <v>22</v>
      </c>
      <c r="O3280" s="2">
        <v>46204</v>
      </c>
      <c r="P3280" s="2">
        <v>46204</v>
      </c>
      <c r="Q3280">
        <f>_xlfn.XLOOKUP(E3280,CPT!$A$2:$A$13,CPT!$D$2:$D$13)</f>
        <v>145</v>
      </c>
      <c r="R3280" s="1">
        <f>_xlfn.XLOOKUP(C3280,Contract!$A$2:$A$9,Contract!$B$2:$B$9)</f>
        <v>0.28000000000000003</v>
      </c>
      <c r="S3280" s="1">
        <f t="shared" si="204"/>
        <v>40.6</v>
      </c>
      <c r="T3280" s="1">
        <f t="shared" si="205"/>
        <v>-2.8699999999999974</v>
      </c>
      <c r="U3280" s="1" t="str">
        <f t="shared" si="206"/>
        <v>OK</v>
      </c>
      <c r="V3280" s="1" t="str">
        <f>_xlfn.XLOOKUP(C3280,Payers!$A$2:$A$9,Payers!$B$2:$B$9)</f>
        <v>Coastal Medicaid MCO</v>
      </c>
      <c r="W3280" s="1" t="str">
        <f t="shared" si="207"/>
        <v>2026-04</v>
      </c>
    </row>
    <row r="3281" spans="1:23">
      <c r="A3281" s="1" t="s">
        <v>5442</v>
      </c>
      <c r="B3281" s="1" t="s">
        <v>2900</v>
      </c>
      <c r="C3281" s="1" t="s">
        <v>18</v>
      </c>
      <c r="D3281" s="1" t="s">
        <v>19</v>
      </c>
      <c r="E3281" s="1" t="s">
        <v>57</v>
      </c>
      <c r="F3281">
        <v>1</v>
      </c>
      <c r="G3281" s="2">
        <v>46107</v>
      </c>
      <c r="H3281" s="2">
        <v>46109</v>
      </c>
      <c r="I3281">
        <v>211.91</v>
      </c>
      <c r="J3281">
        <v>79.64</v>
      </c>
      <c r="K3281">
        <v>79.64</v>
      </c>
      <c r="L3281">
        <v>0</v>
      </c>
      <c r="M3281" s="1" t="s">
        <v>21</v>
      </c>
      <c r="N3281" s="1" t="s">
        <v>22</v>
      </c>
      <c r="O3281" s="2">
        <v>46190</v>
      </c>
      <c r="P3281" s="2">
        <v>46190</v>
      </c>
      <c r="Q3281">
        <f>_xlfn.XLOOKUP(E3281,CPT!$A$2:$A$13,CPT!$D$2:$D$13)</f>
        <v>210</v>
      </c>
      <c r="R3281" s="1">
        <f>_xlfn.XLOOKUP(C3281,Contract!$A$2:$A$9,Contract!$B$2:$B$9)</f>
        <v>0.38</v>
      </c>
      <c r="S3281" s="1">
        <f t="shared" si="204"/>
        <v>79.8</v>
      </c>
      <c r="T3281" s="1">
        <f t="shared" si="205"/>
        <v>0.15999999999999659</v>
      </c>
      <c r="U3281" s="1" t="str">
        <f t="shared" si="206"/>
        <v>OK</v>
      </c>
      <c r="V3281" s="1" t="str">
        <f>_xlfn.XLOOKUP(C3281,Payers!$A$2:$A$9,Payers!$B$2:$B$9)</f>
        <v>Sunshine Medicare Advantage</v>
      </c>
      <c r="W3281" s="1" t="str">
        <f t="shared" si="207"/>
        <v>2026-03</v>
      </c>
    </row>
    <row r="3282" spans="1:23">
      <c r="A3282" s="1" t="s">
        <v>5443</v>
      </c>
      <c r="B3282" s="1" t="s">
        <v>5444</v>
      </c>
      <c r="C3282" s="1" t="s">
        <v>47</v>
      </c>
      <c r="D3282" s="1" t="s">
        <v>19</v>
      </c>
      <c r="E3282" s="1" t="s">
        <v>57</v>
      </c>
      <c r="F3282">
        <v>1</v>
      </c>
      <c r="G3282" s="2">
        <v>46243</v>
      </c>
      <c r="H3282" s="2">
        <v>46249</v>
      </c>
      <c r="I3282">
        <v>205.65</v>
      </c>
      <c r="M3282" s="1" t="s">
        <v>69</v>
      </c>
      <c r="N3282" s="1" t="s">
        <v>22</v>
      </c>
      <c r="O3282" s="2"/>
      <c r="P3282" s="2"/>
      <c r="Q3282">
        <f>_xlfn.XLOOKUP(E3282,CPT!$A$2:$A$13,CPT!$D$2:$D$13)</f>
        <v>210</v>
      </c>
      <c r="R3282" s="1">
        <f>_xlfn.XLOOKUP(C3282,Contract!$A$2:$A$9,Contract!$B$2:$B$9)</f>
        <v>0.28000000000000003</v>
      </c>
      <c r="S3282" s="1">
        <f t="shared" si="204"/>
        <v>58.8</v>
      </c>
      <c r="T3282" s="1" t="str">
        <f t="shared" si="205"/>
        <v/>
      </c>
      <c r="U3282" s="1" t="str">
        <f t="shared" si="206"/>
        <v/>
      </c>
      <c r="V3282" s="1" t="str">
        <f>_xlfn.XLOOKUP(C3282,Payers!$A$2:$A$9,Payers!$B$2:$B$9)</f>
        <v>Coastal Medicaid MCO</v>
      </c>
      <c r="W3282" s="1" t="str">
        <f t="shared" si="207"/>
        <v>2026-08</v>
      </c>
    </row>
    <row r="3283" spans="1:23">
      <c r="A3283" s="1" t="s">
        <v>5445</v>
      </c>
      <c r="B3283" s="1" t="s">
        <v>3651</v>
      </c>
      <c r="C3283" s="1" t="s">
        <v>18</v>
      </c>
      <c r="D3283" s="1" t="s">
        <v>26</v>
      </c>
      <c r="E3283" s="1" t="s">
        <v>27</v>
      </c>
      <c r="F3283">
        <v>1</v>
      </c>
      <c r="G3283" s="2">
        <v>45931</v>
      </c>
      <c r="H3283" s="2">
        <v>45937</v>
      </c>
      <c r="I3283">
        <v>245.29</v>
      </c>
      <c r="J3283">
        <v>84.64</v>
      </c>
      <c r="K3283">
        <v>84.64</v>
      </c>
      <c r="L3283">
        <v>0</v>
      </c>
      <c r="M3283" s="1" t="s">
        <v>21</v>
      </c>
      <c r="N3283" s="1" t="s">
        <v>22</v>
      </c>
      <c r="O3283" s="2">
        <v>45950</v>
      </c>
      <c r="P3283" s="2">
        <v>45950</v>
      </c>
      <c r="Q3283">
        <f>_xlfn.XLOOKUP(E3283,CPT!$A$2:$A$13,CPT!$D$2:$D$13)</f>
        <v>240</v>
      </c>
      <c r="R3283" s="1">
        <f>_xlfn.XLOOKUP(C3283,Contract!$A$2:$A$9,Contract!$B$2:$B$9)</f>
        <v>0.38</v>
      </c>
      <c r="S3283" s="1">
        <f t="shared" si="204"/>
        <v>91.2</v>
      </c>
      <c r="T3283" s="1">
        <f t="shared" si="205"/>
        <v>6.5600000000000023</v>
      </c>
      <c r="U3283" s="1" t="str">
        <f t="shared" si="206"/>
        <v>Underpaid</v>
      </c>
      <c r="V3283" s="1" t="str">
        <f>_xlfn.XLOOKUP(C3283,Payers!$A$2:$A$9,Payers!$B$2:$B$9)</f>
        <v>Sunshine Medicare Advantage</v>
      </c>
      <c r="W3283" s="1" t="str">
        <f t="shared" si="207"/>
        <v>2025-10</v>
      </c>
    </row>
    <row r="3284" spans="1:23">
      <c r="A3284" s="1" t="s">
        <v>5446</v>
      </c>
      <c r="B3284" s="1" t="s">
        <v>4593</v>
      </c>
      <c r="C3284" s="1" t="s">
        <v>47</v>
      </c>
      <c r="D3284" s="1" t="s">
        <v>19</v>
      </c>
      <c r="E3284" s="1" t="s">
        <v>20</v>
      </c>
      <c r="F3284">
        <v>1</v>
      </c>
      <c r="G3284" s="2">
        <v>46115</v>
      </c>
      <c r="H3284" s="2">
        <v>46117</v>
      </c>
      <c r="I3284">
        <v>143.04</v>
      </c>
      <c r="M3284" s="1" t="s">
        <v>32</v>
      </c>
      <c r="N3284" s="1" t="s">
        <v>98</v>
      </c>
      <c r="O3284" s="2">
        <v>46156</v>
      </c>
      <c r="P3284" s="2"/>
      <c r="Q3284">
        <f>_xlfn.XLOOKUP(E3284,CPT!$A$2:$A$13,CPT!$D$2:$D$13)</f>
        <v>145</v>
      </c>
      <c r="R3284" s="1">
        <f>_xlfn.XLOOKUP(C3284,Contract!$A$2:$A$9,Contract!$B$2:$B$9)</f>
        <v>0.28000000000000003</v>
      </c>
      <c r="S3284" s="1">
        <f t="shared" si="204"/>
        <v>40.6</v>
      </c>
      <c r="T3284" s="1" t="str">
        <f t="shared" si="205"/>
        <v/>
      </c>
      <c r="U3284" s="1" t="str">
        <f t="shared" si="206"/>
        <v/>
      </c>
      <c r="V3284" s="1" t="str">
        <f>_xlfn.XLOOKUP(C3284,Payers!$A$2:$A$9,Payers!$B$2:$B$9)</f>
        <v>Coastal Medicaid MCO</v>
      </c>
      <c r="W3284" s="1" t="str">
        <f t="shared" si="207"/>
        <v>2026-04</v>
      </c>
    </row>
    <row r="3285" spans="1:23">
      <c r="A3285" s="1" t="s">
        <v>5447</v>
      </c>
      <c r="B3285" s="1" t="s">
        <v>5375</v>
      </c>
      <c r="C3285" s="1" t="s">
        <v>60</v>
      </c>
      <c r="D3285" s="1" t="s">
        <v>19</v>
      </c>
      <c r="E3285" s="1" t="s">
        <v>57</v>
      </c>
      <c r="F3285">
        <v>1</v>
      </c>
      <c r="G3285" s="2">
        <v>46012</v>
      </c>
      <c r="H3285" s="2">
        <v>46015</v>
      </c>
      <c r="I3285">
        <v>210.06</v>
      </c>
      <c r="J3285">
        <v>99.46</v>
      </c>
      <c r="K3285">
        <v>99.46</v>
      </c>
      <c r="L3285">
        <v>0</v>
      </c>
      <c r="M3285" s="1" t="s">
        <v>21</v>
      </c>
      <c r="N3285" s="1" t="s">
        <v>22</v>
      </c>
      <c r="O3285" s="2">
        <v>46040</v>
      </c>
      <c r="P3285" s="2">
        <v>46040</v>
      </c>
      <c r="Q3285">
        <f>_xlfn.XLOOKUP(E3285,CPT!$A$2:$A$13,CPT!$D$2:$D$13)</f>
        <v>210</v>
      </c>
      <c r="R3285" s="1">
        <f>_xlfn.XLOOKUP(C3285,Contract!$A$2:$A$9,Contract!$B$2:$B$9)</f>
        <v>0.45</v>
      </c>
      <c r="S3285" s="1">
        <f t="shared" si="204"/>
        <v>94.5</v>
      </c>
      <c r="T3285" s="1">
        <f t="shared" si="205"/>
        <v>-4.9599999999999937</v>
      </c>
      <c r="U3285" s="1" t="str">
        <f t="shared" si="206"/>
        <v>OK</v>
      </c>
      <c r="V3285" s="1" t="str">
        <f>_xlfn.XLOOKUP(C3285,Payers!$A$2:$A$9,Payers!$B$2:$B$9)</f>
        <v>Blue Horizon Commercial</v>
      </c>
      <c r="W3285" s="1" t="str">
        <f t="shared" si="207"/>
        <v>2025-12</v>
      </c>
    </row>
    <row r="3286" spans="1:23">
      <c r="A3286" s="1" t="s">
        <v>5448</v>
      </c>
      <c r="B3286" s="1" t="s">
        <v>5449</v>
      </c>
      <c r="C3286" s="1" t="s">
        <v>36</v>
      </c>
      <c r="D3286" s="1" t="s">
        <v>30</v>
      </c>
      <c r="E3286" s="1" t="s">
        <v>20</v>
      </c>
      <c r="F3286">
        <v>1</v>
      </c>
      <c r="G3286" s="2">
        <v>46210</v>
      </c>
      <c r="H3286" s="2">
        <v>46212</v>
      </c>
      <c r="I3286">
        <v>148.93</v>
      </c>
      <c r="J3286">
        <v>40.26</v>
      </c>
      <c r="K3286">
        <v>40.26</v>
      </c>
      <c r="L3286">
        <v>0</v>
      </c>
      <c r="M3286" s="1" t="s">
        <v>21</v>
      </c>
      <c r="N3286" s="1" t="s">
        <v>22</v>
      </c>
      <c r="O3286" s="2">
        <v>46248</v>
      </c>
      <c r="P3286" s="2">
        <v>46248</v>
      </c>
      <c r="Q3286">
        <f>_xlfn.XLOOKUP(E3286,CPT!$A$2:$A$13,CPT!$D$2:$D$13)</f>
        <v>145</v>
      </c>
      <c r="R3286" s="1">
        <f>_xlfn.XLOOKUP(C3286,Contract!$A$2:$A$9,Contract!$B$2:$B$9)</f>
        <v>0.27</v>
      </c>
      <c r="S3286" s="1">
        <f t="shared" si="204"/>
        <v>39.15</v>
      </c>
      <c r="T3286" s="1">
        <f t="shared" si="205"/>
        <v>-1.1099999999999994</v>
      </c>
      <c r="U3286" s="1" t="str">
        <f t="shared" si="206"/>
        <v>OK</v>
      </c>
      <c r="V3286" s="1" t="str">
        <f>_xlfn.XLOOKUP(C3286,Payers!$A$2:$A$9,Payers!$B$2:$B$9)</f>
        <v>Florida Medicaid</v>
      </c>
      <c r="W3286" s="1" t="str">
        <f t="shared" si="207"/>
        <v>2026-07</v>
      </c>
    </row>
    <row r="3287" spans="1:23">
      <c r="A3287" s="1" t="s">
        <v>5450</v>
      </c>
      <c r="B3287" s="1" t="s">
        <v>1784</v>
      </c>
      <c r="C3287" s="1" t="s">
        <v>36</v>
      </c>
      <c r="D3287" s="1" t="s">
        <v>26</v>
      </c>
      <c r="E3287" s="1" t="s">
        <v>41</v>
      </c>
      <c r="F3287">
        <v>1</v>
      </c>
      <c r="G3287" s="2">
        <v>45961</v>
      </c>
      <c r="H3287" s="2">
        <v>45962</v>
      </c>
      <c r="I3287">
        <v>38.06</v>
      </c>
      <c r="J3287">
        <v>11.58</v>
      </c>
      <c r="K3287">
        <v>10.42</v>
      </c>
      <c r="L3287">
        <v>1.1599999999999999</v>
      </c>
      <c r="M3287" s="1" t="s">
        <v>21</v>
      </c>
      <c r="N3287" s="1" t="s">
        <v>22</v>
      </c>
      <c r="O3287" s="2">
        <v>45984</v>
      </c>
      <c r="P3287" s="2">
        <v>45984</v>
      </c>
      <c r="Q3287">
        <f>_xlfn.XLOOKUP(E3287,CPT!$A$2:$A$13,CPT!$D$2:$D$13)</f>
        <v>38</v>
      </c>
      <c r="R3287" s="1">
        <f>_xlfn.XLOOKUP(C3287,Contract!$A$2:$A$9,Contract!$B$2:$B$9)</f>
        <v>0.27</v>
      </c>
      <c r="S3287" s="1">
        <f t="shared" si="204"/>
        <v>10.26</v>
      </c>
      <c r="T3287" s="1">
        <f t="shared" si="205"/>
        <v>-1.3200000000000003</v>
      </c>
      <c r="U3287" s="1" t="str">
        <f t="shared" si="206"/>
        <v>OK</v>
      </c>
      <c r="V3287" s="1" t="str">
        <f>_xlfn.XLOOKUP(C3287,Payers!$A$2:$A$9,Payers!$B$2:$B$9)</f>
        <v>Florida Medicaid</v>
      </c>
      <c r="W3287" s="1" t="str">
        <f t="shared" si="207"/>
        <v>2025-10</v>
      </c>
    </row>
    <row r="3288" spans="1:23">
      <c r="A3288" s="1" t="s">
        <v>5451</v>
      </c>
      <c r="B3288" s="1" t="s">
        <v>3666</v>
      </c>
      <c r="C3288" s="1" t="s">
        <v>60</v>
      </c>
      <c r="D3288" s="1" t="s">
        <v>26</v>
      </c>
      <c r="E3288" s="1" t="s">
        <v>41</v>
      </c>
      <c r="F3288">
        <v>1</v>
      </c>
      <c r="G3288" s="2">
        <v>46155</v>
      </c>
      <c r="H3288" s="2">
        <v>46160</v>
      </c>
      <c r="I3288">
        <v>37.74</v>
      </c>
      <c r="J3288">
        <v>18.95</v>
      </c>
      <c r="K3288">
        <v>18.95</v>
      </c>
      <c r="L3288">
        <v>0</v>
      </c>
      <c r="M3288" s="1" t="s">
        <v>21</v>
      </c>
      <c r="N3288" s="1" t="s">
        <v>22</v>
      </c>
      <c r="O3288" s="2">
        <v>46182</v>
      </c>
      <c r="P3288" s="2">
        <v>46182</v>
      </c>
      <c r="Q3288">
        <f>_xlfn.XLOOKUP(E3288,CPT!$A$2:$A$13,CPT!$D$2:$D$13)</f>
        <v>38</v>
      </c>
      <c r="R3288" s="1">
        <f>_xlfn.XLOOKUP(C3288,Contract!$A$2:$A$9,Contract!$B$2:$B$9)</f>
        <v>0.45</v>
      </c>
      <c r="S3288" s="1">
        <f t="shared" si="204"/>
        <v>17.100000000000001</v>
      </c>
      <c r="T3288" s="1">
        <f t="shared" si="205"/>
        <v>-1.8499999999999979</v>
      </c>
      <c r="U3288" s="1" t="str">
        <f t="shared" si="206"/>
        <v>OK</v>
      </c>
      <c r="V3288" s="1" t="str">
        <f>_xlfn.XLOOKUP(C3288,Payers!$A$2:$A$9,Payers!$B$2:$B$9)</f>
        <v>Blue Horizon Commercial</v>
      </c>
      <c r="W3288" s="1" t="str">
        <f t="shared" si="207"/>
        <v>2026-05</v>
      </c>
    </row>
    <row r="3289" spans="1:23">
      <c r="A3289" s="1" t="s">
        <v>5452</v>
      </c>
      <c r="B3289" s="1" t="s">
        <v>2985</v>
      </c>
      <c r="C3289" s="1" t="s">
        <v>60</v>
      </c>
      <c r="D3289" s="1" t="s">
        <v>19</v>
      </c>
      <c r="E3289" s="1" t="s">
        <v>41</v>
      </c>
      <c r="F3289">
        <v>1</v>
      </c>
      <c r="G3289" s="2">
        <v>46237</v>
      </c>
      <c r="H3289" s="2">
        <v>46242</v>
      </c>
      <c r="I3289">
        <v>38.659999999999997</v>
      </c>
      <c r="J3289">
        <v>19.739999999999998</v>
      </c>
      <c r="K3289">
        <v>19.739999999999998</v>
      </c>
      <c r="L3289">
        <v>0</v>
      </c>
      <c r="M3289" s="1" t="s">
        <v>21</v>
      </c>
      <c r="N3289" s="1" t="s">
        <v>22</v>
      </c>
      <c r="O3289" s="2">
        <v>46268</v>
      </c>
      <c r="P3289" s="2">
        <v>46268</v>
      </c>
      <c r="Q3289">
        <f>_xlfn.XLOOKUP(E3289,CPT!$A$2:$A$13,CPT!$D$2:$D$13)</f>
        <v>38</v>
      </c>
      <c r="R3289" s="1">
        <f>_xlfn.XLOOKUP(C3289,Contract!$A$2:$A$9,Contract!$B$2:$B$9)</f>
        <v>0.45</v>
      </c>
      <c r="S3289" s="1">
        <f t="shared" si="204"/>
        <v>17.100000000000001</v>
      </c>
      <c r="T3289" s="1">
        <f t="shared" si="205"/>
        <v>-2.639999999999997</v>
      </c>
      <c r="U3289" s="1" t="str">
        <f t="shared" si="206"/>
        <v>OK</v>
      </c>
      <c r="V3289" s="1" t="str">
        <f>_xlfn.XLOOKUP(C3289,Payers!$A$2:$A$9,Payers!$B$2:$B$9)</f>
        <v>Blue Horizon Commercial</v>
      </c>
      <c r="W3289" s="1" t="str">
        <f t="shared" si="207"/>
        <v>2026-08</v>
      </c>
    </row>
    <row r="3290" spans="1:23">
      <c r="A3290" s="1" t="s">
        <v>5453</v>
      </c>
      <c r="B3290" s="1" t="s">
        <v>5454</v>
      </c>
      <c r="C3290" s="1" t="s">
        <v>60</v>
      </c>
      <c r="D3290" s="1" t="s">
        <v>26</v>
      </c>
      <c r="E3290" s="1" t="s">
        <v>113</v>
      </c>
      <c r="F3290">
        <v>1</v>
      </c>
      <c r="G3290" s="2">
        <v>45939</v>
      </c>
      <c r="H3290" s="2">
        <v>45941</v>
      </c>
      <c r="I3290">
        <v>1072.17</v>
      </c>
      <c r="M3290" s="1" t="s">
        <v>32</v>
      </c>
      <c r="N3290" s="1" t="s">
        <v>49</v>
      </c>
      <c r="O3290" s="2">
        <v>45973</v>
      </c>
      <c r="P3290" s="2"/>
      <c r="Q3290">
        <f>_xlfn.XLOOKUP(E3290,CPT!$A$2:$A$13,CPT!$D$2:$D$13)</f>
        <v>1050</v>
      </c>
      <c r="R3290" s="1">
        <f>_xlfn.XLOOKUP(C3290,Contract!$A$2:$A$9,Contract!$B$2:$B$9)</f>
        <v>0.45</v>
      </c>
      <c r="S3290" s="1">
        <f t="shared" si="204"/>
        <v>472.5</v>
      </c>
      <c r="T3290" s="1" t="str">
        <f t="shared" si="205"/>
        <v/>
      </c>
      <c r="U3290" s="1" t="str">
        <f t="shared" si="206"/>
        <v/>
      </c>
      <c r="V3290" s="1" t="str">
        <f>_xlfn.XLOOKUP(C3290,Payers!$A$2:$A$9,Payers!$B$2:$B$9)</f>
        <v>Blue Horizon Commercial</v>
      </c>
      <c r="W3290" s="1" t="str">
        <f t="shared" si="207"/>
        <v>2025-10</v>
      </c>
    </row>
    <row r="3291" spans="1:23">
      <c r="A3291" s="1" t="s">
        <v>5455</v>
      </c>
      <c r="B3291" s="1" t="s">
        <v>1063</v>
      </c>
      <c r="C3291" s="1" t="s">
        <v>18</v>
      </c>
      <c r="D3291" s="1" t="s">
        <v>26</v>
      </c>
      <c r="E3291" s="1" t="s">
        <v>41</v>
      </c>
      <c r="F3291">
        <v>1</v>
      </c>
      <c r="G3291" s="2">
        <v>46279</v>
      </c>
      <c r="H3291" s="2">
        <v>46291</v>
      </c>
      <c r="I3291">
        <v>36.94</v>
      </c>
      <c r="M3291" s="1" t="s">
        <v>69</v>
      </c>
      <c r="N3291" s="1" t="s">
        <v>22</v>
      </c>
      <c r="O3291" s="2"/>
      <c r="P3291" s="2"/>
      <c r="Q3291">
        <f>_xlfn.XLOOKUP(E3291,CPT!$A$2:$A$13,CPT!$D$2:$D$13)</f>
        <v>38</v>
      </c>
      <c r="R3291" s="1">
        <f>_xlfn.XLOOKUP(C3291,Contract!$A$2:$A$9,Contract!$B$2:$B$9)</f>
        <v>0.38</v>
      </c>
      <c r="S3291" s="1">
        <f t="shared" si="204"/>
        <v>14.44</v>
      </c>
      <c r="T3291" s="1" t="str">
        <f t="shared" si="205"/>
        <v/>
      </c>
      <c r="U3291" s="1" t="str">
        <f t="shared" si="206"/>
        <v/>
      </c>
      <c r="V3291" s="1" t="str">
        <f>_xlfn.XLOOKUP(C3291,Payers!$A$2:$A$9,Payers!$B$2:$B$9)</f>
        <v>Sunshine Medicare Advantage</v>
      </c>
      <c r="W3291" s="1" t="str">
        <f t="shared" si="207"/>
        <v>2026-09</v>
      </c>
    </row>
    <row r="3292" spans="1:23">
      <c r="A3292" s="1" t="s">
        <v>5456</v>
      </c>
      <c r="B3292" s="1" t="s">
        <v>949</v>
      </c>
      <c r="C3292" s="1" t="s">
        <v>52</v>
      </c>
      <c r="D3292" s="1" t="s">
        <v>26</v>
      </c>
      <c r="E3292" s="1" t="s">
        <v>113</v>
      </c>
      <c r="F3292">
        <v>1</v>
      </c>
      <c r="G3292" s="2">
        <v>46004</v>
      </c>
      <c r="H3292" s="2">
        <v>46006</v>
      </c>
      <c r="I3292">
        <v>1051.52</v>
      </c>
      <c r="J3292">
        <v>430.74</v>
      </c>
      <c r="K3292">
        <v>387.67</v>
      </c>
      <c r="L3292">
        <v>43.07</v>
      </c>
      <c r="M3292" s="1" t="s">
        <v>21</v>
      </c>
      <c r="N3292" s="1" t="s">
        <v>22</v>
      </c>
      <c r="O3292" s="2">
        <v>46051</v>
      </c>
      <c r="P3292" s="2">
        <v>46051</v>
      </c>
      <c r="Q3292">
        <f>_xlfn.XLOOKUP(E3292,CPT!$A$2:$A$13,CPT!$D$2:$D$13)</f>
        <v>1050</v>
      </c>
      <c r="R3292" s="1">
        <f>_xlfn.XLOOKUP(C3292,Contract!$A$2:$A$9,Contract!$B$2:$B$9)</f>
        <v>0.47</v>
      </c>
      <c r="S3292" s="1">
        <f t="shared" si="204"/>
        <v>493.5</v>
      </c>
      <c r="T3292" s="1">
        <f t="shared" si="205"/>
        <v>62.759999999999991</v>
      </c>
      <c r="U3292" s="1" t="str">
        <f t="shared" si="206"/>
        <v>Underpaid</v>
      </c>
      <c r="V3292" s="1" t="str">
        <f>_xlfn.XLOOKUP(C3292,Payers!$A$2:$A$9,Payers!$B$2:$B$9)</f>
        <v>Keystone Commercial PPO</v>
      </c>
      <c r="W3292" s="1" t="str">
        <f t="shared" si="207"/>
        <v>2025-12</v>
      </c>
    </row>
    <row r="3293" spans="1:23">
      <c r="A3293" s="1" t="s">
        <v>5457</v>
      </c>
      <c r="B3293" s="1" t="s">
        <v>5458</v>
      </c>
      <c r="C3293" s="1" t="s">
        <v>60</v>
      </c>
      <c r="D3293" s="1" t="s">
        <v>19</v>
      </c>
      <c r="E3293" s="1" t="s">
        <v>41</v>
      </c>
      <c r="F3293">
        <v>1</v>
      </c>
      <c r="G3293" s="2">
        <v>46225</v>
      </c>
      <c r="H3293" s="2">
        <v>46231</v>
      </c>
      <c r="I3293">
        <v>37.659999999999997</v>
      </c>
      <c r="M3293" s="1" t="s">
        <v>32</v>
      </c>
      <c r="N3293" s="1" t="s">
        <v>33</v>
      </c>
      <c r="O3293" s="2">
        <v>46248</v>
      </c>
      <c r="P3293" s="2"/>
      <c r="Q3293">
        <f>_xlfn.XLOOKUP(E3293,CPT!$A$2:$A$13,CPT!$D$2:$D$13)</f>
        <v>38</v>
      </c>
      <c r="R3293" s="1">
        <f>_xlfn.XLOOKUP(C3293,Contract!$A$2:$A$9,Contract!$B$2:$B$9)</f>
        <v>0.45</v>
      </c>
      <c r="S3293" s="1">
        <f t="shared" si="204"/>
        <v>17.100000000000001</v>
      </c>
      <c r="T3293" s="1" t="str">
        <f t="shared" si="205"/>
        <v/>
      </c>
      <c r="U3293" s="1" t="str">
        <f t="shared" si="206"/>
        <v/>
      </c>
      <c r="V3293" s="1" t="str">
        <f>_xlfn.XLOOKUP(C3293,Payers!$A$2:$A$9,Payers!$B$2:$B$9)</f>
        <v>Blue Horizon Commercial</v>
      </c>
      <c r="W3293" s="1" t="str">
        <f t="shared" si="207"/>
        <v>2026-07</v>
      </c>
    </row>
    <row r="3294" spans="1:23">
      <c r="A3294" s="1" t="s">
        <v>5459</v>
      </c>
      <c r="B3294" s="1" t="s">
        <v>5460</v>
      </c>
      <c r="C3294" s="1" t="s">
        <v>25</v>
      </c>
      <c r="D3294" s="1" t="s">
        <v>37</v>
      </c>
      <c r="E3294" s="1" t="s">
        <v>57</v>
      </c>
      <c r="F3294">
        <v>1</v>
      </c>
      <c r="G3294" s="2">
        <v>45961</v>
      </c>
      <c r="H3294" s="2">
        <v>45963</v>
      </c>
      <c r="I3294">
        <v>206</v>
      </c>
      <c r="M3294" s="1" t="s">
        <v>32</v>
      </c>
      <c r="N3294" s="1" t="s">
        <v>124</v>
      </c>
      <c r="O3294" s="2">
        <v>45984</v>
      </c>
      <c r="P3294" s="2"/>
      <c r="Q3294">
        <f>_xlfn.XLOOKUP(E3294,CPT!$A$2:$A$13,CPT!$D$2:$D$13)</f>
        <v>210</v>
      </c>
      <c r="R3294" s="1">
        <f>_xlfn.XLOOKUP(C3294,Contract!$A$2:$A$9,Contract!$B$2:$B$9)</f>
        <v>0.36</v>
      </c>
      <c r="S3294" s="1">
        <f t="shared" si="204"/>
        <v>75.599999999999994</v>
      </c>
      <c r="T3294" s="1" t="str">
        <f t="shared" si="205"/>
        <v/>
      </c>
      <c r="U3294" s="1" t="str">
        <f t="shared" si="206"/>
        <v/>
      </c>
      <c r="V3294" s="1" t="str">
        <f>_xlfn.XLOOKUP(C3294,Payers!$A$2:$A$9,Payers!$B$2:$B$9)</f>
        <v>Medicare Part B</v>
      </c>
      <c r="W3294" s="1" t="str">
        <f t="shared" si="207"/>
        <v>2025-10</v>
      </c>
    </row>
    <row r="3295" spans="1:23">
      <c r="A3295" s="1" t="s">
        <v>5461</v>
      </c>
      <c r="B3295" s="1" t="s">
        <v>4939</v>
      </c>
      <c r="C3295" s="1" t="s">
        <v>76</v>
      </c>
      <c r="D3295" s="1" t="s">
        <v>30</v>
      </c>
      <c r="E3295" s="1" t="s">
        <v>20</v>
      </c>
      <c r="F3295">
        <v>1</v>
      </c>
      <c r="G3295" s="2">
        <v>45999</v>
      </c>
      <c r="H3295" s="2">
        <v>46001</v>
      </c>
      <c r="I3295">
        <v>148.49</v>
      </c>
      <c r="J3295">
        <v>65.98</v>
      </c>
      <c r="K3295">
        <v>59.38</v>
      </c>
      <c r="L3295">
        <v>6.6</v>
      </c>
      <c r="M3295" s="1" t="s">
        <v>21</v>
      </c>
      <c r="N3295" s="1" t="s">
        <v>22</v>
      </c>
      <c r="O3295" s="2">
        <v>46037</v>
      </c>
      <c r="P3295" s="2">
        <v>46037</v>
      </c>
      <c r="Q3295">
        <f>_xlfn.XLOOKUP(E3295,CPT!$A$2:$A$13,CPT!$D$2:$D$13)</f>
        <v>145</v>
      </c>
      <c r="R3295" s="1">
        <f>_xlfn.XLOOKUP(C3295,Contract!$A$2:$A$9,Contract!$B$2:$B$9)</f>
        <v>0.43</v>
      </c>
      <c r="S3295" s="1">
        <f t="shared" si="204"/>
        <v>62.35</v>
      </c>
      <c r="T3295" s="1">
        <f t="shared" si="205"/>
        <v>-3.6300000000000026</v>
      </c>
      <c r="U3295" s="1" t="str">
        <f t="shared" si="206"/>
        <v>OK</v>
      </c>
      <c r="V3295" s="1" t="str">
        <f>_xlfn.XLOOKUP(C3295,Payers!$A$2:$A$9,Payers!$B$2:$B$9)</f>
        <v>Summit Health Commercial</v>
      </c>
      <c r="W3295" s="1" t="str">
        <f t="shared" si="207"/>
        <v>2025-12</v>
      </c>
    </row>
    <row r="3296" spans="1:23">
      <c r="A3296" s="1" t="s">
        <v>5462</v>
      </c>
      <c r="B3296" s="1" t="s">
        <v>1824</v>
      </c>
      <c r="C3296" s="1" t="s">
        <v>36</v>
      </c>
      <c r="D3296" s="1" t="s">
        <v>30</v>
      </c>
      <c r="E3296" s="1" t="s">
        <v>31</v>
      </c>
      <c r="F3296">
        <v>1</v>
      </c>
      <c r="G3296" s="2">
        <v>46006</v>
      </c>
      <c r="H3296" s="2">
        <v>46007</v>
      </c>
      <c r="I3296">
        <v>61.74</v>
      </c>
      <c r="J3296">
        <v>14.87</v>
      </c>
      <c r="K3296">
        <v>14.87</v>
      </c>
      <c r="L3296">
        <v>0</v>
      </c>
      <c r="M3296" s="1" t="s">
        <v>21</v>
      </c>
      <c r="N3296" s="1" t="s">
        <v>22</v>
      </c>
      <c r="O3296" s="2">
        <v>46050</v>
      </c>
      <c r="P3296" s="2">
        <v>46050</v>
      </c>
      <c r="Q3296">
        <f>_xlfn.XLOOKUP(E3296,CPT!$A$2:$A$13,CPT!$D$2:$D$13)</f>
        <v>62</v>
      </c>
      <c r="R3296" s="1">
        <f>_xlfn.XLOOKUP(C3296,Contract!$A$2:$A$9,Contract!$B$2:$B$9)</f>
        <v>0.27</v>
      </c>
      <c r="S3296" s="1">
        <f t="shared" si="204"/>
        <v>16.739999999999998</v>
      </c>
      <c r="T3296" s="1">
        <f t="shared" si="205"/>
        <v>1.8699999999999992</v>
      </c>
      <c r="U3296" s="1" t="str">
        <f t="shared" si="206"/>
        <v>Underpaid</v>
      </c>
      <c r="V3296" s="1" t="str">
        <f>_xlfn.XLOOKUP(C3296,Payers!$A$2:$A$9,Payers!$B$2:$B$9)</f>
        <v>Florida Medicaid</v>
      </c>
      <c r="W3296" s="1" t="str">
        <f t="shared" si="207"/>
        <v>2025-12</v>
      </c>
    </row>
    <row r="3297" spans="1:23">
      <c r="A3297" s="1" t="s">
        <v>5463</v>
      </c>
      <c r="B3297" s="1" t="s">
        <v>738</v>
      </c>
      <c r="C3297" s="1" t="s">
        <v>36</v>
      </c>
      <c r="D3297" s="1" t="s">
        <v>26</v>
      </c>
      <c r="E3297" s="1" t="s">
        <v>185</v>
      </c>
      <c r="F3297">
        <v>1</v>
      </c>
      <c r="G3297" s="2">
        <v>45938</v>
      </c>
      <c r="H3297" s="2">
        <v>45945</v>
      </c>
      <c r="I3297">
        <v>1147.3</v>
      </c>
      <c r="J3297">
        <v>263.06</v>
      </c>
      <c r="K3297">
        <v>210.45</v>
      </c>
      <c r="L3297">
        <v>52.61</v>
      </c>
      <c r="M3297" s="1" t="s">
        <v>21</v>
      </c>
      <c r="N3297" s="1" t="s">
        <v>22</v>
      </c>
      <c r="O3297" s="2">
        <v>45999</v>
      </c>
      <c r="P3297" s="2">
        <v>45999</v>
      </c>
      <c r="Q3297">
        <f>_xlfn.XLOOKUP(E3297,CPT!$A$2:$A$13,CPT!$D$2:$D$13)</f>
        <v>1150</v>
      </c>
      <c r="R3297" s="1">
        <f>_xlfn.XLOOKUP(C3297,Contract!$A$2:$A$9,Contract!$B$2:$B$9)</f>
        <v>0.27</v>
      </c>
      <c r="S3297" s="1">
        <f t="shared" si="204"/>
        <v>310.5</v>
      </c>
      <c r="T3297" s="1">
        <f t="shared" si="205"/>
        <v>47.44</v>
      </c>
      <c r="U3297" s="1" t="str">
        <f t="shared" si="206"/>
        <v>Underpaid</v>
      </c>
      <c r="V3297" s="1" t="str">
        <f>_xlfn.XLOOKUP(C3297,Payers!$A$2:$A$9,Payers!$B$2:$B$9)</f>
        <v>Florida Medicaid</v>
      </c>
      <c r="W3297" s="1" t="str">
        <f t="shared" si="207"/>
        <v>2025-10</v>
      </c>
    </row>
    <row r="3298" spans="1:23">
      <c r="A3298" s="1" t="s">
        <v>5464</v>
      </c>
      <c r="B3298" s="1" t="s">
        <v>4211</v>
      </c>
      <c r="C3298" s="1" t="s">
        <v>76</v>
      </c>
      <c r="D3298" s="1" t="s">
        <v>26</v>
      </c>
      <c r="E3298" s="1" t="s">
        <v>27</v>
      </c>
      <c r="F3298">
        <v>1</v>
      </c>
      <c r="G3298" s="2">
        <v>46017</v>
      </c>
      <c r="H3298" s="2">
        <v>46022</v>
      </c>
      <c r="I3298">
        <v>236.31</v>
      </c>
      <c r="J3298">
        <v>105.38</v>
      </c>
      <c r="K3298">
        <v>84.3</v>
      </c>
      <c r="L3298">
        <v>21.08</v>
      </c>
      <c r="M3298" s="1" t="s">
        <v>21</v>
      </c>
      <c r="N3298" s="1" t="s">
        <v>22</v>
      </c>
      <c r="O3298" s="2">
        <v>46053</v>
      </c>
      <c r="P3298" s="2">
        <v>46053</v>
      </c>
      <c r="Q3298">
        <f>_xlfn.XLOOKUP(E3298,CPT!$A$2:$A$13,CPT!$D$2:$D$13)</f>
        <v>240</v>
      </c>
      <c r="R3298" s="1">
        <f>_xlfn.XLOOKUP(C3298,Contract!$A$2:$A$9,Contract!$B$2:$B$9)</f>
        <v>0.43</v>
      </c>
      <c r="S3298" s="1">
        <f t="shared" si="204"/>
        <v>103.2</v>
      </c>
      <c r="T3298" s="1">
        <f t="shared" si="205"/>
        <v>-2.1799999999999926</v>
      </c>
      <c r="U3298" s="1" t="str">
        <f t="shared" si="206"/>
        <v>OK</v>
      </c>
      <c r="V3298" s="1" t="str">
        <f>_xlfn.XLOOKUP(C3298,Payers!$A$2:$A$9,Payers!$B$2:$B$9)</f>
        <v>Summit Health Commercial</v>
      </c>
      <c r="W3298" s="1" t="str">
        <f t="shared" si="207"/>
        <v>2025-12</v>
      </c>
    </row>
    <row r="3299" spans="1:23">
      <c r="A3299" s="1" t="s">
        <v>5465</v>
      </c>
      <c r="B3299" s="1" t="s">
        <v>496</v>
      </c>
      <c r="C3299" s="1" t="s">
        <v>76</v>
      </c>
      <c r="D3299" s="1" t="s">
        <v>26</v>
      </c>
      <c r="E3299" s="1" t="s">
        <v>27</v>
      </c>
      <c r="F3299">
        <v>1</v>
      </c>
      <c r="G3299" s="2">
        <v>46044</v>
      </c>
      <c r="H3299" s="2">
        <v>46050</v>
      </c>
      <c r="I3299">
        <v>242.26</v>
      </c>
      <c r="J3299">
        <v>90.05</v>
      </c>
      <c r="K3299">
        <v>72.040000000000006</v>
      </c>
      <c r="L3299">
        <v>18.010000000000002</v>
      </c>
      <c r="M3299" s="1" t="s">
        <v>21</v>
      </c>
      <c r="N3299" s="1" t="s">
        <v>22</v>
      </c>
      <c r="O3299" s="2">
        <v>46063</v>
      </c>
      <c r="P3299" s="2">
        <v>46063</v>
      </c>
      <c r="Q3299">
        <f>_xlfn.XLOOKUP(E3299,CPT!$A$2:$A$13,CPT!$D$2:$D$13)</f>
        <v>240</v>
      </c>
      <c r="R3299" s="1">
        <f>_xlfn.XLOOKUP(C3299,Contract!$A$2:$A$9,Contract!$B$2:$B$9)</f>
        <v>0.43</v>
      </c>
      <c r="S3299" s="1">
        <f t="shared" si="204"/>
        <v>103.2</v>
      </c>
      <c r="T3299" s="1">
        <f t="shared" si="205"/>
        <v>13.150000000000006</v>
      </c>
      <c r="U3299" s="1" t="str">
        <f t="shared" si="206"/>
        <v>Underpaid</v>
      </c>
      <c r="V3299" s="1" t="str">
        <f>_xlfn.XLOOKUP(C3299,Payers!$A$2:$A$9,Payers!$B$2:$B$9)</f>
        <v>Summit Health Commercial</v>
      </c>
      <c r="W3299" s="1" t="str">
        <f t="shared" si="207"/>
        <v>2026-01</v>
      </c>
    </row>
    <row r="3300" spans="1:23">
      <c r="A3300" s="1" t="s">
        <v>5466</v>
      </c>
      <c r="B3300" s="1" t="s">
        <v>2758</v>
      </c>
      <c r="C3300" s="1" t="s">
        <v>76</v>
      </c>
      <c r="D3300" s="1" t="s">
        <v>37</v>
      </c>
      <c r="E3300" s="1" t="s">
        <v>48</v>
      </c>
      <c r="F3300">
        <v>1</v>
      </c>
      <c r="G3300" s="2">
        <v>45964</v>
      </c>
      <c r="H3300" s="2">
        <v>45975</v>
      </c>
      <c r="I3300">
        <v>411.7</v>
      </c>
      <c r="J3300">
        <v>186.68</v>
      </c>
      <c r="K3300">
        <v>186.68</v>
      </c>
      <c r="L3300">
        <v>0</v>
      </c>
      <c r="M3300" s="1" t="s">
        <v>21</v>
      </c>
      <c r="N3300" s="1" t="s">
        <v>22</v>
      </c>
      <c r="O3300" s="2">
        <v>46002</v>
      </c>
      <c r="P3300" s="2">
        <v>46002</v>
      </c>
      <c r="Q3300">
        <f>_xlfn.XLOOKUP(E3300,CPT!$A$2:$A$13,CPT!$D$2:$D$13)</f>
        <v>420</v>
      </c>
      <c r="R3300" s="1">
        <f>_xlfn.XLOOKUP(C3300,Contract!$A$2:$A$9,Contract!$B$2:$B$9)</f>
        <v>0.43</v>
      </c>
      <c r="S3300" s="1">
        <f t="shared" si="204"/>
        <v>180.6</v>
      </c>
      <c r="T3300" s="1">
        <f t="shared" si="205"/>
        <v>-6.0800000000000125</v>
      </c>
      <c r="U3300" s="1" t="str">
        <f t="shared" si="206"/>
        <v>OK</v>
      </c>
      <c r="V3300" s="1" t="str">
        <f>_xlfn.XLOOKUP(C3300,Payers!$A$2:$A$9,Payers!$B$2:$B$9)</f>
        <v>Summit Health Commercial</v>
      </c>
      <c r="W3300" s="1" t="str">
        <f t="shared" si="207"/>
        <v>2025-11</v>
      </c>
    </row>
    <row r="3301" spans="1:23">
      <c r="A3301" s="1" t="s">
        <v>5467</v>
      </c>
      <c r="B3301" s="1" t="s">
        <v>2249</v>
      </c>
      <c r="C3301" s="1" t="s">
        <v>60</v>
      </c>
      <c r="D3301" s="1" t="s">
        <v>26</v>
      </c>
      <c r="E3301" s="1" t="s">
        <v>44</v>
      </c>
      <c r="F3301">
        <v>1</v>
      </c>
      <c r="G3301" s="2">
        <v>46274</v>
      </c>
      <c r="H3301" s="2">
        <v>46275</v>
      </c>
      <c r="I3301">
        <v>4915.33</v>
      </c>
      <c r="M3301" s="1" t="s">
        <v>69</v>
      </c>
      <c r="N3301" s="1" t="s">
        <v>22</v>
      </c>
      <c r="O3301" s="2"/>
      <c r="P3301" s="2"/>
      <c r="Q3301">
        <f>_xlfn.XLOOKUP(E3301,CPT!$A$2:$A$13,CPT!$D$2:$D$13)</f>
        <v>4800</v>
      </c>
      <c r="R3301" s="1">
        <f>_xlfn.XLOOKUP(C3301,Contract!$A$2:$A$9,Contract!$B$2:$B$9)</f>
        <v>0.45</v>
      </c>
      <c r="S3301" s="1">
        <f t="shared" si="204"/>
        <v>2160</v>
      </c>
      <c r="T3301" s="1" t="str">
        <f t="shared" si="205"/>
        <v/>
      </c>
      <c r="U3301" s="1" t="str">
        <f t="shared" si="206"/>
        <v/>
      </c>
      <c r="V3301" s="1" t="str">
        <f>_xlfn.XLOOKUP(C3301,Payers!$A$2:$A$9,Payers!$B$2:$B$9)</f>
        <v>Blue Horizon Commercial</v>
      </c>
      <c r="W3301" s="1" t="str">
        <f t="shared" si="207"/>
        <v>2026-09</v>
      </c>
    </row>
    <row r="3302" spans="1:23">
      <c r="A3302" s="1" t="s">
        <v>5468</v>
      </c>
      <c r="B3302" s="1" t="s">
        <v>4060</v>
      </c>
      <c r="C3302" s="1" t="s">
        <v>60</v>
      </c>
      <c r="D3302" s="1" t="s">
        <v>19</v>
      </c>
      <c r="E3302" s="1" t="s">
        <v>88</v>
      </c>
      <c r="F3302">
        <v>1</v>
      </c>
      <c r="G3302" s="2">
        <v>46156</v>
      </c>
      <c r="H3302" s="2">
        <v>46160</v>
      </c>
      <c r="I3302">
        <v>265.82</v>
      </c>
      <c r="J3302">
        <v>131.35</v>
      </c>
      <c r="K3302">
        <v>118.22</v>
      </c>
      <c r="L3302">
        <v>13.13</v>
      </c>
      <c r="M3302" s="1" t="s">
        <v>21</v>
      </c>
      <c r="N3302" s="1" t="s">
        <v>22</v>
      </c>
      <c r="O3302" s="2">
        <v>46180</v>
      </c>
      <c r="P3302" s="2">
        <v>46180</v>
      </c>
      <c r="Q3302">
        <f>_xlfn.XLOOKUP(E3302,CPT!$A$2:$A$13,CPT!$D$2:$D$13)</f>
        <v>260</v>
      </c>
      <c r="R3302" s="1">
        <f>_xlfn.XLOOKUP(C3302,Contract!$A$2:$A$9,Contract!$B$2:$B$9)</f>
        <v>0.45</v>
      </c>
      <c r="S3302" s="1">
        <f t="shared" si="204"/>
        <v>117</v>
      </c>
      <c r="T3302" s="1">
        <f t="shared" si="205"/>
        <v>-14.349999999999994</v>
      </c>
      <c r="U3302" s="1" t="str">
        <f t="shared" si="206"/>
        <v>OK</v>
      </c>
      <c r="V3302" s="1" t="str">
        <f>_xlfn.XLOOKUP(C3302,Payers!$A$2:$A$9,Payers!$B$2:$B$9)</f>
        <v>Blue Horizon Commercial</v>
      </c>
      <c r="W3302" s="1" t="str">
        <f t="shared" si="207"/>
        <v>2026-05</v>
      </c>
    </row>
    <row r="3303" spans="1:23">
      <c r="A3303" s="1" t="s">
        <v>5469</v>
      </c>
      <c r="B3303" s="1" t="s">
        <v>5470</v>
      </c>
      <c r="C3303" s="1" t="s">
        <v>52</v>
      </c>
      <c r="D3303" s="1" t="s">
        <v>30</v>
      </c>
      <c r="E3303" s="1" t="s">
        <v>31</v>
      </c>
      <c r="F3303">
        <v>4</v>
      </c>
      <c r="G3303" s="2">
        <v>46047</v>
      </c>
      <c r="H3303" s="2">
        <v>46053</v>
      </c>
      <c r="I3303">
        <v>242.58</v>
      </c>
      <c r="J3303">
        <v>118.21</v>
      </c>
      <c r="K3303">
        <v>118.21</v>
      </c>
      <c r="L3303">
        <v>0</v>
      </c>
      <c r="M3303" s="1" t="s">
        <v>21</v>
      </c>
      <c r="N3303" s="1" t="s">
        <v>22</v>
      </c>
      <c r="O3303" s="2">
        <v>46105</v>
      </c>
      <c r="P3303" s="2">
        <v>46105</v>
      </c>
      <c r="Q3303">
        <f>_xlfn.XLOOKUP(E3303,CPT!$A$2:$A$13,CPT!$D$2:$D$13)</f>
        <v>62</v>
      </c>
      <c r="R3303" s="1">
        <f>_xlfn.XLOOKUP(C3303,Contract!$A$2:$A$9,Contract!$B$2:$B$9)</f>
        <v>0.47</v>
      </c>
      <c r="S3303" s="1">
        <f t="shared" si="204"/>
        <v>116.56</v>
      </c>
      <c r="T3303" s="1">
        <f t="shared" si="205"/>
        <v>-1.6499999999999915</v>
      </c>
      <c r="U3303" s="1" t="str">
        <f t="shared" si="206"/>
        <v>OK</v>
      </c>
      <c r="V3303" s="1" t="str">
        <f>_xlfn.XLOOKUP(C3303,Payers!$A$2:$A$9,Payers!$B$2:$B$9)</f>
        <v>Keystone Commercial PPO</v>
      </c>
      <c r="W3303" s="1" t="str">
        <f t="shared" si="207"/>
        <v>2026-01</v>
      </c>
    </row>
    <row r="3304" spans="1:23">
      <c r="A3304" s="1" t="s">
        <v>5471</v>
      </c>
      <c r="B3304" s="1" t="s">
        <v>1324</v>
      </c>
      <c r="C3304" s="1" t="s">
        <v>18</v>
      </c>
      <c r="D3304" s="1" t="s">
        <v>26</v>
      </c>
      <c r="E3304" s="1" t="s">
        <v>41</v>
      </c>
      <c r="F3304">
        <v>1</v>
      </c>
      <c r="G3304" s="2">
        <v>46118</v>
      </c>
      <c r="H3304" s="2">
        <v>46124</v>
      </c>
      <c r="I3304">
        <v>36.96</v>
      </c>
      <c r="J3304">
        <v>14.58</v>
      </c>
      <c r="K3304">
        <v>14.58</v>
      </c>
      <c r="L3304">
        <v>0</v>
      </c>
      <c r="M3304" s="1" t="s">
        <v>21</v>
      </c>
      <c r="N3304" s="1" t="s">
        <v>22</v>
      </c>
      <c r="O3304" s="2">
        <v>46186</v>
      </c>
      <c r="P3304" s="2">
        <v>46186</v>
      </c>
      <c r="Q3304">
        <f>_xlfn.XLOOKUP(E3304,CPT!$A$2:$A$13,CPT!$D$2:$D$13)</f>
        <v>38</v>
      </c>
      <c r="R3304" s="1">
        <f>_xlfn.XLOOKUP(C3304,Contract!$A$2:$A$9,Contract!$B$2:$B$9)</f>
        <v>0.38</v>
      </c>
      <c r="S3304" s="1">
        <f t="shared" si="204"/>
        <v>14.44</v>
      </c>
      <c r="T3304" s="1">
        <f t="shared" si="205"/>
        <v>-0.14000000000000057</v>
      </c>
      <c r="U3304" s="1" t="str">
        <f t="shared" si="206"/>
        <v>OK</v>
      </c>
      <c r="V3304" s="1" t="str">
        <f>_xlfn.XLOOKUP(C3304,Payers!$A$2:$A$9,Payers!$B$2:$B$9)</f>
        <v>Sunshine Medicare Advantage</v>
      </c>
      <c r="W3304" s="1" t="str">
        <f t="shared" si="207"/>
        <v>2026-04</v>
      </c>
    </row>
    <row r="3305" spans="1:23">
      <c r="A3305" s="1" t="s">
        <v>5472</v>
      </c>
      <c r="B3305" s="1" t="s">
        <v>5473</v>
      </c>
      <c r="C3305" s="1" t="s">
        <v>76</v>
      </c>
      <c r="D3305" s="1" t="s">
        <v>26</v>
      </c>
      <c r="E3305" s="1" t="s">
        <v>185</v>
      </c>
      <c r="F3305">
        <v>1</v>
      </c>
      <c r="G3305" s="2">
        <v>46278</v>
      </c>
      <c r="H3305" s="2">
        <v>46281</v>
      </c>
      <c r="I3305">
        <v>1173.45</v>
      </c>
      <c r="M3305" s="1" t="s">
        <v>69</v>
      </c>
      <c r="N3305" s="1" t="s">
        <v>22</v>
      </c>
      <c r="O3305" s="2"/>
      <c r="P3305" s="2"/>
      <c r="Q3305">
        <f>_xlfn.XLOOKUP(E3305,CPT!$A$2:$A$13,CPT!$D$2:$D$13)</f>
        <v>1150</v>
      </c>
      <c r="R3305" s="1">
        <f>_xlfn.XLOOKUP(C3305,Contract!$A$2:$A$9,Contract!$B$2:$B$9)</f>
        <v>0.43</v>
      </c>
      <c r="S3305" s="1">
        <f t="shared" si="204"/>
        <v>494.5</v>
      </c>
      <c r="T3305" s="1" t="str">
        <f t="shared" si="205"/>
        <v/>
      </c>
      <c r="U3305" s="1" t="str">
        <f t="shared" si="206"/>
        <v/>
      </c>
      <c r="V3305" s="1" t="str">
        <f>_xlfn.XLOOKUP(C3305,Payers!$A$2:$A$9,Payers!$B$2:$B$9)</f>
        <v>Summit Health Commercial</v>
      </c>
      <c r="W3305" s="1" t="str">
        <f t="shared" si="207"/>
        <v>2026-09</v>
      </c>
    </row>
    <row r="3306" spans="1:23">
      <c r="A3306" s="1" t="s">
        <v>5474</v>
      </c>
      <c r="B3306" s="1" t="s">
        <v>2520</v>
      </c>
      <c r="C3306" s="1" t="s">
        <v>60</v>
      </c>
      <c r="D3306" s="1" t="s">
        <v>19</v>
      </c>
      <c r="E3306" s="1" t="s">
        <v>88</v>
      </c>
      <c r="F3306">
        <v>1</v>
      </c>
      <c r="G3306" s="2">
        <v>46218</v>
      </c>
      <c r="H3306" s="2">
        <v>46224</v>
      </c>
      <c r="I3306">
        <v>264.02</v>
      </c>
      <c r="M3306" s="1" t="s">
        <v>32</v>
      </c>
      <c r="N3306" s="1" t="s">
        <v>33</v>
      </c>
      <c r="O3306" s="2">
        <v>46246</v>
      </c>
      <c r="P3306" s="2"/>
      <c r="Q3306">
        <f>_xlfn.XLOOKUP(E3306,CPT!$A$2:$A$13,CPT!$D$2:$D$13)</f>
        <v>260</v>
      </c>
      <c r="R3306" s="1">
        <f>_xlfn.XLOOKUP(C3306,Contract!$A$2:$A$9,Contract!$B$2:$B$9)</f>
        <v>0.45</v>
      </c>
      <c r="S3306" s="1">
        <f t="shared" si="204"/>
        <v>117</v>
      </c>
      <c r="T3306" s="1" t="str">
        <f t="shared" si="205"/>
        <v/>
      </c>
      <c r="U3306" s="1" t="str">
        <f t="shared" si="206"/>
        <v/>
      </c>
      <c r="V3306" s="1" t="str">
        <f>_xlfn.XLOOKUP(C3306,Payers!$A$2:$A$9,Payers!$B$2:$B$9)</f>
        <v>Blue Horizon Commercial</v>
      </c>
      <c r="W3306" s="1" t="str">
        <f t="shared" si="207"/>
        <v>2026-07</v>
      </c>
    </row>
    <row r="3307" spans="1:23">
      <c r="A3307" s="1" t="s">
        <v>5475</v>
      </c>
      <c r="B3307" s="1" t="s">
        <v>1258</v>
      </c>
      <c r="C3307" s="1" t="s">
        <v>25</v>
      </c>
      <c r="D3307" s="1" t="s">
        <v>30</v>
      </c>
      <c r="E3307" s="1" t="s">
        <v>20</v>
      </c>
      <c r="F3307">
        <v>1</v>
      </c>
      <c r="G3307" s="2">
        <v>46194</v>
      </c>
      <c r="H3307" s="2">
        <v>46195</v>
      </c>
      <c r="I3307">
        <v>143.43</v>
      </c>
      <c r="J3307">
        <v>47.98</v>
      </c>
      <c r="K3307">
        <v>38.380000000000003</v>
      </c>
      <c r="L3307">
        <v>9.6</v>
      </c>
      <c r="M3307" s="1" t="s">
        <v>21</v>
      </c>
      <c r="N3307" s="1" t="s">
        <v>22</v>
      </c>
      <c r="O3307" s="2">
        <v>46215</v>
      </c>
      <c r="P3307" s="2">
        <v>46215</v>
      </c>
      <c r="Q3307">
        <f>_xlfn.XLOOKUP(E3307,CPT!$A$2:$A$13,CPT!$D$2:$D$13)</f>
        <v>145</v>
      </c>
      <c r="R3307" s="1">
        <f>_xlfn.XLOOKUP(C3307,Contract!$A$2:$A$9,Contract!$B$2:$B$9)</f>
        <v>0.36</v>
      </c>
      <c r="S3307" s="1">
        <f t="shared" si="204"/>
        <v>52.2</v>
      </c>
      <c r="T3307" s="1">
        <f t="shared" si="205"/>
        <v>4.220000000000006</v>
      </c>
      <c r="U3307" s="1" t="str">
        <f t="shared" si="206"/>
        <v>Underpaid</v>
      </c>
      <c r="V3307" s="1" t="str">
        <f>_xlfn.XLOOKUP(C3307,Payers!$A$2:$A$9,Payers!$B$2:$B$9)</f>
        <v>Medicare Part B</v>
      </c>
      <c r="W3307" s="1" t="str">
        <f t="shared" si="207"/>
        <v>2026-06</v>
      </c>
    </row>
    <row r="3308" spans="1:23">
      <c r="A3308" s="1" t="s">
        <v>5476</v>
      </c>
      <c r="B3308" s="1" t="s">
        <v>5477</v>
      </c>
      <c r="C3308" s="1" t="s">
        <v>60</v>
      </c>
      <c r="D3308" s="1" t="s">
        <v>26</v>
      </c>
      <c r="E3308" s="1" t="s">
        <v>27</v>
      </c>
      <c r="F3308">
        <v>1</v>
      </c>
      <c r="G3308" s="2">
        <v>46092</v>
      </c>
      <c r="H3308" s="2">
        <v>46093</v>
      </c>
      <c r="I3308">
        <v>234.5</v>
      </c>
      <c r="J3308">
        <v>105.14</v>
      </c>
      <c r="K3308">
        <v>84.11</v>
      </c>
      <c r="L3308">
        <v>21.03</v>
      </c>
      <c r="M3308" s="1" t="s">
        <v>21</v>
      </c>
      <c r="N3308" s="1" t="s">
        <v>22</v>
      </c>
      <c r="O3308" s="2">
        <v>46130</v>
      </c>
      <c r="P3308" s="2">
        <v>46130</v>
      </c>
      <c r="Q3308">
        <f>_xlfn.XLOOKUP(E3308,CPT!$A$2:$A$13,CPT!$D$2:$D$13)</f>
        <v>240</v>
      </c>
      <c r="R3308" s="1">
        <f>_xlfn.XLOOKUP(C3308,Contract!$A$2:$A$9,Contract!$B$2:$B$9)</f>
        <v>0.45</v>
      </c>
      <c r="S3308" s="1">
        <f t="shared" si="204"/>
        <v>108</v>
      </c>
      <c r="T3308" s="1">
        <f t="shared" si="205"/>
        <v>2.8599999999999994</v>
      </c>
      <c r="U3308" s="1" t="str">
        <f t="shared" si="206"/>
        <v>OK</v>
      </c>
      <c r="V3308" s="1" t="str">
        <f>_xlfn.XLOOKUP(C3308,Payers!$A$2:$A$9,Payers!$B$2:$B$9)</f>
        <v>Blue Horizon Commercial</v>
      </c>
      <c r="W3308" s="1" t="str">
        <f t="shared" si="207"/>
        <v>2026-03</v>
      </c>
    </row>
    <row r="3309" spans="1:23">
      <c r="A3309" s="1" t="s">
        <v>5478</v>
      </c>
      <c r="B3309" s="1" t="s">
        <v>5479</v>
      </c>
      <c r="C3309" s="1" t="s">
        <v>25</v>
      </c>
      <c r="D3309" s="1" t="s">
        <v>26</v>
      </c>
      <c r="E3309" s="1" t="s">
        <v>113</v>
      </c>
      <c r="F3309">
        <v>1</v>
      </c>
      <c r="G3309" s="2">
        <v>46049</v>
      </c>
      <c r="H3309" s="2">
        <v>46054</v>
      </c>
      <c r="I3309">
        <v>1054.28</v>
      </c>
      <c r="J3309">
        <v>377.7</v>
      </c>
      <c r="K3309">
        <v>339.93</v>
      </c>
      <c r="L3309">
        <v>37.770000000000003</v>
      </c>
      <c r="M3309" s="1" t="s">
        <v>21</v>
      </c>
      <c r="N3309" s="1" t="s">
        <v>22</v>
      </c>
      <c r="O3309" s="2">
        <v>46076</v>
      </c>
      <c r="P3309" s="2">
        <v>46076</v>
      </c>
      <c r="Q3309">
        <f>_xlfn.XLOOKUP(E3309,CPT!$A$2:$A$13,CPT!$D$2:$D$13)</f>
        <v>1050</v>
      </c>
      <c r="R3309" s="1">
        <f>_xlfn.XLOOKUP(C3309,Contract!$A$2:$A$9,Contract!$B$2:$B$9)</f>
        <v>0.36</v>
      </c>
      <c r="S3309" s="1">
        <f t="shared" si="204"/>
        <v>378</v>
      </c>
      <c r="T3309" s="1">
        <f t="shared" si="205"/>
        <v>0.30000000000001137</v>
      </c>
      <c r="U3309" s="1" t="str">
        <f t="shared" si="206"/>
        <v>OK</v>
      </c>
      <c r="V3309" s="1" t="str">
        <f>_xlfn.XLOOKUP(C3309,Payers!$A$2:$A$9,Payers!$B$2:$B$9)</f>
        <v>Medicare Part B</v>
      </c>
      <c r="W3309" s="1" t="str">
        <f t="shared" si="207"/>
        <v>2026-01</v>
      </c>
    </row>
    <row r="3310" spans="1:23">
      <c r="A3310" s="1" t="s">
        <v>5480</v>
      </c>
      <c r="B3310" s="1" t="s">
        <v>5481</v>
      </c>
      <c r="C3310" s="1" t="s">
        <v>60</v>
      </c>
      <c r="D3310" s="1" t="s">
        <v>37</v>
      </c>
      <c r="E3310" s="1" t="s">
        <v>38</v>
      </c>
      <c r="F3310">
        <v>20</v>
      </c>
      <c r="G3310" s="2">
        <v>46062</v>
      </c>
      <c r="H3310" s="2">
        <v>46067</v>
      </c>
      <c r="I3310">
        <v>28816.400000000001</v>
      </c>
      <c r="J3310">
        <v>12067.9</v>
      </c>
      <c r="K3310">
        <v>9654.32</v>
      </c>
      <c r="L3310">
        <v>2413.58</v>
      </c>
      <c r="M3310" s="1" t="s">
        <v>21</v>
      </c>
      <c r="N3310" s="1" t="s">
        <v>22</v>
      </c>
      <c r="O3310" s="2">
        <v>46102</v>
      </c>
      <c r="P3310" s="2">
        <v>46102</v>
      </c>
      <c r="Q3310">
        <f>_xlfn.XLOOKUP(E3310,CPT!$A$2:$A$13,CPT!$D$2:$D$13)</f>
        <v>1450</v>
      </c>
      <c r="R3310" s="1">
        <f>_xlfn.XLOOKUP(C3310,Contract!$A$2:$A$9,Contract!$B$2:$B$9)</f>
        <v>0.45</v>
      </c>
      <c r="S3310" s="1">
        <f t="shared" si="204"/>
        <v>13050</v>
      </c>
      <c r="T3310" s="1">
        <f t="shared" si="205"/>
        <v>982.10000000000036</v>
      </c>
      <c r="U3310" s="1" t="str">
        <f t="shared" si="206"/>
        <v>Underpaid</v>
      </c>
      <c r="V3310" s="1" t="str">
        <f>_xlfn.XLOOKUP(C3310,Payers!$A$2:$A$9,Payers!$B$2:$B$9)</f>
        <v>Blue Horizon Commercial</v>
      </c>
      <c r="W3310" s="1" t="str">
        <f t="shared" si="207"/>
        <v>2026-02</v>
      </c>
    </row>
    <row r="3311" spans="1:23">
      <c r="A3311" s="1" t="s">
        <v>5482</v>
      </c>
      <c r="B3311" s="1" t="s">
        <v>29</v>
      </c>
      <c r="C3311" s="1" t="s">
        <v>36</v>
      </c>
      <c r="D3311" s="1" t="s">
        <v>26</v>
      </c>
      <c r="E3311" s="1" t="s">
        <v>185</v>
      </c>
      <c r="F3311">
        <v>1</v>
      </c>
      <c r="G3311" s="2">
        <v>46237</v>
      </c>
      <c r="H3311" s="2">
        <v>46239</v>
      </c>
      <c r="I3311">
        <v>1141.6099999999999</v>
      </c>
      <c r="M3311" s="1" t="s">
        <v>32</v>
      </c>
      <c r="N3311" s="1" t="s">
        <v>315</v>
      </c>
      <c r="O3311" s="2">
        <v>46275</v>
      </c>
      <c r="P3311" s="2"/>
      <c r="Q3311">
        <f>_xlfn.XLOOKUP(E3311,CPT!$A$2:$A$13,CPT!$D$2:$D$13)</f>
        <v>1150</v>
      </c>
      <c r="R3311" s="1">
        <f>_xlfn.XLOOKUP(C3311,Contract!$A$2:$A$9,Contract!$B$2:$B$9)</f>
        <v>0.27</v>
      </c>
      <c r="S3311" s="1">
        <f t="shared" si="204"/>
        <v>310.5</v>
      </c>
      <c r="T3311" s="1" t="str">
        <f t="shared" si="205"/>
        <v/>
      </c>
      <c r="U3311" s="1" t="str">
        <f t="shared" si="206"/>
        <v/>
      </c>
      <c r="V3311" s="1" t="str">
        <f>_xlfn.XLOOKUP(C3311,Payers!$A$2:$A$9,Payers!$B$2:$B$9)</f>
        <v>Florida Medicaid</v>
      </c>
      <c r="W3311" s="1" t="str">
        <f t="shared" si="207"/>
        <v>2026-08</v>
      </c>
    </row>
    <row r="3312" spans="1:23">
      <c r="A3312" s="1" t="s">
        <v>5483</v>
      </c>
      <c r="B3312" s="1" t="s">
        <v>5484</v>
      </c>
      <c r="C3312" s="1" t="s">
        <v>76</v>
      </c>
      <c r="D3312" s="1" t="s">
        <v>30</v>
      </c>
      <c r="E3312" s="1" t="s">
        <v>91</v>
      </c>
      <c r="F3312">
        <v>1</v>
      </c>
      <c r="G3312" s="2">
        <v>46006</v>
      </c>
      <c r="H3312" s="2">
        <v>46010</v>
      </c>
      <c r="I3312">
        <v>58.2</v>
      </c>
      <c r="J3312">
        <v>22.64</v>
      </c>
      <c r="K3312">
        <v>22.64</v>
      </c>
      <c r="L3312">
        <v>0</v>
      </c>
      <c r="M3312" s="1" t="s">
        <v>21</v>
      </c>
      <c r="N3312" s="1" t="s">
        <v>22</v>
      </c>
      <c r="O3312" s="2">
        <v>46036</v>
      </c>
      <c r="P3312" s="2">
        <v>46036</v>
      </c>
      <c r="Q3312">
        <f>_xlfn.XLOOKUP(E3312,CPT!$A$2:$A$13,CPT!$D$2:$D$13)</f>
        <v>58</v>
      </c>
      <c r="R3312" s="1">
        <f>_xlfn.XLOOKUP(C3312,Contract!$A$2:$A$9,Contract!$B$2:$B$9)</f>
        <v>0.43</v>
      </c>
      <c r="S3312" s="1">
        <f t="shared" si="204"/>
        <v>24.94</v>
      </c>
      <c r="T3312" s="1">
        <f t="shared" si="205"/>
        <v>2.3000000000000007</v>
      </c>
      <c r="U3312" s="1" t="str">
        <f t="shared" si="206"/>
        <v>Underpaid</v>
      </c>
      <c r="V3312" s="1" t="str">
        <f>_xlfn.XLOOKUP(C3312,Payers!$A$2:$A$9,Payers!$B$2:$B$9)</f>
        <v>Summit Health Commercial</v>
      </c>
      <c r="W3312" s="1" t="str">
        <f t="shared" si="207"/>
        <v>2025-12</v>
      </c>
    </row>
    <row r="3313" spans="1:23">
      <c r="A3313" s="1" t="s">
        <v>5485</v>
      </c>
      <c r="B3313" s="1" t="s">
        <v>5486</v>
      </c>
      <c r="C3313" s="1" t="s">
        <v>60</v>
      </c>
      <c r="D3313" s="1" t="s">
        <v>19</v>
      </c>
      <c r="E3313" s="1" t="s">
        <v>88</v>
      </c>
      <c r="F3313">
        <v>1</v>
      </c>
      <c r="G3313" s="2">
        <v>46041</v>
      </c>
      <c r="H3313" s="2">
        <v>46047</v>
      </c>
      <c r="I3313">
        <v>261.26</v>
      </c>
      <c r="J3313">
        <v>99.95</v>
      </c>
      <c r="K3313">
        <v>79.959999999999994</v>
      </c>
      <c r="L3313">
        <v>19.989999999999998</v>
      </c>
      <c r="M3313" s="1" t="s">
        <v>21</v>
      </c>
      <c r="N3313" s="1" t="s">
        <v>22</v>
      </c>
      <c r="O3313" s="2">
        <v>46068</v>
      </c>
      <c r="P3313" s="2">
        <v>46068</v>
      </c>
      <c r="Q3313">
        <f>_xlfn.XLOOKUP(E3313,CPT!$A$2:$A$13,CPT!$D$2:$D$13)</f>
        <v>260</v>
      </c>
      <c r="R3313" s="1">
        <f>_xlfn.XLOOKUP(C3313,Contract!$A$2:$A$9,Contract!$B$2:$B$9)</f>
        <v>0.45</v>
      </c>
      <c r="S3313" s="1">
        <f t="shared" si="204"/>
        <v>117</v>
      </c>
      <c r="T3313" s="1">
        <f t="shared" si="205"/>
        <v>17.049999999999997</v>
      </c>
      <c r="U3313" s="1" t="str">
        <f t="shared" si="206"/>
        <v>Underpaid</v>
      </c>
      <c r="V3313" s="1" t="str">
        <f>_xlfn.XLOOKUP(C3313,Payers!$A$2:$A$9,Payers!$B$2:$B$9)</f>
        <v>Blue Horizon Commercial</v>
      </c>
      <c r="W3313" s="1" t="str">
        <f t="shared" si="207"/>
        <v>2026-01</v>
      </c>
    </row>
    <row r="3314" spans="1:23">
      <c r="A3314" s="1" t="s">
        <v>5487</v>
      </c>
      <c r="B3314" s="1" t="s">
        <v>2424</v>
      </c>
      <c r="C3314" s="1" t="s">
        <v>52</v>
      </c>
      <c r="D3314" s="1" t="s">
        <v>37</v>
      </c>
      <c r="E3314" s="1" t="s">
        <v>48</v>
      </c>
      <c r="F3314">
        <v>1</v>
      </c>
      <c r="G3314" s="2">
        <v>46156</v>
      </c>
      <c r="H3314" s="2">
        <v>46161</v>
      </c>
      <c r="I3314">
        <v>416.81</v>
      </c>
      <c r="J3314">
        <v>200.66</v>
      </c>
      <c r="K3314">
        <v>200.66</v>
      </c>
      <c r="L3314">
        <v>0</v>
      </c>
      <c r="M3314" s="1" t="s">
        <v>21</v>
      </c>
      <c r="N3314" s="1" t="s">
        <v>22</v>
      </c>
      <c r="O3314" s="2">
        <v>46235</v>
      </c>
      <c r="P3314" s="2">
        <v>46235</v>
      </c>
      <c r="Q3314">
        <f>_xlfn.XLOOKUP(E3314,CPT!$A$2:$A$13,CPT!$D$2:$D$13)</f>
        <v>420</v>
      </c>
      <c r="R3314" s="1">
        <f>_xlfn.XLOOKUP(C3314,Contract!$A$2:$A$9,Contract!$B$2:$B$9)</f>
        <v>0.47</v>
      </c>
      <c r="S3314" s="1">
        <f t="shared" si="204"/>
        <v>197.4</v>
      </c>
      <c r="T3314" s="1">
        <f t="shared" si="205"/>
        <v>-3.2599999999999909</v>
      </c>
      <c r="U3314" s="1" t="str">
        <f t="shared" si="206"/>
        <v>OK</v>
      </c>
      <c r="V3314" s="1" t="str">
        <f>_xlfn.XLOOKUP(C3314,Payers!$A$2:$A$9,Payers!$B$2:$B$9)</f>
        <v>Keystone Commercial PPO</v>
      </c>
      <c r="W3314" s="1" t="str">
        <f t="shared" si="207"/>
        <v>2026-05</v>
      </c>
    </row>
    <row r="3315" spans="1:23">
      <c r="A3315" s="1" t="s">
        <v>5488</v>
      </c>
      <c r="B3315" s="1" t="s">
        <v>5282</v>
      </c>
      <c r="C3315" s="1" t="s">
        <v>60</v>
      </c>
      <c r="D3315" s="1" t="s">
        <v>37</v>
      </c>
      <c r="E3315" s="1" t="s">
        <v>48</v>
      </c>
      <c r="F3315">
        <v>1</v>
      </c>
      <c r="G3315" s="2">
        <v>46171</v>
      </c>
      <c r="H3315" s="2">
        <v>46174</v>
      </c>
      <c r="I3315">
        <v>420.59</v>
      </c>
      <c r="J3315">
        <v>208.95</v>
      </c>
      <c r="K3315">
        <v>208.95</v>
      </c>
      <c r="L3315">
        <v>0</v>
      </c>
      <c r="M3315" s="1" t="s">
        <v>21</v>
      </c>
      <c r="N3315" s="1" t="s">
        <v>22</v>
      </c>
      <c r="O3315" s="2">
        <v>46195</v>
      </c>
      <c r="P3315" s="2">
        <v>46195</v>
      </c>
      <c r="Q3315">
        <f>_xlfn.XLOOKUP(E3315,CPT!$A$2:$A$13,CPT!$D$2:$D$13)</f>
        <v>420</v>
      </c>
      <c r="R3315" s="1">
        <f>_xlfn.XLOOKUP(C3315,Contract!$A$2:$A$9,Contract!$B$2:$B$9)</f>
        <v>0.45</v>
      </c>
      <c r="S3315" s="1">
        <f t="shared" si="204"/>
        <v>189</v>
      </c>
      <c r="T3315" s="1">
        <f t="shared" si="205"/>
        <v>-19.949999999999989</v>
      </c>
      <c r="U3315" s="1" t="str">
        <f t="shared" si="206"/>
        <v>OK</v>
      </c>
      <c r="V3315" s="1" t="str">
        <f>_xlfn.XLOOKUP(C3315,Payers!$A$2:$A$9,Payers!$B$2:$B$9)</f>
        <v>Blue Horizon Commercial</v>
      </c>
      <c r="W3315" s="1" t="str">
        <f t="shared" si="207"/>
        <v>2026-05</v>
      </c>
    </row>
    <row r="3316" spans="1:23">
      <c r="A3316" s="1" t="s">
        <v>5489</v>
      </c>
      <c r="B3316" s="1" t="s">
        <v>5490</v>
      </c>
      <c r="C3316" s="1" t="s">
        <v>76</v>
      </c>
      <c r="D3316" s="1" t="s">
        <v>26</v>
      </c>
      <c r="E3316" s="1" t="s">
        <v>113</v>
      </c>
      <c r="F3316">
        <v>1</v>
      </c>
      <c r="G3316" s="2">
        <v>46068</v>
      </c>
      <c r="H3316" s="2">
        <v>46076</v>
      </c>
      <c r="I3316">
        <v>1028.3699999999999</v>
      </c>
      <c r="J3316">
        <v>402.7</v>
      </c>
      <c r="K3316">
        <v>362.43</v>
      </c>
      <c r="L3316">
        <v>40.270000000000003</v>
      </c>
      <c r="M3316" s="1" t="s">
        <v>21</v>
      </c>
      <c r="N3316" s="1" t="s">
        <v>22</v>
      </c>
      <c r="O3316" s="2">
        <v>46106</v>
      </c>
      <c r="P3316" s="2">
        <v>46106</v>
      </c>
      <c r="Q3316">
        <f>_xlfn.XLOOKUP(E3316,CPT!$A$2:$A$13,CPT!$D$2:$D$13)</f>
        <v>1050</v>
      </c>
      <c r="R3316" s="1">
        <f>_xlfn.XLOOKUP(C3316,Contract!$A$2:$A$9,Contract!$B$2:$B$9)</f>
        <v>0.43</v>
      </c>
      <c r="S3316" s="1">
        <f t="shared" si="204"/>
        <v>451.5</v>
      </c>
      <c r="T3316" s="1">
        <f t="shared" si="205"/>
        <v>48.800000000000011</v>
      </c>
      <c r="U3316" s="1" t="str">
        <f t="shared" si="206"/>
        <v>Underpaid</v>
      </c>
      <c r="V3316" s="1" t="str">
        <f>_xlfn.XLOOKUP(C3316,Payers!$A$2:$A$9,Payers!$B$2:$B$9)</f>
        <v>Summit Health Commercial</v>
      </c>
      <c r="W3316" s="1" t="str">
        <f t="shared" si="207"/>
        <v>2026-02</v>
      </c>
    </row>
    <row r="3317" spans="1:23">
      <c r="A3317" s="1" t="s">
        <v>5491</v>
      </c>
      <c r="B3317" s="1" t="s">
        <v>97</v>
      </c>
      <c r="C3317" s="1" t="s">
        <v>18</v>
      </c>
      <c r="D3317" s="1" t="s">
        <v>19</v>
      </c>
      <c r="E3317" s="1" t="s">
        <v>57</v>
      </c>
      <c r="F3317">
        <v>1</v>
      </c>
      <c r="G3317" s="2">
        <v>46134</v>
      </c>
      <c r="H3317" s="2">
        <v>46139</v>
      </c>
      <c r="I3317">
        <v>204.23</v>
      </c>
      <c r="J3317">
        <v>70.540000000000006</v>
      </c>
      <c r="K3317">
        <v>56.43</v>
      </c>
      <c r="L3317">
        <v>14.11</v>
      </c>
      <c r="M3317" s="1" t="s">
        <v>21</v>
      </c>
      <c r="N3317" s="1" t="s">
        <v>22</v>
      </c>
      <c r="O3317" s="2">
        <v>46189</v>
      </c>
      <c r="P3317" s="2">
        <v>46189</v>
      </c>
      <c r="Q3317">
        <f>_xlfn.XLOOKUP(E3317,CPT!$A$2:$A$13,CPT!$D$2:$D$13)</f>
        <v>210</v>
      </c>
      <c r="R3317" s="1">
        <f>_xlfn.XLOOKUP(C3317,Contract!$A$2:$A$9,Contract!$B$2:$B$9)</f>
        <v>0.38</v>
      </c>
      <c r="S3317" s="1">
        <f t="shared" si="204"/>
        <v>79.8</v>
      </c>
      <c r="T3317" s="1">
        <f t="shared" si="205"/>
        <v>9.2599999999999909</v>
      </c>
      <c r="U3317" s="1" t="str">
        <f t="shared" si="206"/>
        <v>Underpaid</v>
      </c>
      <c r="V3317" s="1" t="str">
        <f>_xlfn.XLOOKUP(C3317,Payers!$A$2:$A$9,Payers!$B$2:$B$9)</f>
        <v>Sunshine Medicare Advantage</v>
      </c>
      <c r="W3317" s="1" t="str">
        <f t="shared" si="207"/>
        <v>2026-04</v>
      </c>
    </row>
    <row r="3318" spans="1:23">
      <c r="A3318" s="1" t="s">
        <v>5492</v>
      </c>
      <c r="B3318" s="1" t="s">
        <v>5493</v>
      </c>
      <c r="C3318" s="1" t="s">
        <v>60</v>
      </c>
      <c r="D3318" s="1" t="s">
        <v>26</v>
      </c>
      <c r="E3318" s="1" t="s">
        <v>44</v>
      </c>
      <c r="F3318">
        <v>1</v>
      </c>
      <c r="G3318" s="2">
        <v>45974</v>
      </c>
      <c r="H3318" s="2">
        <v>45981</v>
      </c>
      <c r="I3318">
        <v>4729.1400000000003</v>
      </c>
      <c r="J3318">
        <v>2273.64</v>
      </c>
      <c r="K3318">
        <v>1818.91</v>
      </c>
      <c r="L3318">
        <v>454.73</v>
      </c>
      <c r="M3318" s="1" t="s">
        <v>21</v>
      </c>
      <c r="N3318" s="1" t="s">
        <v>22</v>
      </c>
      <c r="O3318" s="2">
        <v>46001</v>
      </c>
      <c r="P3318" s="2">
        <v>46001</v>
      </c>
      <c r="Q3318">
        <f>_xlfn.XLOOKUP(E3318,CPT!$A$2:$A$13,CPT!$D$2:$D$13)</f>
        <v>4800</v>
      </c>
      <c r="R3318" s="1">
        <f>_xlfn.XLOOKUP(C3318,Contract!$A$2:$A$9,Contract!$B$2:$B$9)</f>
        <v>0.45</v>
      </c>
      <c r="S3318" s="1">
        <f t="shared" si="204"/>
        <v>2160</v>
      </c>
      <c r="T3318" s="1">
        <f t="shared" si="205"/>
        <v>-113.63999999999987</v>
      </c>
      <c r="U3318" s="1" t="str">
        <f t="shared" si="206"/>
        <v>OK</v>
      </c>
      <c r="V3318" s="1" t="str">
        <f>_xlfn.XLOOKUP(C3318,Payers!$A$2:$A$9,Payers!$B$2:$B$9)</f>
        <v>Blue Horizon Commercial</v>
      </c>
      <c r="W3318" s="1" t="str">
        <f t="shared" si="207"/>
        <v>2025-11</v>
      </c>
    </row>
    <row r="3319" spans="1:23">
      <c r="A3319" s="1" t="s">
        <v>5494</v>
      </c>
      <c r="B3319" s="1" t="s">
        <v>5495</v>
      </c>
      <c r="C3319" s="1" t="s">
        <v>52</v>
      </c>
      <c r="D3319" s="1" t="s">
        <v>37</v>
      </c>
      <c r="E3319" s="1" t="s">
        <v>57</v>
      </c>
      <c r="F3319">
        <v>1</v>
      </c>
      <c r="G3319" s="2">
        <v>46168</v>
      </c>
      <c r="H3319" s="2">
        <v>46174</v>
      </c>
      <c r="I3319">
        <v>204.17</v>
      </c>
      <c r="J3319">
        <v>82.66</v>
      </c>
      <c r="K3319">
        <v>66.13</v>
      </c>
      <c r="L3319">
        <v>16.53</v>
      </c>
      <c r="M3319" s="1" t="s">
        <v>21</v>
      </c>
      <c r="N3319" s="1" t="s">
        <v>22</v>
      </c>
      <c r="O3319" s="2">
        <v>46222</v>
      </c>
      <c r="P3319" s="2">
        <v>46222</v>
      </c>
      <c r="Q3319">
        <f>_xlfn.XLOOKUP(E3319,CPT!$A$2:$A$13,CPT!$D$2:$D$13)</f>
        <v>210</v>
      </c>
      <c r="R3319" s="1">
        <f>_xlfn.XLOOKUP(C3319,Contract!$A$2:$A$9,Contract!$B$2:$B$9)</f>
        <v>0.47</v>
      </c>
      <c r="S3319" s="1">
        <f t="shared" si="204"/>
        <v>98.7</v>
      </c>
      <c r="T3319" s="1">
        <f t="shared" si="205"/>
        <v>16.040000000000006</v>
      </c>
      <c r="U3319" s="1" t="str">
        <f t="shared" si="206"/>
        <v>Underpaid</v>
      </c>
      <c r="V3319" s="1" t="str">
        <f>_xlfn.XLOOKUP(C3319,Payers!$A$2:$A$9,Payers!$B$2:$B$9)</f>
        <v>Keystone Commercial PPO</v>
      </c>
      <c r="W3319" s="1" t="str">
        <f t="shared" si="207"/>
        <v>2026-05</v>
      </c>
    </row>
    <row r="3320" spans="1:23">
      <c r="A3320" s="1" t="s">
        <v>5496</v>
      </c>
      <c r="B3320" s="1" t="s">
        <v>5497</v>
      </c>
      <c r="C3320" s="1" t="s">
        <v>76</v>
      </c>
      <c r="D3320" s="1" t="s">
        <v>19</v>
      </c>
      <c r="E3320" s="1" t="s">
        <v>88</v>
      </c>
      <c r="F3320">
        <v>1</v>
      </c>
      <c r="G3320" s="2">
        <v>46130</v>
      </c>
      <c r="H3320" s="2">
        <v>46132</v>
      </c>
      <c r="I3320">
        <v>267.44</v>
      </c>
      <c r="J3320">
        <v>112.58</v>
      </c>
      <c r="K3320">
        <v>112.58</v>
      </c>
      <c r="L3320">
        <v>0</v>
      </c>
      <c r="M3320" s="1" t="s">
        <v>21</v>
      </c>
      <c r="N3320" s="1" t="s">
        <v>22</v>
      </c>
      <c r="O3320" s="2">
        <v>46160</v>
      </c>
      <c r="P3320" s="2">
        <v>46160</v>
      </c>
      <c r="Q3320">
        <f>_xlfn.XLOOKUP(E3320,CPT!$A$2:$A$13,CPT!$D$2:$D$13)</f>
        <v>260</v>
      </c>
      <c r="R3320" s="1">
        <f>_xlfn.XLOOKUP(C3320,Contract!$A$2:$A$9,Contract!$B$2:$B$9)</f>
        <v>0.43</v>
      </c>
      <c r="S3320" s="1">
        <f t="shared" si="204"/>
        <v>111.8</v>
      </c>
      <c r="T3320" s="1">
        <f t="shared" si="205"/>
        <v>-0.78000000000000114</v>
      </c>
      <c r="U3320" s="1" t="str">
        <f t="shared" si="206"/>
        <v>OK</v>
      </c>
      <c r="V3320" s="1" t="str">
        <f>_xlfn.XLOOKUP(C3320,Payers!$A$2:$A$9,Payers!$B$2:$B$9)</f>
        <v>Summit Health Commercial</v>
      </c>
      <c r="W3320" s="1" t="str">
        <f t="shared" si="207"/>
        <v>2026-04</v>
      </c>
    </row>
    <row r="3321" spans="1:23">
      <c r="A3321" s="1" t="s">
        <v>5498</v>
      </c>
      <c r="B3321" s="1" t="s">
        <v>363</v>
      </c>
      <c r="C3321" s="1" t="s">
        <v>76</v>
      </c>
      <c r="D3321" s="1" t="s">
        <v>26</v>
      </c>
      <c r="E3321" s="1" t="s">
        <v>41</v>
      </c>
      <c r="F3321">
        <v>1</v>
      </c>
      <c r="G3321" s="2">
        <v>46106</v>
      </c>
      <c r="H3321" s="2">
        <v>46116</v>
      </c>
      <c r="I3321">
        <v>37.93</v>
      </c>
      <c r="J3321">
        <v>18.25</v>
      </c>
      <c r="K3321">
        <v>18.25</v>
      </c>
      <c r="L3321">
        <v>0</v>
      </c>
      <c r="M3321" s="1" t="s">
        <v>21</v>
      </c>
      <c r="N3321" s="1" t="s">
        <v>22</v>
      </c>
      <c r="O3321" s="2">
        <v>46145</v>
      </c>
      <c r="P3321" s="2">
        <v>46145</v>
      </c>
      <c r="Q3321">
        <f>_xlfn.XLOOKUP(E3321,CPT!$A$2:$A$13,CPT!$D$2:$D$13)</f>
        <v>38</v>
      </c>
      <c r="R3321" s="1">
        <f>_xlfn.XLOOKUP(C3321,Contract!$A$2:$A$9,Contract!$B$2:$B$9)</f>
        <v>0.43</v>
      </c>
      <c r="S3321" s="1">
        <f t="shared" si="204"/>
        <v>16.34</v>
      </c>
      <c r="T3321" s="1">
        <f t="shared" si="205"/>
        <v>-1.9100000000000001</v>
      </c>
      <c r="U3321" s="1" t="str">
        <f t="shared" si="206"/>
        <v>OK</v>
      </c>
      <c r="V3321" s="1" t="str">
        <f>_xlfn.XLOOKUP(C3321,Payers!$A$2:$A$9,Payers!$B$2:$B$9)</f>
        <v>Summit Health Commercial</v>
      </c>
      <c r="W3321" s="1" t="str">
        <f t="shared" si="207"/>
        <v>2026-03</v>
      </c>
    </row>
    <row r="3322" spans="1:23">
      <c r="A3322" s="1" t="s">
        <v>5499</v>
      </c>
      <c r="B3322" s="1" t="s">
        <v>1747</v>
      </c>
      <c r="C3322" s="1" t="s">
        <v>76</v>
      </c>
      <c r="D3322" s="1" t="s">
        <v>19</v>
      </c>
      <c r="E3322" s="1" t="s">
        <v>20</v>
      </c>
      <c r="F3322">
        <v>1</v>
      </c>
      <c r="G3322" s="2">
        <v>45987</v>
      </c>
      <c r="H3322" s="2">
        <v>45990</v>
      </c>
      <c r="I3322">
        <v>146.79</v>
      </c>
      <c r="J3322">
        <v>61.37</v>
      </c>
      <c r="K3322">
        <v>61.37</v>
      </c>
      <c r="L3322">
        <v>0</v>
      </c>
      <c r="M3322" s="1" t="s">
        <v>21</v>
      </c>
      <c r="N3322" s="1" t="s">
        <v>22</v>
      </c>
      <c r="O3322" s="2">
        <v>46009</v>
      </c>
      <c r="P3322" s="2">
        <v>46009</v>
      </c>
      <c r="Q3322">
        <f>_xlfn.XLOOKUP(E3322,CPT!$A$2:$A$13,CPT!$D$2:$D$13)</f>
        <v>145</v>
      </c>
      <c r="R3322" s="1">
        <f>_xlfn.XLOOKUP(C3322,Contract!$A$2:$A$9,Contract!$B$2:$B$9)</f>
        <v>0.43</v>
      </c>
      <c r="S3322" s="1">
        <f t="shared" si="204"/>
        <v>62.35</v>
      </c>
      <c r="T3322" s="1">
        <f t="shared" si="205"/>
        <v>0.98000000000000398</v>
      </c>
      <c r="U3322" s="1" t="str">
        <f t="shared" si="206"/>
        <v>OK</v>
      </c>
      <c r="V3322" s="1" t="str">
        <f>_xlfn.XLOOKUP(C3322,Payers!$A$2:$A$9,Payers!$B$2:$B$9)</f>
        <v>Summit Health Commercial</v>
      </c>
      <c r="W3322" s="1" t="str">
        <f t="shared" si="207"/>
        <v>2025-11</v>
      </c>
    </row>
    <row r="3323" spans="1:23">
      <c r="A3323" s="1" t="s">
        <v>5500</v>
      </c>
      <c r="B3323" s="1" t="s">
        <v>5501</v>
      </c>
      <c r="C3323" s="1" t="s">
        <v>36</v>
      </c>
      <c r="D3323" s="1" t="s">
        <v>30</v>
      </c>
      <c r="E3323" s="1" t="s">
        <v>31</v>
      </c>
      <c r="F3323">
        <v>3</v>
      </c>
      <c r="G3323" s="2">
        <v>46281</v>
      </c>
      <c r="H3323" s="2">
        <v>46284</v>
      </c>
      <c r="I3323">
        <v>187.79</v>
      </c>
      <c r="M3323" s="1" t="s">
        <v>69</v>
      </c>
      <c r="N3323" s="1" t="s">
        <v>22</v>
      </c>
      <c r="O3323" s="2"/>
      <c r="P3323" s="2"/>
      <c r="Q3323">
        <f>_xlfn.XLOOKUP(E3323,CPT!$A$2:$A$13,CPT!$D$2:$D$13)</f>
        <v>62</v>
      </c>
      <c r="R3323" s="1">
        <f>_xlfn.XLOOKUP(C3323,Contract!$A$2:$A$9,Contract!$B$2:$B$9)</f>
        <v>0.27</v>
      </c>
      <c r="S3323" s="1">
        <f t="shared" si="204"/>
        <v>50.22</v>
      </c>
      <c r="T3323" s="1" t="str">
        <f t="shared" si="205"/>
        <v/>
      </c>
      <c r="U3323" s="1" t="str">
        <f t="shared" si="206"/>
        <v/>
      </c>
      <c r="V3323" s="1" t="str">
        <f>_xlfn.XLOOKUP(C3323,Payers!$A$2:$A$9,Payers!$B$2:$B$9)</f>
        <v>Florida Medicaid</v>
      </c>
      <c r="W3323" s="1" t="str">
        <f t="shared" si="207"/>
        <v>2026-09</v>
      </c>
    </row>
    <row r="3324" spans="1:23">
      <c r="A3324" s="1" t="s">
        <v>5502</v>
      </c>
      <c r="B3324" s="1" t="s">
        <v>5503</v>
      </c>
      <c r="C3324" s="1" t="s">
        <v>25</v>
      </c>
      <c r="D3324" s="1" t="s">
        <v>30</v>
      </c>
      <c r="E3324" s="1" t="s">
        <v>20</v>
      </c>
      <c r="F3324">
        <v>1</v>
      </c>
      <c r="G3324" s="2">
        <v>46129</v>
      </c>
      <c r="H3324" s="2">
        <v>46132</v>
      </c>
      <c r="I3324">
        <v>143.44</v>
      </c>
      <c r="J3324">
        <v>55.87</v>
      </c>
      <c r="K3324">
        <v>50.28</v>
      </c>
      <c r="L3324">
        <v>5.59</v>
      </c>
      <c r="M3324" s="1" t="s">
        <v>21</v>
      </c>
      <c r="N3324" s="1" t="s">
        <v>22</v>
      </c>
      <c r="O3324" s="2">
        <v>46153</v>
      </c>
      <c r="P3324" s="2">
        <v>46153</v>
      </c>
      <c r="Q3324">
        <f>_xlfn.XLOOKUP(E3324,CPT!$A$2:$A$13,CPT!$D$2:$D$13)</f>
        <v>145</v>
      </c>
      <c r="R3324" s="1">
        <f>_xlfn.XLOOKUP(C3324,Contract!$A$2:$A$9,Contract!$B$2:$B$9)</f>
        <v>0.36</v>
      </c>
      <c r="S3324" s="1">
        <f t="shared" si="204"/>
        <v>52.2</v>
      </c>
      <c r="T3324" s="1">
        <f t="shared" si="205"/>
        <v>-3.6699999999999946</v>
      </c>
      <c r="U3324" s="1" t="str">
        <f t="shared" si="206"/>
        <v>OK</v>
      </c>
      <c r="V3324" s="1" t="str">
        <f>_xlfn.XLOOKUP(C3324,Payers!$A$2:$A$9,Payers!$B$2:$B$9)</f>
        <v>Medicare Part B</v>
      </c>
      <c r="W3324" s="1" t="str">
        <f t="shared" si="207"/>
        <v>2026-04</v>
      </c>
    </row>
    <row r="3325" spans="1:23">
      <c r="A3325" s="1" t="s">
        <v>5504</v>
      </c>
      <c r="B3325" s="1" t="s">
        <v>161</v>
      </c>
      <c r="C3325" s="1" t="s">
        <v>52</v>
      </c>
      <c r="D3325" s="1" t="s">
        <v>30</v>
      </c>
      <c r="E3325" s="1" t="s">
        <v>20</v>
      </c>
      <c r="F3325">
        <v>1</v>
      </c>
      <c r="G3325" s="2">
        <v>45987</v>
      </c>
      <c r="H3325" s="2">
        <v>45989</v>
      </c>
      <c r="I3325">
        <v>148.84</v>
      </c>
      <c r="J3325">
        <v>71.400000000000006</v>
      </c>
      <c r="K3325">
        <v>71.400000000000006</v>
      </c>
      <c r="L3325">
        <v>0</v>
      </c>
      <c r="M3325" s="1" t="s">
        <v>21</v>
      </c>
      <c r="N3325" s="1" t="s">
        <v>22</v>
      </c>
      <c r="O3325" s="2">
        <v>46041</v>
      </c>
      <c r="P3325" s="2">
        <v>46041</v>
      </c>
      <c r="Q3325">
        <f>_xlfn.XLOOKUP(E3325,CPT!$A$2:$A$13,CPT!$D$2:$D$13)</f>
        <v>145</v>
      </c>
      <c r="R3325" s="1">
        <f>_xlfn.XLOOKUP(C3325,Contract!$A$2:$A$9,Contract!$B$2:$B$9)</f>
        <v>0.47</v>
      </c>
      <c r="S3325" s="1">
        <f t="shared" si="204"/>
        <v>68.150000000000006</v>
      </c>
      <c r="T3325" s="1">
        <f t="shared" si="205"/>
        <v>-3.25</v>
      </c>
      <c r="U3325" s="1" t="str">
        <f t="shared" si="206"/>
        <v>OK</v>
      </c>
      <c r="V3325" s="1" t="str">
        <f>_xlfn.XLOOKUP(C3325,Payers!$A$2:$A$9,Payers!$B$2:$B$9)</f>
        <v>Keystone Commercial PPO</v>
      </c>
      <c r="W3325" s="1" t="str">
        <f t="shared" si="207"/>
        <v>2025-11</v>
      </c>
    </row>
    <row r="3326" spans="1:23">
      <c r="A3326" s="1" t="s">
        <v>5505</v>
      </c>
      <c r="B3326" s="1" t="s">
        <v>5506</v>
      </c>
      <c r="C3326" s="1" t="s">
        <v>36</v>
      </c>
      <c r="D3326" s="1" t="s">
        <v>30</v>
      </c>
      <c r="E3326" s="1" t="s">
        <v>20</v>
      </c>
      <c r="F3326">
        <v>1</v>
      </c>
      <c r="G3326" s="2">
        <v>46016</v>
      </c>
      <c r="H3326" s="2">
        <v>46022</v>
      </c>
      <c r="I3326">
        <v>148.04</v>
      </c>
      <c r="J3326">
        <v>40.08</v>
      </c>
      <c r="K3326">
        <v>40.08</v>
      </c>
      <c r="L3326">
        <v>0</v>
      </c>
      <c r="M3326" s="1" t="s">
        <v>21</v>
      </c>
      <c r="N3326" s="1" t="s">
        <v>22</v>
      </c>
      <c r="O3326" s="2">
        <v>46068</v>
      </c>
      <c r="P3326" s="2">
        <v>46068</v>
      </c>
      <c r="Q3326">
        <f>_xlfn.XLOOKUP(E3326,CPT!$A$2:$A$13,CPT!$D$2:$D$13)</f>
        <v>145</v>
      </c>
      <c r="R3326" s="1">
        <f>_xlfn.XLOOKUP(C3326,Contract!$A$2:$A$9,Contract!$B$2:$B$9)</f>
        <v>0.27</v>
      </c>
      <c r="S3326" s="1">
        <f t="shared" si="204"/>
        <v>39.15</v>
      </c>
      <c r="T3326" s="1">
        <f t="shared" si="205"/>
        <v>-0.92999999999999972</v>
      </c>
      <c r="U3326" s="1" t="str">
        <f t="shared" si="206"/>
        <v>OK</v>
      </c>
      <c r="V3326" s="1" t="str">
        <f>_xlfn.XLOOKUP(C3326,Payers!$A$2:$A$9,Payers!$B$2:$B$9)</f>
        <v>Florida Medicaid</v>
      </c>
      <c r="W3326" s="1" t="str">
        <f t="shared" si="207"/>
        <v>2025-12</v>
      </c>
    </row>
    <row r="3327" spans="1:23">
      <c r="A3327" s="1" t="s">
        <v>5507</v>
      </c>
      <c r="B3327" s="1" t="s">
        <v>5508</v>
      </c>
      <c r="C3327" s="1" t="s">
        <v>25</v>
      </c>
      <c r="D3327" s="1" t="s">
        <v>30</v>
      </c>
      <c r="E3327" s="1" t="s">
        <v>31</v>
      </c>
      <c r="F3327">
        <v>1</v>
      </c>
      <c r="G3327" s="2">
        <v>46080</v>
      </c>
      <c r="H3327" s="2">
        <v>46082</v>
      </c>
      <c r="I3327">
        <v>62.81</v>
      </c>
      <c r="J3327">
        <v>25.25</v>
      </c>
      <c r="K3327">
        <v>25.25</v>
      </c>
      <c r="L3327">
        <v>0</v>
      </c>
      <c r="M3327" s="1" t="s">
        <v>21</v>
      </c>
      <c r="N3327" s="1" t="s">
        <v>22</v>
      </c>
      <c r="O3327" s="2">
        <v>46098</v>
      </c>
      <c r="P3327" s="2">
        <v>46098</v>
      </c>
      <c r="Q3327">
        <f>_xlfn.XLOOKUP(E3327,CPT!$A$2:$A$13,CPT!$D$2:$D$13)</f>
        <v>62</v>
      </c>
      <c r="R3327" s="1">
        <f>_xlfn.XLOOKUP(C3327,Contract!$A$2:$A$9,Contract!$B$2:$B$9)</f>
        <v>0.36</v>
      </c>
      <c r="S3327" s="1">
        <f t="shared" si="204"/>
        <v>22.32</v>
      </c>
      <c r="T3327" s="1">
        <f t="shared" si="205"/>
        <v>-2.9299999999999997</v>
      </c>
      <c r="U3327" s="1" t="str">
        <f t="shared" si="206"/>
        <v>OK</v>
      </c>
      <c r="V3327" s="1" t="str">
        <f>_xlfn.XLOOKUP(C3327,Payers!$A$2:$A$9,Payers!$B$2:$B$9)</f>
        <v>Medicare Part B</v>
      </c>
      <c r="W3327" s="1" t="str">
        <f t="shared" si="207"/>
        <v>2026-02</v>
      </c>
    </row>
    <row r="3328" spans="1:23">
      <c r="A3328" s="1" t="s">
        <v>5509</v>
      </c>
      <c r="B3328" s="1" t="s">
        <v>1780</v>
      </c>
      <c r="C3328" s="1" t="s">
        <v>18</v>
      </c>
      <c r="D3328" s="1" t="s">
        <v>37</v>
      </c>
      <c r="E3328" s="1" t="s">
        <v>38</v>
      </c>
      <c r="F3328">
        <v>10</v>
      </c>
      <c r="G3328" s="2">
        <v>46073</v>
      </c>
      <c r="H3328" s="2">
        <v>46076</v>
      </c>
      <c r="I3328">
        <v>14461.49</v>
      </c>
      <c r="M3328" s="1" t="s">
        <v>32</v>
      </c>
      <c r="N3328" s="1" t="s">
        <v>315</v>
      </c>
      <c r="O3328" s="2">
        <v>46131</v>
      </c>
      <c r="P3328" s="2"/>
      <c r="Q3328">
        <f>_xlfn.XLOOKUP(E3328,CPT!$A$2:$A$13,CPT!$D$2:$D$13)</f>
        <v>1450</v>
      </c>
      <c r="R3328" s="1">
        <f>_xlfn.XLOOKUP(C3328,Contract!$A$2:$A$9,Contract!$B$2:$B$9)</f>
        <v>0.38</v>
      </c>
      <c r="S3328" s="1">
        <f t="shared" si="204"/>
        <v>5510</v>
      </c>
      <c r="T3328" s="1" t="str">
        <f t="shared" si="205"/>
        <v/>
      </c>
      <c r="U3328" s="1" t="str">
        <f t="shared" si="206"/>
        <v/>
      </c>
      <c r="V3328" s="1" t="str">
        <f>_xlfn.XLOOKUP(C3328,Payers!$A$2:$A$9,Payers!$B$2:$B$9)</f>
        <v>Sunshine Medicare Advantage</v>
      </c>
      <c r="W3328" s="1" t="str">
        <f t="shared" si="207"/>
        <v>2026-02</v>
      </c>
    </row>
    <row r="3329" spans="1:23">
      <c r="A3329" s="1" t="s">
        <v>5510</v>
      </c>
      <c r="B3329" s="1" t="s">
        <v>5511</v>
      </c>
      <c r="C3329" s="1" t="s">
        <v>76</v>
      </c>
      <c r="D3329" s="1" t="s">
        <v>30</v>
      </c>
      <c r="E3329" s="1" t="s">
        <v>31</v>
      </c>
      <c r="F3329">
        <v>1</v>
      </c>
      <c r="G3329" s="2">
        <v>46087</v>
      </c>
      <c r="H3329" s="2">
        <v>46093</v>
      </c>
      <c r="I3329">
        <v>60.16</v>
      </c>
      <c r="J3329">
        <v>24.67</v>
      </c>
      <c r="K3329">
        <v>24.67</v>
      </c>
      <c r="L3329">
        <v>0</v>
      </c>
      <c r="M3329" s="1" t="s">
        <v>21</v>
      </c>
      <c r="N3329" s="1" t="s">
        <v>22</v>
      </c>
      <c r="O3329" s="2">
        <v>46124</v>
      </c>
      <c r="P3329" s="2">
        <v>46124</v>
      </c>
      <c r="Q3329">
        <f>_xlfn.XLOOKUP(E3329,CPT!$A$2:$A$13,CPT!$D$2:$D$13)</f>
        <v>62</v>
      </c>
      <c r="R3329" s="1">
        <f>_xlfn.XLOOKUP(C3329,Contract!$A$2:$A$9,Contract!$B$2:$B$9)</f>
        <v>0.43</v>
      </c>
      <c r="S3329" s="1">
        <f t="shared" si="204"/>
        <v>26.66</v>
      </c>
      <c r="T3329" s="1">
        <f t="shared" si="205"/>
        <v>1.9899999999999984</v>
      </c>
      <c r="U3329" s="1" t="str">
        <f t="shared" si="206"/>
        <v>Underpaid</v>
      </c>
      <c r="V3329" s="1" t="str">
        <f>_xlfn.XLOOKUP(C3329,Payers!$A$2:$A$9,Payers!$B$2:$B$9)</f>
        <v>Summit Health Commercial</v>
      </c>
      <c r="W3329" s="1" t="str">
        <f t="shared" si="207"/>
        <v>2026-03</v>
      </c>
    </row>
    <row r="3330" spans="1:23">
      <c r="A3330" s="1" t="s">
        <v>5512</v>
      </c>
      <c r="B3330" s="1" t="s">
        <v>1310</v>
      </c>
      <c r="C3330" s="1" t="s">
        <v>79</v>
      </c>
      <c r="D3330" s="1" t="s">
        <v>26</v>
      </c>
      <c r="E3330" s="1" t="s">
        <v>44</v>
      </c>
      <c r="F3330">
        <v>1</v>
      </c>
      <c r="G3330" s="2">
        <v>45957</v>
      </c>
      <c r="H3330" s="2">
        <v>45959</v>
      </c>
      <c r="I3330">
        <v>4865.26</v>
      </c>
      <c r="M3330" s="1" t="s">
        <v>69</v>
      </c>
      <c r="N3330" s="1" t="s">
        <v>22</v>
      </c>
      <c r="O3330" s="2"/>
      <c r="P3330" s="2"/>
      <c r="Q3330">
        <f>_xlfn.XLOOKUP(E3330,CPT!$A$2:$A$13,CPT!$D$2:$D$13)</f>
        <v>4800</v>
      </c>
      <c r="R3330" s="1">
        <f>_xlfn.XLOOKUP(C3330,Contract!$A$2:$A$9,Contract!$B$2:$B$9)</f>
        <v>1</v>
      </c>
      <c r="S3330" s="1">
        <f t="shared" ref="S3330:S3393" si="208">ROUND(Q3330*F3330*R3330,2)</f>
        <v>4800</v>
      </c>
      <c r="T3330" s="1" t="str">
        <f t="shared" ref="T3330:T3393" si="209">IF(M3330="Paid",S3330-J3330,"")</f>
        <v/>
      </c>
      <c r="U3330" s="1" t="str">
        <f t="shared" ref="U3330:U3393" si="210">IF(M3330&lt;&gt;"Paid","",IF(T3330&gt;S3330*0.05,"Underpaid","OK"))</f>
        <v/>
      </c>
      <c r="V3330" s="1" t="str">
        <f>_xlfn.XLOOKUP(C3330,Payers!$A$2:$A$9,Payers!$B$2:$B$9)</f>
        <v>Self-Pay</v>
      </c>
      <c r="W3330" s="1" t="str">
        <f t="shared" ref="W3330:W3393" si="211">TEXT(G3330,"yyyy-mm")</f>
        <v>2025-10</v>
      </c>
    </row>
    <row r="3331" spans="1:23">
      <c r="A3331" s="1" t="s">
        <v>5513</v>
      </c>
      <c r="B3331" s="1" t="s">
        <v>5514</v>
      </c>
      <c r="C3331" s="1" t="s">
        <v>60</v>
      </c>
      <c r="D3331" s="1" t="s">
        <v>19</v>
      </c>
      <c r="E3331" s="1" t="s">
        <v>57</v>
      </c>
      <c r="F3331">
        <v>1</v>
      </c>
      <c r="G3331" s="2">
        <v>46218</v>
      </c>
      <c r="H3331" s="2">
        <v>46228</v>
      </c>
      <c r="I3331">
        <v>210.04</v>
      </c>
      <c r="J3331">
        <v>88.8</v>
      </c>
      <c r="K3331">
        <v>71.040000000000006</v>
      </c>
      <c r="L3331">
        <v>17.760000000000002</v>
      </c>
      <c r="M3331" s="1" t="s">
        <v>21</v>
      </c>
      <c r="N3331" s="1" t="s">
        <v>22</v>
      </c>
      <c r="O3331" s="2">
        <v>46264</v>
      </c>
      <c r="P3331" s="2">
        <v>46264</v>
      </c>
      <c r="Q3331">
        <f>_xlfn.XLOOKUP(E3331,CPT!$A$2:$A$13,CPT!$D$2:$D$13)</f>
        <v>210</v>
      </c>
      <c r="R3331" s="1">
        <f>_xlfn.XLOOKUP(C3331,Contract!$A$2:$A$9,Contract!$B$2:$B$9)</f>
        <v>0.45</v>
      </c>
      <c r="S3331" s="1">
        <f t="shared" si="208"/>
        <v>94.5</v>
      </c>
      <c r="T3331" s="1">
        <f t="shared" si="209"/>
        <v>5.7000000000000028</v>
      </c>
      <c r="U3331" s="1" t="str">
        <f t="shared" si="210"/>
        <v>Underpaid</v>
      </c>
      <c r="V3331" s="1" t="str">
        <f>_xlfn.XLOOKUP(C3331,Payers!$A$2:$A$9,Payers!$B$2:$B$9)</f>
        <v>Blue Horizon Commercial</v>
      </c>
      <c r="W3331" s="1" t="str">
        <f t="shared" si="211"/>
        <v>2026-07</v>
      </c>
    </row>
    <row r="3332" spans="1:23">
      <c r="A3332" s="1" t="s">
        <v>5515</v>
      </c>
      <c r="B3332" s="1" t="s">
        <v>4460</v>
      </c>
      <c r="C3332" s="1" t="s">
        <v>60</v>
      </c>
      <c r="D3332" s="1" t="s">
        <v>19</v>
      </c>
      <c r="E3332" s="1" t="s">
        <v>88</v>
      </c>
      <c r="F3332">
        <v>1</v>
      </c>
      <c r="G3332" s="2">
        <v>46259</v>
      </c>
      <c r="H3332" s="2">
        <v>46262</v>
      </c>
      <c r="I3332">
        <v>266.55</v>
      </c>
      <c r="J3332">
        <v>116.63</v>
      </c>
      <c r="K3332">
        <v>104.97</v>
      </c>
      <c r="L3332">
        <v>11.66</v>
      </c>
      <c r="M3332" s="1" t="s">
        <v>21</v>
      </c>
      <c r="N3332" s="1" t="s">
        <v>22</v>
      </c>
      <c r="O3332" s="2">
        <v>46278</v>
      </c>
      <c r="P3332" s="2">
        <v>46278</v>
      </c>
      <c r="Q3332">
        <f>_xlfn.XLOOKUP(E3332,CPT!$A$2:$A$13,CPT!$D$2:$D$13)</f>
        <v>260</v>
      </c>
      <c r="R3332" s="1">
        <f>_xlfn.XLOOKUP(C3332,Contract!$A$2:$A$9,Contract!$B$2:$B$9)</f>
        <v>0.45</v>
      </c>
      <c r="S3332" s="1">
        <f t="shared" si="208"/>
        <v>117</v>
      </c>
      <c r="T3332" s="1">
        <f t="shared" si="209"/>
        <v>0.37000000000000455</v>
      </c>
      <c r="U3332" s="1" t="str">
        <f t="shared" si="210"/>
        <v>OK</v>
      </c>
      <c r="V3332" s="1" t="str">
        <f>_xlfn.XLOOKUP(C3332,Payers!$A$2:$A$9,Payers!$B$2:$B$9)</f>
        <v>Blue Horizon Commercial</v>
      </c>
      <c r="W3332" s="1" t="str">
        <f t="shared" si="211"/>
        <v>2026-08</v>
      </c>
    </row>
    <row r="3333" spans="1:23">
      <c r="A3333" s="1" t="s">
        <v>5516</v>
      </c>
      <c r="B3333" s="1" t="s">
        <v>1118</v>
      </c>
      <c r="C3333" s="1" t="s">
        <v>52</v>
      </c>
      <c r="D3333" s="1" t="s">
        <v>37</v>
      </c>
      <c r="E3333" s="1" t="s">
        <v>48</v>
      </c>
      <c r="F3333">
        <v>1</v>
      </c>
      <c r="G3333" s="2">
        <v>46167</v>
      </c>
      <c r="H3333" s="2">
        <v>46172</v>
      </c>
      <c r="I3333">
        <v>428.48</v>
      </c>
      <c r="J3333">
        <v>231.9</v>
      </c>
      <c r="K3333">
        <v>231.9</v>
      </c>
      <c r="L3333">
        <v>0</v>
      </c>
      <c r="M3333" s="1" t="s">
        <v>21</v>
      </c>
      <c r="N3333" s="1" t="s">
        <v>22</v>
      </c>
      <c r="O3333" s="2">
        <v>46196</v>
      </c>
      <c r="P3333" s="2">
        <v>46196</v>
      </c>
      <c r="Q3333">
        <f>_xlfn.XLOOKUP(E3333,CPT!$A$2:$A$13,CPT!$D$2:$D$13)</f>
        <v>420</v>
      </c>
      <c r="R3333" s="1">
        <f>_xlfn.XLOOKUP(C3333,Contract!$A$2:$A$9,Contract!$B$2:$B$9)</f>
        <v>0.47</v>
      </c>
      <c r="S3333" s="1">
        <f t="shared" si="208"/>
        <v>197.4</v>
      </c>
      <c r="T3333" s="1">
        <f t="shared" si="209"/>
        <v>-34.5</v>
      </c>
      <c r="U3333" s="1" t="str">
        <f t="shared" si="210"/>
        <v>OK</v>
      </c>
      <c r="V3333" s="1" t="str">
        <f>_xlfn.XLOOKUP(C3333,Payers!$A$2:$A$9,Payers!$B$2:$B$9)</f>
        <v>Keystone Commercial PPO</v>
      </c>
      <c r="W3333" s="1" t="str">
        <f t="shared" si="211"/>
        <v>2026-05</v>
      </c>
    </row>
    <row r="3334" spans="1:23">
      <c r="A3334" s="1" t="s">
        <v>5517</v>
      </c>
      <c r="B3334" s="1" t="s">
        <v>1969</v>
      </c>
      <c r="C3334" s="1" t="s">
        <v>76</v>
      </c>
      <c r="D3334" s="1" t="s">
        <v>37</v>
      </c>
      <c r="E3334" s="1" t="s">
        <v>38</v>
      </c>
      <c r="F3334">
        <v>5</v>
      </c>
      <c r="G3334" s="2">
        <v>46233</v>
      </c>
      <c r="H3334" s="2">
        <v>46238</v>
      </c>
      <c r="I3334">
        <v>7378.8</v>
      </c>
      <c r="J3334">
        <v>2781.88</v>
      </c>
      <c r="K3334">
        <v>2781.88</v>
      </c>
      <c r="L3334">
        <v>0</v>
      </c>
      <c r="M3334" s="1" t="s">
        <v>21</v>
      </c>
      <c r="N3334" s="1" t="s">
        <v>22</v>
      </c>
      <c r="O3334" s="2">
        <v>46263</v>
      </c>
      <c r="P3334" s="2">
        <v>46263</v>
      </c>
      <c r="Q3334">
        <f>_xlfn.XLOOKUP(E3334,CPT!$A$2:$A$13,CPT!$D$2:$D$13)</f>
        <v>1450</v>
      </c>
      <c r="R3334" s="1">
        <f>_xlfn.XLOOKUP(C3334,Contract!$A$2:$A$9,Contract!$B$2:$B$9)</f>
        <v>0.43</v>
      </c>
      <c r="S3334" s="1">
        <f t="shared" si="208"/>
        <v>3117.5</v>
      </c>
      <c r="T3334" s="1">
        <f t="shared" si="209"/>
        <v>335.61999999999989</v>
      </c>
      <c r="U3334" s="1" t="str">
        <f t="shared" si="210"/>
        <v>Underpaid</v>
      </c>
      <c r="V3334" s="1" t="str">
        <f>_xlfn.XLOOKUP(C3334,Payers!$A$2:$A$9,Payers!$B$2:$B$9)</f>
        <v>Summit Health Commercial</v>
      </c>
      <c r="W3334" s="1" t="str">
        <f t="shared" si="211"/>
        <v>2026-07</v>
      </c>
    </row>
    <row r="3335" spans="1:23">
      <c r="A3335" s="1" t="s">
        <v>5518</v>
      </c>
      <c r="B3335" s="1" t="s">
        <v>5519</v>
      </c>
      <c r="C3335" s="1" t="s">
        <v>76</v>
      </c>
      <c r="D3335" s="1" t="s">
        <v>19</v>
      </c>
      <c r="E3335" s="1" t="s">
        <v>41</v>
      </c>
      <c r="F3335">
        <v>1</v>
      </c>
      <c r="G3335" s="2">
        <v>46045</v>
      </c>
      <c r="H3335" s="2">
        <v>46047</v>
      </c>
      <c r="I3335">
        <v>38.46</v>
      </c>
      <c r="J3335">
        <v>14.69</v>
      </c>
      <c r="K3335">
        <v>11.75</v>
      </c>
      <c r="L3335">
        <v>2.94</v>
      </c>
      <c r="M3335" s="1" t="s">
        <v>21</v>
      </c>
      <c r="N3335" s="1" t="s">
        <v>22</v>
      </c>
      <c r="O3335" s="2">
        <v>46092</v>
      </c>
      <c r="P3335" s="2">
        <v>46092</v>
      </c>
      <c r="Q3335">
        <f>_xlfn.XLOOKUP(E3335,CPT!$A$2:$A$13,CPT!$D$2:$D$13)</f>
        <v>38</v>
      </c>
      <c r="R3335" s="1">
        <f>_xlfn.XLOOKUP(C3335,Contract!$A$2:$A$9,Contract!$B$2:$B$9)</f>
        <v>0.43</v>
      </c>
      <c r="S3335" s="1">
        <f t="shared" si="208"/>
        <v>16.34</v>
      </c>
      <c r="T3335" s="1">
        <f t="shared" si="209"/>
        <v>1.6500000000000004</v>
      </c>
      <c r="U3335" s="1" t="str">
        <f t="shared" si="210"/>
        <v>Underpaid</v>
      </c>
      <c r="V3335" s="1" t="str">
        <f>_xlfn.XLOOKUP(C3335,Payers!$A$2:$A$9,Payers!$B$2:$B$9)</f>
        <v>Summit Health Commercial</v>
      </c>
      <c r="W3335" s="1" t="str">
        <f t="shared" si="211"/>
        <v>2026-01</v>
      </c>
    </row>
    <row r="3336" spans="1:23">
      <c r="A3336" s="1" t="s">
        <v>5520</v>
      </c>
      <c r="B3336" s="1" t="s">
        <v>5521</v>
      </c>
      <c r="C3336" s="1" t="s">
        <v>60</v>
      </c>
      <c r="D3336" s="1" t="s">
        <v>26</v>
      </c>
      <c r="E3336" s="1" t="s">
        <v>185</v>
      </c>
      <c r="F3336">
        <v>1</v>
      </c>
      <c r="G3336" s="2">
        <v>45981</v>
      </c>
      <c r="H3336" s="2">
        <v>45984</v>
      </c>
      <c r="I3336">
        <v>1143.72</v>
      </c>
      <c r="J3336">
        <v>491</v>
      </c>
      <c r="K3336">
        <v>392.8</v>
      </c>
      <c r="L3336">
        <v>98.2</v>
      </c>
      <c r="M3336" s="1" t="s">
        <v>21</v>
      </c>
      <c r="N3336" s="1" t="s">
        <v>22</v>
      </c>
      <c r="O3336" s="2">
        <v>45989</v>
      </c>
      <c r="P3336" s="2">
        <v>45989</v>
      </c>
      <c r="Q3336">
        <f>_xlfn.XLOOKUP(E3336,CPT!$A$2:$A$13,CPT!$D$2:$D$13)</f>
        <v>1150</v>
      </c>
      <c r="R3336" s="1">
        <f>_xlfn.XLOOKUP(C3336,Contract!$A$2:$A$9,Contract!$B$2:$B$9)</f>
        <v>0.45</v>
      </c>
      <c r="S3336" s="1">
        <f t="shared" si="208"/>
        <v>517.5</v>
      </c>
      <c r="T3336" s="1">
        <f t="shared" si="209"/>
        <v>26.5</v>
      </c>
      <c r="U3336" s="1" t="str">
        <f t="shared" si="210"/>
        <v>Underpaid</v>
      </c>
      <c r="V3336" s="1" t="str">
        <f>_xlfn.XLOOKUP(C3336,Payers!$A$2:$A$9,Payers!$B$2:$B$9)</f>
        <v>Blue Horizon Commercial</v>
      </c>
      <c r="W3336" s="1" t="str">
        <f t="shared" si="211"/>
        <v>2025-11</v>
      </c>
    </row>
    <row r="3337" spans="1:23">
      <c r="A3337" s="1" t="s">
        <v>5522</v>
      </c>
      <c r="B3337" s="1" t="s">
        <v>5523</v>
      </c>
      <c r="C3337" s="1" t="s">
        <v>25</v>
      </c>
      <c r="D3337" s="1" t="s">
        <v>30</v>
      </c>
      <c r="E3337" s="1" t="s">
        <v>91</v>
      </c>
      <c r="F3337">
        <v>4</v>
      </c>
      <c r="G3337" s="2">
        <v>46292</v>
      </c>
      <c r="H3337" s="2">
        <v>46293</v>
      </c>
      <c r="I3337">
        <v>234.62</v>
      </c>
      <c r="M3337" s="1" t="s">
        <v>69</v>
      </c>
      <c r="N3337" s="1" t="s">
        <v>22</v>
      </c>
      <c r="O3337" s="2"/>
      <c r="P3337" s="2"/>
      <c r="Q3337">
        <f>_xlfn.XLOOKUP(E3337,CPT!$A$2:$A$13,CPT!$D$2:$D$13)</f>
        <v>58</v>
      </c>
      <c r="R3337" s="1">
        <f>_xlfn.XLOOKUP(C3337,Contract!$A$2:$A$9,Contract!$B$2:$B$9)</f>
        <v>0.36</v>
      </c>
      <c r="S3337" s="1">
        <f t="shared" si="208"/>
        <v>83.52</v>
      </c>
      <c r="T3337" s="1" t="str">
        <f t="shared" si="209"/>
        <v/>
      </c>
      <c r="U3337" s="1" t="str">
        <f t="shared" si="210"/>
        <v/>
      </c>
      <c r="V3337" s="1" t="str">
        <f>_xlfn.XLOOKUP(C3337,Payers!$A$2:$A$9,Payers!$B$2:$B$9)</f>
        <v>Medicare Part B</v>
      </c>
      <c r="W3337" s="1" t="str">
        <f t="shared" si="211"/>
        <v>2026-09</v>
      </c>
    </row>
    <row r="3338" spans="1:23">
      <c r="A3338" s="1" t="s">
        <v>5524</v>
      </c>
      <c r="B3338" s="1" t="s">
        <v>5525</v>
      </c>
      <c r="C3338" s="1" t="s">
        <v>60</v>
      </c>
      <c r="D3338" s="1" t="s">
        <v>30</v>
      </c>
      <c r="E3338" s="1" t="s">
        <v>91</v>
      </c>
      <c r="F3338">
        <v>2</v>
      </c>
      <c r="G3338" s="2">
        <v>46287</v>
      </c>
      <c r="H3338" s="2">
        <v>46293</v>
      </c>
      <c r="I3338">
        <v>113.61</v>
      </c>
      <c r="M3338" s="1" t="s">
        <v>69</v>
      </c>
      <c r="N3338" s="1" t="s">
        <v>22</v>
      </c>
      <c r="O3338" s="2"/>
      <c r="P3338" s="2"/>
      <c r="Q3338">
        <f>_xlfn.XLOOKUP(E3338,CPT!$A$2:$A$13,CPT!$D$2:$D$13)</f>
        <v>58</v>
      </c>
      <c r="R3338" s="1">
        <f>_xlfn.XLOOKUP(C3338,Contract!$A$2:$A$9,Contract!$B$2:$B$9)</f>
        <v>0.45</v>
      </c>
      <c r="S3338" s="1">
        <f t="shared" si="208"/>
        <v>52.2</v>
      </c>
      <c r="T3338" s="1" t="str">
        <f t="shared" si="209"/>
        <v/>
      </c>
      <c r="U3338" s="1" t="str">
        <f t="shared" si="210"/>
        <v/>
      </c>
      <c r="V3338" s="1" t="str">
        <f>_xlfn.XLOOKUP(C3338,Payers!$A$2:$A$9,Payers!$B$2:$B$9)</f>
        <v>Blue Horizon Commercial</v>
      </c>
      <c r="W3338" s="1" t="str">
        <f t="shared" si="211"/>
        <v>2026-09</v>
      </c>
    </row>
    <row r="3339" spans="1:23">
      <c r="A3339" s="1" t="s">
        <v>5526</v>
      </c>
      <c r="B3339" s="1" t="s">
        <v>1463</v>
      </c>
      <c r="C3339" s="1" t="s">
        <v>60</v>
      </c>
      <c r="D3339" s="1" t="s">
        <v>19</v>
      </c>
      <c r="E3339" s="1" t="s">
        <v>41</v>
      </c>
      <c r="F3339">
        <v>1</v>
      </c>
      <c r="G3339" s="2">
        <v>46016</v>
      </c>
      <c r="H3339" s="2">
        <v>46019</v>
      </c>
      <c r="I3339">
        <v>38.79</v>
      </c>
      <c r="J3339">
        <v>16.63</v>
      </c>
      <c r="K3339">
        <v>16.63</v>
      </c>
      <c r="L3339">
        <v>0</v>
      </c>
      <c r="M3339" s="1" t="s">
        <v>21</v>
      </c>
      <c r="N3339" s="1" t="s">
        <v>22</v>
      </c>
      <c r="O3339" s="2">
        <v>46045</v>
      </c>
      <c r="P3339" s="2">
        <v>46045</v>
      </c>
      <c r="Q3339">
        <f>_xlfn.XLOOKUP(E3339,CPT!$A$2:$A$13,CPT!$D$2:$D$13)</f>
        <v>38</v>
      </c>
      <c r="R3339" s="1">
        <f>_xlfn.XLOOKUP(C3339,Contract!$A$2:$A$9,Contract!$B$2:$B$9)</f>
        <v>0.45</v>
      </c>
      <c r="S3339" s="1">
        <f t="shared" si="208"/>
        <v>17.100000000000001</v>
      </c>
      <c r="T3339" s="1">
        <f t="shared" si="209"/>
        <v>0.47000000000000242</v>
      </c>
      <c r="U3339" s="1" t="str">
        <f t="shared" si="210"/>
        <v>OK</v>
      </c>
      <c r="V3339" s="1" t="str">
        <f>_xlfn.XLOOKUP(C3339,Payers!$A$2:$A$9,Payers!$B$2:$B$9)</f>
        <v>Blue Horizon Commercial</v>
      </c>
      <c r="W3339" s="1" t="str">
        <f t="shared" si="211"/>
        <v>2025-12</v>
      </c>
    </row>
    <row r="3340" spans="1:23">
      <c r="A3340" s="1" t="s">
        <v>5527</v>
      </c>
      <c r="B3340" s="1" t="s">
        <v>1371</v>
      </c>
      <c r="C3340" s="1" t="s">
        <v>25</v>
      </c>
      <c r="D3340" s="1" t="s">
        <v>19</v>
      </c>
      <c r="E3340" s="1" t="s">
        <v>57</v>
      </c>
      <c r="F3340">
        <v>1</v>
      </c>
      <c r="G3340" s="2">
        <v>46094</v>
      </c>
      <c r="H3340" s="2">
        <v>46116</v>
      </c>
      <c r="I3340">
        <v>210.13</v>
      </c>
      <c r="J3340">
        <v>75.23</v>
      </c>
      <c r="K3340">
        <v>67.709999999999994</v>
      </c>
      <c r="L3340">
        <v>7.52</v>
      </c>
      <c r="M3340" s="1" t="s">
        <v>21</v>
      </c>
      <c r="N3340" s="1" t="s">
        <v>22</v>
      </c>
      <c r="O3340" s="2">
        <v>46133</v>
      </c>
      <c r="P3340" s="2">
        <v>46133</v>
      </c>
      <c r="Q3340">
        <f>_xlfn.XLOOKUP(E3340,CPT!$A$2:$A$13,CPT!$D$2:$D$13)</f>
        <v>210</v>
      </c>
      <c r="R3340" s="1">
        <f>_xlfn.XLOOKUP(C3340,Contract!$A$2:$A$9,Contract!$B$2:$B$9)</f>
        <v>0.36</v>
      </c>
      <c r="S3340" s="1">
        <f t="shared" si="208"/>
        <v>75.599999999999994</v>
      </c>
      <c r="T3340" s="1">
        <f t="shared" si="209"/>
        <v>0.36999999999999034</v>
      </c>
      <c r="U3340" s="1" t="str">
        <f t="shared" si="210"/>
        <v>OK</v>
      </c>
      <c r="V3340" s="1" t="str">
        <f>_xlfn.XLOOKUP(C3340,Payers!$A$2:$A$9,Payers!$B$2:$B$9)</f>
        <v>Medicare Part B</v>
      </c>
      <c r="W3340" s="1" t="str">
        <f t="shared" si="211"/>
        <v>2026-03</v>
      </c>
    </row>
    <row r="3341" spans="1:23">
      <c r="A3341" s="1" t="s">
        <v>5528</v>
      </c>
      <c r="B3341" s="1" t="s">
        <v>1110</v>
      </c>
      <c r="C3341" s="1" t="s">
        <v>60</v>
      </c>
      <c r="D3341" s="1" t="s">
        <v>30</v>
      </c>
      <c r="E3341" s="1" t="s">
        <v>20</v>
      </c>
      <c r="F3341">
        <v>1</v>
      </c>
      <c r="G3341" s="2">
        <v>46265</v>
      </c>
      <c r="H3341" s="2">
        <v>46266</v>
      </c>
      <c r="I3341">
        <v>141.04</v>
      </c>
      <c r="M3341" s="1" t="s">
        <v>69</v>
      </c>
      <c r="N3341" s="1" t="s">
        <v>22</v>
      </c>
      <c r="O3341" s="2"/>
      <c r="P3341" s="2"/>
      <c r="Q3341">
        <f>_xlfn.XLOOKUP(E3341,CPT!$A$2:$A$13,CPT!$D$2:$D$13)</f>
        <v>145</v>
      </c>
      <c r="R3341" s="1">
        <f>_xlfn.XLOOKUP(C3341,Contract!$A$2:$A$9,Contract!$B$2:$B$9)</f>
        <v>0.45</v>
      </c>
      <c r="S3341" s="1">
        <f t="shared" si="208"/>
        <v>65.25</v>
      </c>
      <c r="T3341" s="1" t="str">
        <f t="shared" si="209"/>
        <v/>
      </c>
      <c r="U3341" s="1" t="str">
        <f t="shared" si="210"/>
        <v/>
      </c>
      <c r="V3341" s="1" t="str">
        <f>_xlfn.XLOOKUP(C3341,Payers!$A$2:$A$9,Payers!$B$2:$B$9)</f>
        <v>Blue Horizon Commercial</v>
      </c>
      <c r="W3341" s="1" t="str">
        <f t="shared" si="211"/>
        <v>2026-08</v>
      </c>
    </row>
    <row r="3342" spans="1:23">
      <c r="A3342" s="1" t="s">
        <v>5529</v>
      </c>
      <c r="B3342" s="1" t="s">
        <v>17</v>
      </c>
      <c r="C3342" s="1" t="s">
        <v>76</v>
      </c>
      <c r="D3342" s="1" t="s">
        <v>37</v>
      </c>
      <c r="E3342" s="1" t="s">
        <v>57</v>
      </c>
      <c r="F3342">
        <v>1</v>
      </c>
      <c r="G3342" s="2">
        <v>46270</v>
      </c>
      <c r="H3342" s="2">
        <v>46272</v>
      </c>
      <c r="I3342">
        <v>213.95</v>
      </c>
      <c r="M3342" s="1" t="s">
        <v>69</v>
      </c>
      <c r="N3342" s="1" t="s">
        <v>22</v>
      </c>
      <c r="O3342" s="2"/>
      <c r="P3342" s="2"/>
      <c r="Q3342">
        <f>_xlfn.XLOOKUP(E3342,CPT!$A$2:$A$13,CPT!$D$2:$D$13)</f>
        <v>210</v>
      </c>
      <c r="R3342" s="1">
        <f>_xlfn.XLOOKUP(C3342,Contract!$A$2:$A$9,Contract!$B$2:$B$9)</f>
        <v>0.43</v>
      </c>
      <c r="S3342" s="1">
        <f t="shared" si="208"/>
        <v>90.3</v>
      </c>
      <c r="T3342" s="1" t="str">
        <f t="shared" si="209"/>
        <v/>
      </c>
      <c r="U3342" s="1" t="str">
        <f t="shared" si="210"/>
        <v/>
      </c>
      <c r="V3342" s="1" t="str">
        <f>_xlfn.XLOOKUP(C3342,Payers!$A$2:$A$9,Payers!$B$2:$B$9)</f>
        <v>Summit Health Commercial</v>
      </c>
      <c r="W3342" s="1" t="str">
        <f t="shared" si="211"/>
        <v>2026-09</v>
      </c>
    </row>
    <row r="3343" spans="1:23">
      <c r="A3343" s="1" t="s">
        <v>5530</v>
      </c>
      <c r="B3343" s="1" t="s">
        <v>2845</v>
      </c>
      <c r="C3343" s="1" t="s">
        <v>36</v>
      </c>
      <c r="D3343" s="1" t="s">
        <v>30</v>
      </c>
      <c r="E3343" s="1" t="s">
        <v>31</v>
      </c>
      <c r="F3343">
        <v>1</v>
      </c>
      <c r="G3343" s="2">
        <v>46275</v>
      </c>
      <c r="H3343" s="2">
        <v>46280</v>
      </c>
      <c r="I3343">
        <v>63.17</v>
      </c>
      <c r="M3343" s="1" t="s">
        <v>69</v>
      </c>
      <c r="N3343" s="1" t="s">
        <v>22</v>
      </c>
      <c r="O3343" s="2"/>
      <c r="P3343" s="2"/>
      <c r="Q3343">
        <f>_xlfn.XLOOKUP(E3343,CPT!$A$2:$A$13,CPT!$D$2:$D$13)</f>
        <v>62</v>
      </c>
      <c r="R3343" s="1">
        <f>_xlfn.XLOOKUP(C3343,Contract!$A$2:$A$9,Contract!$B$2:$B$9)</f>
        <v>0.27</v>
      </c>
      <c r="S3343" s="1">
        <f t="shared" si="208"/>
        <v>16.739999999999998</v>
      </c>
      <c r="T3343" s="1" t="str">
        <f t="shared" si="209"/>
        <v/>
      </c>
      <c r="U3343" s="1" t="str">
        <f t="shared" si="210"/>
        <v/>
      </c>
      <c r="V3343" s="1" t="str">
        <f>_xlfn.XLOOKUP(C3343,Payers!$A$2:$A$9,Payers!$B$2:$B$9)</f>
        <v>Florida Medicaid</v>
      </c>
      <c r="W3343" s="1" t="str">
        <f t="shared" si="211"/>
        <v>2026-09</v>
      </c>
    </row>
    <row r="3344" spans="1:23">
      <c r="A3344" s="1" t="s">
        <v>5531</v>
      </c>
      <c r="B3344" s="1" t="s">
        <v>1355</v>
      </c>
      <c r="C3344" s="1" t="s">
        <v>60</v>
      </c>
      <c r="D3344" s="1" t="s">
        <v>37</v>
      </c>
      <c r="E3344" s="1" t="s">
        <v>48</v>
      </c>
      <c r="F3344">
        <v>1</v>
      </c>
      <c r="G3344" s="2">
        <v>46256</v>
      </c>
      <c r="H3344" s="2">
        <v>46257</v>
      </c>
      <c r="I3344">
        <v>411.9</v>
      </c>
      <c r="M3344" s="1" t="s">
        <v>69</v>
      </c>
      <c r="N3344" s="1" t="s">
        <v>22</v>
      </c>
      <c r="O3344" s="2"/>
      <c r="P3344" s="2"/>
      <c r="Q3344">
        <f>_xlfn.XLOOKUP(E3344,CPT!$A$2:$A$13,CPT!$D$2:$D$13)</f>
        <v>420</v>
      </c>
      <c r="R3344" s="1">
        <f>_xlfn.XLOOKUP(C3344,Contract!$A$2:$A$9,Contract!$B$2:$B$9)</f>
        <v>0.45</v>
      </c>
      <c r="S3344" s="1">
        <f t="shared" si="208"/>
        <v>189</v>
      </c>
      <c r="T3344" s="1" t="str">
        <f t="shared" si="209"/>
        <v/>
      </c>
      <c r="U3344" s="1" t="str">
        <f t="shared" si="210"/>
        <v/>
      </c>
      <c r="V3344" s="1" t="str">
        <f>_xlfn.XLOOKUP(C3344,Payers!$A$2:$A$9,Payers!$B$2:$B$9)</f>
        <v>Blue Horizon Commercial</v>
      </c>
      <c r="W3344" s="1" t="str">
        <f t="shared" si="211"/>
        <v>2026-08</v>
      </c>
    </row>
    <row r="3345" spans="1:23">
      <c r="A3345" s="1" t="s">
        <v>5532</v>
      </c>
      <c r="B3345" s="1" t="s">
        <v>2154</v>
      </c>
      <c r="C3345" s="1" t="s">
        <v>18</v>
      </c>
      <c r="D3345" s="1" t="s">
        <v>26</v>
      </c>
      <c r="E3345" s="1" t="s">
        <v>57</v>
      </c>
      <c r="F3345">
        <v>1</v>
      </c>
      <c r="G3345" s="2">
        <v>46187</v>
      </c>
      <c r="H3345" s="2">
        <v>46197</v>
      </c>
      <c r="I3345">
        <v>213.09</v>
      </c>
      <c r="J3345">
        <v>85.7</v>
      </c>
      <c r="K3345">
        <v>77.13</v>
      </c>
      <c r="L3345">
        <v>8.57</v>
      </c>
      <c r="M3345" s="1" t="s">
        <v>21</v>
      </c>
      <c r="N3345" s="1" t="s">
        <v>22</v>
      </c>
      <c r="O3345" s="2">
        <v>46216</v>
      </c>
      <c r="P3345" s="2">
        <v>46216</v>
      </c>
      <c r="Q3345">
        <f>_xlfn.XLOOKUP(E3345,CPT!$A$2:$A$13,CPT!$D$2:$D$13)</f>
        <v>210</v>
      </c>
      <c r="R3345" s="1">
        <f>_xlfn.XLOOKUP(C3345,Contract!$A$2:$A$9,Contract!$B$2:$B$9)</f>
        <v>0.38</v>
      </c>
      <c r="S3345" s="1">
        <f t="shared" si="208"/>
        <v>79.8</v>
      </c>
      <c r="T3345" s="1">
        <f t="shared" si="209"/>
        <v>-5.9000000000000057</v>
      </c>
      <c r="U3345" s="1" t="str">
        <f t="shared" si="210"/>
        <v>OK</v>
      </c>
      <c r="V3345" s="1" t="str">
        <f>_xlfn.XLOOKUP(C3345,Payers!$A$2:$A$9,Payers!$B$2:$B$9)</f>
        <v>Sunshine Medicare Advantage</v>
      </c>
      <c r="W3345" s="1" t="str">
        <f t="shared" si="211"/>
        <v>2026-06</v>
      </c>
    </row>
    <row r="3346" spans="1:23">
      <c r="A3346" s="1" t="s">
        <v>5533</v>
      </c>
      <c r="B3346" s="1" t="s">
        <v>5534</v>
      </c>
      <c r="C3346" s="1" t="s">
        <v>79</v>
      </c>
      <c r="D3346" s="1" t="s">
        <v>30</v>
      </c>
      <c r="E3346" s="1" t="s">
        <v>31</v>
      </c>
      <c r="F3346">
        <v>1</v>
      </c>
      <c r="G3346" s="2">
        <v>46196</v>
      </c>
      <c r="H3346" s="2">
        <v>46199</v>
      </c>
      <c r="I3346">
        <v>63.69</v>
      </c>
      <c r="J3346">
        <v>63.69</v>
      </c>
      <c r="K3346">
        <v>63.69</v>
      </c>
      <c r="L3346">
        <v>0</v>
      </c>
      <c r="M3346" s="1" t="s">
        <v>21</v>
      </c>
      <c r="N3346" s="1" t="s">
        <v>22</v>
      </c>
      <c r="O3346" s="2">
        <v>46277</v>
      </c>
      <c r="P3346" s="2">
        <v>46277</v>
      </c>
      <c r="Q3346">
        <f>_xlfn.XLOOKUP(E3346,CPT!$A$2:$A$13,CPT!$D$2:$D$13)</f>
        <v>62</v>
      </c>
      <c r="R3346" s="1">
        <f>_xlfn.XLOOKUP(C3346,Contract!$A$2:$A$9,Contract!$B$2:$B$9)</f>
        <v>1</v>
      </c>
      <c r="S3346" s="1">
        <f t="shared" si="208"/>
        <v>62</v>
      </c>
      <c r="T3346" s="1">
        <f t="shared" si="209"/>
        <v>-1.6899999999999977</v>
      </c>
      <c r="U3346" s="1" t="str">
        <f t="shared" si="210"/>
        <v>OK</v>
      </c>
      <c r="V3346" s="1" t="str">
        <f>_xlfn.XLOOKUP(C3346,Payers!$A$2:$A$9,Payers!$B$2:$B$9)</f>
        <v>Self-Pay</v>
      </c>
      <c r="W3346" s="1" t="str">
        <f t="shared" si="211"/>
        <v>2026-06</v>
      </c>
    </row>
    <row r="3347" spans="1:23">
      <c r="A3347" s="1" t="s">
        <v>5535</v>
      </c>
      <c r="B3347" s="1" t="s">
        <v>1065</v>
      </c>
      <c r="C3347" s="1" t="s">
        <v>76</v>
      </c>
      <c r="D3347" s="1" t="s">
        <v>19</v>
      </c>
      <c r="E3347" s="1" t="s">
        <v>88</v>
      </c>
      <c r="F3347">
        <v>1</v>
      </c>
      <c r="G3347" s="2">
        <v>46121</v>
      </c>
      <c r="H3347" s="2">
        <v>46122</v>
      </c>
      <c r="I3347">
        <v>254.28</v>
      </c>
      <c r="M3347" s="1" t="s">
        <v>32</v>
      </c>
      <c r="N3347" s="1" t="s">
        <v>124</v>
      </c>
      <c r="O3347" s="2">
        <v>46143</v>
      </c>
      <c r="P3347" s="2"/>
      <c r="Q3347">
        <f>_xlfn.XLOOKUP(E3347,CPT!$A$2:$A$13,CPT!$D$2:$D$13)</f>
        <v>260</v>
      </c>
      <c r="R3347" s="1">
        <f>_xlfn.XLOOKUP(C3347,Contract!$A$2:$A$9,Contract!$B$2:$B$9)</f>
        <v>0.43</v>
      </c>
      <c r="S3347" s="1">
        <f t="shared" si="208"/>
        <v>111.8</v>
      </c>
      <c r="T3347" s="1" t="str">
        <f t="shared" si="209"/>
        <v/>
      </c>
      <c r="U3347" s="1" t="str">
        <f t="shared" si="210"/>
        <v/>
      </c>
      <c r="V3347" s="1" t="str">
        <f>_xlfn.XLOOKUP(C3347,Payers!$A$2:$A$9,Payers!$B$2:$B$9)</f>
        <v>Summit Health Commercial</v>
      </c>
      <c r="W3347" s="1" t="str">
        <f t="shared" si="211"/>
        <v>2026-04</v>
      </c>
    </row>
    <row r="3348" spans="1:23">
      <c r="A3348" s="1" t="s">
        <v>5536</v>
      </c>
      <c r="B3348" s="1" t="s">
        <v>5537</v>
      </c>
      <c r="C3348" s="1" t="s">
        <v>76</v>
      </c>
      <c r="D3348" s="1" t="s">
        <v>30</v>
      </c>
      <c r="E3348" s="1" t="s">
        <v>31</v>
      </c>
      <c r="F3348">
        <v>3</v>
      </c>
      <c r="G3348" s="2">
        <v>46011</v>
      </c>
      <c r="H3348" s="2">
        <v>46012</v>
      </c>
      <c r="I3348">
        <v>190.98</v>
      </c>
      <c r="J3348">
        <v>89.21</v>
      </c>
      <c r="K3348">
        <v>89.21</v>
      </c>
      <c r="L3348">
        <v>0</v>
      </c>
      <c r="M3348" s="1" t="s">
        <v>21</v>
      </c>
      <c r="N3348" s="1" t="s">
        <v>22</v>
      </c>
      <c r="O3348" s="2">
        <v>46042</v>
      </c>
      <c r="P3348" s="2">
        <v>46042</v>
      </c>
      <c r="Q3348">
        <f>_xlfn.XLOOKUP(E3348,CPT!$A$2:$A$13,CPT!$D$2:$D$13)</f>
        <v>62</v>
      </c>
      <c r="R3348" s="1">
        <f>_xlfn.XLOOKUP(C3348,Contract!$A$2:$A$9,Contract!$B$2:$B$9)</f>
        <v>0.43</v>
      </c>
      <c r="S3348" s="1">
        <f t="shared" si="208"/>
        <v>79.98</v>
      </c>
      <c r="T3348" s="1">
        <f t="shared" si="209"/>
        <v>-9.2299999999999898</v>
      </c>
      <c r="U3348" s="1" t="str">
        <f t="shared" si="210"/>
        <v>OK</v>
      </c>
      <c r="V3348" s="1" t="str">
        <f>_xlfn.XLOOKUP(C3348,Payers!$A$2:$A$9,Payers!$B$2:$B$9)</f>
        <v>Summit Health Commercial</v>
      </c>
      <c r="W3348" s="1" t="str">
        <f t="shared" si="211"/>
        <v>2025-12</v>
      </c>
    </row>
    <row r="3349" spans="1:23">
      <c r="A3349" s="1" t="s">
        <v>5538</v>
      </c>
      <c r="B3349" s="1" t="s">
        <v>5539</v>
      </c>
      <c r="C3349" s="1" t="s">
        <v>25</v>
      </c>
      <c r="D3349" s="1" t="s">
        <v>30</v>
      </c>
      <c r="E3349" s="1" t="s">
        <v>20</v>
      </c>
      <c r="F3349">
        <v>1</v>
      </c>
      <c r="G3349" s="2">
        <v>46288</v>
      </c>
      <c r="H3349" s="2">
        <v>46291</v>
      </c>
      <c r="I3349">
        <v>145.4</v>
      </c>
      <c r="M3349" s="1" t="s">
        <v>69</v>
      </c>
      <c r="N3349" s="1" t="s">
        <v>22</v>
      </c>
      <c r="O3349" s="2"/>
      <c r="P3349" s="2"/>
      <c r="Q3349">
        <f>_xlfn.XLOOKUP(E3349,CPT!$A$2:$A$13,CPT!$D$2:$D$13)</f>
        <v>145</v>
      </c>
      <c r="R3349" s="1">
        <f>_xlfn.XLOOKUP(C3349,Contract!$A$2:$A$9,Contract!$B$2:$B$9)</f>
        <v>0.36</v>
      </c>
      <c r="S3349" s="1">
        <f t="shared" si="208"/>
        <v>52.2</v>
      </c>
      <c r="T3349" s="1" t="str">
        <f t="shared" si="209"/>
        <v/>
      </c>
      <c r="U3349" s="1" t="str">
        <f t="shared" si="210"/>
        <v/>
      </c>
      <c r="V3349" s="1" t="str">
        <f>_xlfn.XLOOKUP(C3349,Payers!$A$2:$A$9,Payers!$B$2:$B$9)</f>
        <v>Medicare Part B</v>
      </c>
      <c r="W3349" s="1" t="str">
        <f t="shared" si="211"/>
        <v>2026-09</v>
      </c>
    </row>
    <row r="3350" spans="1:23">
      <c r="A3350" s="1" t="s">
        <v>5540</v>
      </c>
      <c r="B3350" s="1" t="s">
        <v>5541</v>
      </c>
      <c r="C3350" s="1" t="s">
        <v>76</v>
      </c>
      <c r="D3350" s="1" t="s">
        <v>26</v>
      </c>
      <c r="E3350" s="1" t="s">
        <v>113</v>
      </c>
      <c r="F3350">
        <v>1</v>
      </c>
      <c r="G3350" s="2">
        <v>46151</v>
      </c>
      <c r="H3350" s="2">
        <v>46153</v>
      </c>
      <c r="I3350">
        <v>1020.07</v>
      </c>
      <c r="M3350" s="1" t="s">
        <v>32</v>
      </c>
      <c r="N3350" s="1" t="s">
        <v>33</v>
      </c>
      <c r="O3350" s="2">
        <v>46199</v>
      </c>
      <c r="P3350" s="2"/>
      <c r="Q3350">
        <f>_xlfn.XLOOKUP(E3350,CPT!$A$2:$A$13,CPT!$D$2:$D$13)</f>
        <v>1050</v>
      </c>
      <c r="R3350" s="1">
        <f>_xlfn.XLOOKUP(C3350,Contract!$A$2:$A$9,Contract!$B$2:$B$9)</f>
        <v>0.43</v>
      </c>
      <c r="S3350" s="1">
        <f t="shared" si="208"/>
        <v>451.5</v>
      </c>
      <c r="T3350" s="1" t="str">
        <f t="shared" si="209"/>
        <v/>
      </c>
      <c r="U3350" s="1" t="str">
        <f t="shared" si="210"/>
        <v/>
      </c>
      <c r="V3350" s="1" t="str">
        <f>_xlfn.XLOOKUP(C3350,Payers!$A$2:$A$9,Payers!$B$2:$B$9)</f>
        <v>Summit Health Commercial</v>
      </c>
      <c r="W3350" s="1" t="str">
        <f t="shared" si="211"/>
        <v>2026-05</v>
      </c>
    </row>
    <row r="3351" spans="1:23">
      <c r="A3351" s="1" t="s">
        <v>5542</v>
      </c>
      <c r="B3351" s="1" t="s">
        <v>5543</v>
      </c>
      <c r="C3351" s="1" t="s">
        <v>60</v>
      </c>
      <c r="D3351" s="1" t="s">
        <v>19</v>
      </c>
      <c r="E3351" s="1" t="s">
        <v>88</v>
      </c>
      <c r="F3351">
        <v>1</v>
      </c>
      <c r="G3351" s="2">
        <v>46230</v>
      </c>
      <c r="H3351" s="2">
        <v>46239</v>
      </c>
      <c r="I3351">
        <v>255.33</v>
      </c>
      <c r="J3351">
        <v>108.99</v>
      </c>
      <c r="K3351">
        <v>108.99</v>
      </c>
      <c r="L3351">
        <v>0</v>
      </c>
      <c r="M3351" s="1" t="s">
        <v>21</v>
      </c>
      <c r="N3351" s="1" t="s">
        <v>22</v>
      </c>
      <c r="O3351" s="2">
        <v>46274</v>
      </c>
      <c r="P3351" s="2">
        <v>46274</v>
      </c>
      <c r="Q3351">
        <f>_xlfn.XLOOKUP(E3351,CPT!$A$2:$A$13,CPT!$D$2:$D$13)</f>
        <v>260</v>
      </c>
      <c r="R3351" s="1">
        <f>_xlfn.XLOOKUP(C3351,Contract!$A$2:$A$9,Contract!$B$2:$B$9)</f>
        <v>0.45</v>
      </c>
      <c r="S3351" s="1">
        <f t="shared" si="208"/>
        <v>117</v>
      </c>
      <c r="T3351" s="1">
        <f t="shared" si="209"/>
        <v>8.0100000000000051</v>
      </c>
      <c r="U3351" s="1" t="str">
        <f t="shared" si="210"/>
        <v>Underpaid</v>
      </c>
      <c r="V3351" s="1" t="str">
        <f>_xlfn.XLOOKUP(C3351,Payers!$A$2:$A$9,Payers!$B$2:$B$9)</f>
        <v>Blue Horizon Commercial</v>
      </c>
      <c r="W3351" s="1" t="str">
        <f t="shared" si="211"/>
        <v>2026-07</v>
      </c>
    </row>
    <row r="3352" spans="1:23">
      <c r="A3352" s="1" t="s">
        <v>5544</v>
      </c>
      <c r="B3352" s="1" t="s">
        <v>1299</v>
      </c>
      <c r="C3352" s="1" t="s">
        <v>36</v>
      </c>
      <c r="D3352" s="1" t="s">
        <v>30</v>
      </c>
      <c r="E3352" s="1" t="s">
        <v>91</v>
      </c>
      <c r="F3352">
        <v>1</v>
      </c>
      <c r="G3352" s="2">
        <v>46067</v>
      </c>
      <c r="H3352" s="2">
        <v>46069</v>
      </c>
      <c r="I3352">
        <v>59.07</v>
      </c>
      <c r="J3352">
        <v>16.57</v>
      </c>
      <c r="K3352">
        <v>16.57</v>
      </c>
      <c r="L3352">
        <v>0</v>
      </c>
      <c r="M3352" s="1" t="s">
        <v>21</v>
      </c>
      <c r="N3352" s="1" t="s">
        <v>22</v>
      </c>
      <c r="O3352" s="2">
        <v>46090</v>
      </c>
      <c r="P3352" s="2">
        <v>46090</v>
      </c>
      <c r="Q3352">
        <f>_xlfn.XLOOKUP(E3352,CPT!$A$2:$A$13,CPT!$D$2:$D$13)</f>
        <v>58</v>
      </c>
      <c r="R3352" s="1">
        <f>_xlfn.XLOOKUP(C3352,Contract!$A$2:$A$9,Contract!$B$2:$B$9)</f>
        <v>0.27</v>
      </c>
      <c r="S3352" s="1">
        <f t="shared" si="208"/>
        <v>15.66</v>
      </c>
      <c r="T3352" s="1">
        <f t="shared" si="209"/>
        <v>-0.91000000000000014</v>
      </c>
      <c r="U3352" s="1" t="str">
        <f t="shared" si="210"/>
        <v>OK</v>
      </c>
      <c r="V3352" s="1" t="str">
        <f>_xlfn.XLOOKUP(C3352,Payers!$A$2:$A$9,Payers!$B$2:$B$9)</f>
        <v>Florida Medicaid</v>
      </c>
      <c r="W3352" s="1" t="str">
        <f t="shared" si="211"/>
        <v>2026-02</v>
      </c>
    </row>
    <row r="3353" spans="1:23">
      <c r="A3353" s="1" t="s">
        <v>5545</v>
      </c>
      <c r="B3353" s="1" t="s">
        <v>398</v>
      </c>
      <c r="C3353" s="1" t="s">
        <v>18</v>
      </c>
      <c r="D3353" s="1" t="s">
        <v>30</v>
      </c>
      <c r="E3353" s="1" t="s">
        <v>91</v>
      </c>
      <c r="F3353">
        <v>1</v>
      </c>
      <c r="G3353" s="2">
        <v>46134</v>
      </c>
      <c r="H3353" s="2">
        <v>46135</v>
      </c>
      <c r="I3353">
        <v>58.64</v>
      </c>
      <c r="J3353">
        <v>25.33</v>
      </c>
      <c r="K3353">
        <v>22.8</v>
      </c>
      <c r="L3353">
        <v>2.5299999999999998</v>
      </c>
      <c r="M3353" s="1" t="s">
        <v>21</v>
      </c>
      <c r="N3353" s="1" t="s">
        <v>22</v>
      </c>
      <c r="O3353" s="2">
        <v>46188</v>
      </c>
      <c r="P3353" s="2">
        <v>46188</v>
      </c>
      <c r="Q3353">
        <f>_xlfn.XLOOKUP(E3353,CPT!$A$2:$A$13,CPT!$D$2:$D$13)</f>
        <v>58</v>
      </c>
      <c r="R3353" s="1">
        <f>_xlfn.XLOOKUP(C3353,Contract!$A$2:$A$9,Contract!$B$2:$B$9)</f>
        <v>0.38</v>
      </c>
      <c r="S3353" s="1">
        <f t="shared" si="208"/>
        <v>22.04</v>
      </c>
      <c r="T3353" s="1">
        <f t="shared" si="209"/>
        <v>-3.2899999999999991</v>
      </c>
      <c r="U3353" s="1" t="str">
        <f t="shared" si="210"/>
        <v>OK</v>
      </c>
      <c r="V3353" s="1" t="str">
        <f>_xlfn.XLOOKUP(C3353,Payers!$A$2:$A$9,Payers!$B$2:$B$9)</f>
        <v>Sunshine Medicare Advantage</v>
      </c>
      <c r="W3353" s="1" t="str">
        <f t="shared" si="211"/>
        <v>2026-04</v>
      </c>
    </row>
    <row r="3354" spans="1:23">
      <c r="A3354" s="1" t="s">
        <v>5546</v>
      </c>
      <c r="B3354" s="1" t="s">
        <v>3062</v>
      </c>
      <c r="C3354" s="1" t="s">
        <v>60</v>
      </c>
      <c r="D3354" s="1" t="s">
        <v>26</v>
      </c>
      <c r="E3354" s="1" t="s">
        <v>57</v>
      </c>
      <c r="F3354">
        <v>1</v>
      </c>
      <c r="G3354" s="2">
        <v>46276</v>
      </c>
      <c r="H3354" s="2">
        <v>46286</v>
      </c>
      <c r="I3354">
        <v>213.66</v>
      </c>
      <c r="M3354" s="1" t="s">
        <v>69</v>
      </c>
      <c r="N3354" s="1" t="s">
        <v>22</v>
      </c>
      <c r="O3354" s="2"/>
      <c r="P3354" s="2"/>
      <c r="Q3354">
        <f>_xlfn.XLOOKUP(E3354,CPT!$A$2:$A$13,CPT!$D$2:$D$13)</f>
        <v>210</v>
      </c>
      <c r="R3354" s="1">
        <f>_xlfn.XLOOKUP(C3354,Contract!$A$2:$A$9,Contract!$B$2:$B$9)</f>
        <v>0.45</v>
      </c>
      <c r="S3354" s="1">
        <f t="shared" si="208"/>
        <v>94.5</v>
      </c>
      <c r="T3354" s="1" t="str">
        <f t="shared" si="209"/>
        <v/>
      </c>
      <c r="U3354" s="1" t="str">
        <f t="shared" si="210"/>
        <v/>
      </c>
      <c r="V3354" s="1" t="str">
        <f>_xlfn.XLOOKUP(C3354,Payers!$A$2:$A$9,Payers!$B$2:$B$9)</f>
        <v>Blue Horizon Commercial</v>
      </c>
      <c r="W3354" s="1" t="str">
        <f t="shared" si="211"/>
        <v>2026-09</v>
      </c>
    </row>
    <row r="3355" spans="1:23">
      <c r="A3355" s="1" t="s">
        <v>5547</v>
      </c>
      <c r="B3355" s="1" t="s">
        <v>5548</v>
      </c>
      <c r="C3355" s="1" t="s">
        <v>18</v>
      </c>
      <c r="D3355" s="1" t="s">
        <v>26</v>
      </c>
      <c r="E3355" s="1" t="s">
        <v>27</v>
      </c>
      <c r="F3355">
        <v>1</v>
      </c>
      <c r="G3355" s="2">
        <v>46016</v>
      </c>
      <c r="H3355" s="2">
        <v>46019</v>
      </c>
      <c r="I3355">
        <v>241.19</v>
      </c>
      <c r="J3355">
        <v>93.27</v>
      </c>
      <c r="K3355">
        <v>93.27</v>
      </c>
      <c r="L3355">
        <v>0</v>
      </c>
      <c r="M3355" s="1" t="s">
        <v>21</v>
      </c>
      <c r="N3355" s="1" t="s">
        <v>22</v>
      </c>
      <c r="O3355" s="2">
        <v>46064</v>
      </c>
      <c r="P3355" s="2">
        <v>46064</v>
      </c>
      <c r="Q3355">
        <f>_xlfn.XLOOKUP(E3355,CPT!$A$2:$A$13,CPT!$D$2:$D$13)</f>
        <v>240</v>
      </c>
      <c r="R3355" s="1">
        <f>_xlfn.XLOOKUP(C3355,Contract!$A$2:$A$9,Contract!$B$2:$B$9)</f>
        <v>0.38</v>
      </c>
      <c r="S3355" s="1">
        <f t="shared" si="208"/>
        <v>91.2</v>
      </c>
      <c r="T3355" s="1">
        <f t="shared" si="209"/>
        <v>-2.0699999999999932</v>
      </c>
      <c r="U3355" s="1" t="str">
        <f t="shared" si="210"/>
        <v>OK</v>
      </c>
      <c r="V3355" s="1" t="str">
        <f>_xlfn.XLOOKUP(C3355,Payers!$A$2:$A$9,Payers!$B$2:$B$9)</f>
        <v>Sunshine Medicare Advantage</v>
      </c>
      <c r="W3355" s="1" t="str">
        <f t="shared" si="211"/>
        <v>2025-12</v>
      </c>
    </row>
    <row r="3356" spans="1:23">
      <c r="A3356" s="1" t="s">
        <v>5549</v>
      </c>
      <c r="B3356" s="1" t="s">
        <v>5550</v>
      </c>
      <c r="C3356" s="1" t="s">
        <v>47</v>
      </c>
      <c r="D3356" s="1" t="s">
        <v>30</v>
      </c>
      <c r="E3356" s="1" t="s">
        <v>20</v>
      </c>
      <c r="F3356">
        <v>1</v>
      </c>
      <c r="G3356" s="2">
        <v>46268</v>
      </c>
      <c r="H3356" s="2">
        <v>46271</v>
      </c>
      <c r="I3356">
        <v>142.83000000000001</v>
      </c>
      <c r="M3356" s="1" t="s">
        <v>69</v>
      </c>
      <c r="N3356" s="1" t="s">
        <v>22</v>
      </c>
      <c r="O3356" s="2"/>
      <c r="P3356" s="2"/>
      <c r="Q3356">
        <f>_xlfn.XLOOKUP(E3356,CPT!$A$2:$A$13,CPT!$D$2:$D$13)</f>
        <v>145</v>
      </c>
      <c r="R3356" s="1">
        <f>_xlfn.XLOOKUP(C3356,Contract!$A$2:$A$9,Contract!$B$2:$B$9)</f>
        <v>0.28000000000000003</v>
      </c>
      <c r="S3356" s="1">
        <f t="shared" si="208"/>
        <v>40.6</v>
      </c>
      <c r="T3356" s="1" t="str">
        <f t="shared" si="209"/>
        <v/>
      </c>
      <c r="U3356" s="1" t="str">
        <f t="shared" si="210"/>
        <v/>
      </c>
      <c r="V3356" s="1" t="str">
        <f>_xlfn.XLOOKUP(C3356,Payers!$A$2:$A$9,Payers!$B$2:$B$9)</f>
        <v>Coastal Medicaid MCO</v>
      </c>
      <c r="W3356" s="1" t="str">
        <f t="shared" si="211"/>
        <v>2026-09</v>
      </c>
    </row>
    <row r="3357" spans="1:23">
      <c r="A3357" s="1" t="s">
        <v>5551</v>
      </c>
      <c r="B3357" s="1" t="s">
        <v>3155</v>
      </c>
      <c r="C3357" s="1" t="s">
        <v>36</v>
      </c>
      <c r="D3357" s="1" t="s">
        <v>37</v>
      </c>
      <c r="E3357" s="1" t="s">
        <v>38</v>
      </c>
      <c r="F3357">
        <v>5</v>
      </c>
      <c r="G3357" s="2">
        <v>46136</v>
      </c>
      <c r="H3357" s="2">
        <v>46147</v>
      </c>
      <c r="I3357">
        <v>7244.58</v>
      </c>
      <c r="M3357" s="1" t="s">
        <v>32</v>
      </c>
      <c r="N3357" s="1" t="s">
        <v>33</v>
      </c>
      <c r="O3357" s="2">
        <v>46178</v>
      </c>
      <c r="P3357" s="2"/>
      <c r="Q3357">
        <f>_xlfn.XLOOKUP(E3357,CPT!$A$2:$A$13,CPT!$D$2:$D$13)</f>
        <v>1450</v>
      </c>
      <c r="R3357" s="1">
        <f>_xlfn.XLOOKUP(C3357,Contract!$A$2:$A$9,Contract!$B$2:$B$9)</f>
        <v>0.27</v>
      </c>
      <c r="S3357" s="1">
        <f t="shared" si="208"/>
        <v>1957.5</v>
      </c>
      <c r="T3357" s="1" t="str">
        <f t="shared" si="209"/>
        <v/>
      </c>
      <c r="U3357" s="1" t="str">
        <f t="shared" si="210"/>
        <v/>
      </c>
      <c r="V3357" s="1" t="str">
        <f>_xlfn.XLOOKUP(C3357,Payers!$A$2:$A$9,Payers!$B$2:$B$9)</f>
        <v>Florida Medicaid</v>
      </c>
      <c r="W3357" s="1" t="str">
        <f t="shared" si="211"/>
        <v>2026-04</v>
      </c>
    </row>
    <row r="3358" spans="1:23">
      <c r="A3358" s="1" t="s">
        <v>5552</v>
      </c>
      <c r="B3358" s="1" t="s">
        <v>5553</v>
      </c>
      <c r="C3358" s="1" t="s">
        <v>60</v>
      </c>
      <c r="D3358" s="1" t="s">
        <v>30</v>
      </c>
      <c r="E3358" s="1" t="s">
        <v>20</v>
      </c>
      <c r="F3358">
        <v>1</v>
      </c>
      <c r="G3358" s="2">
        <v>45992</v>
      </c>
      <c r="H3358" s="2">
        <v>45993</v>
      </c>
      <c r="I3358">
        <v>142.97999999999999</v>
      </c>
      <c r="J3358">
        <v>61.14</v>
      </c>
      <c r="K3358">
        <v>61.14</v>
      </c>
      <c r="L3358">
        <v>0</v>
      </c>
      <c r="M3358" s="1" t="s">
        <v>21</v>
      </c>
      <c r="N3358" s="1" t="s">
        <v>22</v>
      </c>
      <c r="O3358" s="2">
        <v>46036</v>
      </c>
      <c r="P3358" s="2">
        <v>46036</v>
      </c>
      <c r="Q3358">
        <f>_xlfn.XLOOKUP(E3358,CPT!$A$2:$A$13,CPT!$D$2:$D$13)</f>
        <v>145</v>
      </c>
      <c r="R3358" s="1">
        <f>_xlfn.XLOOKUP(C3358,Contract!$A$2:$A$9,Contract!$B$2:$B$9)</f>
        <v>0.45</v>
      </c>
      <c r="S3358" s="1">
        <f t="shared" si="208"/>
        <v>65.25</v>
      </c>
      <c r="T3358" s="1">
        <f t="shared" si="209"/>
        <v>4.1099999999999994</v>
      </c>
      <c r="U3358" s="1" t="str">
        <f t="shared" si="210"/>
        <v>Underpaid</v>
      </c>
      <c r="V3358" s="1" t="str">
        <f>_xlfn.XLOOKUP(C3358,Payers!$A$2:$A$9,Payers!$B$2:$B$9)</f>
        <v>Blue Horizon Commercial</v>
      </c>
      <c r="W3358" s="1" t="str">
        <f t="shared" si="211"/>
        <v>2025-12</v>
      </c>
    </row>
    <row r="3359" spans="1:23">
      <c r="A3359" s="1" t="s">
        <v>5554</v>
      </c>
      <c r="B3359" s="1" t="s">
        <v>5555</v>
      </c>
      <c r="C3359" s="1" t="s">
        <v>52</v>
      </c>
      <c r="D3359" s="1" t="s">
        <v>37</v>
      </c>
      <c r="E3359" s="1" t="s">
        <v>57</v>
      </c>
      <c r="F3359">
        <v>1</v>
      </c>
      <c r="G3359" s="2">
        <v>46233</v>
      </c>
      <c r="H3359" s="2">
        <v>46238</v>
      </c>
      <c r="I3359">
        <v>211.14</v>
      </c>
      <c r="J3359">
        <v>108.39</v>
      </c>
      <c r="K3359">
        <v>108.39</v>
      </c>
      <c r="L3359">
        <v>0</v>
      </c>
      <c r="M3359" s="1" t="s">
        <v>21</v>
      </c>
      <c r="N3359" s="1" t="s">
        <v>22</v>
      </c>
      <c r="O3359" s="2">
        <v>46288</v>
      </c>
      <c r="P3359" s="2">
        <v>46288</v>
      </c>
      <c r="Q3359">
        <f>_xlfn.XLOOKUP(E3359,CPT!$A$2:$A$13,CPT!$D$2:$D$13)</f>
        <v>210</v>
      </c>
      <c r="R3359" s="1">
        <f>_xlfn.XLOOKUP(C3359,Contract!$A$2:$A$9,Contract!$B$2:$B$9)</f>
        <v>0.47</v>
      </c>
      <c r="S3359" s="1">
        <f t="shared" si="208"/>
        <v>98.7</v>
      </c>
      <c r="T3359" s="1">
        <f t="shared" si="209"/>
        <v>-9.6899999999999977</v>
      </c>
      <c r="U3359" s="1" t="str">
        <f t="shared" si="210"/>
        <v>OK</v>
      </c>
      <c r="V3359" s="1" t="str">
        <f>_xlfn.XLOOKUP(C3359,Payers!$A$2:$A$9,Payers!$B$2:$B$9)</f>
        <v>Keystone Commercial PPO</v>
      </c>
      <c r="W3359" s="1" t="str">
        <f t="shared" si="211"/>
        <v>2026-07</v>
      </c>
    </row>
    <row r="3360" spans="1:23">
      <c r="A3360" s="1" t="s">
        <v>5556</v>
      </c>
      <c r="B3360" s="1" t="s">
        <v>155</v>
      </c>
      <c r="C3360" s="1" t="s">
        <v>25</v>
      </c>
      <c r="D3360" s="1" t="s">
        <v>19</v>
      </c>
      <c r="E3360" s="1" t="s">
        <v>41</v>
      </c>
      <c r="F3360">
        <v>1</v>
      </c>
      <c r="G3360" s="2">
        <v>46145</v>
      </c>
      <c r="H3360" s="2">
        <v>46146</v>
      </c>
      <c r="I3360">
        <v>36.909999999999997</v>
      </c>
      <c r="J3360">
        <v>11.89</v>
      </c>
      <c r="K3360">
        <v>9.51</v>
      </c>
      <c r="L3360">
        <v>2.38</v>
      </c>
      <c r="M3360" s="1" t="s">
        <v>21</v>
      </c>
      <c r="N3360" s="1" t="s">
        <v>22</v>
      </c>
      <c r="O3360" s="2">
        <v>46168</v>
      </c>
      <c r="P3360" s="2">
        <v>46168</v>
      </c>
      <c r="Q3360">
        <f>_xlfn.XLOOKUP(E3360,CPT!$A$2:$A$13,CPT!$D$2:$D$13)</f>
        <v>38</v>
      </c>
      <c r="R3360" s="1">
        <f>_xlfn.XLOOKUP(C3360,Contract!$A$2:$A$9,Contract!$B$2:$B$9)</f>
        <v>0.36</v>
      </c>
      <c r="S3360" s="1">
        <f t="shared" si="208"/>
        <v>13.68</v>
      </c>
      <c r="T3360" s="1">
        <f t="shared" si="209"/>
        <v>1.7899999999999991</v>
      </c>
      <c r="U3360" s="1" t="str">
        <f t="shared" si="210"/>
        <v>Underpaid</v>
      </c>
      <c r="V3360" s="1" t="str">
        <f>_xlfn.XLOOKUP(C3360,Payers!$A$2:$A$9,Payers!$B$2:$B$9)</f>
        <v>Medicare Part B</v>
      </c>
      <c r="W3360" s="1" t="str">
        <f t="shared" si="211"/>
        <v>2026-05</v>
      </c>
    </row>
    <row r="3361" spans="1:23">
      <c r="A3361" s="1" t="s">
        <v>5557</v>
      </c>
      <c r="B3361" s="1" t="s">
        <v>430</v>
      </c>
      <c r="C3361" s="1" t="s">
        <v>60</v>
      </c>
      <c r="D3361" s="1" t="s">
        <v>30</v>
      </c>
      <c r="E3361" s="1" t="s">
        <v>91</v>
      </c>
      <c r="F3361">
        <v>1</v>
      </c>
      <c r="G3361" s="2">
        <v>45989</v>
      </c>
      <c r="H3361" s="2">
        <v>45995</v>
      </c>
      <c r="I3361">
        <v>58.72</v>
      </c>
      <c r="J3361">
        <v>23.88</v>
      </c>
      <c r="K3361">
        <v>23.88</v>
      </c>
      <c r="L3361">
        <v>0</v>
      </c>
      <c r="M3361" s="1" t="s">
        <v>21</v>
      </c>
      <c r="N3361" s="1" t="s">
        <v>22</v>
      </c>
      <c r="O3361" s="2">
        <v>46021</v>
      </c>
      <c r="P3361" s="2">
        <v>46021</v>
      </c>
      <c r="Q3361">
        <f>_xlfn.XLOOKUP(E3361,CPT!$A$2:$A$13,CPT!$D$2:$D$13)</f>
        <v>58</v>
      </c>
      <c r="R3361" s="1">
        <f>_xlfn.XLOOKUP(C3361,Contract!$A$2:$A$9,Contract!$B$2:$B$9)</f>
        <v>0.45</v>
      </c>
      <c r="S3361" s="1">
        <f t="shared" si="208"/>
        <v>26.1</v>
      </c>
      <c r="T3361" s="1">
        <f t="shared" si="209"/>
        <v>2.2200000000000024</v>
      </c>
      <c r="U3361" s="1" t="str">
        <f t="shared" si="210"/>
        <v>Underpaid</v>
      </c>
      <c r="V3361" s="1" t="str">
        <f>_xlfn.XLOOKUP(C3361,Payers!$A$2:$A$9,Payers!$B$2:$B$9)</f>
        <v>Blue Horizon Commercial</v>
      </c>
      <c r="W3361" s="1" t="str">
        <f t="shared" si="211"/>
        <v>2025-11</v>
      </c>
    </row>
    <row r="3362" spans="1:23">
      <c r="A3362" s="1" t="s">
        <v>5558</v>
      </c>
      <c r="B3362" s="1" t="s">
        <v>4845</v>
      </c>
      <c r="C3362" s="1" t="s">
        <v>25</v>
      </c>
      <c r="D3362" s="1" t="s">
        <v>19</v>
      </c>
      <c r="E3362" s="1" t="s">
        <v>88</v>
      </c>
      <c r="F3362">
        <v>1</v>
      </c>
      <c r="G3362" s="2">
        <v>46217</v>
      </c>
      <c r="H3362" s="2">
        <v>46219</v>
      </c>
      <c r="I3362">
        <v>264.42</v>
      </c>
      <c r="J3362">
        <v>101.84</v>
      </c>
      <c r="K3362">
        <v>81.47</v>
      </c>
      <c r="L3362">
        <v>20.37</v>
      </c>
      <c r="M3362" s="1" t="s">
        <v>21</v>
      </c>
      <c r="N3362" s="1" t="s">
        <v>22</v>
      </c>
      <c r="O3362" s="2">
        <v>46228</v>
      </c>
      <c r="P3362" s="2">
        <v>46228</v>
      </c>
      <c r="Q3362">
        <f>_xlfn.XLOOKUP(E3362,CPT!$A$2:$A$13,CPT!$D$2:$D$13)</f>
        <v>260</v>
      </c>
      <c r="R3362" s="1">
        <f>_xlfn.XLOOKUP(C3362,Contract!$A$2:$A$9,Contract!$B$2:$B$9)</f>
        <v>0.36</v>
      </c>
      <c r="S3362" s="1">
        <f t="shared" si="208"/>
        <v>93.6</v>
      </c>
      <c r="T3362" s="1">
        <f t="shared" si="209"/>
        <v>-8.2400000000000091</v>
      </c>
      <c r="U3362" s="1" t="str">
        <f t="shared" si="210"/>
        <v>OK</v>
      </c>
      <c r="V3362" s="1" t="str">
        <f>_xlfn.XLOOKUP(C3362,Payers!$A$2:$A$9,Payers!$B$2:$B$9)</f>
        <v>Medicare Part B</v>
      </c>
      <c r="W3362" s="1" t="str">
        <f t="shared" si="211"/>
        <v>2026-07</v>
      </c>
    </row>
    <row r="3363" spans="1:23">
      <c r="A3363" s="1" t="s">
        <v>5559</v>
      </c>
      <c r="B3363" s="1" t="s">
        <v>4323</v>
      </c>
      <c r="C3363" s="1" t="s">
        <v>60</v>
      </c>
      <c r="D3363" s="1" t="s">
        <v>30</v>
      </c>
      <c r="E3363" s="1" t="s">
        <v>31</v>
      </c>
      <c r="F3363">
        <v>1</v>
      </c>
      <c r="G3363" s="2">
        <v>46045</v>
      </c>
      <c r="H3363" s="2">
        <v>46047</v>
      </c>
      <c r="I3363">
        <v>62.83</v>
      </c>
      <c r="J3363">
        <v>29.92</v>
      </c>
      <c r="K3363">
        <v>23.94</v>
      </c>
      <c r="L3363">
        <v>5.98</v>
      </c>
      <c r="M3363" s="1" t="s">
        <v>21</v>
      </c>
      <c r="N3363" s="1" t="s">
        <v>22</v>
      </c>
      <c r="O3363" s="2">
        <v>46065</v>
      </c>
      <c r="P3363" s="2">
        <v>46065</v>
      </c>
      <c r="Q3363">
        <f>_xlfn.XLOOKUP(E3363,CPT!$A$2:$A$13,CPT!$D$2:$D$13)</f>
        <v>62</v>
      </c>
      <c r="R3363" s="1">
        <f>_xlfn.XLOOKUP(C3363,Contract!$A$2:$A$9,Contract!$B$2:$B$9)</f>
        <v>0.45</v>
      </c>
      <c r="S3363" s="1">
        <f t="shared" si="208"/>
        <v>27.9</v>
      </c>
      <c r="T3363" s="1">
        <f t="shared" si="209"/>
        <v>-2.0200000000000031</v>
      </c>
      <c r="U3363" s="1" t="str">
        <f t="shared" si="210"/>
        <v>OK</v>
      </c>
      <c r="V3363" s="1" t="str">
        <f>_xlfn.XLOOKUP(C3363,Payers!$A$2:$A$9,Payers!$B$2:$B$9)</f>
        <v>Blue Horizon Commercial</v>
      </c>
      <c r="W3363" s="1" t="str">
        <f t="shared" si="211"/>
        <v>2026-01</v>
      </c>
    </row>
    <row r="3364" spans="1:23">
      <c r="A3364" s="1" t="s">
        <v>5560</v>
      </c>
      <c r="B3364" s="1" t="s">
        <v>5561</v>
      </c>
      <c r="C3364" s="1" t="s">
        <v>18</v>
      </c>
      <c r="D3364" s="1" t="s">
        <v>30</v>
      </c>
      <c r="E3364" s="1" t="s">
        <v>31</v>
      </c>
      <c r="F3364">
        <v>1</v>
      </c>
      <c r="G3364" s="2">
        <v>46131</v>
      </c>
      <c r="H3364" s="2">
        <v>46139</v>
      </c>
      <c r="I3364">
        <v>61.97</v>
      </c>
      <c r="M3364" s="1" t="s">
        <v>32</v>
      </c>
      <c r="N3364" s="1" t="s">
        <v>33</v>
      </c>
      <c r="O3364" s="2">
        <v>46169</v>
      </c>
      <c r="P3364" s="2"/>
      <c r="Q3364">
        <f>_xlfn.XLOOKUP(E3364,CPT!$A$2:$A$13,CPT!$D$2:$D$13)</f>
        <v>62</v>
      </c>
      <c r="R3364" s="1">
        <f>_xlfn.XLOOKUP(C3364,Contract!$A$2:$A$9,Contract!$B$2:$B$9)</f>
        <v>0.38</v>
      </c>
      <c r="S3364" s="1">
        <f t="shared" si="208"/>
        <v>23.56</v>
      </c>
      <c r="T3364" s="1" t="str">
        <f t="shared" si="209"/>
        <v/>
      </c>
      <c r="U3364" s="1" t="str">
        <f t="shared" si="210"/>
        <v/>
      </c>
      <c r="V3364" s="1" t="str">
        <f>_xlfn.XLOOKUP(C3364,Payers!$A$2:$A$9,Payers!$B$2:$B$9)</f>
        <v>Sunshine Medicare Advantage</v>
      </c>
      <c r="W3364" s="1" t="str">
        <f t="shared" si="211"/>
        <v>2026-04</v>
      </c>
    </row>
    <row r="3365" spans="1:23">
      <c r="A3365" s="1" t="s">
        <v>5562</v>
      </c>
      <c r="B3365" s="1" t="s">
        <v>1803</v>
      </c>
      <c r="C3365" s="1" t="s">
        <v>76</v>
      </c>
      <c r="D3365" s="1" t="s">
        <v>37</v>
      </c>
      <c r="E3365" s="1" t="s">
        <v>48</v>
      </c>
      <c r="F3365">
        <v>1</v>
      </c>
      <c r="G3365" s="2">
        <v>45951</v>
      </c>
      <c r="H3365" s="2">
        <v>45952</v>
      </c>
      <c r="I3365">
        <v>420.71</v>
      </c>
      <c r="J3365">
        <v>204.03</v>
      </c>
      <c r="K3365">
        <v>183.63</v>
      </c>
      <c r="L3365">
        <v>20.399999999999999</v>
      </c>
      <c r="M3365" s="1" t="s">
        <v>21</v>
      </c>
      <c r="N3365" s="1" t="s">
        <v>22</v>
      </c>
      <c r="O3365" s="2">
        <v>45970</v>
      </c>
      <c r="P3365" s="2">
        <v>45970</v>
      </c>
      <c r="Q3365">
        <f>_xlfn.XLOOKUP(E3365,CPT!$A$2:$A$13,CPT!$D$2:$D$13)</f>
        <v>420</v>
      </c>
      <c r="R3365" s="1">
        <f>_xlfn.XLOOKUP(C3365,Contract!$A$2:$A$9,Contract!$B$2:$B$9)</f>
        <v>0.43</v>
      </c>
      <c r="S3365" s="1">
        <f t="shared" si="208"/>
        <v>180.6</v>
      </c>
      <c r="T3365" s="1">
        <f t="shared" si="209"/>
        <v>-23.430000000000007</v>
      </c>
      <c r="U3365" s="1" t="str">
        <f t="shared" si="210"/>
        <v>OK</v>
      </c>
      <c r="V3365" s="1" t="str">
        <f>_xlfn.XLOOKUP(C3365,Payers!$A$2:$A$9,Payers!$B$2:$B$9)</f>
        <v>Summit Health Commercial</v>
      </c>
      <c r="W3365" s="1" t="str">
        <f t="shared" si="211"/>
        <v>2025-10</v>
      </c>
    </row>
    <row r="3366" spans="1:23">
      <c r="A3366" s="1" t="s">
        <v>5563</v>
      </c>
      <c r="B3366" s="1" t="s">
        <v>1934</v>
      </c>
      <c r="C3366" s="1" t="s">
        <v>18</v>
      </c>
      <c r="D3366" s="1" t="s">
        <v>37</v>
      </c>
      <c r="E3366" s="1" t="s">
        <v>38</v>
      </c>
      <c r="F3366">
        <v>5</v>
      </c>
      <c r="G3366" s="2">
        <v>46046</v>
      </c>
      <c r="H3366" s="2">
        <v>46047</v>
      </c>
      <c r="I3366">
        <v>7237.72</v>
      </c>
      <c r="M3366" s="1" t="s">
        <v>32</v>
      </c>
      <c r="N3366" s="1" t="s">
        <v>33</v>
      </c>
      <c r="O3366" s="2">
        <v>46112</v>
      </c>
      <c r="P3366" s="2"/>
      <c r="Q3366">
        <f>_xlfn.XLOOKUP(E3366,CPT!$A$2:$A$13,CPT!$D$2:$D$13)</f>
        <v>1450</v>
      </c>
      <c r="R3366" s="1">
        <f>_xlfn.XLOOKUP(C3366,Contract!$A$2:$A$9,Contract!$B$2:$B$9)</f>
        <v>0.38</v>
      </c>
      <c r="S3366" s="1">
        <f t="shared" si="208"/>
        <v>2755</v>
      </c>
      <c r="T3366" s="1" t="str">
        <f t="shared" si="209"/>
        <v/>
      </c>
      <c r="U3366" s="1" t="str">
        <f t="shared" si="210"/>
        <v/>
      </c>
      <c r="V3366" s="1" t="str">
        <f>_xlfn.XLOOKUP(C3366,Payers!$A$2:$A$9,Payers!$B$2:$B$9)</f>
        <v>Sunshine Medicare Advantage</v>
      </c>
      <c r="W3366" s="1" t="str">
        <f t="shared" si="211"/>
        <v>2026-01</v>
      </c>
    </row>
    <row r="3367" spans="1:23">
      <c r="A3367" s="1" t="s">
        <v>5564</v>
      </c>
      <c r="B3367" s="1" t="s">
        <v>5565</v>
      </c>
      <c r="C3367" s="1" t="s">
        <v>18</v>
      </c>
      <c r="D3367" s="1" t="s">
        <v>19</v>
      </c>
      <c r="E3367" s="1" t="s">
        <v>57</v>
      </c>
      <c r="F3367">
        <v>1</v>
      </c>
      <c r="G3367" s="2">
        <v>46222</v>
      </c>
      <c r="H3367" s="2">
        <v>46230</v>
      </c>
      <c r="I3367">
        <v>208.29</v>
      </c>
      <c r="J3367">
        <v>79.42</v>
      </c>
      <c r="K3367">
        <v>71.48</v>
      </c>
      <c r="L3367">
        <v>7.94</v>
      </c>
      <c r="M3367" s="1" t="s">
        <v>21</v>
      </c>
      <c r="N3367" s="1" t="s">
        <v>22</v>
      </c>
      <c r="O3367" s="2">
        <v>46274</v>
      </c>
      <c r="P3367" s="2">
        <v>46274</v>
      </c>
      <c r="Q3367">
        <f>_xlfn.XLOOKUP(E3367,CPT!$A$2:$A$13,CPT!$D$2:$D$13)</f>
        <v>210</v>
      </c>
      <c r="R3367" s="1">
        <f>_xlfn.XLOOKUP(C3367,Contract!$A$2:$A$9,Contract!$B$2:$B$9)</f>
        <v>0.38</v>
      </c>
      <c r="S3367" s="1">
        <f t="shared" si="208"/>
        <v>79.8</v>
      </c>
      <c r="T3367" s="1">
        <f t="shared" si="209"/>
        <v>0.37999999999999545</v>
      </c>
      <c r="U3367" s="1" t="str">
        <f t="shared" si="210"/>
        <v>OK</v>
      </c>
      <c r="V3367" s="1" t="str">
        <f>_xlfn.XLOOKUP(C3367,Payers!$A$2:$A$9,Payers!$B$2:$B$9)</f>
        <v>Sunshine Medicare Advantage</v>
      </c>
      <c r="W3367" s="1" t="str">
        <f t="shared" si="211"/>
        <v>2026-07</v>
      </c>
    </row>
    <row r="3368" spans="1:23">
      <c r="A3368" s="1" t="s">
        <v>5566</v>
      </c>
      <c r="B3368" s="1" t="s">
        <v>1183</v>
      </c>
      <c r="C3368" s="1" t="s">
        <v>18</v>
      </c>
      <c r="D3368" s="1" t="s">
        <v>19</v>
      </c>
      <c r="E3368" s="1" t="s">
        <v>20</v>
      </c>
      <c r="F3368">
        <v>1</v>
      </c>
      <c r="G3368" s="2">
        <v>46189</v>
      </c>
      <c r="H3368" s="2">
        <v>46191</v>
      </c>
      <c r="I3368">
        <v>142.38999999999999</v>
      </c>
      <c r="J3368">
        <v>46.6</v>
      </c>
      <c r="K3368">
        <v>41.94</v>
      </c>
      <c r="L3368">
        <v>4.66</v>
      </c>
      <c r="M3368" s="1" t="s">
        <v>21</v>
      </c>
      <c r="N3368" s="1" t="s">
        <v>22</v>
      </c>
      <c r="O3368" s="2">
        <v>46245</v>
      </c>
      <c r="P3368" s="2">
        <v>46245</v>
      </c>
      <c r="Q3368">
        <f>_xlfn.XLOOKUP(E3368,CPT!$A$2:$A$13,CPT!$D$2:$D$13)</f>
        <v>145</v>
      </c>
      <c r="R3368" s="1">
        <f>_xlfn.XLOOKUP(C3368,Contract!$A$2:$A$9,Contract!$B$2:$B$9)</f>
        <v>0.38</v>
      </c>
      <c r="S3368" s="1">
        <f t="shared" si="208"/>
        <v>55.1</v>
      </c>
      <c r="T3368" s="1">
        <f t="shared" si="209"/>
        <v>8.5</v>
      </c>
      <c r="U3368" s="1" t="str">
        <f t="shared" si="210"/>
        <v>Underpaid</v>
      </c>
      <c r="V3368" s="1" t="str">
        <f>_xlfn.XLOOKUP(C3368,Payers!$A$2:$A$9,Payers!$B$2:$B$9)</f>
        <v>Sunshine Medicare Advantage</v>
      </c>
      <c r="W3368" s="1" t="str">
        <f t="shared" si="211"/>
        <v>2026-06</v>
      </c>
    </row>
    <row r="3369" spans="1:23">
      <c r="A3369" s="1" t="s">
        <v>5567</v>
      </c>
      <c r="B3369" s="1" t="s">
        <v>5568</v>
      </c>
      <c r="C3369" s="1" t="s">
        <v>52</v>
      </c>
      <c r="D3369" s="1" t="s">
        <v>26</v>
      </c>
      <c r="E3369" s="1" t="s">
        <v>41</v>
      </c>
      <c r="F3369">
        <v>1</v>
      </c>
      <c r="G3369" s="2">
        <v>46202</v>
      </c>
      <c r="H3369" s="2">
        <v>46206</v>
      </c>
      <c r="I3369">
        <v>37.659999999999997</v>
      </c>
      <c r="J3369">
        <v>18.29</v>
      </c>
      <c r="K3369">
        <v>18.29</v>
      </c>
      <c r="L3369">
        <v>0</v>
      </c>
      <c r="M3369" s="1" t="s">
        <v>21</v>
      </c>
      <c r="N3369" s="1" t="s">
        <v>22</v>
      </c>
      <c r="O3369" s="2">
        <v>46261</v>
      </c>
      <c r="P3369" s="2">
        <v>46261</v>
      </c>
      <c r="Q3369">
        <f>_xlfn.XLOOKUP(E3369,CPT!$A$2:$A$13,CPT!$D$2:$D$13)</f>
        <v>38</v>
      </c>
      <c r="R3369" s="1">
        <f>_xlfn.XLOOKUP(C3369,Contract!$A$2:$A$9,Contract!$B$2:$B$9)</f>
        <v>0.47</v>
      </c>
      <c r="S3369" s="1">
        <f t="shared" si="208"/>
        <v>17.86</v>
      </c>
      <c r="T3369" s="1">
        <f t="shared" si="209"/>
        <v>-0.42999999999999972</v>
      </c>
      <c r="U3369" s="1" t="str">
        <f t="shared" si="210"/>
        <v>OK</v>
      </c>
      <c r="V3369" s="1" t="str">
        <f>_xlfn.XLOOKUP(C3369,Payers!$A$2:$A$9,Payers!$B$2:$B$9)</f>
        <v>Keystone Commercial PPO</v>
      </c>
      <c r="W3369" s="1" t="str">
        <f t="shared" si="211"/>
        <v>2026-06</v>
      </c>
    </row>
    <row r="3370" spans="1:23">
      <c r="A3370" s="1" t="s">
        <v>5569</v>
      </c>
      <c r="B3370" s="1" t="s">
        <v>5570</v>
      </c>
      <c r="C3370" s="1" t="s">
        <v>76</v>
      </c>
      <c r="D3370" s="1" t="s">
        <v>19</v>
      </c>
      <c r="E3370" s="1" t="s">
        <v>88</v>
      </c>
      <c r="F3370">
        <v>1</v>
      </c>
      <c r="G3370" s="2">
        <v>46031</v>
      </c>
      <c r="H3370" s="2">
        <v>46036</v>
      </c>
      <c r="I3370">
        <v>254.97</v>
      </c>
      <c r="J3370">
        <v>119.52</v>
      </c>
      <c r="K3370">
        <v>119.52</v>
      </c>
      <c r="L3370">
        <v>0</v>
      </c>
      <c r="M3370" s="1" t="s">
        <v>21</v>
      </c>
      <c r="N3370" s="1" t="s">
        <v>22</v>
      </c>
      <c r="O3370" s="2">
        <v>46077</v>
      </c>
      <c r="P3370" s="2">
        <v>46077</v>
      </c>
      <c r="Q3370">
        <f>_xlfn.XLOOKUP(E3370,CPT!$A$2:$A$13,CPT!$D$2:$D$13)</f>
        <v>260</v>
      </c>
      <c r="R3370" s="1">
        <f>_xlfn.XLOOKUP(C3370,Contract!$A$2:$A$9,Contract!$B$2:$B$9)</f>
        <v>0.43</v>
      </c>
      <c r="S3370" s="1">
        <f t="shared" si="208"/>
        <v>111.8</v>
      </c>
      <c r="T3370" s="1">
        <f t="shared" si="209"/>
        <v>-7.7199999999999989</v>
      </c>
      <c r="U3370" s="1" t="str">
        <f t="shared" si="210"/>
        <v>OK</v>
      </c>
      <c r="V3370" s="1" t="str">
        <f>_xlfn.XLOOKUP(C3370,Payers!$A$2:$A$9,Payers!$B$2:$B$9)</f>
        <v>Summit Health Commercial</v>
      </c>
      <c r="W3370" s="1" t="str">
        <f t="shared" si="211"/>
        <v>2026-01</v>
      </c>
    </row>
    <row r="3371" spans="1:23">
      <c r="A3371" s="1" t="s">
        <v>5571</v>
      </c>
      <c r="B3371" s="1" t="s">
        <v>5572</v>
      </c>
      <c r="C3371" s="1" t="s">
        <v>60</v>
      </c>
      <c r="D3371" s="1" t="s">
        <v>26</v>
      </c>
      <c r="E3371" s="1" t="s">
        <v>27</v>
      </c>
      <c r="F3371">
        <v>1</v>
      </c>
      <c r="G3371" s="2">
        <v>46020</v>
      </c>
      <c r="H3371" s="2">
        <v>46022</v>
      </c>
      <c r="I3371">
        <v>239.57</v>
      </c>
      <c r="J3371">
        <v>108.89</v>
      </c>
      <c r="K3371">
        <v>98</v>
      </c>
      <c r="L3371">
        <v>10.89</v>
      </c>
      <c r="M3371" s="1" t="s">
        <v>21</v>
      </c>
      <c r="N3371" s="1" t="s">
        <v>22</v>
      </c>
      <c r="O3371" s="2">
        <v>46047</v>
      </c>
      <c r="P3371" s="2">
        <v>46047</v>
      </c>
      <c r="Q3371">
        <f>_xlfn.XLOOKUP(E3371,CPT!$A$2:$A$13,CPT!$D$2:$D$13)</f>
        <v>240</v>
      </c>
      <c r="R3371" s="1">
        <f>_xlfn.XLOOKUP(C3371,Contract!$A$2:$A$9,Contract!$B$2:$B$9)</f>
        <v>0.45</v>
      </c>
      <c r="S3371" s="1">
        <f t="shared" si="208"/>
        <v>108</v>
      </c>
      <c r="T3371" s="1">
        <f t="shared" si="209"/>
        <v>-0.89000000000000057</v>
      </c>
      <c r="U3371" s="1" t="str">
        <f t="shared" si="210"/>
        <v>OK</v>
      </c>
      <c r="V3371" s="1" t="str">
        <f>_xlfn.XLOOKUP(C3371,Payers!$A$2:$A$9,Payers!$B$2:$B$9)</f>
        <v>Blue Horizon Commercial</v>
      </c>
      <c r="W3371" s="1" t="str">
        <f t="shared" si="211"/>
        <v>2025-12</v>
      </c>
    </row>
    <row r="3372" spans="1:23">
      <c r="A3372" s="1" t="s">
        <v>5573</v>
      </c>
      <c r="B3372" s="1" t="s">
        <v>3093</v>
      </c>
      <c r="C3372" s="1" t="s">
        <v>36</v>
      </c>
      <c r="D3372" s="1" t="s">
        <v>19</v>
      </c>
      <c r="E3372" s="1" t="s">
        <v>41</v>
      </c>
      <c r="F3372">
        <v>1</v>
      </c>
      <c r="G3372" s="2">
        <v>45947</v>
      </c>
      <c r="H3372" s="2">
        <v>45961</v>
      </c>
      <c r="I3372">
        <v>37.229999999999997</v>
      </c>
      <c r="J3372">
        <v>11.15</v>
      </c>
      <c r="K3372">
        <v>11.15</v>
      </c>
      <c r="L3372">
        <v>0</v>
      </c>
      <c r="M3372" s="1" t="s">
        <v>21</v>
      </c>
      <c r="N3372" s="1" t="s">
        <v>22</v>
      </c>
      <c r="O3372" s="2">
        <v>46010</v>
      </c>
      <c r="P3372" s="2">
        <v>46010</v>
      </c>
      <c r="Q3372">
        <f>_xlfn.XLOOKUP(E3372,CPT!$A$2:$A$13,CPT!$D$2:$D$13)</f>
        <v>38</v>
      </c>
      <c r="R3372" s="1">
        <f>_xlfn.XLOOKUP(C3372,Contract!$A$2:$A$9,Contract!$B$2:$B$9)</f>
        <v>0.27</v>
      </c>
      <c r="S3372" s="1">
        <f t="shared" si="208"/>
        <v>10.26</v>
      </c>
      <c r="T3372" s="1">
        <f t="shared" si="209"/>
        <v>-0.89000000000000057</v>
      </c>
      <c r="U3372" s="1" t="str">
        <f t="shared" si="210"/>
        <v>OK</v>
      </c>
      <c r="V3372" s="1" t="str">
        <f>_xlfn.XLOOKUP(C3372,Payers!$A$2:$A$9,Payers!$B$2:$B$9)</f>
        <v>Florida Medicaid</v>
      </c>
      <c r="W3372" s="1" t="str">
        <f t="shared" si="211"/>
        <v>2025-10</v>
      </c>
    </row>
    <row r="3373" spans="1:23">
      <c r="A3373" s="1" t="s">
        <v>5574</v>
      </c>
      <c r="B3373" s="1" t="s">
        <v>5575</v>
      </c>
      <c r="C3373" s="1" t="s">
        <v>52</v>
      </c>
      <c r="D3373" s="1" t="s">
        <v>19</v>
      </c>
      <c r="E3373" s="1" t="s">
        <v>20</v>
      </c>
      <c r="F3373">
        <v>1</v>
      </c>
      <c r="G3373" s="2">
        <v>46219</v>
      </c>
      <c r="H3373" s="2">
        <v>46228</v>
      </c>
      <c r="I3373">
        <v>143.22999999999999</v>
      </c>
      <c r="M3373" s="1" t="s">
        <v>32</v>
      </c>
      <c r="N3373" s="1" t="s">
        <v>168</v>
      </c>
      <c r="O3373" s="2">
        <v>46285</v>
      </c>
      <c r="P3373" s="2"/>
      <c r="Q3373">
        <f>_xlfn.XLOOKUP(E3373,CPT!$A$2:$A$13,CPT!$D$2:$D$13)</f>
        <v>145</v>
      </c>
      <c r="R3373" s="1">
        <f>_xlfn.XLOOKUP(C3373,Contract!$A$2:$A$9,Contract!$B$2:$B$9)</f>
        <v>0.47</v>
      </c>
      <c r="S3373" s="1">
        <f t="shared" si="208"/>
        <v>68.150000000000006</v>
      </c>
      <c r="T3373" s="1" t="str">
        <f t="shared" si="209"/>
        <v/>
      </c>
      <c r="U3373" s="1" t="str">
        <f t="shared" si="210"/>
        <v/>
      </c>
      <c r="V3373" s="1" t="str">
        <f>_xlfn.XLOOKUP(C3373,Payers!$A$2:$A$9,Payers!$B$2:$B$9)</f>
        <v>Keystone Commercial PPO</v>
      </c>
      <c r="W3373" s="1" t="str">
        <f t="shared" si="211"/>
        <v>2026-07</v>
      </c>
    </row>
    <row r="3374" spans="1:23">
      <c r="A3374" s="1" t="s">
        <v>5576</v>
      </c>
      <c r="B3374" s="1" t="s">
        <v>3389</v>
      </c>
      <c r="C3374" s="1" t="s">
        <v>18</v>
      </c>
      <c r="D3374" s="1" t="s">
        <v>26</v>
      </c>
      <c r="E3374" s="1" t="s">
        <v>185</v>
      </c>
      <c r="F3374">
        <v>1</v>
      </c>
      <c r="G3374" s="2">
        <v>46073</v>
      </c>
      <c r="H3374" s="2">
        <v>46082</v>
      </c>
      <c r="I3374">
        <v>1122.0899999999999</v>
      </c>
      <c r="J3374">
        <v>455.44</v>
      </c>
      <c r="K3374">
        <v>455.44</v>
      </c>
      <c r="L3374">
        <v>0</v>
      </c>
      <c r="M3374" s="1" t="s">
        <v>21</v>
      </c>
      <c r="N3374" s="1" t="s">
        <v>22</v>
      </c>
      <c r="O3374" s="2">
        <v>46131</v>
      </c>
      <c r="P3374" s="2">
        <v>46131</v>
      </c>
      <c r="Q3374">
        <f>_xlfn.XLOOKUP(E3374,CPT!$A$2:$A$13,CPT!$D$2:$D$13)</f>
        <v>1150</v>
      </c>
      <c r="R3374" s="1">
        <f>_xlfn.XLOOKUP(C3374,Contract!$A$2:$A$9,Contract!$B$2:$B$9)</f>
        <v>0.38</v>
      </c>
      <c r="S3374" s="1">
        <f t="shared" si="208"/>
        <v>437</v>
      </c>
      <c r="T3374" s="1">
        <f t="shared" si="209"/>
        <v>-18.439999999999998</v>
      </c>
      <c r="U3374" s="1" t="str">
        <f t="shared" si="210"/>
        <v>OK</v>
      </c>
      <c r="V3374" s="1" t="str">
        <f>_xlfn.XLOOKUP(C3374,Payers!$A$2:$A$9,Payers!$B$2:$B$9)</f>
        <v>Sunshine Medicare Advantage</v>
      </c>
      <c r="W3374" s="1" t="str">
        <f t="shared" si="211"/>
        <v>2026-02</v>
      </c>
    </row>
    <row r="3375" spans="1:23">
      <c r="A3375" s="1" t="s">
        <v>5577</v>
      </c>
      <c r="B3375" s="1" t="s">
        <v>5501</v>
      </c>
      <c r="C3375" s="1" t="s">
        <v>18</v>
      </c>
      <c r="D3375" s="1" t="s">
        <v>30</v>
      </c>
      <c r="E3375" s="1" t="s">
        <v>20</v>
      </c>
      <c r="F3375">
        <v>1</v>
      </c>
      <c r="G3375" s="2">
        <v>46201</v>
      </c>
      <c r="H3375" s="2">
        <v>46206</v>
      </c>
      <c r="I3375">
        <v>144.4</v>
      </c>
      <c r="J3375">
        <v>56.49</v>
      </c>
      <c r="K3375">
        <v>56.49</v>
      </c>
      <c r="L3375">
        <v>0</v>
      </c>
      <c r="M3375" s="1" t="s">
        <v>21</v>
      </c>
      <c r="N3375" s="1" t="s">
        <v>22</v>
      </c>
      <c r="O3375" s="2">
        <v>46255</v>
      </c>
      <c r="P3375" s="2">
        <v>46255</v>
      </c>
      <c r="Q3375">
        <f>_xlfn.XLOOKUP(E3375,CPT!$A$2:$A$13,CPT!$D$2:$D$13)</f>
        <v>145</v>
      </c>
      <c r="R3375" s="1">
        <f>_xlfn.XLOOKUP(C3375,Contract!$A$2:$A$9,Contract!$B$2:$B$9)</f>
        <v>0.38</v>
      </c>
      <c r="S3375" s="1">
        <f t="shared" si="208"/>
        <v>55.1</v>
      </c>
      <c r="T3375" s="1">
        <f t="shared" si="209"/>
        <v>-1.3900000000000006</v>
      </c>
      <c r="U3375" s="1" t="str">
        <f t="shared" si="210"/>
        <v>OK</v>
      </c>
      <c r="V3375" s="1" t="str">
        <f>_xlfn.XLOOKUP(C3375,Payers!$A$2:$A$9,Payers!$B$2:$B$9)</f>
        <v>Sunshine Medicare Advantage</v>
      </c>
      <c r="W3375" s="1" t="str">
        <f t="shared" si="211"/>
        <v>2026-06</v>
      </c>
    </row>
    <row r="3376" spans="1:23">
      <c r="A3376" s="1" t="s">
        <v>5578</v>
      </c>
      <c r="B3376" s="1" t="s">
        <v>5579</v>
      </c>
      <c r="C3376" s="1" t="s">
        <v>79</v>
      </c>
      <c r="D3376" s="1" t="s">
        <v>19</v>
      </c>
      <c r="E3376" s="1" t="s">
        <v>41</v>
      </c>
      <c r="F3376">
        <v>1</v>
      </c>
      <c r="G3376" s="2">
        <v>46062</v>
      </c>
      <c r="H3376" s="2">
        <v>46067</v>
      </c>
      <c r="I3376">
        <v>37.93</v>
      </c>
      <c r="M3376" s="1" t="s">
        <v>69</v>
      </c>
      <c r="N3376" s="1" t="s">
        <v>22</v>
      </c>
      <c r="O3376" s="2"/>
      <c r="P3376" s="2"/>
      <c r="Q3376">
        <f>_xlfn.XLOOKUP(E3376,CPT!$A$2:$A$13,CPT!$D$2:$D$13)</f>
        <v>38</v>
      </c>
      <c r="R3376" s="1">
        <f>_xlfn.XLOOKUP(C3376,Contract!$A$2:$A$9,Contract!$B$2:$B$9)</f>
        <v>1</v>
      </c>
      <c r="S3376" s="1">
        <f t="shared" si="208"/>
        <v>38</v>
      </c>
      <c r="T3376" s="1" t="str">
        <f t="shared" si="209"/>
        <v/>
      </c>
      <c r="U3376" s="1" t="str">
        <f t="shared" si="210"/>
        <v/>
      </c>
      <c r="V3376" s="1" t="str">
        <f>_xlfn.XLOOKUP(C3376,Payers!$A$2:$A$9,Payers!$B$2:$B$9)</f>
        <v>Self-Pay</v>
      </c>
      <c r="W3376" s="1" t="str">
        <f t="shared" si="211"/>
        <v>2026-02</v>
      </c>
    </row>
    <row r="3377" spans="1:23">
      <c r="A3377" s="1" t="s">
        <v>5580</v>
      </c>
      <c r="B3377" s="1" t="s">
        <v>4053</v>
      </c>
      <c r="C3377" s="1" t="s">
        <v>60</v>
      </c>
      <c r="D3377" s="1" t="s">
        <v>26</v>
      </c>
      <c r="E3377" s="1" t="s">
        <v>27</v>
      </c>
      <c r="F3377">
        <v>1</v>
      </c>
      <c r="G3377" s="2">
        <v>46059</v>
      </c>
      <c r="H3377" s="2">
        <v>46062</v>
      </c>
      <c r="I3377">
        <v>236.36</v>
      </c>
      <c r="J3377">
        <v>102.86</v>
      </c>
      <c r="K3377">
        <v>102.86</v>
      </c>
      <c r="L3377">
        <v>0</v>
      </c>
      <c r="M3377" s="1" t="s">
        <v>21</v>
      </c>
      <c r="N3377" s="1" t="s">
        <v>22</v>
      </c>
      <c r="O3377" s="2">
        <v>46096</v>
      </c>
      <c r="P3377" s="2">
        <v>46096</v>
      </c>
      <c r="Q3377">
        <f>_xlfn.XLOOKUP(E3377,CPT!$A$2:$A$13,CPT!$D$2:$D$13)</f>
        <v>240</v>
      </c>
      <c r="R3377" s="1">
        <f>_xlfn.XLOOKUP(C3377,Contract!$A$2:$A$9,Contract!$B$2:$B$9)</f>
        <v>0.45</v>
      </c>
      <c r="S3377" s="1">
        <f t="shared" si="208"/>
        <v>108</v>
      </c>
      <c r="T3377" s="1">
        <f t="shared" si="209"/>
        <v>5.1400000000000006</v>
      </c>
      <c r="U3377" s="1" t="str">
        <f t="shared" si="210"/>
        <v>OK</v>
      </c>
      <c r="V3377" s="1" t="str">
        <f>_xlfn.XLOOKUP(C3377,Payers!$A$2:$A$9,Payers!$B$2:$B$9)</f>
        <v>Blue Horizon Commercial</v>
      </c>
      <c r="W3377" s="1" t="str">
        <f t="shared" si="211"/>
        <v>2026-02</v>
      </c>
    </row>
    <row r="3378" spans="1:23">
      <c r="A3378" s="1" t="s">
        <v>5581</v>
      </c>
      <c r="B3378" s="1" t="s">
        <v>5582</v>
      </c>
      <c r="C3378" s="1" t="s">
        <v>18</v>
      </c>
      <c r="D3378" s="1" t="s">
        <v>19</v>
      </c>
      <c r="E3378" s="1" t="s">
        <v>41</v>
      </c>
      <c r="F3378">
        <v>1</v>
      </c>
      <c r="G3378" s="2">
        <v>46248</v>
      </c>
      <c r="H3378" s="2">
        <v>46253</v>
      </c>
      <c r="I3378">
        <v>38.58</v>
      </c>
      <c r="M3378" s="1" t="s">
        <v>69</v>
      </c>
      <c r="N3378" s="1" t="s">
        <v>22</v>
      </c>
      <c r="O3378" s="2"/>
      <c r="P3378" s="2"/>
      <c r="Q3378">
        <f>_xlfn.XLOOKUP(E3378,CPT!$A$2:$A$13,CPT!$D$2:$D$13)</f>
        <v>38</v>
      </c>
      <c r="R3378" s="1">
        <f>_xlfn.XLOOKUP(C3378,Contract!$A$2:$A$9,Contract!$B$2:$B$9)</f>
        <v>0.38</v>
      </c>
      <c r="S3378" s="1">
        <f t="shared" si="208"/>
        <v>14.44</v>
      </c>
      <c r="T3378" s="1" t="str">
        <f t="shared" si="209"/>
        <v/>
      </c>
      <c r="U3378" s="1" t="str">
        <f t="shared" si="210"/>
        <v/>
      </c>
      <c r="V3378" s="1" t="str">
        <f>_xlfn.XLOOKUP(C3378,Payers!$A$2:$A$9,Payers!$B$2:$B$9)</f>
        <v>Sunshine Medicare Advantage</v>
      </c>
      <c r="W3378" s="1" t="str">
        <f t="shared" si="211"/>
        <v>2026-08</v>
      </c>
    </row>
    <row r="3379" spans="1:23">
      <c r="A3379" s="1" t="s">
        <v>5583</v>
      </c>
      <c r="B3379" s="1" t="s">
        <v>2291</v>
      </c>
      <c r="C3379" s="1" t="s">
        <v>60</v>
      </c>
      <c r="D3379" s="1" t="s">
        <v>26</v>
      </c>
      <c r="E3379" s="1" t="s">
        <v>27</v>
      </c>
      <c r="F3379">
        <v>1</v>
      </c>
      <c r="G3379" s="2">
        <v>46066</v>
      </c>
      <c r="H3379" s="2">
        <v>46075</v>
      </c>
      <c r="I3379">
        <v>234.65</v>
      </c>
      <c r="J3379">
        <v>103.98</v>
      </c>
      <c r="K3379">
        <v>103.98</v>
      </c>
      <c r="L3379">
        <v>0</v>
      </c>
      <c r="M3379" s="1" t="s">
        <v>21</v>
      </c>
      <c r="N3379" s="1" t="s">
        <v>22</v>
      </c>
      <c r="O3379" s="2">
        <v>46108</v>
      </c>
      <c r="P3379" s="2">
        <v>46108</v>
      </c>
      <c r="Q3379">
        <f>_xlfn.XLOOKUP(E3379,CPT!$A$2:$A$13,CPT!$D$2:$D$13)</f>
        <v>240</v>
      </c>
      <c r="R3379" s="1">
        <f>_xlfn.XLOOKUP(C3379,Contract!$A$2:$A$9,Contract!$B$2:$B$9)</f>
        <v>0.45</v>
      </c>
      <c r="S3379" s="1">
        <f t="shared" si="208"/>
        <v>108</v>
      </c>
      <c r="T3379" s="1">
        <f t="shared" si="209"/>
        <v>4.019999999999996</v>
      </c>
      <c r="U3379" s="1" t="str">
        <f t="shared" si="210"/>
        <v>OK</v>
      </c>
      <c r="V3379" s="1" t="str">
        <f>_xlfn.XLOOKUP(C3379,Payers!$A$2:$A$9,Payers!$B$2:$B$9)</f>
        <v>Blue Horizon Commercial</v>
      </c>
      <c r="W3379" s="1" t="str">
        <f t="shared" si="211"/>
        <v>2026-02</v>
      </c>
    </row>
    <row r="3380" spans="1:23">
      <c r="A3380" s="1" t="s">
        <v>5584</v>
      </c>
      <c r="B3380" s="1" t="s">
        <v>4957</v>
      </c>
      <c r="C3380" s="1" t="s">
        <v>52</v>
      </c>
      <c r="D3380" s="1" t="s">
        <v>19</v>
      </c>
      <c r="E3380" s="1" t="s">
        <v>88</v>
      </c>
      <c r="F3380">
        <v>1</v>
      </c>
      <c r="G3380" s="2">
        <v>46104</v>
      </c>
      <c r="H3380" s="2">
        <v>46126</v>
      </c>
      <c r="I3380">
        <v>252.95</v>
      </c>
      <c r="J3380">
        <v>120.31</v>
      </c>
      <c r="K3380">
        <v>120.31</v>
      </c>
      <c r="L3380">
        <v>0</v>
      </c>
      <c r="M3380" s="1" t="s">
        <v>21</v>
      </c>
      <c r="N3380" s="1" t="s">
        <v>22</v>
      </c>
      <c r="O3380" s="2">
        <v>46177</v>
      </c>
      <c r="P3380" s="2">
        <v>46177</v>
      </c>
      <c r="Q3380">
        <f>_xlfn.XLOOKUP(E3380,CPT!$A$2:$A$13,CPT!$D$2:$D$13)</f>
        <v>260</v>
      </c>
      <c r="R3380" s="1">
        <f>_xlfn.XLOOKUP(C3380,Contract!$A$2:$A$9,Contract!$B$2:$B$9)</f>
        <v>0.47</v>
      </c>
      <c r="S3380" s="1">
        <f t="shared" si="208"/>
        <v>122.2</v>
      </c>
      <c r="T3380" s="1">
        <f t="shared" si="209"/>
        <v>1.8900000000000006</v>
      </c>
      <c r="U3380" s="1" t="str">
        <f t="shared" si="210"/>
        <v>OK</v>
      </c>
      <c r="V3380" s="1" t="str">
        <f>_xlfn.XLOOKUP(C3380,Payers!$A$2:$A$9,Payers!$B$2:$B$9)</f>
        <v>Keystone Commercial PPO</v>
      </c>
      <c r="W3380" s="1" t="str">
        <f t="shared" si="211"/>
        <v>2026-03</v>
      </c>
    </row>
    <row r="3381" spans="1:23">
      <c r="A3381" s="1" t="s">
        <v>5585</v>
      </c>
      <c r="B3381" s="1" t="s">
        <v>5586</v>
      </c>
      <c r="C3381" s="1" t="s">
        <v>79</v>
      </c>
      <c r="D3381" s="1" t="s">
        <v>19</v>
      </c>
      <c r="E3381" s="1" t="s">
        <v>41</v>
      </c>
      <c r="F3381">
        <v>1</v>
      </c>
      <c r="G3381" s="2">
        <v>46047</v>
      </c>
      <c r="H3381" s="2">
        <v>46048</v>
      </c>
      <c r="I3381">
        <v>38.479999999999997</v>
      </c>
      <c r="J3381">
        <v>38.479999999999997</v>
      </c>
      <c r="K3381">
        <v>38.479999999999997</v>
      </c>
      <c r="L3381">
        <v>0</v>
      </c>
      <c r="M3381" s="1" t="s">
        <v>21</v>
      </c>
      <c r="N3381" s="1" t="s">
        <v>22</v>
      </c>
      <c r="O3381" s="2">
        <v>46112</v>
      </c>
      <c r="P3381" s="2">
        <v>46112</v>
      </c>
      <c r="Q3381">
        <f>_xlfn.XLOOKUP(E3381,CPT!$A$2:$A$13,CPT!$D$2:$D$13)</f>
        <v>38</v>
      </c>
      <c r="R3381" s="1">
        <f>_xlfn.XLOOKUP(C3381,Contract!$A$2:$A$9,Contract!$B$2:$B$9)</f>
        <v>1</v>
      </c>
      <c r="S3381" s="1">
        <f t="shared" si="208"/>
        <v>38</v>
      </c>
      <c r="T3381" s="1">
        <f t="shared" si="209"/>
        <v>-0.47999999999999687</v>
      </c>
      <c r="U3381" s="1" t="str">
        <f t="shared" si="210"/>
        <v>OK</v>
      </c>
      <c r="V3381" s="1" t="str">
        <f>_xlfn.XLOOKUP(C3381,Payers!$A$2:$A$9,Payers!$B$2:$B$9)</f>
        <v>Self-Pay</v>
      </c>
      <c r="W3381" s="1" t="str">
        <f t="shared" si="211"/>
        <v>2026-01</v>
      </c>
    </row>
    <row r="3382" spans="1:23">
      <c r="A3382" s="1" t="s">
        <v>5587</v>
      </c>
      <c r="B3382" s="1" t="s">
        <v>5081</v>
      </c>
      <c r="C3382" s="1" t="s">
        <v>25</v>
      </c>
      <c r="D3382" s="1" t="s">
        <v>37</v>
      </c>
      <c r="E3382" s="1" t="s">
        <v>48</v>
      </c>
      <c r="F3382">
        <v>1</v>
      </c>
      <c r="G3382" s="2">
        <v>46189</v>
      </c>
      <c r="H3382" s="2">
        <v>46190</v>
      </c>
      <c r="I3382">
        <v>429.4</v>
      </c>
      <c r="J3382">
        <v>167</v>
      </c>
      <c r="K3382">
        <v>150.30000000000001</v>
      </c>
      <c r="L3382">
        <v>16.7</v>
      </c>
      <c r="M3382" s="1" t="s">
        <v>21</v>
      </c>
      <c r="N3382" s="1" t="s">
        <v>22</v>
      </c>
      <c r="O3382" s="2">
        <v>46209</v>
      </c>
      <c r="P3382" s="2">
        <v>46209</v>
      </c>
      <c r="Q3382">
        <f>_xlfn.XLOOKUP(E3382,CPT!$A$2:$A$13,CPT!$D$2:$D$13)</f>
        <v>420</v>
      </c>
      <c r="R3382" s="1">
        <f>_xlfn.XLOOKUP(C3382,Contract!$A$2:$A$9,Contract!$B$2:$B$9)</f>
        <v>0.36</v>
      </c>
      <c r="S3382" s="1">
        <f t="shared" si="208"/>
        <v>151.19999999999999</v>
      </c>
      <c r="T3382" s="1">
        <f t="shared" si="209"/>
        <v>-15.800000000000011</v>
      </c>
      <c r="U3382" s="1" t="str">
        <f t="shared" si="210"/>
        <v>OK</v>
      </c>
      <c r="V3382" s="1" t="str">
        <f>_xlfn.XLOOKUP(C3382,Payers!$A$2:$A$9,Payers!$B$2:$B$9)</f>
        <v>Medicare Part B</v>
      </c>
      <c r="W3382" s="1" t="str">
        <f t="shared" si="211"/>
        <v>2026-06</v>
      </c>
    </row>
    <row r="3383" spans="1:23">
      <c r="A3383" s="1" t="s">
        <v>5588</v>
      </c>
      <c r="B3383" s="1" t="s">
        <v>5589</v>
      </c>
      <c r="C3383" s="1" t="s">
        <v>76</v>
      </c>
      <c r="D3383" s="1" t="s">
        <v>19</v>
      </c>
      <c r="E3383" s="1" t="s">
        <v>57</v>
      </c>
      <c r="F3383">
        <v>1</v>
      </c>
      <c r="G3383" s="2">
        <v>46188</v>
      </c>
      <c r="H3383" s="2">
        <v>46190</v>
      </c>
      <c r="I3383">
        <v>213.67</v>
      </c>
      <c r="J3383">
        <v>78.73</v>
      </c>
      <c r="K3383">
        <v>62.98</v>
      </c>
      <c r="L3383">
        <v>15.75</v>
      </c>
      <c r="M3383" s="1" t="s">
        <v>21</v>
      </c>
      <c r="N3383" s="1" t="s">
        <v>22</v>
      </c>
      <c r="O3383" s="2">
        <v>46214</v>
      </c>
      <c r="P3383" s="2">
        <v>46214</v>
      </c>
      <c r="Q3383">
        <f>_xlfn.XLOOKUP(E3383,CPT!$A$2:$A$13,CPT!$D$2:$D$13)</f>
        <v>210</v>
      </c>
      <c r="R3383" s="1">
        <f>_xlfn.XLOOKUP(C3383,Contract!$A$2:$A$9,Contract!$B$2:$B$9)</f>
        <v>0.43</v>
      </c>
      <c r="S3383" s="1">
        <f t="shared" si="208"/>
        <v>90.3</v>
      </c>
      <c r="T3383" s="1">
        <f t="shared" si="209"/>
        <v>11.569999999999993</v>
      </c>
      <c r="U3383" s="1" t="str">
        <f t="shared" si="210"/>
        <v>Underpaid</v>
      </c>
      <c r="V3383" s="1" t="str">
        <f>_xlfn.XLOOKUP(C3383,Payers!$A$2:$A$9,Payers!$B$2:$B$9)</f>
        <v>Summit Health Commercial</v>
      </c>
      <c r="W3383" s="1" t="str">
        <f t="shared" si="211"/>
        <v>2026-06</v>
      </c>
    </row>
    <row r="3384" spans="1:23">
      <c r="A3384" s="1" t="s">
        <v>5590</v>
      </c>
      <c r="B3384" s="1" t="s">
        <v>5591</v>
      </c>
      <c r="C3384" s="1" t="s">
        <v>36</v>
      </c>
      <c r="D3384" s="1" t="s">
        <v>37</v>
      </c>
      <c r="E3384" s="1" t="s">
        <v>57</v>
      </c>
      <c r="F3384">
        <v>1</v>
      </c>
      <c r="G3384" s="2">
        <v>46280</v>
      </c>
      <c r="H3384" s="2">
        <v>46283</v>
      </c>
      <c r="I3384">
        <v>211.13</v>
      </c>
      <c r="M3384" s="1" t="s">
        <v>69</v>
      </c>
      <c r="N3384" s="1" t="s">
        <v>22</v>
      </c>
      <c r="O3384" s="2"/>
      <c r="P3384" s="2"/>
      <c r="Q3384">
        <f>_xlfn.XLOOKUP(E3384,CPT!$A$2:$A$13,CPT!$D$2:$D$13)</f>
        <v>210</v>
      </c>
      <c r="R3384" s="1">
        <f>_xlfn.XLOOKUP(C3384,Contract!$A$2:$A$9,Contract!$B$2:$B$9)</f>
        <v>0.27</v>
      </c>
      <c r="S3384" s="1">
        <f t="shared" si="208"/>
        <v>56.7</v>
      </c>
      <c r="T3384" s="1" t="str">
        <f t="shared" si="209"/>
        <v/>
      </c>
      <c r="U3384" s="1" t="str">
        <f t="shared" si="210"/>
        <v/>
      </c>
      <c r="V3384" s="1" t="str">
        <f>_xlfn.XLOOKUP(C3384,Payers!$A$2:$A$9,Payers!$B$2:$B$9)</f>
        <v>Florida Medicaid</v>
      </c>
      <c r="W3384" s="1" t="str">
        <f t="shared" si="211"/>
        <v>2026-09</v>
      </c>
    </row>
    <row r="3385" spans="1:23">
      <c r="A3385" s="1" t="s">
        <v>5592</v>
      </c>
      <c r="B3385" s="1" t="s">
        <v>1992</v>
      </c>
      <c r="C3385" s="1" t="s">
        <v>76</v>
      </c>
      <c r="D3385" s="1" t="s">
        <v>19</v>
      </c>
      <c r="E3385" s="1" t="s">
        <v>88</v>
      </c>
      <c r="F3385">
        <v>1</v>
      </c>
      <c r="G3385" s="2">
        <v>46158</v>
      </c>
      <c r="H3385" s="2">
        <v>46161</v>
      </c>
      <c r="I3385">
        <v>262.26</v>
      </c>
      <c r="J3385">
        <v>112.81</v>
      </c>
      <c r="K3385">
        <v>90.25</v>
      </c>
      <c r="L3385">
        <v>22.56</v>
      </c>
      <c r="M3385" s="1" t="s">
        <v>21</v>
      </c>
      <c r="N3385" s="1" t="s">
        <v>22</v>
      </c>
      <c r="O3385" s="2">
        <v>46202</v>
      </c>
      <c r="P3385" s="2">
        <v>46202</v>
      </c>
      <c r="Q3385">
        <f>_xlfn.XLOOKUP(E3385,CPT!$A$2:$A$13,CPT!$D$2:$D$13)</f>
        <v>260</v>
      </c>
      <c r="R3385" s="1">
        <f>_xlfn.XLOOKUP(C3385,Contract!$A$2:$A$9,Contract!$B$2:$B$9)</f>
        <v>0.43</v>
      </c>
      <c r="S3385" s="1">
        <f t="shared" si="208"/>
        <v>111.8</v>
      </c>
      <c r="T3385" s="1">
        <f t="shared" si="209"/>
        <v>-1.0100000000000051</v>
      </c>
      <c r="U3385" s="1" t="str">
        <f t="shared" si="210"/>
        <v>OK</v>
      </c>
      <c r="V3385" s="1" t="str">
        <f>_xlfn.XLOOKUP(C3385,Payers!$A$2:$A$9,Payers!$B$2:$B$9)</f>
        <v>Summit Health Commercial</v>
      </c>
      <c r="W3385" s="1" t="str">
        <f t="shared" si="211"/>
        <v>2026-05</v>
      </c>
    </row>
    <row r="3386" spans="1:23">
      <c r="A3386" s="1" t="s">
        <v>5593</v>
      </c>
      <c r="B3386" s="1" t="s">
        <v>5594</v>
      </c>
      <c r="C3386" s="1" t="s">
        <v>47</v>
      </c>
      <c r="D3386" s="1" t="s">
        <v>37</v>
      </c>
      <c r="E3386" s="1" t="s">
        <v>57</v>
      </c>
      <c r="F3386">
        <v>1</v>
      </c>
      <c r="G3386" s="2">
        <v>46046</v>
      </c>
      <c r="H3386" s="2">
        <v>46048</v>
      </c>
      <c r="I3386">
        <v>214.66</v>
      </c>
      <c r="J3386">
        <v>65.11</v>
      </c>
      <c r="K3386">
        <v>65.11</v>
      </c>
      <c r="L3386">
        <v>0</v>
      </c>
      <c r="M3386" s="1" t="s">
        <v>21</v>
      </c>
      <c r="N3386" s="1" t="s">
        <v>22</v>
      </c>
      <c r="O3386" s="2">
        <v>46093</v>
      </c>
      <c r="P3386" s="2">
        <v>46093</v>
      </c>
      <c r="Q3386">
        <f>_xlfn.XLOOKUP(E3386,CPT!$A$2:$A$13,CPT!$D$2:$D$13)</f>
        <v>210</v>
      </c>
      <c r="R3386" s="1">
        <f>_xlfn.XLOOKUP(C3386,Contract!$A$2:$A$9,Contract!$B$2:$B$9)</f>
        <v>0.28000000000000003</v>
      </c>
      <c r="S3386" s="1">
        <f t="shared" si="208"/>
        <v>58.8</v>
      </c>
      <c r="T3386" s="1">
        <f t="shared" si="209"/>
        <v>-6.3100000000000023</v>
      </c>
      <c r="U3386" s="1" t="str">
        <f t="shared" si="210"/>
        <v>OK</v>
      </c>
      <c r="V3386" s="1" t="str">
        <f>_xlfn.XLOOKUP(C3386,Payers!$A$2:$A$9,Payers!$B$2:$B$9)</f>
        <v>Coastal Medicaid MCO</v>
      </c>
      <c r="W3386" s="1" t="str">
        <f t="shared" si="211"/>
        <v>2026-01</v>
      </c>
    </row>
    <row r="3387" spans="1:23">
      <c r="A3387" s="1" t="s">
        <v>5595</v>
      </c>
      <c r="B3387" s="1" t="s">
        <v>5596</v>
      </c>
      <c r="C3387" s="1" t="s">
        <v>18</v>
      </c>
      <c r="D3387" s="1" t="s">
        <v>30</v>
      </c>
      <c r="E3387" s="1" t="s">
        <v>31</v>
      </c>
      <c r="F3387">
        <v>4</v>
      </c>
      <c r="G3387" s="2">
        <v>46102</v>
      </c>
      <c r="H3387" s="2">
        <v>46104</v>
      </c>
      <c r="I3387">
        <v>247.08</v>
      </c>
      <c r="J3387">
        <v>81.33</v>
      </c>
      <c r="K3387">
        <v>73.2</v>
      </c>
      <c r="L3387">
        <v>8.1300000000000008</v>
      </c>
      <c r="M3387" s="1" t="s">
        <v>21</v>
      </c>
      <c r="N3387" s="1" t="s">
        <v>22</v>
      </c>
      <c r="O3387" s="2">
        <v>46180</v>
      </c>
      <c r="P3387" s="2">
        <v>46180</v>
      </c>
      <c r="Q3387">
        <f>_xlfn.XLOOKUP(E3387,CPT!$A$2:$A$13,CPT!$D$2:$D$13)</f>
        <v>62</v>
      </c>
      <c r="R3387" s="1">
        <f>_xlfn.XLOOKUP(C3387,Contract!$A$2:$A$9,Contract!$B$2:$B$9)</f>
        <v>0.38</v>
      </c>
      <c r="S3387" s="1">
        <f t="shared" si="208"/>
        <v>94.24</v>
      </c>
      <c r="T3387" s="1">
        <f t="shared" si="209"/>
        <v>12.909999999999997</v>
      </c>
      <c r="U3387" s="1" t="str">
        <f t="shared" si="210"/>
        <v>Underpaid</v>
      </c>
      <c r="V3387" s="1" t="str">
        <f>_xlfn.XLOOKUP(C3387,Payers!$A$2:$A$9,Payers!$B$2:$B$9)</f>
        <v>Sunshine Medicare Advantage</v>
      </c>
      <c r="W3387" s="1" t="str">
        <f t="shared" si="211"/>
        <v>2026-03</v>
      </c>
    </row>
    <row r="3388" spans="1:23">
      <c r="A3388" s="1" t="s">
        <v>5597</v>
      </c>
      <c r="B3388" s="1" t="s">
        <v>5598</v>
      </c>
      <c r="C3388" s="1" t="s">
        <v>25</v>
      </c>
      <c r="D3388" s="1" t="s">
        <v>26</v>
      </c>
      <c r="E3388" s="1" t="s">
        <v>113</v>
      </c>
      <c r="F3388">
        <v>1</v>
      </c>
      <c r="G3388" s="2">
        <v>46001</v>
      </c>
      <c r="H3388" s="2">
        <v>46002</v>
      </c>
      <c r="I3388">
        <v>1043.76</v>
      </c>
      <c r="J3388">
        <v>385.5</v>
      </c>
      <c r="K3388">
        <v>308.39999999999998</v>
      </c>
      <c r="L3388">
        <v>77.099999999999994</v>
      </c>
      <c r="M3388" s="1" t="s">
        <v>21</v>
      </c>
      <c r="N3388" s="1" t="s">
        <v>22</v>
      </c>
      <c r="O3388" s="2">
        <v>46023</v>
      </c>
      <c r="P3388" s="2">
        <v>46023</v>
      </c>
      <c r="Q3388">
        <f>_xlfn.XLOOKUP(E3388,CPT!$A$2:$A$13,CPT!$D$2:$D$13)</f>
        <v>1050</v>
      </c>
      <c r="R3388" s="1">
        <f>_xlfn.XLOOKUP(C3388,Contract!$A$2:$A$9,Contract!$B$2:$B$9)</f>
        <v>0.36</v>
      </c>
      <c r="S3388" s="1">
        <f t="shared" si="208"/>
        <v>378</v>
      </c>
      <c r="T3388" s="1">
        <f t="shared" si="209"/>
        <v>-7.5</v>
      </c>
      <c r="U3388" s="1" t="str">
        <f t="shared" si="210"/>
        <v>OK</v>
      </c>
      <c r="V3388" s="1" t="str">
        <f>_xlfn.XLOOKUP(C3388,Payers!$A$2:$A$9,Payers!$B$2:$B$9)</f>
        <v>Medicare Part B</v>
      </c>
      <c r="W3388" s="1" t="str">
        <f t="shared" si="211"/>
        <v>2025-12</v>
      </c>
    </row>
    <row r="3389" spans="1:23">
      <c r="A3389" s="1" t="s">
        <v>5599</v>
      </c>
      <c r="B3389" s="1" t="s">
        <v>5600</v>
      </c>
      <c r="C3389" s="1" t="s">
        <v>18</v>
      </c>
      <c r="D3389" s="1" t="s">
        <v>19</v>
      </c>
      <c r="E3389" s="1" t="s">
        <v>20</v>
      </c>
      <c r="F3389">
        <v>1</v>
      </c>
      <c r="G3389" s="2">
        <v>46214</v>
      </c>
      <c r="H3389" s="2">
        <v>46215</v>
      </c>
      <c r="I3389">
        <v>146.11000000000001</v>
      </c>
      <c r="J3389">
        <v>49.54</v>
      </c>
      <c r="K3389">
        <v>49.54</v>
      </c>
      <c r="L3389">
        <v>0</v>
      </c>
      <c r="M3389" s="1" t="s">
        <v>21</v>
      </c>
      <c r="N3389" s="1" t="s">
        <v>22</v>
      </c>
      <c r="O3389" s="2">
        <v>46257</v>
      </c>
      <c r="P3389" s="2">
        <v>46257</v>
      </c>
      <c r="Q3389">
        <f>_xlfn.XLOOKUP(E3389,CPT!$A$2:$A$13,CPT!$D$2:$D$13)</f>
        <v>145</v>
      </c>
      <c r="R3389" s="1">
        <f>_xlfn.XLOOKUP(C3389,Contract!$A$2:$A$9,Contract!$B$2:$B$9)</f>
        <v>0.38</v>
      </c>
      <c r="S3389" s="1">
        <f t="shared" si="208"/>
        <v>55.1</v>
      </c>
      <c r="T3389" s="1">
        <f t="shared" si="209"/>
        <v>5.5600000000000023</v>
      </c>
      <c r="U3389" s="1" t="str">
        <f t="shared" si="210"/>
        <v>Underpaid</v>
      </c>
      <c r="V3389" s="1" t="str">
        <f>_xlfn.XLOOKUP(C3389,Payers!$A$2:$A$9,Payers!$B$2:$B$9)</f>
        <v>Sunshine Medicare Advantage</v>
      </c>
      <c r="W3389" s="1" t="str">
        <f t="shared" si="211"/>
        <v>2026-07</v>
      </c>
    </row>
    <row r="3390" spans="1:23">
      <c r="A3390" s="1" t="s">
        <v>5601</v>
      </c>
      <c r="B3390" s="1" t="s">
        <v>5602</v>
      </c>
      <c r="C3390" s="1" t="s">
        <v>60</v>
      </c>
      <c r="D3390" s="1" t="s">
        <v>37</v>
      </c>
      <c r="E3390" s="1" t="s">
        <v>38</v>
      </c>
      <c r="F3390">
        <v>5</v>
      </c>
      <c r="G3390" s="2">
        <v>45946</v>
      </c>
      <c r="H3390" s="2">
        <v>45947</v>
      </c>
      <c r="I3390">
        <v>7355.42</v>
      </c>
      <c r="J3390">
        <v>3482.74</v>
      </c>
      <c r="K3390">
        <v>3134.47</v>
      </c>
      <c r="L3390">
        <v>348.27</v>
      </c>
      <c r="M3390" s="1" t="s">
        <v>21</v>
      </c>
      <c r="N3390" s="1" t="s">
        <v>22</v>
      </c>
      <c r="O3390" s="2">
        <v>45968</v>
      </c>
      <c r="P3390" s="2">
        <v>45968</v>
      </c>
      <c r="Q3390">
        <f>_xlfn.XLOOKUP(E3390,CPT!$A$2:$A$13,CPT!$D$2:$D$13)</f>
        <v>1450</v>
      </c>
      <c r="R3390" s="1">
        <f>_xlfn.XLOOKUP(C3390,Contract!$A$2:$A$9,Contract!$B$2:$B$9)</f>
        <v>0.45</v>
      </c>
      <c r="S3390" s="1">
        <f t="shared" si="208"/>
        <v>3262.5</v>
      </c>
      <c r="T3390" s="1">
        <f t="shared" si="209"/>
        <v>-220.23999999999978</v>
      </c>
      <c r="U3390" s="1" t="str">
        <f t="shared" si="210"/>
        <v>OK</v>
      </c>
      <c r="V3390" s="1" t="str">
        <f>_xlfn.XLOOKUP(C3390,Payers!$A$2:$A$9,Payers!$B$2:$B$9)</f>
        <v>Blue Horizon Commercial</v>
      </c>
      <c r="W3390" s="1" t="str">
        <f t="shared" si="211"/>
        <v>2025-10</v>
      </c>
    </row>
    <row r="3391" spans="1:23">
      <c r="A3391" s="1" t="s">
        <v>5603</v>
      </c>
      <c r="B3391" s="1" t="s">
        <v>5160</v>
      </c>
      <c r="C3391" s="1" t="s">
        <v>25</v>
      </c>
      <c r="D3391" s="1" t="s">
        <v>26</v>
      </c>
      <c r="E3391" s="1" t="s">
        <v>185</v>
      </c>
      <c r="F3391">
        <v>1</v>
      </c>
      <c r="G3391" s="2">
        <v>45986</v>
      </c>
      <c r="H3391" s="2">
        <v>45990</v>
      </c>
      <c r="I3391">
        <v>1132.98</v>
      </c>
      <c r="J3391">
        <v>349.85</v>
      </c>
      <c r="K3391">
        <v>279.88</v>
      </c>
      <c r="L3391">
        <v>69.97</v>
      </c>
      <c r="M3391" s="1" t="s">
        <v>21</v>
      </c>
      <c r="N3391" s="1" t="s">
        <v>22</v>
      </c>
      <c r="O3391" s="2">
        <v>46004</v>
      </c>
      <c r="P3391" s="2">
        <v>46004</v>
      </c>
      <c r="Q3391">
        <f>_xlfn.XLOOKUP(E3391,CPT!$A$2:$A$13,CPT!$D$2:$D$13)</f>
        <v>1150</v>
      </c>
      <c r="R3391" s="1">
        <f>_xlfn.XLOOKUP(C3391,Contract!$A$2:$A$9,Contract!$B$2:$B$9)</f>
        <v>0.36</v>
      </c>
      <c r="S3391" s="1">
        <f t="shared" si="208"/>
        <v>414</v>
      </c>
      <c r="T3391" s="1">
        <f t="shared" si="209"/>
        <v>64.149999999999977</v>
      </c>
      <c r="U3391" s="1" t="str">
        <f t="shared" si="210"/>
        <v>Underpaid</v>
      </c>
      <c r="V3391" s="1" t="str">
        <f>_xlfn.XLOOKUP(C3391,Payers!$A$2:$A$9,Payers!$B$2:$B$9)</f>
        <v>Medicare Part B</v>
      </c>
      <c r="W3391" s="1" t="str">
        <f t="shared" si="211"/>
        <v>2025-11</v>
      </c>
    </row>
    <row r="3392" spans="1:23">
      <c r="A3392" s="1" t="s">
        <v>5604</v>
      </c>
      <c r="B3392" s="1" t="s">
        <v>1951</v>
      </c>
      <c r="C3392" s="1" t="s">
        <v>36</v>
      </c>
      <c r="D3392" s="1" t="s">
        <v>26</v>
      </c>
      <c r="E3392" s="1" t="s">
        <v>41</v>
      </c>
      <c r="F3392">
        <v>1</v>
      </c>
      <c r="G3392" s="2">
        <v>45938</v>
      </c>
      <c r="H3392" s="2">
        <v>45939</v>
      </c>
      <c r="I3392">
        <v>38.369999999999997</v>
      </c>
      <c r="J3392">
        <v>10.78</v>
      </c>
      <c r="K3392">
        <v>10.78</v>
      </c>
      <c r="L3392">
        <v>0</v>
      </c>
      <c r="M3392" s="1" t="s">
        <v>21</v>
      </c>
      <c r="N3392" s="1" t="s">
        <v>22</v>
      </c>
      <c r="O3392" s="2">
        <v>45967</v>
      </c>
      <c r="P3392" s="2">
        <v>45967</v>
      </c>
      <c r="Q3392">
        <f>_xlfn.XLOOKUP(E3392,CPT!$A$2:$A$13,CPT!$D$2:$D$13)</f>
        <v>38</v>
      </c>
      <c r="R3392" s="1">
        <f>_xlfn.XLOOKUP(C3392,Contract!$A$2:$A$9,Contract!$B$2:$B$9)</f>
        <v>0.27</v>
      </c>
      <c r="S3392" s="1">
        <f t="shared" si="208"/>
        <v>10.26</v>
      </c>
      <c r="T3392" s="1">
        <f t="shared" si="209"/>
        <v>-0.51999999999999957</v>
      </c>
      <c r="U3392" s="1" t="str">
        <f t="shared" si="210"/>
        <v>OK</v>
      </c>
      <c r="V3392" s="1" t="str">
        <f>_xlfn.XLOOKUP(C3392,Payers!$A$2:$A$9,Payers!$B$2:$B$9)</f>
        <v>Florida Medicaid</v>
      </c>
      <c r="W3392" s="1" t="str">
        <f t="shared" si="211"/>
        <v>2025-10</v>
      </c>
    </row>
    <row r="3393" spans="1:23">
      <c r="A3393" s="1" t="s">
        <v>5605</v>
      </c>
      <c r="B3393" s="1" t="s">
        <v>5228</v>
      </c>
      <c r="C3393" s="1" t="s">
        <v>52</v>
      </c>
      <c r="D3393" s="1" t="s">
        <v>26</v>
      </c>
      <c r="E3393" s="1" t="s">
        <v>57</v>
      </c>
      <c r="F3393">
        <v>1</v>
      </c>
      <c r="G3393" s="2">
        <v>46275</v>
      </c>
      <c r="H3393" s="2">
        <v>46277</v>
      </c>
      <c r="I3393">
        <v>215.04</v>
      </c>
      <c r="M3393" s="1" t="s">
        <v>69</v>
      </c>
      <c r="N3393" s="1" t="s">
        <v>22</v>
      </c>
      <c r="O3393" s="2"/>
      <c r="P3393" s="2"/>
      <c r="Q3393">
        <f>_xlfn.XLOOKUP(E3393,CPT!$A$2:$A$13,CPT!$D$2:$D$13)</f>
        <v>210</v>
      </c>
      <c r="R3393" s="1">
        <f>_xlfn.XLOOKUP(C3393,Contract!$A$2:$A$9,Contract!$B$2:$B$9)</f>
        <v>0.47</v>
      </c>
      <c r="S3393" s="1">
        <f t="shared" si="208"/>
        <v>98.7</v>
      </c>
      <c r="T3393" s="1" t="str">
        <f t="shared" si="209"/>
        <v/>
      </c>
      <c r="U3393" s="1" t="str">
        <f t="shared" si="210"/>
        <v/>
      </c>
      <c r="V3393" s="1" t="str">
        <f>_xlfn.XLOOKUP(C3393,Payers!$A$2:$A$9,Payers!$B$2:$B$9)</f>
        <v>Keystone Commercial PPO</v>
      </c>
      <c r="W3393" s="1" t="str">
        <f t="shared" si="211"/>
        <v>2026-09</v>
      </c>
    </row>
    <row r="3394" spans="1:23">
      <c r="A3394" s="1" t="s">
        <v>5606</v>
      </c>
      <c r="B3394" s="1" t="s">
        <v>5607</v>
      </c>
      <c r="C3394" s="1" t="s">
        <v>25</v>
      </c>
      <c r="D3394" s="1" t="s">
        <v>19</v>
      </c>
      <c r="E3394" s="1" t="s">
        <v>57</v>
      </c>
      <c r="F3394">
        <v>1</v>
      </c>
      <c r="G3394" s="2">
        <v>46195</v>
      </c>
      <c r="H3394" s="2">
        <v>46196</v>
      </c>
      <c r="I3394">
        <v>206.2</v>
      </c>
      <c r="J3394">
        <v>65.34</v>
      </c>
      <c r="K3394">
        <v>58.81</v>
      </c>
      <c r="L3394">
        <v>6.53</v>
      </c>
      <c r="M3394" s="1" t="s">
        <v>21</v>
      </c>
      <c r="N3394" s="1" t="s">
        <v>22</v>
      </c>
      <c r="O3394" s="2">
        <v>46218</v>
      </c>
      <c r="P3394" s="2">
        <v>46218</v>
      </c>
      <c r="Q3394">
        <f>_xlfn.XLOOKUP(E3394,CPT!$A$2:$A$13,CPT!$D$2:$D$13)</f>
        <v>210</v>
      </c>
      <c r="R3394" s="1">
        <f>_xlfn.XLOOKUP(C3394,Contract!$A$2:$A$9,Contract!$B$2:$B$9)</f>
        <v>0.36</v>
      </c>
      <c r="S3394" s="1">
        <f t="shared" ref="S3394:S3457" si="212">ROUND(Q3394*F3394*R3394,2)</f>
        <v>75.599999999999994</v>
      </c>
      <c r="T3394" s="1">
        <f t="shared" ref="T3394:T3457" si="213">IF(M3394="Paid",S3394-J3394,"")</f>
        <v>10.259999999999991</v>
      </c>
      <c r="U3394" s="1" t="str">
        <f t="shared" ref="U3394:U3457" si="214">IF(M3394&lt;&gt;"Paid","",IF(T3394&gt;S3394*0.05,"Underpaid","OK"))</f>
        <v>Underpaid</v>
      </c>
      <c r="V3394" s="1" t="str">
        <f>_xlfn.XLOOKUP(C3394,Payers!$A$2:$A$9,Payers!$B$2:$B$9)</f>
        <v>Medicare Part B</v>
      </c>
      <c r="W3394" s="1" t="str">
        <f t="shared" ref="W3394:W3457" si="215">TEXT(G3394,"yyyy-mm")</f>
        <v>2026-06</v>
      </c>
    </row>
    <row r="3395" spans="1:23">
      <c r="A3395" s="1" t="s">
        <v>5608</v>
      </c>
      <c r="B3395" s="1" t="s">
        <v>2671</v>
      </c>
      <c r="C3395" s="1" t="s">
        <v>47</v>
      </c>
      <c r="D3395" s="1" t="s">
        <v>26</v>
      </c>
      <c r="E3395" s="1" t="s">
        <v>57</v>
      </c>
      <c r="F3395">
        <v>1</v>
      </c>
      <c r="G3395" s="2">
        <v>46062</v>
      </c>
      <c r="H3395" s="2">
        <v>46074</v>
      </c>
      <c r="I3395">
        <v>206.29</v>
      </c>
      <c r="M3395" s="1" t="s">
        <v>32</v>
      </c>
      <c r="N3395" s="1" t="s">
        <v>49</v>
      </c>
      <c r="O3395" s="2">
        <v>46149</v>
      </c>
      <c r="P3395" s="2"/>
      <c r="Q3395">
        <f>_xlfn.XLOOKUP(E3395,CPT!$A$2:$A$13,CPT!$D$2:$D$13)</f>
        <v>210</v>
      </c>
      <c r="R3395" s="1">
        <f>_xlfn.XLOOKUP(C3395,Contract!$A$2:$A$9,Contract!$B$2:$B$9)</f>
        <v>0.28000000000000003</v>
      </c>
      <c r="S3395" s="1">
        <f t="shared" si="212"/>
        <v>58.8</v>
      </c>
      <c r="T3395" s="1" t="str">
        <f t="shared" si="213"/>
        <v/>
      </c>
      <c r="U3395" s="1" t="str">
        <f t="shared" si="214"/>
        <v/>
      </c>
      <c r="V3395" s="1" t="str">
        <f>_xlfn.XLOOKUP(C3395,Payers!$A$2:$A$9,Payers!$B$2:$B$9)</f>
        <v>Coastal Medicaid MCO</v>
      </c>
      <c r="W3395" s="1" t="str">
        <f t="shared" si="215"/>
        <v>2026-02</v>
      </c>
    </row>
    <row r="3396" spans="1:23">
      <c r="A3396" s="1" t="s">
        <v>5609</v>
      </c>
      <c r="B3396" s="1" t="s">
        <v>5610</v>
      </c>
      <c r="C3396" s="1" t="s">
        <v>36</v>
      </c>
      <c r="D3396" s="1" t="s">
        <v>26</v>
      </c>
      <c r="E3396" s="1" t="s">
        <v>41</v>
      </c>
      <c r="F3396">
        <v>1</v>
      </c>
      <c r="G3396" s="2">
        <v>45997</v>
      </c>
      <c r="H3396" s="2">
        <v>46005</v>
      </c>
      <c r="I3396">
        <v>37.74</v>
      </c>
      <c r="J3396">
        <v>11.31</v>
      </c>
      <c r="K3396">
        <v>11.31</v>
      </c>
      <c r="L3396">
        <v>0</v>
      </c>
      <c r="M3396" s="1" t="s">
        <v>21</v>
      </c>
      <c r="N3396" s="1" t="s">
        <v>22</v>
      </c>
      <c r="O3396" s="2">
        <v>46041</v>
      </c>
      <c r="P3396" s="2">
        <v>46041</v>
      </c>
      <c r="Q3396">
        <f>_xlfn.XLOOKUP(E3396,CPT!$A$2:$A$13,CPT!$D$2:$D$13)</f>
        <v>38</v>
      </c>
      <c r="R3396" s="1">
        <f>_xlfn.XLOOKUP(C3396,Contract!$A$2:$A$9,Contract!$B$2:$B$9)</f>
        <v>0.27</v>
      </c>
      <c r="S3396" s="1">
        <f t="shared" si="212"/>
        <v>10.26</v>
      </c>
      <c r="T3396" s="1">
        <f t="shared" si="213"/>
        <v>-1.0500000000000007</v>
      </c>
      <c r="U3396" s="1" t="str">
        <f t="shared" si="214"/>
        <v>OK</v>
      </c>
      <c r="V3396" s="1" t="str">
        <f>_xlfn.XLOOKUP(C3396,Payers!$A$2:$A$9,Payers!$B$2:$B$9)</f>
        <v>Florida Medicaid</v>
      </c>
      <c r="W3396" s="1" t="str">
        <f t="shared" si="215"/>
        <v>2025-12</v>
      </c>
    </row>
    <row r="3397" spans="1:23">
      <c r="A3397" s="1" t="s">
        <v>5611</v>
      </c>
      <c r="B3397" s="1" t="s">
        <v>2360</v>
      </c>
      <c r="C3397" s="1" t="s">
        <v>25</v>
      </c>
      <c r="D3397" s="1" t="s">
        <v>26</v>
      </c>
      <c r="E3397" s="1" t="s">
        <v>41</v>
      </c>
      <c r="F3397">
        <v>1</v>
      </c>
      <c r="G3397" s="2">
        <v>46237</v>
      </c>
      <c r="H3397" s="2">
        <v>46238</v>
      </c>
      <c r="I3397">
        <v>37.07</v>
      </c>
      <c r="J3397">
        <v>11.58</v>
      </c>
      <c r="K3397">
        <v>11.58</v>
      </c>
      <c r="L3397">
        <v>0</v>
      </c>
      <c r="M3397" s="1" t="s">
        <v>21</v>
      </c>
      <c r="N3397" s="1" t="s">
        <v>22</v>
      </c>
      <c r="O3397" s="2">
        <v>46259</v>
      </c>
      <c r="P3397" s="2">
        <v>46259</v>
      </c>
      <c r="Q3397">
        <f>_xlfn.XLOOKUP(E3397,CPT!$A$2:$A$13,CPT!$D$2:$D$13)</f>
        <v>38</v>
      </c>
      <c r="R3397" s="1">
        <f>_xlfn.XLOOKUP(C3397,Contract!$A$2:$A$9,Contract!$B$2:$B$9)</f>
        <v>0.36</v>
      </c>
      <c r="S3397" s="1">
        <f t="shared" si="212"/>
        <v>13.68</v>
      </c>
      <c r="T3397" s="1">
        <f t="shared" si="213"/>
        <v>2.0999999999999996</v>
      </c>
      <c r="U3397" s="1" t="str">
        <f t="shared" si="214"/>
        <v>Underpaid</v>
      </c>
      <c r="V3397" s="1" t="str">
        <f>_xlfn.XLOOKUP(C3397,Payers!$A$2:$A$9,Payers!$B$2:$B$9)</f>
        <v>Medicare Part B</v>
      </c>
      <c r="W3397" s="1" t="str">
        <f t="shared" si="215"/>
        <v>2026-08</v>
      </c>
    </row>
    <row r="3398" spans="1:23">
      <c r="A3398" s="1" t="s">
        <v>5612</v>
      </c>
      <c r="B3398" s="1" t="s">
        <v>3538</v>
      </c>
      <c r="C3398" s="1" t="s">
        <v>52</v>
      </c>
      <c r="D3398" s="1" t="s">
        <v>26</v>
      </c>
      <c r="E3398" s="1" t="s">
        <v>44</v>
      </c>
      <c r="F3398">
        <v>1</v>
      </c>
      <c r="G3398" s="2">
        <v>46269</v>
      </c>
      <c r="H3398" s="2">
        <v>46273</v>
      </c>
      <c r="I3398">
        <v>4941.49</v>
      </c>
      <c r="J3398">
        <v>2163.5700000000002</v>
      </c>
      <c r="K3398">
        <v>1730.86</v>
      </c>
      <c r="L3398">
        <v>432.71</v>
      </c>
      <c r="M3398" s="1" t="s">
        <v>21</v>
      </c>
      <c r="N3398" s="1" t="s">
        <v>22</v>
      </c>
      <c r="O3398" s="2">
        <v>46295</v>
      </c>
      <c r="P3398" s="2">
        <v>46295</v>
      </c>
      <c r="Q3398">
        <f>_xlfn.XLOOKUP(E3398,CPT!$A$2:$A$13,CPT!$D$2:$D$13)</f>
        <v>4800</v>
      </c>
      <c r="R3398" s="1">
        <f>_xlfn.XLOOKUP(C3398,Contract!$A$2:$A$9,Contract!$B$2:$B$9)</f>
        <v>0.47</v>
      </c>
      <c r="S3398" s="1">
        <f t="shared" si="212"/>
        <v>2256</v>
      </c>
      <c r="T3398" s="1">
        <f t="shared" si="213"/>
        <v>92.429999999999836</v>
      </c>
      <c r="U3398" s="1" t="str">
        <f t="shared" si="214"/>
        <v>OK</v>
      </c>
      <c r="V3398" s="1" t="str">
        <f>_xlfn.XLOOKUP(C3398,Payers!$A$2:$A$9,Payers!$B$2:$B$9)</f>
        <v>Keystone Commercial PPO</v>
      </c>
      <c r="W3398" s="1" t="str">
        <f t="shared" si="215"/>
        <v>2026-09</v>
      </c>
    </row>
    <row r="3399" spans="1:23">
      <c r="A3399" s="1" t="s">
        <v>5613</v>
      </c>
      <c r="B3399" s="1" t="s">
        <v>5614</v>
      </c>
      <c r="C3399" s="1" t="s">
        <v>76</v>
      </c>
      <c r="D3399" s="1" t="s">
        <v>37</v>
      </c>
      <c r="E3399" s="1" t="s">
        <v>57</v>
      </c>
      <c r="F3399">
        <v>1</v>
      </c>
      <c r="G3399" s="2">
        <v>46008</v>
      </c>
      <c r="H3399" s="2">
        <v>46018</v>
      </c>
      <c r="I3399">
        <v>213.7</v>
      </c>
      <c r="J3399">
        <v>90.2</v>
      </c>
      <c r="K3399">
        <v>90.2</v>
      </c>
      <c r="L3399">
        <v>0</v>
      </c>
      <c r="M3399" s="1" t="s">
        <v>21</v>
      </c>
      <c r="N3399" s="1" t="s">
        <v>22</v>
      </c>
      <c r="O3399" s="2">
        <v>46062</v>
      </c>
      <c r="P3399" s="2">
        <v>46062</v>
      </c>
      <c r="Q3399">
        <f>_xlfn.XLOOKUP(E3399,CPT!$A$2:$A$13,CPT!$D$2:$D$13)</f>
        <v>210</v>
      </c>
      <c r="R3399" s="1">
        <f>_xlfn.XLOOKUP(C3399,Contract!$A$2:$A$9,Contract!$B$2:$B$9)</f>
        <v>0.43</v>
      </c>
      <c r="S3399" s="1">
        <f t="shared" si="212"/>
        <v>90.3</v>
      </c>
      <c r="T3399" s="1">
        <f t="shared" si="213"/>
        <v>9.9999999999994316E-2</v>
      </c>
      <c r="U3399" s="1" t="str">
        <f t="shared" si="214"/>
        <v>OK</v>
      </c>
      <c r="V3399" s="1" t="str">
        <f>_xlfn.XLOOKUP(C3399,Payers!$A$2:$A$9,Payers!$B$2:$B$9)</f>
        <v>Summit Health Commercial</v>
      </c>
      <c r="W3399" s="1" t="str">
        <f t="shared" si="215"/>
        <v>2025-12</v>
      </c>
    </row>
    <row r="3400" spans="1:23">
      <c r="A3400" s="1" t="s">
        <v>5615</v>
      </c>
      <c r="B3400" s="1" t="s">
        <v>5616</v>
      </c>
      <c r="C3400" s="1" t="s">
        <v>76</v>
      </c>
      <c r="D3400" s="1" t="s">
        <v>37</v>
      </c>
      <c r="E3400" s="1" t="s">
        <v>48</v>
      </c>
      <c r="F3400">
        <v>1</v>
      </c>
      <c r="G3400" s="2">
        <v>46187</v>
      </c>
      <c r="H3400" s="2">
        <v>46189</v>
      </c>
      <c r="I3400">
        <v>423.94</v>
      </c>
      <c r="J3400">
        <v>155.88999999999999</v>
      </c>
      <c r="K3400">
        <v>124.71</v>
      </c>
      <c r="L3400">
        <v>31.18</v>
      </c>
      <c r="M3400" s="1" t="s">
        <v>21</v>
      </c>
      <c r="N3400" s="1" t="s">
        <v>22</v>
      </c>
      <c r="O3400" s="2">
        <v>46230</v>
      </c>
      <c r="P3400" s="2">
        <v>46230</v>
      </c>
      <c r="Q3400">
        <f>_xlfn.XLOOKUP(E3400,CPT!$A$2:$A$13,CPT!$D$2:$D$13)</f>
        <v>420</v>
      </c>
      <c r="R3400" s="1">
        <f>_xlfn.XLOOKUP(C3400,Contract!$A$2:$A$9,Contract!$B$2:$B$9)</f>
        <v>0.43</v>
      </c>
      <c r="S3400" s="1">
        <f t="shared" si="212"/>
        <v>180.6</v>
      </c>
      <c r="T3400" s="1">
        <f t="shared" si="213"/>
        <v>24.710000000000008</v>
      </c>
      <c r="U3400" s="1" t="str">
        <f t="shared" si="214"/>
        <v>Underpaid</v>
      </c>
      <c r="V3400" s="1" t="str">
        <f>_xlfn.XLOOKUP(C3400,Payers!$A$2:$A$9,Payers!$B$2:$B$9)</f>
        <v>Summit Health Commercial</v>
      </c>
      <c r="W3400" s="1" t="str">
        <f t="shared" si="215"/>
        <v>2026-06</v>
      </c>
    </row>
    <row r="3401" spans="1:23">
      <c r="A3401" s="1" t="s">
        <v>5617</v>
      </c>
      <c r="B3401" s="1" t="s">
        <v>3473</v>
      </c>
      <c r="C3401" s="1" t="s">
        <v>18</v>
      </c>
      <c r="D3401" s="1" t="s">
        <v>30</v>
      </c>
      <c r="E3401" s="1" t="s">
        <v>91</v>
      </c>
      <c r="F3401">
        <v>1</v>
      </c>
      <c r="G3401" s="2">
        <v>46116</v>
      </c>
      <c r="H3401" s="2">
        <v>46122</v>
      </c>
      <c r="I3401">
        <v>58.11</v>
      </c>
      <c r="J3401">
        <v>20.98</v>
      </c>
      <c r="K3401">
        <v>20.98</v>
      </c>
      <c r="L3401">
        <v>0</v>
      </c>
      <c r="M3401" s="1" t="s">
        <v>21</v>
      </c>
      <c r="N3401" s="1" t="s">
        <v>22</v>
      </c>
      <c r="O3401" s="2">
        <v>46195</v>
      </c>
      <c r="P3401" s="2">
        <v>46195</v>
      </c>
      <c r="Q3401">
        <f>_xlfn.XLOOKUP(E3401,CPT!$A$2:$A$13,CPT!$D$2:$D$13)</f>
        <v>58</v>
      </c>
      <c r="R3401" s="1">
        <f>_xlfn.XLOOKUP(C3401,Contract!$A$2:$A$9,Contract!$B$2:$B$9)</f>
        <v>0.38</v>
      </c>
      <c r="S3401" s="1">
        <f t="shared" si="212"/>
        <v>22.04</v>
      </c>
      <c r="T3401" s="1">
        <f t="shared" si="213"/>
        <v>1.0599999999999987</v>
      </c>
      <c r="U3401" s="1" t="str">
        <f t="shared" si="214"/>
        <v>OK</v>
      </c>
      <c r="V3401" s="1" t="str">
        <f>_xlfn.XLOOKUP(C3401,Payers!$A$2:$A$9,Payers!$B$2:$B$9)</f>
        <v>Sunshine Medicare Advantage</v>
      </c>
      <c r="W3401" s="1" t="str">
        <f t="shared" si="215"/>
        <v>2026-04</v>
      </c>
    </row>
    <row r="3402" spans="1:23">
      <c r="A3402" s="1" t="s">
        <v>5618</v>
      </c>
      <c r="B3402" s="1" t="s">
        <v>5619</v>
      </c>
      <c r="C3402" s="1" t="s">
        <v>18</v>
      </c>
      <c r="D3402" s="1" t="s">
        <v>30</v>
      </c>
      <c r="E3402" s="1" t="s">
        <v>31</v>
      </c>
      <c r="F3402">
        <v>2</v>
      </c>
      <c r="G3402" s="2">
        <v>46269</v>
      </c>
      <c r="H3402" s="2">
        <v>46274</v>
      </c>
      <c r="I3402">
        <v>121.59</v>
      </c>
      <c r="M3402" s="1" t="s">
        <v>69</v>
      </c>
      <c r="N3402" s="1" t="s">
        <v>22</v>
      </c>
      <c r="O3402" s="2"/>
      <c r="P3402" s="2"/>
      <c r="Q3402">
        <f>_xlfn.XLOOKUP(E3402,CPT!$A$2:$A$13,CPT!$D$2:$D$13)</f>
        <v>62</v>
      </c>
      <c r="R3402" s="1">
        <f>_xlfn.XLOOKUP(C3402,Contract!$A$2:$A$9,Contract!$B$2:$B$9)</f>
        <v>0.38</v>
      </c>
      <c r="S3402" s="1">
        <f t="shared" si="212"/>
        <v>47.12</v>
      </c>
      <c r="T3402" s="1" t="str">
        <f t="shared" si="213"/>
        <v/>
      </c>
      <c r="U3402" s="1" t="str">
        <f t="shared" si="214"/>
        <v/>
      </c>
      <c r="V3402" s="1" t="str">
        <f>_xlfn.XLOOKUP(C3402,Payers!$A$2:$A$9,Payers!$B$2:$B$9)</f>
        <v>Sunshine Medicare Advantage</v>
      </c>
      <c r="W3402" s="1" t="str">
        <f t="shared" si="215"/>
        <v>2026-09</v>
      </c>
    </row>
    <row r="3403" spans="1:23">
      <c r="A3403" s="1" t="s">
        <v>5620</v>
      </c>
      <c r="B3403" s="1" t="s">
        <v>35</v>
      </c>
      <c r="C3403" s="1" t="s">
        <v>60</v>
      </c>
      <c r="D3403" s="1" t="s">
        <v>37</v>
      </c>
      <c r="E3403" s="1" t="s">
        <v>38</v>
      </c>
      <c r="F3403">
        <v>5</v>
      </c>
      <c r="G3403" s="2">
        <v>46124</v>
      </c>
      <c r="H3403" s="2">
        <v>46129</v>
      </c>
      <c r="I3403">
        <v>7145.73</v>
      </c>
      <c r="J3403">
        <v>2920.07</v>
      </c>
      <c r="K3403">
        <v>2336.06</v>
      </c>
      <c r="L3403">
        <v>584.01</v>
      </c>
      <c r="M3403" s="1" t="s">
        <v>21</v>
      </c>
      <c r="N3403" s="1" t="s">
        <v>22</v>
      </c>
      <c r="O3403" s="2">
        <v>46170</v>
      </c>
      <c r="P3403" s="2">
        <v>46170</v>
      </c>
      <c r="Q3403">
        <f>_xlfn.XLOOKUP(E3403,CPT!$A$2:$A$13,CPT!$D$2:$D$13)</f>
        <v>1450</v>
      </c>
      <c r="R3403" s="1">
        <f>_xlfn.XLOOKUP(C3403,Contract!$A$2:$A$9,Contract!$B$2:$B$9)</f>
        <v>0.45</v>
      </c>
      <c r="S3403" s="1">
        <f t="shared" si="212"/>
        <v>3262.5</v>
      </c>
      <c r="T3403" s="1">
        <f t="shared" si="213"/>
        <v>342.42999999999984</v>
      </c>
      <c r="U3403" s="1" t="str">
        <f t="shared" si="214"/>
        <v>Underpaid</v>
      </c>
      <c r="V3403" s="1" t="str">
        <f>_xlfn.XLOOKUP(C3403,Payers!$A$2:$A$9,Payers!$B$2:$B$9)</f>
        <v>Blue Horizon Commercial</v>
      </c>
      <c r="W3403" s="1" t="str">
        <f t="shared" si="215"/>
        <v>2026-04</v>
      </c>
    </row>
    <row r="3404" spans="1:23">
      <c r="A3404" s="1" t="s">
        <v>5621</v>
      </c>
      <c r="B3404" s="1" t="s">
        <v>5622</v>
      </c>
      <c r="C3404" s="1" t="s">
        <v>18</v>
      </c>
      <c r="D3404" s="1" t="s">
        <v>30</v>
      </c>
      <c r="E3404" s="1" t="s">
        <v>31</v>
      </c>
      <c r="F3404">
        <v>1</v>
      </c>
      <c r="G3404" s="2">
        <v>46133</v>
      </c>
      <c r="H3404" s="2">
        <v>46143</v>
      </c>
      <c r="I3404">
        <v>63.34</v>
      </c>
      <c r="J3404">
        <v>22.39</v>
      </c>
      <c r="K3404">
        <v>20.149999999999999</v>
      </c>
      <c r="L3404">
        <v>2.2400000000000002</v>
      </c>
      <c r="M3404" s="1" t="s">
        <v>21</v>
      </c>
      <c r="N3404" s="1" t="s">
        <v>22</v>
      </c>
      <c r="O3404" s="2">
        <v>46171</v>
      </c>
      <c r="P3404" s="2">
        <v>46171</v>
      </c>
      <c r="Q3404">
        <f>_xlfn.XLOOKUP(E3404,CPT!$A$2:$A$13,CPT!$D$2:$D$13)</f>
        <v>62</v>
      </c>
      <c r="R3404" s="1">
        <f>_xlfn.XLOOKUP(C3404,Contract!$A$2:$A$9,Contract!$B$2:$B$9)</f>
        <v>0.38</v>
      </c>
      <c r="S3404" s="1">
        <f t="shared" si="212"/>
        <v>23.56</v>
      </c>
      <c r="T3404" s="1">
        <f t="shared" si="213"/>
        <v>1.1699999999999982</v>
      </c>
      <c r="U3404" s="1" t="str">
        <f t="shared" si="214"/>
        <v>OK</v>
      </c>
      <c r="V3404" s="1" t="str">
        <f>_xlfn.XLOOKUP(C3404,Payers!$A$2:$A$9,Payers!$B$2:$B$9)</f>
        <v>Sunshine Medicare Advantage</v>
      </c>
      <c r="W3404" s="1" t="str">
        <f t="shared" si="215"/>
        <v>2026-04</v>
      </c>
    </row>
    <row r="3405" spans="1:23">
      <c r="A3405" s="1" t="s">
        <v>5623</v>
      </c>
      <c r="B3405" s="1" t="s">
        <v>649</v>
      </c>
      <c r="C3405" s="1" t="s">
        <v>76</v>
      </c>
      <c r="D3405" s="1" t="s">
        <v>19</v>
      </c>
      <c r="E3405" s="1" t="s">
        <v>88</v>
      </c>
      <c r="F3405">
        <v>1</v>
      </c>
      <c r="G3405" s="2">
        <v>46136</v>
      </c>
      <c r="H3405" s="2">
        <v>46137</v>
      </c>
      <c r="I3405">
        <v>255.6</v>
      </c>
      <c r="J3405">
        <v>99.1</v>
      </c>
      <c r="K3405">
        <v>99.1</v>
      </c>
      <c r="L3405">
        <v>0</v>
      </c>
      <c r="M3405" s="1" t="s">
        <v>21</v>
      </c>
      <c r="N3405" s="1" t="s">
        <v>22</v>
      </c>
      <c r="O3405" s="2">
        <v>46161</v>
      </c>
      <c r="P3405" s="2">
        <v>46161</v>
      </c>
      <c r="Q3405">
        <f>_xlfn.XLOOKUP(E3405,CPT!$A$2:$A$13,CPT!$D$2:$D$13)</f>
        <v>260</v>
      </c>
      <c r="R3405" s="1">
        <f>_xlfn.XLOOKUP(C3405,Contract!$A$2:$A$9,Contract!$B$2:$B$9)</f>
        <v>0.43</v>
      </c>
      <c r="S3405" s="1">
        <f t="shared" si="212"/>
        <v>111.8</v>
      </c>
      <c r="T3405" s="1">
        <f t="shared" si="213"/>
        <v>12.700000000000003</v>
      </c>
      <c r="U3405" s="1" t="str">
        <f t="shared" si="214"/>
        <v>Underpaid</v>
      </c>
      <c r="V3405" s="1" t="str">
        <f>_xlfn.XLOOKUP(C3405,Payers!$A$2:$A$9,Payers!$B$2:$B$9)</f>
        <v>Summit Health Commercial</v>
      </c>
      <c r="W3405" s="1" t="str">
        <f t="shared" si="215"/>
        <v>2026-04</v>
      </c>
    </row>
    <row r="3406" spans="1:23">
      <c r="A3406" s="1" t="s">
        <v>5624</v>
      </c>
      <c r="B3406" s="1" t="s">
        <v>1774</v>
      </c>
      <c r="C3406" s="1" t="s">
        <v>76</v>
      </c>
      <c r="D3406" s="1" t="s">
        <v>30</v>
      </c>
      <c r="E3406" s="1" t="s">
        <v>31</v>
      </c>
      <c r="F3406">
        <v>2</v>
      </c>
      <c r="G3406" s="2">
        <v>45970</v>
      </c>
      <c r="H3406" s="2">
        <v>45973</v>
      </c>
      <c r="I3406">
        <v>122.21</v>
      </c>
      <c r="J3406">
        <v>59.72</v>
      </c>
      <c r="K3406">
        <v>53.75</v>
      </c>
      <c r="L3406">
        <v>5.97</v>
      </c>
      <c r="M3406" s="1" t="s">
        <v>21</v>
      </c>
      <c r="N3406" s="1" t="s">
        <v>22</v>
      </c>
      <c r="O3406" s="2">
        <v>46001</v>
      </c>
      <c r="P3406" s="2">
        <v>46001</v>
      </c>
      <c r="Q3406">
        <f>_xlfn.XLOOKUP(E3406,CPT!$A$2:$A$13,CPT!$D$2:$D$13)</f>
        <v>62</v>
      </c>
      <c r="R3406" s="1">
        <f>_xlfn.XLOOKUP(C3406,Contract!$A$2:$A$9,Contract!$B$2:$B$9)</f>
        <v>0.43</v>
      </c>
      <c r="S3406" s="1">
        <f t="shared" si="212"/>
        <v>53.32</v>
      </c>
      <c r="T3406" s="1">
        <f t="shared" si="213"/>
        <v>-6.3999999999999986</v>
      </c>
      <c r="U3406" s="1" t="str">
        <f t="shared" si="214"/>
        <v>OK</v>
      </c>
      <c r="V3406" s="1" t="str">
        <f>_xlfn.XLOOKUP(C3406,Payers!$A$2:$A$9,Payers!$B$2:$B$9)</f>
        <v>Summit Health Commercial</v>
      </c>
      <c r="W3406" s="1" t="str">
        <f t="shared" si="215"/>
        <v>2025-11</v>
      </c>
    </row>
    <row r="3407" spans="1:23">
      <c r="A3407" s="1" t="s">
        <v>5625</v>
      </c>
      <c r="B3407" s="1" t="s">
        <v>5626</v>
      </c>
      <c r="C3407" s="1" t="s">
        <v>60</v>
      </c>
      <c r="D3407" s="1" t="s">
        <v>30</v>
      </c>
      <c r="E3407" s="1" t="s">
        <v>31</v>
      </c>
      <c r="F3407">
        <v>1</v>
      </c>
      <c r="G3407" s="2">
        <v>46265</v>
      </c>
      <c r="H3407" s="2">
        <v>46274</v>
      </c>
      <c r="I3407">
        <v>62.99</v>
      </c>
      <c r="J3407">
        <v>30.37</v>
      </c>
      <c r="K3407">
        <v>30.37</v>
      </c>
      <c r="L3407">
        <v>0</v>
      </c>
      <c r="M3407" s="1" t="s">
        <v>21</v>
      </c>
      <c r="N3407" s="1" t="s">
        <v>22</v>
      </c>
      <c r="O3407" s="2">
        <v>46290</v>
      </c>
      <c r="P3407" s="2">
        <v>46290</v>
      </c>
      <c r="Q3407">
        <f>_xlfn.XLOOKUP(E3407,CPT!$A$2:$A$13,CPT!$D$2:$D$13)</f>
        <v>62</v>
      </c>
      <c r="R3407" s="1">
        <f>_xlfn.XLOOKUP(C3407,Contract!$A$2:$A$9,Contract!$B$2:$B$9)</f>
        <v>0.45</v>
      </c>
      <c r="S3407" s="1">
        <f t="shared" si="212"/>
        <v>27.9</v>
      </c>
      <c r="T3407" s="1">
        <f t="shared" si="213"/>
        <v>-2.4700000000000024</v>
      </c>
      <c r="U3407" s="1" t="str">
        <f t="shared" si="214"/>
        <v>OK</v>
      </c>
      <c r="V3407" s="1" t="str">
        <f>_xlfn.XLOOKUP(C3407,Payers!$A$2:$A$9,Payers!$B$2:$B$9)</f>
        <v>Blue Horizon Commercial</v>
      </c>
      <c r="W3407" s="1" t="str">
        <f t="shared" si="215"/>
        <v>2026-08</v>
      </c>
    </row>
    <row r="3408" spans="1:23">
      <c r="A3408" s="1" t="s">
        <v>5627</v>
      </c>
      <c r="B3408" s="1" t="s">
        <v>5628</v>
      </c>
      <c r="C3408" s="1" t="s">
        <v>52</v>
      </c>
      <c r="D3408" s="1" t="s">
        <v>19</v>
      </c>
      <c r="E3408" s="1" t="s">
        <v>57</v>
      </c>
      <c r="F3408">
        <v>1</v>
      </c>
      <c r="G3408" s="2">
        <v>46252</v>
      </c>
      <c r="H3408" s="2">
        <v>46258</v>
      </c>
      <c r="I3408">
        <v>214.87</v>
      </c>
      <c r="J3408">
        <v>104.08</v>
      </c>
      <c r="K3408">
        <v>83.26</v>
      </c>
      <c r="L3408">
        <v>20.82</v>
      </c>
      <c r="M3408" s="1" t="s">
        <v>21</v>
      </c>
      <c r="N3408" s="1" t="s">
        <v>22</v>
      </c>
      <c r="O3408" s="2">
        <v>46289</v>
      </c>
      <c r="P3408" s="2">
        <v>46289</v>
      </c>
      <c r="Q3408">
        <f>_xlfn.XLOOKUP(E3408,CPT!$A$2:$A$13,CPT!$D$2:$D$13)</f>
        <v>210</v>
      </c>
      <c r="R3408" s="1">
        <f>_xlfn.XLOOKUP(C3408,Contract!$A$2:$A$9,Contract!$B$2:$B$9)</f>
        <v>0.47</v>
      </c>
      <c r="S3408" s="1">
        <f t="shared" si="212"/>
        <v>98.7</v>
      </c>
      <c r="T3408" s="1">
        <f t="shared" si="213"/>
        <v>-5.3799999999999955</v>
      </c>
      <c r="U3408" s="1" t="str">
        <f t="shared" si="214"/>
        <v>OK</v>
      </c>
      <c r="V3408" s="1" t="str">
        <f>_xlfn.XLOOKUP(C3408,Payers!$A$2:$A$9,Payers!$B$2:$B$9)</f>
        <v>Keystone Commercial PPO</v>
      </c>
      <c r="W3408" s="1" t="str">
        <f t="shared" si="215"/>
        <v>2026-08</v>
      </c>
    </row>
    <row r="3409" spans="1:23">
      <c r="A3409" s="1" t="s">
        <v>5629</v>
      </c>
      <c r="B3409" s="1" t="s">
        <v>5630</v>
      </c>
      <c r="C3409" s="1" t="s">
        <v>76</v>
      </c>
      <c r="D3409" s="1" t="s">
        <v>26</v>
      </c>
      <c r="E3409" s="1" t="s">
        <v>185</v>
      </c>
      <c r="F3409">
        <v>1</v>
      </c>
      <c r="G3409" s="2">
        <v>46234</v>
      </c>
      <c r="H3409" s="2">
        <v>46240</v>
      </c>
      <c r="I3409">
        <v>1155.8499999999999</v>
      </c>
      <c r="J3409">
        <v>568.79</v>
      </c>
      <c r="K3409">
        <v>455.03</v>
      </c>
      <c r="L3409">
        <v>113.76</v>
      </c>
      <c r="M3409" s="1" t="s">
        <v>21</v>
      </c>
      <c r="N3409" s="1" t="s">
        <v>22</v>
      </c>
      <c r="O3409" s="2">
        <v>46269</v>
      </c>
      <c r="P3409" s="2">
        <v>46269</v>
      </c>
      <c r="Q3409">
        <f>_xlfn.XLOOKUP(E3409,CPT!$A$2:$A$13,CPT!$D$2:$D$13)</f>
        <v>1150</v>
      </c>
      <c r="R3409" s="1">
        <f>_xlfn.XLOOKUP(C3409,Contract!$A$2:$A$9,Contract!$B$2:$B$9)</f>
        <v>0.43</v>
      </c>
      <c r="S3409" s="1">
        <f t="shared" si="212"/>
        <v>494.5</v>
      </c>
      <c r="T3409" s="1">
        <f t="shared" si="213"/>
        <v>-74.289999999999964</v>
      </c>
      <c r="U3409" s="1" t="str">
        <f t="shared" si="214"/>
        <v>OK</v>
      </c>
      <c r="V3409" s="1" t="str">
        <f>_xlfn.XLOOKUP(C3409,Payers!$A$2:$A$9,Payers!$B$2:$B$9)</f>
        <v>Summit Health Commercial</v>
      </c>
      <c r="W3409" s="1" t="str">
        <f t="shared" si="215"/>
        <v>2026-07</v>
      </c>
    </row>
    <row r="3410" spans="1:23">
      <c r="A3410" s="1" t="s">
        <v>5631</v>
      </c>
      <c r="B3410" s="1" t="s">
        <v>1226</v>
      </c>
      <c r="C3410" s="1" t="s">
        <v>60</v>
      </c>
      <c r="D3410" s="1" t="s">
        <v>26</v>
      </c>
      <c r="E3410" s="1" t="s">
        <v>41</v>
      </c>
      <c r="F3410">
        <v>1</v>
      </c>
      <c r="G3410" s="2">
        <v>46057</v>
      </c>
      <c r="H3410" s="2">
        <v>46062</v>
      </c>
      <c r="I3410">
        <v>37.35</v>
      </c>
      <c r="M3410" s="1" t="s">
        <v>32</v>
      </c>
      <c r="N3410" s="1" t="s">
        <v>49</v>
      </c>
      <c r="O3410" s="2">
        <v>46081</v>
      </c>
      <c r="P3410" s="2"/>
      <c r="Q3410">
        <f>_xlfn.XLOOKUP(E3410,CPT!$A$2:$A$13,CPT!$D$2:$D$13)</f>
        <v>38</v>
      </c>
      <c r="R3410" s="1">
        <f>_xlfn.XLOOKUP(C3410,Contract!$A$2:$A$9,Contract!$B$2:$B$9)</f>
        <v>0.45</v>
      </c>
      <c r="S3410" s="1">
        <f t="shared" si="212"/>
        <v>17.100000000000001</v>
      </c>
      <c r="T3410" s="1" t="str">
        <f t="shared" si="213"/>
        <v/>
      </c>
      <c r="U3410" s="1" t="str">
        <f t="shared" si="214"/>
        <v/>
      </c>
      <c r="V3410" s="1" t="str">
        <f>_xlfn.XLOOKUP(C3410,Payers!$A$2:$A$9,Payers!$B$2:$B$9)</f>
        <v>Blue Horizon Commercial</v>
      </c>
      <c r="W3410" s="1" t="str">
        <f t="shared" si="215"/>
        <v>2026-02</v>
      </c>
    </row>
    <row r="3411" spans="1:23">
      <c r="A3411" s="1" t="s">
        <v>5632</v>
      </c>
      <c r="B3411" s="1" t="s">
        <v>4917</v>
      </c>
      <c r="C3411" s="1" t="s">
        <v>60</v>
      </c>
      <c r="D3411" s="1" t="s">
        <v>30</v>
      </c>
      <c r="E3411" s="1" t="s">
        <v>91</v>
      </c>
      <c r="F3411">
        <v>2</v>
      </c>
      <c r="G3411" s="2">
        <v>46186</v>
      </c>
      <c r="H3411" s="2">
        <v>46187</v>
      </c>
      <c r="I3411">
        <v>113.1</v>
      </c>
      <c r="M3411" s="1" t="s">
        <v>32</v>
      </c>
      <c r="N3411" s="1" t="s">
        <v>33</v>
      </c>
      <c r="O3411" s="2">
        <v>46210</v>
      </c>
      <c r="P3411" s="2"/>
      <c r="Q3411">
        <f>_xlfn.XLOOKUP(E3411,CPT!$A$2:$A$13,CPT!$D$2:$D$13)</f>
        <v>58</v>
      </c>
      <c r="R3411" s="1">
        <f>_xlfn.XLOOKUP(C3411,Contract!$A$2:$A$9,Contract!$B$2:$B$9)</f>
        <v>0.45</v>
      </c>
      <c r="S3411" s="1">
        <f t="shared" si="212"/>
        <v>52.2</v>
      </c>
      <c r="T3411" s="1" t="str">
        <f t="shared" si="213"/>
        <v/>
      </c>
      <c r="U3411" s="1" t="str">
        <f t="shared" si="214"/>
        <v/>
      </c>
      <c r="V3411" s="1" t="str">
        <f>_xlfn.XLOOKUP(C3411,Payers!$A$2:$A$9,Payers!$B$2:$B$9)</f>
        <v>Blue Horizon Commercial</v>
      </c>
      <c r="W3411" s="1" t="str">
        <f t="shared" si="215"/>
        <v>2026-06</v>
      </c>
    </row>
    <row r="3412" spans="1:23">
      <c r="A3412" s="1" t="s">
        <v>5633</v>
      </c>
      <c r="B3412" s="1" t="s">
        <v>4762</v>
      </c>
      <c r="C3412" s="1" t="s">
        <v>76</v>
      </c>
      <c r="D3412" s="1" t="s">
        <v>19</v>
      </c>
      <c r="E3412" s="1" t="s">
        <v>88</v>
      </c>
      <c r="F3412">
        <v>1</v>
      </c>
      <c r="G3412" s="2">
        <v>46238</v>
      </c>
      <c r="H3412" s="2">
        <v>46239</v>
      </c>
      <c r="I3412">
        <v>254.64</v>
      </c>
      <c r="J3412">
        <v>121.83</v>
      </c>
      <c r="K3412">
        <v>97.46</v>
      </c>
      <c r="L3412">
        <v>24.37</v>
      </c>
      <c r="M3412" s="1" t="s">
        <v>21</v>
      </c>
      <c r="N3412" s="1" t="s">
        <v>22</v>
      </c>
      <c r="O3412" s="2">
        <v>46267</v>
      </c>
      <c r="P3412" s="2">
        <v>46267</v>
      </c>
      <c r="Q3412">
        <f>_xlfn.XLOOKUP(E3412,CPT!$A$2:$A$13,CPT!$D$2:$D$13)</f>
        <v>260</v>
      </c>
      <c r="R3412" s="1">
        <f>_xlfn.XLOOKUP(C3412,Contract!$A$2:$A$9,Contract!$B$2:$B$9)</f>
        <v>0.43</v>
      </c>
      <c r="S3412" s="1">
        <f t="shared" si="212"/>
        <v>111.8</v>
      </c>
      <c r="T3412" s="1">
        <f t="shared" si="213"/>
        <v>-10.030000000000001</v>
      </c>
      <c r="U3412" s="1" t="str">
        <f t="shared" si="214"/>
        <v>OK</v>
      </c>
      <c r="V3412" s="1" t="str">
        <f>_xlfn.XLOOKUP(C3412,Payers!$A$2:$A$9,Payers!$B$2:$B$9)</f>
        <v>Summit Health Commercial</v>
      </c>
      <c r="W3412" s="1" t="str">
        <f t="shared" si="215"/>
        <v>2026-08</v>
      </c>
    </row>
    <row r="3413" spans="1:23">
      <c r="A3413" s="1" t="s">
        <v>5634</v>
      </c>
      <c r="B3413" s="1" t="s">
        <v>2060</v>
      </c>
      <c r="C3413" s="1" t="s">
        <v>60</v>
      </c>
      <c r="D3413" s="1" t="s">
        <v>26</v>
      </c>
      <c r="E3413" s="1" t="s">
        <v>113</v>
      </c>
      <c r="F3413">
        <v>1</v>
      </c>
      <c r="G3413" s="2">
        <v>46272</v>
      </c>
      <c r="H3413" s="2">
        <v>46273</v>
      </c>
      <c r="I3413">
        <v>1028.04</v>
      </c>
      <c r="J3413">
        <v>493.35</v>
      </c>
      <c r="K3413">
        <v>493.35</v>
      </c>
      <c r="L3413">
        <v>0</v>
      </c>
      <c r="M3413" s="1" t="s">
        <v>21</v>
      </c>
      <c r="N3413" s="1" t="s">
        <v>22</v>
      </c>
      <c r="O3413" s="2">
        <v>46294</v>
      </c>
      <c r="P3413" s="2">
        <v>46294</v>
      </c>
      <c r="Q3413">
        <f>_xlfn.XLOOKUP(E3413,CPT!$A$2:$A$13,CPT!$D$2:$D$13)</f>
        <v>1050</v>
      </c>
      <c r="R3413" s="1">
        <f>_xlfn.XLOOKUP(C3413,Contract!$A$2:$A$9,Contract!$B$2:$B$9)</f>
        <v>0.45</v>
      </c>
      <c r="S3413" s="1">
        <f t="shared" si="212"/>
        <v>472.5</v>
      </c>
      <c r="T3413" s="1">
        <f t="shared" si="213"/>
        <v>-20.850000000000023</v>
      </c>
      <c r="U3413" s="1" t="str">
        <f t="shared" si="214"/>
        <v>OK</v>
      </c>
      <c r="V3413" s="1" t="str">
        <f>_xlfn.XLOOKUP(C3413,Payers!$A$2:$A$9,Payers!$B$2:$B$9)</f>
        <v>Blue Horizon Commercial</v>
      </c>
      <c r="W3413" s="1" t="str">
        <f t="shared" si="215"/>
        <v>2026-09</v>
      </c>
    </row>
    <row r="3414" spans="1:23">
      <c r="A3414" s="1" t="s">
        <v>5635</v>
      </c>
      <c r="B3414" s="1" t="s">
        <v>2970</v>
      </c>
      <c r="C3414" s="1" t="s">
        <v>25</v>
      </c>
      <c r="D3414" s="1" t="s">
        <v>26</v>
      </c>
      <c r="E3414" s="1" t="s">
        <v>57</v>
      </c>
      <c r="F3414">
        <v>1</v>
      </c>
      <c r="G3414" s="2">
        <v>46155</v>
      </c>
      <c r="H3414" s="2">
        <v>46158</v>
      </c>
      <c r="I3414">
        <v>210.34</v>
      </c>
      <c r="J3414">
        <v>85</v>
      </c>
      <c r="K3414">
        <v>68</v>
      </c>
      <c r="L3414">
        <v>17</v>
      </c>
      <c r="M3414" s="1" t="s">
        <v>21</v>
      </c>
      <c r="N3414" s="1" t="s">
        <v>22</v>
      </c>
      <c r="O3414" s="2">
        <v>46169</v>
      </c>
      <c r="P3414" s="2">
        <v>46169</v>
      </c>
      <c r="Q3414">
        <f>_xlfn.XLOOKUP(E3414,CPT!$A$2:$A$13,CPT!$D$2:$D$13)</f>
        <v>210</v>
      </c>
      <c r="R3414" s="1">
        <f>_xlfn.XLOOKUP(C3414,Contract!$A$2:$A$9,Contract!$B$2:$B$9)</f>
        <v>0.36</v>
      </c>
      <c r="S3414" s="1">
        <f t="shared" si="212"/>
        <v>75.599999999999994</v>
      </c>
      <c r="T3414" s="1">
        <f t="shared" si="213"/>
        <v>-9.4000000000000057</v>
      </c>
      <c r="U3414" s="1" t="str">
        <f t="shared" si="214"/>
        <v>OK</v>
      </c>
      <c r="V3414" s="1" t="str">
        <f>_xlfn.XLOOKUP(C3414,Payers!$A$2:$A$9,Payers!$B$2:$B$9)</f>
        <v>Medicare Part B</v>
      </c>
      <c r="W3414" s="1" t="str">
        <f t="shared" si="215"/>
        <v>2026-05</v>
      </c>
    </row>
    <row r="3415" spans="1:23">
      <c r="A3415" s="1" t="s">
        <v>5636</v>
      </c>
      <c r="B3415" s="1" t="s">
        <v>5637</v>
      </c>
      <c r="C3415" s="1" t="s">
        <v>76</v>
      </c>
      <c r="D3415" s="1" t="s">
        <v>19</v>
      </c>
      <c r="E3415" s="1" t="s">
        <v>57</v>
      </c>
      <c r="F3415">
        <v>1</v>
      </c>
      <c r="G3415" s="2">
        <v>46271</v>
      </c>
      <c r="H3415" s="2">
        <v>46277</v>
      </c>
      <c r="I3415">
        <v>207.6</v>
      </c>
      <c r="M3415" s="1" t="s">
        <v>69</v>
      </c>
      <c r="N3415" s="1" t="s">
        <v>22</v>
      </c>
      <c r="O3415" s="2"/>
      <c r="P3415" s="2"/>
      <c r="Q3415">
        <f>_xlfn.XLOOKUP(E3415,CPT!$A$2:$A$13,CPT!$D$2:$D$13)</f>
        <v>210</v>
      </c>
      <c r="R3415" s="1">
        <f>_xlfn.XLOOKUP(C3415,Contract!$A$2:$A$9,Contract!$B$2:$B$9)</f>
        <v>0.43</v>
      </c>
      <c r="S3415" s="1">
        <f t="shared" si="212"/>
        <v>90.3</v>
      </c>
      <c r="T3415" s="1" t="str">
        <f t="shared" si="213"/>
        <v/>
      </c>
      <c r="U3415" s="1" t="str">
        <f t="shared" si="214"/>
        <v/>
      </c>
      <c r="V3415" s="1" t="str">
        <f>_xlfn.XLOOKUP(C3415,Payers!$A$2:$A$9,Payers!$B$2:$B$9)</f>
        <v>Summit Health Commercial</v>
      </c>
      <c r="W3415" s="1" t="str">
        <f t="shared" si="215"/>
        <v>2026-09</v>
      </c>
    </row>
    <row r="3416" spans="1:23">
      <c r="A3416" s="1" t="s">
        <v>5638</v>
      </c>
      <c r="B3416" s="1" t="s">
        <v>2575</v>
      </c>
      <c r="C3416" s="1" t="s">
        <v>18</v>
      </c>
      <c r="D3416" s="1" t="s">
        <v>26</v>
      </c>
      <c r="E3416" s="1" t="s">
        <v>113</v>
      </c>
      <c r="F3416">
        <v>1</v>
      </c>
      <c r="G3416" s="2">
        <v>46197</v>
      </c>
      <c r="H3416" s="2">
        <v>46203</v>
      </c>
      <c r="I3416">
        <v>1033.96</v>
      </c>
      <c r="J3416">
        <v>349.09</v>
      </c>
      <c r="K3416">
        <v>349.09</v>
      </c>
      <c r="L3416">
        <v>0</v>
      </c>
      <c r="M3416" s="1" t="s">
        <v>21</v>
      </c>
      <c r="N3416" s="1" t="s">
        <v>22</v>
      </c>
      <c r="O3416" s="2">
        <v>46241</v>
      </c>
      <c r="P3416" s="2">
        <v>46241</v>
      </c>
      <c r="Q3416">
        <f>_xlfn.XLOOKUP(E3416,CPT!$A$2:$A$13,CPT!$D$2:$D$13)</f>
        <v>1050</v>
      </c>
      <c r="R3416" s="1">
        <f>_xlfn.XLOOKUP(C3416,Contract!$A$2:$A$9,Contract!$B$2:$B$9)</f>
        <v>0.38</v>
      </c>
      <c r="S3416" s="1">
        <f t="shared" si="212"/>
        <v>399</v>
      </c>
      <c r="T3416" s="1">
        <f t="shared" si="213"/>
        <v>49.910000000000025</v>
      </c>
      <c r="U3416" s="1" t="str">
        <f t="shared" si="214"/>
        <v>Underpaid</v>
      </c>
      <c r="V3416" s="1" t="str">
        <f>_xlfn.XLOOKUP(C3416,Payers!$A$2:$A$9,Payers!$B$2:$B$9)</f>
        <v>Sunshine Medicare Advantage</v>
      </c>
      <c r="W3416" s="1" t="str">
        <f t="shared" si="215"/>
        <v>2026-06</v>
      </c>
    </row>
    <row r="3417" spans="1:23">
      <c r="A3417" s="1" t="s">
        <v>5639</v>
      </c>
      <c r="B3417" s="1" t="s">
        <v>5640</v>
      </c>
      <c r="C3417" s="1" t="s">
        <v>76</v>
      </c>
      <c r="D3417" s="1" t="s">
        <v>19</v>
      </c>
      <c r="E3417" s="1" t="s">
        <v>41</v>
      </c>
      <c r="F3417">
        <v>1</v>
      </c>
      <c r="G3417" s="2">
        <v>46089</v>
      </c>
      <c r="H3417" s="2">
        <v>46101</v>
      </c>
      <c r="I3417">
        <v>38.729999999999997</v>
      </c>
      <c r="J3417">
        <v>17.829999999999998</v>
      </c>
      <c r="K3417">
        <v>16.05</v>
      </c>
      <c r="L3417">
        <v>1.78</v>
      </c>
      <c r="M3417" s="1" t="s">
        <v>21</v>
      </c>
      <c r="N3417" s="1" t="s">
        <v>22</v>
      </c>
      <c r="O3417" s="2">
        <v>46130</v>
      </c>
      <c r="P3417" s="2">
        <v>46130</v>
      </c>
      <c r="Q3417">
        <f>_xlfn.XLOOKUP(E3417,CPT!$A$2:$A$13,CPT!$D$2:$D$13)</f>
        <v>38</v>
      </c>
      <c r="R3417" s="1">
        <f>_xlfn.XLOOKUP(C3417,Contract!$A$2:$A$9,Contract!$B$2:$B$9)</f>
        <v>0.43</v>
      </c>
      <c r="S3417" s="1">
        <f t="shared" si="212"/>
        <v>16.34</v>
      </c>
      <c r="T3417" s="1">
        <f t="shared" si="213"/>
        <v>-1.4899999999999984</v>
      </c>
      <c r="U3417" s="1" t="str">
        <f t="shared" si="214"/>
        <v>OK</v>
      </c>
      <c r="V3417" s="1" t="str">
        <f>_xlfn.XLOOKUP(C3417,Payers!$A$2:$A$9,Payers!$B$2:$B$9)</f>
        <v>Summit Health Commercial</v>
      </c>
      <c r="W3417" s="1" t="str">
        <f t="shared" si="215"/>
        <v>2026-03</v>
      </c>
    </row>
    <row r="3418" spans="1:23">
      <c r="A3418" s="1" t="s">
        <v>5641</v>
      </c>
      <c r="B3418" s="1" t="s">
        <v>3554</v>
      </c>
      <c r="C3418" s="1" t="s">
        <v>76</v>
      </c>
      <c r="D3418" s="1" t="s">
        <v>26</v>
      </c>
      <c r="E3418" s="1" t="s">
        <v>88</v>
      </c>
      <c r="F3418">
        <v>1</v>
      </c>
      <c r="G3418" s="2">
        <v>45936</v>
      </c>
      <c r="H3418" s="2">
        <v>45940</v>
      </c>
      <c r="I3418">
        <v>253.9</v>
      </c>
      <c r="J3418">
        <v>121.7</v>
      </c>
      <c r="K3418">
        <v>97.36</v>
      </c>
      <c r="L3418">
        <v>24.34</v>
      </c>
      <c r="M3418" s="1" t="s">
        <v>21</v>
      </c>
      <c r="N3418" s="1" t="s">
        <v>22</v>
      </c>
      <c r="O3418" s="2">
        <v>45976</v>
      </c>
      <c r="P3418" s="2">
        <v>45976</v>
      </c>
      <c r="Q3418">
        <f>_xlfn.XLOOKUP(E3418,CPT!$A$2:$A$13,CPT!$D$2:$D$13)</f>
        <v>260</v>
      </c>
      <c r="R3418" s="1">
        <f>_xlfn.XLOOKUP(C3418,Contract!$A$2:$A$9,Contract!$B$2:$B$9)</f>
        <v>0.43</v>
      </c>
      <c r="S3418" s="1">
        <f t="shared" si="212"/>
        <v>111.8</v>
      </c>
      <c r="T3418" s="1">
        <f t="shared" si="213"/>
        <v>-9.9000000000000057</v>
      </c>
      <c r="U3418" s="1" t="str">
        <f t="shared" si="214"/>
        <v>OK</v>
      </c>
      <c r="V3418" s="1" t="str">
        <f>_xlfn.XLOOKUP(C3418,Payers!$A$2:$A$9,Payers!$B$2:$B$9)</f>
        <v>Summit Health Commercial</v>
      </c>
      <c r="W3418" s="1" t="str">
        <f t="shared" si="215"/>
        <v>2025-10</v>
      </c>
    </row>
    <row r="3419" spans="1:23">
      <c r="A3419" s="1" t="s">
        <v>5642</v>
      </c>
      <c r="B3419" s="1" t="s">
        <v>5643</v>
      </c>
      <c r="C3419" s="1" t="s">
        <v>52</v>
      </c>
      <c r="D3419" s="1" t="s">
        <v>30</v>
      </c>
      <c r="E3419" s="1" t="s">
        <v>91</v>
      </c>
      <c r="F3419">
        <v>3</v>
      </c>
      <c r="G3419" s="2">
        <v>45971</v>
      </c>
      <c r="H3419" s="2">
        <v>45975</v>
      </c>
      <c r="I3419">
        <v>170.99</v>
      </c>
      <c r="J3419">
        <v>78.95</v>
      </c>
      <c r="K3419">
        <v>78.95</v>
      </c>
      <c r="L3419">
        <v>0</v>
      </c>
      <c r="M3419" s="1" t="s">
        <v>21</v>
      </c>
      <c r="N3419" s="1" t="s">
        <v>22</v>
      </c>
      <c r="O3419" s="2">
        <v>46006</v>
      </c>
      <c r="P3419" s="2">
        <v>46006</v>
      </c>
      <c r="Q3419">
        <f>_xlfn.XLOOKUP(E3419,CPT!$A$2:$A$13,CPT!$D$2:$D$13)</f>
        <v>58</v>
      </c>
      <c r="R3419" s="1">
        <f>_xlfn.XLOOKUP(C3419,Contract!$A$2:$A$9,Contract!$B$2:$B$9)</f>
        <v>0.47</v>
      </c>
      <c r="S3419" s="1">
        <f t="shared" si="212"/>
        <v>81.78</v>
      </c>
      <c r="T3419" s="1">
        <f t="shared" si="213"/>
        <v>2.8299999999999983</v>
      </c>
      <c r="U3419" s="1" t="str">
        <f t="shared" si="214"/>
        <v>OK</v>
      </c>
      <c r="V3419" s="1" t="str">
        <f>_xlfn.XLOOKUP(C3419,Payers!$A$2:$A$9,Payers!$B$2:$B$9)</f>
        <v>Keystone Commercial PPO</v>
      </c>
      <c r="W3419" s="1" t="str">
        <f t="shared" si="215"/>
        <v>2025-11</v>
      </c>
    </row>
    <row r="3420" spans="1:23">
      <c r="A3420" s="1" t="s">
        <v>5644</v>
      </c>
      <c r="B3420" s="1" t="s">
        <v>2766</v>
      </c>
      <c r="C3420" s="1" t="s">
        <v>76</v>
      </c>
      <c r="D3420" s="1" t="s">
        <v>19</v>
      </c>
      <c r="E3420" s="1" t="s">
        <v>88</v>
      </c>
      <c r="F3420">
        <v>1</v>
      </c>
      <c r="G3420" s="2">
        <v>46100</v>
      </c>
      <c r="H3420" s="2">
        <v>46101</v>
      </c>
      <c r="I3420">
        <v>255.98</v>
      </c>
      <c r="J3420">
        <v>107.53</v>
      </c>
      <c r="K3420">
        <v>107.53</v>
      </c>
      <c r="L3420">
        <v>0</v>
      </c>
      <c r="M3420" s="1" t="s">
        <v>21</v>
      </c>
      <c r="N3420" s="1" t="s">
        <v>22</v>
      </c>
      <c r="O3420" s="2">
        <v>46130</v>
      </c>
      <c r="P3420" s="2">
        <v>46130</v>
      </c>
      <c r="Q3420">
        <f>_xlfn.XLOOKUP(E3420,CPT!$A$2:$A$13,CPT!$D$2:$D$13)</f>
        <v>260</v>
      </c>
      <c r="R3420" s="1">
        <f>_xlfn.XLOOKUP(C3420,Contract!$A$2:$A$9,Contract!$B$2:$B$9)</f>
        <v>0.43</v>
      </c>
      <c r="S3420" s="1">
        <f t="shared" si="212"/>
        <v>111.8</v>
      </c>
      <c r="T3420" s="1">
        <f t="shared" si="213"/>
        <v>4.269999999999996</v>
      </c>
      <c r="U3420" s="1" t="str">
        <f t="shared" si="214"/>
        <v>OK</v>
      </c>
      <c r="V3420" s="1" t="str">
        <f>_xlfn.XLOOKUP(C3420,Payers!$A$2:$A$9,Payers!$B$2:$B$9)</f>
        <v>Summit Health Commercial</v>
      </c>
      <c r="W3420" s="1" t="str">
        <f t="shared" si="215"/>
        <v>2026-03</v>
      </c>
    </row>
    <row r="3421" spans="1:23">
      <c r="A3421" s="1" t="s">
        <v>5645</v>
      </c>
      <c r="B3421" s="1" t="s">
        <v>5353</v>
      </c>
      <c r="C3421" s="1" t="s">
        <v>47</v>
      </c>
      <c r="D3421" s="1" t="s">
        <v>30</v>
      </c>
      <c r="E3421" s="1" t="s">
        <v>20</v>
      </c>
      <c r="F3421">
        <v>1</v>
      </c>
      <c r="G3421" s="2">
        <v>46006</v>
      </c>
      <c r="H3421" s="2">
        <v>46015</v>
      </c>
      <c r="I3421">
        <v>142.01</v>
      </c>
      <c r="J3421">
        <v>35.56</v>
      </c>
      <c r="K3421">
        <v>35.56</v>
      </c>
      <c r="L3421">
        <v>0</v>
      </c>
      <c r="M3421" s="1" t="s">
        <v>21</v>
      </c>
      <c r="N3421" s="1" t="s">
        <v>22</v>
      </c>
      <c r="O3421" s="2">
        <v>46099</v>
      </c>
      <c r="P3421" s="2">
        <v>46099</v>
      </c>
      <c r="Q3421">
        <f>_xlfn.XLOOKUP(E3421,CPT!$A$2:$A$13,CPT!$D$2:$D$13)</f>
        <v>145</v>
      </c>
      <c r="R3421" s="1">
        <f>_xlfn.XLOOKUP(C3421,Contract!$A$2:$A$9,Contract!$B$2:$B$9)</f>
        <v>0.28000000000000003</v>
      </c>
      <c r="S3421" s="1">
        <f t="shared" si="212"/>
        <v>40.6</v>
      </c>
      <c r="T3421" s="1">
        <f t="shared" si="213"/>
        <v>5.0399999999999991</v>
      </c>
      <c r="U3421" s="1" t="str">
        <f t="shared" si="214"/>
        <v>Underpaid</v>
      </c>
      <c r="V3421" s="1" t="str">
        <f>_xlfn.XLOOKUP(C3421,Payers!$A$2:$A$9,Payers!$B$2:$B$9)</f>
        <v>Coastal Medicaid MCO</v>
      </c>
      <c r="W3421" s="1" t="str">
        <f t="shared" si="215"/>
        <v>2025-12</v>
      </c>
    </row>
    <row r="3422" spans="1:23">
      <c r="A3422" s="1" t="s">
        <v>5646</v>
      </c>
      <c r="B3422" s="1" t="s">
        <v>5647</v>
      </c>
      <c r="C3422" s="1" t="s">
        <v>60</v>
      </c>
      <c r="D3422" s="1" t="s">
        <v>30</v>
      </c>
      <c r="E3422" s="1" t="s">
        <v>91</v>
      </c>
      <c r="F3422">
        <v>2</v>
      </c>
      <c r="G3422" s="2">
        <v>46042</v>
      </c>
      <c r="H3422" s="2">
        <v>46046</v>
      </c>
      <c r="I3422">
        <v>114.54</v>
      </c>
      <c r="J3422">
        <v>59.35</v>
      </c>
      <c r="K3422">
        <v>59.35</v>
      </c>
      <c r="L3422">
        <v>0</v>
      </c>
      <c r="M3422" s="1" t="s">
        <v>21</v>
      </c>
      <c r="N3422" s="1" t="s">
        <v>22</v>
      </c>
      <c r="O3422" s="2">
        <v>46094</v>
      </c>
      <c r="P3422" s="2">
        <v>46094</v>
      </c>
      <c r="Q3422">
        <f>_xlfn.XLOOKUP(E3422,CPT!$A$2:$A$13,CPT!$D$2:$D$13)</f>
        <v>58</v>
      </c>
      <c r="R3422" s="1">
        <f>_xlfn.XLOOKUP(C3422,Contract!$A$2:$A$9,Contract!$B$2:$B$9)</f>
        <v>0.45</v>
      </c>
      <c r="S3422" s="1">
        <f t="shared" si="212"/>
        <v>52.2</v>
      </c>
      <c r="T3422" s="1">
        <f t="shared" si="213"/>
        <v>-7.1499999999999986</v>
      </c>
      <c r="U3422" s="1" t="str">
        <f t="shared" si="214"/>
        <v>OK</v>
      </c>
      <c r="V3422" s="1" t="str">
        <f>_xlfn.XLOOKUP(C3422,Payers!$A$2:$A$9,Payers!$B$2:$B$9)</f>
        <v>Blue Horizon Commercial</v>
      </c>
      <c r="W3422" s="1" t="str">
        <f t="shared" si="215"/>
        <v>2026-01</v>
      </c>
    </row>
    <row r="3423" spans="1:23">
      <c r="A3423" s="1" t="s">
        <v>5648</v>
      </c>
      <c r="B3423" s="1" t="s">
        <v>5403</v>
      </c>
      <c r="C3423" s="1" t="s">
        <v>47</v>
      </c>
      <c r="D3423" s="1" t="s">
        <v>26</v>
      </c>
      <c r="E3423" s="1" t="s">
        <v>185</v>
      </c>
      <c r="F3423">
        <v>1</v>
      </c>
      <c r="G3423" s="2">
        <v>45932</v>
      </c>
      <c r="H3423" s="2">
        <v>45933</v>
      </c>
      <c r="I3423">
        <v>1132.92</v>
      </c>
      <c r="J3423">
        <v>328.31</v>
      </c>
      <c r="K3423">
        <v>262.64999999999998</v>
      </c>
      <c r="L3423">
        <v>65.66</v>
      </c>
      <c r="M3423" s="1" t="s">
        <v>21</v>
      </c>
      <c r="N3423" s="1" t="s">
        <v>22</v>
      </c>
      <c r="O3423" s="2">
        <v>46008</v>
      </c>
      <c r="P3423" s="2">
        <v>46008</v>
      </c>
      <c r="Q3423">
        <f>_xlfn.XLOOKUP(E3423,CPT!$A$2:$A$13,CPT!$D$2:$D$13)</f>
        <v>1150</v>
      </c>
      <c r="R3423" s="1">
        <f>_xlfn.XLOOKUP(C3423,Contract!$A$2:$A$9,Contract!$B$2:$B$9)</f>
        <v>0.28000000000000003</v>
      </c>
      <c r="S3423" s="1">
        <f t="shared" si="212"/>
        <v>322</v>
      </c>
      <c r="T3423" s="1">
        <f t="shared" si="213"/>
        <v>-6.3100000000000023</v>
      </c>
      <c r="U3423" s="1" t="str">
        <f t="shared" si="214"/>
        <v>OK</v>
      </c>
      <c r="V3423" s="1" t="str">
        <f>_xlfn.XLOOKUP(C3423,Payers!$A$2:$A$9,Payers!$B$2:$B$9)</f>
        <v>Coastal Medicaid MCO</v>
      </c>
      <c r="W3423" s="1" t="str">
        <f t="shared" si="215"/>
        <v>2025-10</v>
      </c>
    </row>
    <row r="3424" spans="1:23">
      <c r="A3424" s="1" t="s">
        <v>5649</v>
      </c>
      <c r="B3424" s="1" t="s">
        <v>5650</v>
      </c>
      <c r="C3424" s="1" t="s">
        <v>76</v>
      </c>
      <c r="D3424" s="1" t="s">
        <v>19</v>
      </c>
      <c r="E3424" s="1" t="s">
        <v>88</v>
      </c>
      <c r="F3424">
        <v>1</v>
      </c>
      <c r="G3424" s="2">
        <v>46231</v>
      </c>
      <c r="H3424" s="2">
        <v>46233</v>
      </c>
      <c r="I3424">
        <v>259.79000000000002</v>
      </c>
      <c r="J3424">
        <v>106.83</v>
      </c>
      <c r="K3424">
        <v>96.15</v>
      </c>
      <c r="L3424">
        <v>10.68</v>
      </c>
      <c r="M3424" s="1" t="s">
        <v>21</v>
      </c>
      <c r="N3424" s="1" t="s">
        <v>22</v>
      </c>
      <c r="O3424" s="2">
        <v>46250</v>
      </c>
      <c r="P3424" s="2">
        <v>46250</v>
      </c>
      <c r="Q3424">
        <f>_xlfn.XLOOKUP(E3424,CPT!$A$2:$A$13,CPT!$D$2:$D$13)</f>
        <v>260</v>
      </c>
      <c r="R3424" s="1">
        <f>_xlfn.XLOOKUP(C3424,Contract!$A$2:$A$9,Contract!$B$2:$B$9)</f>
        <v>0.43</v>
      </c>
      <c r="S3424" s="1">
        <f t="shared" si="212"/>
        <v>111.8</v>
      </c>
      <c r="T3424" s="1">
        <f t="shared" si="213"/>
        <v>4.9699999999999989</v>
      </c>
      <c r="U3424" s="1" t="str">
        <f t="shared" si="214"/>
        <v>OK</v>
      </c>
      <c r="V3424" s="1" t="str">
        <f>_xlfn.XLOOKUP(C3424,Payers!$A$2:$A$9,Payers!$B$2:$B$9)</f>
        <v>Summit Health Commercial</v>
      </c>
      <c r="W3424" s="1" t="str">
        <f t="shared" si="215"/>
        <v>2026-07</v>
      </c>
    </row>
    <row r="3425" spans="1:23">
      <c r="A3425" s="1" t="s">
        <v>5651</v>
      </c>
      <c r="B3425" s="1" t="s">
        <v>5652</v>
      </c>
      <c r="C3425" s="1" t="s">
        <v>60</v>
      </c>
      <c r="D3425" s="1" t="s">
        <v>26</v>
      </c>
      <c r="E3425" s="1" t="s">
        <v>27</v>
      </c>
      <c r="F3425">
        <v>1</v>
      </c>
      <c r="G3425" s="2">
        <v>46083</v>
      </c>
      <c r="H3425" s="2">
        <v>46089</v>
      </c>
      <c r="I3425">
        <v>239.78</v>
      </c>
      <c r="J3425">
        <v>103.36</v>
      </c>
      <c r="K3425">
        <v>82.69</v>
      </c>
      <c r="L3425">
        <v>20.67</v>
      </c>
      <c r="M3425" s="1" t="s">
        <v>21</v>
      </c>
      <c r="N3425" s="1" t="s">
        <v>22</v>
      </c>
      <c r="O3425" s="2">
        <v>46110</v>
      </c>
      <c r="P3425" s="2">
        <v>46110</v>
      </c>
      <c r="Q3425">
        <f>_xlfn.XLOOKUP(E3425,CPT!$A$2:$A$13,CPT!$D$2:$D$13)</f>
        <v>240</v>
      </c>
      <c r="R3425" s="1">
        <f>_xlfn.XLOOKUP(C3425,Contract!$A$2:$A$9,Contract!$B$2:$B$9)</f>
        <v>0.45</v>
      </c>
      <c r="S3425" s="1">
        <f t="shared" si="212"/>
        <v>108</v>
      </c>
      <c r="T3425" s="1">
        <f t="shared" si="213"/>
        <v>4.6400000000000006</v>
      </c>
      <c r="U3425" s="1" t="str">
        <f t="shared" si="214"/>
        <v>OK</v>
      </c>
      <c r="V3425" s="1" t="str">
        <f>_xlfn.XLOOKUP(C3425,Payers!$A$2:$A$9,Payers!$B$2:$B$9)</f>
        <v>Blue Horizon Commercial</v>
      </c>
      <c r="W3425" s="1" t="str">
        <f t="shared" si="215"/>
        <v>2026-03</v>
      </c>
    </row>
    <row r="3426" spans="1:23">
      <c r="A3426" s="1" t="s">
        <v>5653</v>
      </c>
      <c r="B3426" s="1" t="s">
        <v>1845</v>
      </c>
      <c r="C3426" s="1" t="s">
        <v>25</v>
      </c>
      <c r="D3426" s="1" t="s">
        <v>19</v>
      </c>
      <c r="E3426" s="1" t="s">
        <v>88</v>
      </c>
      <c r="F3426">
        <v>1</v>
      </c>
      <c r="G3426" s="2">
        <v>46084</v>
      </c>
      <c r="H3426" s="2">
        <v>46088</v>
      </c>
      <c r="I3426">
        <v>260.08999999999997</v>
      </c>
      <c r="J3426">
        <v>105.38</v>
      </c>
      <c r="K3426">
        <v>105.38</v>
      </c>
      <c r="L3426">
        <v>0</v>
      </c>
      <c r="M3426" s="1" t="s">
        <v>21</v>
      </c>
      <c r="N3426" s="1" t="s">
        <v>22</v>
      </c>
      <c r="O3426" s="2">
        <v>46110</v>
      </c>
      <c r="P3426" s="2">
        <v>46110</v>
      </c>
      <c r="Q3426">
        <f>_xlfn.XLOOKUP(E3426,CPT!$A$2:$A$13,CPT!$D$2:$D$13)</f>
        <v>260</v>
      </c>
      <c r="R3426" s="1">
        <f>_xlfn.XLOOKUP(C3426,Contract!$A$2:$A$9,Contract!$B$2:$B$9)</f>
        <v>0.36</v>
      </c>
      <c r="S3426" s="1">
        <f t="shared" si="212"/>
        <v>93.6</v>
      </c>
      <c r="T3426" s="1">
        <f t="shared" si="213"/>
        <v>-11.780000000000001</v>
      </c>
      <c r="U3426" s="1" t="str">
        <f t="shared" si="214"/>
        <v>OK</v>
      </c>
      <c r="V3426" s="1" t="str">
        <f>_xlfn.XLOOKUP(C3426,Payers!$A$2:$A$9,Payers!$B$2:$B$9)</f>
        <v>Medicare Part B</v>
      </c>
      <c r="W3426" s="1" t="str">
        <f t="shared" si="215"/>
        <v>2026-03</v>
      </c>
    </row>
    <row r="3427" spans="1:23">
      <c r="A3427" s="1" t="s">
        <v>5654</v>
      </c>
      <c r="B3427" s="1" t="s">
        <v>3503</v>
      </c>
      <c r="C3427" s="1" t="s">
        <v>25</v>
      </c>
      <c r="D3427" s="1" t="s">
        <v>37</v>
      </c>
      <c r="E3427" s="1" t="s">
        <v>57</v>
      </c>
      <c r="F3427">
        <v>1</v>
      </c>
      <c r="G3427" s="2">
        <v>46065</v>
      </c>
      <c r="H3427" s="2">
        <v>46072</v>
      </c>
      <c r="I3427">
        <v>207.03</v>
      </c>
      <c r="J3427">
        <v>71.989999999999995</v>
      </c>
      <c r="K3427">
        <v>57.59</v>
      </c>
      <c r="L3427">
        <v>14.4</v>
      </c>
      <c r="M3427" s="1" t="s">
        <v>21</v>
      </c>
      <c r="N3427" s="1" t="s">
        <v>22</v>
      </c>
      <c r="O3427" s="2">
        <v>46085</v>
      </c>
      <c r="P3427" s="2">
        <v>46085</v>
      </c>
      <c r="Q3427">
        <f>_xlfn.XLOOKUP(E3427,CPT!$A$2:$A$13,CPT!$D$2:$D$13)</f>
        <v>210</v>
      </c>
      <c r="R3427" s="1">
        <f>_xlfn.XLOOKUP(C3427,Contract!$A$2:$A$9,Contract!$B$2:$B$9)</f>
        <v>0.36</v>
      </c>
      <c r="S3427" s="1">
        <f t="shared" si="212"/>
        <v>75.599999999999994</v>
      </c>
      <c r="T3427" s="1">
        <f t="shared" si="213"/>
        <v>3.6099999999999994</v>
      </c>
      <c r="U3427" s="1" t="str">
        <f t="shared" si="214"/>
        <v>OK</v>
      </c>
      <c r="V3427" s="1" t="str">
        <f>_xlfn.XLOOKUP(C3427,Payers!$A$2:$A$9,Payers!$B$2:$B$9)</f>
        <v>Medicare Part B</v>
      </c>
      <c r="W3427" s="1" t="str">
        <f t="shared" si="215"/>
        <v>2026-02</v>
      </c>
    </row>
    <row r="3428" spans="1:23">
      <c r="A3428" s="1" t="s">
        <v>5655</v>
      </c>
      <c r="B3428" s="1" t="s">
        <v>4211</v>
      </c>
      <c r="C3428" s="1" t="s">
        <v>60</v>
      </c>
      <c r="D3428" s="1" t="s">
        <v>30</v>
      </c>
      <c r="E3428" s="1" t="s">
        <v>91</v>
      </c>
      <c r="F3428">
        <v>1</v>
      </c>
      <c r="G3428" s="2">
        <v>46176</v>
      </c>
      <c r="H3428" s="2">
        <v>46179</v>
      </c>
      <c r="I3428">
        <v>57.92</v>
      </c>
      <c r="J3428">
        <v>22.65</v>
      </c>
      <c r="K3428">
        <v>18.12</v>
      </c>
      <c r="L3428">
        <v>4.53</v>
      </c>
      <c r="M3428" s="1" t="s">
        <v>21</v>
      </c>
      <c r="N3428" s="1" t="s">
        <v>22</v>
      </c>
      <c r="O3428" s="2">
        <v>46208</v>
      </c>
      <c r="P3428" s="2">
        <v>46208</v>
      </c>
      <c r="Q3428">
        <f>_xlfn.XLOOKUP(E3428,CPT!$A$2:$A$13,CPT!$D$2:$D$13)</f>
        <v>58</v>
      </c>
      <c r="R3428" s="1">
        <f>_xlfn.XLOOKUP(C3428,Contract!$A$2:$A$9,Contract!$B$2:$B$9)</f>
        <v>0.45</v>
      </c>
      <c r="S3428" s="1">
        <f t="shared" si="212"/>
        <v>26.1</v>
      </c>
      <c r="T3428" s="1">
        <f t="shared" si="213"/>
        <v>3.4500000000000028</v>
      </c>
      <c r="U3428" s="1" t="str">
        <f t="shared" si="214"/>
        <v>Underpaid</v>
      </c>
      <c r="V3428" s="1" t="str">
        <f>_xlfn.XLOOKUP(C3428,Payers!$A$2:$A$9,Payers!$B$2:$B$9)</f>
        <v>Blue Horizon Commercial</v>
      </c>
      <c r="W3428" s="1" t="str">
        <f t="shared" si="215"/>
        <v>2026-06</v>
      </c>
    </row>
    <row r="3429" spans="1:23">
      <c r="A3429" s="1" t="s">
        <v>5656</v>
      </c>
      <c r="B3429" s="1" t="s">
        <v>5657</v>
      </c>
      <c r="C3429" s="1" t="s">
        <v>36</v>
      </c>
      <c r="D3429" s="1" t="s">
        <v>19</v>
      </c>
      <c r="E3429" s="1" t="s">
        <v>20</v>
      </c>
      <c r="F3429">
        <v>1</v>
      </c>
      <c r="G3429" s="2">
        <v>46248</v>
      </c>
      <c r="H3429" s="2">
        <v>46252</v>
      </c>
      <c r="I3429">
        <v>141.36000000000001</v>
      </c>
      <c r="M3429" s="1" t="s">
        <v>69</v>
      </c>
      <c r="N3429" s="1" t="s">
        <v>22</v>
      </c>
      <c r="O3429" s="2"/>
      <c r="P3429" s="2"/>
      <c r="Q3429">
        <f>_xlfn.XLOOKUP(E3429,CPT!$A$2:$A$13,CPT!$D$2:$D$13)</f>
        <v>145</v>
      </c>
      <c r="R3429" s="1">
        <f>_xlfn.XLOOKUP(C3429,Contract!$A$2:$A$9,Contract!$B$2:$B$9)</f>
        <v>0.27</v>
      </c>
      <c r="S3429" s="1">
        <f t="shared" si="212"/>
        <v>39.15</v>
      </c>
      <c r="T3429" s="1" t="str">
        <f t="shared" si="213"/>
        <v/>
      </c>
      <c r="U3429" s="1" t="str">
        <f t="shared" si="214"/>
        <v/>
      </c>
      <c r="V3429" s="1" t="str">
        <f>_xlfn.XLOOKUP(C3429,Payers!$A$2:$A$9,Payers!$B$2:$B$9)</f>
        <v>Florida Medicaid</v>
      </c>
      <c r="W3429" s="1" t="str">
        <f t="shared" si="215"/>
        <v>2026-08</v>
      </c>
    </row>
    <row r="3430" spans="1:23">
      <c r="A3430" s="1" t="s">
        <v>5658</v>
      </c>
      <c r="B3430" s="1" t="s">
        <v>4991</v>
      </c>
      <c r="C3430" s="1" t="s">
        <v>60</v>
      </c>
      <c r="D3430" s="1" t="s">
        <v>19</v>
      </c>
      <c r="E3430" s="1" t="s">
        <v>57</v>
      </c>
      <c r="F3430">
        <v>1</v>
      </c>
      <c r="G3430" s="2">
        <v>46026</v>
      </c>
      <c r="H3430" s="2">
        <v>46027</v>
      </c>
      <c r="I3430">
        <v>213.96</v>
      </c>
      <c r="J3430">
        <v>108.81</v>
      </c>
      <c r="K3430">
        <v>97.93</v>
      </c>
      <c r="L3430">
        <v>10.88</v>
      </c>
      <c r="M3430" s="1" t="s">
        <v>21</v>
      </c>
      <c r="N3430" s="1" t="s">
        <v>22</v>
      </c>
      <c r="O3430" s="2">
        <v>46054</v>
      </c>
      <c r="P3430" s="2">
        <v>46054</v>
      </c>
      <c r="Q3430">
        <f>_xlfn.XLOOKUP(E3430,CPT!$A$2:$A$13,CPT!$D$2:$D$13)</f>
        <v>210</v>
      </c>
      <c r="R3430" s="1">
        <f>_xlfn.XLOOKUP(C3430,Contract!$A$2:$A$9,Contract!$B$2:$B$9)</f>
        <v>0.45</v>
      </c>
      <c r="S3430" s="1">
        <f t="shared" si="212"/>
        <v>94.5</v>
      </c>
      <c r="T3430" s="1">
        <f t="shared" si="213"/>
        <v>-14.310000000000002</v>
      </c>
      <c r="U3430" s="1" t="str">
        <f t="shared" si="214"/>
        <v>OK</v>
      </c>
      <c r="V3430" s="1" t="str">
        <f>_xlfn.XLOOKUP(C3430,Payers!$A$2:$A$9,Payers!$B$2:$B$9)</f>
        <v>Blue Horizon Commercial</v>
      </c>
      <c r="W3430" s="1" t="str">
        <f t="shared" si="215"/>
        <v>2026-01</v>
      </c>
    </row>
    <row r="3431" spans="1:23">
      <c r="A3431" s="1" t="s">
        <v>5659</v>
      </c>
      <c r="B3431" s="1" t="s">
        <v>5079</v>
      </c>
      <c r="C3431" s="1" t="s">
        <v>60</v>
      </c>
      <c r="D3431" s="1" t="s">
        <v>37</v>
      </c>
      <c r="E3431" s="1" t="s">
        <v>48</v>
      </c>
      <c r="F3431">
        <v>1</v>
      </c>
      <c r="G3431" s="2">
        <v>46095</v>
      </c>
      <c r="H3431" s="2">
        <v>46097</v>
      </c>
      <c r="I3431">
        <v>421.27</v>
      </c>
      <c r="J3431">
        <v>193.54</v>
      </c>
      <c r="K3431">
        <v>193.54</v>
      </c>
      <c r="L3431">
        <v>0</v>
      </c>
      <c r="M3431" s="1" t="s">
        <v>21</v>
      </c>
      <c r="N3431" s="1" t="s">
        <v>22</v>
      </c>
      <c r="O3431" s="2">
        <v>46126</v>
      </c>
      <c r="P3431" s="2">
        <v>46126</v>
      </c>
      <c r="Q3431">
        <f>_xlfn.XLOOKUP(E3431,CPT!$A$2:$A$13,CPT!$D$2:$D$13)</f>
        <v>420</v>
      </c>
      <c r="R3431" s="1">
        <f>_xlfn.XLOOKUP(C3431,Contract!$A$2:$A$9,Contract!$B$2:$B$9)</f>
        <v>0.45</v>
      </c>
      <c r="S3431" s="1">
        <f t="shared" si="212"/>
        <v>189</v>
      </c>
      <c r="T3431" s="1">
        <f t="shared" si="213"/>
        <v>-4.539999999999992</v>
      </c>
      <c r="U3431" s="1" t="str">
        <f t="shared" si="214"/>
        <v>OK</v>
      </c>
      <c r="V3431" s="1" t="str">
        <f>_xlfn.XLOOKUP(C3431,Payers!$A$2:$A$9,Payers!$B$2:$B$9)</f>
        <v>Blue Horizon Commercial</v>
      </c>
      <c r="W3431" s="1" t="str">
        <f t="shared" si="215"/>
        <v>2026-03</v>
      </c>
    </row>
    <row r="3432" spans="1:23">
      <c r="A3432" s="1" t="s">
        <v>5660</v>
      </c>
      <c r="B3432" s="1" t="s">
        <v>5661</v>
      </c>
      <c r="C3432" s="1" t="s">
        <v>76</v>
      </c>
      <c r="D3432" s="1" t="s">
        <v>26</v>
      </c>
      <c r="E3432" s="1" t="s">
        <v>57</v>
      </c>
      <c r="F3432">
        <v>1</v>
      </c>
      <c r="G3432" s="2">
        <v>45995</v>
      </c>
      <c r="H3432" s="2">
        <v>46001</v>
      </c>
      <c r="I3432">
        <v>214.53</v>
      </c>
      <c r="J3432">
        <v>105.43</v>
      </c>
      <c r="K3432">
        <v>105.43</v>
      </c>
      <c r="L3432">
        <v>0</v>
      </c>
      <c r="M3432" s="1" t="s">
        <v>21</v>
      </c>
      <c r="N3432" s="1" t="s">
        <v>22</v>
      </c>
      <c r="O3432" s="2">
        <v>46035</v>
      </c>
      <c r="P3432" s="2">
        <v>46035</v>
      </c>
      <c r="Q3432">
        <f>_xlfn.XLOOKUP(E3432,CPT!$A$2:$A$13,CPT!$D$2:$D$13)</f>
        <v>210</v>
      </c>
      <c r="R3432" s="1">
        <f>_xlfn.XLOOKUP(C3432,Contract!$A$2:$A$9,Contract!$B$2:$B$9)</f>
        <v>0.43</v>
      </c>
      <c r="S3432" s="1">
        <f t="shared" si="212"/>
        <v>90.3</v>
      </c>
      <c r="T3432" s="1">
        <f t="shared" si="213"/>
        <v>-15.13000000000001</v>
      </c>
      <c r="U3432" s="1" t="str">
        <f t="shared" si="214"/>
        <v>OK</v>
      </c>
      <c r="V3432" s="1" t="str">
        <f>_xlfn.XLOOKUP(C3432,Payers!$A$2:$A$9,Payers!$B$2:$B$9)</f>
        <v>Summit Health Commercial</v>
      </c>
      <c r="W3432" s="1" t="str">
        <f t="shared" si="215"/>
        <v>2025-12</v>
      </c>
    </row>
    <row r="3433" spans="1:23">
      <c r="A3433" s="1" t="s">
        <v>5662</v>
      </c>
      <c r="B3433" s="1" t="s">
        <v>892</v>
      </c>
      <c r="C3433" s="1" t="s">
        <v>76</v>
      </c>
      <c r="D3433" s="1" t="s">
        <v>30</v>
      </c>
      <c r="E3433" s="1" t="s">
        <v>91</v>
      </c>
      <c r="F3433">
        <v>1</v>
      </c>
      <c r="G3433" s="2">
        <v>46034</v>
      </c>
      <c r="H3433" s="2">
        <v>46035</v>
      </c>
      <c r="I3433">
        <v>59.31</v>
      </c>
      <c r="J3433">
        <v>25.14</v>
      </c>
      <c r="K3433">
        <v>25.14</v>
      </c>
      <c r="L3433">
        <v>0</v>
      </c>
      <c r="M3433" s="1" t="s">
        <v>21</v>
      </c>
      <c r="N3433" s="1" t="s">
        <v>22</v>
      </c>
      <c r="O3433" s="2">
        <v>46073</v>
      </c>
      <c r="P3433" s="2">
        <v>46073</v>
      </c>
      <c r="Q3433">
        <f>_xlfn.XLOOKUP(E3433,CPT!$A$2:$A$13,CPT!$D$2:$D$13)</f>
        <v>58</v>
      </c>
      <c r="R3433" s="1">
        <f>_xlfn.XLOOKUP(C3433,Contract!$A$2:$A$9,Contract!$B$2:$B$9)</f>
        <v>0.43</v>
      </c>
      <c r="S3433" s="1">
        <f t="shared" si="212"/>
        <v>24.94</v>
      </c>
      <c r="T3433" s="1">
        <f t="shared" si="213"/>
        <v>-0.19999999999999929</v>
      </c>
      <c r="U3433" s="1" t="str">
        <f t="shared" si="214"/>
        <v>OK</v>
      </c>
      <c r="V3433" s="1" t="str">
        <f>_xlfn.XLOOKUP(C3433,Payers!$A$2:$A$9,Payers!$B$2:$B$9)</f>
        <v>Summit Health Commercial</v>
      </c>
      <c r="W3433" s="1" t="str">
        <f t="shared" si="215"/>
        <v>2026-01</v>
      </c>
    </row>
    <row r="3434" spans="1:23">
      <c r="A3434" s="1" t="s">
        <v>5663</v>
      </c>
      <c r="B3434" s="1" t="s">
        <v>1689</v>
      </c>
      <c r="C3434" s="1" t="s">
        <v>52</v>
      </c>
      <c r="D3434" s="1" t="s">
        <v>19</v>
      </c>
      <c r="E3434" s="1" t="s">
        <v>57</v>
      </c>
      <c r="F3434">
        <v>1</v>
      </c>
      <c r="G3434" s="2">
        <v>46291</v>
      </c>
      <c r="H3434" s="2">
        <v>46294</v>
      </c>
      <c r="I3434">
        <v>205.21</v>
      </c>
      <c r="M3434" s="1" t="s">
        <v>69</v>
      </c>
      <c r="N3434" s="1" t="s">
        <v>22</v>
      </c>
      <c r="O3434" s="2"/>
      <c r="P3434" s="2"/>
      <c r="Q3434">
        <f>_xlfn.XLOOKUP(E3434,CPT!$A$2:$A$13,CPT!$D$2:$D$13)</f>
        <v>210</v>
      </c>
      <c r="R3434" s="1">
        <f>_xlfn.XLOOKUP(C3434,Contract!$A$2:$A$9,Contract!$B$2:$B$9)</f>
        <v>0.47</v>
      </c>
      <c r="S3434" s="1">
        <f t="shared" si="212"/>
        <v>98.7</v>
      </c>
      <c r="T3434" s="1" t="str">
        <f t="shared" si="213"/>
        <v/>
      </c>
      <c r="U3434" s="1" t="str">
        <f t="shared" si="214"/>
        <v/>
      </c>
      <c r="V3434" s="1" t="str">
        <f>_xlfn.XLOOKUP(C3434,Payers!$A$2:$A$9,Payers!$B$2:$B$9)</f>
        <v>Keystone Commercial PPO</v>
      </c>
      <c r="W3434" s="1" t="str">
        <f t="shared" si="215"/>
        <v>2026-09</v>
      </c>
    </row>
    <row r="3435" spans="1:23">
      <c r="A3435" s="1" t="s">
        <v>5664</v>
      </c>
      <c r="B3435" s="1" t="s">
        <v>4696</v>
      </c>
      <c r="C3435" s="1" t="s">
        <v>76</v>
      </c>
      <c r="D3435" s="1" t="s">
        <v>19</v>
      </c>
      <c r="E3435" s="1" t="s">
        <v>41</v>
      </c>
      <c r="F3435">
        <v>1</v>
      </c>
      <c r="G3435" s="2">
        <v>46232</v>
      </c>
      <c r="H3435" s="2">
        <v>46235</v>
      </c>
      <c r="I3435">
        <v>38.979999999999997</v>
      </c>
      <c r="J3435">
        <v>18.29</v>
      </c>
      <c r="K3435">
        <v>18.29</v>
      </c>
      <c r="L3435">
        <v>0</v>
      </c>
      <c r="M3435" s="1" t="s">
        <v>21</v>
      </c>
      <c r="N3435" s="1" t="s">
        <v>22</v>
      </c>
      <c r="O3435" s="2">
        <v>46257</v>
      </c>
      <c r="P3435" s="2">
        <v>46257</v>
      </c>
      <c r="Q3435">
        <f>_xlfn.XLOOKUP(E3435,CPT!$A$2:$A$13,CPT!$D$2:$D$13)</f>
        <v>38</v>
      </c>
      <c r="R3435" s="1">
        <f>_xlfn.XLOOKUP(C3435,Contract!$A$2:$A$9,Contract!$B$2:$B$9)</f>
        <v>0.43</v>
      </c>
      <c r="S3435" s="1">
        <f t="shared" si="212"/>
        <v>16.34</v>
      </c>
      <c r="T3435" s="1">
        <f t="shared" si="213"/>
        <v>-1.9499999999999993</v>
      </c>
      <c r="U3435" s="1" t="str">
        <f t="shared" si="214"/>
        <v>OK</v>
      </c>
      <c r="V3435" s="1" t="str">
        <f>_xlfn.XLOOKUP(C3435,Payers!$A$2:$A$9,Payers!$B$2:$B$9)</f>
        <v>Summit Health Commercial</v>
      </c>
      <c r="W3435" s="1" t="str">
        <f t="shared" si="215"/>
        <v>2026-07</v>
      </c>
    </row>
    <row r="3436" spans="1:23">
      <c r="A3436" s="1" t="s">
        <v>5665</v>
      </c>
      <c r="B3436" s="1" t="s">
        <v>1355</v>
      </c>
      <c r="C3436" s="1" t="s">
        <v>60</v>
      </c>
      <c r="D3436" s="1" t="s">
        <v>30</v>
      </c>
      <c r="E3436" s="1" t="s">
        <v>91</v>
      </c>
      <c r="F3436">
        <v>4</v>
      </c>
      <c r="G3436" s="2">
        <v>46186</v>
      </c>
      <c r="H3436" s="2">
        <v>46189</v>
      </c>
      <c r="I3436">
        <v>232.97</v>
      </c>
      <c r="J3436">
        <v>120.36</v>
      </c>
      <c r="K3436">
        <v>108.32</v>
      </c>
      <c r="L3436">
        <v>12.04</v>
      </c>
      <c r="M3436" s="1" t="s">
        <v>21</v>
      </c>
      <c r="N3436" s="1" t="s">
        <v>22</v>
      </c>
      <c r="O3436" s="2">
        <v>46220</v>
      </c>
      <c r="P3436" s="2">
        <v>46220</v>
      </c>
      <c r="Q3436">
        <f>_xlfn.XLOOKUP(E3436,CPT!$A$2:$A$13,CPT!$D$2:$D$13)</f>
        <v>58</v>
      </c>
      <c r="R3436" s="1">
        <f>_xlfn.XLOOKUP(C3436,Contract!$A$2:$A$9,Contract!$B$2:$B$9)</f>
        <v>0.45</v>
      </c>
      <c r="S3436" s="1">
        <f t="shared" si="212"/>
        <v>104.4</v>
      </c>
      <c r="T3436" s="1">
        <f t="shared" si="213"/>
        <v>-15.959999999999994</v>
      </c>
      <c r="U3436" s="1" t="str">
        <f t="shared" si="214"/>
        <v>OK</v>
      </c>
      <c r="V3436" s="1" t="str">
        <f>_xlfn.XLOOKUP(C3436,Payers!$A$2:$A$9,Payers!$B$2:$B$9)</f>
        <v>Blue Horizon Commercial</v>
      </c>
      <c r="W3436" s="1" t="str">
        <f t="shared" si="215"/>
        <v>2026-06</v>
      </c>
    </row>
    <row r="3437" spans="1:23">
      <c r="A3437" s="1" t="s">
        <v>5666</v>
      </c>
      <c r="B3437" s="1" t="s">
        <v>5667</v>
      </c>
      <c r="C3437" s="1" t="s">
        <v>60</v>
      </c>
      <c r="D3437" s="1" t="s">
        <v>30</v>
      </c>
      <c r="E3437" s="1" t="s">
        <v>20</v>
      </c>
      <c r="F3437">
        <v>1</v>
      </c>
      <c r="G3437" s="2">
        <v>46291</v>
      </c>
      <c r="H3437" s="2">
        <v>46294</v>
      </c>
      <c r="I3437">
        <v>141.87</v>
      </c>
      <c r="M3437" s="1" t="s">
        <v>69</v>
      </c>
      <c r="N3437" s="1" t="s">
        <v>22</v>
      </c>
      <c r="O3437" s="2"/>
      <c r="P3437" s="2"/>
      <c r="Q3437">
        <f>_xlfn.XLOOKUP(E3437,CPT!$A$2:$A$13,CPT!$D$2:$D$13)</f>
        <v>145</v>
      </c>
      <c r="R3437" s="1">
        <f>_xlfn.XLOOKUP(C3437,Contract!$A$2:$A$9,Contract!$B$2:$B$9)</f>
        <v>0.45</v>
      </c>
      <c r="S3437" s="1">
        <f t="shared" si="212"/>
        <v>65.25</v>
      </c>
      <c r="T3437" s="1" t="str">
        <f t="shared" si="213"/>
        <v/>
      </c>
      <c r="U3437" s="1" t="str">
        <f t="shared" si="214"/>
        <v/>
      </c>
      <c r="V3437" s="1" t="str">
        <f>_xlfn.XLOOKUP(C3437,Payers!$A$2:$A$9,Payers!$B$2:$B$9)</f>
        <v>Blue Horizon Commercial</v>
      </c>
      <c r="W3437" s="1" t="str">
        <f t="shared" si="215"/>
        <v>2026-09</v>
      </c>
    </row>
    <row r="3438" spans="1:23">
      <c r="A3438" s="1" t="s">
        <v>5668</v>
      </c>
      <c r="B3438" s="1" t="s">
        <v>5669</v>
      </c>
      <c r="C3438" s="1" t="s">
        <v>60</v>
      </c>
      <c r="D3438" s="1" t="s">
        <v>37</v>
      </c>
      <c r="E3438" s="1" t="s">
        <v>57</v>
      </c>
      <c r="F3438">
        <v>1</v>
      </c>
      <c r="G3438" s="2">
        <v>46157</v>
      </c>
      <c r="H3438" s="2">
        <v>46162</v>
      </c>
      <c r="I3438">
        <v>211.41</v>
      </c>
      <c r="J3438">
        <v>84.7</v>
      </c>
      <c r="K3438">
        <v>84.7</v>
      </c>
      <c r="L3438">
        <v>0</v>
      </c>
      <c r="M3438" s="1" t="s">
        <v>21</v>
      </c>
      <c r="N3438" s="1" t="s">
        <v>22</v>
      </c>
      <c r="O3438" s="2">
        <v>46184</v>
      </c>
      <c r="P3438" s="2">
        <v>46184</v>
      </c>
      <c r="Q3438">
        <f>_xlfn.XLOOKUP(E3438,CPT!$A$2:$A$13,CPT!$D$2:$D$13)</f>
        <v>210</v>
      </c>
      <c r="R3438" s="1">
        <f>_xlfn.XLOOKUP(C3438,Contract!$A$2:$A$9,Contract!$B$2:$B$9)</f>
        <v>0.45</v>
      </c>
      <c r="S3438" s="1">
        <f t="shared" si="212"/>
        <v>94.5</v>
      </c>
      <c r="T3438" s="1">
        <f t="shared" si="213"/>
        <v>9.7999999999999972</v>
      </c>
      <c r="U3438" s="1" t="str">
        <f t="shared" si="214"/>
        <v>Underpaid</v>
      </c>
      <c r="V3438" s="1" t="str">
        <f>_xlfn.XLOOKUP(C3438,Payers!$A$2:$A$9,Payers!$B$2:$B$9)</f>
        <v>Blue Horizon Commercial</v>
      </c>
      <c r="W3438" s="1" t="str">
        <f t="shared" si="215"/>
        <v>2026-05</v>
      </c>
    </row>
    <row r="3439" spans="1:23">
      <c r="A3439" s="1" t="s">
        <v>5670</v>
      </c>
      <c r="B3439" s="1" t="s">
        <v>5495</v>
      </c>
      <c r="C3439" s="1" t="s">
        <v>60</v>
      </c>
      <c r="D3439" s="1" t="s">
        <v>26</v>
      </c>
      <c r="E3439" s="1" t="s">
        <v>57</v>
      </c>
      <c r="F3439">
        <v>1</v>
      </c>
      <c r="G3439" s="2">
        <v>46249</v>
      </c>
      <c r="H3439" s="2">
        <v>46250</v>
      </c>
      <c r="I3439">
        <v>207.53</v>
      </c>
      <c r="J3439">
        <v>93.38</v>
      </c>
      <c r="K3439">
        <v>93.38</v>
      </c>
      <c r="L3439">
        <v>0</v>
      </c>
      <c r="M3439" s="1" t="s">
        <v>21</v>
      </c>
      <c r="N3439" s="1" t="s">
        <v>22</v>
      </c>
      <c r="O3439" s="2">
        <v>46285</v>
      </c>
      <c r="P3439" s="2">
        <v>46285</v>
      </c>
      <c r="Q3439">
        <f>_xlfn.XLOOKUP(E3439,CPT!$A$2:$A$13,CPT!$D$2:$D$13)</f>
        <v>210</v>
      </c>
      <c r="R3439" s="1">
        <f>_xlfn.XLOOKUP(C3439,Contract!$A$2:$A$9,Contract!$B$2:$B$9)</f>
        <v>0.45</v>
      </c>
      <c r="S3439" s="1">
        <f t="shared" si="212"/>
        <v>94.5</v>
      </c>
      <c r="T3439" s="1">
        <f t="shared" si="213"/>
        <v>1.1200000000000045</v>
      </c>
      <c r="U3439" s="1" t="str">
        <f t="shared" si="214"/>
        <v>OK</v>
      </c>
      <c r="V3439" s="1" t="str">
        <f>_xlfn.XLOOKUP(C3439,Payers!$A$2:$A$9,Payers!$B$2:$B$9)</f>
        <v>Blue Horizon Commercial</v>
      </c>
      <c r="W3439" s="1" t="str">
        <f t="shared" si="215"/>
        <v>2026-08</v>
      </c>
    </row>
    <row r="3440" spans="1:23">
      <c r="A3440" s="1" t="s">
        <v>5671</v>
      </c>
      <c r="B3440" s="1" t="s">
        <v>5672</v>
      </c>
      <c r="C3440" s="1" t="s">
        <v>25</v>
      </c>
      <c r="D3440" s="1" t="s">
        <v>19</v>
      </c>
      <c r="E3440" s="1" t="s">
        <v>57</v>
      </c>
      <c r="F3440">
        <v>1</v>
      </c>
      <c r="G3440" s="2">
        <v>46157</v>
      </c>
      <c r="H3440" s="2">
        <v>46164</v>
      </c>
      <c r="I3440">
        <v>205.77</v>
      </c>
      <c r="J3440">
        <v>64.64</v>
      </c>
      <c r="K3440">
        <v>51.71</v>
      </c>
      <c r="L3440">
        <v>12.93</v>
      </c>
      <c r="M3440" s="1" t="s">
        <v>21</v>
      </c>
      <c r="N3440" s="1" t="s">
        <v>22</v>
      </c>
      <c r="O3440" s="2">
        <v>46188</v>
      </c>
      <c r="P3440" s="2">
        <v>46188</v>
      </c>
      <c r="Q3440">
        <f>_xlfn.XLOOKUP(E3440,CPT!$A$2:$A$13,CPT!$D$2:$D$13)</f>
        <v>210</v>
      </c>
      <c r="R3440" s="1">
        <f>_xlfn.XLOOKUP(C3440,Contract!$A$2:$A$9,Contract!$B$2:$B$9)</f>
        <v>0.36</v>
      </c>
      <c r="S3440" s="1">
        <f t="shared" si="212"/>
        <v>75.599999999999994</v>
      </c>
      <c r="T3440" s="1">
        <f t="shared" si="213"/>
        <v>10.959999999999994</v>
      </c>
      <c r="U3440" s="1" t="str">
        <f t="shared" si="214"/>
        <v>Underpaid</v>
      </c>
      <c r="V3440" s="1" t="str">
        <f>_xlfn.XLOOKUP(C3440,Payers!$A$2:$A$9,Payers!$B$2:$B$9)</f>
        <v>Medicare Part B</v>
      </c>
      <c r="W3440" s="1" t="str">
        <f t="shared" si="215"/>
        <v>2026-05</v>
      </c>
    </row>
    <row r="3441" spans="1:23">
      <c r="A3441" s="1" t="s">
        <v>5673</v>
      </c>
      <c r="B3441" s="1" t="s">
        <v>5674</v>
      </c>
      <c r="C3441" s="1" t="s">
        <v>18</v>
      </c>
      <c r="D3441" s="1" t="s">
        <v>26</v>
      </c>
      <c r="E3441" s="1" t="s">
        <v>27</v>
      </c>
      <c r="F3441">
        <v>1</v>
      </c>
      <c r="G3441" s="2">
        <v>46086</v>
      </c>
      <c r="H3441" s="2">
        <v>46088</v>
      </c>
      <c r="I3441">
        <v>232.9</v>
      </c>
      <c r="J3441">
        <v>80.78</v>
      </c>
      <c r="K3441">
        <v>80.78</v>
      </c>
      <c r="L3441">
        <v>0</v>
      </c>
      <c r="M3441" s="1" t="s">
        <v>21</v>
      </c>
      <c r="N3441" s="1" t="s">
        <v>22</v>
      </c>
      <c r="O3441" s="2">
        <v>46121</v>
      </c>
      <c r="P3441" s="2">
        <v>46121</v>
      </c>
      <c r="Q3441">
        <f>_xlfn.XLOOKUP(E3441,CPT!$A$2:$A$13,CPT!$D$2:$D$13)</f>
        <v>240</v>
      </c>
      <c r="R3441" s="1">
        <f>_xlfn.XLOOKUP(C3441,Contract!$A$2:$A$9,Contract!$B$2:$B$9)</f>
        <v>0.38</v>
      </c>
      <c r="S3441" s="1">
        <f t="shared" si="212"/>
        <v>91.2</v>
      </c>
      <c r="T3441" s="1">
        <f t="shared" si="213"/>
        <v>10.420000000000002</v>
      </c>
      <c r="U3441" s="1" t="str">
        <f t="shared" si="214"/>
        <v>Underpaid</v>
      </c>
      <c r="V3441" s="1" t="str">
        <f>_xlfn.XLOOKUP(C3441,Payers!$A$2:$A$9,Payers!$B$2:$B$9)</f>
        <v>Sunshine Medicare Advantage</v>
      </c>
      <c r="W3441" s="1" t="str">
        <f t="shared" si="215"/>
        <v>2026-03</v>
      </c>
    </row>
    <row r="3442" spans="1:23">
      <c r="A3442" s="1" t="s">
        <v>5675</v>
      </c>
      <c r="B3442" s="1" t="s">
        <v>4332</v>
      </c>
      <c r="C3442" s="1" t="s">
        <v>76</v>
      </c>
      <c r="D3442" s="1" t="s">
        <v>26</v>
      </c>
      <c r="E3442" s="1" t="s">
        <v>113</v>
      </c>
      <c r="F3442">
        <v>1</v>
      </c>
      <c r="G3442" s="2">
        <v>46251</v>
      </c>
      <c r="H3442" s="2">
        <v>46254</v>
      </c>
      <c r="I3442">
        <v>1048.56</v>
      </c>
      <c r="M3442" s="1" t="s">
        <v>32</v>
      </c>
      <c r="N3442" s="1" t="s">
        <v>33</v>
      </c>
      <c r="O3442" s="2">
        <v>46287</v>
      </c>
      <c r="P3442" s="2"/>
      <c r="Q3442">
        <f>_xlfn.XLOOKUP(E3442,CPT!$A$2:$A$13,CPT!$D$2:$D$13)</f>
        <v>1050</v>
      </c>
      <c r="R3442" s="1">
        <f>_xlfn.XLOOKUP(C3442,Contract!$A$2:$A$9,Contract!$B$2:$B$9)</f>
        <v>0.43</v>
      </c>
      <c r="S3442" s="1">
        <f t="shared" si="212"/>
        <v>451.5</v>
      </c>
      <c r="T3442" s="1" t="str">
        <f t="shared" si="213"/>
        <v/>
      </c>
      <c r="U3442" s="1" t="str">
        <f t="shared" si="214"/>
        <v/>
      </c>
      <c r="V3442" s="1" t="str">
        <f>_xlfn.XLOOKUP(C3442,Payers!$A$2:$A$9,Payers!$B$2:$B$9)</f>
        <v>Summit Health Commercial</v>
      </c>
      <c r="W3442" s="1" t="str">
        <f t="shared" si="215"/>
        <v>2026-08</v>
      </c>
    </row>
    <row r="3443" spans="1:23">
      <c r="A3443" s="1" t="s">
        <v>5676</v>
      </c>
      <c r="B3443" s="1" t="s">
        <v>3233</v>
      </c>
      <c r="C3443" s="1" t="s">
        <v>76</v>
      </c>
      <c r="D3443" s="1" t="s">
        <v>37</v>
      </c>
      <c r="E3443" s="1" t="s">
        <v>38</v>
      </c>
      <c r="F3443">
        <v>30</v>
      </c>
      <c r="G3443" s="2">
        <v>46143</v>
      </c>
      <c r="H3443" s="2">
        <v>46150</v>
      </c>
      <c r="I3443">
        <v>42669.17</v>
      </c>
      <c r="J3443">
        <v>17205.79</v>
      </c>
      <c r="K3443">
        <v>17205.79</v>
      </c>
      <c r="L3443">
        <v>0</v>
      </c>
      <c r="M3443" s="1" t="s">
        <v>21</v>
      </c>
      <c r="N3443" s="1" t="s">
        <v>22</v>
      </c>
      <c r="O3443" s="2">
        <v>46166</v>
      </c>
      <c r="P3443" s="2">
        <v>46166</v>
      </c>
      <c r="Q3443">
        <f>_xlfn.XLOOKUP(E3443,CPT!$A$2:$A$13,CPT!$D$2:$D$13)</f>
        <v>1450</v>
      </c>
      <c r="R3443" s="1">
        <f>_xlfn.XLOOKUP(C3443,Contract!$A$2:$A$9,Contract!$B$2:$B$9)</f>
        <v>0.43</v>
      </c>
      <c r="S3443" s="1">
        <f t="shared" si="212"/>
        <v>18705</v>
      </c>
      <c r="T3443" s="1">
        <f t="shared" si="213"/>
        <v>1499.2099999999991</v>
      </c>
      <c r="U3443" s="1" t="str">
        <f t="shared" si="214"/>
        <v>Underpaid</v>
      </c>
      <c r="V3443" s="1" t="str">
        <f>_xlfn.XLOOKUP(C3443,Payers!$A$2:$A$9,Payers!$B$2:$B$9)</f>
        <v>Summit Health Commercial</v>
      </c>
      <c r="W3443" s="1" t="str">
        <f t="shared" si="215"/>
        <v>2026-05</v>
      </c>
    </row>
    <row r="3444" spans="1:23">
      <c r="A3444" s="1" t="s">
        <v>5677</v>
      </c>
      <c r="B3444" s="1" t="s">
        <v>5678</v>
      </c>
      <c r="C3444" s="1" t="s">
        <v>36</v>
      </c>
      <c r="D3444" s="1" t="s">
        <v>19</v>
      </c>
      <c r="E3444" s="1" t="s">
        <v>20</v>
      </c>
      <c r="F3444">
        <v>1</v>
      </c>
      <c r="G3444" s="2">
        <v>46024</v>
      </c>
      <c r="H3444" s="2">
        <v>46036</v>
      </c>
      <c r="I3444">
        <v>144.86000000000001</v>
      </c>
      <c r="J3444">
        <v>35.76</v>
      </c>
      <c r="K3444">
        <v>35.76</v>
      </c>
      <c r="L3444">
        <v>0</v>
      </c>
      <c r="M3444" s="1" t="s">
        <v>21</v>
      </c>
      <c r="N3444" s="1" t="s">
        <v>22</v>
      </c>
      <c r="O3444" s="2">
        <v>46056</v>
      </c>
      <c r="P3444" s="2">
        <v>46056</v>
      </c>
      <c r="Q3444">
        <f>_xlfn.XLOOKUP(E3444,CPT!$A$2:$A$13,CPT!$D$2:$D$13)</f>
        <v>145</v>
      </c>
      <c r="R3444" s="1">
        <f>_xlfn.XLOOKUP(C3444,Contract!$A$2:$A$9,Contract!$B$2:$B$9)</f>
        <v>0.27</v>
      </c>
      <c r="S3444" s="1">
        <f t="shared" si="212"/>
        <v>39.15</v>
      </c>
      <c r="T3444" s="1">
        <f t="shared" si="213"/>
        <v>3.3900000000000006</v>
      </c>
      <c r="U3444" s="1" t="str">
        <f t="shared" si="214"/>
        <v>Underpaid</v>
      </c>
      <c r="V3444" s="1" t="str">
        <f>_xlfn.XLOOKUP(C3444,Payers!$A$2:$A$9,Payers!$B$2:$B$9)</f>
        <v>Florida Medicaid</v>
      </c>
      <c r="W3444" s="1" t="str">
        <f t="shared" si="215"/>
        <v>2026-01</v>
      </c>
    </row>
    <row r="3445" spans="1:23">
      <c r="A3445" s="1" t="s">
        <v>5679</v>
      </c>
      <c r="B3445" s="1" t="s">
        <v>174</v>
      </c>
      <c r="C3445" s="1" t="s">
        <v>25</v>
      </c>
      <c r="D3445" s="1" t="s">
        <v>26</v>
      </c>
      <c r="E3445" s="1" t="s">
        <v>41</v>
      </c>
      <c r="F3445">
        <v>1</v>
      </c>
      <c r="G3445" s="2">
        <v>46089</v>
      </c>
      <c r="H3445" s="2">
        <v>46092</v>
      </c>
      <c r="I3445">
        <v>37.049999999999997</v>
      </c>
      <c r="J3445">
        <v>11.27</v>
      </c>
      <c r="K3445">
        <v>9.02</v>
      </c>
      <c r="L3445">
        <v>2.25</v>
      </c>
      <c r="M3445" s="1" t="s">
        <v>21</v>
      </c>
      <c r="N3445" s="1" t="s">
        <v>22</v>
      </c>
      <c r="O3445" s="2">
        <v>46105</v>
      </c>
      <c r="P3445" s="2">
        <v>46105</v>
      </c>
      <c r="Q3445">
        <f>_xlfn.XLOOKUP(E3445,CPT!$A$2:$A$13,CPT!$D$2:$D$13)</f>
        <v>38</v>
      </c>
      <c r="R3445" s="1">
        <f>_xlfn.XLOOKUP(C3445,Contract!$A$2:$A$9,Contract!$B$2:$B$9)</f>
        <v>0.36</v>
      </c>
      <c r="S3445" s="1">
        <f t="shared" si="212"/>
        <v>13.68</v>
      </c>
      <c r="T3445" s="1">
        <f t="shared" si="213"/>
        <v>2.41</v>
      </c>
      <c r="U3445" s="1" t="str">
        <f t="shared" si="214"/>
        <v>Underpaid</v>
      </c>
      <c r="V3445" s="1" t="str">
        <f>_xlfn.XLOOKUP(C3445,Payers!$A$2:$A$9,Payers!$B$2:$B$9)</f>
        <v>Medicare Part B</v>
      </c>
      <c r="W3445" s="1" t="str">
        <f t="shared" si="215"/>
        <v>2026-03</v>
      </c>
    </row>
    <row r="3446" spans="1:23">
      <c r="A3446" s="1" t="s">
        <v>5680</v>
      </c>
      <c r="B3446" s="1" t="s">
        <v>4258</v>
      </c>
      <c r="C3446" s="1" t="s">
        <v>36</v>
      </c>
      <c r="D3446" s="1" t="s">
        <v>26</v>
      </c>
      <c r="E3446" s="1" t="s">
        <v>88</v>
      </c>
      <c r="F3446">
        <v>1</v>
      </c>
      <c r="G3446" s="2">
        <v>46201</v>
      </c>
      <c r="H3446" s="2">
        <v>46202</v>
      </c>
      <c r="I3446">
        <v>258</v>
      </c>
      <c r="J3446">
        <v>64.48</v>
      </c>
      <c r="K3446">
        <v>51.58</v>
      </c>
      <c r="L3446">
        <v>12.9</v>
      </c>
      <c r="M3446" s="1" t="s">
        <v>21</v>
      </c>
      <c r="N3446" s="1" t="s">
        <v>22</v>
      </c>
      <c r="O3446" s="2">
        <v>46249</v>
      </c>
      <c r="P3446" s="2">
        <v>46249</v>
      </c>
      <c r="Q3446">
        <f>_xlfn.XLOOKUP(E3446,CPT!$A$2:$A$13,CPT!$D$2:$D$13)</f>
        <v>260</v>
      </c>
      <c r="R3446" s="1">
        <f>_xlfn.XLOOKUP(C3446,Contract!$A$2:$A$9,Contract!$B$2:$B$9)</f>
        <v>0.27</v>
      </c>
      <c r="S3446" s="1">
        <f t="shared" si="212"/>
        <v>70.2</v>
      </c>
      <c r="T3446" s="1">
        <f t="shared" si="213"/>
        <v>5.7199999999999989</v>
      </c>
      <c r="U3446" s="1" t="str">
        <f t="shared" si="214"/>
        <v>Underpaid</v>
      </c>
      <c r="V3446" s="1" t="str">
        <f>_xlfn.XLOOKUP(C3446,Payers!$A$2:$A$9,Payers!$B$2:$B$9)</f>
        <v>Florida Medicaid</v>
      </c>
      <c r="W3446" s="1" t="str">
        <f t="shared" si="215"/>
        <v>2026-06</v>
      </c>
    </row>
    <row r="3447" spans="1:23">
      <c r="A3447" s="1" t="s">
        <v>5681</v>
      </c>
      <c r="B3447" s="1" t="s">
        <v>4860</v>
      </c>
      <c r="C3447" s="1" t="s">
        <v>47</v>
      </c>
      <c r="D3447" s="1" t="s">
        <v>30</v>
      </c>
      <c r="E3447" s="1" t="s">
        <v>20</v>
      </c>
      <c r="F3447">
        <v>1</v>
      </c>
      <c r="G3447" s="2">
        <v>46147</v>
      </c>
      <c r="H3447" s="2">
        <v>46148</v>
      </c>
      <c r="I3447">
        <v>144.5</v>
      </c>
      <c r="J3447">
        <v>39.229999999999997</v>
      </c>
      <c r="K3447">
        <v>31.38</v>
      </c>
      <c r="L3447">
        <v>7.85</v>
      </c>
      <c r="M3447" s="1" t="s">
        <v>21</v>
      </c>
      <c r="N3447" s="1" t="s">
        <v>22</v>
      </c>
      <c r="O3447" s="2">
        <v>46203</v>
      </c>
      <c r="P3447" s="2">
        <v>46203</v>
      </c>
      <c r="Q3447">
        <f>_xlfn.XLOOKUP(E3447,CPT!$A$2:$A$13,CPT!$D$2:$D$13)</f>
        <v>145</v>
      </c>
      <c r="R3447" s="1">
        <f>_xlfn.XLOOKUP(C3447,Contract!$A$2:$A$9,Contract!$B$2:$B$9)</f>
        <v>0.28000000000000003</v>
      </c>
      <c r="S3447" s="1">
        <f t="shared" si="212"/>
        <v>40.6</v>
      </c>
      <c r="T3447" s="1">
        <f t="shared" si="213"/>
        <v>1.3700000000000045</v>
      </c>
      <c r="U3447" s="1" t="str">
        <f t="shared" si="214"/>
        <v>OK</v>
      </c>
      <c r="V3447" s="1" t="str">
        <f>_xlfn.XLOOKUP(C3447,Payers!$A$2:$A$9,Payers!$B$2:$B$9)</f>
        <v>Coastal Medicaid MCO</v>
      </c>
      <c r="W3447" s="1" t="str">
        <f t="shared" si="215"/>
        <v>2026-05</v>
      </c>
    </row>
    <row r="3448" spans="1:23">
      <c r="A3448" s="1" t="s">
        <v>5682</v>
      </c>
      <c r="B3448" s="1" t="s">
        <v>4314</v>
      </c>
      <c r="C3448" s="1" t="s">
        <v>25</v>
      </c>
      <c r="D3448" s="1" t="s">
        <v>19</v>
      </c>
      <c r="E3448" s="1" t="s">
        <v>88</v>
      </c>
      <c r="F3448">
        <v>1</v>
      </c>
      <c r="G3448" s="2">
        <v>46160</v>
      </c>
      <c r="H3448" s="2">
        <v>46166</v>
      </c>
      <c r="I3448">
        <v>264.44</v>
      </c>
      <c r="J3448">
        <v>90.08</v>
      </c>
      <c r="K3448">
        <v>72.06</v>
      </c>
      <c r="L3448">
        <v>18.02</v>
      </c>
      <c r="M3448" s="1" t="s">
        <v>21</v>
      </c>
      <c r="N3448" s="1" t="s">
        <v>22</v>
      </c>
      <c r="O3448" s="2">
        <v>46184</v>
      </c>
      <c r="P3448" s="2">
        <v>46184</v>
      </c>
      <c r="Q3448">
        <f>_xlfn.XLOOKUP(E3448,CPT!$A$2:$A$13,CPT!$D$2:$D$13)</f>
        <v>260</v>
      </c>
      <c r="R3448" s="1">
        <f>_xlfn.XLOOKUP(C3448,Contract!$A$2:$A$9,Contract!$B$2:$B$9)</f>
        <v>0.36</v>
      </c>
      <c r="S3448" s="1">
        <f t="shared" si="212"/>
        <v>93.6</v>
      </c>
      <c r="T3448" s="1">
        <f t="shared" si="213"/>
        <v>3.519999999999996</v>
      </c>
      <c r="U3448" s="1" t="str">
        <f t="shared" si="214"/>
        <v>OK</v>
      </c>
      <c r="V3448" s="1" t="str">
        <f>_xlfn.XLOOKUP(C3448,Payers!$A$2:$A$9,Payers!$B$2:$B$9)</f>
        <v>Medicare Part B</v>
      </c>
      <c r="W3448" s="1" t="str">
        <f t="shared" si="215"/>
        <v>2026-05</v>
      </c>
    </row>
    <row r="3449" spans="1:23">
      <c r="A3449" s="1" t="s">
        <v>5683</v>
      </c>
      <c r="B3449" s="1" t="s">
        <v>5684</v>
      </c>
      <c r="C3449" s="1" t="s">
        <v>76</v>
      </c>
      <c r="D3449" s="1" t="s">
        <v>30</v>
      </c>
      <c r="E3449" s="1" t="s">
        <v>31</v>
      </c>
      <c r="F3449">
        <v>1</v>
      </c>
      <c r="G3449" s="2">
        <v>45937</v>
      </c>
      <c r="H3449" s="2">
        <v>45939</v>
      </c>
      <c r="I3449">
        <v>60.29</v>
      </c>
      <c r="J3449">
        <v>26.98</v>
      </c>
      <c r="K3449">
        <v>26.98</v>
      </c>
      <c r="L3449">
        <v>0</v>
      </c>
      <c r="M3449" s="1" t="s">
        <v>21</v>
      </c>
      <c r="N3449" s="1" t="s">
        <v>22</v>
      </c>
      <c r="O3449" s="2">
        <v>45971</v>
      </c>
      <c r="P3449" s="2">
        <v>45971</v>
      </c>
      <c r="Q3449">
        <f>_xlfn.XLOOKUP(E3449,CPT!$A$2:$A$13,CPT!$D$2:$D$13)</f>
        <v>62</v>
      </c>
      <c r="R3449" s="1">
        <f>_xlfn.XLOOKUP(C3449,Contract!$A$2:$A$9,Contract!$B$2:$B$9)</f>
        <v>0.43</v>
      </c>
      <c r="S3449" s="1">
        <f t="shared" si="212"/>
        <v>26.66</v>
      </c>
      <c r="T3449" s="1">
        <f t="shared" si="213"/>
        <v>-0.32000000000000028</v>
      </c>
      <c r="U3449" s="1" t="str">
        <f t="shared" si="214"/>
        <v>OK</v>
      </c>
      <c r="V3449" s="1" t="str">
        <f>_xlfn.XLOOKUP(C3449,Payers!$A$2:$A$9,Payers!$B$2:$B$9)</f>
        <v>Summit Health Commercial</v>
      </c>
      <c r="W3449" s="1" t="str">
        <f t="shared" si="215"/>
        <v>2025-10</v>
      </c>
    </row>
    <row r="3450" spans="1:23">
      <c r="A3450" s="1" t="s">
        <v>5685</v>
      </c>
      <c r="B3450" s="1" t="s">
        <v>5686</v>
      </c>
      <c r="C3450" s="1" t="s">
        <v>36</v>
      </c>
      <c r="D3450" s="1" t="s">
        <v>19</v>
      </c>
      <c r="E3450" s="1" t="s">
        <v>88</v>
      </c>
      <c r="F3450">
        <v>1</v>
      </c>
      <c r="G3450" s="2">
        <v>46201</v>
      </c>
      <c r="H3450" s="2">
        <v>46202</v>
      </c>
      <c r="I3450">
        <v>259.18</v>
      </c>
      <c r="J3450">
        <v>65.45</v>
      </c>
      <c r="K3450">
        <v>65.45</v>
      </c>
      <c r="L3450">
        <v>0</v>
      </c>
      <c r="M3450" s="1" t="s">
        <v>21</v>
      </c>
      <c r="N3450" s="1" t="s">
        <v>22</v>
      </c>
      <c r="O3450" s="2">
        <v>46233</v>
      </c>
      <c r="P3450" s="2">
        <v>46233</v>
      </c>
      <c r="Q3450">
        <f>_xlfn.XLOOKUP(E3450,CPT!$A$2:$A$13,CPT!$D$2:$D$13)</f>
        <v>260</v>
      </c>
      <c r="R3450" s="1">
        <f>_xlfn.XLOOKUP(C3450,Contract!$A$2:$A$9,Contract!$B$2:$B$9)</f>
        <v>0.27</v>
      </c>
      <c r="S3450" s="1">
        <f t="shared" si="212"/>
        <v>70.2</v>
      </c>
      <c r="T3450" s="1">
        <f t="shared" si="213"/>
        <v>4.75</v>
      </c>
      <c r="U3450" s="1" t="str">
        <f t="shared" si="214"/>
        <v>Underpaid</v>
      </c>
      <c r="V3450" s="1" t="str">
        <f>_xlfn.XLOOKUP(C3450,Payers!$A$2:$A$9,Payers!$B$2:$B$9)</f>
        <v>Florida Medicaid</v>
      </c>
      <c r="W3450" s="1" t="str">
        <f t="shared" si="215"/>
        <v>2026-06</v>
      </c>
    </row>
    <row r="3451" spans="1:23">
      <c r="A3451" s="1" t="s">
        <v>5687</v>
      </c>
      <c r="B3451" s="1" t="s">
        <v>3486</v>
      </c>
      <c r="C3451" s="1" t="s">
        <v>76</v>
      </c>
      <c r="D3451" s="1" t="s">
        <v>19</v>
      </c>
      <c r="E3451" s="1" t="s">
        <v>57</v>
      </c>
      <c r="F3451">
        <v>1</v>
      </c>
      <c r="G3451" s="2">
        <v>45989</v>
      </c>
      <c r="H3451" s="2">
        <v>45991</v>
      </c>
      <c r="I3451">
        <v>203.91</v>
      </c>
      <c r="J3451">
        <v>95.01</v>
      </c>
      <c r="K3451">
        <v>85.51</v>
      </c>
      <c r="L3451">
        <v>9.5</v>
      </c>
      <c r="M3451" s="1" t="s">
        <v>21</v>
      </c>
      <c r="N3451" s="1" t="s">
        <v>22</v>
      </c>
      <c r="O3451" s="2">
        <v>46031</v>
      </c>
      <c r="P3451" s="2">
        <v>46031</v>
      </c>
      <c r="Q3451">
        <f>_xlfn.XLOOKUP(E3451,CPT!$A$2:$A$13,CPT!$D$2:$D$13)</f>
        <v>210</v>
      </c>
      <c r="R3451" s="1">
        <f>_xlfn.XLOOKUP(C3451,Contract!$A$2:$A$9,Contract!$B$2:$B$9)</f>
        <v>0.43</v>
      </c>
      <c r="S3451" s="1">
        <f t="shared" si="212"/>
        <v>90.3</v>
      </c>
      <c r="T3451" s="1">
        <f t="shared" si="213"/>
        <v>-4.710000000000008</v>
      </c>
      <c r="U3451" s="1" t="str">
        <f t="shared" si="214"/>
        <v>OK</v>
      </c>
      <c r="V3451" s="1" t="str">
        <f>_xlfn.XLOOKUP(C3451,Payers!$A$2:$A$9,Payers!$B$2:$B$9)</f>
        <v>Summit Health Commercial</v>
      </c>
      <c r="W3451" s="1" t="str">
        <f t="shared" si="215"/>
        <v>2025-11</v>
      </c>
    </row>
    <row r="3452" spans="1:23">
      <c r="A3452" s="1" t="s">
        <v>5688</v>
      </c>
      <c r="B3452" s="1" t="s">
        <v>5204</v>
      </c>
      <c r="C3452" s="1" t="s">
        <v>76</v>
      </c>
      <c r="D3452" s="1" t="s">
        <v>26</v>
      </c>
      <c r="E3452" s="1" t="s">
        <v>113</v>
      </c>
      <c r="F3452">
        <v>1</v>
      </c>
      <c r="G3452" s="2">
        <v>46198</v>
      </c>
      <c r="H3452" s="2">
        <v>46201</v>
      </c>
      <c r="I3452">
        <v>1060.78</v>
      </c>
      <c r="J3452">
        <v>399.11</v>
      </c>
      <c r="K3452">
        <v>319.29000000000002</v>
      </c>
      <c r="L3452">
        <v>79.819999999999993</v>
      </c>
      <c r="M3452" s="1" t="s">
        <v>21</v>
      </c>
      <c r="N3452" s="1" t="s">
        <v>22</v>
      </c>
      <c r="O3452" s="2">
        <v>46227</v>
      </c>
      <c r="P3452" s="2">
        <v>46227</v>
      </c>
      <c r="Q3452">
        <f>_xlfn.XLOOKUP(E3452,CPT!$A$2:$A$13,CPT!$D$2:$D$13)</f>
        <v>1050</v>
      </c>
      <c r="R3452" s="1">
        <f>_xlfn.XLOOKUP(C3452,Contract!$A$2:$A$9,Contract!$B$2:$B$9)</f>
        <v>0.43</v>
      </c>
      <c r="S3452" s="1">
        <f t="shared" si="212"/>
        <v>451.5</v>
      </c>
      <c r="T3452" s="1">
        <f t="shared" si="213"/>
        <v>52.389999999999986</v>
      </c>
      <c r="U3452" s="1" t="str">
        <f t="shared" si="214"/>
        <v>Underpaid</v>
      </c>
      <c r="V3452" s="1" t="str">
        <f>_xlfn.XLOOKUP(C3452,Payers!$A$2:$A$9,Payers!$B$2:$B$9)</f>
        <v>Summit Health Commercial</v>
      </c>
      <c r="W3452" s="1" t="str">
        <f t="shared" si="215"/>
        <v>2026-06</v>
      </c>
    </row>
    <row r="3453" spans="1:23">
      <c r="A3453" s="1" t="s">
        <v>5689</v>
      </c>
      <c r="B3453" s="1" t="s">
        <v>4570</v>
      </c>
      <c r="C3453" s="1" t="s">
        <v>60</v>
      </c>
      <c r="D3453" s="1" t="s">
        <v>19</v>
      </c>
      <c r="E3453" s="1" t="s">
        <v>20</v>
      </c>
      <c r="F3453">
        <v>1</v>
      </c>
      <c r="G3453" s="2">
        <v>46090</v>
      </c>
      <c r="H3453" s="2">
        <v>46092</v>
      </c>
      <c r="I3453">
        <v>143.57</v>
      </c>
      <c r="J3453">
        <v>65.69</v>
      </c>
      <c r="K3453">
        <v>65.69</v>
      </c>
      <c r="L3453">
        <v>0</v>
      </c>
      <c r="M3453" s="1" t="s">
        <v>21</v>
      </c>
      <c r="N3453" s="1" t="s">
        <v>22</v>
      </c>
      <c r="O3453" s="2">
        <v>46126</v>
      </c>
      <c r="P3453" s="2">
        <v>46126</v>
      </c>
      <c r="Q3453">
        <f>_xlfn.XLOOKUP(E3453,CPT!$A$2:$A$13,CPT!$D$2:$D$13)</f>
        <v>145</v>
      </c>
      <c r="R3453" s="1">
        <f>_xlfn.XLOOKUP(C3453,Contract!$A$2:$A$9,Contract!$B$2:$B$9)</f>
        <v>0.45</v>
      </c>
      <c r="S3453" s="1">
        <f t="shared" si="212"/>
        <v>65.25</v>
      </c>
      <c r="T3453" s="1">
        <f t="shared" si="213"/>
        <v>-0.43999999999999773</v>
      </c>
      <c r="U3453" s="1" t="str">
        <f t="shared" si="214"/>
        <v>OK</v>
      </c>
      <c r="V3453" s="1" t="str">
        <f>_xlfn.XLOOKUP(C3453,Payers!$A$2:$A$9,Payers!$B$2:$B$9)</f>
        <v>Blue Horizon Commercial</v>
      </c>
      <c r="W3453" s="1" t="str">
        <f t="shared" si="215"/>
        <v>2026-03</v>
      </c>
    </row>
    <row r="3454" spans="1:23">
      <c r="A3454" s="1" t="s">
        <v>5690</v>
      </c>
      <c r="B3454" s="1" t="s">
        <v>5691</v>
      </c>
      <c r="C3454" s="1" t="s">
        <v>76</v>
      </c>
      <c r="D3454" s="1" t="s">
        <v>19</v>
      </c>
      <c r="E3454" s="1" t="s">
        <v>20</v>
      </c>
      <c r="F3454">
        <v>1</v>
      </c>
      <c r="G3454" s="2">
        <v>46223</v>
      </c>
      <c r="H3454" s="2">
        <v>46224</v>
      </c>
      <c r="I3454">
        <v>146.07</v>
      </c>
      <c r="J3454">
        <v>58.76</v>
      </c>
      <c r="K3454">
        <v>52.88</v>
      </c>
      <c r="L3454">
        <v>5.88</v>
      </c>
      <c r="M3454" s="1" t="s">
        <v>21</v>
      </c>
      <c r="N3454" s="1" t="s">
        <v>22</v>
      </c>
      <c r="O3454" s="2">
        <v>46259</v>
      </c>
      <c r="P3454" s="2">
        <v>46259</v>
      </c>
      <c r="Q3454">
        <f>_xlfn.XLOOKUP(E3454,CPT!$A$2:$A$13,CPT!$D$2:$D$13)</f>
        <v>145</v>
      </c>
      <c r="R3454" s="1">
        <f>_xlfn.XLOOKUP(C3454,Contract!$A$2:$A$9,Contract!$B$2:$B$9)</f>
        <v>0.43</v>
      </c>
      <c r="S3454" s="1">
        <f t="shared" si="212"/>
        <v>62.35</v>
      </c>
      <c r="T3454" s="1">
        <f t="shared" si="213"/>
        <v>3.5900000000000034</v>
      </c>
      <c r="U3454" s="1" t="str">
        <f t="shared" si="214"/>
        <v>Underpaid</v>
      </c>
      <c r="V3454" s="1" t="str">
        <f>_xlfn.XLOOKUP(C3454,Payers!$A$2:$A$9,Payers!$B$2:$B$9)</f>
        <v>Summit Health Commercial</v>
      </c>
      <c r="W3454" s="1" t="str">
        <f t="shared" si="215"/>
        <v>2026-07</v>
      </c>
    </row>
    <row r="3455" spans="1:23">
      <c r="A3455" s="1" t="s">
        <v>5692</v>
      </c>
      <c r="B3455" s="1" t="s">
        <v>2106</v>
      </c>
      <c r="C3455" s="1" t="s">
        <v>18</v>
      </c>
      <c r="D3455" s="1" t="s">
        <v>37</v>
      </c>
      <c r="E3455" s="1" t="s">
        <v>57</v>
      </c>
      <c r="F3455">
        <v>1</v>
      </c>
      <c r="G3455" s="2">
        <v>46263</v>
      </c>
      <c r="H3455" s="2">
        <v>46275</v>
      </c>
      <c r="I3455">
        <v>214.09</v>
      </c>
      <c r="M3455" s="1" t="s">
        <v>69</v>
      </c>
      <c r="N3455" s="1" t="s">
        <v>22</v>
      </c>
      <c r="O3455" s="2"/>
      <c r="P3455" s="2"/>
      <c r="Q3455">
        <f>_xlfn.XLOOKUP(E3455,CPT!$A$2:$A$13,CPT!$D$2:$D$13)</f>
        <v>210</v>
      </c>
      <c r="R3455" s="1">
        <f>_xlfn.XLOOKUP(C3455,Contract!$A$2:$A$9,Contract!$B$2:$B$9)</f>
        <v>0.38</v>
      </c>
      <c r="S3455" s="1">
        <f t="shared" si="212"/>
        <v>79.8</v>
      </c>
      <c r="T3455" s="1" t="str">
        <f t="shared" si="213"/>
        <v/>
      </c>
      <c r="U3455" s="1" t="str">
        <f t="shared" si="214"/>
        <v/>
      </c>
      <c r="V3455" s="1" t="str">
        <f>_xlfn.XLOOKUP(C3455,Payers!$A$2:$A$9,Payers!$B$2:$B$9)</f>
        <v>Sunshine Medicare Advantage</v>
      </c>
      <c r="W3455" s="1" t="str">
        <f t="shared" si="215"/>
        <v>2026-08</v>
      </c>
    </row>
    <row r="3456" spans="1:23">
      <c r="A3456" s="1" t="s">
        <v>5693</v>
      </c>
      <c r="B3456" s="1" t="s">
        <v>837</v>
      </c>
      <c r="C3456" s="1" t="s">
        <v>76</v>
      </c>
      <c r="D3456" s="1" t="s">
        <v>19</v>
      </c>
      <c r="E3456" s="1" t="s">
        <v>57</v>
      </c>
      <c r="F3456">
        <v>1</v>
      </c>
      <c r="G3456" s="2">
        <v>46180</v>
      </c>
      <c r="H3456" s="2">
        <v>46181</v>
      </c>
      <c r="I3456">
        <v>205.47</v>
      </c>
      <c r="J3456">
        <v>95.25</v>
      </c>
      <c r="K3456">
        <v>95.25</v>
      </c>
      <c r="L3456">
        <v>0</v>
      </c>
      <c r="M3456" s="1" t="s">
        <v>21</v>
      </c>
      <c r="N3456" s="1" t="s">
        <v>22</v>
      </c>
      <c r="O3456" s="2">
        <v>46216</v>
      </c>
      <c r="P3456" s="2">
        <v>46216</v>
      </c>
      <c r="Q3456">
        <f>_xlfn.XLOOKUP(E3456,CPT!$A$2:$A$13,CPT!$D$2:$D$13)</f>
        <v>210</v>
      </c>
      <c r="R3456" s="1">
        <f>_xlfn.XLOOKUP(C3456,Contract!$A$2:$A$9,Contract!$B$2:$B$9)</f>
        <v>0.43</v>
      </c>
      <c r="S3456" s="1">
        <f t="shared" si="212"/>
        <v>90.3</v>
      </c>
      <c r="T3456" s="1">
        <f t="shared" si="213"/>
        <v>-4.9500000000000028</v>
      </c>
      <c r="U3456" s="1" t="str">
        <f t="shared" si="214"/>
        <v>OK</v>
      </c>
      <c r="V3456" s="1" t="str">
        <f>_xlfn.XLOOKUP(C3456,Payers!$A$2:$A$9,Payers!$B$2:$B$9)</f>
        <v>Summit Health Commercial</v>
      </c>
      <c r="W3456" s="1" t="str">
        <f t="shared" si="215"/>
        <v>2026-06</v>
      </c>
    </row>
    <row r="3457" spans="1:23">
      <c r="A3457" s="1" t="s">
        <v>5694</v>
      </c>
      <c r="B3457" s="1" t="s">
        <v>2076</v>
      </c>
      <c r="C3457" s="1" t="s">
        <v>76</v>
      </c>
      <c r="D3457" s="1" t="s">
        <v>37</v>
      </c>
      <c r="E3457" s="1" t="s">
        <v>38</v>
      </c>
      <c r="F3457">
        <v>10</v>
      </c>
      <c r="G3457" s="2">
        <v>46082</v>
      </c>
      <c r="H3457" s="2">
        <v>46087</v>
      </c>
      <c r="I3457">
        <v>14291.75</v>
      </c>
      <c r="J3457">
        <v>6323.71</v>
      </c>
      <c r="K3457">
        <v>5058.97</v>
      </c>
      <c r="L3457">
        <v>1264.74</v>
      </c>
      <c r="M3457" s="1" t="s">
        <v>21</v>
      </c>
      <c r="N3457" s="1" t="s">
        <v>22</v>
      </c>
      <c r="O3457" s="2">
        <v>46116</v>
      </c>
      <c r="P3457" s="2">
        <v>46116</v>
      </c>
      <c r="Q3457">
        <f>_xlfn.XLOOKUP(E3457,CPT!$A$2:$A$13,CPT!$D$2:$D$13)</f>
        <v>1450</v>
      </c>
      <c r="R3457" s="1">
        <f>_xlfn.XLOOKUP(C3457,Contract!$A$2:$A$9,Contract!$B$2:$B$9)</f>
        <v>0.43</v>
      </c>
      <c r="S3457" s="1">
        <f t="shared" si="212"/>
        <v>6235</v>
      </c>
      <c r="T3457" s="1">
        <f t="shared" si="213"/>
        <v>-88.710000000000036</v>
      </c>
      <c r="U3457" s="1" t="str">
        <f t="shared" si="214"/>
        <v>OK</v>
      </c>
      <c r="V3457" s="1" t="str">
        <f>_xlfn.XLOOKUP(C3457,Payers!$A$2:$A$9,Payers!$B$2:$B$9)</f>
        <v>Summit Health Commercial</v>
      </c>
      <c r="W3457" s="1" t="str">
        <f t="shared" si="215"/>
        <v>2026-03</v>
      </c>
    </row>
    <row r="3458" spans="1:23">
      <c r="A3458" s="1" t="s">
        <v>5695</v>
      </c>
      <c r="B3458" s="1" t="s">
        <v>5044</v>
      </c>
      <c r="C3458" s="1" t="s">
        <v>25</v>
      </c>
      <c r="D3458" s="1" t="s">
        <v>37</v>
      </c>
      <c r="E3458" s="1" t="s">
        <v>57</v>
      </c>
      <c r="F3458">
        <v>1</v>
      </c>
      <c r="G3458" s="2">
        <v>45951</v>
      </c>
      <c r="H3458" s="2">
        <v>45953</v>
      </c>
      <c r="I3458">
        <v>212.89</v>
      </c>
      <c r="J3458">
        <v>86.35</v>
      </c>
      <c r="K3458">
        <v>69.08</v>
      </c>
      <c r="L3458">
        <v>17.27</v>
      </c>
      <c r="M3458" s="1" t="s">
        <v>21</v>
      </c>
      <c r="N3458" s="1" t="s">
        <v>22</v>
      </c>
      <c r="O3458" s="2">
        <v>45970</v>
      </c>
      <c r="P3458" s="2">
        <v>45970</v>
      </c>
      <c r="Q3458">
        <f>_xlfn.XLOOKUP(E3458,CPT!$A$2:$A$13,CPT!$D$2:$D$13)</f>
        <v>210</v>
      </c>
      <c r="R3458" s="1">
        <f>_xlfn.XLOOKUP(C3458,Contract!$A$2:$A$9,Contract!$B$2:$B$9)</f>
        <v>0.36</v>
      </c>
      <c r="S3458" s="1">
        <f t="shared" ref="S3458:S3521" si="216">ROUND(Q3458*F3458*R3458,2)</f>
        <v>75.599999999999994</v>
      </c>
      <c r="T3458" s="1">
        <f t="shared" ref="T3458:T3521" si="217">IF(M3458="Paid",S3458-J3458,"")</f>
        <v>-10.75</v>
      </c>
      <c r="U3458" s="1" t="str">
        <f t="shared" ref="U3458:U3521" si="218">IF(M3458&lt;&gt;"Paid","",IF(T3458&gt;S3458*0.05,"Underpaid","OK"))</f>
        <v>OK</v>
      </c>
      <c r="V3458" s="1" t="str">
        <f>_xlfn.XLOOKUP(C3458,Payers!$A$2:$A$9,Payers!$B$2:$B$9)</f>
        <v>Medicare Part B</v>
      </c>
      <c r="W3458" s="1" t="str">
        <f t="shared" ref="W3458:W3521" si="219">TEXT(G3458,"yyyy-mm")</f>
        <v>2025-10</v>
      </c>
    </row>
    <row r="3459" spans="1:23">
      <c r="A3459" s="1" t="s">
        <v>5696</v>
      </c>
      <c r="B3459" s="1" t="s">
        <v>5697</v>
      </c>
      <c r="C3459" s="1" t="s">
        <v>60</v>
      </c>
      <c r="D3459" s="1" t="s">
        <v>19</v>
      </c>
      <c r="E3459" s="1" t="s">
        <v>88</v>
      </c>
      <c r="F3459">
        <v>1</v>
      </c>
      <c r="G3459" s="2">
        <v>45936</v>
      </c>
      <c r="H3459" s="2">
        <v>45938</v>
      </c>
      <c r="I3459">
        <v>262.92</v>
      </c>
      <c r="J3459">
        <v>101.78</v>
      </c>
      <c r="K3459">
        <v>81.42</v>
      </c>
      <c r="L3459">
        <v>20.36</v>
      </c>
      <c r="M3459" s="1" t="s">
        <v>21</v>
      </c>
      <c r="N3459" s="1" t="s">
        <v>22</v>
      </c>
      <c r="O3459" s="2">
        <v>45964</v>
      </c>
      <c r="P3459" s="2">
        <v>45964</v>
      </c>
      <c r="Q3459">
        <f>_xlfn.XLOOKUP(E3459,CPT!$A$2:$A$13,CPT!$D$2:$D$13)</f>
        <v>260</v>
      </c>
      <c r="R3459" s="1">
        <f>_xlfn.XLOOKUP(C3459,Contract!$A$2:$A$9,Contract!$B$2:$B$9)</f>
        <v>0.45</v>
      </c>
      <c r="S3459" s="1">
        <f t="shared" si="216"/>
        <v>117</v>
      </c>
      <c r="T3459" s="1">
        <f t="shared" si="217"/>
        <v>15.219999999999999</v>
      </c>
      <c r="U3459" s="1" t="str">
        <f t="shared" si="218"/>
        <v>Underpaid</v>
      </c>
      <c r="V3459" s="1" t="str">
        <f>_xlfn.XLOOKUP(C3459,Payers!$A$2:$A$9,Payers!$B$2:$B$9)</f>
        <v>Blue Horizon Commercial</v>
      </c>
      <c r="W3459" s="1" t="str">
        <f t="shared" si="219"/>
        <v>2025-10</v>
      </c>
    </row>
    <row r="3460" spans="1:23">
      <c r="A3460" s="1" t="s">
        <v>5698</v>
      </c>
      <c r="B3460" s="1" t="s">
        <v>4355</v>
      </c>
      <c r="C3460" s="1" t="s">
        <v>60</v>
      </c>
      <c r="D3460" s="1" t="s">
        <v>26</v>
      </c>
      <c r="E3460" s="1" t="s">
        <v>44</v>
      </c>
      <c r="F3460">
        <v>1</v>
      </c>
      <c r="G3460" s="2">
        <v>46233</v>
      </c>
      <c r="H3460" s="2">
        <v>46234</v>
      </c>
      <c r="I3460">
        <v>4800.3100000000004</v>
      </c>
      <c r="J3460">
        <v>2097.16</v>
      </c>
      <c r="K3460">
        <v>2097.16</v>
      </c>
      <c r="L3460">
        <v>0</v>
      </c>
      <c r="M3460" s="1" t="s">
        <v>21</v>
      </c>
      <c r="N3460" s="1" t="s">
        <v>22</v>
      </c>
      <c r="O3460" s="2">
        <v>46251</v>
      </c>
      <c r="P3460" s="2">
        <v>46251</v>
      </c>
      <c r="Q3460">
        <f>_xlfn.XLOOKUP(E3460,CPT!$A$2:$A$13,CPT!$D$2:$D$13)</f>
        <v>4800</v>
      </c>
      <c r="R3460" s="1">
        <f>_xlfn.XLOOKUP(C3460,Contract!$A$2:$A$9,Contract!$B$2:$B$9)</f>
        <v>0.45</v>
      </c>
      <c r="S3460" s="1">
        <f t="shared" si="216"/>
        <v>2160</v>
      </c>
      <c r="T3460" s="1">
        <f t="shared" si="217"/>
        <v>62.840000000000146</v>
      </c>
      <c r="U3460" s="1" t="str">
        <f t="shared" si="218"/>
        <v>OK</v>
      </c>
      <c r="V3460" s="1" t="str">
        <f>_xlfn.XLOOKUP(C3460,Payers!$A$2:$A$9,Payers!$B$2:$B$9)</f>
        <v>Blue Horizon Commercial</v>
      </c>
      <c r="W3460" s="1" t="str">
        <f t="shared" si="219"/>
        <v>2026-07</v>
      </c>
    </row>
    <row r="3461" spans="1:23">
      <c r="A3461" s="1" t="s">
        <v>5699</v>
      </c>
      <c r="B3461" s="1" t="s">
        <v>5700</v>
      </c>
      <c r="C3461" s="1" t="s">
        <v>25</v>
      </c>
      <c r="D3461" s="1" t="s">
        <v>26</v>
      </c>
      <c r="E3461" s="1" t="s">
        <v>41</v>
      </c>
      <c r="F3461">
        <v>1</v>
      </c>
      <c r="G3461" s="2">
        <v>46125</v>
      </c>
      <c r="H3461" s="2">
        <v>46130</v>
      </c>
      <c r="I3461">
        <v>38.229999999999997</v>
      </c>
      <c r="J3461">
        <v>13.18</v>
      </c>
      <c r="K3461">
        <v>13.18</v>
      </c>
      <c r="L3461">
        <v>0</v>
      </c>
      <c r="M3461" s="1" t="s">
        <v>21</v>
      </c>
      <c r="N3461" s="1" t="s">
        <v>22</v>
      </c>
      <c r="O3461" s="2">
        <v>46146</v>
      </c>
      <c r="P3461" s="2">
        <v>46146</v>
      </c>
      <c r="Q3461">
        <f>_xlfn.XLOOKUP(E3461,CPT!$A$2:$A$13,CPT!$D$2:$D$13)</f>
        <v>38</v>
      </c>
      <c r="R3461" s="1">
        <f>_xlfn.XLOOKUP(C3461,Contract!$A$2:$A$9,Contract!$B$2:$B$9)</f>
        <v>0.36</v>
      </c>
      <c r="S3461" s="1">
        <f t="shared" si="216"/>
        <v>13.68</v>
      </c>
      <c r="T3461" s="1">
        <f t="shared" si="217"/>
        <v>0.5</v>
      </c>
      <c r="U3461" s="1" t="str">
        <f t="shared" si="218"/>
        <v>OK</v>
      </c>
      <c r="V3461" s="1" t="str">
        <f>_xlfn.XLOOKUP(C3461,Payers!$A$2:$A$9,Payers!$B$2:$B$9)</f>
        <v>Medicare Part B</v>
      </c>
      <c r="W3461" s="1" t="str">
        <f t="shared" si="219"/>
        <v>2026-04</v>
      </c>
    </row>
    <row r="3462" spans="1:23">
      <c r="A3462" s="1" t="s">
        <v>5701</v>
      </c>
      <c r="B3462" s="1" t="s">
        <v>5702</v>
      </c>
      <c r="C3462" s="1" t="s">
        <v>47</v>
      </c>
      <c r="D3462" s="1" t="s">
        <v>26</v>
      </c>
      <c r="E3462" s="1" t="s">
        <v>185</v>
      </c>
      <c r="F3462">
        <v>1</v>
      </c>
      <c r="G3462" s="2">
        <v>46128</v>
      </c>
      <c r="H3462" s="2">
        <v>46130</v>
      </c>
      <c r="I3462">
        <v>1184.18</v>
      </c>
      <c r="M3462" s="1" t="s">
        <v>32</v>
      </c>
      <c r="N3462" s="1" t="s">
        <v>315</v>
      </c>
      <c r="O3462" s="2">
        <v>46182</v>
      </c>
      <c r="P3462" s="2"/>
      <c r="Q3462">
        <f>_xlfn.XLOOKUP(E3462,CPT!$A$2:$A$13,CPT!$D$2:$D$13)</f>
        <v>1150</v>
      </c>
      <c r="R3462" s="1">
        <f>_xlfn.XLOOKUP(C3462,Contract!$A$2:$A$9,Contract!$B$2:$B$9)</f>
        <v>0.28000000000000003</v>
      </c>
      <c r="S3462" s="1">
        <f t="shared" si="216"/>
        <v>322</v>
      </c>
      <c r="T3462" s="1" t="str">
        <f t="shared" si="217"/>
        <v/>
      </c>
      <c r="U3462" s="1" t="str">
        <f t="shared" si="218"/>
        <v/>
      </c>
      <c r="V3462" s="1" t="str">
        <f>_xlfn.XLOOKUP(C3462,Payers!$A$2:$A$9,Payers!$B$2:$B$9)</f>
        <v>Coastal Medicaid MCO</v>
      </c>
      <c r="W3462" s="1" t="str">
        <f t="shared" si="219"/>
        <v>2026-04</v>
      </c>
    </row>
    <row r="3463" spans="1:23">
      <c r="A3463" s="1" t="s">
        <v>5703</v>
      </c>
      <c r="B3463" s="1" t="s">
        <v>5704</v>
      </c>
      <c r="C3463" s="1" t="s">
        <v>18</v>
      </c>
      <c r="D3463" s="1" t="s">
        <v>19</v>
      </c>
      <c r="E3463" s="1" t="s">
        <v>57</v>
      </c>
      <c r="F3463">
        <v>1</v>
      </c>
      <c r="G3463" s="2">
        <v>46013</v>
      </c>
      <c r="H3463" s="2">
        <v>46025</v>
      </c>
      <c r="I3463">
        <v>213.61</v>
      </c>
      <c r="J3463">
        <v>92.58</v>
      </c>
      <c r="K3463">
        <v>83.32</v>
      </c>
      <c r="L3463">
        <v>9.26</v>
      </c>
      <c r="M3463" s="1" t="s">
        <v>21</v>
      </c>
      <c r="N3463" s="1" t="s">
        <v>22</v>
      </c>
      <c r="O3463" s="2">
        <v>46080</v>
      </c>
      <c r="P3463" s="2">
        <v>46080</v>
      </c>
      <c r="Q3463">
        <f>_xlfn.XLOOKUP(E3463,CPT!$A$2:$A$13,CPT!$D$2:$D$13)</f>
        <v>210</v>
      </c>
      <c r="R3463" s="1">
        <f>_xlfn.XLOOKUP(C3463,Contract!$A$2:$A$9,Contract!$B$2:$B$9)</f>
        <v>0.38</v>
      </c>
      <c r="S3463" s="1">
        <f t="shared" si="216"/>
        <v>79.8</v>
      </c>
      <c r="T3463" s="1">
        <f t="shared" si="217"/>
        <v>-12.780000000000001</v>
      </c>
      <c r="U3463" s="1" t="str">
        <f t="shared" si="218"/>
        <v>OK</v>
      </c>
      <c r="V3463" s="1" t="str">
        <f>_xlfn.XLOOKUP(C3463,Payers!$A$2:$A$9,Payers!$B$2:$B$9)</f>
        <v>Sunshine Medicare Advantage</v>
      </c>
      <c r="W3463" s="1" t="str">
        <f t="shared" si="219"/>
        <v>2025-12</v>
      </c>
    </row>
    <row r="3464" spans="1:23">
      <c r="A3464" s="1" t="s">
        <v>5705</v>
      </c>
      <c r="B3464" s="1" t="s">
        <v>3575</v>
      </c>
      <c r="C3464" s="1" t="s">
        <v>25</v>
      </c>
      <c r="D3464" s="1" t="s">
        <v>26</v>
      </c>
      <c r="E3464" s="1" t="s">
        <v>88</v>
      </c>
      <c r="F3464">
        <v>1</v>
      </c>
      <c r="G3464" s="2">
        <v>46254</v>
      </c>
      <c r="H3464" s="2">
        <v>46257</v>
      </c>
      <c r="I3464">
        <v>261</v>
      </c>
      <c r="J3464">
        <v>82.84</v>
      </c>
      <c r="K3464">
        <v>82.84</v>
      </c>
      <c r="L3464">
        <v>0</v>
      </c>
      <c r="M3464" s="1" t="s">
        <v>21</v>
      </c>
      <c r="N3464" s="1" t="s">
        <v>22</v>
      </c>
      <c r="O3464" s="2">
        <v>46281</v>
      </c>
      <c r="P3464" s="2">
        <v>46281</v>
      </c>
      <c r="Q3464">
        <f>_xlfn.XLOOKUP(E3464,CPT!$A$2:$A$13,CPT!$D$2:$D$13)</f>
        <v>260</v>
      </c>
      <c r="R3464" s="1">
        <f>_xlfn.XLOOKUP(C3464,Contract!$A$2:$A$9,Contract!$B$2:$B$9)</f>
        <v>0.36</v>
      </c>
      <c r="S3464" s="1">
        <f t="shared" si="216"/>
        <v>93.6</v>
      </c>
      <c r="T3464" s="1">
        <f t="shared" si="217"/>
        <v>10.759999999999991</v>
      </c>
      <c r="U3464" s="1" t="str">
        <f t="shared" si="218"/>
        <v>Underpaid</v>
      </c>
      <c r="V3464" s="1" t="str">
        <f>_xlfn.XLOOKUP(C3464,Payers!$A$2:$A$9,Payers!$B$2:$B$9)</f>
        <v>Medicare Part B</v>
      </c>
      <c r="W3464" s="1" t="str">
        <f t="shared" si="219"/>
        <v>2026-08</v>
      </c>
    </row>
    <row r="3465" spans="1:23">
      <c r="A3465" s="1" t="s">
        <v>5706</v>
      </c>
      <c r="B3465" s="1" t="s">
        <v>5707</v>
      </c>
      <c r="C3465" s="1" t="s">
        <v>60</v>
      </c>
      <c r="D3465" s="1" t="s">
        <v>26</v>
      </c>
      <c r="E3465" s="1" t="s">
        <v>113</v>
      </c>
      <c r="F3465">
        <v>1</v>
      </c>
      <c r="G3465" s="2">
        <v>46148</v>
      </c>
      <c r="H3465" s="2">
        <v>46150</v>
      </c>
      <c r="I3465">
        <v>1020.82</v>
      </c>
      <c r="J3465">
        <v>522.79</v>
      </c>
      <c r="K3465">
        <v>522.79</v>
      </c>
      <c r="L3465">
        <v>0</v>
      </c>
      <c r="M3465" s="1" t="s">
        <v>21</v>
      </c>
      <c r="N3465" s="1" t="s">
        <v>22</v>
      </c>
      <c r="O3465" s="2">
        <v>46171</v>
      </c>
      <c r="P3465" s="2">
        <v>46171</v>
      </c>
      <c r="Q3465">
        <f>_xlfn.XLOOKUP(E3465,CPT!$A$2:$A$13,CPT!$D$2:$D$13)</f>
        <v>1050</v>
      </c>
      <c r="R3465" s="1">
        <f>_xlfn.XLOOKUP(C3465,Contract!$A$2:$A$9,Contract!$B$2:$B$9)</f>
        <v>0.45</v>
      </c>
      <c r="S3465" s="1">
        <f t="shared" si="216"/>
        <v>472.5</v>
      </c>
      <c r="T3465" s="1">
        <f t="shared" si="217"/>
        <v>-50.289999999999964</v>
      </c>
      <c r="U3465" s="1" t="str">
        <f t="shared" si="218"/>
        <v>OK</v>
      </c>
      <c r="V3465" s="1" t="str">
        <f>_xlfn.XLOOKUP(C3465,Payers!$A$2:$A$9,Payers!$B$2:$B$9)</f>
        <v>Blue Horizon Commercial</v>
      </c>
      <c r="W3465" s="1" t="str">
        <f t="shared" si="219"/>
        <v>2026-05</v>
      </c>
    </row>
    <row r="3466" spans="1:23">
      <c r="A3466" s="1" t="s">
        <v>5708</v>
      </c>
      <c r="B3466" s="1" t="s">
        <v>1031</v>
      </c>
      <c r="C3466" s="1" t="s">
        <v>52</v>
      </c>
      <c r="D3466" s="1" t="s">
        <v>30</v>
      </c>
      <c r="E3466" s="1" t="s">
        <v>91</v>
      </c>
      <c r="F3466">
        <v>1</v>
      </c>
      <c r="G3466" s="2">
        <v>46144</v>
      </c>
      <c r="H3466" s="2">
        <v>46146</v>
      </c>
      <c r="I3466">
        <v>56.39</v>
      </c>
      <c r="J3466">
        <v>26.07</v>
      </c>
      <c r="K3466">
        <v>26.07</v>
      </c>
      <c r="L3466">
        <v>0</v>
      </c>
      <c r="M3466" s="1" t="s">
        <v>21</v>
      </c>
      <c r="N3466" s="1" t="s">
        <v>22</v>
      </c>
      <c r="O3466" s="2">
        <v>46188</v>
      </c>
      <c r="P3466" s="2">
        <v>46188</v>
      </c>
      <c r="Q3466">
        <f>_xlfn.XLOOKUP(E3466,CPT!$A$2:$A$13,CPT!$D$2:$D$13)</f>
        <v>58</v>
      </c>
      <c r="R3466" s="1">
        <f>_xlfn.XLOOKUP(C3466,Contract!$A$2:$A$9,Contract!$B$2:$B$9)</f>
        <v>0.47</v>
      </c>
      <c r="S3466" s="1">
        <f t="shared" si="216"/>
        <v>27.26</v>
      </c>
      <c r="T3466" s="1">
        <f t="shared" si="217"/>
        <v>1.1900000000000013</v>
      </c>
      <c r="U3466" s="1" t="str">
        <f t="shared" si="218"/>
        <v>OK</v>
      </c>
      <c r="V3466" s="1" t="str">
        <f>_xlfn.XLOOKUP(C3466,Payers!$A$2:$A$9,Payers!$B$2:$B$9)</f>
        <v>Keystone Commercial PPO</v>
      </c>
      <c r="W3466" s="1" t="str">
        <f t="shared" si="219"/>
        <v>2026-05</v>
      </c>
    </row>
    <row r="3467" spans="1:23">
      <c r="A3467" s="1" t="s">
        <v>5709</v>
      </c>
      <c r="B3467" s="1" t="s">
        <v>5710</v>
      </c>
      <c r="C3467" s="1" t="s">
        <v>18</v>
      </c>
      <c r="D3467" s="1" t="s">
        <v>30</v>
      </c>
      <c r="E3467" s="1" t="s">
        <v>91</v>
      </c>
      <c r="F3467">
        <v>4</v>
      </c>
      <c r="G3467" s="2">
        <v>46077</v>
      </c>
      <c r="H3467" s="2">
        <v>46079</v>
      </c>
      <c r="I3467">
        <v>238.77</v>
      </c>
      <c r="J3467">
        <v>99.8</v>
      </c>
      <c r="K3467">
        <v>99.8</v>
      </c>
      <c r="L3467">
        <v>0</v>
      </c>
      <c r="M3467" s="1" t="s">
        <v>21</v>
      </c>
      <c r="N3467" s="1" t="s">
        <v>22</v>
      </c>
      <c r="O3467" s="2">
        <v>46145</v>
      </c>
      <c r="P3467" s="2">
        <v>46145</v>
      </c>
      <c r="Q3467">
        <f>_xlfn.XLOOKUP(E3467,CPT!$A$2:$A$13,CPT!$D$2:$D$13)</f>
        <v>58</v>
      </c>
      <c r="R3467" s="1">
        <f>_xlfn.XLOOKUP(C3467,Contract!$A$2:$A$9,Contract!$B$2:$B$9)</f>
        <v>0.38</v>
      </c>
      <c r="S3467" s="1">
        <f t="shared" si="216"/>
        <v>88.16</v>
      </c>
      <c r="T3467" s="1">
        <f t="shared" si="217"/>
        <v>-11.64</v>
      </c>
      <c r="U3467" s="1" t="str">
        <f t="shared" si="218"/>
        <v>OK</v>
      </c>
      <c r="V3467" s="1" t="str">
        <f>_xlfn.XLOOKUP(C3467,Payers!$A$2:$A$9,Payers!$B$2:$B$9)</f>
        <v>Sunshine Medicare Advantage</v>
      </c>
      <c r="W3467" s="1" t="str">
        <f t="shared" si="219"/>
        <v>2026-02</v>
      </c>
    </row>
    <row r="3468" spans="1:23">
      <c r="A3468" s="1" t="s">
        <v>5711</v>
      </c>
      <c r="B3468" s="1" t="s">
        <v>1487</v>
      </c>
      <c r="C3468" s="1" t="s">
        <v>36</v>
      </c>
      <c r="D3468" s="1" t="s">
        <v>26</v>
      </c>
      <c r="E3468" s="1" t="s">
        <v>41</v>
      </c>
      <c r="F3468">
        <v>1</v>
      </c>
      <c r="G3468" s="2">
        <v>46216</v>
      </c>
      <c r="H3468" s="2">
        <v>46220</v>
      </c>
      <c r="I3468">
        <v>36.96</v>
      </c>
      <c r="J3468">
        <v>9.76</v>
      </c>
      <c r="K3468">
        <v>9.76</v>
      </c>
      <c r="L3468">
        <v>0</v>
      </c>
      <c r="M3468" s="1" t="s">
        <v>21</v>
      </c>
      <c r="N3468" s="1" t="s">
        <v>22</v>
      </c>
      <c r="O3468" s="2">
        <v>46267</v>
      </c>
      <c r="P3468" s="2">
        <v>46267</v>
      </c>
      <c r="Q3468">
        <f>_xlfn.XLOOKUP(E3468,CPT!$A$2:$A$13,CPT!$D$2:$D$13)</f>
        <v>38</v>
      </c>
      <c r="R3468" s="1">
        <f>_xlfn.XLOOKUP(C3468,Contract!$A$2:$A$9,Contract!$B$2:$B$9)</f>
        <v>0.27</v>
      </c>
      <c r="S3468" s="1">
        <f t="shared" si="216"/>
        <v>10.26</v>
      </c>
      <c r="T3468" s="1">
        <f t="shared" si="217"/>
        <v>0.5</v>
      </c>
      <c r="U3468" s="1" t="str">
        <f t="shared" si="218"/>
        <v>OK</v>
      </c>
      <c r="V3468" s="1" t="str">
        <f>_xlfn.XLOOKUP(C3468,Payers!$A$2:$A$9,Payers!$B$2:$B$9)</f>
        <v>Florida Medicaid</v>
      </c>
      <c r="W3468" s="1" t="str">
        <f t="shared" si="219"/>
        <v>2026-07</v>
      </c>
    </row>
    <row r="3469" spans="1:23">
      <c r="A3469" s="1" t="s">
        <v>5712</v>
      </c>
      <c r="B3469" s="1" t="s">
        <v>1137</v>
      </c>
      <c r="C3469" s="1" t="s">
        <v>47</v>
      </c>
      <c r="D3469" s="1" t="s">
        <v>26</v>
      </c>
      <c r="E3469" s="1" t="s">
        <v>113</v>
      </c>
      <c r="F3469">
        <v>1</v>
      </c>
      <c r="G3469" s="2">
        <v>46015</v>
      </c>
      <c r="H3469" s="2">
        <v>46016</v>
      </c>
      <c r="I3469">
        <v>1038.18</v>
      </c>
      <c r="J3469">
        <v>282.16000000000003</v>
      </c>
      <c r="K3469">
        <v>225.73</v>
      </c>
      <c r="L3469">
        <v>56.43</v>
      </c>
      <c r="M3469" s="1" t="s">
        <v>21</v>
      </c>
      <c r="N3469" s="1" t="s">
        <v>22</v>
      </c>
      <c r="O3469" s="2">
        <v>46078</v>
      </c>
      <c r="P3469" s="2">
        <v>46078</v>
      </c>
      <c r="Q3469">
        <f>_xlfn.XLOOKUP(E3469,CPT!$A$2:$A$13,CPT!$D$2:$D$13)</f>
        <v>1050</v>
      </c>
      <c r="R3469" s="1">
        <f>_xlfn.XLOOKUP(C3469,Contract!$A$2:$A$9,Contract!$B$2:$B$9)</f>
        <v>0.28000000000000003</v>
      </c>
      <c r="S3469" s="1">
        <f t="shared" si="216"/>
        <v>294</v>
      </c>
      <c r="T3469" s="1">
        <f t="shared" si="217"/>
        <v>11.839999999999975</v>
      </c>
      <c r="U3469" s="1" t="str">
        <f t="shared" si="218"/>
        <v>OK</v>
      </c>
      <c r="V3469" s="1" t="str">
        <f>_xlfn.XLOOKUP(C3469,Payers!$A$2:$A$9,Payers!$B$2:$B$9)</f>
        <v>Coastal Medicaid MCO</v>
      </c>
      <c r="W3469" s="1" t="str">
        <f t="shared" si="219"/>
        <v>2025-12</v>
      </c>
    </row>
    <row r="3470" spans="1:23">
      <c r="A3470" s="1" t="s">
        <v>5713</v>
      </c>
      <c r="B3470" s="1" t="s">
        <v>2122</v>
      </c>
      <c r="C3470" s="1" t="s">
        <v>76</v>
      </c>
      <c r="D3470" s="1" t="s">
        <v>37</v>
      </c>
      <c r="E3470" s="1" t="s">
        <v>38</v>
      </c>
      <c r="F3470">
        <v>20</v>
      </c>
      <c r="G3470" s="2">
        <v>46064</v>
      </c>
      <c r="H3470" s="2">
        <v>46065</v>
      </c>
      <c r="I3470">
        <v>28135.919999999998</v>
      </c>
      <c r="J3470">
        <v>10869.32</v>
      </c>
      <c r="K3470">
        <v>9782.39</v>
      </c>
      <c r="L3470">
        <v>1086.93</v>
      </c>
      <c r="M3470" s="1" t="s">
        <v>21</v>
      </c>
      <c r="N3470" s="1" t="s">
        <v>22</v>
      </c>
      <c r="O3470" s="2">
        <v>46099</v>
      </c>
      <c r="P3470" s="2">
        <v>46099</v>
      </c>
      <c r="Q3470">
        <f>_xlfn.XLOOKUP(E3470,CPT!$A$2:$A$13,CPT!$D$2:$D$13)</f>
        <v>1450</v>
      </c>
      <c r="R3470" s="1">
        <f>_xlfn.XLOOKUP(C3470,Contract!$A$2:$A$9,Contract!$B$2:$B$9)</f>
        <v>0.43</v>
      </c>
      <c r="S3470" s="1">
        <f t="shared" si="216"/>
        <v>12470</v>
      </c>
      <c r="T3470" s="1">
        <f t="shared" si="217"/>
        <v>1600.6800000000003</v>
      </c>
      <c r="U3470" s="1" t="str">
        <f t="shared" si="218"/>
        <v>Underpaid</v>
      </c>
      <c r="V3470" s="1" t="str">
        <f>_xlfn.XLOOKUP(C3470,Payers!$A$2:$A$9,Payers!$B$2:$B$9)</f>
        <v>Summit Health Commercial</v>
      </c>
      <c r="W3470" s="1" t="str">
        <f t="shared" si="219"/>
        <v>2026-02</v>
      </c>
    </row>
    <row r="3471" spans="1:23">
      <c r="A3471" s="1" t="s">
        <v>5714</v>
      </c>
      <c r="B3471" s="1" t="s">
        <v>5715</v>
      </c>
      <c r="C3471" s="1" t="s">
        <v>60</v>
      </c>
      <c r="D3471" s="1" t="s">
        <v>19</v>
      </c>
      <c r="E3471" s="1" t="s">
        <v>57</v>
      </c>
      <c r="F3471">
        <v>1</v>
      </c>
      <c r="G3471" s="2">
        <v>46151</v>
      </c>
      <c r="H3471" s="2">
        <v>46159</v>
      </c>
      <c r="I3471">
        <v>212.77</v>
      </c>
      <c r="J3471">
        <v>88.47</v>
      </c>
      <c r="K3471">
        <v>88.47</v>
      </c>
      <c r="L3471">
        <v>0</v>
      </c>
      <c r="M3471" s="1" t="s">
        <v>21</v>
      </c>
      <c r="N3471" s="1" t="s">
        <v>22</v>
      </c>
      <c r="O3471" s="2">
        <v>46191</v>
      </c>
      <c r="P3471" s="2">
        <v>46191</v>
      </c>
      <c r="Q3471">
        <f>_xlfn.XLOOKUP(E3471,CPT!$A$2:$A$13,CPT!$D$2:$D$13)</f>
        <v>210</v>
      </c>
      <c r="R3471" s="1">
        <f>_xlfn.XLOOKUP(C3471,Contract!$A$2:$A$9,Contract!$B$2:$B$9)</f>
        <v>0.45</v>
      </c>
      <c r="S3471" s="1">
        <f t="shared" si="216"/>
        <v>94.5</v>
      </c>
      <c r="T3471" s="1">
        <f t="shared" si="217"/>
        <v>6.0300000000000011</v>
      </c>
      <c r="U3471" s="1" t="str">
        <f t="shared" si="218"/>
        <v>Underpaid</v>
      </c>
      <c r="V3471" s="1" t="str">
        <f>_xlfn.XLOOKUP(C3471,Payers!$A$2:$A$9,Payers!$B$2:$B$9)</f>
        <v>Blue Horizon Commercial</v>
      </c>
      <c r="W3471" s="1" t="str">
        <f t="shared" si="219"/>
        <v>2026-05</v>
      </c>
    </row>
    <row r="3472" spans="1:23">
      <c r="A3472" s="1" t="s">
        <v>5716</v>
      </c>
      <c r="B3472" s="1" t="s">
        <v>443</v>
      </c>
      <c r="C3472" s="1" t="s">
        <v>36</v>
      </c>
      <c r="D3472" s="1" t="s">
        <v>19</v>
      </c>
      <c r="E3472" s="1" t="s">
        <v>20</v>
      </c>
      <c r="F3472">
        <v>1</v>
      </c>
      <c r="G3472" s="2">
        <v>46225</v>
      </c>
      <c r="H3472" s="2">
        <v>46227</v>
      </c>
      <c r="I3472">
        <v>146.44999999999999</v>
      </c>
      <c r="M3472" s="1" t="s">
        <v>32</v>
      </c>
      <c r="N3472" s="1" t="s">
        <v>49</v>
      </c>
      <c r="O3472" s="2">
        <v>46275</v>
      </c>
      <c r="P3472" s="2"/>
      <c r="Q3472">
        <f>_xlfn.XLOOKUP(E3472,CPT!$A$2:$A$13,CPT!$D$2:$D$13)</f>
        <v>145</v>
      </c>
      <c r="R3472" s="1">
        <f>_xlfn.XLOOKUP(C3472,Contract!$A$2:$A$9,Contract!$B$2:$B$9)</f>
        <v>0.27</v>
      </c>
      <c r="S3472" s="1">
        <f t="shared" si="216"/>
        <v>39.15</v>
      </c>
      <c r="T3472" s="1" t="str">
        <f t="shared" si="217"/>
        <v/>
      </c>
      <c r="U3472" s="1" t="str">
        <f t="shared" si="218"/>
        <v/>
      </c>
      <c r="V3472" s="1" t="str">
        <f>_xlfn.XLOOKUP(C3472,Payers!$A$2:$A$9,Payers!$B$2:$B$9)</f>
        <v>Florida Medicaid</v>
      </c>
      <c r="W3472" s="1" t="str">
        <f t="shared" si="219"/>
        <v>2026-07</v>
      </c>
    </row>
    <row r="3473" spans="1:23">
      <c r="A3473" s="1" t="s">
        <v>5717</v>
      </c>
      <c r="B3473" s="1" t="s">
        <v>1463</v>
      </c>
      <c r="C3473" s="1" t="s">
        <v>52</v>
      </c>
      <c r="D3473" s="1" t="s">
        <v>19</v>
      </c>
      <c r="E3473" s="1" t="s">
        <v>20</v>
      </c>
      <c r="F3473">
        <v>1</v>
      </c>
      <c r="G3473" s="2">
        <v>46071</v>
      </c>
      <c r="H3473" s="2">
        <v>46074</v>
      </c>
      <c r="I3473">
        <v>146.28</v>
      </c>
      <c r="M3473" s="1" t="s">
        <v>32</v>
      </c>
      <c r="N3473" s="1" t="s">
        <v>33</v>
      </c>
      <c r="O3473" s="2">
        <v>46131</v>
      </c>
      <c r="P3473" s="2"/>
      <c r="Q3473">
        <f>_xlfn.XLOOKUP(E3473,CPT!$A$2:$A$13,CPT!$D$2:$D$13)</f>
        <v>145</v>
      </c>
      <c r="R3473" s="1">
        <f>_xlfn.XLOOKUP(C3473,Contract!$A$2:$A$9,Contract!$B$2:$B$9)</f>
        <v>0.47</v>
      </c>
      <c r="S3473" s="1">
        <f t="shared" si="216"/>
        <v>68.150000000000006</v>
      </c>
      <c r="T3473" s="1" t="str">
        <f t="shared" si="217"/>
        <v/>
      </c>
      <c r="U3473" s="1" t="str">
        <f t="shared" si="218"/>
        <v/>
      </c>
      <c r="V3473" s="1" t="str">
        <f>_xlfn.XLOOKUP(C3473,Payers!$A$2:$A$9,Payers!$B$2:$B$9)</f>
        <v>Keystone Commercial PPO</v>
      </c>
      <c r="W3473" s="1" t="str">
        <f t="shared" si="219"/>
        <v>2026-02</v>
      </c>
    </row>
    <row r="3474" spans="1:23">
      <c r="A3474" s="1" t="s">
        <v>5718</v>
      </c>
      <c r="B3474" s="1" t="s">
        <v>4327</v>
      </c>
      <c r="C3474" s="1" t="s">
        <v>60</v>
      </c>
      <c r="D3474" s="1" t="s">
        <v>26</v>
      </c>
      <c r="E3474" s="1" t="s">
        <v>27</v>
      </c>
      <c r="F3474">
        <v>1</v>
      </c>
      <c r="G3474" s="2">
        <v>46202</v>
      </c>
      <c r="H3474" s="2">
        <v>46208</v>
      </c>
      <c r="I3474">
        <v>246.28</v>
      </c>
      <c r="J3474">
        <v>107.61</v>
      </c>
      <c r="K3474">
        <v>107.61</v>
      </c>
      <c r="L3474">
        <v>0</v>
      </c>
      <c r="M3474" s="1" t="s">
        <v>21</v>
      </c>
      <c r="N3474" s="1" t="s">
        <v>22</v>
      </c>
      <c r="O3474" s="2">
        <v>46239</v>
      </c>
      <c r="P3474" s="2">
        <v>46239</v>
      </c>
      <c r="Q3474">
        <f>_xlfn.XLOOKUP(E3474,CPT!$A$2:$A$13,CPT!$D$2:$D$13)</f>
        <v>240</v>
      </c>
      <c r="R3474" s="1">
        <f>_xlfn.XLOOKUP(C3474,Contract!$A$2:$A$9,Contract!$B$2:$B$9)</f>
        <v>0.45</v>
      </c>
      <c r="S3474" s="1">
        <f t="shared" si="216"/>
        <v>108</v>
      </c>
      <c r="T3474" s="1">
        <f t="shared" si="217"/>
        <v>0.39000000000000057</v>
      </c>
      <c r="U3474" s="1" t="str">
        <f t="shared" si="218"/>
        <v>OK</v>
      </c>
      <c r="V3474" s="1" t="str">
        <f>_xlfn.XLOOKUP(C3474,Payers!$A$2:$A$9,Payers!$B$2:$B$9)</f>
        <v>Blue Horizon Commercial</v>
      </c>
      <c r="W3474" s="1" t="str">
        <f t="shared" si="219"/>
        <v>2026-06</v>
      </c>
    </row>
    <row r="3475" spans="1:23">
      <c r="A3475" s="1" t="s">
        <v>5719</v>
      </c>
      <c r="B3475" s="1" t="s">
        <v>5650</v>
      </c>
      <c r="C3475" s="1" t="s">
        <v>47</v>
      </c>
      <c r="D3475" s="1" t="s">
        <v>26</v>
      </c>
      <c r="E3475" s="1" t="s">
        <v>113</v>
      </c>
      <c r="F3475">
        <v>1</v>
      </c>
      <c r="G3475" s="2">
        <v>46150</v>
      </c>
      <c r="H3475" s="2">
        <v>46153</v>
      </c>
      <c r="I3475">
        <v>1046.1500000000001</v>
      </c>
      <c r="J3475">
        <v>329.24</v>
      </c>
      <c r="K3475">
        <v>329.24</v>
      </c>
      <c r="L3475">
        <v>0</v>
      </c>
      <c r="M3475" s="1" t="s">
        <v>21</v>
      </c>
      <c r="N3475" s="1" t="s">
        <v>22</v>
      </c>
      <c r="O3475" s="2">
        <v>46225</v>
      </c>
      <c r="P3475" s="2">
        <v>46225</v>
      </c>
      <c r="Q3475">
        <f>_xlfn.XLOOKUP(E3475,CPT!$A$2:$A$13,CPT!$D$2:$D$13)</f>
        <v>1050</v>
      </c>
      <c r="R3475" s="1">
        <f>_xlfn.XLOOKUP(C3475,Contract!$A$2:$A$9,Contract!$B$2:$B$9)</f>
        <v>0.28000000000000003</v>
      </c>
      <c r="S3475" s="1">
        <f t="shared" si="216"/>
        <v>294</v>
      </c>
      <c r="T3475" s="1">
        <f t="shared" si="217"/>
        <v>-35.240000000000009</v>
      </c>
      <c r="U3475" s="1" t="str">
        <f t="shared" si="218"/>
        <v>OK</v>
      </c>
      <c r="V3475" s="1" t="str">
        <f>_xlfn.XLOOKUP(C3475,Payers!$A$2:$A$9,Payers!$B$2:$B$9)</f>
        <v>Coastal Medicaid MCO</v>
      </c>
      <c r="W3475" s="1" t="str">
        <f t="shared" si="219"/>
        <v>2026-05</v>
      </c>
    </row>
    <row r="3476" spans="1:23">
      <c r="A3476" s="1" t="s">
        <v>5720</v>
      </c>
      <c r="B3476" s="1" t="s">
        <v>1252</v>
      </c>
      <c r="C3476" s="1" t="s">
        <v>18</v>
      </c>
      <c r="D3476" s="1" t="s">
        <v>19</v>
      </c>
      <c r="E3476" s="1" t="s">
        <v>88</v>
      </c>
      <c r="F3476">
        <v>1</v>
      </c>
      <c r="G3476" s="2">
        <v>46206</v>
      </c>
      <c r="H3476" s="2">
        <v>46211</v>
      </c>
      <c r="I3476">
        <v>267.32</v>
      </c>
      <c r="J3476">
        <v>95.7</v>
      </c>
      <c r="K3476">
        <v>86.13</v>
      </c>
      <c r="L3476">
        <v>9.57</v>
      </c>
      <c r="M3476" s="1" t="s">
        <v>21</v>
      </c>
      <c r="N3476" s="1" t="s">
        <v>22</v>
      </c>
      <c r="O3476" s="2">
        <v>46246</v>
      </c>
      <c r="P3476" s="2">
        <v>46246</v>
      </c>
      <c r="Q3476">
        <f>_xlfn.XLOOKUP(E3476,CPT!$A$2:$A$13,CPT!$D$2:$D$13)</f>
        <v>260</v>
      </c>
      <c r="R3476" s="1">
        <f>_xlfn.XLOOKUP(C3476,Contract!$A$2:$A$9,Contract!$B$2:$B$9)</f>
        <v>0.38</v>
      </c>
      <c r="S3476" s="1">
        <f t="shared" si="216"/>
        <v>98.8</v>
      </c>
      <c r="T3476" s="1">
        <f t="shared" si="217"/>
        <v>3.0999999999999943</v>
      </c>
      <c r="U3476" s="1" t="str">
        <f t="shared" si="218"/>
        <v>OK</v>
      </c>
      <c r="V3476" s="1" t="str">
        <f>_xlfn.XLOOKUP(C3476,Payers!$A$2:$A$9,Payers!$B$2:$B$9)</f>
        <v>Sunshine Medicare Advantage</v>
      </c>
      <c r="W3476" s="1" t="str">
        <f t="shared" si="219"/>
        <v>2026-07</v>
      </c>
    </row>
    <row r="3477" spans="1:23">
      <c r="A3477" s="1" t="s">
        <v>5721</v>
      </c>
      <c r="B3477" s="1" t="s">
        <v>1478</v>
      </c>
      <c r="C3477" s="1" t="s">
        <v>36</v>
      </c>
      <c r="D3477" s="1" t="s">
        <v>19</v>
      </c>
      <c r="E3477" s="1" t="s">
        <v>57</v>
      </c>
      <c r="F3477">
        <v>1</v>
      </c>
      <c r="G3477" s="2">
        <v>46034</v>
      </c>
      <c r="H3477" s="2">
        <v>46036</v>
      </c>
      <c r="I3477">
        <v>208.96</v>
      </c>
      <c r="J3477">
        <v>50.4</v>
      </c>
      <c r="K3477">
        <v>40.32</v>
      </c>
      <c r="L3477">
        <v>10.08</v>
      </c>
      <c r="M3477" s="1" t="s">
        <v>21</v>
      </c>
      <c r="N3477" s="1" t="s">
        <v>22</v>
      </c>
      <c r="O3477" s="2">
        <v>46045</v>
      </c>
      <c r="P3477" s="2">
        <v>46045</v>
      </c>
      <c r="Q3477">
        <f>_xlfn.XLOOKUP(E3477,CPT!$A$2:$A$13,CPT!$D$2:$D$13)</f>
        <v>210</v>
      </c>
      <c r="R3477" s="1">
        <f>_xlfn.XLOOKUP(C3477,Contract!$A$2:$A$9,Contract!$B$2:$B$9)</f>
        <v>0.27</v>
      </c>
      <c r="S3477" s="1">
        <f t="shared" si="216"/>
        <v>56.7</v>
      </c>
      <c r="T3477" s="1">
        <f t="shared" si="217"/>
        <v>6.3000000000000043</v>
      </c>
      <c r="U3477" s="1" t="str">
        <f t="shared" si="218"/>
        <v>Underpaid</v>
      </c>
      <c r="V3477" s="1" t="str">
        <f>_xlfn.XLOOKUP(C3477,Payers!$A$2:$A$9,Payers!$B$2:$B$9)</f>
        <v>Florida Medicaid</v>
      </c>
      <c r="W3477" s="1" t="str">
        <f t="shared" si="219"/>
        <v>2026-01</v>
      </c>
    </row>
    <row r="3478" spans="1:23">
      <c r="A3478" s="1" t="s">
        <v>5722</v>
      </c>
      <c r="B3478" s="1" t="s">
        <v>5723</v>
      </c>
      <c r="C3478" s="1" t="s">
        <v>47</v>
      </c>
      <c r="D3478" s="1" t="s">
        <v>19</v>
      </c>
      <c r="E3478" s="1" t="s">
        <v>20</v>
      </c>
      <c r="F3478">
        <v>1</v>
      </c>
      <c r="G3478" s="2">
        <v>46100</v>
      </c>
      <c r="H3478" s="2">
        <v>46105</v>
      </c>
      <c r="I3478">
        <v>142.65</v>
      </c>
      <c r="J3478">
        <v>41.61</v>
      </c>
      <c r="K3478">
        <v>41.61</v>
      </c>
      <c r="L3478">
        <v>0</v>
      </c>
      <c r="M3478" s="1" t="s">
        <v>21</v>
      </c>
      <c r="N3478" s="1" t="s">
        <v>22</v>
      </c>
      <c r="O3478" s="2">
        <v>46168</v>
      </c>
      <c r="P3478" s="2">
        <v>46168</v>
      </c>
      <c r="Q3478">
        <f>_xlfn.XLOOKUP(E3478,CPT!$A$2:$A$13,CPT!$D$2:$D$13)</f>
        <v>145</v>
      </c>
      <c r="R3478" s="1">
        <f>_xlfn.XLOOKUP(C3478,Contract!$A$2:$A$9,Contract!$B$2:$B$9)</f>
        <v>0.28000000000000003</v>
      </c>
      <c r="S3478" s="1">
        <f t="shared" si="216"/>
        <v>40.6</v>
      </c>
      <c r="T3478" s="1">
        <f t="shared" si="217"/>
        <v>-1.009999999999998</v>
      </c>
      <c r="U3478" s="1" t="str">
        <f t="shared" si="218"/>
        <v>OK</v>
      </c>
      <c r="V3478" s="1" t="str">
        <f>_xlfn.XLOOKUP(C3478,Payers!$A$2:$A$9,Payers!$B$2:$B$9)</f>
        <v>Coastal Medicaid MCO</v>
      </c>
      <c r="W3478" s="1" t="str">
        <f t="shared" si="219"/>
        <v>2026-03</v>
      </c>
    </row>
    <row r="3479" spans="1:23">
      <c r="A3479" s="1" t="s">
        <v>5724</v>
      </c>
      <c r="B3479" s="1" t="s">
        <v>5725</v>
      </c>
      <c r="C3479" s="1" t="s">
        <v>47</v>
      </c>
      <c r="D3479" s="1" t="s">
        <v>19</v>
      </c>
      <c r="E3479" s="1" t="s">
        <v>57</v>
      </c>
      <c r="F3479">
        <v>1</v>
      </c>
      <c r="G3479" s="2">
        <v>46178</v>
      </c>
      <c r="H3479" s="2">
        <v>46179</v>
      </c>
      <c r="I3479">
        <v>209.37</v>
      </c>
      <c r="M3479" s="1" t="s">
        <v>32</v>
      </c>
      <c r="N3479" s="1" t="s">
        <v>33</v>
      </c>
      <c r="O3479" s="2">
        <v>46251</v>
      </c>
      <c r="P3479" s="2"/>
      <c r="Q3479">
        <f>_xlfn.XLOOKUP(E3479,CPT!$A$2:$A$13,CPT!$D$2:$D$13)</f>
        <v>210</v>
      </c>
      <c r="R3479" s="1">
        <f>_xlfn.XLOOKUP(C3479,Contract!$A$2:$A$9,Contract!$B$2:$B$9)</f>
        <v>0.28000000000000003</v>
      </c>
      <c r="S3479" s="1">
        <f t="shared" si="216"/>
        <v>58.8</v>
      </c>
      <c r="T3479" s="1" t="str">
        <f t="shared" si="217"/>
        <v/>
      </c>
      <c r="U3479" s="1" t="str">
        <f t="shared" si="218"/>
        <v/>
      </c>
      <c r="V3479" s="1" t="str">
        <f>_xlfn.XLOOKUP(C3479,Payers!$A$2:$A$9,Payers!$B$2:$B$9)</f>
        <v>Coastal Medicaid MCO</v>
      </c>
      <c r="W3479" s="1" t="str">
        <f t="shared" si="219"/>
        <v>2026-06</v>
      </c>
    </row>
    <row r="3480" spans="1:23">
      <c r="A3480" s="1" t="s">
        <v>5726</v>
      </c>
      <c r="B3480" s="1" t="s">
        <v>5727</v>
      </c>
      <c r="C3480" s="1" t="s">
        <v>36</v>
      </c>
      <c r="D3480" s="1" t="s">
        <v>26</v>
      </c>
      <c r="E3480" s="1" t="s">
        <v>185</v>
      </c>
      <c r="F3480">
        <v>1</v>
      </c>
      <c r="G3480" s="2">
        <v>46271</v>
      </c>
      <c r="H3480" s="2">
        <v>46277</v>
      </c>
      <c r="I3480">
        <v>1180.46</v>
      </c>
      <c r="M3480" s="1" t="s">
        <v>69</v>
      </c>
      <c r="N3480" s="1" t="s">
        <v>22</v>
      </c>
      <c r="O3480" s="2"/>
      <c r="P3480" s="2"/>
      <c r="Q3480">
        <f>_xlfn.XLOOKUP(E3480,CPT!$A$2:$A$13,CPT!$D$2:$D$13)</f>
        <v>1150</v>
      </c>
      <c r="R3480" s="1">
        <f>_xlfn.XLOOKUP(C3480,Contract!$A$2:$A$9,Contract!$B$2:$B$9)</f>
        <v>0.27</v>
      </c>
      <c r="S3480" s="1">
        <f t="shared" si="216"/>
        <v>310.5</v>
      </c>
      <c r="T3480" s="1" t="str">
        <f t="shared" si="217"/>
        <v/>
      </c>
      <c r="U3480" s="1" t="str">
        <f t="shared" si="218"/>
        <v/>
      </c>
      <c r="V3480" s="1" t="str">
        <f>_xlfn.XLOOKUP(C3480,Payers!$A$2:$A$9,Payers!$B$2:$B$9)</f>
        <v>Florida Medicaid</v>
      </c>
      <c r="W3480" s="1" t="str">
        <f t="shared" si="219"/>
        <v>2026-09</v>
      </c>
    </row>
    <row r="3481" spans="1:23">
      <c r="A3481" s="1" t="s">
        <v>5728</v>
      </c>
      <c r="B3481" s="1" t="s">
        <v>1739</v>
      </c>
      <c r="C3481" s="1" t="s">
        <v>60</v>
      </c>
      <c r="D3481" s="1" t="s">
        <v>26</v>
      </c>
      <c r="E3481" s="1" t="s">
        <v>113</v>
      </c>
      <c r="F3481">
        <v>1</v>
      </c>
      <c r="G3481" s="2">
        <v>45960</v>
      </c>
      <c r="H3481" s="2">
        <v>45969</v>
      </c>
      <c r="I3481">
        <v>1073.23</v>
      </c>
      <c r="J3481">
        <v>487.24</v>
      </c>
      <c r="K3481">
        <v>438.52</v>
      </c>
      <c r="L3481">
        <v>48.72</v>
      </c>
      <c r="M3481" s="1" t="s">
        <v>21</v>
      </c>
      <c r="N3481" s="1" t="s">
        <v>22</v>
      </c>
      <c r="O3481" s="2">
        <v>46003</v>
      </c>
      <c r="P3481" s="2">
        <v>46003</v>
      </c>
      <c r="Q3481">
        <f>_xlfn.XLOOKUP(E3481,CPT!$A$2:$A$13,CPT!$D$2:$D$13)</f>
        <v>1050</v>
      </c>
      <c r="R3481" s="1">
        <f>_xlfn.XLOOKUP(C3481,Contract!$A$2:$A$9,Contract!$B$2:$B$9)</f>
        <v>0.45</v>
      </c>
      <c r="S3481" s="1">
        <f t="shared" si="216"/>
        <v>472.5</v>
      </c>
      <c r="T3481" s="1">
        <f t="shared" si="217"/>
        <v>-14.740000000000009</v>
      </c>
      <c r="U3481" s="1" t="str">
        <f t="shared" si="218"/>
        <v>OK</v>
      </c>
      <c r="V3481" s="1" t="str">
        <f>_xlfn.XLOOKUP(C3481,Payers!$A$2:$A$9,Payers!$B$2:$B$9)</f>
        <v>Blue Horizon Commercial</v>
      </c>
      <c r="W3481" s="1" t="str">
        <f t="shared" si="219"/>
        <v>2025-10</v>
      </c>
    </row>
    <row r="3482" spans="1:23">
      <c r="A3482" s="1" t="s">
        <v>5729</v>
      </c>
      <c r="B3482" s="1" t="s">
        <v>5730</v>
      </c>
      <c r="C3482" s="1" t="s">
        <v>76</v>
      </c>
      <c r="D3482" s="1" t="s">
        <v>26</v>
      </c>
      <c r="E3482" s="1" t="s">
        <v>185</v>
      </c>
      <c r="F3482">
        <v>1</v>
      </c>
      <c r="G3482" s="2">
        <v>46273</v>
      </c>
      <c r="H3482" s="2">
        <v>46277</v>
      </c>
      <c r="I3482">
        <v>1177.19</v>
      </c>
      <c r="M3482" s="1" t="s">
        <v>69</v>
      </c>
      <c r="N3482" s="1" t="s">
        <v>22</v>
      </c>
      <c r="O3482" s="2"/>
      <c r="P3482" s="2"/>
      <c r="Q3482">
        <f>_xlfn.XLOOKUP(E3482,CPT!$A$2:$A$13,CPT!$D$2:$D$13)</f>
        <v>1150</v>
      </c>
      <c r="R3482" s="1">
        <f>_xlfn.XLOOKUP(C3482,Contract!$A$2:$A$9,Contract!$B$2:$B$9)</f>
        <v>0.43</v>
      </c>
      <c r="S3482" s="1">
        <f t="shared" si="216"/>
        <v>494.5</v>
      </c>
      <c r="T3482" s="1" t="str">
        <f t="shared" si="217"/>
        <v/>
      </c>
      <c r="U3482" s="1" t="str">
        <f t="shared" si="218"/>
        <v/>
      </c>
      <c r="V3482" s="1" t="str">
        <f>_xlfn.XLOOKUP(C3482,Payers!$A$2:$A$9,Payers!$B$2:$B$9)</f>
        <v>Summit Health Commercial</v>
      </c>
      <c r="W3482" s="1" t="str">
        <f t="shared" si="219"/>
        <v>2026-09</v>
      </c>
    </row>
    <row r="3483" spans="1:23">
      <c r="A3483" s="1" t="s">
        <v>5731</v>
      </c>
      <c r="B3483" s="1" t="s">
        <v>468</v>
      </c>
      <c r="C3483" s="1" t="s">
        <v>36</v>
      </c>
      <c r="D3483" s="1" t="s">
        <v>30</v>
      </c>
      <c r="E3483" s="1" t="s">
        <v>20</v>
      </c>
      <c r="F3483">
        <v>1</v>
      </c>
      <c r="G3483" s="2">
        <v>45942</v>
      </c>
      <c r="H3483" s="2">
        <v>46063</v>
      </c>
      <c r="I3483">
        <v>146.51</v>
      </c>
      <c r="M3483" s="1" t="s">
        <v>32</v>
      </c>
      <c r="N3483" s="1" t="s">
        <v>137</v>
      </c>
      <c r="O3483" s="2">
        <v>46103</v>
      </c>
      <c r="P3483" s="2"/>
      <c r="Q3483">
        <f>_xlfn.XLOOKUP(E3483,CPT!$A$2:$A$13,CPT!$D$2:$D$13)</f>
        <v>145</v>
      </c>
      <c r="R3483" s="1">
        <f>_xlfn.XLOOKUP(C3483,Contract!$A$2:$A$9,Contract!$B$2:$B$9)</f>
        <v>0.27</v>
      </c>
      <c r="S3483" s="1">
        <f t="shared" si="216"/>
        <v>39.15</v>
      </c>
      <c r="T3483" s="1" t="str">
        <f t="shared" si="217"/>
        <v/>
      </c>
      <c r="U3483" s="1" t="str">
        <f t="shared" si="218"/>
        <v/>
      </c>
      <c r="V3483" s="1" t="str">
        <f>_xlfn.XLOOKUP(C3483,Payers!$A$2:$A$9,Payers!$B$2:$B$9)</f>
        <v>Florida Medicaid</v>
      </c>
      <c r="W3483" s="1" t="str">
        <f t="shared" si="219"/>
        <v>2025-10</v>
      </c>
    </row>
    <row r="3484" spans="1:23">
      <c r="A3484" s="1" t="s">
        <v>5732</v>
      </c>
      <c r="B3484" s="1" t="s">
        <v>5733</v>
      </c>
      <c r="C3484" s="1" t="s">
        <v>76</v>
      </c>
      <c r="D3484" s="1" t="s">
        <v>19</v>
      </c>
      <c r="E3484" s="1" t="s">
        <v>88</v>
      </c>
      <c r="F3484">
        <v>1</v>
      </c>
      <c r="G3484" s="2">
        <v>46003</v>
      </c>
      <c r="H3484" s="2">
        <v>46021</v>
      </c>
      <c r="I3484">
        <v>258.60000000000002</v>
      </c>
      <c r="J3484">
        <v>98.29</v>
      </c>
      <c r="K3484">
        <v>98.29</v>
      </c>
      <c r="L3484">
        <v>0</v>
      </c>
      <c r="M3484" s="1" t="s">
        <v>21</v>
      </c>
      <c r="N3484" s="1" t="s">
        <v>22</v>
      </c>
      <c r="O3484" s="2">
        <v>46060</v>
      </c>
      <c r="P3484" s="2">
        <v>46060</v>
      </c>
      <c r="Q3484">
        <f>_xlfn.XLOOKUP(E3484,CPT!$A$2:$A$13,CPT!$D$2:$D$13)</f>
        <v>260</v>
      </c>
      <c r="R3484" s="1">
        <f>_xlfn.XLOOKUP(C3484,Contract!$A$2:$A$9,Contract!$B$2:$B$9)</f>
        <v>0.43</v>
      </c>
      <c r="S3484" s="1">
        <f t="shared" si="216"/>
        <v>111.8</v>
      </c>
      <c r="T3484" s="1">
        <f t="shared" si="217"/>
        <v>13.509999999999991</v>
      </c>
      <c r="U3484" s="1" t="str">
        <f t="shared" si="218"/>
        <v>Underpaid</v>
      </c>
      <c r="V3484" s="1" t="str">
        <f>_xlfn.XLOOKUP(C3484,Payers!$A$2:$A$9,Payers!$B$2:$B$9)</f>
        <v>Summit Health Commercial</v>
      </c>
      <c r="W3484" s="1" t="str">
        <f t="shared" si="219"/>
        <v>2025-12</v>
      </c>
    </row>
    <row r="3485" spans="1:23">
      <c r="A3485" s="1" t="s">
        <v>5734</v>
      </c>
      <c r="B3485" s="1" t="s">
        <v>3317</v>
      </c>
      <c r="C3485" s="1" t="s">
        <v>60</v>
      </c>
      <c r="D3485" s="1" t="s">
        <v>30</v>
      </c>
      <c r="E3485" s="1" t="s">
        <v>91</v>
      </c>
      <c r="F3485">
        <v>4</v>
      </c>
      <c r="G3485" s="2">
        <v>46212</v>
      </c>
      <c r="H3485" s="2">
        <v>46225</v>
      </c>
      <c r="I3485">
        <v>227.08</v>
      </c>
      <c r="J3485">
        <v>116.26</v>
      </c>
      <c r="K3485">
        <v>116.26</v>
      </c>
      <c r="L3485">
        <v>0</v>
      </c>
      <c r="M3485" s="1" t="s">
        <v>21</v>
      </c>
      <c r="N3485" s="1" t="s">
        <v>22</v>
      </c>
      <c r="O3485" s="2">
        <v>46245</v>
      </c>
      <c r="P3485" s="2">
        <v>46245</v>
      </c>
      <c r="Q3485">
        <f>_xlfn.XLOOKUP(E3485,CPT!$A$2:$A$13,CPT!$D$2:$D$13)</f>
        <v>58</v>
      </c>
      <c r="R3485" s="1">
        <f>_xlfn.XLOOKUP(C3485,Contract!$A$2:$A$9,Contract!$B$2:$B$9)</f>
        <v>0.45</v>
      </c>
      <c r="S3485" s="1">
        <f t="shared" si="216"/>
        <v>104.4</v>
      </c>
      <c r="T3485" s="1">
        <f t="shared" si="217"/>
        <v>-11.86</v>
      </c>
      <c r="U3485" s="1" t="str">
        <f t="shared" si="218"/>
        <v>OK</v>
      </c>
      <c r="V3485" s="1" t="str">
        <f>_xlfn.XLOOKUP(C3485,Payers!$A$2:$A$9,Payers!$B$2:$B$9)</f>
        <v>Blue Horizon Commercial</v>
      </c>
      <c r="W3485" s="1" t="str">
        <f t="shared" si="219"/>
        <v>2026-07</v>
      </c>
    </row>
    <row r="3486" spans="1:23">
      <c r="A3486" s="1" t="s">
        <v>5735</v>
      </c>
      <c r="B3486" s="1" t="s">
        <v>847</v>
      </c>
      <c r="C3486" s="1" t="s">
        <v>60</v>
      </c>
      <c r="D3486" s="1" t="s">
        <v>26</v>
      </c>
      <c r="E3486" s="1" t="s">
        <v>113</v>
      </c>
      <c r="F3486">
        <v>1</v>
      </c>
      <c r="G3486" s="2">
        <v>45961</v>
      </c>
      <c r="H3486" s="2">
        <v>45962</v>
      </c>
      <c r="I3486">
        <v>1051.8499999999999</v>
      </c>
      <c r="J3486">
        <v>470.4</v>
      </c>
      <c r="K3486">
        <v>470.4</v>
      </c>
      <c r="L3486">
        <v>0</v>
      </c>
      <c r="M3486" s="1" t="s">
        <v>21</v>
      </c>
      <c r="N3486" s="1" t="s">
        <v>22</v>
      </c>
      <c r="O3486" s="2">
        <v>45981</v>
      </c>
      <c r="P3486" s="2">
        <v>45981</v>
      </c>
      <c r="Q3486">
        <f>_xlfn.XLOOKUP(E3486,CPT!$A$2:$A$13,CPT!$D$2:$D$13)</f>
        <v>1050</v>
      </c>
      <c r="R3486" s="1">
        <f>_xlfn.XLOOKUP(C3486,Contract!$A$2:$A$9,Contract!$B$2:$B$9)</f>
        <v>0.45</v>
      </c>
      <c r="S3486" s="1">
        <f t="shared" si="216"/>
        <v>472.5</v>
      </c>
      <c r="T3486" s="1">
        <f t="shared" si="217"/>
        <v>2.1000000000000227</v>
      </c>
      <c r="U3486" s="1" t="str">
        <f t="shared" si="218"/>
        <v>OK</v>
      </c>
      <c r="V3486" s="1" t="str">
        <f>_xlfn.XLOOKUP(C3486,Payers!$A$2:$A$9,Payers!$B$2:$B$9)</f>
        <v>Blue Horizon Commercial</v>
      </c>
      <c r="W3486" s="1" t="str">
        <f t="shared" si="219"/>
        <v>2025-10</v>
      </c>
    </row>
    <row r="3487" spans="1:23">
      <c r="A3487" s="1" t="s">
        <v>5736</v>
      </c>
      <c r="B3487" s="1" t="s">
        <v>219</v>
      </c>
      <c r="C3487" s="1" t="s">
        <v>47</v>
      </c>
      <c r="D3487" s="1" t="s">
        <v>26</v>
      </c>
      <c r="E3487" s="1" t="s">
        <v>27</v>
      </c>
      <c r="F3487">
        <v>1</v>
      </c>
      <c r="G3487" s="2">
        <v>45963</v>
      </c>
      <c r="H3487" s="2">
        <v>45991</v>
      </c>
      <c r="I3487">
        <v>233.34</v>
      </c>
      <c r="J3487">
        <v>62.14</v>
      </c>
      <c r="K3487">
        <v>49.71</v>
      </c>
      <c r="L3487">
        <v>12.43</v>
      </c>
      <c r="M3487" s="1" t="s">
        <v>21</v>
      </c>
      <c r="N3487" s="1" t="s">
        <v>22</v>
      </c>
      <c r="O3487" s="2">
        <v>46036</v>
      </c>
      <c r="P3487" s="2">
        <v>46036</v>
      </c>
      <c r="Q3487">
        <f>_xlfn.XLOOKUP(E3487,CPT!$A$2:$A$13,CPT!$D$2:$D$13)</f>
        <v>240</v>
      </c>
      <c r="R3487" s="1">
        <f>_xlfn.XLOOKUP(C3487,Contract!$A$2:$A$9,Contract!$B$2:$B$9)</f>
        <v>0.28000000000000003</v>
      </c>
      <c r="S3487" s="1">
        <f t="shared" si="216"/>
        <v>67.2</v>
      </c>
      <c r="T3487" s="1">
        <f t="shared" si="217"/>
        <v>5.0600000000000023</v>
      </c>
      <c r="U3487" s="1" t="str">
        <f t="shared" si="218"/>
        <v>Underpaid</v>
      </c>
      <c r="V3487" s="1" t="str">
        <f>_xlfn.XLOOKUP(C3487,Payers!$A$2:$A$9,Payers!$B$2:$B$9)</f>
        <v>Coastal Medicaid MCO</v>
      </c>
      <c r="W3487" s="1" t="str">
        <f t="shared" si="219"/>
        <v>2025-11</v>
      </c>
    </row>
    <row r="3488" spans="1:23">
      <c r="A3488" s="1" t="s">
        <v>5737</v>
      </c>
      <c r="B3488" s="1" t="s">
        <v>1765</v>
      </c>
      <c r="C3488" s="1" t="s">
        <v>60</v>
      </c>
      <c r="D3488" s="1" t="s">
        <v>19</v>
      </c>
      <c r="E3488" s="1" t="s">
        <v>88</v>
      </c>
      <c r="F3488">
        <v>1</v>
      </c>
      <c r="G3488" s="2">
        <v>46204</v>
      </c>
      <c r="H3488" s="2">
        <v>46208</v>
      </c>
      <c r="I3488">
        <v>255.55</v>
      </c>
      <c r="J3488">
        <v>117.04</v>
      </c>
      <c r="K3488">
        <v>117.04</v>
      </c>
      <c r="L3488">
        <v>0</v>
      </c>
      <c r="M3488" s="1" t="s">
        <v>21</v>
      </c>
      <c r="N3488" s="1" t="s">
        <v>22</v>
      </c>
      <c r="O3488" s="2">
        <v>46243</v>
      </c>
      <c r="P3488" s="2">
        <v>46243</v>
      </c>
      <c r="Q3488">
        <f>_xlfn.XLOOKUP(E3488,CPT!$A$2:$A$13,CPT!$D$2:$D$13)</f>
        <v>260</v>
      </c>
      <c r="R3488" s="1">
        <f>_xlfn.XLOOKUP(C3488,Contract!$A$2:$A$9,Contract!$B$2:$B$9)</f>
        <v>0.45</v>
      </c>
      <c r="S3488" s="1">
        <f t="shared" si="216"/>
        <v>117</v>
      </c>
      <c r="T3488" s="1">
        <f t="shared" si="217"/>
        <v>-4.0000000000006253E-2</v>
      </c>
      <c r="U3488" s="1" t="str">
        <f t="shared" si="218"/>
        <v>OK</v>
      </c>
      <c r="V3488" s="1" t="str">
        <f>_xlfn.XLOOKUP(C3488,Payers!$A$2:$A$9,Payers!$B$2:$B$9)</f>
        <v>Blue Horizon Commercial</v>
      </c>
      <c r="W3488" s="1" t="str">
        <f t="shared" si="219"/>
        <v>2026-07</v>
      </c>
    </row>
    <row r="3489" spans="1:23">
      <c r="A3489" s="1" t="s">
        <v>5738</v>
      </c>
      <c r="B3489" s="1" t="s">
        <v>5739</v>
      </c>
      <c r="C3489" s="1" t="s">
        <v>52</v>
      </c>
      <c r="D3489" s="1" t="s">
        <v>26</v>
      </c>
      <c r="E3489" s="1" t="s">
        <v>57</v>
      </c>
      <c r="F3489">
        <v>1</v>
      </c>
      <c r="G3489" s="2">
        <v>46031</v>
      </c>
      <c r="H3489" s="2">
        <v>46036</v>
      </c>
      <c r="I3489">
        <v>204.38</v>
      </c>
      <c r="J3489">
        <v>109.29</v>
      </c>
      <c r="K3489">
        <v>109.29</v>
      </c>
      <c r="L3489">
        <v>0</v>
      </c>
      <c r="M3489" s="1" t="s">
        <v>21</v>
      </c>
      <c r="N3489" s="1" t="s">
        <v>22</v>
      </c>
      <c r="O3489" s="2">
        <v>46051</v>
      </c>
      <c r="P3489" s="2">
        <v>46051</v>
      </c>
      <c r="Q3489">
        <f>_xlfn.XLOOKUP(E3489,CPT!$A$2:$A$13,CPT!$D$2:$D$13)</f>
        <v>210</v>
      </c>
      <c r="R3489" s="1">
        <f>_xlfn.XLOOKUP(C3489,Contract!$A$2:$A$9,Contract!$B$2:$B$9)</f>
        <v>0.47</v>
      </c>
      <c r="S3489" s="1">
        <f t="shared" si="216"/>
        <v>98.7</v>
      </c>
      <c r="T3489" s="1">
        <f t="shared" si="217"/>
        <v>-10.590000000000003</v>
      </c>
      <c r="U3489" s="1" t="str">
        <f t="shared" si="218"/>
        <v>OK</v>
      </c>
      <c r="V3489" s="1" t="str">
        <f>_xlfn.XLOOKUP(C3489,Payers!$A$2:$A$9,Payers!$B$2:$B$9)</f>
        <v>Keystone Commercial PPO</v>
      </c>
      <c r="W3489" s="1" t="str">
        <f t="shared" si="219"/>
        <v>2026-01</v>
      </c>
    </row>
    <row r="3490" spans="1:23">
      <c r="A3490" s="1" t="s">
        <v>5740</v>
      </c>
      <c r="B3490" s="1" t="s">
        <v>780</v>
      </c>
      <c r="C3490" s="1" t="s">
        <v>60</v>
      </c>
      <c r="D3490" s="1" t="s">
        <v>26</v>
      </c>
      <c r="E3490" s="1" t="s">
        <v>27</v>
      </c>
      <c r="F3490">
        <v>1</v>
      </c>
      <c r="G3490" s="2">
        <v>46010</v>
      </c>
      <c r="H3490" s="2">
        <v>46011</v>
      </c>
      <c r="I3490">
        <v>233.18</v>
      </c>
      <c r="J3490">
        <v>112.73</v>
      </c>
      <c r="K3490">
        <v>112.73</v>
      </c>
      <c r="L3490">
        <v>0</v>
      </c>
      <c r="M3490" s="1" t="s">
        <v>21</v>
      </c>
      <c r="N3490" s="1" t="s">
        <v>22</v>
      </c>
      <c r="O3490" s="2">
        <v>46032</v>
      </c>
      <c r="P3490" s="2">
        <v>46032</v>
      </c>
      <c r="Q3490">
        <f>_xlfn.XLOOKUP(E3490,CPT!$A$2:$A$13,CPT!$D$2:$D$13)</f>
        <v>240</v>
      </c>
      <c r="R3490" s="1">
        <f>_xlfn.XLOOKUP(C3490,Contract!$A$2:$A$9,Contract!$B$2:$B$9)</f>
        <v>0.45</v>
      </c>
      <c r="S3490" s="1">
        <f t="shared" si="216"/>
        <v>108</v>
      </c>
      <c r="T3490" s="1">
        <f t="shared" si="217"/>
        <v>-4.730000000000004</v>
      </c>
      <c r="U3490" s="1" t="str">
        <f t="shared" si="218"/>
        <v>OK</v>
      </c>
      <c r="V3490" s="1" t="str">
        <f>_xlfn.XLOOKUP(C3490,Payers!$A$2:$A$9,Payers!$B$2:$B$9)</f>
        <v>Blue Horizon Commercial</v>
      </c>
      <c r="W3490" s="1" t="str">
        <f t="shared" si="219"/>
        <v>2025-12</v>
      </c>
    </row>
    <row r="3491" spans="1:23">
      <c r="A3491" s="1" t="s">
        <v>5741</v>
      </c>
      <c r="B3491" s="1" t="s">
        <v>3440</v>
      </c>
      <c r="C3491" s="1" t="s">
        <v>79</v>
      </c>
      <c r="D3491" s="1" t="s">
        <v>26</v>
      </c>
      <c r="E3491" s="1" t="s">
        <v>57</v>
      </c>
      <c r="F3491">
        <v>1</v>
      </c>
      <c r="G3491" s="2">
        <v>46076</v>
      </c>
      <c r="H3491" s="2">
        <v>46079</v>
      </c>
      <c r="I3491">
        <v>209.9</v>
      </c>
      <c r="J3491">
        <v>209.9</v>
      </c>
      <c r="K3491">
        <v>209.9</v>
      </c>
      <c r="L3491">
        <v>0</v>
      </c>
      <c r="M3491" s="1" t="s">
        <v>21</v>
      </c>
      <c r="N3491" s="1" t="s">
        <v>22</v>
      </c>
      <c r="O3491" s="2">
        <v>46168</v>
      </c>
      <c r="P3491" s="2">
        <v>46168</v>
      </c>
      <c r="Q3491">
        <f>_xlfn.XLOOKUP(E3491,CPT!$A$2:$A$13,CPT!$D$2:$D$13)</f>
        <v>210</v>
      </c>
      <c r="R3491" s="1">
        <f>_xlfn.XLOOKUP(C3491,Contract!$A$2:$A$9,Contract!$B$2:$B$9)</f>
        <v>1</v>
      </c>
      <c r="S3491" s="1">
        <f t="shared" si="216"/>
        <v>210</v>
      </c>
      <c r="T3491" s="1">
        <f t="shared" si="217"/>
        <v>9.9999999999994316E-2</v>
      </c>
      <c r="U3491" s="1" t="str">
        <f t="shared" si="218"/>
        <v>OK</v>
      </c>
      <c r="V3491" s="1" t="str">
        <f>_xlfn.XLOOKUP(C3491,Payers!$A$2:$A$9,Payers!$B$2:$B$9)</f>
        <v>Self-Pay</v>
      </c>
      <c r="W3491" s="1" t="str">
        <f t="shared" si="219"/>
        <v>2026-02</v>
      </c>
    </row>
    <row r="3492" spans="1:23">
      <c r="A3492" s="1" t="s">
        <v>5742</v>
      </c>
      <c r="B3492" s="1" t="s">
        <v>620</v>
      </c>
      <c r="C3492" s="1" t="s">
        <v>60</v>
      </c>
      <c r="D3492" s="1" t="s">
        <v>19</v>
      </c>
      <c r="E3492" s="1" t="s">
        <v>57</v>
      </c>
      <c r="F3492">
        <v>1</v>
      </c>
      <c r="G3492" s="2">
        <v>46017</v>
      </c>
      <c r="H3492" s="2">
        <v>46021</v>
      </c>
      <c r="I3492">
        <v>209.52</v>
      </c>
      <c r="J3492">
        <v>107.17</v>
      </c>
      <c r="K3492">
        <v>107.17</v>
      </c>
      <c r="L3492">
        <v>0</v>
      </c>
      <c r="M3492" s="1" t="s">
        <v>21</v>
      </c>
      <c r="N3492" s="1" t="s">
        <v>22</v>
      </c>
      <c r="O3492" s="2">
        <v>46057</v>
      </c>
      <c r="P3492" s="2">
        <v>46057</v>
      </c>
      <c r="Q3492">
        <f>_xlfn.XLOOKUP(E3492,CPT!$A$2:$A$13,CPT!$D$2:$D$13)</f>
        <v>210</v>
      </c>
      <c r="R3492" s="1">
        <f>_xlfn.XLOOKUP(C3492,Contract!$A$2:$A$9,Contract!$B$2:$B$9)</f>
        <v>0.45</v>
      </c>
      <c r="S3492" s="1">
        <f t="shared" si="216"/>
        <v>94.5</v>
      </c>
      <c r="T3492" s="1">
        <f t="shared" si="217"/>
        <v>-12.670000000000002</v>
      </c>
      <c r="U3492" s="1" t="str">
        <f t="shared" si="218"/>
        <v>OK</v>
      </c>
      <c r="V3492" s="1" t="str">
        <f>_xlfn.XLOOKUP(C3492,Payers!$A$2:$A$9,Payers!$B$2:$B$9)</f>
        <v>Blue Horizon Commercial</v>
      </c>
      <c r="W3492" s="1" t="str">
        <f t="shared" si="219"/>
        <v>2025-12</v>
      </c>
    </row>
    <row r="3493" spans="1:23">
      <c r="A3493" s="1" t="s">
        <v>5743</v>
      </c>
      <c r="B3493" s="1" t="s">
        <v>5744</v>
      </c>
      <c r="C3493" s="1" t="s">
        <v>18</v>
      </c>
      <c r="D3493" s="1" t="s">
        <v>26</v>
      </c>
      <c r="E3493" s="1" t="s">
        <v>113</v>
      </c>
      <c r="F3493">
        <v>1</v>
      </c>
      <c r="G3493" s="2">
        <v>46020</v>
      </c>
      <c r="H3493" s="2">
        <v>46022</v>
      </c>
      <c r="I3493">
        <v>1079.24</v>
      </c>
      <c r="M3493" s="1" t="s">
        <v>32</v>
      </c>
      <c r="N3493" s="1" t="s">
        <v>315</v>
      </c>
      <c r="O3493" s="2">
        <v>46096</v>
      </c>
      <c r="P3493" s="2"/>
      <c r="Q3493">
        <f>_xlfn.XLOOKUP(E3493,CPT!$A$2:$A$13,CPT!$D$2:$D$13)</f>
        <v>1050</v>
      </c>
      <c r="R3493" s="1">
        <f>_xlfn.XLOOKUP(C3493,Contract!$A$2:$A$9,Contract!$B$2:$B$9)</f>
        <v>0.38</v>
      </c>
      <c r="S3493" s="1">
        <f t="shared" si="216"/>
        <v>399</v>
      </c>
      <c r="T3493" s="1" t="str">
        <f t="shared" si="217"/>
        <v/>
      </c>
      <c r="U3493" s="1" t="str">
        <f t="shared" si="218"/>
        <v/>
      </c>
      <c r="V3493" s="1" t="str">
        <f>_xlfn.XLOOKUP(C3493,Payers!$A$2:$A$9,Payers!$B$2:$B$9)</f>
        <v>Sunshine Medicare Advantage</v>
      </c>
      <c r="W3493" s="1" t="str">
        <f t="shared" si="219"/>
        <v>2025-12</v>
      </c>
    </row>
    <row r="3494" spans="1:23">
      <c r="A3494" s="1" t="s">
        <v>5745</v>
      </c>
      <c r="B3494" s="1" t="s">
        <v>2251</v>
      </c>
      <c r="C3494" s="1" t="s">
        <v>25</v>
      </c>
      <c r="D3494" s="1" t="s">
        <v>19</v>
      </c>
      <c r="E3494" s="1" t="s">
        <v>57</v>
      </c>
      <c r="F3494">
        <v>1</v>
      </c>
      <c r="G3494" s="2">
        <v>46190</v>
      </c>
      <c r="H3494" s="2">
        <v>46197</v>
      </c>
      <c r="I3494">
        <v>210.47</v>
      </c>
      <c r="J3494">
        <v>70.31</v>
      </c>
      <c r="K3494">
        <v>70.31</v>
      </c>
      <c r="L3494">
        <v>0</v>
      </c>
      <c r="M3494" s="1" t="s">
        <v>21</v>
      </c>
      <c r="N3494" s="1" t="s">
        <v>22</v>
      </c>
      <c r="O3494" s="2">
        <v>46213</v>
      </c>
      <c r="P3494" s="2">
        <v>46213</v>
      </c>
      <c r="Q3494">
        <f>_xlfn.XLOOKUP(E3494,CPT!$A$2:$A$13,CPT!$D$2:$D$13)</f>
        <v>210</v>
      </c>
      <c r="R3494" s="1">
        <f>_xlfn.XLOOKUP(C3494,Contract!$A$2:$A$9,Contract!$B$2:$B$9)</f>
        <v>0.36</v>
      </c>
      <c r="S3494" s="1">
        <f t="shared" si="216"/>
        <v>75.599999999999994</v>
      </c>
      <c r="T3494" s="1">
        <f t="shared" si="217"/>
        <v>5.289999999999992</v>
      </c>
      <c r="U3494" s="1" t="str">
        <f t="shared" si="218"/>
        <v>Underpaid</v>
      </c>
      <c r="V3494" s="1" t="str">
        <f>_xlfn.XLOOKUP(C3494,Payers!$A$2:$A$9,Payers!$B$2:$B$9)</f>
        <v>Medicare Part B</v>
      </c>
      <c r="W3494" s="1" t="str">
        <f t="shared" si="219"/>
        <v>2026-06</v>
      </c>
    </row>
    <row r="3495" spans="1:23">
      <c r="A3495" s="1" t="s">
        <v>5746</v>
      </c>
      <c r="B3495" s="1" t="s">
        <v>4538</v>
      </c>
      <c r="C3495" s="1" t="s">
        <v>60</v>
      </c>
      <c r="D3495" s="1" t="s">
        <v>30</v>
      </c>
      <c r="E3495" s="1" t="s">
        <v>91</v>
      </c>
      <c r="F3495">
        <v>3</v>
      </c>
      <c r="G3495" s="2">
        <v>46141</v>
      </c>
      <c r="H3495" s="2">
        <v>46143</v>
      </c>
      <c r="I3495">
        <v>177.51</v>
      </c>
      <c r="J3495">
        <v>83.32</v>
      </c>
      <c r="K3495">
        <v>74.989999999999995</v>
      </c>
      <c r="L3495">
        <v>8.33</v>
      </c>
      <c r="M3495" s="1" t="s">
        <v>21</v>
      </c>
      <c r="N3495" s="1" t="s">
        <v>22</v>
      </c>
      <c r="O3495" s="2">
        <v>46170</v>
      </c>
      <c r="P3495" s="2">
        <v>46170</v>
      </c>
      <c r="Q3495">
        <f>_xlfn.XLOOKUP(E3495,CPT!$A$2:$A$13,CPT!$D$2:$D$13)</f>
        <v>58</v>
      </c>
      <c r="R3495" s="1">
        <f>_xlfn.XLOOKUP(C3495,Contract!$A$2:$A$9,Contract!$B$2:$B$9)</f>
        <v>0.45</v>
      </c>
      <c r="S3495" s="1">
        <f t="shared" si="216"/>
        <v>78.3</v>
      </c>
      <c r="T3495" s="1">
        <f t="shared" si="217"/>
        <v>-5.019999999999996</v>
      </c>
      <c r="U3495" s="1" t="str">
        <f t="shared" si="218"/>
        <v>OK</v>
      </c>
      <c r="V3495" s="1" t="str">
        <f>_xlfn.XLOOKUP(C3495,Payers!$A$2:$A$9,Payers!$B$2:$B$9)</f>
        <v>Blue Horizon Commercial</v>
      </c>
      <c r="W3495" s="1" t="str">
        <f t="shared" si="219"/>
        <v>2026-04</v>
      </c>
    </row>
    <row r="3496" spans="1:23">
      <c r="A3496" s="1" t="s">
        <v>5747</v>
      </c>
      <c r="B3496" s="1" t="s">
        <v>5748</v>
      </c>
      <c r="C3496" s="1" t="s">
        <v>47</v>
      </c>
      <c r="D3496" s="1" t="s">
        <v>26</v>
      </c>
      <c r="E3496" s="1" t="s">
        <v>44</v>
      </c>
      <c r="F3496">
        <v>1</v>
      </c>
      <c r="G3496" s="2">
        <v>46209</v>
      </c>
      <c r="H3496" s="2">
        <v>46212</v>
      </c>
      <c r="I3496">
        <v>4726.2700000000004</v>
      </c>
      <c r="M3496" s="1" t="s">
        <v>32</v>
      </c>
      <c r="N3496" s="1" t="s">
        <v>168</v>
      </c>
      <c r="O3496" s="2">
        <v>46268</v>
      </c>
      <c r="P3496" s="2"/>
      <c r="Q3496">
        <f>_xlfn.XLOOKUP(E3496,CPT!$A$2:$A$13,CPT!$D$2:$D$13)</f>
        <v>4800</v>
      </c>
      <c r="R3496" s="1">
        <f>_xlfn.XLOOKUP(C3496,Contract!$A$2:$A$9,Contract!$B$2:$B$9)</f>
        <v>0.28000000000000003</v>
      </c>
      <c r="S3496" s="1">
        <f t="shared" si="216"/>
        <v>1344</v>
      </c>
      <c r="T3496" s="1" t="str">
        <f t="shared" si="217"/>
        <v/>
      </c>
      <c r="U3496" s="1" t="str">
        <f t="shared" si="218"/>
        <v/>
      </c>
      <c r="V3496" s="1" t="str">
        <f>_xlfn.XLOOKUP(C3496,Payers!$A$2:$A$9,Payers!$B$2:$B$9)</f>
        <v>Coastal Medicaid MCO</v>
      </c>
      <c r="W3496" s="1" t="str">
        <f t="shared" si="219"/>
        <v>2026-07</v>
      </c>
    </row>
    <row r="3497" spans="1:23">
      <c r="A3497" s="1" t="s">
        <v>5749</v>
      </c>
      <c r="B3497" s="1" t="s">
        <v>5750</v>
      </c>
      <c r="C3497" s="1" t="s">
        <v>60</v>
      </c>
      <c r="D3497" s="1" t="s">
        <v>19</v>
      </c>
      <c r="E3497" s="1" t="s">
        <v>57</v>
      </c>
      <c r="F3497">
        <v>1</v>
      </c>
      <c r="G3497" s="2">
        <v>45970</v>
      </c>
      <c r="H3497" s="2">
        <v>45976</v>
      </c>
      <c r="I3497">
        <v>213.7</v>
      </c>
      <c r="J3497">
        <v>102.35</v>
      </c>
      <c r="K3497">
        <v>102.35</v>
      </c>
      <c r="L3497">
        <v>0</v>
      </c>
      <c r="M3497" s="1" t="s">
        <v>21</v>
      </c>
      <c r="N3497" s="1" t="s">
        <v>22</v>
      </c>
      <c r="O3497" s="2">
        <v>46004</v>
      </c>
      <c r="P3497" s="2">
        <v>46004</v>
      </c>
      <c r="Q3497">
        <f>_xlfn.XLOOKUP(E3497,CPT!$A$2:$A$13,CPT!$D$2:$D$13)</f>
        <v>210</v>
      </c>
      <c r="R3497" s="1">
        <f>_xlfn.XLOOKUP(C3497,Contract!$A$2:$A$9,Contract!$B$2:$B$9)</f>
        <v>0.45</v>
      </c>
      <c r="S3497" s="1">
        <f t="shared" si="216"/>
        <v>94.5</v>
      </c>
      <c r="T3497" s="1">
        <f t="shared" si="217"/>
        <v>-7.8499999999999943</v>
      </c>
      <c r="U3497" s="1" t="str">
        <f t="shared" si="218"/>
        <v>OK</v>
      </c>
      <c r="V3497" s="1" t="str">
        <f>_xlfn.XLOOKUP(C3497,Payers!$A$2:$A$9,Payers!$B$2:$B$9)</f>
        <v>Blue Horizon Commercial</v>
      </c>
      <c r="W3497" s="1" t="str">
        <f t="shared" si="219"/>
        <v>2025-11</v>
      </c>
    </row>
    <row r="3498" spans="1:23">
      <c r="A3498" s="1" t="s">
        <v>5751</v>
      </c>
      <c r="B3498" s="1" t="s">
        <v>1221</v>
      </c>
      <c r="C3498" s="1" t="s">
        <v>60</v>
      </c>
      <c r="D3498" s="1" t="s">
        <v>26</v>
      </c>
      <c r="E3498" s="1" t="s">
        <v>57</v>
      </c>
      <c r="F3498">
        <v>1</v>
      </c>
      <c r="G3498" s="2">
        <v>46122</v>
      </c>
      <c r="H3498" s="2">
        <v>46126</v>
      </c>
      <c r="I3498">
        <v>212.18</v>
      </c>
      <c r="J3498">
        <v>84.06</v>
      </c>
      <c r="K3498">
        <v>84.06</v>
      </c>
      <c r="L3498">
        <v>0</v>
      </c>
      <c r="M3498" s="1" t="s">
        <v>21</v>
      </c>
      <c r="N3498" s="1" t="s">
        <v>22</v>
      </c>
      <c r="O3498" s="2">
        <v>46161</v>
      </c>
      <c r="P3498" s="2">
        <v>46161</v>
      </c>
      <c r="Q3498">
        <f>_xlfn.XLOOKUP(E3498,CPT!$A$2:$A$13,CPT!$D$2:$D$13)</f>
        <v>210</v>
      </c>
      <c r="R3498" s="1">
        <f>_xlfn.XLOOKUP(C3498,Contract!$A$2:$A$9,Contract!$B$2:$B$9)</f>
        <v>0.45</v>
      </c>
      <c r="S3498" s="1">
        <f t="shared" si="216"/>
        <v>94.5</v>
      </c>
      <c r="T3498" s="1">
        <f t="shared" si="217"/>
        <v>10.439999999999998</v>
      </c>
      <c r="U3498" s="1" t="str">
        <f t="shared" si="218"/>
        <v>Underpaid</v>
      </c>
      <c r="V3498" s="1" t="str">
        <f>_xlfn.XLOOKUP(C3498,Payers!$A$2:$A$9,Payers!$B$2:$B$9)</f>
        <v>Blue Horizon Commercial</v>
      </c>
      <c r="W3498" s="1" t="str">
        <f t="shared" si="219"/>
        <v>2026-04</v>
      </c>
    </row>
    <row r="3499" spans="1:23">
      <c r="A3499" s="1" t="s">
        <v>5752</v>
      </c>
      <c r="B3499" s="1" t="s">
        <v>5753</v>
      </c>
      <c r="C3499" s="1" t="s">
        <v>76</v>
      </c>
      <c r="D3499" s="1" t="s">
        <v>37</v>
      </c>
      <c r="E3499" s="1" t="s">
        <v>38</v>
      </c>
      <c r="F3499">
        <v>30</v>
      </c>
      <c r="G3499" s="2">
        <v>45934</v>
      </c>
      <c r="H3499" s="2">
        <v>45935</v>
      </c>
      <c r="I3499">
        <v>42629.25</v>
      </c>
      <c r="J3499">
        <v>15698.49</v>
      </c>
      <c r="K3499">
        <v>15698.49</v>
      </c>
      <c r="L3499">
        <v>0</v>
      </c>
      <c r="M3499" s="1" t="s">
        <v>21</v>
      </c>
      <c r="N3499" s="1" t="s">
        <v>22</v>
      </c>
      <c r="O3499" s="2">
        <v>45971</v>
      </c>
      <c r="P3499" s="2">
        <v>45971</v>
      </c>
      <c r="Q3499">
        <f>_xlfn.XLOOKUP(E3499,CPT!$A$2:$A$13,CPT!$D$2:$D$13)</f>
        <v>1450</v>
      </c>
      <c r="R3499" s="1">
        <f>_xlfn.XLOOKUP(C3499,Contract!$A$2:$A$9,Contract!$B$2:$B$9)</f>
        <v>0.43</v>
      </c>
      <c r="S3499" s="1">
        <f t="shared" si="216"/>
        <v>18705</v>
      </c>
      <c r="T3499" s="1">
        <f t="shared" si="217"/>
        <v>3006.51</v>
      </c>
      <c r="U3499" s="1" t="str">
        <f t="shared" si="218"/>
        <v>Underpaid</v>
      </c>
      <c r="V3499" s="1" t="str">
        <f>_xlfn.XLOOKUP(C3499,Payers!$A$2:$A$9,Payers!$B$2:$B$9)</f>
        <v>Summit Health Commercial</v>
      </c>
      <c r="W3499" s="1" t="str">
        <f t="shared" si="219"/>
        <v>2025-10</v>
      </c>
    </row>
    <row r="3500" spans="1:23">
      <c r="A3500" s="1" t="s">
        <v>5754</v>
      </c>
      <c r="B3500" s="1" t="s">
        <v>5755</v>
      </c>
      <c r="C3500" s="1" t="s">
        <v>76</v>
      </c>
      <c r="D3500" s="1" t="s">
        <v>30</v>
      </c>
      <c r="E3500" s="1" t="s">
        <v>20</v>
      </c>
      <c r="F3500">
        <v>1</v>
      </c>
      <c r="G3500" s="2">
        <v>46128</v>
      </c>
      <c r="H3500" s="2">
        <v>46140</v>
      </c>
      <c r="I3500">
        <v>144.12</v>
      </c>
      <c r="J3500">
        <v>57.64</v>
      </c>
      <c r="K3500">
        <v>57.64</v>
      </c>
      <c r="L3500">
        <v>0</v>
      </c>
      <c r="M3500" s="1" t="s">
        <v>21</v>
      </c>
      <c r="N3500" s="1" t="s">
        <v>22</v>
      </c>
      <c r="O3500" s="2">
        <v>46191</v>
      </c>
      <c r="P3500" s="2">
        <v>46191</v>
      </c>
      <c r="Q3500">
        <f>_xlfn.XLOOKUP(E3500,CPT!$A$2:$A$13,CPT!$D$2:$D$13)</f>
        <v>145</v>
      </c>
      <c r="R3500" s="1">
        <f>_xlfn.XLOOKUP(C3500,Contract!$A$2:$A$9,Contract!$B$2:$B$9)</f>
        <v>0.43</v>
      </c>
      <c r="S3500" s="1">
        <f t="shared" si="216"/>
        <v>62.35</v>
      </c>
      <c r="T3500" s="1">
        <f t="shared" si="217"/>
        <v>4.7100000000000009</v>
      </c>
      <c r="U3500" s="1" t="str">
        <f t="shared" si="218"/>
        <v>Underpaid</v>
      </c>
      <c r="V3500" s="1" t="str">
        <f>_xlfn.XLOOKUP(C3500,Payers!$A$2:$A$9,Payers!$B$2:$B$9)</f>
        <v>Summit Health Commercial</v>
      </c>
      <c r="W3500" s="1" t="str">
        <f t="shared" si="219"/>
        <v>2026-04</v>
      </c>
    </row>
    <row r="3501" spans="1:23">
      <c r="A3501" s="1" t="s">
        <v>5756</v>
      </c>
      <c r="B3501" s="1" t="s">
        <v>5224</v>
      </c>
      <c r="C3501" s="1" t="s">
        <v>60</v>
      </c>
      <c r="D3501" s="1" t="s">
        <v>26</v>
      </c>
      <c r="E3501" s="1" t="s">
        <v>113</v>
      </c>
      <c r="F3501">
        <v>1</v>
      </c>
      <c r="G3501" s="2">
        <v>46160</v>
      </c>
      <c r="H3501" s="2">
        <v>46167</v>
      </c>
      <c r="I3501">
        <v>1026.1300000000001</v>
      </c>
      <c r="J3501">
        <v>456.75</v>
      </c>
      <c r="K3501">
        <v>411.07</v>
      </c>
      <c r="L3501">
        <v>45.68</v>
      </c>
      <c r="M3501" s="1" t="s">
        <v>21</v>
      </c>
      <c r="N3501" s="1" t="s">
        <v>22</v>
      </c>
      <c r="O3501" s="2">
        <v>46183</v>
      </c>
      <c r="P3501" s="2">
        <v>46183</v>
      </c>
      <c r="Q3501">
        <f>_xlfn.XLOOKUP(E3501,CPT!$A$2:$A$13,CPT!$D$2:$D$13)</f>
        <v>1050</v>
      </c>
      <c r="R3501" s="1">
        <f>_xlfn.XLOOKUP(C3501,Contract!$A$2:$A$9,Contract!$B$2:$B$9)</f>
        <v>0.45</v>
      </c>
      <c r="S3501" s="1">
        <f t="shared" si="216"/>
        <v>472.5</v>
      </c>
      <c r="T3501" s="1">
        <f t="shared" si="217"/>
        <v>15.75</v>
      </c>
      <c r="U3501" s="1" t="str">
        <f t="shared" si="218"/>
        <v>OK</v>
      </c>
      <c r="V3501" s="1" t="str">
        <f>_xlfn.XLOOKUP(C3501,Payers!$A$2:$A$9,Payers!$B$2:$B$9)</f>
        <v>Blue Horizon Commercial</v>
      </c>
      <c r="W3501" s="1" t="str">
        <f t="shared" si="219"/>
        <v>2026-05</v>
      </c>
    </row>
    <row r="3502" spans="1:23">
      <c r="A3502" s="1" t="s">
        <v>5757</v>
      </c>
      <c r="B3502" s="1" t="s">
        <v>5758</v>
      </c>
      <c r="C3502" s="1" t="s">
        <v>25</v>
      </c>
      <c r="D3502" s="1" t="s">
        <v>26</v>
      </c>
      <c r="E3502" s="1" t="s">
        <v>88</v>
      </c>
      <c r="F3502">
        <v>1</v>
      </c>
      <c r="G3502" s="2">
        <v>46257</v>
      </c>
      <c r="H3502" s="2">
        <v>46258</v>
      </c>
      <c r="I3502">
        <v>261.13</v>
      </c>
      <c r="M3502" s="1" t="s">
        <v>32</v>
      </c>
      <c r="N3502" s="1" t="s">
        <v>281</v>
      </c>
      <c r="O3502" s="2">
        <v>46280</v>
      </c>
      <c r="P3502" s="2"/>
      <c r="Q3502">
        <f>_xlfn.XLOOKUP(E3502,CPT!$A$2:$A$13,CPT!$D$2:$D$13)</f>
        <v>260</v>
      </c>
      <c r="R3502" s="1">
        <f>_xlfn.XLOOKUP(C3502,Contract!$A$2:$A$9,Contract!$B$2:$B$9)</f>
        <v>0.36</v>
      </c>
      <c r="S3502" s="1">
        <f t="shared" si="216"/>
        <v>93.6</v>
      </c>
      <c r="T3502" s="1" t="str">
        <f t="shared" si="217"/>
        <v/>
      </c>
      <c r="U3502" s="1" t="str">
        <f t="shared" si="218"/>
        <v/>
      </c>
      <c r="V3502" s="1" t="str">
        <f>_xlfn.XLOOKUP(C3502,Payers!$A$2:$A$9,Payers!$B$2:$B$9)</f>
        <v>Medicare Part B</v>
      </c>
      <c r="W3502" s="1" t="str">
        <f t="shared" si="219"/>
        <v>2026-08</v>
      </c>
    </row>
    <row r="3503" spans="1:23">
      <c r="A3503" s="1" t="s">
        <v>5759</v>
      </c>
      <c r="B3503" s="1" t="s">
        <v>83</v>
      </c>
      <c r="C3503" s="1" t="s">
        <v>25</v>
      </c>
      <c r="D3503" s="1" t="s">
        <v>37</v>
      </c>
      <c r="E3503" s="1" t="s">
        <v>38</v>
      </c>
      <c r="F3503">
        <v>30</v>
      </c>
      <c r="G3503" s="2">
        <v>46011</v>
      </c>
      <c r="H3503" s="2">
        <v>46013</v>
      </c>
      <c r="I3503">
        <v>44799.11</v>
      </c>
      <c r="J3503">
        <v>15986.4</v>
      </c>
      <c r="K3503">
        <v>12789.12</v>
      </c>
      <c r="L3503">
        <v>3197.28</v>
      </c>
      <c r="M3503" s="1" t="s">
        <v>21</v>
      </c>
      <c r="N3503" s="1" t="s">
        <v>22</v>
      </c>
      <c r="O3503" s="2">
        <v>46023</v>
      </c>
      <c r="P3503" s="2">
        <v>46023</v>
      </c>
      <c r="Q3503">
        <f>_xlfn.XLOOKUP(E3503,CPT!$A$2:$A$13,CPT!$D$2:$D$13)</f>
        <v>1450</v>
      </c>
      <c r="R3503" s="1">
        <f>_xlfn.XLOOKUP(C3503,Contract!$A$2:$A$9,Contract!$B$2:$B$9)</f>
        <v>0.36</v>
      </c>
      <c r="S3503" s="1">
        <f t="shared" si="216"/>
        <v>15660</v>
      </c>
      <c r="T3503" s="1">
        <f t="shared" si="217"/>
        <v>-326.39999999999964</v>
      </c>
      <c r="U3503" s="1" t="str">
        <f t="shared" si="218"/>
        <v>OK</v>
      </c>
      <c r="V3503" s="1" t="str">
        <f>_xlfn.XLOOKUP(C3503,Payers!$A$2:$A$9,Payers!$B$2:$B$9)</f>
        <v>Medicare Part B</v>
      </c>
      <c r="W3503" s="1" t="str">
        <f t="shared" si="219"/>
        <v>2025-12</v>
      </c>
    </row>
    <row r="3504" spans="1:23">
      <c r="A3504" s="1" t="s">
        <v>5760</v>
      </c>
      <c r="B3504" s="1" t="s">
        <v>5761</v>
      </c>
      <c r="C3504" s="1" t="s">
        <v>60</v>
      </c>
      <c r="D3504" s="1" t="s">
        <v>19</v>
      </c>
      <c r="E3504" s="1" t="s">
        <v>88</v>
      </c>
      <c r="F3504">
        <v>1</v>
      </c>
      <c r="G3504" s="2">
        <v>46264</v>
      </c>
      <c r="H3504" s="2">
        <v>46265</v>
      </c>
      <c r="I3504">
        <v>266.95</v>
      </c>
      <c r="J3504">
        <v>136.13999999999999</v>
      </c>
      <c r="K3504">
        <v>108.91</v>
      </c>
      <c r="L3504">
        <v>27.23</v>
      </c>
      <c r="M3504" s="1" t="s">
        <v>21</v>
      </c>
      <c r="N3504" s="1" t="s">
        <v>22</v>
      </c>
      <c r="O3504" s="2">
        <v>46279</v>
      </c>
      <c r="P3504" s="2">
        <v>46279</v>
      </c>
      <c r="Q3504">
        <f>_xlfn.XLOOKUP(E3504,CPT!$A$2:$A$13,CPT!$D$2:$D$13)</f>
        <v>260</v>
      </c>
      <c r="R3504" s="1">
        <f>_xlfn.XLOOKUP(C3504,Contract!$A$2:$A$9,Contract!$B$2:$B$9)</f>
        <v>0.45</v>
      </c>
      <c r="S3504" s="1">
        <f t="shared" si="216"/>
        <v>117</v>
      </c>
      <c r="T3504" s="1">
        <f t="shared" si="217"/>
        <v>-19.139999999999986</v>
      </c>
      <c r="U3504" s="1" t="str">
        <f t="shared" si="218"/>
        <v>OK</v>
      </c>
      <c r="V3504" s="1" t="str">
        <f>_xlfn.XLOOKUP(C3504,Payers!$A$2:$A$9,Payers!$B$2:$B$9)</f>
        <v>Blue Horizon Commercial</v>
      </c>
      <c r="W3504" s="1" t="str">
        <f t="shared" si="219"/>
        <v>2026-08</v>
      </c>
    </row>
    <row r="3505" spans="1:23">
      <c r="A3505" s="1" t="s">
        <v>5762</v>
      </c>
      <c r="B3505" s="1" t="s">
        <v>1387</v>
      </c>
      <c r="C3505" s="1" t="s">
        <v>76</v>
      </c>
      <c r="D3505" s="1" t="s">
        <v>26</v>
      </c>
      <c r="E3505" s="1" t="s">
        <v>113</v>
      </c>
      <c r="F3505">
        <v>1</v>
      </c>
      <c r="G3505" s="2">
        <v>46147</v>
      </c>
      <c r="H3505" s="2">
        <v>46149</v>
      </c>
      <c r="I3505">
        <v>1019.87</v>
      </c>
      <c r="M3505" s="1" t="s">
        <v>32</v>
      </c>
      <c r="N3505" s="1" t="s">
        <v>315</v>
      </c>
      <c r="O3505" s="2">
        <v>46178</v>
      </c>
      <c r="P3505" s="2"/>
      <c r="Q3505">
        <f>_xlfn.XLOOKUP(E3505,CPT!$A$2:$A$13,CPT!$D$2:$D$13)</f>
        <v>1050</v>
      </c>
      <c r="R3505" s="1">
        <f>_xlfn.XLOOKUP(C3505,Contract!$A$2:$A$9,Contract!$B$2:$B$9)</f>
        <v>0.43</v>
      </c>
      <c r="S3505" s="1">
        <f t="shared" si="216"/>
        <v>451.5</v>
      </c>
      <c r="T3505" s="1" t="str">
        <f t="shared" si="217"/>
        <v/>
      </c>
      <c r="U3505" s="1" t="str">
        <f t="shared" si="218"/>
        <v/>
      </c>
      <c r="V3505" s="1" t="str">
        <f>_xlfn.XLOOKUP(C3505,Payers!$A$2:$A$9,Payers!$B$2:$B$9)</f>
        <v>Summit Health Commercial</v>
      </c>
      <c r="W3505" s="1" t="str">
        <f t="shared" si="219"/>
        <v>2026-05</v>
      </c>
    </row>
    <row r="3506" spans="1:23">
      <c r="A3506" s="1" t="s">
        <v>5763</v>
      </c>
      <c r="B3506" s="1" t="s">
        <v>3396</v>
      </c>
      <c r="C3506" s="1" t="s">
        <v>52</v>
      </c>
      <c r="D3506" s="1" t="s">
        <v>19</v>
      </c>
      <c r="E3506" s="1" t="s">
        <v>20</v>
      </c>
      <c r="F3506">
        <v>1</v>
      </c>
      <c r="G3506" s="2">
        <v>46029</v>
      </c>
      <c r="H3506" s="2">
        <v>46034</v>
      </c>
      <c r="I3506">
        <v>141.97</v>
      </c>
      <c r="J3506">
        <v>69.67</v>
      </c>
      <c r="K3506">
        <v>62.7</v>
      </c>
      <c r="L3506">
        <v>6.97</v>
      </c>
      <c r="M3506" s="1" t="s">
        <v>21</v>
      </c>
      <c r="N3506" s="1" t="s">
        <v>22</v>
      </c>
      <c r="O3506" s="2">
        <v>46060</v>
      </c>
      <c r="P3506" s="2">
        <v>46060</v>
      </c>
      <c r="Q3506">
        <f>_xlfn.XLOOKUP(E3506,CPT!$A$2:$A$13,CPT!$D$2:$D$13)</f>
        <v>145</v>
      </c>
      <c r="R3506" s="1">
        <f>_xlfn.XLOOKUP(C3506,Contract!$A$2:$A$9,Contract!$B$2:$B$9)</f>
        <v>0.47</v>
      </c>
      <c r="S3506" s="1">
        <f t="shared" si="216"/>
        <v>68.150000000000006</v>
      </c>
      <c r="T3506" s="1">
        <f t="shared" si="217"/>
        <v>-1.519999999999996</v>
      </c>
      <c r="U3506" s="1" t="str">
        <f t="shared" si="218"/>
        <v>OK</v>
      </c>
      <c r="V3506" s="1" t="str">
        <f>_xlfn.XLOOKUP(C3506,Payers!$A$2:$A$9,Payers!$B$2:$B$9)</f>
        <v>Keystone Commercial PPO</v>
      </c>
      <c r="W3506" s="1" t="str">
        <f t="shared" si="219"/>
        <v>2026-01</v>
      </c>
    </row>
    <row r="3507" spans="1:23">
      <c r="A3507" s="1" t="s">
        <v>5764</v>
      </c>
      <c r="B3507" s="1" t="s">
        <v>5765</v>
      </c>
      <c r="C3507" s="1" t="s">
        <v>76</v>
      </c>
      <c r="D3507" s="1" t="s">
        <v>19</v>
      </c>
      <c r="E3507" s="1" t="s">
        <v>20</v>
      </c>
      <c r="F3507">
        <v>1</v>
      </c>
      <c r="G3507" s="2">
        <v>46168</v>
      </c>
      <c r="H3507" s="2">
        <v>46171</v>
      </c>
      <c r="I3507">
        <v>148.86000000000001</v>
      </c>
      <c r="J3507">
        <v>70.45</v>
      </c>
      <c r="K3507">
        <v>70.45</v>
      </c>
      <c r="L3507">
        <v>0</v>
      </c>
      <c r="M3507" s="1" t="s">
        <v>21</v>
      </c>
      <c r="N3507" s="1" t="s">
        <v>22</v>
      </c>
      <c r="O3507" s="2">
        <v>46190</v>
      </c>
      <c r="P3507" s="2">
        <v>46190</v>
      </c>
      <c r="Q3507">
        <f>_xlfn.XLOOKUP(E3507,CPT!$A$2:$A$13,CPT!$D$2:$D$13)</f>
        <v>145</v>
      </c>
      <c r="R3507" s="1">
        <f>_xlfn.XLOOKUP(C3507,Contract!$A$2:$A$9,Contract!$B$2:$B$9)</f>
        <v>0.43</v>
      </c>
      <c r="S3507" s="1">
        <f t="shared" si="216"/>
        <v>62.35</v>
      </c>
      <c r="T3507" s="1">
        <f t="shared" si="217"/>
        <v>-8.1000000000000014</v>
      </c>
      <c r="U3507" s="1" t="str">
        <f t="shared" si="218"/>
        <v>OK</v>
      </c>
      <c r="V3507" s="1" t="str">
        <f>_xlfn.XLOOKUP(C3507,Payers!$A$2:$A$9,Payers!$B$2:$B$9)</f>
        <v>Summit Health Commercial</v>
      </c>
      <c r="W3507" s="1" t="str">
        <f t="shared" si="219"/>
        <v>2026-05</v>
      </c>
    </row>
    <row r="3508" spans="1:23">
      <c r="A3508" s="1" t="s">
        <v>5766</v>
      </c>
      <c r="B3508" s="1" t="s">
        <v>5444</v>
      </c>
      <c r="C3508" s="1" t="s">
        <v>47</v>
      </c>
      <c r="D3508" s="1" t="s">
        <v>30</v>
      </c>
      <c r="E3508" s="1" t="s">
        <v>20</v>
      </c>
      <c r="F3508">
        <v>1</v>
      </c>
      <c r="G3508" s="2">
        <v>45981</v>
      </c>
      <c r="H3508" s="2">
        <v>45982</v>
      </c>
      <c r="I3508">
        <v>144.80000000000001</v>
      </c>
      <c r="M3508" s="1" t="s">
        <v>32</v>
      </c>
      <c r="N3508" s="1" t="s">
        <v>33</v>
      </c>
      <c r="O3508" s="2">
        <v>46042</v>
      </c>
      <c r="P3508" s="2"/>
      <c r="Q3508">
        <f>_xlfn.XLOOKUP(E3508,CPT!$A$2:$A$13,CPT!$D$2:$D$13)</f>
        <v>145</v>
      </c>
      <c r="R3508" s="1">
        <f>_xlfn.XLOOKUP(C3508,Contract!$A$2:$A$9,Contract!$B$2:$B$9)</f>
        <v>0.28000000000000003</v>
      </c>
      <c r="S3508" s="1">
        <f t="shared" si="216"/>
        <v>40.6</v>
      </c>
      <c r="T3508" s="1" t="str">
        <f t="shared" si="217"/>
        <v/>
      </c>
      <c r="U3508" s="1" t="str">
        <f t="shared" si="218"/>
        <v/>
      </c>
      <c r="V3508" s="1" t="str">
        <f>_xlfn.XLOOKUP(C3508,Payers!$A$2:$A$9,Payers!$B$2:$B$9)</f>
        <v>Coastal Medicaid MCO</v>
      </c>
      <c r="W3508" s="1" t="str">
        <f t="shared" si="219"/>
        <v>2025-11</v>
      </c>
    </row>
    <row r="3509" spans="1:23">
      <c r="A3509" s="1" t="s">
        <v>5767</v>
      </c>
      <c r="B3509" s="1" t="s">
        <v>4616</v>
      </c>
      <c r="C3509" s="1" t="s">
        <v>47</v>
      </c>
      <c r="D3509" s="1" t="s">
        <v>26</v>
      </c>
      <c r="E3509" s="1" t="s">
        <v>185</v>
      </c>
      <c r="F3509">
        <v>1</v>
      </c>
      <c r="G3509" s="2">
        <v>46144</v>
      </c>
      <c r="H3509" s="2">
        <v>46145</v>
      </c>
      <c r="I3509">
        <v>1145.83</v>
      </c>
      <c r="J3509">
        <v>290.24</v>
      </c>
      <c r="K3509">
        <v>290.24</v>
      </c>
      <c r="L3509">
        <v>0</v>
      </c>
      <c r="M3509" s="1" t="s">
        <v>21</v>
      </c>
      <c r="N3509" s="1" t="s">
        <v>22</v>
      </c>
      <c r="O3509" s="2">
        <v>46216</v>
      </c>
      <c r="P3509" s="2">
        <v>46216</v>
      </c>
      <c r="Q3509">
        <f>_xlfn.XLOOKUP(E3509,CPT!$A$2:$A$13,CPT!$D$2:$D$13)</f>
        <v>1150</v>
      </c>
      <c r="R3509" s="1">
        <f>_xlfn.XLOOKUP(C3509,Contract!$A$2:$A$9,Contract!$B$2:$B$9)</f>
        <v>0.28000000000000003</v>
      </c>
      <c r="S3509" s="1">
        <f t="shared" si="216"/>
        <v>322</v>
      </c>
      <c r="T3509" s="1">
        <f t="shared" si="217"/>
        <v>31.759999999999991</v>
      </c>
      <c r="U3509" s="1" t="str">
        <f t="shared" si="218"/>
        <v>Underpaid</v>
      </c>
      <c r="V3509" s="1" t="str">
        <f>_xlfn.XLOOKUP(C3509,Payers!$A$2:$A$9,Payers!$B$2:$B$9)</f>
        <v>Coastal Medicaid MCO</v>
      </c>
      <c r="W3509" s="1" t="str">
        <f t="shared" si="219"/>
        <v>2026-05</v>
      </c>
    </row>
    <row r="3510" spans="1:23">
      <c r="A3510" s="1" t="s">
        <v>5768</v>
      </c>
      <c r="B3510" s="1" t="s">
        <v>1381</v>
      </c>
      <c r="C3510" s="1" t="s">
        <v>60</v>
      </c>
      <c r="D3510" s="1" t="s">
        <v>19</v>
      </c>
      <c r="E3510" s="1" t="s">
        <v>88</v>
      </c>
      <c r="F3510">
        <v>1</v>
      </c>
      <c r="G3510" s="2">
        <v>45931</v>
      </c>
      <c r="H3510" s="2">
        <v>45934</v>
      </c>
      <c r="I3510">
        <v>262.85000000000002</v>
      </c>
      <c r="J3510">
        <v>133.16999999999999</v>
      </c>
      <c r="K3510">
        <v>119.85</v>
      </c>
      <c r="L3510">
        <v>13.32</v>
      </c>
      <c r="M3510" s="1" t="s">
        <v>21</v>
      </c>
      <c r="N3510" s="1" t="s">
        <v>22</v>
      </c>
      <c r="O3510" s="2">
        <v>45960</v>
      </c>
      <c r="P3510" s="2">
        <v>45960</v>
      </c>
      <c r="Q3510">
        <f>_xlfn.XLOOKUP(E3510,CPT!$A$2:$A$13,CPT!$D$2:$D$13)</f>
        <v>260</v>
      </c>
      <c r="R3510" s="1">
        <f>_xlfn.XLOOKUP(C3510,Contract!$A$2:$A$9,Contract!$B$2:$B$9)</f>
        <v>0.45</v>
      </c>
      <c r="S3510" s="1">
        <f t="shared" si="216"/>
        <v>117</v>
      </c>
      <c r="T3510" s="1">
        <f t="shared" si="217"/>
        <v>-16.169999999999987</v>
      </c>
      <c r="U3510" s="1" t="str">
        <f t="shared" si="218"/>
        <v>OK</v>
      </c>
      <c r="V3510" s="1" t="str">
        <f>_xlfn.XLOOKUP(C3510,Payers!$A$2:$A$9,Payers!$B$2:$B$9)</f>
        <v>Blue Horizon Commercial</v>
      </c>
      <c r="W3510" s="1" t="str">
        <f t="shared" si="219"/>
        <v>2025-10</v>
      </c>
    </row>
    <row r="3511" spans="1:23">
      <c r="A3511" s="1" t="s">
        <v>5769</v>
      </c>
      <c r="B3511" s="1" t="s">
        <v>5770</v>
      </c>
      <c r="C3511" s="1" t="s">
        <v>60</v>
      </c>
      <c r="D3511" s="1" t="s">
        <v>37</v>
      </c>
      <c r="E3511" s="1" t="s">
        <v>38</v>
      </c>
      <c r="F3511">
        <v>5</v>
      </c>
      <c r="G3511" s="2">
        <v>45934</v>
      </c>
      <c r="H3511" s="2">
        <v>45941</v>
      </c>
      <c r="I3511">
        <v>7315.05</v>
      </c>
      <c r="J3511">
        <v>3192.76</v>
      </c>
      <c r="K3511">
        <v>3192.76</v>
      </c>
      <c r="L3511">
        <v>0</v>
      </c>
      <c r="M3511" s="1" t="s">
        <v>21</v>
      </c>
      <c r="N3511" s="1" t="s">
        <v>22</v>
      </c>
      <c r="O3511" s="2">
        <v>45971</v>
      </c>
      <c r="P3511" s="2">
        <v>45971</v>
      </c>
      <c r="Q3511">
        <f>_xlfn.XLOOKUP(E3511,CPT!$A$2:$A$13,CPT!$D$2:$D$13)</f>
        <v>1450</v>
      </c>
      <c r="R3511" s="1">
        <f>_xlfn.XLOOKUP(C3511,Contract!$A$2:$A$9,Contract!$B$2:$B$9)</f>
        <v>0.45</v>
      </c>
      <c r="S3511" s="1">
        <f t="shared" si="216"/>
        <v>3262.5</v>
      </c>
      <c r="T3511" s="1">
        <f t="shared" si="217"/>
        <v>69.739999999999782</v>
      </c>
      <c r="U3511" s="1" t="str">
        <f t="shared" si="218"/>
        <v>OK</v>
      </c>
      <c r="V3511" s="1" t="str">
        <f>_xlfn.XLOOKUP(C3511,Payers!$A$2:$A$9,Payers!$B$2:$B$9)</f>
        <v>Blue Horizon Commercial</v>
      </c>
      <c r="W3511" s="1" t="str">
        <f t="shared" si="219"/>
        <v>2025-10</v>
      </c>
    </row>
    <row r="3512" spans="1:23">
      <c r="A3512" s="1" t="s">
        <v>5771</v>
      </c>
      <c r="B3512" s="1" t="s">
        <v>1605</v>
      </c>
      <c r="C3512" s="1" t="s">
        <v>60</v>
      </c>
      <c r="D3512" s="1" t="s">
        <v>26</v>
      </c>
      <c r="E3512" s="1" t="s">
        <v>88</v>
      </c>
      <c r="F3512">
        <v>1</v>
      </c>
      <c r="G3512" s="2">
        <v>45949</v>
      </c>
      <c r="H3512" s="2">
        <v>45954</v>
      </c>
      <c r="I3512">
        <v>253.97</v>
      </c>
      <c r="J3512">
        <v>115.43</v>
      </c>
      <c r="K3512">
        <v>115.43</v>
      </c>
      <c r="L3512">
        <v>0</v>
      </c>
      <c r="M3512" s="1" t="s">
        <v>21</v>
      </c>
      <c r="N3512" s="1" t="s">
        <v>22</v>
      </c>
      <c r="O3512" s="2">
        <v>45989</v>
      </c>
      <c r="P3512" s="2">
        <v>45989</v>
      </c>
      <c r="Q3512">
        <f>_xlfn.XLOOKUP(E3512,CPT!$A$2:$A$13,CPT!$D$2:$D$13)</f>
        <v>260</v>
      </c>
      <c r="R3512" s="1">
        <f>_xlfn.XLOOKUP(C3512,Contract!$A$2:$A$9,Contract!$B$2:$B$9)</f>
        <v>0.45</v>
      </c>
      <c r="S3512" s="1">
        <f t="shared" si="216"/>
        <v>117</v>
      </c>
      <c r="T3512" s="1">
        <f t="shared" si="217"/>
        <v>1.5699999999999932</v>
      </c>
      <c r="U3512" s="1" t="str">
        <f t="shared" si="218"/>
        <v>OK</v>
      </c>
      <c r="V3512" s="1" t="str">
        <f>_xlfn.XLOOKUP(C3512,Payers!$A$2:$A$9,Payers!$B$2:$B$9)</f>
        <v>Blue Horizon Commercial</v>
      </c>
      <c r="W3512" s="1" t="str">
        <f t="shared" si="219"/>
        <v>2025-10</v>
      </c>
    </row>
    <row r="3513" spans="1:23">
      <c r="A3513" s="1" t="s">
        <v>5772</v>
      </c>
      <c r="B3513" s="1" t="s">
        <v>5399</v>
      </c>
      <c r="C3513" s="1" t="s">
        <v>79</v>
      </c>
      <c r="D3513" s="1" t="s">
        <v>26</v>
      </c>
      <c r="E3513" s="1" t="s">
        <v>57</v>
      </c>
      <c r="F3513">
        <v>1</v>
      </c>
      <c r="G3513" s="2">
        <v>46171</v>
      </c>
      <c r="H3513" s="2">
        <v>46173</v>
      </c>
      <c r="I3513">
        <v>211.1</v>
      </c>
      <c r="M3513" s="1" t="s">
        <v>69</v>
      </c>
      <c r="N3513" s="1" t="s">
        <v>22</v>
      </c>
      <c r="O3513" s="2"/>
      <c r="P3513" s="2"/>
      <c r="Q3513">
        <f>_xlfn.XLOOKUP(E3513,CPT!$A$2:$A$13,CPT!$D$2:$D$13)</f>
        <v>210</v>
      </c>
      <c r="R3513" s="1">
        <f>_xlfn.XLOOKUP(C3513,Contract!$A$2:$A$9,Contract!$B$2:$B$9)</f>
        <v>1</v>
      </c>
      <c r="S3513" s="1">
        <f t="shared" si="216"/>
        <v>210</v>
      </c>
      <c r="T3513" s="1" t="str">
        <f t="shared" si="217"/>
        <v/>
      </c>
      <c r="U3513" s="1" t="str">
        <f t="shared" si="218"/>
        <v/>
      </c>
      <c r="V3513" s="1" t="str">
        <f>_xlfn.XLOOKUP(C3513,Payers!$A$2:$A$9,Payers!$B$2:$B$9)</f>
        <v>Self-Pay</v>
      </c>
      <c r="W3513" s="1" t="str">
        <f t="shared" si="219"/>
        <v>2026-05</v>
      </c>
    </row>
    <row r="3514" spans="1:23">
      <c r="A3514" s="1" t="s">
        <v>5773</v>
      </c>
      <c r="B3514" s="1" t="s">
        <v>3233</v>
      </c>
      <c r="C3514" s="1" t="s">
        <v>25</v>
      </c>
      <c r="D3514" s="1" t="s">
        <v>26</v>
      </c>
      <c r="E3514" s="1" t="s">
        <v>88</v>
      </c>
      <c r="F3514">
        <v>1</v>
      </c>
      <c r="G3514" s="2">
        <v>46263</v>
      </c>
      <c r="H3514" s="2">
        <v>46273</v>
      </c>
      <c r="I3514">
        <v>266.70999999999998</v>
      </c>
      <c r="J3514">
        <v>84.96</v>
      </c>
      <c r="K3514">
        <v>67.97</v>
      </c>
      <c r="L3514">
        <v>16.989999999999998</v>
      </c>
      <c r="M3514" s="1" t="s">
        <v>21</v>
      </c>
      <c r="N3514" s="1" t="s">
        <v>22</v>
      </c>
      <c r="O3514" s="2">
        <v>46289</v>
      </c>
      <c r="P3514" s="2">
        <v>46289</v>
      </c>
      <c r="Q3514">
        <f>_xlfn.XLOOKUP(E3514,CPT!$A$2:$A$13,CPT!$D$2:$D$13)</f>
        <v>260</v>
      </c>
      <c r="R3514" s="1">
        <f>_xlfn.XLOOKUP(C3514,Contract!$A$2:$A$9,Contract!$B$2:$B$9)</f>
        <v>0.36</v>
      </c>
      <c r="S3514" s="1">
        <f t="shared" si="216"/>
        <v>93.6</v>
      </c>
      <c r="T3514" s="1">
        <f t="shared" si="217"/>
        <v>8.64</v>
      </c>
      <c r="U3514" s="1" t="str">
        <f t="shared" si="218"/>
        <v>Underpaid</v>
      </c>
      <c r="V3514" s="1" t="str">
        <f>_xlfn.XLOOKUP(C3514,Payers!$A$2:$A$9,Payers!$B$2:$B$9)</f>
        <v>Medicare Part B</v>
      </c>
      <c r="W3514" s="1" t="str">
        <f t="shared" si="219"/>
        <v>2026-08</v>
      </c>
    </row>
    <row r="3515" spans="1:23">
      <c r="A3515" s="1" t="s">
        <v>5774</v>
      </c>
      <c r="B3515" s="1" t="s">
        <v>5349</v>
      </c>
      <c r="C3515" s="1" t="s">
        <v>36</v>
      </c>
      <c r="D3515" s="1" t="s">
        <v>30</v>
      </c>
      <c r="E3515" s="1" t="s">
        <v>31</v>
      </c>
      <c r="F3515">
        <v>1</v>
      </c>
      <c r="G3515" s="2">
        <v>45969</v>
      </c>
      <c r="H3515" s="2">
        <v>45971</v>
      </c>
      <c r="I3515">
        <v>61.71</v>
      </c>
      <c r="J3515">
        <v>15.64</v>
      </c>
      <c r="K3515">
        <v>15.64</v>
      </c>
      <c r="L3515">
        <v>0</v>
      </c>
      <c r="M3515" s="1" t="s">
        <v>21</v>
      </c>
      <c r="N3515" s="1" t="s">
        <v>22</v>
      </c>
      <c r="O3515" s="2">
        <v>46013</v>
      </c>
      <c r="P3515" s="2">
        <v>46013</v>
      </c>
      <c r="Q3515">
        <f>_xlfn.XLOOKUP(E3515,CPT!$A$2:$A$13,CPT!$D$2:$D$13)</f>
        <v>62</v>
      </c>
      <c r="R3515" s="1">
        <f>_xlfn.XLOOKUP(C3515,Contract!$A$2:$A$9,Contract!$B$2:$B$9)</f>
        <v>0.27</v>
      </c>
      <c r="S3515" s="1">
        <f t="shared" si="216"/>
        <v>16.739999999999998</v>
      </c>
      <c r="T3515" s="1">
        <f t="shared" si="217"/>
        <v>1.0999999999999979</v>
      </c>
      <c r="U3515" s="1" t="str">
        <f t="shared" si="218"/>
        <v>Underpaid</v>
      </c>
      <c r="V3515" s="1" t="str">
        <f>_xlfn.XLOOKUP(C3515,Payers!$A$2:$A$9,Payers!$B$2:$B$9)</f>
        <v>Florida Medicaid</v>
      </c>
      <c r="W3515" s="1" t="str">
        <f t="shared" si="219"/>
        <v>2025-11</v>
      </c>
    </row>
    <row r="3516" spans="1:23">
      <c r="A3516" s="1" t="s">
        <v>5775</v>
      </c>
      <c r="B3516" s="1" t="s">
        <v>5776</v>
      </c>
      <c r="C3516" s="1" t="s">
        <v>76</v>
      </c>
      <c r="D3516" s="1" t="s">
        <v>26</v>
      </c>
      <c r="E3516" s="1" t="s">
        <v>113</v>
      </c>
      <c r="F3516">
        <v>1</v>
      </c>
      <c r="G3516" s="2">
        <v>46080</v>
      </c>
      <c r="H3516" s="2">
        <v>46092</v>
      </c>
      <c r="I3516">
        <v>1060.01</v>
      </c>
      <c r="M3516" s="1" t="s">
        <v>32</v>
      </c>
      <c r="N3516" s="1" t="s">
        <v>124</v>
      </c>
      <c r="O3516" s="2">
        <v>46140</v>
      </c>
      <c r="P3516" s="2"/>
      <c r="Q3516">
        <f>_xlfn.XLOOKUP(E3516,CPT!$A$2:$A$13,CPT!$D$2:$D$13)</f>
        <v>1050</v>
      </c>
      <c r="R3516" s="1">
        <f>_xlfn.XLOOKUP(C3516,Contract!$A$2:$A$9,Contract!$B$2:$B$9)</f>
        <v>0.43</v>
      </c>
      <c r="S3516" s="1">
        <f t="shared" si="216"/>
        <v>451.5</v>
      </c>
      <c r="T3516" s="1" t="str">
        <f t="shared" si="217"/>
        <v/>
      </c>
      <c r="U3516" s="1" t="str">
        <f t="shared" si="218"/>
        <v/>
      </c>
      <c r="V3516" s="1" t="str">
        <f>_xlfn.XLOOKUP(C3516,Payers!$A$2:$A$9,Payers!$B$2:$B$9)</f>
        <v>Summit Health Commercial</v>
      </c>
      <c r="W3516" s="1" t="str">
        <f t="shared" si="219"/>
        <v>2026-02</v>
      </c>
    </row>
    <row r="3517" spans="1:23">
      <c r="A3517" s="1" t="s">
        <v>5777</v>
      </c>
      <c r="B3517" s="1" t="s">
        <v>5761</v>
      </c>
      <c r="C3517" s="1" t="s">
        <v>60</v>
      </c>
      <c r="D3517" s="1" t="s">
        <v>30</v>
      </c>
      <c r="E3517" s="1" t="s">
        <v>91</v>
      </c>
      <c r="F3517">
        <v>1</v>
      </c>
      <c r="G3517" s="2">
        <v>45968</v>
      </c>
      <c r="H3517" s="2">
        <v>45971</v>
      </c>
      <c r="I3517">
        <v>57.73</v>
      </c>
      <c r="J3517">
        <v>28.46</v>
      </c>
      <c r="K3517">
        <v>25.61</v>
      </c>
      <c r="L3517">
        <v>2.85</v>
      </c>
      <c r="M3517" s="1" t="s">
        <v>21</v>
      </c>
      <c r="N3517" s="1" t="s">
        <v>22</v>
      </c>
      <c r="O3517" s="2">
        <v>46013</v>
      </c>
      <c r="P3517" s="2">
        <v>46013</v>
      </c>
      <c r="Q3517">
        <f>_xlfn.XLOOKUP(E3517,CPT!$A$2:$A$13,CPT!$D$2:$D$13)</f>
        <v>58</v>
      </c>
      <c r="R3517" s="1">
        <f>_xlfn.XLOOKUP(C3517,Contract!$A$2:$A$9,Contract!$B$2:$B$9)</f>
        <v>0.45</v>
      </c>
      <c r="S3517" s="1">
        <f t="shared" si="216"/>
        <v>26.1</v>
      </c>
      <c r="T3517" s="1">
        <f t="shared" si="217"/>
        <v>-2.3599999999999994</v>
      </c>
      <c r="U3517" s="1" t="str">
        <f t="shared" si="218"/>
        <v>OK</v>
      </c>
      <c r="V3517" s="1" t="str">
        <f>_xlfn.XLOOKUP(C3517,Payers!$A$2:$A$9,Payers!$B$2:$B$9)</f>
        <v>Blue Horizon Commercial</v>
      </c>
      <c r="W3517" s="1" t="str">
        <f t="shared" si="219"/>
        <v>2025-11</v>
      </c>
    </row>
    <row r="3518" spans="1:23">
      <c r="A3518" s="1" t="s">
        <v>5778</v>
      </c>
      <c r="B3518" s="1" t="s">
        <v>4151</v>
      </c>
      <c r="C3518" s="1" t="s">
        <v>25</v>
      </c>
      <c r="D3518" s="1" t="s">
        <v>19</v>
      </c>
      <c r="E3518" s="1" t="s">
        <v>88</v>
      </c>
      <c r="F3518">
        <v>1</v>
      </c>
      <c r="G3518" s="2">
        <v>46052</v>
      </c>
      <c r="H3518" s="2">
        <v>46057</v>
      </c>
      <c r="I3518">
        <v>256.55</v>
      </c>
      <c r="J3518">
        <v>82.21</v>
      </c>
      <c r="K3518">
        <v>65.77</v>
      </c>
      <c r="L3518">
        <v>16.440000000000001</v>
      </c>
      <c r="M3518" s="1" t="s">
        <v>21</v>
      </c>
      <c r="N3518" s="1" t="s">
        <v>22</v>
      </c>
      <c r="O3518" s="2">
        <v>46078</v>
      </c>
      <c r="P3518" s="2">
        <v>46078</v>
      </c>
      <c r="Q3518">
        <f>_xlfn.XLOOKUP(E3518,CPT!$A$2:$A$13,CPT!$D$2:$D$13)</f>
        <v>260</v>
      </c>
      <c r="R3518" s="1">
        <f>_xlfn.XLOOKUP(C3518,Contract!$A$2:$A$9,Contract!$B$2:$B$9)</f>
        <v>0.36</v>
      </c>
      <c r="S3518" s="1">
        <f t="shared" si="216"/>
        <v>93.6</v>
      </c>
      <c r="T3518" s="1">
        <f t="shared" si="217"/>
        <v>11.39</v>
      </c>
      <c r="U3518" s="1" t="str">
        <f t="shared" si="218"/>
        <v>Underpaid</v>
      </c>
      <c r="V3518" s="1" t="str">
        <f>_xlfn.XLOOKUP(C3518,Payers!$A$2:$A$9,Payers!$B$2:$B$9)</f>
        <v>Medicare Part B</v>
      </c>
      <c r="W3518" s="1" t="str">
        <f t="shared" si="219"/>
        <v>2026-01</v>
      </c>
    </row>
    <row r="3519" spans="1:23">
      <c r="A3519" s="1" t="s">
        <v>5779</v>
      </c>
      <c r="B3519" s="1" t="s">
        <v>4783</v>
      </c>
      <c r="C3519" s="1" t="s">
        <v>47</v>
      </c>
      <c r="D3519" s="1" t="s">
        <v>26</v>
      </c>
      <c r="E3519" s="1" t="s">
        <v>44</v>
      </c>
      <c r="F3519">
        <v>1</v>
      </c>
      <c r="G3519" s="2">
        <v>45981</v>
      </c>
      <c r="H3519" s="2">
        <v>45987</v>
      </c>
      <c r="I3519">
        <v>4928.6099999999997</v>
      </c>
      <c r="M3519" s="1" t="s">
        <v>32</v>
      </c>
      <c r="N3519" s="1" t="s">
        <v>168</v>
      </c>
      <c r="O3519" s="2">
        <v>46030</v>
      </c>
      <c r="P3519" s="2"/>
      <c r="Q3519">
        <f>_xlfn.XLOOKUP(E3519,CPT!$A$2:$A$13,CPT!$D$2:$D$13)</f>
        <v>4800</v>
      </c>
      <c r="R3519" s="1">
        <f>_xlfn.XLOOKUP(C3519,Contract!$A$2:$A$9,Contract!$B$2:$B$9)</f>
        <v>0.28000000000000003</v>
      </c>
      <c r="S3519" s="1">
        <f t="shared" si="216"/>
        <v>1344</v>
      </c>
      <c r="T3519" s="1" t="str">
        <f t="shared" si="217"/>
        <v/>
      </c>
      <c r="U3519" s="1" t="str">
        <f t="shared" si="218"/>
        <v/>
      </c>
      <c r="V3519" s="1" t="str">
        <f>_xlfn.XLOOKUP(C3519,Payers!$A$2:$A$9,Payers!$B$2:$B$9)</f>
        <v>Coastal Medicaid MCO</v>
      </c>
      <c r="W3519" s="1" t="str">
        <f t="shared" si="219"/>
        <v>2025-11</v>
      </c>
    </row>
    <row r="3520" spans="1:23">
      <c r="A3520" s="1" t="s">
        <v>5780</v>
      </c>
      <c r="B3520" s="1" t="s">
        <v>1156</v>
      </c>
      <c r="C3520" s="1" t="s">
        <v>60</v>
      </c>
      <c r="D3520" s="1" t="s">
        <v>37</v>
      </c>
      <c r="E3520" s="1" t="s">
        <v>48</v>
      </c>
      <c r="F3520">
        <v>1</v>
      </c>
      <c r="G3520" s="2">
        <v>46284</v>
      </c>
      <c r="H3520" s="2">
        <v>46287</v>
      </c>
      <c r="I3520">
        <v>429.62</v>
      </c>
      <c r="M3520" s="1" t="s">
        <v>69</v>
      </c>
      <c r="N3520" s="1" t="s">
        <v>22</v>
      </c>
      <c r="O3520" s="2"/>
      <c r="P3520" s="2"/>
      <c r="Q3520">
        <f>_xlfn.XLOOKUP(E3520,CPT!$A$2:$A$13,CPT!$D$2:$D$13)</f>
        <v>420</v>
      </c>
      <c r="R3520" s="1">
        <f>_xlfn.XLOOKUP(C3520,Contract!$A$2:$A$9,Contract!$B$2:$B$9)</f>
        <v>0.45</v>
      </c>
      <c r="S3520" s="1">
        <f t="shared" si="216"/>
        <v>189</v>
      </c>
      <c r="T3520" s="1" t="str">
        <f t="shared" si="217"/>
        <v/>
      </c>
      <c r="U3520" s="1" t="str">
        <f t="shared" si="218"/>
        <v/>
      </c>
      <c r="V3520" s="1" t="str">
        <f>_xlfn.XLOOKUP(C3520,Payers!$A$2:$A$9,Payers!$B$2:$B$9)</f>
        <v>Blue Horizon Commercial</v>
      </c>
      <c r="W3520" s="1" t="str">
        <f t="shared" si="219"/>
        <v>2026-09</v>
      </c>
    </row>
    <row r="3521" spans="1:23">
      <c r="A3521" s="1" t="s">
        <v>5781</v>
      </c>
      <c r="B3521" s="1" t="s">
        <v>1538</v>
      </c>
      <c r="C3521" s="1" t="s">
        <v>47</v>
      </c>
      <c r="D3521" s="1" t="s">
        <v>37</v>
      </c>
      <c r="E3521" s="1" t="s">
        <v>57</v>
      </c>
      <c r="F3521">
        <v>1</v>
      </c>
      <c r="G3521" s="2">
        <v>46054</v>
      </c>
      <c r="H3521" s="2">
        <v>46060</v>
      </c>
      <c r="I3521">
        <v>211.67</v>
      </c>
      <c r="M3521" s="1" t="s">
        <v>32</v>
      </c>
      <c r="N3521" s="1" t="s">
        <v>124</v>
      </c>
      <c r="O3521" s="2">
        <v>46110</v>
      </c>
      <c r="P3521" s="2"/>
      <c r="Q3521">
        <f>_xlfn.XLOOKUP(E3521,CPT!$A$2:$A$13,CPT!$D$2:$D$13)</f>
        <v>210</v>
      </c>
      <c r="R3521" s="1">
        <f>_xlfn.XLOOKUP(C3521,Contract!$A$2:$A$9,Contract!$B$2:$B$9)</f>
        <v>0.28000000000000003</v>
      </c>
      <c r="S3521" s="1">
        <f t="shared" si="216"/>
        <v>58.8</v>
      </c>
      <c r="T3521" s="1" t="str">
        <f t="shared" si="217"/>
        <v/>
      </c>
      <c r="U3521" s="1" t="str">
        <f t="shared" si="218"/>
        <v/>
      </c>
      <c r="V3521" s="1" t="str">
        <f>_xlfn.XLOOKUP(C3521,Payers!$A$2:$A$9,Payers!$B$2:$B$9)</f>
        <v>Coastal Medicaid MCO</v>
      </c>
      <c r="W3521" s="1" t="str">
        <f t="shared" si="219"/>
        <v>2026-02</v>
      </c>
    </row>
    <row r="3522" spans="1:23">
      <c r="A3522" s="1" t="s">
        <v>5782</v>
      </c>
      <c r="B3522" s="1" t="s">
        <v>5302</v>
      </c>
      <c r="C3522" s="1" t="s">
        <v>76</v>
      </c>
      <c r="D3522" s="1" t="s">
        <v>30</v>
      </c>
      <c r="E3522" s="1" t="s">
        <v>20</v>
      </c>
      <c r="F3522">
        <v>1</v>
      </c>
      <c r="G3522" s="2">
        <v>46123</v>
      </c>
      <c r="H3522" s="2">
        <v>46127</v>
      </c>
      <c r="I3522">
        <v>141.12</v>
      </c>
      <c r="J3522">
        <v>51.2</v>
      </c>
      <c r="K3522">
        <v>46.08</v>
      </c>
      <c r="L3522">
        <v>5.12</v>
      </c>
      <c r="M3522" s="1" t="s">
        <v>21</v>
      </c>
      <c r="N3522" s="1" t="s">
        <v>22</v>
      </c>
      <c r="O3522" s="2">
        <v>46170</v>
      </c>
      <c r="P3522" s="2">
        <v>46170</v>
      </c>
      <c r="Q3522">
        <f>_xlfn.XLOOKUP(E3522,CPT!$A$2:$A$13,CPT!$D$2:$D$13)</f>
        <v>145</v>
      </c>
      <c r="R3522" s="1">
        <f>_xlfn.XLOOKUP(C3522,Contract!$A$2:$A$9,Contract!$B$2:$B$9)</f>
        <v>0.43</v>
      </c>
      <c r="S3522" s="1">
        <f t="shared" ref="S3522:S3585" si="220">ROUND(Q3522*F3522*R3522,2)</f>
        <v>62.35</v>
      </c>
      <c r="T3522" s="1">
        <f t="shared" ref="T3522:T3585" si="221">IF(M3522="Paid",S3522-J3522,"")</f>
        <v>11.149999999999999</v>
      </c>
      <c r="U3522" s="1" t="str">
        <f t="shared" ref="U3522:U3585" si="222">IF(M3522&lt;&gt;"Paid","",IF(T3522&gt;S3522*0.05,"Underpaid","OK"))</f>
        <v>Underpaid</v>
      </c>
      <c r="V3522" s="1" t="str">
        <f>_xlfn.XLOOKUP(C3522,Payers!$A$2:$A$9,Payers!$B$2:$B$9)</f>
        <v>Summit Health Commercial</v>
      </c>
      <c r="W3522" s="1" t="str">
        <f t="shared" ref="W3522:W3585" si="223">TEXT(G3522,"yyyy-mm")</f>
        <v>2026-04</v>
      </c>
    </row>
    <row r="3523" spans="1:23">
      <c r="A3523" s="1" t="s">
        <v>5783</v>
      </c>
      <c r="B3523" s="1" t="s">
        <v>5784</v>
      </c>
      <c r="C3523" s="1" t="s">
        <v>36</v>
      </c>
      <c r="D3523" s="1" t="s">
        <v>26</v>
      </c>
      <c r="E3523" s="1" t="s">
        <v>185</v>
      </c>
      <c r="F3523">
        <v>1</v>
      </c>
      <c r="G3523" s="2">
        <v>46054</v>
      </c>
      <c r="H3523" s="2">
        <v>46059</v>
      </c>
      <c r="I3523">
        <v>1131.93</v>
      </c>
      <c r="J3523">
        <v>320.3</v>
      </c>
      <c r="K3523">
        <v>256.24</v>
      </c>
      <c r="L3523">
        <v>64.06</v>
      </c>
      <c r="M3523" s="1" t="s">
        <v>21</v>
      </c>
      <c r="N3523" s="1" t="s">
        <v>22</v>
      </c>
      <c r="O3523" s="2">
        <v>46110</v>
      </c>
      <c r="P3523" s="2">
        <v>46110</v>
      </c>
      <c r="Q3523">
        <f>_xlfn.XLOOKUP(E3523,CPT!$A$2:$A$13,CPT!$D$2:$D$13)</f>
        <v>1150</v>
      </c>
      <c r="R3523" s="1">
        <f>_xlfn.XLOOKUP(C3523,Contract!$A$2:$A$9,Contract!$B$2:$B$9)</f>
        <v>0.27</v>
      </c>
      <c r="S3523" s="1">
        <f t="shared" si="220"/>
        <v>310.5</v>
      </c>
      <c r="T3523" s="1">
        <f t="shared" si="221"/>
        <v>-9.8000000000000114</v>
      </c>
      <c r="U3523" s="1" t="str">
        <f t="shared" si="222"/>
        <v>OK</v>
      </c>
      <c r="V3523" s="1" t="str">
        <f>_xlfn.XLOOKUP(C3523,Payers!$A$2:$A$9,Payers!$B$2:$B$9)</f>
        <v>Florida Medicaid</v>
      </c>
      <c r="W3523" s="1" t="str">
        <f t="shared" si="223"/>
        <v>2026-02</v>
      </c>
    </row>
    <row r="3524" spans="1:23">
      <c r="A3524" s="1" t="s">
        <v>5785</v>
      </c>
      <c r="B3524" s="1" t="s">
        <v>299</v>
      </c>
      <c r="C3524" s="1" t="s">
        <v>60</v>
      </c>
      <c r="D3524" s="1" t="s">
        <v>19</v>
      </c>
      <c r="E3524" s="1" t="s">
        <v>41</v>
      </c>
      <c r="F3524">
        <v>1</v>
      </c>
      <c r="G3524" s="2">
        <v>46271</v>
      </c>
      <c r="H3524" s="2">
        <v>46277</v>
      </c>
      <c r="I3524">
        <v>37.83</v>
      </c>
      <c r="M3524" s="1" t="s">
        <v>69</v>
      </c>
      <c r="N3524" s="1" t="s">
        <v>22</v>
      </c>
      <c r="O3524" s="2"/>
      <c r="P3524" s="2"/>
      <c r="Q3524">
        <f>_xlfn.XLOOKUP(E3524,CPT!$A$2:$A$13,CPT!$D$2:$D$13)</f>
        <v>38</v>
      </c>
      <c r="R3524" s="1">
        <f>_xlfn.XLOOKUP(C3524,Contract!$A$2:$A$9,Contract!$B$2:$B$9)</f>
        <v>0.45</v>
      </c>
      <c r="S3524" s="1">
        <f t="shared" si="220"/>
        <v>17.100000000000001</v>
      </c>
      <c r="T3524" s="1" t="str">
        <f t="shared" si="221"/>
        <v/>
      </c>
      <c r="U3524" s="1" t="str">
        <f t="shared" si="222"/>
        <v/>
      </c>
      <c r="V3524" s="1" t="str">
        <f>_xlfn.XLOOKUP(C3524,Payers!$A$2:$A$9,Payers!$B$2:$B$9)</f>
        <v>Blue Horizon Commercial</v>
      </c>
      <c r="W3524" s="1" t="str">
        <f t="shared" si="223"/>
        <v>2026-09</v>
      </c>
    </row>
    <row r="3525" spans="1:23">
      <c r="A3525" s="1" t="s">
        <v>5786</v>
      </c>
      <c r="B3525" s="1" t="s">
        <v>1471</v>
      </c>
      <c r="C3525" s="1" t="s">
        <v>36</v>
      </c>
      <c r="D3525" s="1" t="s">
        <v>30</v>
      </c>
      <c r="E3525" s="1" t="s">
        <v>91</v>
      </c>
      <c r="F3525">
        <v>1</v>
      </c>
      <c r="G3525" s="2">
        <v>46094</v>
      </c>
      <c r="H3525" s="2">
        <v>46095</v>
      </c>
      <c r="I3525">
        <v>57.14</v>
      </c>
      <c r="J3525">
        <v>13.42</v>
      </c>
      <c r="K3525">
        <v>13.42</v>
      </c>
      <c r="L3525">
        <v>0</v>
      </c>
      <c r="M3525" s="1" t="s">
        <v>21</v>
      </c>
      <c r="N3525" s="1" t="s">
        <v>22</v>
      </c>
      <c r="O3525" s="2">
        <v>46130</v>
      </c>
      <c r="P3525" s="2">
        <v>46130</v>
      </c>
      <c r="Q3525">
        <f>_xlfn.XLOOKUP(E3525,CPT!$A$2:$A$13,CPT!$D$2:$D$13)</f>
        <v>58</v>
      </c>
      <c r="R3525" s="1">
        <f>_xlfn.XLOOKUP(C3525,Contract!$A$2:$A$9,Contract!$B$2:$B$9)</f>
        <v>0.27</v>
      </c>
      <c r="S3525" s="1">
        <f t="shared" si="220"/>
        <v>15.66</v>
      </c>
      <c r="T3525" s="1">
        <f t="shared" si="221"/>
        <v>2.2400000000000002</v>
      </c>
      <c r="U3525" s="1" t="str">
        <f t="shared" si="222"/>
        <v>Underpaid</v>
      </c>
      <c r="V3525" s="1" t="str">
        <f>_xlfn.XLOOKUP(C3525,Payers!$A$2:$A$9,Payers!$B$2:$B$9)</f>
        <v>Florida Medicaid</v>
      </c>
      <c r="W3525" s="1" t="str">
        <f t="shared" si="223"/>
        <v>2026-03</v>
      </c>
    </row>
    <row r="3526" spans="1:23">
      <c r="A3526" s="1" t="s">
        <v>5787</v>
      </c>
      <c r="B3526" s="1" t="s">
        <v>392</v>
      </c>
      <c r="C3526" s="1" t="s">
        <v>25</v>
      </c>
      <c r="D3526" s="1" t="s">
        <v>26</v>
      </c>
      <c r="E3526" s="1" t="s">
        <v>113</v>
      </c>
      <c r="F3526">
        <v>1</v>
      </c>
      <c r="G3526" s="2">
        <v>46287</v>
      </c>
      <c r="H3526" s="2">
        <v>46292</v>
      </c>
      <c r="I3526">
        <v>1046.7</v>
      </c>
      <c r="M3526" s="1" t="s">
        <v>69</v>
      </c>
      <c r="N3526" s="1" t="s">
        <v>22</v>
      </c>
      <c r="O3526" s="2"/>
      <c r="P3526" s="2"/>
      <c r="Q3526">
        <f>_xlfn.XLOOKUP(E3526,CPT!$A$2:$A$13,CPT!$D$2:$D$13)</f>
        <v>1050</v>
      </c>
      <c r="R3526" s="1">
        <f>_xlfn.XLOOKUP(C3526,Contract!$A$2:$A$9,Contract!$B$2:$B$9)</f>
        <v>0.36</v>
      </c>
      <c r="S3526" s="1">
        <f t="shared" si="220"/>
        <v>378</v>
      </c>
      <c r="T3526" s="1" t="str">
        <f t="shared" si="221"/>
        <v/>
      </c>
      <c r="U3526" s="1" t="str">
        <f t="shared" si="222"/>
        <v/>
      </c>
      <c r="V3526" s="1" t="str">
        <f>_xlfn.XLOOKUP(C3526,Payers!$A$2:$A$9,Payers!$B$2:$B$9)</f>
        <v>Medicare Part B</v>
      </c>
      <c r="W3526" s="1" t="str">
        <f t="shared" si="223"/>
        <v>2026-09</v>
      </c>
    </row>
    <row r="3527" spans="1:23">
      <c r="A3527" s="1" t="s">
        <v>5788</v>
      </c>
      <c r="B3527" s="1" t="s">
        <v>2994</v>
      </c>
      <c r="C3527" s="1" t="s">
        <v>60</v>
      </c>
      <c r="D3527" s="1" t="s">
        <v>37</v>
      </c>
      <c r="E3527" s="1" t="s">
        <v>48</v>
      </c>
      <c r="F3527">
        <v>1</v>
      </c>
      <c r="G3527" s="2">
        <v>46110</v>
      </c>
      <c r="H3527" s="2">
        <v>46114</v>
      </c>
      <c r="I3527">
        <v>419.57</v>
      </c>
      <c r="J3527">
        <v>190.61</v>
      </c>
      <c r="K3527">
        <v>152.49</v>
      </c>
      <c r="L3527">
        <v>38.119999999999997</v>
      </c>
      <c r="M3527" s="1" t="s">
        <v>21</v>
      </c>
      <c r="N3527" s="1" t="s">
        <v>22</v>
      </c>
      <c r="O3527" s="2">
        <v>46139</v>
      </c>
      <c r="P3527" s="2">
        <v>46139</v>
      </c>
      <c r="Q3527">
        <f>_xlfn.XLOOKUP(E3527,CPT!$A$2:$A$13,CPT!$D$2:$D$13)</f>
        <v>420</v>
      </c>
      <c r="R3527" s="1">
        <f>_xlfn.XLOOKUP(C3527,Contract!$A$2:$A$9,Contract!$B$2:$B$9)</f>
        <v>0.45</v>
      </c>
      <c r="S3527" s="1">
        <f t="shared" si="220"/>
        <v>189</v>
      </c>
      <c r="T3527" s="1">
        <f t="shared" si="221"/>
        <v>-1.6100000000000136</v>
      </c>
      <c r="U3527" s="1" t="str">
        <f t="shared" si="222"/>
        <v>OK</v>
      </c>
      <c r="V3527" s="1" t="str">
        <f>_xlfn.XLOOKUP(C3527,Payers!$A$2:$A$9,Payers!$B$2:$B$9)</f>
        <v>Blue Horizon Commercial</v>
      </c>
      <c r="W3527" s="1" t="str">
        <f t="shared" si="223"/>
        <v>2026-03</v>
      </c>
    </row>
    <row r="3528" spans="1:23">
      <c r="A3528" s="1" t="s">
        <v>5789</v>
      </c>
      <c r="B3528" s="1" t="s">
        <v>1947</v>
      </c>
      <c r="C3528" s="1" t="s">
        <v>52</v>
      </c>
      <c r="D3528" s="1" t="s">
        <v>26</v>
      </c>
      <c r="E3528" s="1" t="s">
        <v>113</v>
      </c>
      <c r="F3528">
        <v>1</v>
      </c>
      <c r="G3528" s="2">
        <v>46134</v>
      </c>
      <c r="H3528" s="2">
        <v>46140</v>
      </c>
      <c r="I3528">
        <v>1078.1199999999999</v>
      </c>
      <c r="J3528">
        <v>530.82000000000005</v>
      </c>
      <c r="K3528">
        <v>530.82000000000005</v>
      </c>
      <c r="L3528">
        <v>0</v>
      </c>
      <c r="M3528" s="1" t="s">
        <v>21</v>
      </c>
      <c r="N3528" s="1" t="s">
        <v>22</v>
      </c>
      <c r="O3528" s="2">
        <v>46187</v>
      </c>
      <c r="P3528" s="2">
        <v>46187</v>
      </c>
      <c r="Q3528">
        <f>_xlfn.XLOOKUP(E3528,CPT!$A$2:$A$13,CPT!$D$2:$D$13)</f>
        <v>1050</v>
      </c>
      <c r="R3528" s="1">
        <f>_xlfn.XLOOKUP(C3528,Contract!$A$2:$A$9,Contract!$B$2:$B$9)</f>
        <v>0.47</v>
      </c>
      <c r="S3528" s="1">
        <f t="shared" si="220"/>
        <v>493.5</v>
      </c>
      <c r="T3528" s="1">
        <f t="shared" si="221"/>
        <v>-37.32000000000005</v>
      </c>
      <c r="U3528" s="1" t="str">
        <f t="shared" si="222"/>
        <v>OK</v>
      </c>
      <c r="V3528" s="1" t="str">
        <f>_xlfn.XLOOKUP(C3528,Payers!$A$2:$A$9,Payers!$B$2:$B$9)</f>
        <v>Keystone Commercial PPO</v>
      </c>
      <c r="W3528" s="1" t="str">
        <f t="shared" si="223"/>
        <v>2026-04</v>
      </c>
    </row>
    <row r="3529" spans="1:23">
      <c r="A3529" s="1" t="s">
        <v>5790</v>
      </c>
      <c r="B3529" s="1" t="s">
        <v>1416</v>
      </c>
      <c r="C3529" s="1" t="s">
        <v>60</v>
      </c>
      <c r="D3529" s="1" t="s">
        <v>19</v>
      </c>
      <c r="E3529" s="1" t="s">
        <v>88</v>
      </c>
      <c r="F3529">
        <v>1</v>
      </c>
      <c r="G3529" s="2">
        <v>46284</v>
      </c>
      <c r="H3529" s="2">
        <v>46295</v>
      </c>
      <c r="I3529">
        <v>263.45</v>
      </c>
      <c r="M3529" s="1" t="s">
        <v>69</v>
      </c>
      <c r="N3529" s="1" t="s">
        <v>22</v>
      </c>
      <c r="O3529" s="2"/>
      <c r="P3529" s="2"/>
      <c r="Q3529">
        <f>_xlfn.XLOOKUP(E3529,CPT!$A$2:$A$13,CPT!$D$2:$D$13)</f>
        <v>260</v>
      </c>
      <c r="R3529" s="1">
        <f>_xlfn.XLOOKUP(C3529,Contract!$A$2:$A$9,Contract!$B$2:$B$9)</f>
        <v>0.45</v>
      </c>
      <c r="S3529" s="1">
        <f t="shared" si="220"/>
        <v>117</v>
      </c>
      <c r="T3529" s="1" t="str">
        <f t="shared" si="221"/>
        <v/>
      </c>
      <c r="U3529" s="1" t="str">
        <f t="shared" si="222"/>
        <v/>
      </c>
      <c r="V3529" s="1" t="str">
        <f>_xlfn.XLOOKUP(C3529,Payers!$A$2:$A$9,Payers!$B$2:$B$9)</f>
        <v>Blue Horizon Commercial</v>
      </c>
      <c r="W3529" s="1" t="str">
        <f t="shared" si="223"/>
        <v>2026-09</v>
      </c>
    </row>
    <row r="3530" spans="1:23">
      <c r="A3530" s="1" t="s">
        <v>5791</v>
      </c>
      <c r="B3530" s="1" t="s">
        <v>5792</v>
      </c>
      <c r="C3530" s="1" t="s">
        <v>52</v>
      </c>
      <c r="D3530" s="1" t="s">
        <v>26</v>
      </c>
      <c r="E3530" s="1" t="s">
        <v>113</v>
      </c>
      <c r="F3530">
        <v>1</v>
      </c>
      <c r="G3530" s="2">
        <v>46244</v>
      </c>
      <c r="H3530" s="2">
        <v>46260</v>
      </c>
      <c r="I3530">
        <v>1020.13</v>
      </c>
      <c r="M3530" s="1" t="s">
        <v>69</v>
      </c>
      <c r="N3530" s="1" t="s">
        <v>22</v>
      </c>
      <c r="O3530" s="2"/>
      <c r="P3530" s="2"/>
      <c r="Q3530">
        <f>_xlfn.XLOOKUP(E3530,CPT!$A$2:$A$13,CPT!$D$2:$D$13)</f>
        <v>1050</v>
      </c>
      <c r="R3530" s="1">
        <f>_xlfn.XLOOKUP(C3530,Contract!$A$2:$A$9,Contract!$B$2:$B$9)</f>
        <v>0.47</v>
      </c>
      <c r="S3530" s="1">
        <f t="shared" si="220"/>
        <v>493.5</v>
      </c>
      <c r="T3530" s="1" t="str">
        <f t="shared" si="221"/>
        <v/>
      </c>
      <c r="U3530" s="1" t="str">
        <f t="shared" si="222"/>
        <v/>
      </c>
      <c r="V3530" s="1" t="str">
        <f>_xlfn.XLOOKUP(C3530,Payers!$A$2:$A$9,Payers!$B$2:$B$9)</f>
        <v>Keystone Commercial PPO</v>
      </c>
      <c r="W3530" s="1" t="str">
        <f t="shared" si="223"/>
        <v>2026-08</v>
      </c>
    </row>
    <row r="3531" spans="1:23">
      <c r="A3531" s="1" t="s">
        <v>5793</v>
      </c>
      <c r="B3531" s="1" t="s">
        <v>110</v>
      </c>
      <c r="C3531" s="1" t="s">
        <v>60</v>
      </c>
      <c r="D3531" s="1" t="s">
        <v>26</v>
      </c>
      <c r="E3531" s="1" t="s">
        <v>88</v>
      </c>
      <c r="F3531">
        <v>1</v>
      </c>
      <c r="G3531" s="2">
        <v>46272</v>
      </c>
      <c r="H3531" s="2">
        <v>46275</v>
      </c>
      <c r="I3531">
        <v>265.02</v>
      </c>
      <c r="M3531" s="1" t="s">
        <v>69</v>
      </c>
      <c r="N3531" s="1" t="s">
        <v>22</v>
      </c>
      <c r="O3531" s="2"/>
      <c r="P3531" s="2"/>
      <c r="Q3531">
        <f>_xlfn.XLOOKUP(E3531,CPT!$A$2:$A$13,CPT!$D$2:$D$13)</f>
        <v>260</v>
      </c>
      <c r="R3531" s="1">
        <f>_xlfn.XLOOKUP(C3531,Contract!$A$2:$A$9,Contract!$B$2:$B$9)</f>
        <v>0.45</v>
      </c>
      <c r="S3531" s="1">
        <f t="shared" si="220"/>
        <v>117</v>
      </c>
      <c r="T3531" s="1" t="str">
        <f t="shared" si="221"/>
        <v/>
      </c>
      <c r="U3531" s="1" t="str">
        <f t="shared" si="222"/>
        <v/>
      </c>
      <c r="V3531" s="1" t="str">
        <f>_xlfn.XLOOKUP(C3531,Payers!$A$2:$A$9,Payers!$B$2:$B$9)</f>
        <v>Blue Horizon Commercial</v>
      </c>
      <c r="W3531" s="1" t="str">
        <f t="shared" si="223"/>
        <v>2026-09</v>
      </c>
    </row>
    <row r="3532" spans="1:23">
      <c r="A3532" s="1" t="s">
        <v>5794</v>
      </c>
      <c r="B3532" s="1" t="s">
        <v>5014</v>
      </c>
      <c r="C3532" s="1" t="s">
        <v>47</v>
      </c>
      <c r="D3532" s="1" t="s">
        <v>26</v>
      </c>
      <c r="E3532" s="1" t="s">
        <v>44</v>
      </c>
      <c r="F3532">
        <v>1</v>
      </c>
      <c r="G3532" s="2">
        <v>46038</v>
      </c>
      <c r="H3532" s="2">
        <v>46039</v>
      </c>
      <c r="I3532">
        <v>4725.53</v>
      </c>
      <c r="M3532" s="1" t="s">
        <v>32</v>
      </c>
      <c r="N3532" s="1" t="s">
        <v>49</v>
      </c>
      <c r="O3532" s="2">
        <v>46128</v>
      </c>
      <c r="P3532" s="2"/>
      <c r="Q3532">
        <f>_xlfn.XLOOKUP(E3532,CPT!$A$2:$A$13,CPT!$D$2:$D$13)</f>
        <v>4800</v>
      </c>
      <c r="R3532" s="1">
        <f>_xlfn.XLOOKUP(C3532,Contract!$A$2:$A$9,Contract!$B$2:$B$9)</f>
        <v>0.28000000000000003</v>
      </c>
      <c r="S3532" s="1">
        <f t="shared" si="220"/>
        <v>1344</v>
      </c>
      <c r="T3532" s="1" t="str">
        <f t="shared" si="221"/>
        <v/>
      </c>
      <c r="U3532" s="1" t="str">
        <f t="shared" si="222"/>
        <v/>
      </c>
      <c r="V3532" s="1" t="str">
        <f>_xlfn.XLOOKUP(C3532,Payers!$A$2:$A$9,Payers!$B$2:$B$9)</f>
        <v>Coastal Medicaid MCO</v>
      </c>
      <c r="W3532" s="1" t="str">
        <f t="shared" si="223"/>
        <v>2026-01</v>
      </c>
    </row>
    <row r="3533" spans="1:23">
      <c r="A3533" s="1" t="s">
        <v>5795</v>
      </c>
      <c r="B3533" s="1" t="s">
        <v>5796</v>
      </c>
      <c r="C3533" s="1" t="s">
        <v>79</v>
      </c>
      <c r="D3533" s="1" t="s">
        <v>19</v>
      </c>
      <c r="E3533" s="1" t="s">
        <v>20</v>
      </c>
      <c r="F3533">
        <v>1</v>
      </c>
      <c r="G3533" s="2">
        <v>46064</v>
      </c>
      <c r="H3533" s="2">
        <v>46066</v>
      </c>
      <c r="I3533">
        <v>141.44999999999999</v>
      </c>
      <c r="J3533">
        <v>141.44999999999999</v>
      </c>
      <c r="K3533">
        <v>141.44999999999999</v>
      </c>
      <c r="L3533">
        <v>0</v>
      </c>
      <c r="M3533" s="1" t="s">
        <v>21</v>
      </c>
      <c r="N3533" s="1" t="s">
        <v>22</v>
      </c>
      <c r="O3533" s="2">
        <v>46141</v>
      </c>
      <c r="P3533" s="2">
        <v>46141</v>
      </c>
      <c r="Q3533">
        <f>_xlfn.XLOOKUP(E3533,CPT!$A$2:$A$13,CPT!$D$2:$D$13)</f>
        <v>145</v>
      </c>
      <c r="R3533" s="1">
        <f>_xlfn.XLOOKUP(C3533,Contract!$A$2:$A$9,Contract!$B$2:$B$9)</f>
        <v>1</v>
      </c>
      <c r="S3533" s="1">
        <f t="shared" si="220"/>
        <v>145</v>
      </c>
      <c r="T3533" s="1">
        <f t="shared" si="221"/>
        <v>3.5500000000000114</v>
      </c>
      <c r="U3533" s="1" t="str">
        <f t="shared" si="222"/>
        <v>OK</v>
      </c>
      <c r="V3533" s="1" t="str">
        <f>_xlfn.XLOOKUP(C3533,Payers!$A$2:$A$9,Payers!$B$2:$B$9)</f>
        <v>Self-Pay</v>
      </c>
      <c r="W3533" s="1" t="str">
        <f t="shared" si="223"/>
        <v>2026-02</v>
      </c>
    </row>
    <row r="3534" spans="1:23">
      <c r="A3534" s="1" t="s">
        <v>5797</v>
      </c>
      <c r="B3534" s="1" t="s">
        <v>1025</v>
      </c>
      <c r="C3534" s="1" t="s">
        <v>76</v>
      </c>
      <c r="D3534" s="1" t="s">
        <v>26</v>
      </c>
      <c r="E3534" s="1" t="s">
        <v>57</v>
      </c>
      <c r="F3534">
        <v>1</v>
      </c>
      <c r="G3534" s="2">
        <v>46182</v>
      </c>
      <c r="H3534" s="2">
        <v>46185</v>
      </c>
      <c r="I3534">
        <v>206.63</v>
      </c>
      <c r="J3534">
        <v>99.55</v>
      </c>
      <c r="K3534">
        <v>99.55</v>
      </c>
      <c r="L3534">
        <v>0</v>
      </c>
      <c r="M3534" s="1" t="s">
        <v>21</v>
      </c>
      <c r="N3534" s="1" t="s">
        <v>22</v>
      </c>
      <c r="O3534" s="2">
        <v>46233</v>
      </c>
      <c r="P3534" s="2">
        <v>46233</v>
      </c>
      <c r="Q3534">
        <f>_xlfn.XLOOKUP(E3534,CPT!$A$2:$A$13,CPT!$D$2:$D$13)</f>
        <v>210</v>
      </c>
      <c r="R3534" s="1">
        <f>_xlfn.XLOOKUP(C3534,Contract!$A$2:$A$9,Contract!$B$2:$B$9)</f>
        <v>0.43</v>
      </c>
      <c r="S3534" s="1">
        <f t="shared" si="220"/>
        <v>90.3</v>
      </c>
      <c r="T3534" s="1">
        <f t="shared" si="221"/>
        <v>-9.25</v>
      </c>
      <c r="U3534" s="1" t="str">
        <f t="shared" si="222"/>
        <v>OK</v>
      </c>
      <c r="V3534" s="1" t="str">
        <f>_xlfn.XLOOKUP(C3534,Payers!$A$2:$A$9,Payers!$B$2:$B$9)</f>
        <v>Summit Health Commercial</v>
      </c>
      <c r="W3534" s="1" t="str">
        <f t="shared" si="223"/>
        <v>2026-06</v>
      </c>
    </row>
    <row r="3535" spans="1:23">
      <c r="A3535" s="1" t="s">
        <v>5798</v>
      </c>
      <c r="B3535" s="1" t="s">
        <v>1333</v>
      </c>
      <c r="C3535" s="1" t="s">
        <v>60</v>
      </c>
      <c r="D3535" s="1" t="s">
        <v>19</v>
      </c>
      <c r="E3535" s="1" t="s">
        <v>57</v>
      </c>
      <c r="F3535">
        <v>1</v>
      </c>
      <c r="G3535" s="2">
        <v>46235</v>
      </c>
      <c r="H3535" s="2">
        <v>46238</v>
      </c>
      <c r="I3535">
        <v>206.7</v>
      </c>
      <c r="J3535">
        <v>97.34</v>
      </c>
      <c r="K3535">
        <v>77.87</v>
      </c>
      <c r="L3535">
        <v>19.47</v>
      </c>
      <c r="M3535" s="1" t="s">
        <v>21</v>
      </c>
      <c r="N3535" s="1" t="s">
        <v>22</v>
      </c>
      <c r="O3535" s="2">
        <v>46276</v>
      </c>
      <c r="P3535" s="2">
        <v>46276</v>
      </c>
      <c r="Q3535">
        <f>_xlfn.XLOOKUP(E3535,CPT!$A$2:$A$13,CPT!$D$2:$D$13)</f>
        <v>210</v>
      </c>
      <c r="R3535" s="1">
        <f>_xlfn.XLOOKUP(C3535,Contract!$A$2:$A$9,Contract!$B$2:$B$9)</f>
        <v>0.45</v>
      </c>
      <c r="S3535" s="1">
        <f t="shared" si="220"/>
        <v>94.5</v>
      </c>
      <c r="T3535" s="1">
        <f t="shared" si="221"/>
        <v>-2.8400000000000034</v>
      </c>
      <c r="U3535" s="1" t="str">
        <f t="shared" si="222"/>
        <v>OK</v>
      </c>
      <c r="V3535" s="1" t="str">
        <f>_xlfn.XLOOKUP(C3535,Payers!$A$2:$A$9,Payers!$B$2:$B$9)</f>
        <v>Blue Horizon Commercial</v>
      </c>
      <c r="W3535" s="1" t="str">
        <f t="shared" si="223"/>
        <v>2026-08</v>
      </c>
    </row>
    <row r="3536" spans="1:23">
      <c r="A3536" s="1" t="s">
        <v>5799</v>
      </c>
      <c r="B3536" s="1" t="s">
        <v>5800</v>
      </c>
      <c r="C3536" s="1" t="s">
        <v>60</v>
      </c>
      <c r="D3536" s="1" t="s">
        <v>19</v>
      </c>
      <c r="E3536" s="1" t="s">
        <v>88</v>
      </c>
      <c r="F3536">
        <v>1</v>
      </c>
      <c r="G3536" s="2">
        <v>45956</v>
      </c>
      <c r="H3536" s="2">
        <v>45961</v>
      </c>
      <c r="I3536">
        <v>267.45</v>
      </c>
      <c r="J3536">
        <v>106.72</v>
      </c>
      <c r="K3536">
        <v>106.72</v>
      </c>
      <c r="L3536">
        <v>0</v>
      </c>
      <c r="M3536" s="1" t="s">
        <v>21</v>
      </c>
      <c r="N3536" s="1" t="s">
        <v>22</v>
      </c>
      <c r="O3536" s="2">
        <v>46003</v>
      </c>
      <c r="P3536" s="2">
        <v>46003</v>
      </c>
      <c r="Q3536">
        <f>_xlfn.XLOOKUP(E3536,CPT!$A$2:$A$13,CPT!$D$2:$D$13)</f>
        <v>260</v>
      </c>
      <c r="R3536" s="1">
        <f>_xlfn.XLOOKUP(C3536,Contract!$A$2:$A$9,Contract!$B$2:$B$9)</f>
        <v>0.45</v>
      </c>
      <c r="S3536" s="1">
        <f t="shared" si="220"/>
        <v>117</v>
      </c>
      <c r="T3536" s="1">
        <f t="shared" si="221"/>
        <v>10.280000000000001</v>
      </c>
      <c r="U3536" s="1" t="str">
        <f t="shared" si="222"/>
        <v>Underpaid</v>
      </c>
      <c r="V3536" s="1" t="str">
        <f>_xlfn.XLOOKUP(C3536,Payers!$A$2:$A$9,Payers!$B$2:$B$9)</f>
        <v>Blue Horizon Commercial</v>
      </c>
      <c r="W3536" s="1" t="str">
        <f t="shared" si="223"/>
        <v>2025-10</v>
      </c>
    </row>
    <row r="3537" spans="1:23">
      <c r="A3537" s="1" t="s">
        <v>5801</v>
      </c>
      <c r="B3537" s="1" t="s">
        <v>3744</v>
      </c>
      <c r="C3537" s="1" t="s">
        <v>47</v>
      </c>
      <c r="D3537" s="1" t="s">
        <v>30</v>
      </c>
      <c r="E3537" s="1" t="s">
        <v>31</v>
      </c>
      <c r="F3537">
        <v>1</v>
      </c>
      <c r="G3537" s="2">
        <v>46225</v>
      </c>
      <c r="H3537" s="2">
        <v>46233</v>
      </c>
      <c r="I3537">
        <v>61.48</v>
      </c>
      <c r="J3537">
        <v>17.73</v>
      </c>
      <c r="K3537">
        <v>17.73</v>
      </c>
      <c r="L3537">
        <v>0</v>
      </c>
      <c r="M3537" s="1" t="s">
        <v>21</v>
      </c>
      <c r="N3537" s="1" t="s">
        <v>22</v>
      </c>
      <c r="O3537" s="2">
        <v>46285</v>
      </c>
      <c r="P3537" s="2">
        <v>46285</v>
      </c>
      <c r="Q3537">
        <f>_xlfn.XLOOKUP(E3537,CPT!$A$2:$A$13,CPT!$D$2:$D$13)</f>
        <v>62</v>
      </c>
      <c r="R3537" s="1">
        <f>_xlfn.XLOOKUP(C3537,Contract!$A$2:$A$9,Contract!$B$2:$B$9)</f>
        <v>0.28000000000000003</v>
      </c>
      <c r="S3537" s="1">
        <f t="shared" si="220"/>
        <v>17.36</v>
      </c>
      <c r="T3537" s="1">
        <f t="shared" si="221"/>
        <v>-0.37000000000000099</v>
      </c>
      <c r="U3537" s="1" t="str">
        <f t="shared" si="222"/>
        <v>OK</v>
      </c>
      <c r="V3537" s="1" t="str">
        <f>_xlfn.XLOOKUP(C3537,Payers!$A$2:$A$9,Payers!$B$2:$B$9)</f>
        <v>Coastal Medicaid MCO</v>
      </c>
      <c r="W3537" s="1" t="str">
        <f t="shared" si="223"/>
        <v>2026-07</v>
      </c>
    </row>
    <row r="3538" spans="1:23">
      <c r="A3538" s="1" t="s">
        <v>5802</v>
      </c>
      <c r="B3538" s="1" t="s">
        <v>5803</v>
      </c>
      <c r="C3538" s="1" t="s">
        <v>60</v>
      </c>
      <c r="D3538" s="1" t="s">
        <v>26</v>
      </c>
      <c r="E3538" s="1" t="s">
        <v>44</v>
      </c>
      <c r="F3538">
        <v>1</v>
      </c>
      <c r="G3538" s="2">
        <v>46038</v>
      </c>
      <c r="H3538" s="2">
        <v>46040</v>
      </c>
      <c r="I3538">
        <v>4788.58</v>
      </c>
      <c r="M3538" s="1" t="s">
        <v>32</v>
      </c>
      <c r="N3538" s="1" t="s">
        <v>49</v>
      </c>
      <c r="O3538" s="2">
        <v>46056</v>
      </c>
      <c r="P3538" s="2"/>
      <c r="Q3538">
        <f>_xlfn.XLOOKUP(E3538,CPT!$A$2:$A$13,CPT!$D$2:$D$13)</f>
        <v>4800</v>
      </c>
      <c r="R3538" s="1">
        <f>_xlfn.XLOOKUP(C3538,Contract!$A$2:$A$9,Contract!$B$2:$B$9)</f>
        <v>0.45</v>
      </c>
      <c r="S3538" s="1">
        <f t="shared" si="220"/>
        <v>2160</v>
      </c>
      <c r="T3538" s="1" t="str">
        <f t="shared" si="221"/>
        <v/>
      </c>
      <c r="U3538" s="1" t="str">
        <f t="shared" si="222"/>
        <v/>
      </c>
      <c r="V3538" s="1" t="str">
        <f>_xlfn.XLOOKUP(C3538,Payers!$A$2:$A$9,Payers!$B$2:$B$9)</f>
        <v>Blue Horizon Commercial</v>
      </c>
      <c r="W3538" s="1" t="str">
        <f t="shared" si="223"/>
        <v>2026-01</v>
      </c>
    </row>
    <row r="3539" spans="1:23">
      <c r="A3539" s="1" t="s">
        <v>5804</v>
      </c>
      <c r="B3539" s="1" t="s">
        <v>4403</v>
      </c>
      <c r="C3539" s="1" t="s">
        <v>60</v>
      </c>
      <c r="D3539" s="1" t="s">
        <v>37</v>
      </c>
      <c r="E3539" s="1" t="s">
        <v>57</v>
      </c>
      <c r="F3539">
        <v>1</v>
      </c>
      <c r="G3539" s="2">
        <v>46266</v>
      </c>
      <c r="H3539" s="2">
        <v>46267</v>
      </c>
      <c r="I3539">
        <v>206.31</v>
      </c>
      <c r="M3539" s="1" t="s">
        <v>69</v>
      </c>
      <c r="N3539" s="1" t="s">
        <v>22</v>
      </c>
      <c r="O3539" s="2"/>
      <c r="P3539" s="2"/>
      <c r="Q3539">
        <f>_xlfn.XLOOKUP(E3539,CPT!$A$2:$A$13,CPT!$D$2:$D$13)</f>
        <v>210</v>
      </c>
      <c r="R3539" s="1">
        <f>_xlfn.XLOOKUP(C3539,Contract!$A$2:$A$9,Contract!$B$2:$B$9)</f>
        <v>0.45</v>
      </c>
      <c r="S3539" s="1">
        <f t="shared" si="220"/>
        <v>94.5</v>
      </c>
      <c r="T3539" s="1" t="str">
        <f t="shared" si="221"/>
        <v/>
      </c>
      <c r="U3539" s="1" t="str">
        <f t="shared" si="222"/>
        <v/>
      </c>
      <c r="V3539" s="1" t="str">
        <f>_xlfn.XLOOKUP(C3539,Payers!$A$2:$A$9,Payers!$B$2:$B$9)</f>
        <v>Blue Horizon Commercial</v>
      </c>
      <c r="W3539" s="1" t="str">
        <f t="shared" si="223"/>
        <v>2026-09</v>
      </c>
    </row>
    <row r="3540" spans="1:23">
      <c r="A3540" s="1" t="s">
        <v>5805</v>
      </c>
      <c r="B3540" s="1" t="s">
        <v>1308</v>
      </c>
      <c r="C3540" s="1" t="s">
        <v>47</v>
      </c>
      <c r="D3540" s="1" t="s">
        <v>37</v>
      </c>
      <c r="E3540" s="1" t="s">
        <v>38</v>
      </c>
      <c r="F3540">
        <v>20</v>
      </c>
      <c r="G3540" s="2">
        <v>46138</v>
      </c>
      <c r="H3540" s="2">
        <v>46146</v>
      </c>
      <c r="I3540">
        <v>29791.14</v>
      </c>
      <c r="J3540">
        <v>8858.5499999999993</v>
      </c>
      <c r="K3540">
        <v>8858.5499999999993</v>
      </c>
      <c r="L3540">
        <v>0</v>
      </c>
      <c r="M3540" s="1" t="s">
        <v>21</v>
      </c>
      <c r="N3540" s="1" t="s">
        <v>22</v>
      </c>
      <c r="O3540" s="2">
        <v>46215</v>
      </c>
      <c r="P3540" s="2">
        <v>46215</v>
      </c>
      <c r="Q3540">
        <f>_xlfn.XLOOKUP(E3540,CPT!$A$2:$A$13,CPT!$D$2:$D$13)</f>
        <v>1450</v>
      </c>
      <c r="R3540" s="1">
        <f>_xlfn.XLOOKUP(C3540,Contract!$A$2:$A$9,Contract!$B$2:$B$9)</f>
        <v>0.28000000000000003</v>
      </c>
      <c r="S3540" s="1">
        <f t="shared" si="220"/>
        <v>8120</v>
      </c>
      <c r="T3540" s="1">
        <f t="shared" si="221"/>
        <v>-738.54999999999927</v>
      </c>
      <c r="U3540" s="1" t="str">
        <f t="shared" si="222"/>
        <v>OK</v>
      </c>
      <c r="V3540" s="1" t="str">
        <f>_xlfn.XLOOKUP(C3540,Payers!$A$2:$A$9,Payers!$B$2:$B$9)</f>
        <v>Coastal Medicaid MCO</v>
      </c>
      <c r="W3540" s="1" t="str">
        <f t="shared" si="223"/>
        <v>2026-04</v>
      </c>
    </row>
    <row r="3541" spans="1:23">
      <c r="A3541" s="1" t="s">
        <v>5806</v>
      </c>
      <c r="B3541" s="1" t="s">
        <v>3953</v>
      </c>
      <c r="C3541" s="1" t="s">
        <v>60</v>
      </c>
      <c r="D3541" s="1" t="s">
        <v>37</v>
      </c>
      <c r="E3541" s="1" t="s">
        <v>38</v>
      </c>
      <c r="F3541">
        <v>5</v>
      </c>
      <c r="G3541" s="2">
        <v>46018</v>
      </c>
      <c r="H3541" s="2">
        <v>46025</v>
      </c>
      <c r="I3541">
        <v>7275.11</v>
      </c>
      <c r="J3541">
        <v>3092.25</v>
      </c>
      <c r="K3541">
        <v>2473.8000000000002</v>
      </c>
      <c r="L3541">
        <v>618.45000000000005</v>
      </c>
      <c r="M3541" s="1" t="s">
        <v>21</v>
      </c>
      <c r="N3541" s="1" t="s">
        <v>22</v>
      </c>
      <c r="O3541" s="2">
        <v>46049</v>
      </c>
      <c r="P3541" s="2">
        <v>46049</v>
      </c>
      <c r="Q3541">
        <f>_xlfn.XLOOKUP(E3541,CPT!$A$2:$A$13,CPT!$D$2:$D$13)</f>
        <v>1450</v>
      </c>
      <c r="R3541" s="1">
        <f>_xlfn.XLOOKUP(C3541,Contract!$A$2:$A$9,Contract!$B$2:$B$9)</f>
        <v>0.45</v>
      </c>
      <c r="S3541" s="1">
        <f t="shared" si="220"/>
        <v>3262.5</v>
      </c>
      <c r="T3541" s="1">
        <f t="shared" si="221"/>
        <v>170.25</v>
      </c>
      <c r="U3541" s="1" t="str">
        <f t="shared" si="222"/>
        <v>Underpaid</v>
      </c>
      <c r="V3541" s="1" t="str">
        <f>_xlfn.XLOOKUP(C3541,Payers!$A$2:$A$9,Payers!$B$2:$B$9)</f>
        <v>Blue Horizon Commercial</v>
      </c>
      <c r="W3541" s="1" t="str">
        <f t="shared" si="223"/>
        <v>2025-12</v>
      </c>
    </row>
    <row r="3542" spans="1:23">
      <c r="A3542" s="1" t="s">
        <v>5807</v>
      </c>
      <c r="B3542" s="1" t="s">
        <v>977</v>
      </c>
      <c r="C3542" s="1" t="s">
        <v>25</v>
      </c>
      <c r="D3542" s="1" t="s">
        <v>30</v>
      </c>
      <c r="E3542" s="1" t="s">
        <v>20</v>
      </c>
      <c r="F3542">
        <v>1</v>
      </c>
      <c r="G3542" s="2">
        <v>46037</v>
      </c>
      <c r="H3542" s="2">
        <v>46045</v>
      </c>
      <c r="I3542">
        <v>145.74</v>
      </c>
      <c r="M3542" s="1" t="s">
        <v>32</v>
      </c>
      <c r="N3542" s="1" t="s">
        <v>98</v>
      </c>
      <c r="O3542" s="2">
        <v>46072</v>
      </c>
      <c r="P3542" s="2"/>
      <c r="Q3542">
        <f>_xlfn.XLOOKUP(E3542,CPT!$A$2:$A$13,CPT!$D$2:$D$13)</f>
        <v>145</v>
      </c>
      <c r="R3542" s="1">
        <f>_xlfn.XLOOKUP(C3542,Contract!$A$2:$A$9,Contract!$B$2:$B$9)</f>
        <v>0.36</v>
      </c>
      <c r="S3542" s="1">
        <f t="shared" si="220"/>
        <v>52.2</v>
      </c>
      <c r="T3542" s="1" t="str">
        <f t="shared" si="221"/>
        <v/>
      </c>
      <c r="U3542" s="1" t="str">
        <f t="shared" si="222"/>
        <v/>
      </c>
      <c r="V3542" s="1" t="str">
        <f>_xlfn.XLOOKUP(C3542,Payers!$A$2:$A$9,Payers!$B$2:$B$9)</f>
        <v>Medicare Part B</v>
      </c>
      <c r="W3542" s="1" t="str">
        <f t="shared" si="223"/>
        <v>2026-01</v>
      </c>
    </row>
    <row r="3543" spans="1:23">
      <c r="A3543" s="1" t="s">
        <v>5808</v>
      </c>
      <c r="B3543" s="1" t="s">
        <v>1318</v>
      </c>
      <c r="C3543" s="1" t="s">
        <v>60</v>
      </c>
      <c r="D3543" s="1" t="s">
        <v>19</v>
      </c>
      <c r="E3543" s="1" t="s">
        <v>57</v>
      </c>
      <c r="F3543">
        <v>1</v>
      </c>
      <c r="G3543" s="2">
        <v>46263</v>
      </c>
      <c r="H3543" s="2">
        <v>46264</v>
      </c>
      <c r="I3543">
        <v>204.38</v>
      </c>
      <c r="J3543">
        <v>94.72</v>
      </c>
      <c r="K3543">
        <v>75.78</v>
      </c>
      <c r="L3543">
        <v>18.940000000000001</v>
      </c>
      <c r="M3543" s="1" t="s">
        <v>21</v>
      </c>
      <c r="N3543" s="1" t="s">
        <v>22</v>
      </c>
      <c r="O3543" s="2">
        <v>46277</v>
      </c>
      <c r="P3543" s="2">
        <v>46277</v>
      </c>
      <c r="Q3543">
        <f>_xlfn.XLOOKUP(E3543,CPT!$A$2:$A$13,CPT!$D$2:$D$13)</f>
        <v>210</v>
      </c>
      <c r="R3543" s="1">
        <f>_xlfn.XLOOKUP(C3543,Contract!$A$2:$A$9,Contract!$B$2:$B$9)</f>
        <v>0.45</v>
      </c>
      <c r="S3543" s="1">
        <f t="shared" si="220"/>
        <v>94.5</v>
      </c>
      <c r="T3543" s="1">
        <f t="shared" si="221"/>
        <v>-0.21999999999999886</v>
      </c>
      <c r="U3543" s="1" t="str">
        <f t="shared" si="222"/>
        <v>OK</v>
      </c>
      <c r="V3543" s="1" t="str">
        <f>_xlfn.XLOOKUP(C3543,Payers!$A$2:$A$9,Payers!$B$2:$B$9)</f>
        <v>Blue Horizon Commercial</v>
      </c>
      <c r="W3543" s="1" t="str">
        <f t="shared" si="223"/>
        <v>2026-08</v>
      </c>
    </row>
    <row r="3544" spans="1:23">
      <c r="A3544" s="1" t="s">
        <v>5809</v>
      </c>
      <c r="B3544" s="1" t="s">
        <v>1299</v>
      </c>
      <c r="C3544" s="1" t="s">
        <v>60</v>
      </c>
      <c r="D3544" s="1" t="s">
        <v>19</v>
      </c>
      <c r="E3544" s="1" t="s">
        <v>57</v>
      </c>
      <c r="F3544">
        <v>1</v>
      </c>
      <c r="G3544" s="2">
        <v>46160</v>
      </c>
      <c r="H3544" s="2">
        <v>46162</v>
      </c>
      <c r="I3544">
        <v>214.31</v>
      </c>
      <c r="J3544">
        <v>97.77</v>
      </c>
      <c r="K3544">
        <v>97.77</v>
      </c>
      <c r="L3544">
        <v>0</v>
      </c>
      <c r="M3544" s="1" t="s">
        <v>21</v>
      </c>
      <c r="N3544" s="1" t="s">
        <v>22</v>
      </c>
      <c r="O3544" s="2">
        <v>46193</v>
      </c>
      <c r="P3544" s="2">
        <v>46193</v>
      </c>
      <c r="Q3544">
        <f>_xlfn.XLOOKUP(E3544,CPT!$A$2:$A$13,CPT!$D$2:$D$13)</f>
        <v>210</v>
      </c>
      <c r="R3544" s="1">
        <f>_xlfn.XLOOKUP(C3544,Contract!$A$2:$A$9,Contract!$B$2:$B$9)</f>
        <v>0.45</v>
      </c>
      <c r="S3544" s="1">
        <f t="shared" si="220"/>
        <v>94.5</v>
      </c>
      <c r="T3544" s="1">
        <f t="shared" si="221"/>
        <v>-3.269999999999996</v>
      </c>
      <c r="U3544" s="1" t="str">
        <f t="shared" si="222"/>
        <v>OK</v>
      </c>
      <c r="V3544" s="1" t="str">
        <f>_xlfn.XLOOKUP(C3544,Payers!$A$2:$A$9,Payers!$B$2:$B$9)</f>
        <v>Blue Horizon Commercial</v>
      </c>
      <c r="W3544" s="1" t="str">
        <f t="shared" si="223"/>
        <v>2026-05</v>
      </c>
    </row>
    <row r="3545" spans="1:23">
      <c r="A3545" s="1" t="s">
        <v>5810</v>
      </c>
      <c r="B3545" s="1" t="s">
        <v>3023</v>
      </c>
      <c r="C3545" s="1" t="s">
        <v>79</v>
      </c>
      <c r="D3545" s="1" t="s">
        <v>19</v>
      </c>
      <c r="E3545" s="1" t="s">
        <v>88</v>
      </c>
      <c r="F3545">
        <v>1</v>
      </c>
      <c r="G3545" s="2">
        <v>46155</v>
      </c>
      <c r="H3545" s="2">
        <v>46162</v>
      </c>
      <c r="I3545">
        <v>266.05</v>
      </c>
      <c r="M3545" s="1" t="s">
        <v>69</v>
      </c>
      <c r="N3545" s="1" t="s">
        <v>22</v>
      </c>
      <c r="O3545" s="2"/>
      <c r="P3545" s="2"/>
      <c r="Q3545">
        <f>_xlfn.XLOOKUP(E3545,CPT!$A$2:$A$13,CPT!$D$2:$D$13)</f>
        <v>260</v>
      </c>
      <c r="R3545" s="1">
        <f>_xlfn.XLOOKUP(C3545,Contract!$A$2:$A$9,Contract!$B$2:$B$9)</f>
        <v>1</v>
      </c>
      <c r="S3545" s="1">
        <f t="shared" si="220"/>
        <v>260</v>
      </c>
      <c r="T3545" s="1" t="str">
        <f t="shared" si="221"/>
        <v/>
      </c>
      <c r="U3545" s="1" t="str">
        <f t="shared" si="222"/>
        <v/>
      </c>
      <c r="V3545" s="1" t="str">
        <f>_xlfn.XLOOKUP(C3545,Payers!$A$2:$A$9,Payers!$B$2:$B$9)</f>
        <v>Self-Pay</v>
      </c>
      <c r="W3545" s="1" t="str">
        <f t="shared" si="223"/>
        <v>2026-05</v>
      </c>
    </row>
    <row r="3546" spans="1:23">
      <c r="A3546" s="1" t="s">
        <v>5811</v>
      </c>
      <c r="B3546" s="1" t="s">
        <v>5812</v>
      </c>
      <c r="C3546" s="1" t="s">
        <v>18</v>
      </c>
      <c r="D3546" s="1" t="s">
        <v>26</v>
      </c>
      <c r="E3546" s="1" t="s">
        <v>88</v>
      </c>
      <c r="F3546">
        <v>1</v>
      </c>
      <c r="G3546" s="2">
        <v>46225</v>
      </c>
      <c r="H3546" s="2">
        <v>46226</v>
      </c>
      <c r="I3546">
        <v>256.36</v>
      </c>
      <c r="M3546" s="1" t="s">
        <v>69</v>
      </c>
      <c r="N3546" s="1" t="s">
        <v>22</v>
      </c>
      <c r="O3546" s="2"/>
      <c r="P3546" s="2"/>
      <c r="Q3546">
        <f>_xlfn.XLOOKUP(E3546,CPT!$A$2:$A$13,CPT!$D$2:$D$13)</f>
        <v>260</v>
      </c>
      <c r="R3546" s="1">
        <f>_xlfn.XLOOKUP(C3546,Contract!$A$2:$A$9,Contract!$B$2:$B$9)</f>
        <v>0.38</v>
      </c>
      <c r="S3546" s="1">
        <f t="shared" si="220"/>
        <v>98.8</v>
      </c>
      <c r="T3546" s="1" t="str">
        <f t="shared" si="221"/>
        <v/>
      </c>
      <c r="U3546" s="1" t="str">
        <f t="shared" si="222"/>
        <v/>
      </c>
      <c r="V3546" s="1" t="str">
        <f>_xlfn.XLOOKUP(C3546,Payers!$A$2:$A$9,Payers!$B$2:$B$9)</f>
        <v>Sunshine Medicare Advantage</v>
      </c>
      <c r="W3546" s="1" t="str">
        <f t="shared" si="223"/>
        <v>2026-07</v>
      </c>
    </row>
    <row r="3547" spans="1:23">
      <c r="A3547" s="1" t="s">
        <v>5813</v>
      </c>
      <c r="B3547" s="1" t="s">
        <v>5814</v>
      </c>
      <c r="C3547" s="1" t="s">
        <v>47</v>
      </c>
      <c r="D3547" s="1" t="s">
        <v>26</v>
      </c>
      <c r="E3547" s="1" t="s">
        <v>57</v>
      </c>
      <c r="F3547">
        <v>1</v>
      </c>
      <c r="G3547" s="2">
        <v>46095</v>
      </c>
      <c r="H3547" s="2">
        <v>46098</v>
      </c>
      <c r="I3547">
        <v>211.89</v>
      </c>
      <c r="M3547" s="1" t="s">
        <v>32</v>
      </c>
      <c r="N3547" s="1" t="s">
        <v>33</v>
      </c>
      <c r="O3547" s="2">
        <v>46166</v>
      </c>
      <c r="P3547" s="2"/>
      <c r="Q3547">
        <f>_xlfn.XLOOKUP(E3547,CPT!$A$2:$A$13,CPT!$D$2:$D$13)</f>
        <v>210</v>
      </c>
      <c r="R3547" s="1">
        <f>_xlfn.XLOOKUP(C3547,Contract!$A$2:$A$9,Contract!$B$2:$B$9)</f>
        <v>0.28000000000000003</v>
      </c>
      <c r="S3547" s="1">
        <f t="shared" si="220"/>
        <v>58.8</v>
      </c>
      <c r="T3547" s="1" t="str">
        <f t="shared" si="221"/>
        <v/>
      </c>
      <c r="U3547" s="1" t="str">
        <f t="shared" si="222"/>
        <v/>
      </c>
      <c r="V3547" s="1" t="str">
        <f>_xlfn.XLOOKUP(C3547,Payers!$A$2:$A$9,Payers!$B$2:$B$9)</f>
        <v>Coastal Medicaid MCO</v>
      </c>
      <c r="W3547" s="1" t="str">
        <f t="shared" si="223"/>
        <v>2026-03</v>
      </c>
    </row>
    <row r="3548" spans="1:23">
      <c r="A3548" s="1" t="s">
        <v>5815</v>
      </c>
      <c r="B3548" s="1" t="s">
        <v>5816</v>
      </c>
      <c r="C3548" s="1" t="s">
        <v>18</v>
      </c>
      <c r="D3548" s="1" t="s">
        <v>26</v>
      </c>
      <c r="E3548" s="1" t="s">
        <v>41</v>
      </c>
      <c r="F3548">
        <v>1</v>
      </c>
      <c r="G3548" s="2">
        <v>46195</v>
      </c>
      <c r="H3548" s="2">
        <v>46196</v>
      </c>
      <c r="I3548">
        <v>39.119999999999997</v>
      </c>
      <c r="J3548">
        <v>16.03</v>
      </c>
      <c r="K3548">
        <v>16.03</v>
      </c>
      <c r="L3548">
        <v>0</v>
      </c>
      <c r="M3548" s="1" t="s">
        <v>21</v>
      </c>
      <c r="N3548" s="1" t="s">
        <v>22</v>
      </c>
      <c r="O3548" s="2">
        <v>46230</v>
      </c>
      <c r="P3548" s="2">
        <v>46230</v>
      </c>
      <c r="Q3548">
        <f>_xlfn.XLOOKUP(E3548,CPT!$A$2:$A$13,CPT!$D$2:$D$13)</f>
        <v>38</v>
      </c>
      <c r="R3548" s="1">
        <f>_xlfn.XLOOKUP(C3548,Contract!$A$2:$A$9,Contract!$B$2:$B$9)</f>
        <v>0.38</v>
      </c>
      <c r="S3548" s="1">
        <f t="shared" si="220"/>
        <v>14.44</v>
      </c>
      <c r="T3548" s="1">
        <f t="shared" si="221"/>
        <v>-1.5900000000000016</v>
      </c>
      <c r="U3548" s="1" t="str">
        <f t="shared" si="222"/>
        <v>OK</v>
      </c>
      <c r="V3548" s="1" t="str">
        <f>_xlfn.XLOOKUP(C3548,Payers!$A$2:$A$9,Payers!$B$2:$B$9)</f>
        <v>Sunshine Medicare Advantage</v>
      </c>
      <c r="W3548" s="1" t="str">
        <f t="shared" si="223"/>
        <v>2026-06</v>
      </c>
    </row>
    <row r="3549" spans="1:23">
      <c r="A3549" s="1" t="s">
        <v>5817</v>
      </c>
      <c r="B3549" s="1" t="s">
        <v>2274</v>
      </c>
      <c r="C3549" s="1" t="s">
        <v>60</v>
      </c>
      <c r="D3549" s="1" t="s">
        <v>19</v>
      </c>
      <c r="E3549" s="1" t="s">
        <v>88</v>
      </c>
      <c r="F3549">
        <v>1</v>
      </c>
      <c r="G3549" s="2">
        <v>45966</v>
      </c>
      <c r="H3549" s="2">
        <v>45969</v>
      </c>
      <c r="I3549">
        <v>267.68</v>
      </c>
      <c r="J3549">
        <v>113.75</v>
      </c>
      <c r="K3549">
        <v>113.75</v>
      </c>
      <c r="L3549">
        <v>0</v>
      </c>
      <c r="M3549" s="1" t="s">
        <v>21</v>
      </c>
      <c r="N3549" s="1" t="s">
        <v>22</v>
      </c>
      <c r="O3549" s="2">
        <v>45994</v>
      </c>
      <c r="P3549" s="2">
        <v>45994</v>
      </c>
      <c r="Q3549">
        <f>_xlfn.XLOOKUP(E3549,CPT!$A$2:$A$13,CPT!$D$2:$D$13)</f>
        <v>260</v>
      </c>
      <c r="R3549" s="1">
        <f>_xlfn.XLOOKUP(C3549,Contract!$A$2:$A$9,Contract!$B$2:$B$9)</f>
        <v>0.45</v>
      </c>
      <c r="S3549" s="1">
        <f t="shared" si="220"/>
        <v>117</v>
      </c>
      <c r="T3549" s="1">
        <f t="shared" si="221"/>
        <v>3.25</v>
      </c>
      <c r="U3549" s="1" t="str">
        <f t="shared" si="222"/>
        <v>OK</v>
      </c>
      <c r="V3549" s="1" t="str">
        <f>_xlfn.XLOOKUP(C3549,Payers!$A$2:$A$9,Payers!$B$2:$B$9)</f>
        <v>Blue Horizon Commercial</v>
      </c>
      <c r="W3549" s="1" t="str">
        <f t="shared" si="223"/>
        <v>2025-11</v>
      </c>
    </row>
    <row r="3550" spans="1:23">
      <c r="A3550" s="1" t="s">
        <v>5818</v>
      </c>
      <c r="B3550" s="1" t="s">
        <v>5819</v>
      </c>
      <c r="C3550" s="1" t="s">
        <v>18</v>
      </c>
      <c r="D3550" s="1" t="s">
        <v>37</v>
      </c>
      <c r="E3550" s="1" t="s">
        <v>48</v>
      </c>
      <c r="F3550">
        <v>1</v>
      </c>
      <c r="G3550" s="2">
        <v>46126</v>
      </c>
      <c r="H3550" s="2">
        <v>46131</v>
      </c>
      <c r="I3550">
        <v>417.76</v>
      </c>
      <c r="J3550">
        <v>166.98</v>
      </c>
      <c r="K3550">
        <v>166.98</v>
      </c>
      <c r="L3550">
        <v>0</v>
      </c>
      <c r="M3550" s="1" t="s">
        <v>21</v>
      </c>
      <c r="N3550" s="1" t="s">
        <v>22</v>
      </c>
      <c r="O3550" s="2">
        <v>46174</v>
      </c>
      <c r="P3550" s="2">
        <v>46174</v>
      </c>
      <c r="Q3550">
        <f>_xlfn.XLOOKUP(E3550,CPT!$A$2:$A$13,CPT!$D$2:$D$13)</f>
        <v>420</v>
      </c>
      <c r="R3550" s="1">
        <f>_xlfn.XLOOKUP(C3550,Contract!$A$2:$A$9,Contract!$B$2:$B$9)</f>
        <v>0.38</v>
      </c>
      <c r="S3550" s="1">
        <f t="shared" si="220"/>
        <v>159.6</v>
      </c>
      <c r="T3550" s="1">
        <f t="shared" si="221"/>
        <v>-7.3799999999999955</v>
      </c>
      <c r="U3550" s="1" t="str">
        <f t="shared" si="222"/>
        <v>OK</v>
      </c>
      <c r="V3550" s="1" t="str">
        <f>_xlfn.XLOOKUP(C3550,Payers!$A$2:$A$9,Payers!$B$2:$B$9)</f>
        <v>Sunshine Medicare Advantage</v>
      </c>
      <c r="W3550" s="1" t="str">
        <f t="shared" si="223"/>
        <v>2026-04</v>
      </c>
    </row>
    <row r="3551" spans="1:23">
      <c r="A3551" s="1" t="s">
        <v>5820</v>
      </c>
      <c r="B3551" s="1" t="s">
        <v>5821</v>
      </c>
      <c r="C3551" s="1" t="s">
        <v>79</v>
      </c>
      <c r="D3551" s="1" t="s">
        <v>26</v>
      </c>
      <c r="E3551" s="1" t="s">
        <v>44</v>
      </c>
      <c r="F3551">
        <v>1</v>
      </c>
      <c r="G3551" s="2">
        <v>46151</v>
      </c>
      <c r="H3551" s="2">
        <v>46179</v>
      </c>
      <c r="I3551">
        <v>4856.7299999999996</v>
      </c>
      <c r="J3551">
        <v>4856.7299999999996</v>
      </c>
      <c r="K3551">
        <v>4856.7299999999996</v>
      </c>
      <c r="L3551">
        <v>0</v>
      </c>
      <c r="M3551" s="1" t="s">
        <v>21</v>
      </c>
      <c r="N3551" s="1" t="s">
        <v>22</v>
      </c>
      <c r="O3551" s="2">
        <v>46234</v>
      </c>
      <c r="P3551" s="2">
        <v>46234</v>
      </c>
      <c r="Q3551">
        <f>_xlfn.XLOOKUP(E3551,CPT!$A$2:$A$13,CPT!$D$2:$D$13)</f>
        <v>4800</v>
      </c>
      <c r="R3551" s="1">
        <f>_xlfn.XLOOKUP(C3551,Contract!$A$2:$A$9,Contract!$B$2:$B$9)</f>
        <v>1</v>
      </c>
      <c r="S3551" s="1">
        <f t="shared" si="220"/>
        <v>4800</v>
      </c>
      <c r="T3551" s="1">
        <f t="shared" si="221"/>
        <v>-56.729999999999563</v>
      </c>
      <c r="U3551" s="1" t="str">
        <f t="shared" si="222"/>
        <v>OK</v>
      </c>
      <c r="V3551" s="1" t="str">
        <f>_xlfn.XLOOKUP(C3551,Payers!$A$2:$A$9,Payers!$B$2:$B$9)</f>
        <v>Self-Pay</v>
      </c>
      <c r="W3551" s="1" t="str">
        <f t="shared" si="223"/>
        <v>2026-05</v>
      </c>
    </row>
    <row r="3552" spans="1:23">
      <c r="A3552" s="1" t="s">
        <v>5822</v>
      </c>
      <c r="B3552" s="1" t="s">
        <v>643</v>
      </c>
      <c r="C3552" s="1" t="s">
        <v>25</v>
      </c>
      <c r="D3552" s="1" t="s">
        <v>37</v>
      </c>
      <c r="E3552" s="1" t="s">
        <v>38</v>
      </c>
      <c r="F3552">
        <v>10</v>
      </c>
      <c r="G3552" s="2">
        <v>46181</v>
      </c>
      <c r="H3552" s="2">
        <v>46189</v>
      </c>
      <c r="I3552">
        <v>14696.97</v>
      </c>
      <c r="J3552">
        <v>4561.82</v>
      </c>
      <c r="K3552">
        <v>3649.46</v>
      </c>
      <c r="L3552">
        <v>912.36</v>
      </c>
      <c r="M3552" s="1" t="s">
        <v>21</v>
      </c>
      <c r="N3552" s="1" t="s">
        <v>22</v>
      </c>
      <c r="O3552" s="2">
        <v>46199</v>
      </c>
      <c r="P3552" s="2">
        <v>46199</v>
      </c>
      <c r="Q3552">
        <f>_xlfn.XLOOKUP(E3552,CPT!$A$2:$A$13,CPT!$D$2:$D$13)</f>
        <v>1450</v>
      </c>
      <c r="R3552" s="1">
        <f>_xlfn.XLOOKUP(C3552,Contract!$A$2:$A$9,Contract!$B$2:$B$9)</f>
        <v>0.36</v>
      </c>
      <c r="S3552" s="1">
        <f t="shared" si="220"/>
        <v>5220</v>
      </c>
      <c r="T3552" s="1">
        <f t="shared" si="221"/>
        <v>658.18000000000029</v>
      </c>
      <c r="U3552" s="1" t="str">
        <f t="shared" si="222"/>
        <v>Underpaid</v>
      </c>
      <c r="V3552" s="1" t="str">
        <f>_xlfn.XLOOKUP(C3552,Payers!$A$2:$A$9,Payers!$B$2:$B$9)</f>
        <v>Medicare Part B</v>
      </c>
      <c r="W3552" s="1" t="str">
        <f t="shared" si="223"/>
        <v>2026-06</v>
      </c>
    </row>
    <row r="3553" spans="1:23">
      <c r="A3553" s="1" t="s">
        <v>5823</v>
      </c>
      <c r="B3553" s="1" t="s">
        <v>2226</v>
      </c>
      <c r="C3553" s="1" t="s">
        <v>52</v>
      </c>
      <c r="D3553" s="1" t="s">
        <v>37</v>
      </c>
      <c r="E3553" s="1" t="s">
        <v>38</v>
      </c>
      <c r="F3553">
        <v>10</v>
      </c>
      <c r="G3553" s="2">
        <v>46254</v>
      </c>
      <c r="H3553" s="2">
        <v>46255</v>
      </c>
      <c r="I3553">
        <v>14088.91</v>
      </c>
      <c r="M3553" s="1" t="s">
        <v>69</v>
      </c>
      <c r="N3553" s="1" t="s">
        <v>22</v>
      </c>
      <c r="O3553" s="2"/>
      <c r="P3553" s="2"/>
      <c r="Q3553">
        <f>_xlfn.XLOOKUP(E3553,CPT!$A$2:$A$13,CPT!$D$2:$D$13)</f>
        <v>1450</v>
      </c>
      <c r="R3553" s="1">
        <f>_xlfn.XLOOKUP(C3553,Contract!$A$2:$A$9,Contract!$B$2:$B$9)</f>
        <v>0.47</v>
      </c>
      <c r="S3553" s="1">
        <f t="shared" si="220"/>
        <v>6815</v>
      </c>
      <c r="T3553" s="1" t="str">
        <f t="shared" si="221"/>
        <v/>
      </c>
      <c r="U3553" s="1" t="str">
        <f t="shared" si="222"/>
        <v/>
      </c>
      <c r="V3553" s="1" t="str">
        <f>_xlfn.XLOOKUP(C3553,Payers!$A$2:$A$9,Payers!$B$2:$B$9)</f>
        <v>Keystone Commercial PPO</v>
      </c>
      <c r="W3553" s="1" t="str">
        <f t="shared" si="223"/>
        <v>2026-08</v>
      </c>
    </row>
    <row r="3554" spans="1:23">
      <c r="A3554" s="1" t="s">
        <v>5824</v>
      </c>
      <c r="B3554" s="1" t="s">
        <v>2958</v>
      </c>
      <c r="C3554" s="1" t="s">
        <v>79</v>
      </c>
      <c r="D3554" s="1" t="s">
        <v>30</v>
      </c>
      <c r="E3554" s="1" t="s">
        <v>91</v>
      </c>
      <c r="F3554">
        <v>3</v>
      </c>
      <c r="G3554" s="2">
        <v>46120</v>
      </c>
      <c r="H3554" s="2">
        <v>46123</v>
      </c>
      <c r="I3554">
        <v>170.13</v>
      </c>
      <c r="J3554">
        <v>170.13</v>
      </c>
      <c r="K3554">
        <v>170.13</v>
      </c>
      <c r="L3554">
        <v>0</v>
      </c>
      <c r="M3554" s="1" t="s">
        <v>21</v>
      </c>
      <c r="N3554" s="1" t="s">
        <v>22</v>
      </c>
      <c r="O3554" s="2">
        <v>46209</v>
      </c>
      <c r="P3554" s="2">
        <v>46209</v>
      </c>
      <c r="Q3554">
        <f>_xlfn.XLOOKUP(E3554,CPT!$A$2:$A$13,CPT!$D$2:$D$13)</f>
        <v>58</v>
      </c>
      <c r="R3554" s="1">
        <f>_xlfn.XLOOKUP(C3554,Contract!$A$2:$A$9,Contract!$B$2:$B$9)</f>
        <v>1</v>
      </c>
      <c r="S3554" s="1">
        <f t="shared" si="220"/>
        <v>174</v>
      </c>
      <c r="T3554" s="1">
        <f t="shared" si="221"/>
        <v>3.8700000000000045</v>
      </c>
      <c r="U3554" s="1" t="str">
        <f t="shared" si="222"/>
        <v>OK</v>
      </c>
      <c r="V3554" s="1" t="str">
        <f>_xlfn.XLOOKUP(C3554,Payers!$A$2:$A$9,Payers!$B$2:$B$9)</f>
        <v>Self-Pay</v>
      </c>
      <c r="W3554" s="1" t="str">
        <f t="shared" si="223"/>
        <v>2026-04</v>
      </c>
    </row>
    <row r="3555" spans="1:23">
      <c r="A3555" s="1" t="s">
        <v>5825</v>
      </c>
      <c r="B3555" s="1" t="s">
        <v>5826</v>
      </c>
      <c r="C3555" s="1" t="s">
        <v>76</v>
      </c>
      <c r="D3555" s="1" t="s">
        <v>26</v>
      </c>
      <c r="E3555" s="1" t="s">
        <v>27</v>
      </c>
      <c r="F3555">
        <v>1</v>
      </c>
      <c r="G3555" s="2">
        <v>46175</v>
      </c>
      <c r="H3555" s="2">
        <v>46177</v>
      </c>
      <c r="I3555">
        <v>236.31</v>
      </c>
      <c r="J3555">
        <v>95.41</v>
      </c>
      <c r="K3555">
        <v>76.33</v>
      </c>
      <c r="L3555">
        <v>19.079999999999998</v>
      </c>
      <c r="M3555" s="1" t="s">
        <v>21</v>
      </c>
      <c r="N3555" s="1" t="s">
        <v>22</v>
      </c>
      <c r="O3555" s="2">
        <v>46199</v>
      </c>
      <c r="P3555" s="2">
        <v>46199</v>
      </c>
      <c r="Q3555">
        <f>_xlfn.XLOOKUP(E3555,CPT!$A$2:$A$13,CPT!$D$2:$D$13)</f>
        <v>240</v>
      </c>
      <c r="R3555" s="1">
        <f>_xlfn.XLOOKUP(C3555,Contract!$A$2:$A$9,Contract!$B$2:$B$9)</f>
        <v>0.43</v>
      </c>
      <c r="S3555" s="1">
        <f t="shared" si="220"/>
        <v>103.2</v>
      </c>
      <c r="T3555" s="1">
        <f t="shared" si="221"/>
        <v>7.7900000000000063</v>
      </c>
      <c r="U3555" s="1" t="str">
        <f t="shared" si="222"/>
        <v>Underpaid</v>
      </c>
      <c r="V3555" s="1" t="str">
        <f>_xlfn.XLOOKUP(C3555,Payers!$A$2:$A$9,Payers!$B$2:$B$9)</f>
        <v>Summit Health Commercial</v>
      </c>
      <c r="W3555" s="1" t="str">
        <f t="shared" si="223"/>
        <v>2026-06</v>
      </c>
    </row>
    <row r="3556" spans="1:23">
      <c r="A3556" s="1" t="s">
        <v>5827</v>
      </c>
      <c r="B3556" s="1" t="s">
        <v>4143</v>
      </c>
      <c r="C3556" s="1" t="s">
        <v>25</v>
      </c>
      <c r="D3556" s="1" t="s">
        <v>30</v>
      </c>
      <c r="E3556" s="1" t="s">
        <v>20</v>
      </c>
      <c r="F3556">
        <v>1</v>
      </c>
      <c r="G3556" s="2">
        <v>45943</v>
      </c>
      <c r="H3556" s="2">
        <v>45952</v>
      </c>
      <c r="I3556">
        <v>143.57</v>
      </c>
      <c r="J3556">
        <v>50.74</v>
      </c>
      <c r="K3556">
        <v>40.590000000000003</v>
      </c>
      <c r="L3556">
        <v>10.15</v>
      </c>
      <c r="M3556" s="1" t="s">
        <v>21</v>
      </c>
      <c r="N3556" s="1" t="s">
        <v>22</v>
      </c>
      <c r="O3556" s="2">
        <v>45968</v>
      </c>
      <c r="P3556" s="2">
        <v>45968</v>
      </c>
      <c r="Q3556">
        <f>_xlfn.XLOOKUP(E3556,CPT!$A$2:$A$13,CPT!$D$2:$D$13)</f>
        <v>145</v>
      </c>
      <c r="R3556" s="1">
        <f>_xlfn.XLOOKUP(C3556,Contract!$A$2:$A$9,Contract!$B$2:$B$9)</f>
        <v>0.36</v>
      </c>
      <c r="S3556" s="1">
        <f t="shared" si="220"/>
        <v>52.2</v>
      </c>
      <c r="T3556" s="1">
        <f t="shared" si="221"/>
        <v>1.4600000000000009</v>
      </c>
      <c r="U3556" s="1" t="str">
        <f t="shared" si="222"/>
        <v>OK</v>
      </c>
      <c r="V3556" s="1" t="str">
        <f>_xlfn.XLOOKUP(C3556,Payers!$A$2:$A$9,Payers!$B$2:$B$9)</f>
        <v>Medicare Part B</v>
      </c>
      <c r="W3556" s="1" t="str">
        <f t="shared" si="223"/>
        <v>2025-10</v>
      </c>
    </row>
    <row r="3557" spans="1:23">
      <c r="A3557" s="1" t="s">
        <v>5828</v>
      </c>
      <c r="B3557" s="1" t="s">
        <v>5829</v>
      </c>
      <c r="C3557" s="1" t="s">
        <v>18</v>
      </c>
      <c r="D3557" s="1" t="s">
        <v>30</v>
      </c>
      <c r="E3557" s="1" t="s">
        <v>20</v>
      </c>
      <c r="F3557">
        <v>1</v>
      </c>
      <c r="G3557" s="2">
        <v>46249</v>
      </c>
      <c r="H3557" s="2">
        <v>46253</v>
      </c>
      <c r="I3557">
        <v>143.66</v>
      </c>
      <c r="M3557" s="1" t="s">
        <v>69</v>
      </c>
      <c r="N3557" s="1" t="s">
        <v>22</v>
      </c>
      <c r="O3557" s="2"/>
      <c r="P3557" s="2"/>
      <c r="Q3557">
        <f>_xlfn.XLOOKUP(E3557,CPT!$A$2:$A$13,CPT!$D$2:$D$13)</f>
        <v>145</v>
      </c>
      <c r="R3557" s="1">
        <f>_xlfn.XLOOKUP(C3557,Contract!$A$2:$A$9,Contract!$B$2:$B$9)</f>
        <v>0.38</v>
      </c>
      <c r="S3557" s="1">
        <f t="shared" si="220"/>
        <v>55.1</v>
      </c>
      <c r="T3557" s="1" t="str">
        <f t="shared" si="221"/>
        <v/>
      </c>
      <c r="U3557" s="1" t="str">
        <f t="shared" si="222"/>
        <v/>
      </c>
      <c r="V3557" s="1" t="str">
        <f>_xlfn.XLOOKUP(C3557,Payers!$A$2:$A$9,Payers!$B$2:$B$9)</f>
        <v>Sunshine Medicare Advantage</v>
      </c>
      <c r="W3557" s="1" t="str">
        <f t="shared" si="223"/>
        <v>2026-08</v>
      </c>
    </row>
    <row r="3558" spans="1:23">
      <c r="A3558" s="1" t="s">
        <v>5830</v>
      </c>
      <c r="B3558" s="1" t="s">
        <v>3287</v>
      </c>
      <c r="C3558" s="1" t="s">
        <v>76</v>
      </c>
      <c r="D3558" s="1" t="s">
        <v>37</v>
      </c>
      <c r="E3558" s="1" t="s">
        <v>57</v>
      </c>
      <c r="F3558">
        <v>1</v>
      </c>
      <c r="G3558" s="2">
        <v>46206</v>
      </c>
      <c r="H3558" s="2">
        <v>46210</v>
      </c>
      <c r="I3558">
        <v>204.94</v>
      </c>
      <c r="J3558">
        <v>100.35</v>
      </c>
      <c r="K3558">
        <v>90.31</v>
      </c>
      <c r="L3558">
        <v>10.039999999999999</v>
      </c>
      <c r="M3558" s="1" t="s">
        <v>21</v>
      </c>
      <c r="N3558" s="1" t="s">
        <v>22</v>
      </c>
      <c r="O3558" s="2">
        <v>46225</v>
      </c>
      <c r="P3558" s="2">
        <v>46225</v>
      </c>
      <c r="Q3558">
        <f>_xlfn.XLOOKUP(E3558,CPT!$A$2:$A$13,CPT!$D$2:$D$13)</f>
        <v>210</v>
      </c>
      <c r="R3558" s="1">
        <f>_xlfn.XLOOKUP(C3558,Contract!$A$2:$A$9,Contract!$B$2:$B$9)</f>
        <v>0.43</v>
      </c>
      <c r="S3558" s="1">
        <f t="shared" si="220"/>
        <v>90.3</v>
      </c>
      <c r="T3558" s="1">
        <f t="shared" si="221"/>
        <v>-10.049999999999997</v>
      </c>
      <c r="U3558" s="1" t="str">
        <f t="shared" si="222"/>
        <v>OK</v>
      </c>
      <c r="V3558" s="1" t="str">
        <f>_xlfn.XLOOKUP(C3558,Payers!$A$2:$A$9,Payers!$B$2:$B$9)</f>
        <v>Summit Health Commercial</v>
      </c>
      <c r="W3558" s="1" t="str">
        <f t="shared" si="223"/>
        <v>2026-07</v>
      </c>
    </row>
    <row r="3559" spans="1:23">
      <c r="A3559" s="1" t="s">
        <v>5831</v>
      </c>
      <c r="B3559" s="1" t="s">
        <v>1571</v>
      </c>
      <c r="C3559" s="1" t="s">
        <v>47</v>
      </c>
      <c r="D3559" s="1" t="s">
        <v>26</v>
      </c>
      <c r="E3559" s="1" t="s">
        <v>185</v>
      </c>
      <c r="F3559">
        <v>1</v>
      </c>
      <c r="G3559" s="2">
        <v>46159</v>
      </c>
      <c r="H3559" s="2">
        <v>46165</v>
      </c>
      <c r="I3559">
        <v>1184.42</v>
      </c>
      <c r="J3559">
        <v>359.22</v>
      </c>
      <c r="K3559">
        <v>287.38</v>
      </c>
      <c r="L3559">
        <v>71.84</v>
      </c>
      <c r="M3559" s="1" t="s">
        <v>21</v>
      </c>
      <c r="N3559" s="1" t="s">
        <v>22</v>
      </c>
      <c r="O3559" s="2">
        <v>46244</v>
      </c>
      <c r="P3559" s="2">
        <v>46244</v>
      </c>
      <c r="Q3559">
        <f>_xlfn.XLOOKUP(E3559,CPT!$A$2:$A$13,CPT!$D$2:$D$13)</f>
        <v>1150</v>
      </c>
      <c r="R3559" s="1">
        <f>_xlfn.XLOOKUP(C3559,Contract!$A$2:$A$9,Contract!$B$2:$B$9)</f>
        <v>0.28000000000000003</v>
      </c>
      <c r="S3559" s="1">
        <f t="shared" si="220"/>
        <v>322</v>
      </c>
      <c r="T3559" s="1">
        <f t="shared" si="221"/>
        <v>-37.220000000000027</v>
      </c>
      <c r="U3559" s="1" t="str">
        <f t="shared" si="222"/>
        <v>OK</v>
      </c>
      <c r="V3559" s="1" t="str">
        <f>_xlfn.XLOOKUP(C3559,Payers!$A$2:$A$9,Payers!$B$2:$B$9)</f>
        <v>Coastal Medicaid MCO</v>
      </c>
      <c r="W3559" s="1" t="str">
        <f t="shared" si="223"/>
        <v>2026-05</v>
      </c>
    </row>
    <row r="3560" spans="1:23">
      <c r="A3560" s="1" t="s">
        <v>5832</v>
      </c>
      <c r="B3560" s="1" t="s">
        <v>5833</v>
      </c>
      <c r="C3560" s="1" t="s">
        <v>60</v>
      </c>
      <c r="D3560" s="1" t="s">
        <v>26</v>
      </c>
      <c r="E3560" s="1" t="s">
        <v>57</v>
      </c>
      <c r="F3560">
        <v>1</v>
      </c>
      <c r="G3560" s="2">
        <v>46092</v>
      </c>
      <c r="H3560" s="2">
        <v>46103</v>
      </c>
      <c r="I3560">
        <v>206.98</v>
      </c>
      <c r="J3560">
        <v>104.85</v>
      </c>
      <c r="K3560">
        <v>94.37</v>
      </c>
      <c r="L3560">
        <v>10.48</v>
      </c>
      <c r="M3560" s="1" t="s">
        <v>21</v>
      </c>
      <c r="N3560" s="1" t="s">
        <v>22</v>
      </c>
      <c r="O3560" s="2">
        <v>46149</v>
      </c>
      <c r="P3560" s="2">
        <v>46149</v>
      </c>
      <c r="Q3560">
        <f>_xlfn.XLOOKUP(E3560,CPT!$A$2:$A$13,CPT!$D$2:$D$13)</f>
        <v>210</v>
      </c>
      <c r="R3560" s="1">
        <f>_xlfn.XLOOKUP(C3560,Contract!$A$2:$A$9,Contract!$B$2:$B$9)</f>
        <v>0.45</v>
      </c>
      <c r="S3560" s="1">
        <f t="shared" si="220"/>
        <v>94.5</v>
      </c>
      <c r="T3560" s="1">
        <f t="shared" si="221"/>
        <v>-10.349999999999994</v>
      </c>
      <c r="U3560" s="1" t="str">
        <f t="shared" si="222"/>
        <v>OK</v>
      </c>
      <c r="V3560" s="1" t="str">
        <f>_xlfn.XLOOKUP(C3560,Payers!$A$2:$A$9,Payers!$B$2:$B$9)</f>
        <v>Blue Horizon Commercial</v>
      </c>
      <c r="W3560" s="1" t="str">
        <f t="shared" si="223"/>
        <v>2026-03</v>
      </c>
    </row>
    <row r="3561" spans="1:23">
      <c r="A3561" s="1" t="s">
        <v>5834</v>
      </c>
      <c r="B3561" s="1" t="s">
        <v>2904</v>
      </c>
      <c r="C3561" s="1" t="s">
        <v>60</v>
      </c>
      <c r="D3561" s="1" t="s">
        <v>19</v>
      </c>
      <c r="E3561" s="1" t="s">
        <v>88</v>
      </c>
      <c r="F3561">
        <v>1</v>
      </c>
      <c r="G3561" s="2">
        <v>46020</v>
      </c>
      <c r="H3561" s="2">
        <v>46026</v>
      </c>
      <c r="I3561">
        <v>252.96</v>
      </c>
      <c r="J3561">
        <v>124.42</v>
      </c>
      <c r="K3561">
        <v>124.42</v>
      </c>
      <c r="L3561">
        <v>0</v>
      </c>
      <c r="M3561" s="1" t="s">
        <v>21</v>
      </c>
      <c r="N3561" s="1" t="s">
        <v>22</v>
      </c>
      <c r="O3561" s="2">
        <v>46050</v>
      </c>
      <c r="P3561" s="2">
        <v>46050</v>
      </c>
      <c r="Q3561">
        <f>_xlfn.XLOOKUP(E3561,CPT!$A$2:$A$13,CPT!$D$2:$D$13)</f>
        <v>260</v>
      </c>
      <c r="R3561" s="1">
        <f>_xlfn.XLOOKUP(C3561,Contract!$A$2:$A$9,Contract!$B$2:$B$9)</f>
        <v>0.45</v>
      </c>
      <c r="S3561" s="1">
        <f t="shared" si="220"/>
        <v>117</v>
      </c>
      <c r="T3561" s="1">
        <f t="shared" si="221"/>
        <v>-7.4200000000000017</v>
      </c>
      <c r="U3561" s="1" t="str">
        <f t="shared" si="222"/>
        <v>OK</v>
      </c>
      <c r="V3561" s="1" t="str">
        <f>_xlfn.XLOOKUP(C3561,Payers!$A$2:$A$9,Payers!$B$2:$B$9)</f>
        <v>Blue Horizon Commercial</v>
      </c>
      <c r="W3561" s="1" t="str">
        <f t="shared" si="223"/>
        <v>2025-12</v>
      </c>
    </row>
    <row r="3562" spans="1:23">
      <c r="A3562" s="1" t="s">
        <v>5835</v>
      </c>
      <c r="B3562" s="1" t="s">
        <v>629</v>
      </c>
      <c r="C3562" s="1" t="s">
        <v>60</v>
      </c>
      <c r="D3562" s="1" t="s">
        <v>30</v>
      </c>
      <c r="E3562" s="1" t="s">
        <v>31</v>
      </c>
      <c r="F3562">
        <v>4</v>
      </c>
      <c r="G3562" s="2">
        <v>46062</v>
      </c>
      <c r="H3562" s="2">
        <v>46071</v>
      </c>
      <c r="I3562">
        <v>241.73</v>
      </c>
      <c r="J3562">
        <v>93.62</v>
      </c>
      <c r="K3562">
        <v>93.62</v>
      </c>
      <c r="L3562">
        <v>0</v>
      </c>
      <c r="M3562" s="1" t="s">
        <v>21</v>
      </c>
      <c r="N3562" s="1" t="s">
        <v>22</v>
      </c>
      <c r="O3562" s="2">
        <v>46097</v>
      </c>
      <c r="P3562" s="2">
        <v>46097</v>
      </c>
      <c r="Q3562">
        <f>_xlfn.XLOOKUP(E3562,CPT!$A$2:$A$13,CPT!$D$2:$D$13)</f>
        <v>62</v>
      </c>
      <c r="R3562" s="1">
        <f>_xlfn.XLOOKUP(C3562,Contract!$A$2:$A$9,Contract!$B$2:$B$9)</f>
        <v>0.45</v>
      </c>
      <c r="S3562" s="1">
        <f t="shared" si="220"/>
        <v>111.6</v>
      </c>
      <c r="T3562" s="1">
        <f t="shared" si="221"/>
        <v>17.97999999999999</v>
      </c>
      <c r="U3562" s="1" t="str">
        <f t="shared" si="222"/>
        <v>Underpaid</v>
      </c>
      <c r="V3562" s="1" t="str">
        <f>_xlfn.XLOOKUP(C3562,Payers!$A$2:$A$9,Payers!$B$2:$B$9)</f>
        <v>Blue Horizon Commercial</v>
      </c>
      <c r="W3562" s="1" t="str">
        <f t="shared" si="223"/>
        <v>2026-02</v>
      </c>
    </row>
    <row r="3563" spans="1:23">
      <c r="A3563" s="1" t="s">
        <v>5836</v>
      </c>
      <c r="B3563" s="1" t="s">
        <v>655</v>
      </c>
      <c r="C3563" s="1" t="s">
        <v>76</v>
      </c>
      <c r="D3563" s="1" t="s">
        <v>26</v>
      </c>
      <c r="E3563" s="1" t="s">
        <v>44</v>
      </c>
      <c r="F3563">
        <v>1</v>
      </c>
      <c r="G3563" s="2">
        <v>46152</v>
      </c>
      <c r="H3563" s="2">
        <v>46155</v>
      </c>
      <c r="I3563">
        <v>4759.49</v>
      </c>
      <c r="M3563" s="1" t="s">
        <v>32</v>
      </c>
      <c r="N3563" s="1" t="s">
        <v>315</v>
      </c>
      <c r="O3563" s="2">
        <v>46185</v>
      </c>
      <c r="P3563" s="2"/>
      <c r="Q3563">
        <f>_xlfn.XLOOKUP(E3563,CPT!$A$2:$A$13,CPT!$D$2:$D$13)</f>
        <v>4800</v>
      </c>
      <c r="R3563" s="1">
        <f>_xlfn.XLOOKUP(C3563,Contract!$A$2:$A$9,Contract!$B$2:$B$9)</f>
        <v>0.43</v>
      </c>
      <c r="S3563" s="1">
        <f t="shared" si="220"/>
        <v>2064</v>
      </c>
      <c r="T3563" s="1" t="str">
        <f t="shared" si="221"/>
        <v/>
      </c>
      <c r="U3563" s="1" t="str">
        <f t="shared" si="222"/>
        <v/>
      </c>
      <c r="V3563" s="1" t="str">
        <f>_xlfn.XLOOKUP(C3563,Payers!$A$2:$A$9,Payers!$B$2:$B$9)</f>
        <v>Summit Health Commercial</v>
      </c>
      <c r="W3563" s="1" t="str">
        <f t="shared" si="223"/>
        <v>2026-05</v>
      </c>
    </row>
    <row r="3564" spans="1:23">
      <c r="A3564" s="1" t="s">
        <v>5837</v>
      </c>
      <c r="B3564" s="1" t="s">
        <v>5838</v>
      </c>
      <c r="C3564" s="1" t="s">
        <v>25</v>
      </c>
      <c r="D3564" s="1" t="s">
        <v>19</v>
      </c>
      <c r="E3564" s="1" t="s">
        <v>41</v>
      </c>
      <c r="F3564">
        <v>1</v>
      </c>
      <c r="G3564" s="2">
        <v>46039</v>
      </c>
      <c r="H3564" s="2">
        <v>46053</v>
      </c>
      <c r="I3564">
        <v>37.53</v>
      </c>
      <c r="J3564">
        <v>12.88</v>
      </c>
      <c r="K3564">
        <v>12.88</v>
      </c>
      <c r="L3564">
        <v>0</v>
      </c>
      <c r="M3564" s="1" t="s">
        <v>21</v>
      </c>
      <c r="N3564" s="1" t="s">
        <v>22</v>
      </c>
      <c r="O3564" s="2">
        <v>46070</v>
      </c>
      <c r="P3564" s="2">
        <v>46070</v>
      </c>
      <c r="Q3564">
        <f>_xlfn.XLOOKUP(E3564,CPT!$A$2:$A$13,CPT!$D$2:$D$13)</f>
        <v>38</v>
      </c>
      <c r="R3564" s="1">
        <f>_xlfn.XLOOKUP(C3564,Contract!$A$2:$A$9,Contract!$B$2:$B$9)</f>
        <v>0.36</v>
      </c>
      <c r="S3564" s="1">
        <f t="shared" si="220"/>
        <v>13.68</v>
      </c>
      <c r="T3564" s="1">
        <f t="shared" si="221"/>
        <v>0.79999999999999893</v>
      </c>
      <c r="U3564" s="1" t="str">
        <f t="shared" si="222"/>
        <v>Underpaid</v>
      </c>
      <c r="V3564" s="1" t="str">
        <f>_xlfn.XLOOKUP(C3564,Payers!$A$2:$A$9,Payers!$B$2:$B$9)</f>
        <v>Medicare Part B</v>
      </c>
      <c r="W3564" s="1" t="str">
        <f t="shared" si="223"/>
        <v>2026-01</v>
      </c>
    </row>
    <row r="3565" spans="1:23">
      <c r="A3565" s="1" t="s">
        <v>5839</v>
      </c>
      <c r="B3565" s="1" t="s">
        <v>2229</v>
      </c>
      <c r="C3565" s="1" t="s">
        <v>76</v>
      </c>
      <c r="D3565" s="1" t="s">
        <v>19</v>
      </c>
      <c r="E3565" s="1" t="s">
        <v>57</v>
      </c>
      <c r="F3565">
        <v>1</v>
      </c>
      <c r="G3565" s="2">
        <v>46147</v>
      </c>
      <c r="H3565" s="2">
        <v>46161</v>
      </c>
      <c r="I3565">
        <v>204.46</v>
      </c>
      <c r="J3565">
        <v>92.76</v>
      </c>
      <c r="K3565">
        <v>83.48</v>
      </c>
      <c r="L3565">
        <v>9.2799999999999994</v>
      </c>
      <c r="M3565" s="1" t="s">
        <v>21</v>
      </c>
      <c r="N3565" s="1" t="s">
        <v>22</v>
      </c>
      <c r="O3565" s="2">
        <v>46194</v>
      </c>
      <c r="P3565" s="2">
        <v>46194</v>
      </c>
      <c r="Q3565">
        <f>_xlfn.XLOOKUP(E3565,CPT!$A$2:$A$13,CPT!$D$2:$D$13)</f>
        <v>210</v>
      </c>
      <c r="R3565" s="1">
        <f>_xlfn.XLOOKUP(C3565,Contract!$A$2:$A$9,Contract!$B$2:$B$9)</f>
        <v>0.43</v>
      </c>
      <c r="S3565" s="1">
        <f t="shared" si="220"/>
        <v>90.3</v>
      </c>
      <c r="T3565" s="1">
        <f t="shared" si="221"/>
        <v>-2.460000000000008</v>
      </c>
      <c r="U3565" s="1" t="str">
        <f t="shared" si="222"/>
        <v>OK</v>
      </c>
      <c r="V3565" s="1" t="str">
        <f>_xlfn.XLOOKUP(C3565,Payers!$A$2:$A$9,Payers!$B$2:$B$9)</f>
        <v>Summit Health Commercial</v>
      </c>
      <c r="W3565" s="1" t="str">
        <f t="shared" si="223"/>
        <v>2026-05</v>
      </c>
    </row>
    <row r="3566" spans="1:23">
      <c r="A3566" s="1" t="s">
        <v>5840</v>
      </c>
      <c r="B3566" s="1" t="s">
        <v>1889</v>
      </c>
      <c r="C3566" s="1" t="s">
        <v>60</v>
      </c>
      <c r="D3566" s="1" t="s">
        <v>26</v>
      </c>
      <c r="E3566" s="1" t="s">
        <v>27</v>
      </c>
      <c r="F3566">
        <v>1</v>
      </c>
      <c r="G3566" s="2">
        <v>46272</v>
      </c>
      <c r="H3566" s="2">
        <v>46279</v>
      </c>
      <c r="I3566">
        <v>245.65</v>
      </c>
      <c r="M3566" s="1" t="s">
        <v>69</v>
      </c>
      <c r="N3566" s="1" t="s">
        <v>22</v>
      </c>
      <c r="O3566" s="2"/>
      <c r="P3566" s="2"/>
      <c r="Q3566">
        <f>_xlfn.XLOOKUP(E3566,CPT!$A$2:$A$13,CPT!$D$2:$D$13)</f>
        <v>240</v>
      </c>
      <c r="R3566" s="1">
        <f>_xlfn.XLOOKUP(C3566,Contract!$A$2:$A$9,Contract!$B$2:$B$9)</f>
        <v>0.45</v>
      </c>
      <c r="S3566" s="1">
        <f t="shared" si="220"/>
        <v>108</v>
      </c>
      <c r="T3566" s="1" t="str">
        <f t="shared" si="221"/>
        <v/>
      </c>
      <c r="U3566" s="1" t="str">
        <f t="shared" si="222"/>
        <v/>
      </c>
      <c r="V3566" s="1" t="str">
        <f>_xlfn.XLOOKUP(C3566,Payers!$A$2:$A$9,Payers!$B$2:$B$9)</f>
        <v>Blue Horizon Commercial</v>
      </c>
      <c r="W3566" s="1" t="str">
        <f t="shared" si="223"/>
        <v>2026-09</v>
      </c>
    </row>
    <row r="3567" spans="1:23">
      <c r="A3567" s="1" t="s">
        <v>5841</v>
      </c>
      <c r="B3567" s="1" t="s">
        <v>873</v>
      </c>
      <c r="C3567" s="1" t="s">
        <v>76</v>
      </c>
      <c r="D3567" s="1" t="s">
        <v>26</v>
      </c>
      <c r="E3567" s="1" t="s">
        <v>27</v>
      </c>
      <c r="F3567">
        <v>1</v>
      </c>
      <c r="G3567" s="2">
        <v>45942</v>
      </c>
      <c r="H3567" s="2">
        <v>45943</v>
      </c>
      <c r="I3567">
        <v>237.24</v>
      </c>
      <c r="J3567">
        <v>99.5</v>
      </c>
      <c r="K3567">
        <v>99.5</v>
      </c>
      <c r="L3567">
        <v>0</v>
      </c>
      <c r="M3567" s="1" t="s">
        <v>21</v>
      </c>
      <c r="N3567" s="1" t="s">
        <v>22</v>
      </c>
      <c r="O3567" s="2">
        <v>45972</v>
      </c>
      <c r="P3567" s="2">
        <v>45972</v>
      </c>
      <c r="Q3567">
        <f>_xlfn.XLOOKUP(E3567,CPT!$A$2:$A$13,CPT!$D$2:$D$13)</f>
        <v>240</v>
      </c>
      <c r="R3567" s="1">
        <f>_xlfn.XLOOKUP(C3567,Contract!$A$2:$A$9,Contract!$B$2:$B$9)</f>
        <v>0.43</v>
      </c>
      <c r="S3567" s="1">
        <f t="shared" si="220"/>
        <v>103.2</v>
      </c>
      <c r="T3567" s="1">
        <f t="shared" si="221"/>
        <v>3.7000000000000028</v>
      </c>
      <c r="U3567" s="1" t="str">
        <f t="shared" si="222"/>
        <v>OK</v>
      </c>
      <c r="V3567" s="1" t="str">
        <f>_xlfn.XLOOKUP(C3567,Payers!$A$2:$A$9,Payers!$B$2:$B$9)</f>
        <v>Summit Health Commercial</v>
      </c>
      <c r="W3567" s="1" t="str">
        <f t="shared" si="223"/>
        <v>2025-10</v>
      </c>
    </row>
    <row r="3568" spans="1:23">
      <c r="A3568" s="1" t="s">
        <v>5842</v>
      </c>
      <c r="B3568" s="1" t="s">
        <v>3688</v>
      </c>
      <c r="C3568" s="1" t="s">
        <v>25</v>
      </c>
      <c r="D3568" s="1" t="s">
        <v>19</v>
      </c>
      <c r="E3568" s="1" t="s">
        <v>20</v>
      </c>
      <c r="F3568">
        <v>1</v>
      </c>
      <c r="G3568" s="2">
        <v>46281</v>
      </c>
      <c r="H3568" s="2">
        <v>46293</v>
      </c>
      <c r="I3568">
        <v>143.04</v>
      </c>
      <c r="M3568" s="1" t="s">
        <v>69</v>
      </c>
      <c r="N3568" s="1" t="s">
        <v>22</v>
      </c>
      <c r="O3568" s="2"/>
      <c r="P3568" s="2"/>
      <c r="Q3568">
        <f>_xlfn.XLOOKUP(E3568,CPT!$A$2:$A$13,CPT!$D$2:$D$13)</f>
        <v>145</v>
      </c>
      <c r="R3568" s="1">
        <f>_xlfn.XLOOKUP(C3568,Contract!$A$2:$A$9,Contract!$B$2:$B$9)</f>
        <v>0.36</v>
      </c>
      <c r="S3568" s="1">
        <f t="shared" si="220"/>
        <v>52.2</v>
      </c>
      <c r="T3568" s="1" t="str">
        <f t="shared" si="221"/>
        <v/>
      </c>
      <c r="U3568" s="1" t="str">
        <f t="shared" si="222"/>
        <v/>
      </c>
      <c r="V3568" s="1" t="str">
        <f>_xlfn.XLOOKUP(C3568,Payers!$A$2:$A$9,Payers!$B$2:$B$9)</f>
        <v>Medicare Part B</v>
      </c>
      <c r="W3568" s="1" t="str">
        <f t="shared" si="223"/>
        <v>2026-09</v>
      </c>
    </row>
    <row r="3569" spans="1:23">
      <c r="A3569" s="1" t="s">
        <v>5843</v>
      </c>
      <c r="B3569" s="1" t="s">
        <v>5844</v>
      </c>
      <c r="C3569" s="1" t="s">
        <v>25</v>
      </c>
      <c r="D3569" s="1" t="s">
        <v>30</v>
      </c>
      <c r="E3569" s="1" t="s">
        <v>31</v>
      </c>
      <c r="F3569">
        <v>1</v>
      </c>
      <c r="G3569" s="2">
        <v>46284</v>
      </c>
      <c r="H3569" s="2">
        <v>46285</v>
      </c>
      <c r="I3569">
        <v>63.03</v>
      </c>
      <c r="M3569" s="1" t="s">
        <v>69</v>
      </c>
      <c r="N3569" s="1" t="s">
        <v>22</v>
      </c>
      <c r="O3569" s="2"/>
      <c r="P3569" s="2"/>
      <c r="Q3569">
        <f>_xlfn.XLOOKUP(E3569,CPT!$A$2:$A$13,CPT!$D$2:$D$13)</f>
        <v>62</v>
      </c>
      <c r="R3569" s="1">
        <f>_xlfn.XLOOKUP(C3569,Contract!$A$2:$A$9,Contract!$B$2:$B$9)</f>
        <v>0.36</v>
      </c>
      <c r="S3569" s="1">
        <f t="shared" si="220"/>
        <v>22.32</v>
      </c>
      <c r="T3569" s="1" t="str">
        <f t="shared" si="221"/>
        <v/>
      </c>
      <c r="U3569" s="1" t="str">
        <f t="shared" si="222"/>
        <v/>
      </c>
      <c r="V3569" s="1" t="str">
        <f>_xlfn.XLOOKUP(C3569,Payers!$A$2:$A$9,Payers!$B$2:$B$9)</f>
        <v>Medicare Part B</v>
      </c>
      <c r="W3569" s="1" t="str">
        <f t="shared" si="223"/>
        <v>2026-09</v>
      </c>
    </row>
    <row r="3570" spans="1:23">
      <c r="A3570" s="1" t="s">
        <v>5845</v>
      </c>
      <c r="B3570" s="1" t="s">
        <v>2295</v>
      </c>
      <c r="C3570" s="1" t="s">
        <v>79</v>
      </c>
      <c r="D3570" s="1" t="s">
        <v>26</v>
      </c>
      <c r="E3570" s="1" t="s">
        <v>185</v>
      </c>
      <c r="F3570">
        <v>1</v>
      </c>
      <c r="G3570" s="2">
        <v>45982</v>
      </c>
      <c r="H3570" s="2">
        <v>45984</v>
      </c>
      <c r="I3570">
        <v>1144.02</v>
      </c>
      <c r="M3570" s="1" t="s">
        <v>69</v>
      </c>
      <c r="N3570" s="1" t="s">
        <v>22</v>
      </c>
      <c r="O3570" s="2"/>
      <c r="P3570" s="2"/>
      <c r="Q3570">
        <f>_xlfn.XLOOKUP(E3570,CPT!$A$2:$A$13,CPT!$D$2:$D$13)</f>
        <v>1150</v>
      </c>
      <c r="R3570" s="1">
        <f>_xlfn.XLOOKUP(C3570,Contract!$A$2:$A$9,Contract!$B$2:$B$9)</f>
        <v>1</v>
      </c>
      <c r="S3570" s="1">
        <f t="shared" si="220"/>
        <v>1150</v>
      </c>
      <c r="T3570" s="1" t="str">
        <f t="shared" si="221"/>
        <v/>
      </c>
      <c r="U3570" s="1" t="str">
        <f t="shared" si="222"/>
        <v/>
      </c>
      <c r="V3570" s="1" t="str">
        <f>_xlfn.XLOOKUP(C3570,Payers!$A$2:$A$9,Payers!$B$2:$B$9)</f>
        <v>Self-Pay</v>
      </c>
      <c r="W3570" s="1" t="str">
        <f t="shared" si="223"/>
        <v>2025-11</v>
      </c>
    </row>
    <row r="3571" spans="1:23">
      <c r="A3571" s="1" t="s">
        <v>5846</v>
      </c>
      <c r="B3571" s="1" t="s">
        <v>5847</v>
      </c>
      <c r="C3571" s="1" t="s">
        <v>76</v>
      </c>
      <c r="D3571" s="1" t="s">
        <v>19</v>
      </c>
      <c r="E3571" s="1" t="s">
        <v>57</v>
      </c>
      <c r="F3571">
        <v>1</v>
      </c>
      <c r="G3571" s="2">
        <v>46088</v>
      </c>
      <c r="H3571" s="2">
        <v>46093</v>
      </c>
      <c r="I3571">
        <v>204.76</v>
      </c>
      <c r="J3571">
        <v>87.77</v>
      </c>
      <c r="K3571">
        <v>87.77</v>
      </c>
      <c r="L3571">
        <v>0</v>
      </c>
      <c r="M3571" s="1" t="s">
        <v>21</v>
      </c>
      <c r="N3571" s="1" t="s">
        <v>22</v>
      </c>
      <c r="O3571" s="2">
        <v>46131</v>
      </c>
      <c r="P3571" s="2">
        <v>46131</v>
      </c>
      <c r="Q3571">
        <f>_xlfn.XLOOKUP(E3571,CPT!$A$2:$A$13,CPT!$D$2:$D$13)</f>
        <v>210</v>
      </c>
      <c r="R3571" s="1">
        <f>_xlfn.XLOOKUP(C3571,Contract!$A$2:$A$9,Contract!$B$2:$B$9)</f>
        <v>0.43</v>
      </c>
      <c r="S3571" s="1">
        <f t="shared" si="220"/>
        <v>90.3</v>
      </c>
      <c r="T3571" s="1">
        <f t="shared" si="221"/>
        <v>2.5300000000000011</v>
      </c>
      <c r="U3571" s="1" t="str">
        <f t="shared" si="222"/>
        <v>OK</v>
      </c>
      <c r="V3571" s="1" t="str">
        <f>_xlfn.XLOOKUP(C3571,Payers!$A$2:$A$9,Payers!$B$2:$B$9)</f>
        <v>Summit Health Commercial</v>
      </c>
      <c r="W3571" s="1" t="str">
        <f t="shared" si="223"/>
        <v>2026-03</v>
      </c>
    </row>
    <row r="3572" spans="1:23">
      <c r="A3572" s="1" t="s">
        <v>5848</v>
      </c>
      <c r="B3572" s="1" t="s">
        <v>2062</v>
      </c>
      <c r="C3572" s="1" t="s">
        <v>47</v>
      </c>
      <c r="D3572" s="1" t="s">
        <v>30</v>
      </c>
      <c r="E3572" s="1" t="s">
        <v>31</v>
      </c>
      <c r="F3572">
        <v>1</v>
      </c>
      <c r="G3572" s="2">
        <v>46254</v>
      </c>
      <c r="H3572" s="2">
        <v>46260</v>
      </c>
      <c r="I3572">
        <v>61.15</v>
      </c>
      <c r="M3572" s="1" t="s">
        <v>69</v>
      </c>
      <c r="N3572" s="1" t="s">
        <v>22</v>
      </c>
      <c r="O3572" s="2"/>
      <c r="P3572" s="2"/>
      <c r="Q3572">
        <f>_xlfn.XLOOKUP(E3572,CPT!$A$2:$A$13,CPT!$D$2:$D$13)</f>
        <v>62</v>
      </c>
      <c r="R3572" s="1">
        <f>_xlfn.XLOOKUP(C3572,Contract!$A$2:$A$9,Contract!$B$2:$B$9)</f>
        <v>0.28000000000000003</v>
      </c>
      <c r="S3572" s="1">
        <f t="shared" si="220"/>
        <v>17.36</v>
      </c>
      <c r="T3572" s="1" t="str">
        <f t="shared" si="221"/>
        <v/>
      </c>
      <c r="U3572" s="1" t="str">
        <f t="shared" si="222"/>
        <v/>
      </c>
      <c r="V3572" s="1" t="str">
        <f>_xlfn.XLOOKUP(C3572,Payers!$A$2:$A$9,Payers!$B$2:$B$9)</f>
        <v>Coastal Medicaid MCO</v>
      </c>
      <c r="W3572" s="1" t="str">
        <f t="shared" si="223"/>
        <v>2026-08</v>
      </c>
    </row>
    <row r="3573" spans="1:23">
      <c r="A3573" s="1" t="s">
        <v>5849</v>
      </c>
      <c r="B3573" s="1" t="s">
        <v>3123</v>
      </c>
      <c r="C3573" s="1" t="s">
        <v>79</v>
      </c>
      <c r="D3573" s="1" t="s">
        <v>19</v>
      </c>
      <c r="E3573" s="1" t="s">
        <v>88</v>
      </c>
      <c r="F3573">
        <v>1</v>
      </c>
      <c r="G3573" s="2">
        <v>45978</v>
      </c>
      <c r="H3573" s="2">
        <v>45980</v>
      </c>
      <c r="I3573">
        <v>263.39</v>
      </c>
      <c r="J3573">
        <v>263.39</v>
      </c>
      <c r="K3573">
        <v>263.39</v>
      </c>
      <c r="L3573">
        <v>0</v>
      </c>
      <c r="M3573" s="1" t="s">
        <v>21</v>
      </c>
      <c r="N3573" s="1" t="s">
        <v>22</v>
      </c>
      <c r="O3573" s="2">
        <v>46034</v>
      </c>
      <c r="P3573" s="2">
        <v>46034</v>
      </c>
      <c r="Q3573">
        <f>_xlfn.XLOOKUP(E3573,CPT!$A$2:$A$13,CPT!$D$2:$D$13)</f>
        <v>260</v>
      </c>
      <c r="R3573" s="1">
        <f>_xlfn.XLOOKUP(C3573,Contract!$A$2:$A$9,Contract!$B$2:$B$9)</f>
        <v>1</v>
      </c>
      <c r="S3573" s="1">
        <f t="shared" si="220"/>
        <v>260</v>
      </c>
      <c r="T3573" s="1">
        <f t="shared" si="221"/>
        <v>-3.3899999999999864</v>
      </c>
      <c r="U3573" s="1" t="str">
        <f t="shared" si="222"/>
        <v>OK</v>
      </c>
      <c r="V3573" s="1" t="str">
        <f>_xlfn.XLOOKUP(C3573,Payers!$A$2:$A$9,Payers!$B$2:$B$9)</f>
        <v>Self-Pay</v>
      </c>
      <c r="W3573" s="1" t="str">
        <f t="shared" si="223"/>
        <v>2025-11</v>
      </c>
    </row>
    <row r="3574" spans="1:23">
      <c r="A3574" s="1" t="s">
        <v>5850</v>
      </c>
      <c r="B3574" s="1" t="s">
        <v>3184</v>
      </c>
      <c r="C3574" s="1" t="s">
        <v>47</v>
      </c>
      <c r="D3574" s="1" t="s">
        <v>30</v>
      </c>
      <c r="E3574" s="1" t="s">
        <v>31</v>
      </c>
      <c r="F3574">
        <v>4</v>
      </c>
      <c r="G3574" s="2">
        <v>46225</v>
      </c>
      <c r="H3574" s="2">
        <v>46227</v>
      </c>
      <c r="I3574">
        <v>245.17</v>
      </c>
      <c r="J3574">
        <v>76.849999999999994</v>
      </c>
      <c r="K3574">
        <v>76.849999999999994</v>
      </c>
      <c r="L3574">
        <v>0</v>
      </c>
      <c r="M3574" s="1" t="s">
        <v>21</v>
      </c>
      <c r="N3574" s="1" t="s">
        <v>22</v>
      </c>
      <c r="O3574" s="2">
        <v>46292</v>
      </c>
      <c r="P3574" s="2">
        <v>46292</v>
      </c>
      <c r="Q3574">
        <f>_xlfn.XLOOKUP(E3574,CPT!$A$2:$A$13,CPT!$D$2:$D$13)</f>
        <v>62</v>
      </c>
      <c r="R3574" s="1">
        <f>_xlfn.XLOOKUP(C3574,Contract!$A$2:$A$9,Contract!$B$2:$B$9)</f>
        <v>0.28000000000000003</v>
      </c>
      <c r="S3574" s="1">
        <f t="shared" si="220"/>
        <v>69.44</v>
      </c>
      <c r="T3574" s="1">
        <f t="shared" si="221"/>
        <v>-7.4099999999999966</v>
      </c>
      <c r="U3574" s="1" t="str">
        <f t="shared" si="222"/>
        <v>OK</v>
      </c>
      <c r="V3574" s="1" t="str">
        <f>_xlfn.XLOOKUP(C3574,Payers!$A$2:$A$9,Payers!$B$2:$B$9)</f>
        <v>Coastal Medicaid MCO</v>
      </c>
      <c r="W3574" s="1" t="str">
        <f t="shared" si="223"/>
        <v>2026-07</v>
      </c>
    </row>
    <row r="3575" spans="1:23">
      <c r="A3575" s="1" t="s">
        <v>5851</v>
      </c>
      <c r="B3575" s="1" t="s">
        <v>3259</v>
      </c>
      <c r="C3575" s="1" t="s">
        <v>18</v>
      </c>
      <c r="D3575" s="1" t="s">
        <v>37</v>
      </c>
      <c r="E3575" s="1" t="s">
        <v>57</v>
      </c>
      <c r="F3575">
        <v>1</v>
      </c>
      <c r="G3575" s="2">
        <v>46188</v>
      </c>
      <c r="H3575" s="2">
        <v>46189</v>
      </c>
      <c r="I3575">
        <v>209.93</v>
      </c>
      <c r="J3575">
        <v>86.59</v>
      </c>
      <c r="K3575">
        <v>69.27</v>
      </c>
      <c r="L3575">
        <v>17.32</v>
      </c>
      <c r="M3575" s="1" t="s">
        <v>21</v>
      </c>
      <c r="N3575" s="1" t="s">
        <v>22</v>
      </c>
      <c r="O3575" s="2">
        <v>46282</v>
      </c>
      <c r="P3575" s="2">
        <v>46282</v>
      </c>
      <c r="Q3575">
        <f>_xlfn.XLOOKUP(E3575,CPT!$A$2:$A$13,CPT!$D$2:$D$13)</f>
        <v>210</v>
      </c>
      <c r="R3575" s="1">
        <f>_xlfn.XLOOKUP(C3575,Contract!$A$2:$A$9,Contract!$B$2:$B$9)</f>
        <v>0.38</v>
      </c>
      <c r="S3575" s="1">
        <f t="shared" si="220"/>
        <v>79.8</v>
      </c>
      <c r="T3575" s="1">
        <f t="shared" si="221"/>
        <v>-6.7900000000000063</v>
      </c>
      <c r="U3575" s="1" t="str">
        <f t="shared" si="222"/>
        <v>OK</v>
      </c>
      <c r="V3575" s="1" t="str">
        <f>_xlfn.XLOOKUP(C3575,Payers!$A$2:$A$9,Payers!$B$2:$B$9)</f>
        <v>Sunshine Medicare Advantage</v>
      </c>
      <c r="W3575" s="1" t="str">
        <f t="shared" si="223"/>
        <v>2026-06</v>
      </c>
    </row>
    <row r="3576" spans="1:23">
      <c r="A3576" s="1" t="s">
        <v>5852</v>
      </c>
      <c r="B3576" s="1" t="s">
        <v>1725</v>
      </c>
      <c r="C3576" s="1" t="s">
        <v>36</v>
      </c>
      <c r="D3576" s="1" t="s">
        <v>37</v>
      </c>
      <c r="E3576" s="1" t="s">
        <v>57</v>
      </c>
      <c r="F3576">
        <v>1</v>
      </c>
      <c r="G3576" s="2">
        <v>46145</v>
      </c>
      <c r="H3576" s="2">
        <v>46153</v>
      </c>
      <c r="I3576">
        <v>213.82</v>
      </c>
      <c r="J3576">
        <v>52.45</v>
      </c>
      <c r="K3576">
        <v>47.2</v>
      </c>
      <c r="L3576">
        <v>5.25</v>
      </c>
      <c r="M3576" s="1" t="s">
        <v>21</v>
      </c>
      <c r="N3576" s="1" t="s">
        <v>22</v>
      </c>
      <c r="O3576" s="2">
        <v>46182</v>
      </c>
      <c r="P3576" s="2">
        <v>46182</v>
      </c>
      <c r="Q3576">
        <f>_xlfn.XLOOKUP(E3576,CPT!$A$2:$A$13,CPT!$D$2:$D$13)</f>
        <v>210</v>
      </c>
      <c r="R3576" s="1">
        <f>_xlfn.XLOOKUP(C3576,Contract!$A$2:$A$9,Contract!$B$2:$B$9)</f>
        <v>0.27</v>
      </c>
      <c r="S3576" s="1">
        <f t="shared" si="220"/>
        <v>56.7</v>
      </c>
      <c r="T3576" s="1">
        <f t="shared" si="221"/>
        <v>4.25</v>
      </c>
      <c r="U3576" s="1" t="str">
        <f t="shared" si="222"/>
        <v>Underpaid</v>
      </c>
      <c r="V3576" s="1" t="str">
        <f>_xlfn.XLOOKUP(C3576,Payers!$A$2:$A$9,Payers!$B$2:$B$9)</f>
        <v>Florida Medicaid</v>
      </c>
      <c r="W3576" s="1" t="str">
        <f t="shared" si="223"/>
        <v>2026-05</v>
      </c>
    </row>
    <row r="3577" spans="1:23">
      <c r="A3577" s="1" t="s">
        <v>5853</v>
      </c>
      <c r="B3577" s="1" t="s">
        <v>5854</v>
      </c>
      <c r="C3577" s="1" t="s">
        <v>36</v>
      </c>
      <c r="D3577" s="1" t="s">
        <v>19</v>
      </c>
      <c r="E3577" s="1" t="s">
        <v>20</v>
      </c>
      <c r="F3577">
        <v>1</v>
      </c>
      <c r="G3577" s="2">
        <v>46163</v>
      </c>
      <c r="H3577" s="2">
        <v>46164</v>
      </c>
      <c r="I3577">
        <v>141.72</v>
      </c>
      <c r="J3577">
        <v>37.630000000000003</v>
      </c>
      <c r="K3577">
        <v>30.1</v>
      </c>
      <c r="L3577">
        <v>7.53</v>
      </c>
      <c r="M3577" s="1" t="s">
        <v>21</v>
      </c>
      <c r="N3577" s="1" t="s">
        <v>22</v>
      </c>
      <c r="O3577" s="2">
        <v>46201</v>
      </c>
      <c r="P3577" s="2">
        <v>46201</v>
      </c>
      <c r="Q3577">
        <f>_xlfn.XLOOKUP(E3577,CPT!$A$2:$A$13,CPT!$D$2:$D$13)</f>
        <v>145</v>
      </c>
      <c r="R3577" s="1">
        <f>_xlfn.XLOOKUP(C3577,Contract!$A$2:$A$9,Contract!$B$2:$B$9)</f>
        <v>0.27</v>
      </c>
      <c r="S3577" s="1">
        <f t="shared" si="220"/>
        <v>39.15</v>
      </c>
      <c r="T3577" s="1">
        <f t="shared" si="221"/>
        <v>1.519999999999996</v>
      </c>
      <c r="U3577" s="1" t="str">
        <f t="shared" si="222"/>
        <v>OK</v>
      </c>
      <c r="V3577" s="1" t="str">
        <f>_xlfn.XLOOKUP(C3577,Payers!$A$2:$A$9,Payers!$B$2:$B$9)</f>
        <v>Florida Medicaid</v>
      </c>
      <c r="W3577" s="1" t="str">
        <f t="shared" si="223"/>
        <v>2026-05</v>
      </c>
    </row>
    <row r="3578" spans="1:23">
      <c r="A3578" s="1" t="s">
        <v>5855</v>
      </c>
      <c r="B3578" s="1" t="s">
        <v>3629</v>
      </c>
      <c r="C3578" s="1" t="s">
        <v>52</v>
      </c>
      <c r="D3578" s="1" t="s">
        <v>30</v>
      </c>
      <c r="E3578" s="1" t="s">
        <v>91</v>
      </c>
      <c r="F3578">
        <v>1</v>
      </c>
      <c r="G3578" s="2">
        <v>46135</v>
      </c>
      <c r="H3578" s="2">
        <v>46136</v>
      </c>
      <c r="I3578">
        <v>58.67</v>
      </c>
      <c r="M3578" s="1" t="s">
        <v>32</v>
      </c>
      <c r="N3578" s="1" t="s">
        <v>124</v>
      </c>
      <c r="O3578" s="2">
        <v>46180</v>
      </c>
      <c r="P3578" s="2"/>
      <c r="Q3578">
        <f>_xlfn.XLOOKUP(E3578,CPT!$A$2:$A$13,CPT!$D$2:$D$13)</f>
        <v>58</v>
      </c>
      <c r="R3578" s="1">
        <f>_xlfn.XLOOKUP(C3578,Contract!$A$2:$A$9,Contract!$B$2:$B$9)</f>
        <v>0.47</v>
      </c>
      <c r="S3578" s="1">
        <f t="shared" si="220"/>
        <v>27.26</v>
      </c>
      <c r="T3578" s="1" t="str">
        <f t="shared" si="221"/>
        <v/>
      </c>
      <c r="U3578" s="1" t="str">
        <f t="shared" si="222"/>
        <v/>
      </c>
      <c r="V3578" s="1" t="str">
        <f>_xlfn.XLOOKUP(C3578,Payers!$A$2:$A$9,Payers!$B$2:$B$9)</f>
        <v>Keystone Commercial PPO</v>
      </c>
      <c r="W3578" s="1" t="str">
        <f t="shared" si="223"/>
        <v>2026-04</v>
      </c>
    </row>
    <row r="3579" spans="1:23">
      <c r="A3579" s="1" t="s">
        <v>5856</v>
      </c>
      <c r="B3579" s="1" t="s">
        <v>888</v>
      </c>
      <c r="C3579" s="1" t="s">
        <v>52</v>
      </c>
      <c r="D3579" s="1" t="s">
        <v>26</v>
      </c>
      <c r="E3579" s="1" t="s">
        <v>113</v>
      </c>
      <c r="F3579">
        <v>1</v>
      </c>
      <c r="G3579" s="2">
        <v>46227</v>
      </c>
      <c r="H3579" s="2">
        <v>46238</v>
      </c>
      <c r="I3579">
        <v>1049.76</v>
      </c>
      <c r="M3579" s="1" t="s">
        <v>32</v>
      </c>
      <c r="N3579" s="1" t="s">
        <v>168</v>
      </c>
      <c r="O3579" s="2">
        <v>46295</v>
      </c>
      <c r="P3579" s="2"/>
      <c r="Q3579">
        <f>_xlfn.XLOOKUP(E3579,CPT!$A$2:$A$13,CPT!$D$2:$D$13)</f>
        <v>1050</v>
      </c>
      <c r="R3579" s="1">
        <f>_xlfn.XLOOKUP(C3579,Contract!$A$2:$A$9,Contract!$B$2:$B$9)</f>
        <v>0.47</v>
      </c>
      <c r="S3579" s="1">
        <f t="shared" si="220"/>
        <v>493.5</v>
      </c>
      <c r="T3579" s="1" t="str">
        <f t="shared" si="221"/>
        <v/>
      </c>
      <c r="U3579" s="1" t="str">
        <f t="shared" si="222"/>
        <v/>
      </c>
      <c r="V3579" s="1" t="str">
        <f>_xlfn.XLOOKUP(C3579,Payers!$A$2:$A$9,Payers!$B$2:$B$9)</f>
        <v>Keystone Commercial PPO</v>
      </c>
      <c r="W3579" s="1" t="str">
        <f t="shared" si="223"/>
        <v>2026-07</v>
      </c>
    </row>
    <row r="3580" spans="1:23">
      <c r="A3580" s="1" t="s">
        <v>5857</v>
      </c>
      <c r="B3580" s="1" t="s">
        <v>5858</v>
      </c>
      <c r="C3580" s="1" t="s">
        <v>76</v>
      </c>
      <c r="D3580" s="1" t="s">
        <v>26</v>
      </c>
      <c r="E3580" s="1" t="s">
        <v>41</v>
      </c>
      <c r="F3580">
        <v>1</v>
      </c>
      <c r="G3580" s="2">
        <v>46265</v>
      </c>
      <c r="H3580" s="2">
        <v>46272</v>
      </c>
      <c r="I3580">
        <v>37.85</v>
      </c>
      <c r="J3580">
        <v>17.36</v>
      </c>
      <c r="K3580">
        <v>13.89</v>
      </c>
      <c r="L3580">
        <v>3.47</v>
      </c>
      <c r="M3580" s="1" t="s">
        <v>21</v>
      </c>
      <c r="N3580" s="1" t="s">
        <v>22</v>
      </c>
      <c r="O3580" s="2">
        <v>46293</v>
      </c>
      <c r="P3580" s="2">
        <v>46293</v>
      </c>
      <c r="Q3580">
        <f>_xlfn.XLOOKUP(E3580,CPT!$A$2:$A$13,CPT!$D$2:$D$13)</f>
        <v>38</v>
      </c>
      <c r="R3580" s="1">
        <f>_xlfn.XLOOKUP(C3580,Contract!$A$2:$A$9,Contract!$B$2:$B$9)</f>
        <v>0.43</v>
      </c>
      <c r="S3580" s="1">
        <f t="shared" si="220"/>
        <v>16.34</v>
      </c>
      <c r="T3580" s="1">
        <f t="shared" si="221"/>
        <v>-1.0199999999999996</v>
      </c>
      <c r="U3580" s="1" t="str">
        <f t="shared" si="222"/>
        <v>OK</v>
      </c>
      <c r="V3580" s="1" t="str">
        <f>_xlfn.XLOOKUP(C3580,Payers!$A$2:$A$9,Payers!$B$2:$B$9)</f>
        <v>Summit Health Commercial</v>
      </c>
      <c r="W3580" s="1" t="str">
        <f t="shared" si="223"/>
        <v>2026-08</v>
      </c>
    </row>
    <row r="3581" spans="1:23">
      <c r="A3581" s="1" t="s">
        <v>5859</v>
      </c>
      <c r="B3581" s="1" t="s">
        <v>5860</v>
      </c>
      <c r="C3581" s="1" t="s">
        <v>36</v>
      </c>
      <c r="D3581" s="1" t="s">
        <v>26</v>
      </c>
      <c r="E3581" s="1" t="s">
        <v>185</v>
      </c>
      <c r="F3581">
        <v>1</v>
      </c>
      <c r="G3581" s="2">
        <v>46159</v>
      </c>
      <c r="H3581" s="2">
        <v>46162</v>
      </c>
      <c r="I3581">
        <v>1148.45</v>
      </c>
      <c r="J3581">
        <v>272.55</v>
      </c>
      <c r="K3581">
        <v>272.55</v>
      </c>
      <c r="L3581">
        <v>0</v>
      </c>
      <c r="M3581" s="1" t="s">
        <v>21</v>
      </c>
      <c r="N3581" s="1" t="s">
        <v>22</v>
      </c>
      <c r="O3581" s="2">
        <v>46183</v>
      </c>
      <c r="P3581" s="2">
        <v>46183</v>
      </c>
      <c r="Q3581">
        <f>_xlfn.XLOOKUP(E3581,CPT!$A$2:$A$13,CPT!$D$2:$D$13)</f>
        <v>1150</v>
      </c>
      <c r="R3581" s="1">
        <f>_xlfn.XLOOKUP(C3581,Contract!$A$2:$A$9,Contract!$B$2:$B$9)</f>
        <v>0.27</v>
      </c>
      <c r="S3581" s="1">
        <f t="shared" si="220"/>
        <v>310.5</v>
      </c>
      <c r="T3581" s="1">
        <f t="shared" si="221"/>
        <v>37.949999999999989</v>
      </c>
      <c r="U3581" s="1" t="str">
        <f t="shared" si="222"/>
        <v>Underpaid</v>
      </c>
      <c r="V3581" s="1" t="str">
        <f>_xlfn.XLOOKUP(C3581,Payers!$A$2:$A$9,Payers!$B$2:$B$9)</f>
        <v>Florida Medicaid</v>
      </c>
      <c r="W3581" s="1" t="str">
        <f t="shared" si="223"/>
        <v>2026-05</v>
      </c>
    </row>
    <row r="3582" spans="1:23">
      <c r="A3582" s="1" t="s">
        <v>5861</v>
      </c>
      <c r="B3582" s="1" t="s">
        <v>955</v>
      </c>
      <c r="C3582" s="1" t="s">
        <v>47</v>
      </c>
      <c r="D3582" s="1" t="s">
        <v>30</v>
      </c>
      <c r="E3582" s="1" t="s">
        <v>91</v>
      </c>
      <c r="F3582">
        <v>1</v>
      </c>
      <c r="G3582" s="2">
        <v>45959</v>
      </c>
      <c r="H3582" s="2">
        <v>45982</v>
      </c>
      <c r="I3582">
        <v>59.63</v>
      </c>
      <c r="J3582">
        <v>15.91</v>
      </c>
      <c r="K3582">
        <v>14.32</v>
      </c>
      <c r="L3582">
        <v>1.59</v>
      </c>
      <c r="M3582" s="1" t="s">
        <v>21</v>
      </c>
      <c r="N3582" s="1" t="s">
        <v>22</v>
      </c>
      <c r="O3582" s="2">
        <v>46056</v>
      </c>
      <c r="P3582" s="2">
        <v>46056</v>
      </c>
      <c r="Q3582">
        <f>_xlfn.XLOOKUP(E3582,CPT!$A$2:$A$13,CPT!$D$2:$D$13)</f>
        <v>58</v>
      </c>
      <c r="R3582" s="1">
        <f>_xlfn.XLOOKUP(C3582,Contract!$A$2:$A$9,Contract!$B$2:$B$9)</f>
        <v>0.28000000000000003</v>
      </c>
      <c r="S3582" s="1">
        <f t="shared" si="220"/>
        <v>16.239999999999998</v>
      </c>
      <c r="T3582" s="1">
        <f t="shared" si="221"/>
        <v>0.32999999999999829</v>
      </c>
      <c r="U3582" s="1" t="str">
        <f t="shared" si="222"/>
        <v>OK</v>
      </c>
      <c r="V3582" s="1" t="str">
        <f>_xlfn.XLOOKUP(C3582,Payers!$A$2:$A$9,Payers!$B$2:$B$9)</f>
        <v>Coastal Medicaid MCO</v>
      </c>
      <c r="W3582" s="1" t="str">
        <f t="shared" si="223"/>
        <v>2025-10</v>
      </c>
    </row>
    <row r="3583" spans="1:23">
      <c r="A3583" s="1" t="s">
        <v>5862</v>
      </c>
      <c r="B3583" s="1" t="s">
        <v>4093</v>
      </c>
      <c r="C3583" s="1" t="s">
        <v>52</v>
      </c>
      <c r="D3583" s="1" t="s">
        <v>19</v>
      </c>
      <c r="E3583" s="1" t="s">
        <v>88</v>
      </c>
      <c r="F3583">
        <v>1</v>
      </c>
      <c r="G3583" s="2">
        <v>46096</v>
      </c>
      <c r="H3583" s="2">
        <v>46098</v>
      </c>
      <c r="I3583">
        <v>254.26</v>
      </c>
      <c r="J3583">
        <v>119.79</v>
      </c>
      <c r="K3583">
        <v>107.81</v>
      </c>
      <c r="L3583">
        <v>11.98</v>
      </c>
      <c r="M3583" s="1" t="s">
        <v>21</v>
      </c>
      <c r="N3583" s="1" t="s">
        <v>22</v>
      </c>
      <c r="O3583" s="2">
        <v>46140</v>
      </c>
      <c r="P3583" s="2">
        <v>46140</v>
      </c>
      <c r="Q3583">
        <f>_xlfn.XLOOKUP(E3583,CPT!$A$2:$A$13,CPT!$D$2:$D$13)</f>
        <v>260</v>
      </c>
      <c r="R3583" s="1">
        <f>_xlfn.XLOOKUP(C3583,Contract!$A$2:$A$9,Contract!$B$2:$B$9)</f>
        <v>0.47</v>
      </c>
      <c r="S3583" s="1">
        <f t="shared" si="220"/>
        <v>122.2</v>
      </c>
      <c r="T3583" s="1">
        <f t="shared" si="221"/>
        <v>2.4099999999999966</v>
      </c>
      <c r="U3583" s="1" t="str">
        <f t="shared" si="222"/>
        <v>OK</v>
      </c>
      <c r="V3583" s="1" t="str">
        <f>_xlfn.XLOOKUP(C3583,Payers!$A$2:$A$9,Payers!$B$2:$B$9)</f>
        <v>Keystone Commercial PPO</v>
      </c>
      <c r="W3583" s="1" t="str">
        <f t="shared" si="223"/>
        <v>2026-03</v>
      </c>
    </row>
    <row r="3584" spans="1:23">
      <c r="A3584" s="1" t="s">
        <v>5863</v>
      </c>
      <c r="B3584" s="1" t="s">
        <v>5864</v>
      </c>
      <c r="C3584" s="1" t="s">
        <v>76</v>
      </c>
      <c r="D3584" s="1" t="s">
        <v>19</v>
      </c>
      <c r="E3584" s="1" t="s">
        <v>88</v>
      </c>
      <c r="F3584">
        <v>1</v>
      </c>
      <c r="G3584" s="2">
        <v>46103</v>
      </c>
      <c r="H3584" s="2">
        <v>46108</v>
      </c>
      <c r="I3584">
        <v>263.27</v>
      </c>
      <c r="J3584">
        <v>124.22</v>
      </c>
      <c r="K3584">
        <v>124.22</v>
      </c>
      <c r="L3584">
        <v>0</v>
      </c>
      <c r="M3584" s="1" t="s">
        <v>21</v>
      </c>
      <c r="N3584" s="1" t="s">
        <v>22</v>
      </c>
      <c r="O3584" s="2">
        <v>46140</v>
      </c>
      <c r="P3584" s="2">
        <v>46140</v>
      </c>
      <c r="Q3584">
        <f>_xlfn.XLOOKUP(E3584,CPT!$A$2:$A$13,CPT!$D$2:$D$13)</f>
        <v>260</v>
      </c>
      <c r="R3584" s="1">
        <f>_xlfn.XLOOKUP(C3584,Contract!$A$2:$A$9,Contract!$B$2:$B$9)</f>
        <v>0.43</v>
      </c>
      <c r="S3584" s="1">
        <f t="shared" si="220"/>
        <v>111.8</v>
      </c>
      <c r="T3584" s="1">
        <f t="shared" si="221"/>
        <v>-12.420000000000002</v>
      </c>
      <c r="U3584" s="1" t="str">
        <f t="shared" si="222"/>
        <v>OK</v>
      </c>
      <c r="V3584" s="1" t="str">
        <f>_xlfn.XLOOKUP(C3584,Payers!$A$2:$A$9,Payers!$B$2:$B$9)</f>
        <v>Summit Health Commercial</v>
      </c>
      <c r="W3584" s="1" t="str">
        <f t="shared" si="223"/>
        <v>2026-03</v>
      </c>
    </row>
    <row r="3585" spans="1:23">
      <c r="A3585" s="1" t="s">
        <v>5865</v>
      </c>
      <c r="B3585" s="1" t="s">
        <v>2122</v>
      </c>
      <c r="C3585" s="1" t="s">
        <v>79</v>
      </c>
      <c r="D3585" s="1" t="s">
        <v>26</v>
      </c>
      <c r="E3585" s="1" t="s">
        <v>185</v>
      </c>
      <c r="F3585">
        <v>1</v>
      </c>
      <c r="G3585" s="2">
        <v>45932</v>
      </c>
      <c r="H3585" s="2">
        <v>45949</v>
      </c>
      <c r="I3585">
        <v>1164.3900000000001</v>
      </c>
      <c r="M3585" s="1" t="s">
        <v>32</v>
      </c>
      <c r="N3585" s="1" t="s">
        <v>49</v>
      </c>
      <c r="O3585" s="2">
        <v>46000</v>
      </c>
      <c r="P3585" s="2"/>
      <c r="Q3585">
        <f>_xlfn.XLOOKUP(E3585,CPT!$A$2:$A$13,CPT!$D$2:$D$13)</f>
        <v>1150</v>
      </c>
      <c r="R3585" s="1">
        <f>_xlfn.XLOOKUP(C3585,Contract!$A$2:$A$9,Contract!$B$2:$B$9)</f>
        <v>1</v>
      </c>
      <c r="S3585" s="1">
        <f t="shared" si="220"/>
        <v>1150</v>
      </c>
      <c r="T3585" s="1" t="str">
        <f t="shared" si="221"/>
        <v/>
      </c>
      <c r="U3585" s="1" t="str">
        <f t="shared" si="222"/>
        <v/>
      </c>
      <c r="V3585" s="1" t="str">
        <f>_xlfn.XLOOKUP(C3585,Payers!$A$2:$A$9,Payers!$B$2:$B$9)</f>
        <v>Self-Pay</v>
      </c>
      <c r="W3585" s="1" t="str">
        <f t="shared" si="223"/>
        <v>2025-10</v>
      </c>
    </row>
    <row r="3586" spans="1:23">
      <c r="A3586" s="1" t="s">
        <v>5866</v>
      </c>
      <c r="B3586" s="1" t="s">
        <v>5867</v>
      </c>
      <c r="C3586" s="1" t="s">
        <v>52</v>
      </c>
      <c r="D3586" s="1" t="s">
        <v>37</v>
      </c>
      <c r="E3586" s="1" t="s">
        <v>57</v>
      </c>
      <c r="F3586">
        <v>1</v>
      </c>
      <c r="G3586" s="2">
        <v>46171</v>
      </c>
      <c r="H3586" s="2">
        <v>46174</v>
      </c>
      <c r="I3586">
        <v>215.4</v>
      </c>
      <c r="J3586">
        <v>108.32</v>
      </c>
      <c r="K3586">
        <v>97.49</v>
      </c>
      <c r="L3586">
        <v>10.83</v>
      </c>
      <c r="M3586" s="1" t="s">
        <v>21</v>
      </c>
      <c r="N3586" s="1" t="s">
        <v>22</v>
      </c>
      <c r="O3586" s="2">
        <v>46221</v>
      </c>
      <c r="P3586" s="2">
        <v>46221</v>
      </c>
      <c r="Q3586">
        <f>_xlfn.XLOOKUP(E3586,CPT!$A$2:$A$13,CPT!$D$2:$D$13)</f>
        <v>210</v>
      </c>
      <c r="R3586" s="1">
        <f>_xlfn.XLOOKUP(C3586,Contract!$A$2:$A$9,Contract!$B$2:$B$9)</f>
        <v>0.47</v>
      </c>
      <c r="S3586" s="1">
        <f t="shared" ref="S3586:S3649" si="224">ROUND(Q3586*F3586*R3586,2)</f>
        <v>98.7</v>
      </c>
      <c r="T3586" s="1">
        <f t="shared" ref="T3586:T3649" si="225">IF(M3586="Paid",S3586-J3586,"")</f>
        <v>-9.6199999999999903</v>
      </c>
      <c r="U3586" s="1" t="str">
        <f t="shared" ref="U3586:U3649" si="226">IF(M3586&lt;&gt;"Paid","",IF(T3586&gt;S3586*0.05,"Underpaid","OK"))</f>
        <v>OK</v>
      </c>
      <c r="V3586" s="1" t="str">
        <f>_xlfn.XLOOKUP(C3586,Payers!$A$2:$A$9,Payers!$B$2:$B$9)</f>
        <v>Keystone Commercial PPO</v>
      </c>
      <c r="W3586" s="1" t="str">
        <f t="shared" ref="W3586:W3649" si="227">TEXT(G3586,"yyyy-mm")</f>
        <v>2026-05</v>
      </c>
    </row>
    <row r="3587" spans="1:23">
      <c r="A3587" s="1" t="s">
        <v>5868</v>
      </c>
      <c r="B3587" s="1" t="s">
        <v>3911</v>
      </c>
      <c r="C3587" s="1" t="s">
        <v>60</v>
      </c>
      <c r="D3587" s="1" t="s">
        <v>19</v>
      </c>
      <c r="E3587" s="1" t="s">
        <v>41</v>
      </c>
      <c r="F3587">
        <v>1</v>
      </c>
      <c r="G3587" s="2">
        <v>46215</v>
      </c>
      <c r="H3587" s="2">
        <v>46217</v>
      </c>
      <c r="I3587">
        <v>38.18</v>
      </c>
      <c r="J3587">
        <v>15.35</v>
      </c>
      <c r="K3587">
        <v>12.28</v>
      </c>
      <c r="L3587">
        <v>3.07</v>
      </c>
      <c r="M3587" s="1" t="s">
        <v>21</v>
      </c>
      <c r="N3587" s="1" t="s">
        <v>22</v>
      </c>
      <c r="O3587" s="2">
        <v>46235</v>
      </c>
      <c r="P3587" s="2">
        <v>46235</v>
      </c>
      <c r="Q3587">
        <f>_xlfn.XLOOKUP(E3587,CPT!$A$2:$A$13,CPT!$D$2:$D$13)</f>
        <v>38</v>
      </c>
      <c r="R3587" s="1">
        <f>_xlfn.XLOOKUP(C3587,Contract!$A$2:$A$9,Contract!$B$2:$B$9)</f>
        <v>0.45</v>
      </c>
      <c r="S3587" s="1">
        <f t="shared" si="224"/>
        <v>17.100000000000001</v>
      </c>
      <c r="T3587" s="1">
        <f t="shared" si="225"/>
        <v>1.7500000000000018</v>
      </c>
      <c r="U3587" s="1" t="str">
        <f t="shared" si="226"/>
        <v>Underpaid</v>
      </c>
      <c r="V3587" s="1" t="str">
        <f>_xlfn.XLOOKUP(C3587,Payers!$A$2:$A$9,Payers!$B$2:$B$9)</f>
        <v>Blue Horizon Commercial</v>
      </c>
      <c r="W3587" s="1" t="str">
        <f t="shared" si="227"/>
        <v>2026-07</v>
      </c>
    </row>
    <row r="3588" spans="1:23">
      <c r="A3588" s="1" t="s">
        <v>5869</v>
      </c>
      <c r="B3588" s="1" t="s">
        <v>5870</v>
      </c>
      <c r="C3588" s="1" t="s">
        <v>76</v>
      </c>
      <c r="D3588" s="1" t="s">
        <v>19</v>
      </c>
      <c r="E3588" s="1" t="s">
        <v>57</v>
      </c>
      <c r="F3588">
        <v>1</v>
      </c>
      <c r="G3588" s="2">
        <v>46147</v>
      </c>
      <c r="H3588" s="2">
        <v>46151</v>
      </c>
      <c r="I3588">
        <v>213.92</v>
      </c>
      <c r="J3588">
        <v>82.56</v>
      </c>
      <c r="K3588">
        <v>74.3</v>
      </c>
      <c r="L3588">
        <v>8.26</v>
      </c>
      <c r="M3588" s="1" t="s">
        <v>21</v>
      </c>
      <c r="N3588" s="1" t="s">
        <v>22</v>
      </c>
      <c r="O3588" s="2">
        <v>46168</v>
      </c>
      <c r="P3588" s="2">
        <v>46168</v>
      </c>
      <c r="Q3588">
        <f>_xlfn.XLOOKUP(E3588,CPT!$A$2:$A$13,CPT!$D$2:$D$13)</f>
        <v>210</v>
      </c>
      <c r="R3588" s="1">
        <f>_xlfn.XLOOKUP(C3588,Contract!$A$2:$A$9,Contract!$B$2:$B$9)</f>
        <v>0.43</v>
      </c>
      <c r="S3588" s="1">
        <f t="shared" si="224"/>
        <v>90.3</v>
      </c>
      <c r="T3588" s="1">
        <f t="shared" si="225"/>
        <v>7.7399999999999949</v>
      </c>
      <c r="U3588" s="1" t="str">
        <f t="shared" si="226"/>
        <v>Underpaid</v>
      </c>
      <c r="V3588" s="1" t="str">
        <f>_xlfn.XLOOKUP(C3588,Payers!$A$2:$A$9,Payers!$B$2:$B$9)</f>
        <v>Summit Health Commercial</v>
      </c>
      <c r="W3588" s="1" t="str">
        <f t="shared" si="227"/>
        <v>2026-05</v>
      </c>
    </row>
    <row r="3589" spans="1:23">
      <c r="A3589" s="1" t="s">
        <v>5871</v>
      </c>
      <c r="B3589" s="1" t="s">
        <v>5872</v>
      </c>
      <c r="C3589" s="1" t="s">
        <v>60</v>
      </c>
      <c r="D3589" s="1" t="s">
        <v>19</v>
      </c>
      <c r="E3589" s="1" t="s">
        <v>88</v>
      </c>
      <c r="F3589">
        <v>1</v>
      </c>
      <c r="G3589" s="2">
        <v>46115</v>
      </c>
      <c r="H3589" s="2">
        <v>46128</v>
      </c>
      <c r="I3589">
        <v>252.92</v>
      </c>
      <c r="J3589">
        <v>110.21</v>
      </c>
      <c r="K3589">
        <v>110.21</v>
      </c>
      <c r="L3589">
        <v>0</v>
      </c>
      <c r="M3589" s="1" t="s">
        <v>21</v>
      </c>
      <c r="N3589" s="1" t="s">
        <v>22</v>
      </c>
      <c r="O3589" s="2">
        <v>46158</v>
      </c>
      <c r="P3589" s="2">
        <v>46158</v>
      </c>
      <c r="Q3589">
        <f>_xlfn.XLOOKUP(E3589,CPT!$A$2:$A$13,CPT!$D$2:$D$13)</f>
        <v>260</v>
      </c>
      <c r="R3589" s="1">
        <f>_xlfn.XLOOKUP(C3589,Contract!$A$2:$A$9,Contract!$B$2:$B$9)</f>
        <v>0.45</v>
      </c>
      <c r="S3589" s="1">
        <f t="shared" si="224"/>
        <v>117</v>
      </c>
      <c r="T3589" s="1">
        <f t="shared" si="225"/>
        <v>6.7900000000000063</v>
      </c>
      <c r="U3589" s="1" t="str">
        <f t="shared" si="226"/>
        <v>Underpaid</v>
      </c>
      <c r="V3589" s="1" t="str">
        <f>_xlfn.XLOOKUP(C3589,Payers!$A$2:$A$9,Payers!$B$2:$B$9)</f>
        <v>Blue Horizon Commercial</v>
      </c>
      <c r="W3589" s="1" t="str">
        <f t="shared" si="227"/>
        <v>2026-04</v>
      </c>
    </row>
    <row r="3590" spans="1:23">
      <c r="A3590" s="1" t="s">
        <v>5873</v>
      </c>
      <c r="B3590" s="1" t="s">
        <v>5874</v>
      </c>
      <c r="C3590" s="1" t="s">
        <v>52</v>
      </c>
      <c r="D3590" s="1" t="s">
        <v>19</v>
      </c>
      <c r="E3590" s="1" t="s">
        <v>41</v>
      </c>
      <c r="F3590">
        <v>1</v>
      </c>
      <c r="G3590" s="2">
        <v>46170</v>
      </c>
      <c r="H3590" s="2">
        <v>46172</v>
      </c>
      <c r="I3590">
        <v>38.409999999999997</v>
      </c>
      <c r="J3590">
        <v>15.93</v>
      </c>
      <c r="K3590">
        <v>15.93</v>
      </c>
      <c r="L3590">
        <v>0</v>
      </c>
      <c r="M3590" s="1" t="s">
        <v>21</v>
      </c>
      <c r="N3590" s="1" t="s">
        <v>22</v>
      </c>
      <c r="O3590" s="2">
        <v>46234</v>
      </c>
      <c r="P3590" s="2">
        <v>46234</v>
      </c>
      <c r="Q3590">
        <f>_xlfn.XLOOKUP(E3590,CPT!$A$2:$A$13,CPT!$D$2:$D$13)</f>
        <v>38</v>
      </c>
      <c r="R3590" s="1">
        <f>_xlfn.XLOOKUP(C3590,Contract!$A$2:$A$9,Contract!$B$2:$B$9)</f>
        <v>0.47</v>
      </c>
      <c r="S3590" s="1">
        <f t="shared" si="224"/>
        <v>17.86</v>
      </c>
      <c r="T3590" s="1">
        <f t="shared" si="225"/>
        <v>1.9299999999999997</v>
      </c>
      <c r="U3590" s="1" t="str">
        <f t="shared" si="226"/>
        <v>Underpaid</v>
      </c>
      <c r="V3590" s="1" t="str">
        <f>_xlfn.XLOOKUP(C3590,Payers!$A$2:$A$9,Payers!$B$2:$B$9)</f>
        <v>Keystone Commercial PPO</v>
      </c>
      <c r="W3590" s="1" t="str">
        <f t="shared" si="227"/>
        <v>2026-05</v>
      </c>
    </row>
    <row r="3591" spans="1:23">
      <c r="A3591" s="1" t="s">
        <v>5875</v>
      </c>
      <c r="B3591" s="1" t="s">
        <v>653</v>
      </c>
      <c r="C3591" s="1" t="s">
        <v>47</v>
      </c>
      <c r="D3591" s="1" t="s">
        <v>26</v>
      </c>
      <c r="E3591" s="1" t="s">
        <v>57</v>
      </c>
      <c r="F3591">
        <v>1</v>
      </c>
      <c r="G3591" s="2">
        <v>46150</v>
      </c>
      <c r="H3591" s="2">
        <v>46151</v>
      </c>
      <c r="I3591">
        <v>211.03</v>
      </c>
      <c r="J3591">
        <v>58.34</v>
      </c>
      <c r="K3591">
        <v>58.34</v>
      </c>
      <c r="L3591">
        <v>0</v>
      </c>
      <c r="M3591" s="1" t="s">
        <v>21</v>
      </c>
      <c r="N3591" s="1" t="s">
        <v>22</v>
      </c>
      <c r="O3591" s="2">
        <v>46211</v>
      </c>
      <c r="P3591" s="2">
        <v>46211</v>
      </c>
      <c r="Q3591">
        <f>_xlfn.XLOOKUP(E3591,CPT!$A$2:$A$13,CPT!$D$2:$D$13)</f>
        <v>210</v>
      </c>
      <c r="R3591" s="1">
        <f>_xlfn.XLOOKUP(C3591,Contract!$A$2:$A$9,Contract!$B$2:$B$9)</f>
        <v>0.28000000000000003</v>
      </c>
      <c r="S3591" s="1">
        <f t="shared" si="224"/>
        <v>58.8</v>
      </c>
      <c r="T3591" s="1">
        <f t="shared" si="225"/>
        <v>0.45999999999999375</v>
      </c>
      <c r="U3591" s="1" t="str">
        <f t="shared" si="226"/>
        <v>OK</v>
      </c>
      <c r="V3591" s="1" t="str">
        <f>_xlfn.XLOOKUP(C3591,Payers!$A$2:$A$9,Payers!$B$2:$B$9)</f>
        <v>Coastal Medicaid MCO</v>
      </c>
      <c r="W3591" s="1" t="str">
        <f t="shared" si="227"/>
        <v>2026-05</v>
      </c>
    </row>
    <row r="3592" spans="1:23">
      <c r="A3592" s="1" t="s">
        <v>5876</v>
      </c>
      <c r="B3592" s="1" t="s">
        <v>2314</v>
      </c>
      <c r="C3592" s="1" t="s">
        <v>60</v>
      </c>
      <c r="D3592" s="1" t="s">
        <v>19</v>
      </c>
      <c r="E3592" s="1" t="s">
        <v>88</v>
      </c>
      <c r="F3592">
        <v>1</v>
      </c>
      <c r="G3592" s="2">
        <v>46129</v>
      </c>
      <c r="H3592" s="2">
        <v>46131</v>
      </c>
      <c r="I3592">
        <v>261.66000000000003</v>
      </c>
      <c r="J3592">
        <v>118.85</v>
      </c>
      <c r="K3592">
        <v>118.85</v>
      </c>
      <c r="L3592">
        <v>0</v>
      </c>
      <c r="M3592" s="1" t="s">
        <v>21</v>
      </c>
      <c r="N3592" s="1" t="s">
        <v>22</v>
      </c>
      <c r="O3592" s="2">
        <v>46149</v>
      </c>
      <c r="P3592" s="2">
        <v>46149</v>
      </c>
      <c r="Q3592">
        <f>_xlfn.XLOOKUP(E3592,CPT!$A$2:$A$13,CPT!$D$2:$D$13)</f>
        <v>260</v>
      </c>
      <c r="R3592" s="1">
        <f>_xlfn.XLOOKUP(C3592,Contract!$A$2:$A$9,Contract!$B$2:$B$9)</f>
        <v>0.45</v>
      </c>
      <c r="S3592" s="1">
        <f t="shared" si="224"/>
        <v>117</v>
      </c>
      <c r="T3592" s="1">
        <f t="shared" si="225"/>
        <v>-1.8499999999999943</v>
      </c>
      <c r="U3592" s="1" t="str">
        <f t="shared" si="226"/>
        <v>OK</v>
      </c>
      <c r="V3592" s="1" t="str">
        <f>_xlfn.XLOOKUP(C3592,Payers!$A$2:$A$9,Payers!$B$2:$B$9)</f>
        <v>Blue Horizon Commercial</v>
      </c>
      <c r="W3592" s="1" t="str">
        <f t="shared" si="227"/>
        <v>2026-04</v>
      </c>
    </row>
    <row r="3593" spans="1:23">
      <c r="A3593" s="1" t="s">
        <v>5877</v>
      </c>
      <c r="B3593" s="1" t="s">
        <v>983</v>
      </c>
      <c r="C3593" s="1" t="s">
        <v>60</v>
      </c>
      <c r="D3593" s="1" t="s">
        <v>19</v>
      </c>
      <c r="E3593" s="1" t="s">
        <v>20</v>
      </c>
      <c r="F3593">
        <v>1</v>
      </c>
      <c r="G3593" s="2">
        <v>45963</v>
      </c>
      <c r="H3593" s="2">
        <v>45969</v>
      </c>
      <c r="I3593">
        <v>142.36000000000001</v>
      </c>
      <c r="J3593">
        <v>70.540000000000006</v>
      </c>
      <c r="K3593">
        <v>70.540000000000006</v>
      </c>
      <c r="L3593">
        <v>0</v>
      </c>
      <c r="M3593" s="1" t="s">
        <v>21</v>
      </c>
      <c r="N3593" s="1" t="s">
        <v>22</v>
      </c>
      <c r="O3593" s="2">
        <v>45998</v>
      </c>
      <c r="P3593" s="2">
        <v>45998</v>
      </c>
      <c r="Q3593">
        <f>_xlfn.XLOOKUP(E3593,CPT!$A$2:$A$13,CPT!$D$2:$D$13)</f>
        <v>145</v>
      </c>
      <c r="R3593" s="1">
        <f>_xlfn.XLOOKUP(C3593,Contract!$A$2:$A$9,Contract!$B$2:$B$9)</f>
        <v>0.45</v>
      </c>
      <c r="S3593" s="1">
        <f t="shared" si="224"/>
        <v>65.25</v>
      </c>
      <c r="T3593" s="1">
        <f t="shared" si="225"/>
        <v>-5.2900000000000063</v>
      </c>
      <c r="U3593" s="1" t="str">
        <f t="shared" si="226"/>
        <v>OK</v>
      </c>
      <c r="V3593" s="1" t="str">
        <f>_xlfn.XLOOKUP(C3593,Payers!$A$2:$A$9,Payers!$B$2:$B$9)</f>
        <v>Blue Horizon Commercial</v>
      </c>
      <c r="W3593" s="1" t="str">
        <f t="shared" si="227"/>
        <v>2025-11</v>
      </c>
    </row>
    <row r="3594" spans="1:23">
      <c r="A3594" s="1" t="s">
        <v>5878</v>
      </c>
      <c r="B3594" s="1" t="s">
        <v>5761</v>
      </c>
      <c r="C3594" s="1" t="s">
        <v>52</v>
      </c>
      <c r="D3594" s="1" t="s">
        <v>26</v>
      </c>
      <c r="E3594" s="1" t="s">
        <v>44</v>
      </c>
      <c r="F3594">
        <v>1</v>
      </c>
      <c r="G3594" s="2">
        <v>46049</v>
      </c>
      <c r="H3594" s="2">
        <v>46067</v>
      </c>
      <c r="I3594">
        <v>4707.22</v>
      </c>
      <c r="J3594">
        <v>2373.6999999999998</v>
      </c>
      <c r="K3594">
        <v>2136.33</v>
      </c>
      <c r="L3594">
        <v>237.37</v>
      </c>
      <c r="M3594" s="1" t="s">
        <v>21</v>
      </c>
      <c r="N3594" s="1" t="s">
        <v>22</v>
      </c>
      <c r="O3594" s="2">
        <v>46112</v>
      </c>
      <c r="P3594" s="2">
        <v>46112</v>
      </c>
      <c r="Q3594">
        <f>_xlfn.XLOOKUP(E3594,CPT!$A$2:$A$13,CPT!$D$2:$D$13)</f>
        <v>4800</v>
      </c>
      <c r="R3594" s="1">
        <f>_xlfn.XLOOKUP(C3594,Contract!$A$2:$A$9,Contract!$B$2:$B$9)</f>
        <v>0.47</v>
      </c>
      <c r="S3594" s="1">
        <f t="shared" si="224"/>
        <v>2256</v>
      </c>
      <c r="T3594" s="1">
        <f t="shared" si="225"/>
        <v>-117.69999999999982</v>
      </c>
      <c r="U3594" s="1" t="str">
        <f t="shared" si="226"/>
        <v>OK</v>
      </c>
      <c r="V3594" s="1" t="str">
        <f>_xlfn.XLOOKUP(C3594,Payers!$A$2:$A$9,Payers!$B$2:$B$9)</f>
        <v>Keystone Commercial PPO</v>
      </c>
      <c r="W3594" s="1" t="str">
        <f t="shared" si="227"/>
        <v>2026-01</v>
      </c>
    </row>
    <row r="3595" spans="1:23">
      <c r="A3595" s="1" t="s">
        <v>5879</v>
      </c>
      <c r="B3595" s="1" t="s">
        <v>3895</v>
      </c>
      <c r="C3595" s="1" t="s">
        <v>18</v>
      </c>
      <c r="D3595" s="1" t="s">
        <v>19</v>
      </c>
      <c r="E3595" s="1" t="s">
        <v>20</v>
      </c>
      <c r="F3595">
        <v>1</v>
      </c>
      <c r="G3595" s="2">
        <v>46275</v>
      </c>
      <c r="H3595" s="2">
        <v>46277</v>
      </c>
      <c r="I3595">
        <v>145.66999999999999</v>
      </c>
      <c r="M3595" s="1" t="s">
        <v>69</v>
      </c>
      <c r="N3595" s="1" t="s">
        <v>22</v>
      </c>
      <c r="O3595" s="2"/>
      <c r="P3595" s="2"/>
      <c r="Q3595">
        <f>_xlfn.XLOOKUP(E3595,CPT!$A$2:$A$13,CPT!$D$2:$D$13)</f>
        <v>145</v>
      </c>
      <c r="R3595" s="1">
        <f>_xlfn.XLOOKUP(C3595,Contract!$A$2:$A$9,Contract!$B$2:$B$9)</f>
        <v>0.38</v>
      </c>
      <c r="S3595" s="1">
        <f t="shared" si="224"/>
        <v>55.1</v>
      </c>
      <c r="T3595" s="1" t="str">
        <f t="shared" si="225"/>
        <v/>
      </c>
      <c r="U3595" s="1" t="str">
        <f t="shared" si="226"/>
        <v/>
      </c>
      <c r="V3595" s="1" t="str">
        <f>_xlfn.XLOOKUP(C3595,Payers!$A$2:$A$9,Payers!$B$2:$B$9)</f>
        <v>Sunshine Medicare Advantage</v>
      </c>
      <c r="W3595" s="1" t="str">
        <f t="shared" si="227"/>
        <v>2026-09</v>
      </c>
    </row>
    <row r="3596" spans="1:23">
      <c r="A3596" s="1" t="s">
        <v>5880</v>
      </c>
      <c r="B3596" s="1" t="s">
        <v>5881</v>
      </c>
      <c r="C3596" s="1" t="s">
        <v>36</v>
      </c>
      <c r="D3596" s="1" t="s">
        <v>37</v>
      </c>
      <c r="E3596" s="1" t="s">
        <v>57</v>
      </c>
      <c r="F3596">
        <v>1</v>
      </c>
      <c r="G3596" s="2">
        <v>46146</v>
      </c>
      <c r="H3596" s="2">
        <v>46147</v>
      </c>
      <c r="I3596">
        <v>215.05</v>
      </c>
      <c r="M3596" s="1" t="s">
        <v>32</v>
      </c>
      <c r="N3596" s="1" t="s">
        <v>33</v>
      </c>
      <c r="O3596" s="2">
        <v>46171</v>
      </c>
      <c r="P3596" s="2"/>
      <c r="Q3596">
        <f>_xlfn.XLOOKUP(E3596,CPT!$A$2:$A$13,CPT!$D$2:$D$13)</f>
        <v>210</v>
      </c>
      <c r="R3596" s="1">
        <f>_xlfn.XLOOKUP(C3596,Contract!$A$2:$A$9,Contract!$B$2:$B$9)</f>
        <v>0.27</v>
      </c>
      <c r="S3596" s="1">
        <f t="shared" si="224"/>
        <v>56.7</v>
      </c>
      <c r="T3596" s="1" t="str">
        <f t="shared" si="225"/>
        <v/>
      </c>
      <c r="U3596" s="1" t="str">
        <f t="shared" si="226"/>
        <v/>
      </c>
      <c r="V3596" s="1" t="str">
        <f>_xlfn.XLOOKUP(C3596,Payers!$A$2:$A$9,Payers!$B$2:$B$9)</f>
        <v>Florida Medicaid</v>
      </c>
      <c r="W3596" s="1" t="str">
        <f t="shared" si="227"/>
        <v>2026-05</v>
      </c>
    </row>
    <row r="3597" spans="1:23">
      <c r="A3597" s="1" t="s">
        <v>5882</v>
      </c>
      <c r="B3597" s="1" t="s">
        <v>5883</v>
      </c>
      <c r="C3597" s="1" t="s">
        <v>36</v>
      </c>
      <c r="D3597" s="1" t="s">
        <v>37</v>
      </c>
      <c r="E3597" s="1" t="s">
        <v>38</v>
      </c>
      <c r="F3597">
        <v>5</v>
      </c>
      <c r="G3597" s="2">
        <v>46049</v>
      </c>
      <c r="H3597" s="2">
        <v>46053</v>
      </c>
      <c r="I3597">
        <v>7464.36</v>
      </c>
      <c r="J3597">
        <v>1972.88</v>
      </c>
      <c r="K3597">
        <v>1578.3</v>
      </c>
      <c r="L3597">
        <v>394.58</v>
      </c>
      <c r="M3597" s="1" t="s">
        <v>21</v>
      </c>
      <c r="N3597" s="1" t="s">
        <v>22</v>
      </c>
      <c r="O3597" s="2">
        <v>46096</v>
      </c>
      <c r="P3597" s="2">
        <v>46096</v>
      </c>
      <c r="Q3597">
        <f>_xlfn.XLOOKUP(E3597,CPT!$A$2:$A$13,CPT!$D$2:$D$13)</f>
        <v>1450</v>
      </c>
      <c r="R3597" s="1">
        <f>_xlfn.XLOOKUP(C3597,Contract!$A$2:$A$9,Contract!$B$2:$B$9)</f>
        <v>0.27</v>
      </c>
      <c r="S3597" s="1">
        <f t="shared" si="224"/>
        <v>1957.5</v>
      </c>
      <c r="T3597" s="1">
        <f t="shared" si="225"/>
        <v>-15.380000000000109</v>
      </c>
      <c r="U3597" s="1" t="str">
        <f t="shared" si="226"/>
        <v>OK</v>
      </c>
      <c r="V3597" s="1" t="str">
        <f>_xlfn.XLOOKUP(C3597,Payers!$A$2:$A$9,Payers!$B$2:$B$9)</f>
        <v>Florida Medicaid</v>
      </c>
      <c r="W3597" s="1" t="str">
        <f t="shared" si="227"/>
        <v>2026-01</v>
      </c>
    </row>
    <row r="3598" spans="1:23">
      <c r="A3598" s="1" t="s">
        <v>5884</v>
      </c>
      <c r="B3598" s="1" t="s">
        <v>3930</v>
      </c>
      <c r="C3598" s="1" t="s">
        <v>60</v>
      </c>
      <c r="D3598" s="1" t="s">
        <v>19</v>
      </c>
      <c r="E3598" s="1" t="s">
        <v>57</v>
      </c>
      <c r="F3598">
        <v>1</v>
      </c>
      <c r="G3598" s="2">
        <v>46079</v>
      </c>
      <c r="H3598" s="2">
        <v>46083</v>
      </c>
      <c r="I3598">
        <v>214.12</v>
      </c>
      <c r="J3598">
        <v>95.8</v>
      </c>
      <c r="K3598">
        <v>86.22</v>
      </c>
      <c r="L3598">
        <v>9.58</v>
      </c>
      <c r="M3598" s="1" t="s">
        <v>21</v>
      </c>
      <c r="N3598" s="1" t="s">
        <v>22</v>
      </c>
      <c r="O3598" s="2">
        <v>46120</v>
      </c>
      <c r="P3598" s="2">
        <v>46120</v>
      </c>
      <c r="Q3598">
        <f>_xlfn.XLOOKUP(E3598,CPT!$A$2:$A$13,CPT!$D$2:$D$13)</f>
        <v>210</v>
      </c>
      <c r="R3598" s="1">
        <f>_xlfn.XLOOKUP(C3598,Contract!$A$2:$A$9,Contract!$B$2:$B$9)</f>
        <v>0.45</v>
      </c>
      <c r="S3598" s="1">
        <f t="shared" si="224"/>
        <v>94.5</v>
      </c>
      <c r="T3598" s="1">
        <f t="shared" si="225"/>
        <v>-1.2999999999999972</v>
      </c>
      <c r="U3598" s="1" t="str">
        <f t="shared" si="226"/>
        <v>OK</v>
      </c>
      <c r="V3598" s="1" t="str">
        <f>_xlfn.XLOOKUP(C3598,Payers!$A$2:$A$9,Payers!$B$2:$B$9)</f>
        <v>Blue Horizon Commercial</v>
      </c>
      <c r="W3598" s="1" t="str">
        <f t="shared" si="227"/>
        <v>2026-02</v>
      </c>
    </row>
    <row r="3599" spans="1:23">
      <c r="A3599" s="1" t="s">
        <v>5885</v>
      </c>
      <c r="B3599" s="1" t="s">
        <v>2314</v>
      </c>
      <c r="C3599" s="1" t="s">
        <v>76</v>
      </c>
      <c r="D3599" s="1" t="s">
        <v>19</v>
      </c>
      <c r="E3599" s="1" t="s">
        <v>88</v>
      </c>
      <c r="F3599">
        <v>1</v>
      </c>
      <c r="G3599" s="2">
        <v>46173</v>
      </c>
      <c r="H3599" s="2">
        <v>46175</v>
      </c>
      <c r="I3599">
        <v>263.42</v>
      </c>
      <c r="J3599">
        <v>117.16</v>
      </c>
      <c r="K3599">
        <v>105.44</v>
      </c>
      <c r="L3599">
        <v>11.72</v>
      </c>
      <c r="M3599" s="1" t="s">
        <v>21</v>
      </c>
      <c r="N3599" s="1" t="s">
        <v>22</v>
      </c>
      <c r="O3599" s="2">
        <v>46197</v>
      </c>
      <c r="P3599" s="2">
        <v>46197</v>
      </c>
      <c r="Q3599">
        <f>_xlfn.XLOOKUP(E3599,CPT!$A$2:$A$13,CPT!$D$2:$D$13)</f>
        <v>260</v>
      </c>
      <c r="R3599" s="1">
        <f>_xlfn.XLOOKUP(C3599,Contract!$A$2:$A$9,Contract!$B$2:$B$9)</f>
        <v>0.43</v>
      </c>
      <c r="S3599" s="1">
        <f t="shared" si="224"/>
        <v>111.8</v>
      </c>
      <c r="T3599" s="1">
        <f t="shared" si="225"/>
        <v>-5.3599999999999994</v>
      </c>
      <c r="U3599" s="1" t="str">
        <f t="shared" si="226"/>
        <v>OK</v>
      </c>
      <c r="V3599" s="1" t="str">
        <f>_xlfn.XLOOKUP(C3599,Payers!$A$2:$A$9,Payers!$B$2:$B$9)</f>
        <v>Summit Health Commercial</v>
      </c>
      <c r="W3599" s="1" t="str">
        <f t="shared" si="227"/>
        <v>2026-05</v>
      </c>
    </row>
    <row r="3600" spans="1:23">
      <c r="A3600" s="1" t="s">
        <v>5886</v>
      </c>
      <c r="B3600" s="1" t="s">
        <v>2651</v>
      </c>
      <c r="C3600" s="1" t="s">
        <v>36</v>
      </c>
      <c r="D3600" s="1" t="s">
        <v>37</v>
      </c>
      <c r="E3600" s="1" t="s">
        <v>38</v>
      </c>
      <c r="F3600">
        <v>30</v>
      </c>
      <c r="G3600" s="2">
        <v>46022</v>
      </c>
      <c r="H3600" s="2">
        <v>46023</v>
      </c>
      <c r="I3600">
        <v>43434.48</v>
      </c>
      <c r="J3600">
        <v>13534.93</v>
      </c>
      <c r="K3600">
        <v>10827.94</v>
      </c>
      <c r="L3600">
        <v>2706.99</v>
      </c>
      <c r="M3600" s="1" t="s">
        <v>21</v>
      </c>
      <c r="N3600" s="1" t="s">
        <v>22</v>
      </c>
      <c r="O3600" s="2">
        <v>46043</v>
      </c>
      <c r="P3600" s="2">
        <v>46043</v>
      </c>
      <c r="Q3600">
        <f>_xlfn.XLOOKUP(E3600,CPT!$A$2:$A$13,CPT!$D$2:$D$13)</f>
        <v>1450</v>
      </c>
      <c r="R3600" s="1">
        <f>_xlfn.XLOOKUP(C3600,Contract!$A$2:$A$9,Contract!$B$2:$B$9)</f>
        <v>0.27</v>
      </c>
      <c r="S3600" s="1">
        <f t="shared" si="224"/>
        <v>11745</v>
      </c>
      <c r="T3600" s="1">
        <f t="shared" si="225"/>
        <v>-1789.9300000000003</v>
      </c>
      <c r="U3600" s="1" t="str">
        <f t="shared" si="226"/>
        <v>OK</v>
      </c>
      <c r="V3600" s="1" t="str">
        <f>_xlfn.XLOOKUP(C3600,Payers!$A$2:$A$9,Payers!$B$2:$B$9)</f>
        <v>Florida Medicaid</v>
      </c>
      <c r="W3600" s="1" t="str">
        <f t="shared" si="227"/>
        <v>2025-12</v>
      </c>
    </row>
    <row r="3601" spans="1:23">
      <c r="A3601" s="1" t="s">
        <v>5887</v>
      </c>
      <c r="B3601" s="1" t="s">
        <v>2327</v>
      </c>
      <c r="C3601" s="1" t="s">
        <v>76</v>
      </c>
      <c r="D3601" s="1" t="s">
        <v>19</v>
      </c>
      <c r="E3601" s="1" t="s">
        <v>88</v>
      </c>
      <c r="F3601">
        <v>1</v>
      </c>
      <c r="G3601" s="2">
        <v>46011</v>
      </c>
      <c r="H3601" s="2">
        <v>46015</v>
      </c>
      <c r="I3601">
        <v>258.82</v>
      </c>
      <c r="J3601">
        <v>123.1</v>
      </c>
      <c r="K3601">
        <v>110.79</v>
      </c>
      <c r="L3601">
        <v>12.31</v>
      </c>
      <c r="M3601" s="1" t="s">
        <v>21</v>
      </c>
      <c r="N3601" s="1" t="s">
        <v>22</v>
      </c>
      <c r="O3601" s="2">
        <v>46038</v>
      </c>
      <c r="P3601" s="2">
        <v>46038</v>
      </c>
      <c r="Q3601">
        <f>_xlfn.XLOOKUP(E3601,CPT!$A$2:$A$13,CPT!$D$2:$D$13)</f>
        <v>260</v>
      </c>
      <c r="R3601" s="1">
        <f>_xlfn.XLOOKUP(C3601,Contract!$A$2:$A$9,Contract!$B$2:$B$9)</f>
        <v>0.43</v>
      </c>
      <c r="S3601" s="1">
        <f t="shared" si="224"/>
        <v>111.8</v>
      </c>
      <c r="T3601" s="1">
        <f t="shared" si="225"/>
        <v>-11.299999999999997</v>
      </c>
      <c r="U3601" s="1" t="str">
        <f t="shared" si="226"/>
        <v>OK</v>
      </c>
      <c r="V3601" s="1" t="str">
        <f>_xlfn.XLOOKUP(C3601,Payers!$A$2:$A$9,Payers!$B$2:$B$9)</f>
        <v>Summit Health Commercial</v>
      </c>
      <c r="W3601" s="1" t="str">
        <f t="shared" si="227"/>
        <v>2025-12</v>
      </c>
    </row>
    <row r="3602" spans="1:23">
      <c r="A3602" s="1" t="s">
        <v>5888</v>
      </c>
      <c r="B3602" s="1" t="s">
        <v>2803</v>
      </c>
      <c r="C3602" s="1" t="s">
        <v>76</v>
      </c>
      <c r="D3602" s="1" t="s">
        <v>37</v>
      </c>
      <c r="E3602" s="1" t="s">
        <v>57</v>
      </c>
      <c r="F3602">
        <v>1</v>
      </c>
      <c r="G3602" s="2">
        <v>46169</v>
      </c>
      <c r="H3602" s="2">
        <v>46182</v>
      </c>
      <c r="I3602">
        <v>205.51</v>
      </c>
      <c r="J3602">
        <v>95.02</v>
      </c>
      <c r="K3602">
        <v>85.52</v>
      </c>
      <c r="L3602">
        <v>9.5</v>
      </c>
      <c r="M3602" s="1" t="s">
        <v>21</v>
      </c>
      <c r="N3602" s="1" t="s">
        <v>22</v>
      </c>
      <c r="O3602" s="2">
        <v>46194</v>
      </c>
      <c r="P3602" s="2">
        <v>46194</v>
      </c>
      <c r="Q3602">
        <f>_xlfn.XLOOKUP(E3602,CPT!$A$2:$A$13,CPT!$D$2:$D$13)</f>
        <v>210</v>
      </c>
      <c r="R3602" s="1">
        <f>_xlfn.XLOOKUP(C3602,Contract!$A$2:$A$9,Contract!$B$2:$B$9)</f>
        <v>0.43</v>
      </c>
      <c r="S3602" s="1">
        <f t="shared" si="224"/>
        <v>90.3</v>
      </c>
      <c r="T3602" s="1">
        <f t="shared" si="225"/>
        <v>-4.7199999999999989</v>
      </c>
      <c r="U3602" s="1" t="str">
        <f t="shared" si="226"/>
        <v>OK</v>
      </c>
      <c r="V3602" s="1" t="str">
        <f>_xlfn.XLOOKUP(C3602,Payers!$A$2:$A$9,Payers!$B$2:$B$9)</f>
        <v>Summit Health Commercial</v>
      </c>
      <c r="W3602" s="1" t="str">
        <f t="shared" si="227"/>
        <v>2026-05</v>
      </c>
    </row>
    <row r="3603" spans="1:23">
      <c r="A3603" s="1" t="s">
        <v>5889</v>
      </c>
      <c r="B3603" s="1" t="s">
        <v>2807</v>
      </c>
      <c r="C3603" s="1" t="s">
        <v>36</v>
      </c>
      <c r="D3603" s="1" t="s">
        <v>26</v>
      </c>
      <c r="E3603" s="1" t="s">
        <v>57</v>
      </c>
      <c r="F3603">
        <v>1</v>
      </c>
      <c r="G3603" s="2">
        <v>46154</v>
      </c>
      <c r="H3603" s="2">
        <v>46157</v>
      </c>
      <c r="I3603">
        <v>209.27</v>
      </c>
      <c r="J3603">
        <v>56.47</v>
      </c>
      <c r="K3603">
        <v>45.18</v>
      </c>
      <c r="L3603">
        <v>11.29</v>
      </c>
      <c r="M3603" s="1" t="s">
        <v>21</v>
      </c>
      <c r="N3603" s="1" t="s">
        <v>22</v>
      </c>
      <c r="O3603" s="2">
        <v>46198</v>
      </c>
      <c r="P3603" s="2">
        <v>46198</v>
      </c>
      <c r="Q3603">
        <f>_xlfn.XLOOKUP(E3603,CPT!$A$2:$A$13,CPT!$D$2:$D$13)</f>
        <v>210</v>
      </c>
      <c r="R3603" s="1">
        <f>_xlfn.XLOOKUP(C3603,Contract!$A$2:$A$9,Contract!$B$2:$B$9)</f>
        <v>0.27</v>
      </c>
      <c r="S3603" s="1">
        <f t="shared" si="224"/>
        <v>56.7</v>
      </c>
      <c r="T3603" s="1">
        <f t="shared" si="225"/>
        <v>0.23000000000000398</v>
      </c>
      <c r="U3603" s="1" t="str">
        <f t="shared" si="226"/>
        <v>OK</v>
      </c>
      <c r="V3603" s="1" t="str">
        <f>_xlfn.XLOOKUP(C3603,Payers!$A$2:$A$9,Payers!$B$2:$B$9)</f>
        <v>Florida Medicaid</v>
      </c>
      <c r="W3603" s="1" t="str">
        <f t="shared" si="227"/>
        <v>2026-05</v>
      </c>
    </row>
    <row r="3604" spans="1:23">
      <c r="A3604" s="1" t="s">
        <v>5890</v>
      </c>
      <c r="B3604" s="1" t="s">
        <v>2464</v>
      </c>
      <c r="C3604" s="1" t="s">
        <v>60</v>
      </c>
      <c r="D3604" s="1" t="s">
        <v>26</v>
      </c>
      <c r="E3604" s="1" t="s">
        <v>185</v>
      </c>
      <c r="F3604">
        <v>1</v>
      </c>
      <c r="G3604" s="2">
        <v>46125</v>
      </c>
      <c r="H3604" s="2">
        <v>46133</v>
      </c>
      <c r="I3604">
        <v>1164.1400000000001</v>
      </c>
      <c r="M3604" s="1" t="s">
        <v>32</v>
      </c>
      <c r="N3604" s="1" t="s">
        <v>315</v>
      </c>
      <c r="O3604" s="2">
        <v>46163</v>
      </c>
      <c r="P3604" s="2"/>
      <c r="Q3604">
        <f>_xlfn.XLOOKUP(E3604,CPT!$A$2:$A$13,CPT!$D$2:$D$13)</f>
        <v>1150</v>
      </c>
      <c r="R3604" s="1">
        <f>_xlfn.XLOOKUP(C3604,Contract!$A$2:$A$9,Contract!$B$2:$B$9)</f>
        <v>0.45</v>
      </c>
      <c r="S3604" s="1">
        <f t="shared" si="224"/>
        <v>517.5</v>
      </c>
      <c r="T3604" s="1" t="str">
        <f t="shared" si="225"/>
        <v/>
      </c>
      <c r="U3604" s="1" t="str">
        <f t="shared" si="226"/>
        <v/>
      </c>
      <c r="V3604" s="1" t="str">
        <f>_xlfn.XLOOKUP(C3604,Payers!$A$2:$A$9,Payers!$B$2:$B$9)</f>
        <v>Blue Horizon Commercial</v>
      </c>
      <c r="W3604" s="1" t="str">
        <f t="shared" si="227"/>
        <v>2026-04</v>
      </c>
    </row>
    <row r="3605" spans="1:23">
      <c r="A3605" s="1" t="s">
        <v>5891</v>
      </c>
      <c r="B3605" s="1" t="s">
        <v>5892</v>
      </c>
      <c r="C3605" s="1" t="s">
        <v>52</v>
      </c>
      <c r="D3605" s="1" t="s">
        <v>26</v>
      </c>
      <c r="E3605" s="1" t="s">
        <v>185</v>
      </c>
      <c r="F3605">
        <v>1</v>
      </c>
      <c r="G3605" s="2">
        <v>45969</v>
      </c>
      <c r="H3605" s="2">
        <v>45970</v>
      </c>
      <c r="I3605">
        <v>1161.43</v>
      </c>
      <c r="M3605" s="1" t="s">
        <v>32</v>
      </c>
      <c r="N3605" s="1" t="s">
        <v>315</v>
      </c>
      <c r="O3605" s="2">
        <v>46003</v>
      </c>
      <c r="P3605" s="2"/>
      <c r="Q3605">
        <f>_xlfn.XLOOKUP(E3605,CPT!$A$2:$A$13,CPT!$D$2:$D$13)</f>
        <v>1150</v>
      </c>
      <c r="R3605" s="1">
        <f>_xlfn.XLOOKUP(C3605,Contract!$A$2:$A$9,Contract!$B$2:$B$9)</f>
        <v>0.47</v>
      </c>
      <c r="S3605" s="1">
        <f t="shared" si="224"/>
        <v>540.5</v>
      </c>
      <c r="T3605" s="1" t="str">
        <f t="shared" si="225"/>
        <v/>
      </c>
      <c r="U3605" s="1" t="str">
        <f t="shared" si="226"/>
        <v/>
      </c>
      <c r="V3605" s="1" t="str">
        <f>_xlfn.XLOOKUP(C3605,Payers!$A$2:$A$9,Payers!$B$2:$B$9)</f>
        <v>Keystone Commercial PPO</v>
      </c>
      <c r="W3605" s="1" t="str">
        <f t="shared" si="227"/>
        <v>2025-11</v>
      </c>
    </row>
    <row r="3606" spans="1:23">
      <c r="A3606" s="1" t="s">
        <v>5893</v>
      </c>
      <c r="B3606" s="1" t="s">
        <v>750</v>
      </c>
      <c r="C3606" s="1" t="s">
        <v>36</v>
      </c>
      <c r="D3606" s="1" t="s">
        <v>30</v>
      </c>
      <c r="E3606" s="1" t="s">
        <v>31</v>
      </c>
      <c r="F3606">
        <v>2</v>
      </c>
      <c r="G3606" s="2">
        <v>46058</v>
      </c>
      <c r="H3606" s="2">
        <v>46069</v>
      </c>
      <c r="I3606">
        <v>120.7</v>
      </c>
      <c r="J3606">
        <v>36.880000000000003</v>
      </c>
      <c r="K3606">
        <v>33.19</v>
      </c>
      <c r="L3606">
        <v>3.69</v>
      </c>
      <c r="M3606" s="1" t="s">
        <v>21</v>
      </c>
      <c r="N3606" s="1" t="s">
        <v>22</v>
      </c>
      <c r="O3606" s="2">
        <v>46105</v>
      </c>
      <c r="P3606" s="2">
        <v>46105</v>
      </c>
      <c r="Q3606">
        <f>_xlfn.XLOOKUP(E3606,CPT!$A$2:$A$13,CPT!$D$2:$D$13)</f>
        <v>62</v>
      </c>
      <c r="R3606" s="1">
        <f>_xlfn.XLOOKUP(C3606,Contract!$A$2:$A$9,Contract!$B$2:$B$9)</f>
        <v>0.27</v>
      </c>
      <c r="S3606" s="1">
        <f t="shared" si="224"/>
        <v>33.479999999999997</v>
      </c>
      <c r="T3606" s="1">
        <f t="shared" si="225"/>
        <v>-3.4000000000000057</v>
      </c>
      <c r="U3606" s="1" t="str">
        <f t="shared" si="226"/>
        <v>OK</v>
      </c>
      <c r="V3606" s="1" t="str">
        <f>_xlfn.XLOOKUP(C3606,Payers!$A$2:$A$9,Payers!$B$2:$B$9)</f>
        <v>Florida Medicaid</v>
      </c>
      <c r="W3606" s="1" t="str">
        <f t="shared" si="227"/>
        <v>2026-02</v>
      </c>
    </row>
    <row r="3607" spans="1:23">
      <c r="A3607" s="1" t="s">
        <v>5894</v>
      </c>
      <c r="B3607" s="1" t="s">
        <v>353</v>
      </c>
      <c r="C3607" s="1" t="s">
        <v>60</v>
      </c>
      <c r="D3607" s="1" t="s">
        <v>26</v>
      </c>
      <c r="E3607" s="1" t="s">
        <v>27</v>
      </c>
      <c r="F3607">
        <v>1</v>
      </c>
      <c r="G3607" s="2">
        <v>46038</v>
      </c>
      <c r="H3607" s="2">
        <v>46043</v>
      </c>
      <c r="I3607">
        <v>245.8</v>
      </c>
      <c r="M3607" s="1" t="s">
        <v>32</v>
      </c>
      <c r="N3607" s="1" t="s">
        <v>33</v>
      </c>
      <c r="O3607" s="2">
        <v>46079</v>
      </c>
      <c r="P3607" s="2"/>
      <c r="Q3607">
        <f>_xlfn.XLOOKUP(E3607,CPT!$A$2:$A$13,CPT!$D$2:$D$13)</f>
        <v>240</v>
      </c>
      <c r="R3607" s="1">
        <f>_xlfn.XLOOKUP(C3607,Contract!$A$2:$A$9,Contract!$B$2:$B$9)</f>
        <v>0.45</v>
      </c>
      <c r="S3607" s="1">
        <f t="shared" si="224"/>
        <v>108</v>
      </c>
      <c r="T3607" s="1" t="str">
        <f t="shared" si="225"/>
        <v/>
      </c>
      <c r="U3607" s="1" t="str">
        <f t="shared" si="226"/>
        <v/>
      </c>
      <c r="V3607" s="1" t="str">
        <f>_xlfn.XLOOKUP(C3607,Payers!$A$2:$A$9,Payers!$B$2:$B$9)</f>
        <v>Blue Horizon Commercial</v>
      </c>
      <c r="W3607" s="1" t="str">
        <f t="shared" si="227"/>
        <v>2026-01</v>
      </c>
    </row>
    <row r="3608" spans="1:23">
      <c r="A3608" s="1" t="s">
        <v>5895</v>
      </c>
      <c r="B3608" s="1" t="s">
        <v>1430</v>
      </c>
      <c r="C3608" s="1" t="s">
        <v>52</v>
      </c>
      <c r="D3608" s="1" t="s">
        <v>26</v>
      </c>
      <c r="E3608" s="1" t="s">
        <v>57</v>
      </c>
      <c r="F3608">
        <v>1</v>
      </c>
      <c r="G3608" s="2">
        <v>46286</v>
      </c>
      <c r="H3608" s="2">
        <v>46291</v>
      </c>
      <c r="I3608">
        <v>204.28</v>
      </c>
      <c r="M3608" s="1" t="s">
        <v>69</v>
      </c>
      <c r="N3608" s="1" t="s">
        <v>22</v>
      </c>
      <c r="O3608" s="2"/>
      <c r="P3608" s="2"/>
      <c r="Q3608">
        <f>_xlfn.XLOOKUP(E3608,CPT!$A$2:$A$13,CPT!$D$2:$D$13)</f>
        <v>210</v>
      </c>
      <c r="R3608" s="1">
        <f>_xlfn.XLOOKUP(C3608,Contract!$A$2:$A$9,Contract!$B$2:$B$9)</f>
        <v>0.47</v>
      </c>
      <c r="S3608" s="1">
        <f t="shared" si="224"/>
        <v>98.7</v>
      </c>
      <c r="T3608" s="1" t="str">
        <f t="shared" si="225"/>
        <v/>
      </c>
      <c r="U3608" s="1" t="str">
        <f t="shared" si="226"/>
        <v/>
      </c>
      <c r="V3608" s="1" t="str">
        <f>_xlfn.XLOOKUP(C3608,Payers!$A$2:$A$9,Payers!$B$2:$B$9)</f>
        <v>Keystone Commercial PPO</v>
      </c>
      <c r="W3608" s="1" t="str">
        <f t="shared" si="227"/>
        <v>2026-09</v>
      </c>
    </row>
    <row r="3609" spans="1:23">
      <c r="A3609" s="1" t="s">
        <v>5896</v>
      </c>
      <c r="B3609" s="1" t="s">
        <v>4879</v>
      </c>
      <c r="C3609" s="1" t="s">
        <v>36</v>
      </c>
      <c r="D3609" s="1" t="s">
        <v>19</v>
      </c>
      <c r="E3609" s="1" t="s">
        <v>20</v>
      </c>
      <c r="F3609">
        <v>1</v>
      </c>
      <c r="G3609" s="2">
        <v>46050</v>
      </c>
      <c r="H3609" s="2">
        <v>46062</v>
      </c>
      <c r="I3609">
        <v>140.71</v>
      </c>
      <c r="J3609">
        <v>40.36</v>
      </c>
      <c r="K3609">
        <v>32.29</v>
      </c>
      <c r="L3609">
        <v>8.07</v>
      </c>
      <c r="M3609" s="1" t="s">
        <v>21</v>
      </c>
      <c r="N3609" s="1" t="s">
        <v>22</v>
      </c>
      <c r="O3609" s="2">
        <v>46099</v>
      </c>
      <c r="P3609" s="2">
        <v>46099</v>
      </c>
      <c r="Q3609">
        <f>_xlfn.XLOOKUP(E3609,CPT!$A$2:$A$13,CPT!$D$2:$D$13)</f>
        <v>145</v>
      </c>
      <c r="R3609" s="1">
        <f>_xlfn.XLOOKUP(C3609,Contract!$A$2:$A$9,Contract!$B$2:$B$9)</f>
        <v>0.27</v>
      </c>
      <c r="S3609" s="1">
        <f t="shared" si="224"/>
        <v>39.15</v>
      </c>
      <c r="T3609" s="1">
        <f t="shared" si="225"/>
        <v>-1.2100000000000009</v>
      </c>
      <c r="U3609" s="1" t="str">
        <f t="shared" si="226"/>
        <v>OK</v>
      </c>
      <c r="V3609" s="1" t="str">
        <f>_xlfn.XLOOKUP(C3609,Payers!$A$2:$A$9,Payers!$B$2:$B$9)</f>
        <v>Florida Medicaid</v>
      </c>
      <c r="W3609" s="1" t="str">
        <f t="shared" si="227"/>
        <v>2026-01</v>
      </c>
    </row>
    <row r="3610" spans="1:23">
      <c r="A3610" s="1" t="s">
        <v>5897</v>
      </c>
      <c r="B3610" s="1" t="s">
        <v>5898</v>
      </c>
      <c r="C3610" s="1" t="s">
        <v>36</v>
      </c>
      <c r="D3610" s="1" t="s">
        <v>19</v>
      </c>
      <c r="E3610" s="1" t="s">
        <v>57</v>
      </c>
      <c r="F3610">
        <v>1</v>
      </c>
      <c r="G3610" s="2">
        <v>46177</v>
      </c>
      <c r="H3610" s="2">
        <v>46182</v>
      </c>
      <c r="I3610">
        <v>213.92</v>
      </c>
      <c r="M3610" s="1" t="s">
        <v>32</v>
      </c>
      <c r="N3610" s="1" t="s">
        <v>281</v>
      </c>
      <c r="O3610" s="2">
        <v>46206</v>
      </c>
      <c r="P3610" s="2"/>
      <c r="Q3610">
        <f>_xlfn.XLOOKUP(E3610,CPT!$A$2:$A$13,CPT!$D$2:$D$13)</f>
        <v>210</v>
      </c>
      <c r="R3610" s="1">
        <f>_xlfn.XLOOKUP(C3610,Contract!$A$2:$A$9,Contract!$B$2:$B$9)</f>
        <v>0.27</v>
      </c>
      <c r="S3610" s="1">
        <f t="shared" si="224"/>
        <v>56.7</v>
      </c>
      <c r="T3610" s="1" t="str">
        <f t="shared" si="225"/>
        <v/>
      </c>
      <c r="U3610" s="1" t="str">
        <f t="shared" si="226"/>
        <v/>
      </c>
      <c r="V3610" s="1" t="str">
        <f>_xlfn.XLOOKUP(C3610,Payers!$A$2:$A$9,Payers!$B$2:$B$9)</f>
        <v>Florida Medicaid</v>
      </c>
      <c r="W3610" s="1" t="str">
        <f t="shared" si="227"/>
        <v>2026-06</v>
      </c>
    </row>
    <row r="3611" spans="1:23">
      <c r="A3611" s="1" t="s">
        <v>5899</v>
      </c>
      <c r="B3611" s="1" t="s">
        <v>5900</v>
      </c>
      <c r="C3611" s="1" t="s">
        <v>36</v>
      </c>
      <c r="D3611" s="1" t="s">
        <v>30</v>
      </c>
      <c r="E3611" s="1" t="s">
        <v>20</v>
      </c>
      <c r="F3611">
        <v>1</v>
      </c>
      <c r="G3611" s="2">
        <v>46012</v>
      </c>
      <c r="H3611" s="2">
        <v>46017</v>
      </c>
      <c r="I3611">
        <v>148.91</v>
      </c>
      <c r="J3611">
        <v>39.15</v>
      </c>
      <c r="K3611">
        <v>39.15</v>
      </c>
      <c r="L3611">
        <v>0</v>
      </c>
      <c r="M3611" s="1" t="s">
        <v>21</v>
      </c>
      <c r="N3611" s="1" t="s">
        <v>22</v>
      </c>
      <c r="O3611" s="2">
        <v>46032</v>
      </c>
      <c r="P3611" s="2">
        <v>46032</v>
      </c>
      <c r="Q3611">
        <f>_xlfn.XLOOKUP(E3611,CPT!$A$2:$A$13,CPT!$D$2:$D$13)</f>
        <v>145</v>
      </c>
      <c r="R3611" s="1">
        <f>_xlfn.XLOOKUP(C3611,Contract!$A$2:$A$9,Contract!$B$2:$B$9)</f>
        <v>0.27</v>
      </c>
      <c r="S3611" s="1">
        <f t="shared" si="224"/>
        <v>39.15</v>
      </c>
      <c r="T3611" s="1">
        <f t="shared" si="225"/>
        <v>0</v>
      </c>
      <c r="U3611" s="1" t="str">
        <f t="shared" si="226"/>
        <v>OK</v>
      </c>
      <c r="V3611" s="1" t="str">
        <f>_xlfn.XLOOKUP(C3611,Payers!$A$2:$A$9,Payers!$B$2:$B$9)</f>
        <v>Florida Medicaid</v>
      </c>
      <c r="W3611" s="1" t="str">
        <f t="shared" si="227"/>
        <v>2025-12</v>
      </c>
    </row>
    <row r="3612" spans="1:23">
      <c r="A3612" s="1" t="s">
        <v>5901</v>
      </c>
      <c r="B3612" s="1" t="s">
        <v>2270</v>
      </c>
      <c r="C3612" s="1" t="s">
        <v>36</v>
      </c>
      <c r="D3612" s="1" t="s">
        <v>19</v>
      </c>
      <c r="E3612" s="1" t="s">
        <v>88</v>
      </c>
      <c r="F3612">
        <v>1</v>
      </c>
      <c r="G3612" s="2">
        <v>46234</v>
      </c>
      <c r="H3612" s="2">
        <v>46237</v>
      </c>
      <c r="I3612">
        <v>258.85000000000002</v>
      </c>
      <c r="M3612" s="1" t="s">
        <v>69</v>
      </c>
      <c r="N3612" s="1" t="s">
        <v>22</v>
      </c>
      <c r="O3612" s="2"/>
      <c r="P3612" s="2"/>
      <c r="Q3612">
        <f>_xlfn.XLOOKUP(E3612,CPT!$A$2:$A$13,CPT!$D$2:$D$13)</f>
        <v>260</v>
      </c>
      <c r="R3612" s="1">
        <f>_xlfn.XLOOKUP(C3612,Contract!$A$2:$A$9,Contract!$B$2:$B$9)</f>
        <v>0.27</v>
      </c>
      <c r="S3612" s="1">
        <f t="shared" si="224"/>
        <v>70.2</v>
      </c>
      <c r="T3612" s="1" t="str">
        <f t="shared" si="225"/>
        <v/>
      </c>
      <c r="U3612" s="1" t="str">
        <f t="shared" si="226"/>
        <v/>
      </c>
      <c r="V3612" s="1" t="str">
        <f>_xlfn.XLOOKUP(C3612,Payers!$A$2:$A$9,Payers!$B$2:$B$9)</f>
        <v>Florida Medicaid</v>
      </c>
      <c r="W3612" s="1" t="str">
        <f t="shared" si="227"/>
        <v>2026-07</v>
      </c>
    </row>
    <row r="3613" spans="1:23">
      <c r="A3613" s="1" t="s">
        <v>5902</v>
      </c>
      <c r="B3613" s="1" t="s">
        <v>3482</v>
      </c>
      <c r="C3613" s="1" t="s">
        <v>18</v>
      </c>
      <c r="D3613" s="1" t="s">
        <v>26</v>
      </c>
      <c r="E3613" s="1" t="s">
        <v>27</v>
      </c>
      <c r="F3613">
        <v>1</v>
      </c>
      <c r="G3613" s="2">
        <v>46072</v>
      </c>
      <c r="H3613" s="2">
        <v>46073</v>
      </c>
      <c r="I3613">
        <v>244.73</v>
      </c>
      <c r="J3613">
        <v>99.76</v>
      </c>
      <c r="K3613">
        <v>99.76</v>
      </c>
      <c r="L3613">
        <v>0</v>
      </c>
      <c r="M3613" s="1" t="s">
        <v>21</v>
      </c>
      <c r="N3613" s="1" t="s">
        <v>22</v>
      </c>
      <c r="O3613" s="2">
        <v>46091</v>
      </c>
      <c r="P3613" s="2">
        <v>46091</v>
      </c>
      <c r="Q3613">
        <f>_xlfn.XLOOKUP(E3613,CPT!$A$2:$A$13,CPT!$D$2:$D$13)</f>
        <v>240</v>
      </c>
      <c r="R3613" s="1">
        <f>_xlfn.XLOOKUP(C3613,Contract!$A$2:$A$9,Contract!$B$2:$B$9)</f>
        <v>0.38</v>
      </c>
      <c r="S3613" s="1">
        <f t="shared" si="224"/>
        <v>91.2</v>
      </c>
      <c r="T3613" s="1">
        <f t="shared" si="225"/>
        <v>-8.5600000000000023</v>
      </c>
      <c r="U3613" s="1" t="str">
        <f t="shared" si="226"/>
        <v>OK</v>
      </c>
      <c r="V3613" s="1" t="str">
        <f>_xlfn.XLOOKUP(C3613,Payers!$A$2:$A$9,Payers!$B$2:$B$9)</f>
        <v>Sunshine Medicare Advantage</v>
      </c>
      <c r="W3613" s="1" t="str">
        <f t="shared" si="227"/>
        <v>2026-02</v>
      </c>
    </row>
    <row r="3614" spans="1:23">
      <c r="A3614" s="1" t="s">
        <v>5903</v>
      </c>
      <c r="B3614" s="1" t="s">
        <v>5904</v>
      </c>
      <c r="C3614" s="1" t="s">
        <v>76</v>
      </c>
      <c r="D3614" s="1" t="s">
        <v>26</v>
      </c>
      <c r="E3614" s="1" t="s">
        <v>185</v>
      </c>
      <c r="F3614">
        <v>1</v>
      </c>
      <c r="G3614" s="2">
        <v>45973</v>
      </c>
      <c r="H3614" s="2">
        <v>45979</v>
      </c>
      <c r="I3614">
        <v>1177.2</v>
      </c>
      <c r="J3614">
        <v>535.78</v>
      </c>
      <c r="K3614">
        <v>428.62</v>
      </c>
      <c r="L3614">
        <v>107.16</v>
      </c>
      <c r="M3614" s="1" t="s">
        <v>21</v>
      </c>
      <c r="N3614" s="1" t="s">
        <v>22</v>
      </c>
      <c r="O3614" s="2">
        <v>46003</v>
      </c>
      <c r="P3614" s="2">
        <v>46003</v>
      </c>
      <c r="Q3614">
        <f>_xlfn.XLOOKUP(E3614,CPT!$A$2:$A$13,CPT!$D$2:$D$13)</f>
        <v>1150</v>
      </c>
      <c r="R3614" s="1">
        <f>_xlfn.XLOOKUP(C3614,Contract!$A$2:$A$9,Contract!$B$2:$B$9)</f>
        <v>0.43</v>
      </c>
      <c r="S3614" s="1">
        <f t="shared" si="224"/>
        <v>494.5</v>
      </c>
      <c r="T3614" s="1">
        <f t="shared" si="225"/>
        <v>-41.279999999999973</v>
      </c>
      <c r="U3614" s="1" t="str">
        <f t="shared" si="226"/>
        <v>OK</v>
      </c>
      <c r="V3614" s="1" t="str">
        <f>_xlfn.XLOOKUP(C3614,Payers!$A$2:$A$9,Payers!$B$2:$B$9)</f>
        <v>Summit Health Commercial</v>
      </c>
      <c r="W3614" s="1" t="str">
        <f t="shared" si="227"/>
        <v>2025-11</v>
      </c>
    </row>
    <row r="3615" spans="1:23">
      <c r="A3615" s="1" t="s">
        <v>5905</v>
      </c>
      <c r="B3615" s="1" t="s">
        <v>1489</v>
      </c>
      <c r="C3615" s="1" t="s">
        <v>52</v>
      </c>
      <c r="D3615" s="1" t="s">
        <v>30</v>
      </c>
      <c r="E3615" s="1" t="s">
        <v>31</v>
      </c>
      <c r="F3615">
        <v>1</v>
      </c>
      <c r="G3615" s="2">
        <v>46238</v>
      </c>
      <c r="H3615" s="2">
        <v>46243</v>
      </c>
      <c r="I3615">
        <v>63.11</v>
      </c>
      <c r="J3615">
        <v>32.200000000000003</v>
      </c>
      <c r="K3615">
        <v>25.76</v>
      </c>
      <c r="L3615">
        <v>6.44</v>
      </c>
      <c r="M3615" s="1" t="s">
        <v>21</v>
      </c>
      <c r="N3615" s="1" t="s">
        <v>22</v>
      </c>
      <c r="O3615" s="2">
        <v>46282</v>
      </c>
      <c r="P3615" s="2">
        <v>46282</v>
      </c>
      <c r="Q3615">
        <f>_xlfn.XLOOKUP(E3615,CPT!$A$2:$A$13,CPT!$D$2:$D$13)</f>
        <v>62</v>
      </c>
      <c r="R3615" s="1">
        <f>_xlfn.XLOOKUP(C3615,Contract!$A$2:$A$9,Contract!$B$2:$B$9)</f>
        <v>0.47</v>
      </c>
      <c r="S3615" s="1">
        <f t="shared" si="224"/>
        <v>29.14</v>
      </c>
      <c r="T3615" s="1">
        <f t="shared" si="225"/>
        <v>-3.0600000000000023</v>
      </c>
      <c r="U3615" s="1" t="str">
        <f t="shared" si="226"/>
        <v>OK</v>
      </c>
      <c r="V3615" s="1" t="str">
        <f>_xlfn.XLOOKUP(C3615,Payers!$A$2:$A$9,Payers!$B$2:$B$9)</f>
        <v>Keystone Commercial PPO</v>
      </c>
      <c r="W3615" s="1" t="str">
        <f t="shared" si="227"/>
        <v>2026-08</v>
      </c>
    </row>
    <row r="3616" spans="1:23">
      <c r="A3616" s="1" t="s">
        <v>5906</v>
      </c>
      <c r="B3616" s="1" t="s">
        <v>3977</v>
      </c>
      <c r="C3616" s="1" t="s">
        <v>36</v>
      </c>
      <c r="D3616" s="1" t="s">
        <v>19</v>
      </c>
      <c r="E3616" s="1" t="s">
        <v>20</v>
      </c>
      <c r="F3616">
        <v>1</v>
      </c>
      <c r="G3616" s="2">
        <v>46062</v>
      </c>
      <c r="H3616" s="2">
        <v>46070</v>
      </c>
      <c r="I3616">
        <v>148.59</v>
      </c>
      <c r="J3616">
        <v>35.75</v>
      </c>
      <c r="K3616">
        <v>32.17</v>
      </c>
      <c r="L3616">
        <v>3.58</v>
      </c>
      <c r="M3616" s="1" t="s">
        <v>21</v>
      </c>
      <c r="N3616" s="1" t="s">
        <v>22</v>
      </c>
      <c r="O3616" s="2">
        <v>46108</v>
      </c>
      <c r="P3616" s="2">
        <v>46108</v>
      </c>
      <c r="Q3616">
        <f>_xlfn.XLOOKUP(E3616,CPT!$A$2:$A$13,CPT!$D$2:$D$13)</f>
        <v>145</v>
      </c>
      <c r="R3616" s="1">
        <f>_xlfn.XLOOKUP(C3616,Contract!$A$2:$A$9,Contract!$B$2:$B$9)</f>
        <v>0.27</v>
      </c>
      <c r="S3616" s="1">
        <f t="shared" si="224"/>
        <v>39.15</v>
      </c>
      <c r="T3616" s="1">
        <f t="shared" si="225"/>
        <v>3.3999999999999986</v>
      </c>
      <c r="U3616" s="1" t="str">
        <f t="shared" si="226"/>
        <v>Underpaid</v>
      </c>
      <c r="V3616" s="1" t="str">
        <f>_xlfn.XLOOKUP(C3616,Payers!$A$2:$A$9,Payers!$B$2:$B$9)</f>
        <v>Florida Medicaid</v>
      </c>
      <c r="W3616" s="1" t="str">
        <f t="shared" si="227"/>
        <v>2026-02</v>
      </c>
    </row>
    <row r="3617" spans="1:23">
      <c r="A3617" s="1" t="s">
        <v>5907</v>
      </c>
      <c r="B3617" s="1" t="s">
        <v>2181</v>
      </c>
      <c r="C3617" s="1" t="s">
        <v>47</v>
      </c>
      <c r="D3617" s="1" t="s">
        <v>26</v>
      </c>
      <c r="E3617" s="1" t="s">
        <v>113</v>
      </c>
      <c r="F3617">
        <v>1</v>
      </c>
      <c r="G3617" s="2">
        <v>45960</v>
      </c>
      <c r="H3617" s="2">
        <v>45969</v>
      </c>
      <c r="I3617">
        <v>1042.8699999999999</v>
      </c>
      <c r="J3617">
        <v>308.36</v>
      </c>
      <c r="K3617">
        <v>246.69</v>
      </c>
      <c r="L3617">
        <v>61.67</v>
      </c>
      <c r="M3617" s="1" t="s">
        <v>21</v>
      </c>
      <c r="N3617" s="1" t="s">
        <v>22</v>
      </c>
      <c r="O3617" s="2">
        <v>46030</v>
      </c>
      <c r="P3617" s="2">
        <v>46030</v>
      </c>
      <c r="Q3617">
        <f>_xlfn.XLOOKUP(E3617,CPT!$A$2:$A$13,CPT!$D$2:$D$13)</f>
        <v>1050</v>
      </c>
      <c r="R3617" s="1">
        <f>_xlfn.XLOOKUP(C3617,Contract!$A$2:$A$9,Contract!$B$2:$B$9)</f>
        <v>0.28000000000000003</v>
      </c>
      <c r="S3617" s="1">
        <f t="shared" si="224"/>
        <v>294</v>
      </c>
      <c r="T3617" s="1">
        <f t="shared" si="225"/>
        <v>-14.360000000000014</v>
      </c>
      <c r="U3617" s="1" t="str">
        <f t="shared" si="226"/>
        <v>OK</v>
      </c>
      <c r="V3617" s="1" t="str">
        <f>_xlfn.XLOOKUP(C3617,Payers!$A$2:$A$9,Payers!$B$2:$B$9)</f>
        <v>Coastal Medicaid MCO</v>
      </c>
      <c r="W3617" s="1" t="str">
        <f t="shared" si="227"/>
        <v>2025-10</v>
      </c>
    </row>
    <row r="3618" spans="1:23">
      <c r="A3618" s="1" t="s">
        <v>5908</v>
      </c>
      <c r="B3618" s="1" t="s">
        <v>5909</v>
      </c>
      <c r="C3618" s="1" t="s">
        <v>18</v>
      </c>
      <c r="D3618" s="1" t="s">
        <v>26</v>
      </c>
      <c r="E3618" s="1" t="s">
        <v>41</v>
      </c>
      <c r="F3618">
        <v>1</v>
      </c>
      <c r="G3618" s="2">
        <v>46103</v>
      </c>
      <c r="H3618" s="2">
        <v>46112</v>
      </c>
      <c r="I3618">
        <v>38.799999999999997</v>
      </c>
      <c r="J3618">
        <v>13.27</v>
      </c>
      <c r="K3618">
        <v>13.27</v>
      </c>
      <c r="L3618">
        <v>0</v>
      </c>
      <c r="M3618" s="1" t="s">
        <v>21</v>
      </c>
      <c r="N3618" s="1" t="s">
        <v>22</v>
      </c>
      <c r="O3618" s="2">
        <v>46165</v>
      </c>
      <c r="P3618" s="2">
        <v>46165</v>
      </c>
      <c r="Q3618">
        <f>_xlfn.XLOOKUP(E3618,CPT!$A$2:$A$13,CPT!$D$2:$D$13)</f>
        <v>38</v>
      </c>
      <c r="R3618" s="1">
        <f>_xlfn.XLOOKUP(C3618,Contract!$A$2:$A$9,Contract!$B$2:$B$9)</f>
        <v>0.38</v>
      </c>
      <c r="S3618" s="1">
        <f t="shared" si="224"/>
        <v>14.44</v>
      </c>
      <c r="T3618" s="1">
        <f t="shared" si="225"/>
        <v>1.17</v>
      </c>
      <c r="U3618" s="1" t="str">
        <f t="shared" si="226"/>
        <v>Underpaid</v>
      </c>
      <c r="V3618" s="1" t="str">
        <f>_xlfn.XLOOKUP(C3618,Payers!$A$2:$A$9,Payers!$B$2:$B$9)</f>
        <v>Sunshine Medicare Advantage</v>
      </c>
      <c r="W3618" s="1" t="str">
        <f t="shared" si="227"/>
        <v>2026-03</v>
      </c>
    </row>
    <row r="3619" spans="1:23">
      <c r="A3619" s="1" t="s">
        <v>5910</v>
      </c>
      <c r="B3619" s="1" t="s">
        <v>2446</v>
      </c>
      <c r="C3619" s="1" t="s">
        <v>76</v>
      </c>
      <c r="D3619" s="1" t="s">
        <v>19</v>
      </c>
      <c r="E3619" s="1" t="s">
        <v>20</v>
      </c>
      <c r="F3619">
        <v>1</v>
      </c>
      <c r="G3619" s="2">
        <v>46119</v>
      </c>
      <c r="H3619" s="2">
        <v>46120</v>
      </c>
      <c r="I3619">
        <v>149.04</v>
      </c>
      <c r="M3619" s="1" t="s">
        <v>32</v>
      </c>
      <c r="N3619" s="1" t="s">
        <v>124</v>
      </c>
      <c r="O3619" s="2">
        <v>46147</v>
      </c>
      <c r="P3619" s="2"/>
      <c r="Q3619">
        <f>_xlfn.XLOOKUP(E3619,CPT!$A$2:$A$13,CPT!$D$2:$D$13)</f>
        <v>145</v>
      </c>
      <c r="R3619" s="1">
        <f>_xlfn.XLOOKUP(C3619,Contract!$A$2:$A$9,Contract!$B$2:$B$9)</f>
        <v>0.43</v>
      </c>
      <c r="S3619" s="1">
        <f t="shared" si="224"/>
        <v>62.35</v>
      </c>
      <c r="T3619" s="1" t="str">
        <f t="shared" si="225"/>
        <v/>
      </c>
      <c r="U3619" s="1" t="str">
        <f t="shared" si="226"/>
        <v/>
      </c>
      <c r="V3619" s="1" t="str">
        <f>_xlfn.XLOOKUP(C3619,Payers!$A$2:$A$9,Payers!$B$2:$B$9)</f>
        <v>Summit Health Commercial</v>
      </c>
      <c r="W3619" s="1" t="str">
        <f t="shared" si="227"/>
        <v>2026-04</v>
      </c>
    </row>
    <row r="3620" spans="1:23">
      <c r="A3620" s="1" t="s">
        <v>5911</v>
      </c>
      <c r="B3620" s="1" t="s">
        <v>5912</v>
      </c>
      <c r="C3620" s="1" t="s">
        <v>36</v>
      </c>
      <c r="D3620" s="1" t="s">
        <v>19</v>
      </c>
      <c r="E3620" s="1" t="s">
        <v>41</v>
      </c>
      <c r="F3620">
        <v>1</v>
      </c>
      <c r="G3620" s="2">
        <v>46097</v>
      </c>
      <c r="H3620" s="2">
        <v>46099</v>
      </c>
      <c r="I3620">
        <v>38.880000000000003</v>
      </c>
      <c r="J3620">
        <v>9.16</v>
      </c>
      <c r="K3620">
        <v>9.16</v>
      </c>
      <c r="L3620">
        <v>0</v>
      </c>
      <c r="M3620" s="1" t="s">
        <v>21</v>
      </c>
      <c r="N3620" s="1" t="s">
        <v>22</v>
      </c>
      <c r="O3620" s="2">
        <v>46128</v>
      </c>
      <c r="P3620" s="2">
        <v>46128</v>
      </c>
      <c r="Q3620">
        <f>_xlfn.XLOOKUP(E3620,CPT!$A$2:$A$13,CPT!$D$2:$D$13)</f>
        <v>38</v>
      </c>
      <c r="R3620" s="1">
        <f>_xlfn.XLOOKUP(C3620,Contract!$A$2:$A$9,Contract!$B$2:$B$9)</f>
        <v>0.27</v>
      </c>
      <c r="S3620" s="1">
        <f t="shared" si="224"/>
        <v>10.26</v>
      </c>
      <c r="T3620" s="1">
        <f t="shared" si="225"/>
        <v>1.0999999999999996</v>
      </c>
      <c r="U3620" s="1" t="str">
        <f t="shared" si="226"/>
        <v>Underpaid</v>
      </c>
      <c r="V3620" s="1" t="str">
        <f>_xlfn.XLOOKUP(C3620,Payers!$A$2:$A$9,Payers!$B$2:$B$9)</f>
        <v>Florida Medicaid</v>
      </c>
      <c r="W3620" s="1" t="str">
        <f t="shared" si="227"/>
        <v>2026-03</v>
      </c>
    </row>
    <row r="3621" spans="1:23">
      <c r="A3621" s="1" t="s">
        <v>5913</v>
      </c>
      <c r="B3621" s="1" t="s">
        <v>5826</v>
      </c>
      <c r="C3621" s="1" t="s">
        <v>18</v>
      </c>
      <c r="D3621" s="1" t="s">
        <v>30</v>
      </c>
      <c r="E3621" s="1" t="s">
        <v>91</v>
      </c>
      <c r="F3621">
        <v>2</v>
      </c>
      <c r="G3621" s="2">
        <v>46138</v>
      </c>
      <c r="H3621" s="2">
        <v>46139</v>
      </c>
      <c r="I3621">
        <v>118.03</v>
      </c>
      <c r="J3621">
        <v>50.04</v>
      </c>
      <c r="K3621">
        <v>50.04</v>
      </c>
      <c r="L3621">
        <v>0</v>
      </c>
      <c r="M3621" s="1" t="s">
        <v>21</v>
      </c>
      <c r="N3621" s="1" t="s">
        <v>22</v>
      </c>
      <c r="O3621" s="2">
        <v>46233</v>
      </c>
      <c r="P3621" s="2">
        <v>46233</v>
      </c>
      <c r="Q3621">
        <f>_xlfn.XLOOKUP(E3621,CPT!$A$2:$A$13,CPT!$D$2:$D$13)</f>
        <v>58</v>
      </c>
      <c r="R3621" s="1">
        <f>_xlfn.XLOOKUP(C3621,Contract!$A$2:$A$9,Contract!$B$2:$B$9)</f>
        <v>0.38</v>
      </c>
      <c r="S3621" s="1">
        <f t="shared" si="224"/>
        <v>44.08</v>
      </c>
      <c r="T3621" s="1">
        <f t="shared" si="225"/>
        <v>-5.9600000000000009</v>
      </c>
      <c r="U3621" s="1" t="str">
        <f t="shared" si="226"/>
        <v>OK</v>
      </c>
      <c r="V3621" s="1" t="str">
        <f>_xlfn.XLOOKUP(C3621,Payers!$A$2:$A$9,Payers!$B$2:$B$9)</f>
        <v>Sunshine Medicare Advantage</v>
      </c>
      <c r="W3621" s="1" t="str">
        <f t="shared" si="227"/>
        <v>2026-04</v>
      </c>
    </row>
    <row r="3622" spans="1:23">
      <c r="A3622" s="1" t="s">
        <v>5914</v>
      </c>
      <c r="B3622" s="1" t="s">
        <v>5915</v>
      </c>
      <c r="C3622" s="1" t="s">
        <v>52</v>
      </c>
      <c r="D3622" s="1" t="s">
        <v>30</v>
      </c>
      <c r="E3622" s="1" t="s">
        <v>31</v>
      </c>
      <c r="F3622">
        <v>4</v>
      </c>
      <c r="G3622" s="2">
        <v>46193</v>
      </c>
      <c r="H3622" s="2">
        <v>46199</v>
      </c>
      <c r="I3622">
        <v>246.74</v>
      </c>
      <c r="J3622">
        <v>130.29</v>
      </c>
      <c r="K3622">
        <v>117.26</v>
      </c>
      <c r="L3622">
        <v>13.03</v>
      </c>
      <c r="M3622" s="1" t="s">
        <v>21</v>
      </c>
      <c r="N3622" s="1" t="s">
        <v>22</v>
      </c>
      <c r="O3622" s="2">
        <v>46257</v>
      </c>
      <c r="P3622" s="2">
        <v>46257</v>
      </c>
      <c r="Q3622">
        <f>_xlfn.XLOOKUP(E3622,CPT!$A$2:$A$13,CPT!$D$2:$D$13)</f>
        <v>62</v>
      </c>
      <c r="R3622" s="1">
        <f>_xlfn.XLOOKUP(C3622,Contract!$A$2:$A$9,Contract!$B$2:$B$9)</f>
        <v>0.47</v>
      </c>
      <c r="S3622" s="1">
        <f t="shared" si="224"/>
        <v>116.56</v>
      </c>
      <c r="T3622" s="1">
        <f t="shared" si="225"/>
        <v>-13.72999999999999</v>
      </c>
      <c r="U3622" s="1" t="str">
        <f t="shared" si="226"/>
        <v>OK</v>
      </c>
      <c r="V3622" s="1" t="str">
        <f>_xlfn.XLOOKUP(C3622,Payers!$A$2:$A$9,Payers!$B$2:$B$9)</f>
        <v>Keystone Commercial PPO</v>
      </c>
      <c r="W3622" s="1" t="str">
        <f t="shared" si="227"/>
        <v>2026-06</v>
      </c>
    </row>
    <row r="3623" spans="1:23">
      <c r="A3623" s="1" t="s">
        <v>5916</v>
      </c>
      <c r="B3623" s="1" t="s">
        <v>5160</v>
      </c>
      <c r="C3623" s="1" t="s">
        <v>18</v>
      </c>
      <c r="D3623" s="1" t="s">
        <v>26</v>
      </c>
      <c r="E3623" s="1" t="s">
        <v>113</v>
      </c>
      <c r="F3623">
        <v>1</v>
      </c>
      <c r="G3623" s="2">
        <v>46271</v>
      </c>
      <c r="H3623" s="2">
        <v>46273</v>
      </c>
      <c r="I3623">
        <v>1050.31</v>
      </c>
      <c r="M3623" s="1" t="s">
        <v>69</v>
      </c>
      <c r="N3623" s="1" t="s">
        <v>22</v>
      </c>
      <c r="O3623" s="2"/>
      <c r="P3623" s="2"/>
      <c r="Q3623">
        <f>_xlfn.XLOOKUP(E3623,CPT!$A$2:$A$13,CPT!$D$2:$D$13)</f>
        <v>1050</v>
      </c>
      <c r="R3623" s="1">
        <f>_xlfn.XLOOKUP(C3623,Contract!$A$2:$A$9,Contract!$B$2:$B$9)</f>
        <v>0.38</v>
      </c>
      <c r="S3623" s="1">
        <f t="shared" si="224"/>
        <v>399</v>
      </c>
      <c r="T3623" s="1" t="str">
        <f t="shared" si="225"/>
        <v/>
      </c>
      <c r="U3623" s="1" t="str">
        <f t="shared" si="226"/>
        <v/>
      </c>
      <c r="V3623" s="1" t="str">
        <f>_xlfn.XLOOKUP(C3623,Payers!$A$2:$A$9,Payers!$B$2:$B$9)</f>
        <v>Sunshine Medicare Advantage</v>
      </c>
      <c r="W3623" s="1" t="str">
        <f t="shared" si="227"/>
        <v>2026-09</v>
      </c>
    </row>
    <row r="3624" spans="1:23">
      <c r="A3624" s="1" t="s">
        <v>5917</v>
      </c>
      <c r="B3624" s="1" t="s">
        <v>5473</v>
      </c>
      <c r="C3624" s="1" t="s">
        <v>25</v>
      </c>
      <c r="D3624" s="1" t="s">
        <v>30</v>
      </c>
      <c r="E3624" s="1" t="s">
        <v>20</v>
      </c>
      <c r="F3624">
        <v>1</v>
      </c>
      <c r="G3624" s="2">
        <v>46155</v>
      </c>
      <c r="H3624" s="2">
        <v>46156</v>
      </c>
      <c r="I3624">
        <v>146.33000000000001</v>
      </c>
      <c r="J3624">
        <v>48.09</v>
      </c>
      <c r="K3624">
        <v>48.09</v>
      </c>
      <c r="L3624">
        <v>0</v>
      </c>
      <c r="M3624" s="1" t="s">
        <v>21</v>
      </c>
      <c r="N3624" s="1" t="s">
        <v>22</v>
      </c>
      <c r="O3624" s="2">
        <v>46170</v>
      </c>
      <c r="P3624" s="2">
        <v>46170</v>
      </c>
      <c r="Q3624">
        <f>_xlfn.XLOOKUP(E3624,CPT!$A$2:$A$13,CPT!$D$2:$D$13)</f>
        <v>145</v>
      </c>
      <c r="R3624" s="1">
        <f>_xlfn.XLOOKUP(C3624,Contract!$A$2:$A$9,Contract!$B$2:$B$9)</f>
        <v>0.36</v>
      </c>
      <c r="S3624" s="1">
        <f t="shared" si="224"/>
        <v>52.2</v>
      </c>
      <c r="T3624" s="1">
        <f t="shared" si="225"/>
        <v>4.1099999999999994</v>
      </c>
      <c r="U3624" s="1" t="str">
        <f t="shared" si="226"/>
        <v>Underpaid</v>
      </c>
      <c r="V3624" s="1" t="str">
        <f>_xlfn.XLOOKUP(C3624,Payers!$A$2:$A$9,Payers!$B$2:$B$9)</f>
        <v>Medicare Part B</v>
      </c>
      <c r="W3624" s="1" t="str">
        <f t="shared" si="227"/>
        <v>2026-05</v>
      </c>
    </row>
    <row r="3625" spans="1:23">
      <c r="A3625" s="1" t="s">
        <v>5918</v>
      </c>
      <c r="B3625" s="1" t="s">
        <v>5919</v>
      </c>
      <c r="C3625" s="1" t="s">
        <v>76</v>
      </c>
      <c r="D3625" s="1" t="s">
        <v>37</v>
      </c>
      <c r="E3625" s="1" t="s">
        <v>48</v>
      </c>
      <c r="F3625">
        <v>1</v>
      </c>
      <c r="G3625" s="2">
        <v>45984</v>
      </c>
      <c r="H3625" s="2">
        <v>45986</v>
      </c>
      <c r="I3625">
        <v>424.62</v>
      </c>
      <c r="M3625" s="1" t="s">
        <v>32</v>
      </c>
      <c r="N3625" s="1" t="s">
        <v>49</v>
      </c>
      <c r="O3625" s="2">
        <v>46026</v>
      </c>
      <c r="P3625" s="2"/>
      <c r="Q3625">
        <f>_xlfn.XLOOKUP(E3625,CPT!$A$2:$A$13,CPT!$D$2:$D$13)</f>
        <v>420</v>
      </c>
      <c r="R3625" s="1">
        <f>_xlfn.XLOOKUP(C3625,Contract!$A$2:$A$9,Contract!$B$2:$B$9)</f>
        <v>0.43</v>
      </c>
      <c r="S3625" s="1">
        <f t="shared" si="224"/>
        <v>180.6</v>
      </c>
      <c r="T3625" s="1" t="str">
        <f t="shared" si="225"/>
        <v/>
      </c>
      <c r="U3625" s="1" t="str">
        <f t="shared" si="226"/>
        <v/>
      </c>
      <c r="V3625" s="1" t="str">
        <f>_xlfn.XLOOKUP(C3625,Payers!$A$2:$A$9,Payers!$B$2:$B$9)</f>
        <v>Summit Health Commercial</v>
      </c>
      <c r="W3625" s="1" t="str">
        <f t="shared" si="227"/>
        <v>2025-11</v>
      </c>
    </row>
    <row r="3626" spans="1:23">
      <c r="A3626" s="1" t="s">
        <v>5920</v>
      </c>
      <c r="B3626" s="1" t="s">
        <v>5921</v>
      </c>
      <c r="C3626" s="1" t="s">
        <v>18</v>
      </c>
      <c r="D3626" s="1" t="s">
        <v>30</v>
      </c>
      <c r="E3626" s="1" t="s">
        <v>91</v>
      </c>
      <c r="F3626">
        <v>4</v>
      </c>
      <c r="G3626" s="2">
        <v>45987</v>
      </c>
      <c r="H3626" s="2">
        <v>46110</v>
      </c>
      <c r="I3626">
        <v>235.38</v>
      </c>
      <c r="M3626" s="1" t="s">
        <v>32</v>
      </c>
      <c r="N3626" s="1" t="s">
        <v>137</v>
      </c>
      <c r="O3626" s="2">
        <v>46167</v>
      </c>
      <c r="P3626" s="2"/>
      <c r="Q3626">
        <f>_xlfn.XLOOKUP(E3626,CPT!$A$2:$A$13,CPT!$D$2:$D$13)</f>
        <v>58</v>
      </c>
      <c r="R3626" s="1">
        <f>_xlfn.XLOOKUP(C3626,Contract!$A$2:$A$9,Contract!$B$2:$B$9)</f>
        <v>0.38</v>
      </c>
      <c r="S3626" s="1">
        <f t="shared" si="224"/>
        <v>88.16</v>
      </c>
      <c r="T3626" s="1" t="str">
        <f t="shared" si="225"/>
        <v/>
      </c>
      <c r="U3626" s="1" t="str">
        <f t="shared" si="226"/>
        <v/>
      </c>
      <c r="V3626" s="1" t="str">
        <f>_xlfn.XLOOKUP(C3626,Payers!$A$2:$A$9,Payers!$B$2:$B$9)</f>
        <v>Sunshine Medicare Advantage</v>
      </c>
      <c r="W3626" s="1" t="str">
        <f t="shared" si="227"/>
        <v>2025-11</v>
      </c>
    </row>
    <row r="3627" spans="1:23">
      <c r="A3627" s="1" t="s">
        <v>5922</v>
      </c>
      <c r="B3627" s="1" t="s">
        <v>1276</v>
      </c>
      <c r="C3627" s="1" t="s">
        <v>60</v>
      </c>
      <c r="D3627" s="1" t="s">
        <v>19</v>
      </c>
      <c r="E3627" s="1" t="s">
        <v>41</v>
      </c>
      <c r="F3627">
        <v>1</v>
      </c>
      <c r="G3627" s="2">
        <v>46251</v>
      </c>
      <c r="H3627" s="2">
        <v>46254</v>
      </c>
      <c r="I3627">
        <v>37.840000000000003</v>
      </c>
      <c r="J3627">
        <v>16.68</v>
      </c>
      <c r="K3627">
        <v>13.34</v>
      </c>
      <c r="L3627">
        <v>3.34</v>
      </c>
      <c r="M3627" s="1" t="s">
        <v>21</v>
      </c>
      <c r="N3627" s="1" t="s">
        <v>22</v>
      </c>
      <c r="O3627" s="2">
        <v>46288</v>
      </c>
      <c r="P3627" s="2">
        <v>46288</v>
      </c>
      <c r="Q3627">
        <f>_xlfn.XLOOKUP(E3627,CPT!$A$2:$A$13,CPT!$D$2:$D$13)</f>
        <v>38</v>
      </c>
      <c r="R3627" s="1">
        <f>_xlfn.XLOOKUP(C3627,Contract!$A$2:$A$9,Contract!$B$2:$B$9)</f>
        <v>0.45</v>
      </c>
      <c r="S3627" s="1">
        <f t="shared" si="224"/>
        <v>17.100000000000001</v>
      </c>
      <c r="T3627" s="1">
        <f t="shared" si="225"/>
        <v>0.42000000000000171</v>
      </c>
      <c r="U3627" s="1" t="str">
        <f t="shared" si="226"/>
        <v>OK</v>
      </c>
      <c r="V3627" s="1" t="str">
        <f>_xlfn.XLOOKUP(C3627,Payers!$A$2:$A$9,Payers!$B$2:$B$9)</f>
        <v>Blue Horizon Commercial</v>
      </c>
      <c r="W3627" s="1" t="str">
        <f t="shared" si="227"/>
        <v>2026-08</v>
      </c>
    </row>
    <row r="3628" spans="1:23">
      <c r="A3628" s="1" t="s">
        <v>5923</v>
      </c>
      <c r="B3628" s="1" t="s">
        <v>5924</v>
      </c>
      <c r="C3628" s="1" t="s">
        <v>18</v>
      </c>
      <c r="D3628" s="1" t="s">
        <v>37</v>
      </c>
      <c r="E3628" s="1" t="s">
        <v>57</v>
      </c>
      <c r="F3628">
        <v>1</v>
      </c>
      <c r="G3628" s="2">
        <v>46021</v>
      </c>
      <c r="H3628" s="2">
        <v>46023</v>
      </c>
      <c r="I3628">
        <v>210.67</v>
      </c>
      <c r="J3628">
        <v>70.989999999999995</v>
      </c>
      <c r="K3628">
        <v>70.989999999999995</v>
      </c>
      <c r="L3628">
        <v>0</v>
      </c>
      <c r="M3628" s="1" t="s">
        <v>21</v>
      </c>
      <c r="N3628" s="1" t="s">
        <v>22</v>
      </c>
      <c r="O3628" s="2">
        <v>46085</v>
      </c>
      <c r="P3628" s="2">
        <v>46085</v>
      </c>
      <c r="Q3628">
        <f>_xlfn.XLOOKUP(E3628,CPT!$A$2:$A$13,CPT!$D$2:$D$13)</f>
        <v>210</v>
      </c>
      <c r="R3628" s="1">
        <f>_xlfn.XLOOKUP(C3628,Contract!$A$2:$A$9,Contract!$B$2:$B$9)</f>
        <v>0.38</v>
      </c>
      <c r="S3628" s="1">
        <f t="shared" si="224"/>
        <v>79.8</v>
      </c>
      <c r="T3628" s="1">
        <f t="shared" si="225"/>
        <v>8.8100000000000023</v>
      </c>
      <c r="U3628" s="1" t="str">
        <f t="shared" si="226"/>
        <v>Underpaid</v>
      </c>
      <c r="V3628" s="1" t="str">
        <f>_xlfn.XLOOKUP(C3628,Payers!$A$2:$A$9,Payers!$B$2:$B$9)</f>
        <v>Sunshine Medicare Advantage</v>
      </c>
      <c r="W3628" s="1" t="str">
        <f t="shared" si="227"/>
        <v>2025-12</v>
      </c>
    </row>
    <row r="3629" spans="1:23">
      <c r="A3629" s="1" t="s">
        <v>5925</v>
      </c>
      <c r="B3629" s="1" t="s">
        <v>5926</v>
      </c>
      <c r="C3629" s="1" t="s">
        <v>47</v>
      </c>
      <c r="D3629" s="1" t="s">
        <v>19</v>
      </c>
      <c r="E3629" s="1" t="s">
        <v>41</v>
      </c>
      <c r="F3629">
        <v>1</v>
      </c>
      <c r="G3629" s="2">
        <v>46117</v>
      </c>
      <c r="H3629" s="2">
        <v>46121</v>
      </c>
      <c r="I3629">
        <v>38.28</v>
      </c>
      <c r="M3629" s="1" t="s">
        <v>32</v>
      </c>
      <c r="N3629" s="1" t="s">
        <v>49</v>
      </c>
      <c r="O3629" s="2">
        <v>46225</v>
      </c>
      <c r="P3629" s="2"/>
      <c r="Q3629">
        <f>_xlfn.XLOOKUP(E3629,CPT!$A$2:$A$13,CPT!$D$2:$D$13)</f>
        <v>38</v>
      </c>
      <c r="R3629" s="1">
        <f>_xlfn.XLOOKUP(C3629,Contract!$A$2:$A$9,Contract!$B$2:$B$9)</f>
        <v>0.28000000000000003</v>
      </c>
      <c r="S3629" s="1">
        <f t="shared" si="224"/>
        <v>10.64</v>
      </c>
      <c r="T3629" s="1" t="str">
        <f t="shared" si="225"/>
        <v/>
      </c>
      <c r="U3629" s="1" t="str">
        <f t="shared" si="226"/>
        <v/>
      </c>
      <c r="V3629" s="1" t="str">
        <f>_xlfn.XLOOKUP(C3629,Payers!$A$2:$A$9,Payers!$B$2:$B$9)</f>
        <v>Coastal Medicaid MCO</v>
      </c>
      <c r="W3629" s="1" t="str">
        <f t="shared" si="227"/>
        <v>2026-04</v>
      </c>
    </row>
    <row r="3630" spans="1:23">
      <c r="A3630" s="1" t="s">
        <v>5927</v>
      </c>
      <c r="B3630" s="1" t="s">
        <v>4185</v>
      </c>
      <c r="C3630" s="1" t="s">
        <v>18</v>
      </c>
      <c r="D3630" s="1" t="s">
        <v>26</v>
      </c>
      <c r="E3630" s="1" t="s">
        <v>27</v>
      </c>
      <c r="F3630">
        <v>1</v>
      </c>
      <c r="G3630" s="2">
        <v>45983</v>
      </c>
      <c r="H3630" s="2">
        <v>45989</v>
      </c>
      <c r="I3630">
        <v>235.26</v>
      </c>
      <c r="J3630">
        <v>92.34</v>
      </c>
      <c r="K3630">
        <v>73.87</v>
      </c>
      <c r="L3630">
        <v>18.47</v>
      </c>
      <c r="M3630" s="1" t="s">
        <v>21</v>
      </c>
      <c r="N3630" s="1" t="s">
        <v>22</v>
      </c>
      <c r="O3630" s="2">
        <v>46039</v>
      </c>
      <c r="P3630" s="2">
        <v>46039</v>
      </c>
      <c r="Q3630">
        <f>_xlfn.XLOOKUP(E3630,CPT!$A$2:$A$13,CPT!$D$2:$D$13)</f>
        <v>240</v>
      </c>
      <c r="R3630" s="1">
        <f>_xlfn.XLOOKUP(C3630,Contract!$A$2:$A$9,Contract!$B$2:$B$9)</f>
        <v>0.38</v>
      </c>
      <c r="S3630" s="1">
        <f t="shared" si="224"/>
        <v>91.2</v>
      </c>
      <c r="T3630" s="1">
        <f t="shared" si="225"/>
        <v>-1.1400000000000006</v>
      </c>
      <c r="U3630" s="1" t="str">
        <f t="shared" si="226"/>
        <v>OK</v>
      </c>
      <c r="V3630" s="1" t="str">
        <f>_xlfn.XLOOKUP(C3630,Payers!$A$2:$A$9,Payers!$B$2:$B$9)</f>
        <v>Sunshine Medicare Advantage</v>
      </c>
      <c r="W3630" s="1" t="str">
        <f t="shared" si="227"/>
        <v>2025-11</v>
      </c>
    </row>
    <row r="3631" spans="1:23">
      <c r="A3631" s="1" t="s">
        <v>5928</v>
      </c>
      <c r="B3631" s="1" t="s">
        <v>1843</v>
      </c>
      <c r="C3631" s="1" t="s">
        <v>25</v>
      </c>
      <c r="D3631" s="1" t="s">
        <v>30</v>
      </c>
      <c r="E3631" s="1" t="s">
        <v>91</v>
      </c>
      <c r="F3631">
        <v>3</v>
      </c>
      <c r="G3631" s="2">
        <v>46204</v>
      </c>
      <c r="H3631" s="2">
        <v>46205</v>
      </c>
      <c r="I3631">
        <v>169.09</v>
      </c>
      <c r="J3631">
        <v>59.07</v>
      </c>
      <c r="K3631">
        <v>59.07</v>
      </c>
      <c r="L3631">
        <v>0</v>
      </c>
      <c r="M3631" s="1" t="s">
        <v>21</v>
      </c>
      <c r="N3631" s="1" t="s">
        <v>22</v>
      </c>
      <c r="O3631" s="2">
        <v>46227</v>
      </c>
      <c r="P3631" s="2">
        <v>46227</v>
      </c>
      <c r="Q3631">
        <f>_xlfn.XLOOKUP(E3631,CPT!$A$2:$A$13,CPT!$D$2:$D$13)</f>
        <v>58</v>
      </c>
      <c r="R3631" s="1">
        <f>_xlfn.XLOOKUP(C3631,Contract!$A$2:$A$9,Contract!$B$2:$B$9)</f>
        <v>0.36</v>
      </c>
      <c r="S3631" s="1">
        <f t="shared" si="224"/>
        <v>62.64</v>
      </c>
      <c r="T3631" s="1">
        <f t="shared" si="225"/>
        <v>3.5700000000000003</v>
      </c>
      <c r="U3631" s="1" t="str">
        <f t="shared" si="226"/>
        <v>Underpaid</v>
      </c>
      <c r="V3631" s="1" t="str">
        <f>_xlfn.XLOOKUP(C3631,Payers!$A$2:$A$9,Payers!$B$2:$B$9)</f>
        <v>Medicare Part B</v>
      </c>
      <c r="W3631" s="1" t="str">
        <f t="shared" si="227"/>
        <v>2026-07</v>
      </c>
    </row>
    <row r="3632" spans="1:23">
      <c r="A3632" s="1" t="s">
        <v>5929</v>
      </c>
      <c r="B3632" s="1" t="s">
        <v>1093</v>
      </c>
      <c r="C3632" s="1" t="s">
        <v>60</v>
      </c>
      <c r="D3632" s="1" t="s">
        <v>19</v>
      </c>
      <c r="E3632" s="1" t="s">
        <v>41</v>
      </c>
      <c r="F3632">
        <v>1</v>
      </c>
      <c r="G3632" s="2">
        <v>45938</v>
      </c>
      <c r="H3632" s="2">
        <v>45942</v>
      </c>
      <c r="I3632">
        <v>38.82</v>
      </c>
      <c r="J3632">
        <v>17.420000000000002</v>
      </c>
      <c r="K3632">
        <v>13.94</v>
      </c>
      <c r="L3632">
        <v>3.48</v>
      </c>
      <c r="M3632" s="1" t="s">
        <v>21</v>
      </c>
      <c r="N3632" s="1" t="s">
        <v>22</v>
      </c>
      <c r="O3632" s="2">
        <v>45961</v>
      </c>
      <c r="P3632" s="2">
        <v>45961</v>
      </c>
      <c r="Q3632">
        <f>_xlfn.XLOOKUP(E3632,CPT!$A$2:$A$13,CPT!$D$2:$D$13)</f>
        <v>38</v>
      </c>
      <c r="R3632" s="1">
        <f>_xlfn.XLOOKUP(C3632,Contract!$A$2:$A$9,Contract!$B$2:$B$9)</f>
        <v>0.45</v>
      </c>
      <c r="S3632" s="1">
        <f t="shared" si="224"/>
        <v>17.100000000000001</v>
      </c>
      <c r="T3632" s="1">
        <f t="shared" si="225"/>
        <v>-0.32000000000000028</v>
      </c>
      <c r="U3632" s="1" t="str">
        <f t="shared" si="226"/>
        <v>OK</v>
      </c>
      <c r="V3632" s="1" t="str">
        <f>_xlfn.XLOOKUP(C3632,Payers!$A$2:$A$9,Payers!$B$2:$B$9)</f>
        <v>Blue Horizon Commercial</v>
      </c>
      <c r="W3632" s="1" t="str">
        <f t="shared" si="227"/>
        <v>2025-10</v>
      </c>
    </row>
    <row r="3633" spans="1:23">
      <c r="A3633" s="1" t="s">
        <v>5930</v>
      </c>
      <c r="B3633" s="1" t="s">
        <v>5931</v>
      </c>
      <c r="C3633" s="1" t="s">
        <v>18</v>
      </c>
      <c r="D3633" s="1" t="s">
        <v>26</v>
      </c>
      <c r="E3633" s="1" t="s">
        <v>88</v>
      </c>
      <c r="F3633">
        <v>1</v>
      </c>
      <c r="G3633" s="2">
        <v>46134</v>
      </c>
      <c r="H3633" s="2">
        <v>46137</v>
      </c>
      <c r="I3633">
        <v>263.41000000000003</v>
      </c>
      <c r="M3633" s="1" t="s">
        <v>32</v>
      </c>
      <c r="N3633" s="1" t="s">
        <v>124</v>
      </c>
      <c r="O3633" s="2">
        <v>46165</v>
      </c>
      <c r="P3633" s="2"/>
      <c r="Q3633">
        <f>_xlfn.XLOOKUP(E3633,CPT!$A$2:$A$13,CPT!$D$2:$D$13)</f>
        <v>260</v>
      </c>
      <c r="R3633" s="1">
        <f>_xlfn.XLOOKUP(C3633,Contract!$A$2:$A$9,Contract!$B$2:$B$9)</f>
        <v>0.38</v>
      </c>
      <c r="S3633" s="1">
        <f t="shared" si="224"/>
        <v>98.8</v>
      </c>
      <c r="T3633" s="1" t="str">
        <f t="shared" si="225"/>
        <v/>
      </c>
      <c r="U3633" s="1" t="str">
        <f t="shared" si="226"/>
        <v/>
      </c>
      <c r="V3633" s="1" t="str">
        <f>_xlfn.XLOOKUP(C3633,Payers!$A$2:$A$9,Payers!$B$2:$B$9)</f>
        <v>Sunshine Medicare Advantage</v>
      </c>
      <c r="W3633" s="1" t="str">
        <f t="shared" si="227"/>
        <v>2026-04</v>
      </c>
    </row>
    <row r="3634" spans="1:23">
      <c r="A3634" s="1" t="s">
        <v>5932</v>
      </c>
      <c r="B3634" s="1" t="s">
        <v>4214</v>
      </c>
      <c r="C3634" s="1" t="s">
        <v>60</v>
      </c>
      <c r="D3634" s="1" t="s">
        <v>19</v>
      </c>
      <c r="E3634" s="1" t="s">
        <v>88</v>
      </c>
      <c r="F3634">
        <v>1</v>
      </c>
      <c r="G3634" s="2">
        <v>46155</v>
      </c>
      <c r="H3634" s="2">
        <v>46161</v>
      </c>
      <c r="I3634">
        <v>266.22000000000003</v>
      </c>
      <c r="J3634">
        <v>116.57</v>
      </c>
      <c r="K3634">
        <v>104.91</v>
      </c>
      <c r="L3634">
        <v>11.66</v>
      </c>
      <c r="M3634" s="1" t="s">
        <v>21</v>
      </c>
      <c r="N3634" s="1" t="s">
        <v>22</v>
      </c>
      <c r="O3634" s="2">
        <v>46197</v>
      </c>
      <c r="P3634" s="2">
        <v>46197</v>
      </c>
      <c r="Q3634">
        <f>_xlfn.XLOOKUP(E3634,CPT!$A$2:$A$13,CPT!$D$2:$D$13)</f>
        <v>260</v>
      </c>
      <c r="R3634" s="1">
        <f>_xlfn.XLOOKUP(C3634,Contract!$A$2:$A$9,Contract!$B$2:$B$9)</f>
        <v>0.45</v>
      </c>
      <c r="S3634" s="1">
        <f t="shared" si="224"/>
        <v>117</v>
      </c>
      <c r="T3634" s="1">
        <f t="shared" si="225"/>
        <v>0.43000000000000682</v>
      </c>
      <c r="U3634" s="1" t="str">
        <f t="shared" si="226"/>
        <v>OK</v>
      </c>
      <c r="V3634" s="1" t="str">
        <f>_xlfn.XLOOKUP(C3634,Payers!$A$2:$A$9,Payers!$B$2:$B$9)</f>
        <v>Blue Horizon Commercial</v>
      </c>
      <c r="W3634" s="1" t="str">
        <f t="shared" si="227"/>
        <v>2026-05</v>
      </c>
    </row>
    <row r="3635" spans="1:23">
      <c r="A3635" s="1" t="s">
        <v>5933</v>
      </c>
      <c r="B3635" s="1" t="s">
        <v>24</v>
      </c>
      <c r="C3635" s="1" t="s">
        <v>60</v>
      </c>
      <c r="D3635" s="1" t="s">
        <v>30</v>
      </c>
      <c r="E3635" s="1" t="s">
        <v>20</v>
      </c>
      <c r="F3635">
        <v>1</v>
      </c>
      <c r="G3635" s="2">
        <v>45958</v>
      </c>
      <c r="H3635" s="2">
        <v>45960</v>
      </c>
      <c r="I3635">
        <v>141.80000000000001</v>
      </c>
      <c r="J3635">
        <v>63.58</v>
      </c>
      <c r="K3635">
        <v>63.58</v>
      </c>
      <c r="L3635">
        <v>0</v>
      </c>
      <c r="M3635" s="1" t="s">
        <v>21</v>
      </c>
      <c r="N3635" s="1" t="s">
        <v>22</v>
      </c>
      <c r="O3635" s="2">
        <v>45987</v>
      </c>
      <c r="P3635" s="2">
        <v>45987</v>
      </c>
      <c r="Q3635">
        <f>_xlfn.XLOOKUP(E3635,CPT!$A$2:$A$13,CPT!$D$2:$D$13)</f>
        <v>145</v>
      </c>
      <c r="R3635" s="1">
        <f>_xlfn.XLOOKUP(C3635,Contract!$A$2:$A$9,Contract!$B$2:$B$9)</f>
        <v>0.45</v>
      </c>
      <c r="S3635" s="1">
        <f t="shared" si="224"/>
        <v>65.25</v>
      </c>
      <c r="T3635" s="1">
        <f t="shared" si="225"/>
        <v>1.6700000000000017</v>
      </c>
      <c r="U3635" s="1" t="str">
        <f t="shared" si="226"/>
        <v>OK</v>
      </c>
      <c r="V3635" s="1" t="str">
        <f>_xlfn.XLOOKUP(C3635,Payers!$A$2:$A$9,Payers!$B$2:$B$9)</f>
        <v>Blue Horizon Commercial</v>
      </c>
      <c r="W3635" s="1" t="str">
        <f t="shared" si="227"/>
        <v>2025-10</v>
      </c>
    </row>
    <row r="3636" spans="1:23">
      <c r="A3636" s="1" t="s">
        <v>5934</v>
      </c>
      <c r="B3636" s="1" t="s">
        <v>4855</v>
      </c>
      <c r="C3636" s="1" t="s">
        <v>60</v>
      </c>
      <c r="D3636" s="1" t="s">
        <v>26</v>
      </c>
      <c r="E3636" s="1" t="s">
        <v>57</v>
      </c>
      <c r="F3636">
        <v>1</v>
      </c>
      <c r="G3636" s="2">
        <v>46072</v>
      </c>
      <c r="H3636" s="2">
        <v>46079</v>
      </c>
      <c r="I3636">
        <v>208.23</v>
      </c>
      <c r="J3636">
        <v>105.76</v>
      </c>
      <c r="K3636">
        <v>84.61</v>
      </c>
      <c r="L3636">
        <v>21.15</v>
      </c>
      <c r="M3636" s="1" t="s">
        <v>21</v>
      </c>
      <c r="N3636" s="1" t="s">
        <v>22</v>
      </c>
      <c r="O3636" s="2">
        <v>46101</v>
      </c>
      <c r="P3636" s="2">
        <v>46101</v>
      </c>
      <c r="Q3636">
        <f>_xlfn.XLOOKUP(E3636,CPT!$A$2:$A$13,CPT!$D$2:$D$13)</f>
        <v>210</v>
      </c>
      <c r="R3636" s="1">
        <f>_xlfn.XLOOKUP(C3636,Contract!$A$2:$A$9,Contract!$B$2:$B$9)</f>
        <v>0.45</v>
      </c>
      <c r="S3636" s="1">
        <f t="shared" si="224"/>
        <v>94.5</v>
      </c>
      <c r="T3636" s="1">
        <f t="shared" si="225"/>
        <v>-11.260000000000005</v>
      </c>
      <c r="U3636" s="1" t="str">
        <f t="shared" si="226"/>
        <v>OK</v>
      </c>
      <c r="V3636" s="1" t="str">
        <f>_xlfn.XLOOKUP(C3636,Payers!$A$2:$A$9,Payers!$B$2:$B$9)</f>
        <v>Blue Horizon Commercial</v>
      </c>
      <c r="W3636" s="1" t="str">
        <f t="shared" si="227"/>
        <v>2026-02</v>
      </c>
    </row>
    <row r="3637" spans="1:23">
      <c r="A3637" s="1" t="s">
        <v>5935</v>
      </c>
      <c r="B3637" s="1" t="s">
        <v>3423</v>
      </c>
      <c r="C3637" s="1" t="s">
        <v>36</v>
      </c>
      <c r="D3637" s="1" t="s">
        <v>30</v>
      </c>
      <c r="E3637" s="1" t="s">
        <v>91</v>
      </c>
      <c r="F3637">
        <v>3</v>
      </c>
      <c r="G3637" s="2">
        <v>46263</v>
      </c>
      <c r="H3637" s="2">
        <v>46264</v>
      </c>
      <c r="I3637">
        <v>173.98</v>
      </c>
      <c r="M3637" s="1" t="s">
        <v>69</v>
      </c>
      <c r="N3637" s="1" t="s">
        <v>22</v>
      </c>
      <c r="O3637" s="2"/>
      <c r="P3637" s="2"/>
      <c r="Q3637">
        <f>_xlfn.XLOOKUP(E3637,CPT!$A$2:$A$13,CPT!$D$2:$D$13)</f>
        <v>58</v>
      </c>
      <c r="R3637" s="1">
        <f>_xlfn.XLOOKUP(C3637,Contract!$A$2:$A$9,Contract!$B$2:$B$9)</f>
        <v>0.27</v>
      </c>
      <c r="S3637" s="1">
        <f t="shared" si="224"/>
        <v>46.98</v>
      </c>
      <c r="T3637" s="1" t="str">
        <f t="shared" si="225"/>
        <v/>
      </c>
      <c r="U3637" s="1" t="str">
        <f t="shared" si="226"/>
        <v/>
      </c>
      <c r="V3637" s="1" t="str">
        <f>_xlfn.XLOOKUP(C3637,Payers!$A$2:$A$9,Payers!$B$2:$B$9)</f>
        <v>Florida Medicaid</v>
      </c>
      <c r="W3637" s="1" t="str">
        <f t="shared" si="227"/>
        <v>2026-08</v>
      </c>
    </row>
    <row r="3638" spans="1:23">
      <c r="A3638" s="1" t="s">
        <v>5936</v>
      </c>
      <c r="B3638" s="1" t="s">
        <v>5937</v>
      </c>
      <c r="C3638" s="1" t="s">
        <v>79</v>
      </c>
      <c r="D3638" s="1" t="s">
        <v>30</v>
      </c>
      <c r="E3638" s="1" t="s">
        <v>31</v>
      </c>
      <c r="F3638">
        <v>1</v>
      </c>
      <c r="G3638" s="2">
        <v>46258</v>
      </c>
      <c r="H3638" s="2">
        <v>46260</v>
      </c>
      <c r="I3638">
        <v>61.77</v>
      </c>
      <c r="M3638" s="1" t="s">
        <v>69</v>
      </c>
      <c r="N3638" s="1" t="s">
        <v>22</v>
      </c>
      <c r="O3638" s="2"/>
      <c r="P3638" s="2"/>
      <c r="Q3638">
        <f>_xlfn.XLOOKUP(E3638,CPT!$A$2:$A$13,CPT!$D$2:$D$13)</f>
        <v>62</v>
      </c>
      <c r="R3638" s="1">
        <f>_xlfn.XLOOKUP(C3638,Contract!$A$2:$A$9,Contract!$B$2:$B$9)</f>
        <v>1</v>
      </c>
      <c r="S3638" s="1">
        <f t="shared" si="224"/>
        <v>62</v>
      </c>
      <c r="T3638" s="1" t="str">
        <f t="shared" si="225"/>
        <v/>
      </c>
      <c r="U3638" s="1" t="str">
        <f t="shared" si="226"/>
        <v/>
      </c>
      <c r="V3638" s="1" t="str">
        <f>_xlfn.XLOOKUP(C3638,Payers!$A$2:$A$9,Payers!$B$2:$B$9)</f>
        <v>Self-Pay</v>
      </c>
      <c r="W3638" s="1" t="str">
        <f t="shared" si="227"/>
        <v>2026-08</v>
      </c>
    </row>
    <row r="3639" spans="1:23">
      <c r="A3639" s="1" t="s">
        <v>5938</v>
      </c>
      <c r="B3639" s="1" t="s">
        <v>1443</v>
      </c>
      <c r="C3639" s="1" t="s">
        <v>60</v>
      </c>
      <c r="D3639" s="1" t="s">
        <v>37</v>
      </c>
      <c r="E3639" s="1" t="s">
        <v>57</v>
      </c>
      <c r="F3639">
        <v>1</v>
      </c>
      <c r="G3639" s="2">
        <v>45944</v>
      </c>
      <c r="H3639" s="2">
        <v>45946</v>
      </c>
      <c r="I3639">
        <v>213.23</v>
      </c>
      <c r="M3639" s="1" t="s">
        <v>32</v>
      </c>
      <c r="N3639" s="1" t="s">
        <v>168</v>
      </c>
      <c r="O3639" s="2">
        <v>45968</v>
      </c>
      <c r="P3639" s="2"/>
      <c r="Q3639">
        <f>_xlfn.XLOOKUP(E3639,CPT!$A$2:$A$13,CPT!$D$2:$D$13)</f>
        <v>210</v>
      </c>
      <c r="R3639" s="1">
        <f>_xlfn.XLOOKUP(C3639,Contract!$A$2:$A$9,Contract!$B$2:$B$9)</f>
        <v>0.45</v>
      </c>
      <c r="S3639" s="1">
        <f t="shared" si="224"/>
        <v>94.5</v>
      </c>
      <c r="T3639" s="1" t="str">
        <f t="shared" si="225"/>
        <v/>
      </c>
      <c r="U3639" s="1" t="str">
        <f t="shared" si="226"/>
        <v/>
      </c>
      <c r="V3639" s="1" t="str">
        <f>_xlfn.XLOOKUP(C3639,Payers!$A$2:$A$9,Payers!$B$2:$B$9)</f>
        <v>Blue Horizon Commercial</v>
      </c>
      <c r="W3639" s="1" t="str">
        <f t="shared" si="227"/>
        <v>2025-10</v>
      </c>
    </row>
    <row r="3640" spans="1:23">
      <c r="A3640" s="1" t="s">
        <v>5939</v>
      </c>
      <c r="B3640" s="1" t="s">
        <v>1306</v>
      </c>
      <c r="C3640" s="1" t="s">
        <v>25</v>
      </c>
      <c r="D3640" s="1" t="s">
        <v>26</v>
      </c>
      <c r="E3640" s="1" t="s">
        <v>27</v>
      </c>
      <c r="F3640">
        <v>1</v>
      </c>
      <c r="G3640" s="2">
        <v>46252</v>
      </c>
      <c r="H3640" s="2">
        <v>46253</v>
      </c>
      <c r="I3640">
        <v>239.95</v>
      </c>
      <c r="J3640">
        <v>96.12</v>
      </c>
      <c r="K3640">
        <v>96.12</v>
      </c>
      <c r="L3640">
        <v>0</v>
      </c>
      <c r="M3640" s="1" t="s">
        <v>21</v>
      </c>
      <c r="N3640" s="1" t="s">
        <v>22</v>
      </c>
      <c r="O3640" s="2">
        <v>46268</v>
      </c>
      <c r="P3640" s="2">
        <v>46268</v>
      </c>
      <c r="Q3640">
        <f>_xlfn.XLOOKUP(E3640,CPT!$A$2:$A$13,CPT!$D$2:$D$13)</f>
        <v>240</v>
      </c>
      <c r="R3640" s="1">
        <f>_xlfn.XLOOKUP(C3640,Contract!$A$2:$A$9,Contract!$B$2:$B$9)</f>
        <v>0.36</v>
      </c>
      <c r="S3640" s="1">
        <f t="shared" si="224"/>
        <v>86.4</v>
      </c>
      <c r="T3640" s="1">
        <f t="shared" si="225"/>
        <v>-9.7199999999999989</v>
      </c>
      <c r="U3640" s="1" t="str">
        <f t="shared" si="226"/>
        <v>OK</v>
      </c>
      <c r="V3640" s="1" t="str">
        <f>_xlfn.XLOOKUP(C3640,Payers!$A$2:$A$9,Payers!$B$2:$B$9)</f>
        <v>Medicare Part B</v>
      </c>
      <c r="W3640" s="1" t="str">
        <f t="shared" si="227"/>
        <v>2026-08</v>
      </c>
    </row>
    <row r="3641" spans="1:23">
      <c r="A3641" s="1" t="s">
        <v>5940</v>
      </c>
      <c r="B3641" s="1" t="s">
        <v>386</v>
      </c>
      <c r="C3641" s="1" t="s">
        <v>79</v>
      </c>
      <c r="D3641" s="1" t="s">
        <v>26</v>
      </c>
      <c r="E3641" s="1" t="s">
        <v>27</v>
      </c>
      <c r="F3641">
        <v>1</v>
      </c>
      <c r="G3641" s="2">
        <v>46256</v>
      </c>
      <c r="H3641" s="2">
        <v>46258</v>
      </c>
      <c r="I3641">
        <v>244.76</v>
      </c>
      <c r="M3641" s="1" t="s">
        <v>69</v>
      </c>
      <c r="N3641" s="1" t="s">
        <v>22</v>
      </c>
      <c r="O3641" s="2"/>
      <c r="P3641" s="2"/>
      <c r="Q3641">
        <f>_xlfn.XLOOKUP(E3641,CPT!$A$2:$A$13,CPT!$D$2:$D$13)</f>
        <v>240</v>
      </c>
      <c r="R3641" s="1">
        <f>_xlfn.XLOOKUP(C3641,Contract!$A$2:$A$9,Contract!$B$2:$B$9)</f>
        <v>1</v>
      </c>
      <c r="S3641" s="1">
        <f t="shared" si="224"/>
        <v>240</v>
      </c>
      <c r="T3641" s="1" t="str">
        <f t="shared" si="225"/>
        <v/>
      </c>
      <c r="U3641" s="1" t="str">
        <f t="shared" si="226"/>
        <v/>
      </c>
      <c r="V3641" s="1" t="str">
        <f>_xlfn.XLOOKUP(C3641,Payers!$A$2:$A$9,Payers!$B$2:$B$9)</f>
        <v>Self-Pay</v>
      </c>
      <c r="W3641" s="1" t="str">
        <f t="shared" si="227"/>
        <v>2026-08</v>
      </c>
    </row>
    <row r="3642" spans="1:23">
      <c r="A3642" s="1" t="s">
        <v>5941</v>
      </c>
      <c r="B3642" s="1" t="s">
        <v>3148</v>
      </c>
      <c r="C3642" s="1" t="s">
        <v>60</v>
      </c>
      <c r="D3642" s="1" t="s">
        <v>26</v>
      </c>
      <c r="E3642" s="1" t="s">
        <v>113</v>
      </c>
      <c r="F3642">
        <v>1</v>
      </c>
      <c r="G3642" s="2">
        <v>46181</v>
      </c>
      <c r="H3642" s="2">
        <v>46185</v>
      </c>
      <c r="I3642">
        <v>1059.76</v>
      </c>
      <c r="M3642" s="1" t="s">
        <v>32</v>
      </c>
      <c r="N3642" s="1" t="s">
        <v>49</v>
      </c>
      <c r="O3642" s="2">
        <v>46217</v>
      </c>
      <c r="P3642" s="2"/>
      <c r="Q3642">
        <f>_xlfn.XLOOKUP(E3642,CPT!$A$2:$A$13,CPT!$D$2:$D$13)</f>
        <v>1050</v>
      </c>
      <c r="R3642" s="1">
        <f>_xlfn.XLOOKUP(C3642,Contract!$A$2:$A$9,Contract!$B$2:$B$9)</f>
        <v>0.45</v>
      </c>
      <c r="S3642" s="1">
        <f t="shared" si="224"/>
        <v>472.5</v>
      </c>
      <c r="T3642" s="1" t="str">
        <f t="shared" si="225"/>
        <v/>
      </c>
      <c r="U3642" s="1" t="str">
        <f t="shared" si="226"/>
        <v/>
      </c>
      <c r="V3642" s="1" t="str">
        <f>_xlfn.XLOOKUP(C3642,Payers!$A$2:$A$9,Payers!$B$2:$B$9)</f>
        <v>Blue Horizon Commercial</v>
      </c>
      <c r="W3642" s="1" t="str">
        <f t="shared" si="227"/>
        <v>2026-06</v>
      </c>
    </row>
    <row r="3643" spans="1:23">
      <c r="A3643" s="1" t="s">
        <v>5942</v>
      </c>
      <c r="B3643" s="1" t="s">
        <v>2683</v>
      </c>
      <c r="C3643" s="1" t="s">
        <v>36</v>
      </c>
      <c r="D3643" s="1" t="s">
        <v>26</v>
      </c>
      <c r="E3643" s="1" t="s">
        <v>41</v>
      </c>
      <c r="F3643">
        <v>1</v>
      </c>
      <c r="G3643" s="2">
        <v>45991</v>
      </c>
      <c r="H3643" s="2">
        <v>45995</v>
      </c>
      <c r="I3643">
        <v>38.9</v>
      </c>
      <c r="J3643">
        <v>11.86</v>
      </c>
      <c r="K3643">
        <v>10.67</v>
      </c>
      <c r="L3643">
        <v>1.19</v>
      </c>
      <c r="M3643" s="1" t="s">
        <v>21</v>
      </c>
      <c r="N3643" s="1" t="s">
        <v>22</v>
      </c>
      <c r="O3643" s="2">
        <v>46040</v>
      </c>
      <c r="P3643" s="2">
        <v>46040</v>
      </c>
      <c r="Q3643">
        <f>_xlfn.XLOOKUP(E3643,CPT!$A$2:$A$13,CPT!$D$2:$D$13)</f>
        <v>38</v>
      </c>
      <c r="R3643" s="1">
        <f>_xlfn.XLOOKUP(C3643,Contract!$A$2:$A$9,Contract!$B$2:$B$9)</f>
        <v>0.27</v>
      </c>
      <c r="S3643" s="1">
        <f t="shared" si="224"/>
        <v>10.26</v>
      </c>
      <c r="T3643" s="1">
        <f t="shared" si="225"/>
        <v>-1.5999999999999996</v>
      </c>
      <c r="U3643" s="1" t="str">
        <f t="shared" si="226"/>
        <v>OK</v>
      </c>
      <c r="V3643" s="1" t="str">
        <f>_xlfn.XLOOKUP(C3643,Payers!$A$2:$A$9,Payers!$B$2:$B$9)</f>
        <v>Florida Medicaid</v>
      </c>
      <c r="W3643" s="1" t="str">
        <f t="shared" si="227"/>
        <v>2025-11</v>
      </c>
    </row>
    <row r="3644" spans="1:23">
      <c r="A3644" s="1" t="s">
        <v>5943</v>
      </c>
      <c r="B3644" s="1" t="s">
        <v>3742</v>
      </c>
      <c r="C3644" s="1" t="s">
        <v>25</v>
      </c>
      <c r="D3644" s="1" t="s">
        <v>19</v>
      </c>
      <c r="E3644" s="1" t="s">
        <v>20</v>
      </c>
      <c r="F3644">
        <v>1</v>
      </c>
      <c r="G3644" s="2">
        <v>46023</v>
      </c>
      <c r="H3644" s="2">
        <v>46024</v>
      </c>
      <c r="I3644">
        <v>144.87</v>
      </c>
      <c r="J3644">
        <v>46.71</v>
      </c>
      <c r="K3644">
        <v>46.71</v>
      </c>
      <c r="L3644">
        <v>0</v>
      </c>
      <c r="M3644" s="1" t="s">
        <v>21</v>
      </c>
      <c r="N3644" s="1" t="s">
        <v>22</v>
      </c>
      <c r="O3644" s="2">
        <v>46041</v>
      </c>
      <c r="P3644" s="2">
        <v>46041</v>
      </c>
      <c r="Q3644">
        <f>_xlfn.XLOOKUP(E3644,CPT!$A$2:$A$13,CPT!$D$2:$D$13)</f>
        <v>145</v>
      </c>
      <c r="R3644" s="1">
        <f>_xlfn.XLOOKUP(C3644,Contract!$A$2:$A$9,Contract!$B$2:$B$9)</f>
        <v>0.36</v>
      </c>
      <c r="S3644" s="1">
        <f t="shared" si="224"/>
        <v>52.2</v>
      </c>
      <c r="T3644" s="1">
        <f t="shared" si="225"/>
        <v>5.490000000000002</v>
      </c>
      <c r="U3644" s="1" t="str">
        <f t="shared" si="226"/>
        <v>Underpaid</v>
      </c>
      <c r="V3644" s="1" t="str">
        <f>_xlfn.XLOOKUP(C3644,Payers!$A$2:$A$9,Payers!$B$2:$B$9)</f>
        <v>Medicare Part B</v>
      </c>
      <c r="W3644" s="1" t="str">
        <f t="shared" si="227"/>
        <v>2026-01</v>
      </c>
    </row>
    <row r="3645" spans="1:23">
      <c r="A3645" s="1" t="s">
        <v>5944</v>
      </c>
      <c r="B3645" s="1" t="s">
        <v>5945</v>
      </c>
      <c r="C3645" s="1" t="s">
        <v>60</v>
      </c>
      <c r="D3645" s="1" t="s">
        <v>26</v>
      </c>
      <c r="E3645" s="1" t="s">
        <v>57</v>
      </c>
      <c r="F3645">
        <v>1</v>
      </c>
      <c r="G3645" s="2">
        <v>46286</v>
      </c>
      <c r="H3645" s="2">
        <v>46290</v>
      </c>
      <c r="I3645">
        <v>205.46</v>
      </c>
      <c r="M3645" s="1" t="s">
        <v>69</v>
      </c>
      <c r="N3645" s="1" t="s">
        <v>22</v>
      </c>
      <c r="O3645" s="2"/>
      <c r="P3645" s="2"/>
      <c r="Q3645">
        <f>_xlfn.XLOOKUP(E3645,CPT!$A$2:$A$13,CPT!$D$2:$D$13)</f>
        <v>210</v>
      </c>
      <c r="R3645" s="1">
        <f>_xlfn.XLOOKUP(C3645,Contract!$A$2:$A$9,Contract!$B$2:$B$9)</f>
        <v>0.45</v>
      </c>
      <c r="S3645" s="1">
        <f t="shared" si="224"/>
        <v>94.5</v>
      </c>
      <c r="T3645" s="1" t="str">
        <f t="shared" si="225"/>
        <v/>
      </c>
      <c r="U3645" s="1" t="str">
        <f t="shared" si="226"/>
        <v/>
      </c>
      <c r="V3645" s="1" t="str">
        <f>_xlfn.XLOOKUP(C3645,Payers!$A$2:$A$9,Payers!$B$2:$B$9)</f>
        <v>Blue Horizon Commercial</v>
      </c>
      <c r="W3645" s="1" t="str">
        <f t="shared" si="227"/>
        <v>2026-09</v>
      </c>
    </row>
    <row r="3646" spans="1:23">
      <c r="A3646" s="1" t="s">
        <v>5946</v>
      </c>
      <c r="B3646" s="1" t="s">
        <v>2472</v>
      </c>
      <c r="C3646" s="1" t="s">
        <v>76</v>
      </c>
      <c r="D3646" s="1" t="s">
        <v>26</v>
      </c>
      <c r="E3646" s="1" t="s">
        <v>57</v>
      </c>
      <c r="F3646">
        <v>1</v>
      </c>
      <c r="G3646" s="2">
        <v>45972</v>
      </c>
      <c r="H3646" s="2">
        <v>45975</v>
      </c>
      <c r="I3646">
        <v>204.86</v>
      </c>
      <c r="J3646">
        <v>92.28</v>
      </c>
      <c r="K3646">
        <v>83.05</v>
      </c>
      <c r="L3646">
        <v>9.23</v>
      </c>
      <c r="M3646" s="1" t="s">
        <v>21</v>
      </c>
      <c r="N3646" s="1" t="s">
        <v>22</v>
      </c>
      <c r="O3646" s="2">
        <v>46015</v>
      </c>
      <c r="P3646" s="2">
        <v>46015</v>
      </c>
      <c r="Q3646">
        <f>_xlfn.XLOOKUP(E3646,CPT!$A$2:$A$13,CPT!$D$2:$D$13)</f>
        <v>210</v>
      </c>
      <c r="R3646" s="1">
        <f>_xlfn.XLOOKUP(C3646,Contract!$A$2:$A$9,Contract!$B$2:$B$9)</f>
        <v>0.43</v>
      </c>
      <c r="S3646" s="1">
        <f t="shared" si="224"/>
        <v>90.3</v>
      </c>
      <c r="T3646" s="1">
        <f t="shared" si="225"/>
        <v>-1.980000000000004</v>
      </c>
      <c r="U3646" s="1" t="str">
        <f t="shared" si="226"/>
        <v>OK</v>
      </c>
      <c r="V3646" s="1" t="str">
        <f>_xlfn.XLOOKUP(C3646,Payers!$A$2:$A$9,Payers!$B$2:$B$9)</f>
        <v>Summit Health Commercial</v>
      </c>
      <c r="W3646" s="1" t="str">
        <f t="shared" si="227"/>
        <v>2025-11</v>
      </c>
    </row>
    <row r="3647" spans="1:23">
      <c r="A3647" s="1" t="s">
        <v>5947</v>
      </c>
      <c r="B3647" s="1" t="s">
        <v>3106</v>
      </c>
      <c r="C3647" s="1" t="s">
        <v>25</v>
      </c>
      <c r="D3647" s="1" t="s">
        <v>26</v>
      </c>
      <c r="E3647" s="1" t="s">
        <v>44</v>
      </c>
      <c r="F3647">
        <v>1</v>
      </c>
      <c r="G3647" s="2">
        <v>46285</v>
      </c>
      <c r="H3647" s="2">
        <v>46289</v>
      </c>
      <c r="I3647">
        <v>4690.66</v>
      </c>
      <c r="M3647" s="1" t="s">
        <v>69</v>
      </c>
      <c r="N3647" s="1" t="s">
        <v>22</v>
      </c>
      <c r="O3647" s="2"/>
      <c r="P3647" s="2"/>
      <c r="Q3647">
        <f>_xlfn.XLOOKUP(E3647,CPT!$A$2:$A$13,CPT!$D$2:$D$13)</f>
        <v>4800</v>
      </c>
      <c r="R3647" s="1">
        <f>_xlfn.XLOOKUP(C3647,Contract!$A$2:$A$9,Contract!$B$2:$B$9)</f>
        <v>0.36</v>
      </c>
      <c r="S3647" s="1">
        <f t="shared" si="224"/>
        <v>1728</v>
      </c>
      <c r="T3647" s="1" t="str">
        <f t="shared" si="225"/>
        <v/>
      </c>
      <c r="U3647" s="1" t="str">
        <f t="shared" si="226"/>
        <v/>
      </c>
      <c r="V3647" s="1" t="str">
        <f>_xlfn.XLOOKUP(C3647,Payers!$A$2:$A$9,Payers!$B$2:$B$9)</f>
        <v>Medicare Part B</v>
      </c>
      <c r="W3647" s="1" t="str">
        <f t="shared" si="227"/>
        <v>2026-09</v>
      </c>
    </row>
    <row r="3648" spans="1:23">
      <c r="A3648" s="1" t="s">
        <v>5948</v>
      </c>
      <c r="B3648" s="1" t="s">
        <v>3813</v>
      </c>
      <c r="C3648" s="1" t="s">
        <v>60</v>
      </c>
      <c r="D3648" s="1" t="s">
        <v>37</v>
      </c>
      <c r="E3648" s="1" t="s">
        <v>48</v>
      </c>
      <c r="F3648">
        <v>1</v>
      </c>
      <c r="G3648" s="2">
        <v>45942</v>
      </c>
      <c r="H3648" s="2">
        <v>45954</v>
      </c>
      <c r="I3648">
        <v>431.79</v>
      </c>
      <c r="M3648" s="1" t="s">
        <v>32</v>
      </c>
      <c r="N3648" s="1" t="s">
        <v>315</v>
      </c>
      <c r="O3648" s="2">
        <v>45995</v>
      </c>
      <c r="P3648" s="2"/>
      <c r="Q3648">
        <f>_xlfn.XLOOKUP(E3648,CPT!$A$2:$A$13,CPT!$D$2:$D$13)</f>
        <v>420</v>
      </c>
      <c r="R3648" s="1">
        <f>_xlfn.XLOOKUP(C3648,Contract!$A$2:$A$9,Contract!$B$2:$B$9)</f>
        <v>0.45</v>
      </c>
      <c r="S3648" s="1">
        <f t="shared" si="224"/>
        <v>189</v>
      </c>
      <c r="T3648" s="1" t="str">
        <f t="shared" si="225"/>
        <v/>
      </c>
      <c r="U3648" s="1" t="str">
        <f t="shared" si="226"/>
        <v/>
      </c>
      <c r="V3648" s="1" t="str">
        <f>_xlfn.XLOOKUP(C3648,Payers!$A$2:$A$9,Payers!$B$2:$B$9)</f>
        <v>Blue Horizon Commercial</v>
      </c>
      <c r="W3648" s="1" t="str">
        <f t="shared" si="227"/>
        <v>2025-10</v>
      </c>
    </row>
    <row r="3649" spans="1:23">
      <c r="A3649" s="1" t="s">
        <v>5949</v>
      </c>
      <c r="B3649" s="1" t="s">
        <v>155</v>
      </c>
      <c r="C3649" s="1" t="s">
        <v>36</v>
      </c>
      <c r="D3649" s="1" t="s">
        <v>30</v>
      </c>
      <c r="E3649" s="1" t="s">
        <v>31</v>
      </c>
      <c r="F3649">
        <v>2</v>
      </c>
      <c r="G3649" s="2">
        <v>46009</v>
      </c>
      <c r="H3649" s="2">
        <v>46013</v>
      </c>
      <c r="I3649">
        <v>123.31</v>
      </c>
      <c r="J3649">
        <v>34.04</v>
      </c>
      <c r="K3649">
        <v>30.64</v>
      </c>
      <c r="L3649">
        <v>3.4</v>
      </c>
      <c r="M3649" s="1" t="s">
        <v>21</v>
      </c>
      <c r="N3649" s="1" t="s">
        <v>22</v>
      </c>
      <c r="O3649" s="2">
        <v>46050</v>
      </c>
      <c r="P3649" s="2">
        <v>46050</v>
      </c>
      <c r="Q3649">
        <f>_xlfn.XLOOKUP(E3649,CPT!$A$2:$A$13,CPT!$D$2:$D$13)</f>
        <v>62</v>
      </c>
      <c r="R3649" s="1">
        <f>_xlfn.XLOOKUP(C3649,Contract!$A$2:$A$9,Contract!$B$2:$B$9)</f>
        <v>0.27</v>
      </c>
      <c r="S3649" s="1">
        <f t="shared" si="224"/>
        <v>33.479999999999997</v>
      </c>
      <c r="T3649" s="1">
        <f t="shared" si="225"/>
        <v>-0.56000000000000227</v>
      </c>
      <c r="U3649" s="1" t="str">
        <f t="shared" si="226"/>
        <v>OK</v>
      </c>
      <c r="V3649" s="1" t="str">
        <f>_xlfn.XLOOKUP(C3649,Payers!$A$2:$A$9,Payers!$B$2:$B$9)</f>
        <v>Florida Medicaid</v>
      </c>
      <c r="W3649" s="1" t="str">
        <f t="shared" si="227"/>
        <v>2025-12</v>
      </c>
    </row>
    <row r="3650" spans="1:23">
      <c r="A3650" s="1" t="s">
        <v>5950</v>
      </c>
      <c r="B3650" s="1" t="s">
        <v>1553</v>
      </c>
      <c r="C3650" s="1" t="s">
        <v>36</v>
      </c>
      <c r="D3650" s="1" t="s">
        <v>26</v>
      </c>
      <c r="E3650" s="1" t="s">
        <v>113</v>
      </c>
      <c r="F3650">
        <v>1</v>
      </c>
      <c r="G3650" s="2">
        <v>46034</v>
      </c>
      <c r="H3650" s="2">
        <v>46045</v>
      </c>
      <c r="I3650">
        <v>1021.15</v>
      </c>
      <c r="J3650">
        <v>248.1</v>
      </c>
      <c r="K3650">
        <v>248.1</v>
      </c>
      <c r="L3650">
        <v>0</v>
      </c>
      <c r="M3650" s="1" t="s">
        <v>21</v>
      </c>
      <c r="N3650" s="1" t="s">
        <v>22</v>
      </c>
      <c r="O3650" s="2">
        <v>46086</v>
      </c>
      <c r="P3650" s="2">
        <v>46086</v>
      </c>
      <c r="Q3650">
        <f>_xlfn.XLOOKUP(E3650,CPT!$A$2:$A$13,CPT!$D$2:$D$13)</f>
        <v>1050</v>
      </c>
      <c r="R3650" s="1">
        <f>_xlfn.XLOOKUP(C3650,Contract!$A$2:$A$9,Contract!$B$2:$B$9)</f>
        <v>0.27</v>
      </c>
      <c r="S3650" s="1">
        <f t="shared" ref="S3650:S3713" si="228">ROUND(Q3650*F3650*R3650,2)</f>
        <v>283.5</v>
      </c>
      <c r="T3650" s="1">
        <f t="shared" ref="T3650:T3713" si="229">IF(M3650="Paid",S3650-J3650,"")</f>
        <v>35.400000000000006</v>
      </c>
      <c r="U3650" s="1" t="str">
        <f t="shared" ref="U3650:U3713" si="230">IF(M3650&lt;&gt;"Paid","",IF(T3650&gt;S3650*0.05,"Underpaid","OK"))</f>
        <v>Underpaid</v>
      </c>
      <c r="V3650" s="1" t="str">
        <f>_xlfn.XLOOKUP(C3650,Payers!$A$2:$A$9,Payers!$B$2:$B$9)</f>
        <v>Florida Medicaid</v>
      </c>
      <c r="W3650" s="1" t="str">
        <f t="shared" ref="W3650:W3713" si="231">TEXT(G3650,"yyyy-mm")</f>
        <v>2026-01</v>
      </c>
    </row>
    <row r="3651" spans="1:23">
      <c r="A3651" s="1" t="s">
        <v>5951</v>
      </c>
      <c r="B3651" s="1" t="s">
        <v>977</v>
      </c>
      <c r="C3651" s="1" t="s">
        <v>36</v>
      </c>
      <c r="D3651" s="1" t="s">
        <v>19</v>
      </c>
      <c r="E3651" s="1" t="s">
        <v>41</v>
      </c>
      <c r="F3651">
        <v>1</v>
      </c>
      <c r="G3651" s="2">
        <v>46155</v>
      </c>
      <c r="H3651" s="2">
        <v>46157</v>
      </c>
      <c r="I3651">
        <v>37.04</v>
      </c>
      <c r="J3651">
        <v>8.83</v>
      </c>
      <c r="K3651">
        <v>7.06</v>
      </c>
      <c r="L3651">
        <v>1.77</v>
      </c>
      <c r="M3651" s="1" t="s">
        <v>21</v>
      </c>
      <c r="N3651" s="1" t="s">
        <v>22</v>
      </c>
      <c r="O3651" s="2">
        <v>46200</v>
      </c>
      <c r="P3651" s="2">
        <v>46200</v>
      </c>
      <c r="Q3651">
        <f>_xlfn.XLOOKUP(E3651,CPT!$A$2:$A$13,CPT!$D$2:$D$13)</f>
        <v>38</v>
      </c>
      <c r="R3651" s="1">
        <f>_xlfn.XLOOKUP(C3651,Contract!$A$2:$A$9,Contract!$B$2:$B$9)</f>
        <v>0.27</v>
      </c>
      <c r="S3651" s="1">
        <f t="shared" si="228"/>
        <v>10.26</v>
      </c>
      <c r="T3651" s="1">
        <f t="shared" si="229"/>
        <v>1.4299999999999997</v>
      </c>
      <c r="U3651" s="1" t="str">
        <f t="shared" si="230"/>
        <v>Underpaid</v>
      </c>
      <c r="V3651" s="1" t="str">
        <f>_xlfn.XLOOKUP(C3651,Payers!$A$2:$A$9,Payers!$B$2:$B$9)</f>
        <v>Florida Medicaid</v>
      </c>
      <c r="W3651" s="1" t="str">
        <f t="shared" si="231"/>
        <v>2026-05</v>
      </c>
    </row>
    <row r="3652" spans="1:23">
      <c r="A3652" s="1" t="s">
        <v>5952</v>
      </c>
      <c r="B3652" s="1" t="s">
        <v>883</v>
      </c>
      <c r="C3652" s="1" t="s">
        <v>25</v>
      </c>
      <c r="D3652" s="1" t="s">
        <v>19</v>
      </c>
      <c r="E3652" s="1" t="s">
        <v>88</v>
      </c>
      <c r="F3652">
        <v>1</v>
      </c>
      <c r="G3652" s="2">
        <v>46001</v>
      </c>
      <c r="H3652" s="2">
        <v>46005</v>
      </c>
      <c r="I3652">
        <v>262.26</v>
      </c>
      <c r="J3652">
        <v>96.4</v>
      </c>
      <c r="K3652">
        <v>86.76</v>
      </c>
      <c r="L3652">
        <v>9.64</v>
      </c>
      <c r="M3652" s="1" t="s">
        <v>21</v>
      </c>
      <c r="N3652" s="1" t="s">
        <v>22</v>
      </c>
      <c r="O3652" s="2">
        <v>46027</v>
      </c>
      <c r="P3652" s="2">
        <v>46027</v>
      </c>
      <c r="Q3652">
        <f>_xlfn.XLOOKUP(E3652,CPT!$A$2:$A$13,CPT!$D$2:$D$13)</f>
        <v>260</v>
      </c>
      <c r="R3652" s="1">
        <f>_xlfn.XLOOKUP(C3652,Contract!$A$2:$A$9,Contract!$B$2:$B$9)</f>
        <v>0.36</v>
      </c>
      <c r="S3652" s="1">
        <f t="shared" si="228"/>
        <v>93.6</v>
      </c>
      <c r="T3652" s="1">
        <f t="shared" si="229"/>
        <v>-2.8000000000000114</v>
      </c>
      <c r="U3652" s="1" t="str">
        <f t="shared" si="230"/>
        <v>OK</v>
      </c>
      <c r="V3652" s="1" t="str">
        <f>_xlfn.XLOOKUP(C3652,Payers!$A$2:$A$9,Payers!$B$2:$B$9)</f>
        <v>Medicare Part B</v>
      </c>
      <c r="W3652" s="1" t="str">
        <f t="shared" si="231"/>
        <v>2025-12</v>
      </c>
    </row>
    <row r="3653" spans="1:23">
      <c r="A3653" s="1" t="s">
        <v>5953</v>
      </c>
      <c r="B3653" s="1" t="s">
        <v>2895</v>
      </c>
      <c r="C3653" s="1" t="s">
        <v>79</v>
      </c>
      <c r="D3653" s="1" t="s">
        <v>19</v>
      </c>
      <c r="E3653" s="1" t="s">
        <v>57</v>
      </c>
      <c r="F3653">
        <v>1</v>
      </c>
      <c r="G3653" s="2">
        <v>46110</v>
      </c>
      <c r="H3653" s="2">
        <v>46111</v>
      </c>
      <c r="I3653">
        <v>212.24</v>
      </c>
      <c r="J3653">
        <v>212.24</v>
      </c>
      <c r="K3653">
        <v>212.24</v>
      </c>
      <c r="L3653">
        <v>0</v>
      </c>
      <c r="M3653" s="1" t="s">
        <v>21</v>
      </c>
      <c r="N3653" s="1" t="s">
        <v>22</v>
      </c>
      <c r="O3653" s="2">
        <v>46172</v>
      </c>
      <c r="P3653" s="2">
        <v>46172</v>
      </c>
      <c r="Q3653">
        <f>_xlfn.XLOOKUP(E3653,CPT!$A$2:$A$13,CPT!$D$2:$D$13)</f>
        <v>210</v>
      </c>
      <c r="R3653" s="1">
        <f>_xlfn.XLOOKUP(C3653,Contract!$A$2:$A$9,Contract!$B$2:$B$9)</f>
        <v>1</v>
      </c>
      <c r="S3653" s="1">
        <f t="shared" si="228"/>
        <v>210</v>
      </c>
      <c r="T3653" s="1">
        <f t="shared" si="229"/>
        <v>-2.2400000000000091</v>
      </c>
      <c r="U3653" s="1" t="str">
        <f t="shared" si="230"/>
        <v>OK</v>
      </c>
      <c r="V3653" s="1" t="str">
        <f>_xlfn.XLOOKUP(C3653,Payers!$A$2:$A$9,Payers!$B$2:$B$9)</f>
        <v>Self-Pay</v>
      </c>
      <c r="W3653" s="1" t="str">
        <f t="shared" si="231"/>
        <v>2026-03</v>
      </c>
    </row>
    <row r="3654" spans="1:23">
      <c r="A3654" s="1" t="s">
        <v>5954</v>
      </c>
      <c r="B3654" s="1" t="s">
        <v>4947</v>
      </c>
      <c r="C3654" s="1" t="s">
        <v>79</v>
      </c>
      <c r="D3654" s="1" t="s">
        <v>37</v>
      </c>
      <c r="E3654" s="1" t="s">
        <v>57</v>
      </c>
      <c r="F3654">
        <v>1</v>
      </c>
      <c r="G3654" s="2">
        <v>46074</v>
      </c>
      <c r="H3654" s="2">
        <v>46077</v>
      </c>
      <c r="I3654">
        <v>208.4</v>
      </c>
      <c r="J3654">
        <v>208.4</v>
      </c>
      <c r="K3654">
        <v>208.4</v>
      </c>
      <c r="L3654">
        <v>0</v>
      </c>
      <c r="M3654" s="1" t="s">
        <v>21</v>
      </c>
      <c r="N3654" s="1" t="s">
        <v>22</v>
      </c>
      <c r="O3654" s="2">
        <v>46126</v>
      </c>
      <c r="P3654" s="2">
        <v>46126</v>
      </c>
      <c r="Q3654">
        <f>_xlfn.XLOOKUP(E3654,CPT!$A$2:$A$13,CPT!$D$2:$D$13)</f>
        <v>210</v>
      </c>
      <c r="R3654" s="1">
        <f>_xlfn.XLOOKUP(C3654,Contract!$A$2:$A$9,Contract!$B$2:$B$9)</f>
        <v>1</v>
      </c>
      <c r="S3654" s="1">
        <f t="shared" si="228"/>
        <v>210</v>
      </c>
      <c r="T3654" s="1">
        <f t="shared" si="229"/>
        <v>1.5999999999999943</v>
      </c>
      <c r="U3654" s="1" t="str">
        <f t="shared" si="230"/>
        <v>OK</v>
      </c>
      <c r="V3654" s="1" t="str">
        <f>_xlfn.XLOOKUP(C3654,Payers!$A$2:$A$9,Payers!$B$2:$B$9)</f>
        <v>Self-Pay</v>
      </c>
      <c r="W3654" s="1" t="str">
        <f t="shared" si="231"/>
        <v>2026-02</v>
      </c>
    </row>
    <row r="3655" spans="1:23">
      <c r="A3655" s="1" t="s">
        <v>5955</v>
      </c>
      <c r="B3655" s="1" t="s">
        <v>3222</v>
      </c>
      <c r="C3655" s="1" t="s">
        <v>18</v>
      </c>
      <c r="D3655" s="1" t="s">
        <v>30</v>
      </c>
      <c r="E3655" s="1" t="s">
        <v>91</v>
      </c>
      <c r="F3655">
        <v>1</v>
      </c>
      <c r="G3655" s="2">
        <v>46265</v>
      </c>
      <c r="H3655" s="2">
        <v>46269</v>
      </c>
      <c r="I3655">
        <v>58.12</v>
      </c>
      <c r="M3655" s="1" t="s">
        <v>69</v>
      </c>
      <c r="N3655" s="1" t="s">
        <v>22</v>
      </c>
      <c r="O3655" s="2"/>
      <c r="P3655" s="2"/>
      <c r="Q3655">
        <f>_xlfn.XLOOKUP(E3655,CPT!$A$2:$A$13,CPT!$D$2:$D$13)</f>
        <v>58</v>
      </c>
      <c r="R3655" s="1">
        <f>_xlfn.XLOOKUP(C3655,Contract!$A$2:$A$9,Contract!$B$2:$B$9)</f>
        <v>0.38</v>
      </c>
      <c r="S3655" s="1">
        <f t="shared" si="228"/>
        <v>22.04</v>
      </c>
      <c r="T3655" s="1" t="str">
        <f t="shared" si="229"/>
        <v/>
      </c>
      <c r="U3655" s="1" t="str">
        <f t="shared" si="230"/>
        <v/>
      </c>
      <c r="V3655" s="1" t="str">
        <f>_xlfn.XLOOKUP(C3655,Payers!$A$2:$A$9,Payers!$B$2:$B$9)</f>
        <v>Sunshine Medicare Advantage</v>
      </c>
      <c r="W3655" s="1" t="str">
        <f t="shared" si="231"/>
        <v>2026-08</v>
      </c>
    </row>
    <row r="3656" spans="1:23">
      <c r="A3656" s="1" t="s">
        <v>5956</v>
      </c>
      <c r="B3656" s="1" t="s">
        <v>5012</v>
      </c>
      <c r="C3656" s="1" t="s">
        <v>60</v>
      </c>
      <c r="D3656" s="1" t="s">
        <v>30</v>
      </c>
      <c r="E3656" s="1" t="s">
        <v>31</v>
      </c>
      <c r="F3656">
        <v>1</v>
      </c>
      <c r="G3656" s="2">
        <v>45935</v>
      </c>
      <c r="H3656" s="2">
        <v>45942</v>
      </c>
      <c r="I3656">
        <v>60.72</v>
      </c>
      <c r="J3656">
        <v>27.48</v>
      </c>
      <c r="K3656">
        <v>21.98</v>
      </c>
      <c r="L3656">
        <v>5.5</v>
      </c>
      <c r="M3656" s="1" t="s">
        <v>21</v>
      </c>
      <c r="N3656" s="1" t="s">
        <v>22</v>
      </c>
      <c r="O3656" s="2">
        <v>45965</v>
      </c>
      <c r="P3656" s="2">
        <v>45965</v>
      </c>
      <c r="Q3656">
        <f>_xlfn.XLOOKUP(E3656,CPT!$A$2:$A$13,CPT!$D$2:$D$13)</f>
        <v>62</v>
      </c>
      <c r="R3656" s="1">
        <f>_xlfn.XLOOKUP(C3656,Contract!$A$2:$A$9,Contract!$B$2:$B$9)</f>
        <v>0.45</v>
      </c>
      <c r="S3656" s="1">
        <f t="shared" si="228"/>
        <v>27.9</v>
      </c>
      <c r="T3656" s="1">
        <f t="shared" si="229"/>
        <v>0.41999999999999815</v>
      </c>
      <c r="U3656" s="1" t="str">
        <f t="shared" si="230"/>
        <v>OK</v>
      </c>
      <c r="V3656" s="1" t="str">
        <f>_xlfn.XLOOKUP(C3656,Payers!$A$2:$A$9,Payers!$B$2:$B$9)</f>
        <v>Blue Horizon Commercial</v>
      </c>
      <c r="W3656" s="1" t="str">
        <f t="shared" si="231"/>
        <v>2025-10</v>
      </c>
    </row>
    <row r="3657" spans="1:23">
      <c r="A3657" s="1" t="s">
        <v>5957</v>
      </c>
      <c r="B3657" s="1" t="s">
        <v>5543</v>
      </c>
      <c r="C3657" s="1" t="s">
        <v>60</v>
      </c>
      <c r="D3657" s="1" t="s">
        <v>37</v>
      </c>
      <c r="E3657" s="1" t="s">
        <v>48</v>
      </c>
      <c r="F3657">
        <v>1</v>
      </c>
      <c r="G3657" s="2">
        <v>46268</v>
      </c>
      <c r="H3657" s="2">
        <v>46269</v>
      </c>
      <c r="I3657">
        <v>411.27</v>
      </c>
      <c r="M3657" s="1" t="s">
        <v>32</v>
      </c>
      <c r="N3657" s="1" t="s">
        <v>33</v>
      </c>
      <c r="O3657" s="2">
        <v>46292</v>
      </c>
      <c r="P3657" s="2"/>
      <c r="Q3657">
        <f>_xlfn.XLOOKUP(E3657,CPT!$A$2:$A$13,CPT!$D$2:$D$13)</f>
        <v>420</v>
      </c>
      <c r="R3657" s="1">
        <f>_xlfn.XLOOKUP(C3657,Contract!$A$2:$A$9,Contract!$B$2:$B$9)</f>
        <v>0.45</v>
      </c>
      <c r="S3657" s="1">
        <f t="shared" si="228"/>
        <v>189</v>
      </c>
      <c r="T3657" s="1" t="str">
        <f t="shared" si="229"/>
        <v/>
      </c>
      <c r="U3657" s="1" t="str">
        <f t="shared" si="230"/>
        <v/>
      </c>
      <c r="V3657" s="1" t="str">
        <f>_xlfn.XLOOKUP(C3657,Payers!$A$2:$A$9,Payers!$B$2:$B$9)</f>
        <v>Blue Horizon Commercial</v>
      </c>
      <c r="W3657" s="1" t="str">
        <f t="shared" si="231"/>
        <v>2026-09</v>
      </c>
    </row>
    <row r="3658" spans="1:23">
      <c r="A3658" s="1" t="s">
        <v>5958</v>
      </c>
      <c r="B3658" s="1" t="s">
        <v>5959</v>
      </c>
      <c r="C3658" s="1" t="s">
        <v>52</v>
      </c>
      <c r="D3658" s="1" t="s">
        <v>19</v>
      </c>
      <c r="E3658" s="1" t="s">
        <v>41</v>
      </c>
      <c r="F3658">
        <v>1</v>
      </c>
      <c r="G3658" s="2">
        <v>46086</v>
      </c>
      <c r="H3658" s="2">
        <v>46093</v>
      </c>
      <c r="I3658">
        <v>37.93</v>
      </c>
      <c r="J3658">
        <v>17.3</v>
      </c>
      <c r="K3658">
        <v>13.84</v>
      </c>
      <c r="L3658">
        <v>3.46</v>
      </c>
      <c r="M3658" s="1" t="s">
        <v>21</v>
      </c>
      <c r="N3658" s="1" t="s">
        <v>22</v>
      </c>
      <c r="O3658" s="2">
        <v>46136</v>
      </c>
      <c r="P3658" s="2">
        <v>46136</v>
      </c>
      <c r="Q3658">
        <f>_xlfn.XLOOKUP(E3658,CPT!$A$2:$A$13,CPT!$D$2:$D$13)</f>
        <v>38</v>
      </c>
      <c r="R3658" s="1">
        <f>_xlfn.XLOOKUP(C3658,Contract!$A$2:$A$9,Contract!$B$2:$B$9)</f>
        <v>0.47</v>
      </c>
      <c r="S3658" s="1">
        <f t="shared" si="228"/>
        <v>17.86</v>
      </c>
      <c r="T3658" s="1">
        <f t="shared" si="229"/>
        <v>0.55999999999999872</v>
      </c>
      <c r="U3658" s="1" t="str">
        <f t="shared" si="230"/>
        <v>OK</v>
      </c>
      <c r="V3658" s="1" t="str">
        <f>_xlfn.XLOOKUP(C3658,Payers!$A$2:$A$9,Payers!$B$2:$B$9)</f>
        <v>Keystone Commercial PPO</v>
      </c>
      <c r="W3658" s="1" t="str">
        <f t="shared" si="231"/>
        <v>2026-03</v>
      </c>
    </row>
    <row r="3659" spans="1:23">
      <c r="A3659" s="1" t="s">
        <v>5960</v>
      </c>
      <c r="B3659" s="1" t="s">
        <v>5844</v>
      </c>
      <c r="C3659" s="1" t="s">
        <v>47</v>
      </c>
      <c r="D3659" s="1" t="s">
        <v>19</v>
      </c>
      <c r="E3659" s="1" t="s">
        <v>41</v>
      </c>
      <c r="F3659">
        <v>1</v>
      </c>
      <c r="G3659" s="2">
        <v>46034</v>
      </c>
      <c r="H3659" s="2">
        <v>46035</v>
      </c>
      <c r="I3659">
        <v>37.799999999999997</v>
      </c>
      <c r="M3659" s="1" t="s">
        <v>32</v>
      </c>
      <c r="N3659" s="1" t="s">
        <v>49</v>
      </c>
      <c r="O3659" s="2">
        <v>46075</v>
      </c>
      <c r="P3659" s="2"/>
      <c r="Q3659">
        <f>_xlfn.XLOOKUP(E3659,CPT!$A$2:$A$13,CPT!$D$2:$D$13)</f>
        <v>38</v>
      </c>
      <c r="R3659" s="1">
        <f>_xlfn.XLOOKUP(C3659,Contract!$A$2:$A$9,Contract!$B$2:$B$9)</f>
        <v>0.28000000000000003</v>
      </c>
      <c r="S3659" s="1">
        <f t="shared" si="228"/>
        <v>10.64</v>
      </c>
      <c r="T3659" s="1" t="str">
        <f t="shared" si="229"/>
        <v/>
      </c>
      <c r="U3659" s="1" t="str">
        <f t="shared" si="230"/>
        <v/>
      </c>
      <c r="V3659" s="1" t="str">
        <f>_xlfn.XLOOKUP(C3659,Payers!$A$2:$A$9,Payers!$B$2:$B$9)</f>
        <v>Coastal Medicaid MCO</v>
      </c>
      <c r="W3659" s="1" t="str">
        <f t="shared" si="231"/>
        <v>2026-01</v>
      </c>
    </row>
    <row r="3660" spans="1:23">
      <c r="A3660" s="1" t="s">
        <v>5961</v>
      </c>
      <c r="B3660" s="1" t="s">
        <v>4290</v>
      </c>
      <c r="C3660" s="1" t="s">
        <v>60</v>
      </c>
      <c r="D3660" s="1" t="s">
        <v>37</v>
      </c>
      <c r="E3660" s="1" t="s">
        <v>38</v>
      </c>
      <c r="F3660">
        <v>30</v>
      </c>
      <c r="G3660" s="2">
        <v>45953</v>
      </c>
      <c r="H3660" s="2">
        <v>45957</v>
      </c>
      <c r="I3660">
        <v>42272.11</v>
      </c>
      <c r="J3660">
        <v>19271.05</v>
      </c>
      <c r="K3660">
        <v>15416.84</v>
      </c>
      <c r="L3660">
        <v>3854.21</v>
      </c>
      <c r="M3660" s="1" t="s">
        <v>21</v>
      </c>
      <c r="N3660" s="1" t="s">
        <v>22</v>
      </c>
      <c r="O3660" s="2">
        <v>45982</v>
      </c>
      <c r="P3660" s="2">
        <v>45982</v>
      </c>
      <c r="Q3660">
        <f>_xlfn.XLOOKUP(E3660,CPT!$A$2:$A$13,CPT!$D$2:$D$13)</f>
        <v>1450</v>
      </c>
      <c r="R3660" s="1">
        <f>_xlfn.XLOOKUP(C3660,Contract!$A$2:$A$9,Contract!$B$2:$B$9)</f>
        <v>0.45</v>
      </c>
      <c r="S3660" s="1">
        <f t="shared" si="228"/>
        <v>19575</v>
      </c>
      <c r="T3660" s="1">
        <f t="shared" si="229"/>
        <v>303.95000000000073</v>
      </c>
      <c r="U3660" s="1" t="str">
        <f t="shared" si="230"/>
        <v>OK</v>
      </c>
      <c r="V3660" s="1" t="str">
        <f>_xlfn.XLOOKUP(C3660,Payers!$A$2:$A$9,Payers!$B$2:$B$9)</f>
        <v>Blue Horizon Commercial</v>
      </c>
      <c r="W3660" s="1" t="str">
        <f t="shared" si="231"/>
        <v>2025-10</v>
      </c>
    </row>
    <row r="3661" spans="1:23">
      <c r="A3661" s="1" t="s">
        <v>5962</v>
      </c>
      <c r="B3661" s="1" t="s">
        <v>5963</v>
      </c>
      <c r="C3661" s="1" t="s">
        <v>47</v>
      </c>
      <c r="D3661" s="1" t="s">
        <v>26</v>
      </c>
      <c r="E3661" s="1" t="s">
        <v>41</v>
      </c>
      <c r="F3661">
        <v>1</v>
      </c>
      <c r="G3661" s="2">
        <v>46001</v>
      </c>
      <c r="H3661" s="2">
        <v>46005</v>
      </c>
      <c r="I3661">
        <v>37.1</v>
      </c>
      <c r="J3661">
        <v>11.56</v>
      </c>
      <c r="K3661">
        <v>9.25</v>
      </c>
      <c r="L3661">
        <v>2.31</v>
      </c>
      <c r="M3661" s="1" t="s">
        <v>21</v>
      </c>
      <c r="N3661" s="1" t="s">
        <v>22</v>
      </c>
      <c r="O3661" s="2">
        <v>46086</v>
      </c>
      <c r="P3661" s="2">
        <v>46086</v>
      </c>
      <c r="Q3661">
        <f>_xlfn.XLOOKUP(E3661,CPT!$A$2:$A$13,CPT!$D$2:$D$13)</f>
        <v>38</v>
      </c>
      <c r="R3661" s="1">
        <f>_xlfn.XLOOKUP(C3661,Contract!$A$2:$A$9,Contract!$B$2:$B$9)</f>
        <v>0.28000000000000003</v>
      </c>
      <c r="S3661" s="1">
        <f t="shared" si="228"/>
        <v>10.64</v>
      </c>
      <c r="T3661" s="1">
        <f t="shared" si="229"/>
        <v>-0.91999999999999993</v>
      </c>
      <c r="U3661" s="1" t="str">
        <f t="shared" si="230"/>
        <v>OK</v>
      </c>
      <c r="V3661" s="1" t="str">
        <f>_xlfn.XLOOKUP(C3661,Payers!$A$2:$A$9,Payers!$B$2:$B$9)</f>
        <v>Coastal Medicaid MCO</v>
      </c>
      <c r="W3661" s="1" t="str">
        <f t="shared" si="231"/>
        <v>2025-12</v>
      </c>
    </row>
    <row r="3662" spans="1:23">
      <c r="A3662" s="1" t="s">
        <v>5964</v>
      </c>
      <c r="B3662" s="1" t="s">
        <v>2439</v>
      </c>
      <c r="C3662" s="1" t="s">
        <v>25</v>
      </c>
      <c r="D3662" s="1" t="s">
        <v>26</v>
      </c>
      <c r="E3662" s="1" t="s">
        <v>113</v>
      </c>
      <c r="F3662">
        <v>1</v>
      </c>
      <c r="G3662" s="2">
        <v>46282</v>
      </c>
      <c r="H3662" s="2">
        <v>46287</v>
      </c>
      <c r="I3662">
        <v>1029.45</v>
      </c>
      <c r="M3662" s="1" t="s">
        <v>69</v>
      </c>
      <c r="N3662" s="1" t="s">
        <v>22</v>
      </c>
      <c r="O3662" s="2"/>
      <c r="P3662" s="2"/>
      <c r="Q3662">
        <f>_xlfn.XLOOKUP(E3662,CPT!$A$2:$A$13,CPT!$D$2:$D$13)</f>
        <v>1050</v>
      </c>
      <c r="R3662" s="1">
        <f>_xlfn.XLOOKUP(C3662,Contract!$A$2:$A$9,Contract!$B$2:$B$9)</f>
        <v>0.36</v>
      </c>
      <c r="S3662" s="1">
        <f t="shared" si="228"/>
        <v>378</v>
      </c>
      <c r="T3662" s="1" t="str">
        <f t="shared" si="229"/>
        <v/>
      </c>
      <c r="U3662" s="1" t="str">
        <f t="shared" si="230"/>
        <v/>
      </c>
      <c r="V3662" s="1" t="str">
        <f>_xlfn.XLOOKUP(C3662,Payers!$A$2:$A$9,Payers!$B$2:$B$9)</f>
        <v>Medicare Part B</v>
      </c>
      <c r="W3662" s="1" t="str">
        <f t="shared" si="231"/>
        <v>2026-09</v>
      </c>
    </row>
    <row r="3663" spans="1:23">
      <c r="A3663" s="1" t="s">
        <v>5965</v>
      </c>
      <c r="B3663" s="1" t="s">
        <v>3649</v>
      </c>
      <c r="C3663" s="1" t="s">
        <v>36</v>
      </c>
      <c r="D3663" s="1" t="s">
        <v>30</v>
      </c>
      <c r="E3663" s="1" t="s">
        <v>91</v>
      </c>
      <c r="F3663">
        <v>4</v>
      </c>
      <c r="G3663" s="2">
        <v>46189</v>
      </c>
      <c r="H3663" s="2">
        <v>46190</v>
      </c>
      <c r="I3663">
        <v>237.68</v>
      </c>
      <c r="J3663">
        <v>55.13</v>
      </c>
      <c r="K3663">
        <v>55.13</v>
      </c>
      <c r="L3663">
        <v>0</v>
      </c>
      <c r="M3663" s="1" t="s">
        <v>21</v>
      </c>
      <c r="N3663" s="1" t="s">
        <v>22</v>
      </c>
      <c r="O3663" s="2">
        <v>46231</v>
      </c>
      <c r="P3663" s="2">
        <v>46231</v>
      </c>
      <c r="Q3663">
        <f>_xlfn.XLOOKUP(E3663,CPT!$A$2:$A$13,CPT!$D$2:$D$13)</f>
        <v>58</v>
      </c>
      <c r="R3663" s="1">
        <f>_xlfn.XLOOKUP(C3663,Contract!$A$2:$A$9,Contract!$B$2:$B$9)</f>
        <v>0.27</v>
      </c>
      <c r="S3663" s="1">
        <f t="shared" si="228"/>
        <v>62.64</v>
      </c>
      <c r="T3663" s="1">
        <f t="shared" si="229"/>
        <v>7.509999999999998</v>
      </c>
      <c r="U3663" s="1" t="str">
        <f t="shared" si="230"/>
        <v>Underpaid</v>
      </c>
      <c r="V3663" s="1" t="str">
        <f>_xlfn.XLOOKUP(C3663,Payers!$A$2:$A$9,Payers!$B$2:$B$9)</f>
        <v>Florida Medicaid</v>
      </c>
      <c r="W3663" s="1" t="str">
        <f t="shared" si="231"/>
        <v>2026-06</v>
      </c>
    </row>
    <row r="3664" spans="1:23">
      <c r="A3664" s="1" t="s">
        <v>5966</v>
      </c>
      <c r="B3664" s="1" t="s">
        <v>5967</v>
      </c>
      <c r="C3664" s="1" t="s">
        <v>76</v>
      </c>
      <c r="D3664" s="1" t="s">
        <v>26</v>
      </c>
      <c r="E3664" s="1" t="s">
        <v>41</v>
      </c>
      <c r="F3664">
        <v>1</v>
      </c>
      <c r="G3664" s="2">
        <v>46096</v>
      </c>
      <c r="H3664" s="2">
        <v>46097</v>
      </c>
      <c r="I3664">
        <v>38.01</v>
      </c>
      <c r="J3664">
        <v>14.1</v>
      </c>
      <c r="K3664">
        <v>12.69</v>
      </c>
      <c r="L3664">
        <v>1.41</v>
      </c>
      <c r="M3664" s="1" t="s">
        <v>21</v>
      </c>
      <c r="N3664" s="1" t="s">
        <v>22</v>
      </c>
      <c r="O3664" s="2">
        <v>46124</v>
      </c>
      <c r="P3664" s="2">
        <v>46124</v>
      </c>
      <c r="Q3664">
        <f>_xlfn.XLOOKUP(E3664,CPT!$A$2:$A$13,CPT!$D$2:$D$13)</f>
        <v>38</v>
      </c>
      <c r="R3664" s="1">
        <f>_xlfn.XLOOKUP(C3664,Contract!$A$2:$A$9,Contract!$B$2:$B$9)</f>
        <v>0.43</v>
      </c>
      <c r="S3664" s="1">
        <f t="shared" si="228"/>
        <v>16.34</v>
      </c>
      <c r="T3664" s="1">
        <f t="shared" si="229"/>
        <v>2.2400000000000002</v>
      </c>
      <c r="U3664" s="1" t="str">
        <f t="shared" si="230"/>
        <v>Underpaid</v>
      </c>
      <c r="V3664" s="1" t="str">
        <f>_xlfn.XLOOKUP(C3664,Payers!$A$2:$A$9,Payers!$B$2:$B$9)</f>
        <v>Summit Health Commercial</v>
      </c>
      <c r="W3664" s="1" t="str">
        <f t="shared" si="231"/>
        <v>2026-03</v>
      </c>
    </row>
    <row r="3665" spans="1:23">
      <c r="A3665" s="1" t="s">
        <v>5968</v>
      </c>
      <c r="B3665" s="1" t="s">
        <v>3520</v>
      </c>
      <c r="C3665" s="1" t="s">
        <v>36</v>
      </c>
      <c r="D3665" s="1" t="s">
        <v>37</v>
      </c>
      <c r="E3665" s="1" t="s">
        <v>57</v>
      </c>
      <c r="F3665">
        <v>1</v>
      </c>
      <c r="G3665" s="2">
        <v>46240</v>
      </c>
      <c r="H3665" s="2">
        <v>46241</v>
      </c>
      <c r="I3665">
        <v>209.28</v>
      </c>
      <c r="M3665" s="1" t="s">
        <v>32</v>
      </c>
      <c r="N3665" s="1" t="s">
        <v>33</v>
      </c>
      <c r="O3665" s="2">
        <v>46283</v>
      </c>
      <c r="P3665" s="2"/>
      <c r="Q3665">
        <f>_xlfn.XLOOKUP(E3665,CPT!$A$2:$A$13,CPT!$D$2:$D$13)</f>
        <v>210</v>
      </c>
      <c r="R3665" s="1">
        <f>_xlfn.XLOOKUP(C3665,Contract!$A$2:$A$9,Contract!$B$2:$B$9)</f>
        <v>0.27</v>
      </c>
      <c r="S3665" s="1">
        <f t="shared" si="228"/>
        <v>56.7</v>
      </c>
      <c r="T3665" s="1" t="str">
        <f t="shared" si="229"/>
        <v/>
      </c>
      <c r="U3665" s="1" t="str">
        <f t="shared" si="230"/>
        <v/>
      </c>
      <c r="V3665" s="1" t="str">
        <f>_xlfn.XLOOKUP(C3665,Payers!$A$2:$A$9,Payers!$B$2:$B$9)</f>
        <v>Florida Medicaid</v>
      </c>
      <c r="W3665" s="1" t="str">
        <f t="shared" si="231"/>
        <v>2026-08</v>
      </c>
    </row>
    <row r="3666" spans="1:23">
      <c r="A3666" s="1" t="s">
        <v>5969</v>
      </c>
      <c r="B3666" s="1" t="s">
        <v>1050</v>
      </c>
      <c r="C3666" s="1" t="s">
        <v>47</v>
      </c>
      <c r="D3666" s="1" t="s">
        <v>19</v>
      </c>
      <c r="E3666" s="1" t="s">
        <v>88</v>
      </c>
      <c r="F3666">
        <v>1</v>
      </c>
      <c r="G3666" s="2">
        <v>46063</v>
      </c>
      <c r="H3666" s="2">
        <v>46067</v>
      </c>
      <c r="I3666">
        <v>256.22000000000003</v>
      </c>
      <c r="J3666">
        <v>73.12</v>
      </c>
      <c r="K3666">
        <v>65.81</v>
      </c>
      <c r="L3666">
        <v>7.31</v>
      </c>
      <c r="M3666" s="1" t="s">
        <v>21</v>
      </c>
      <c r="N3666" s="1" t="s">
        <v>22</v>
      </c>
      <c r="O3666" s="2">
        <v>46158</v>
      </c>
      <c r="P3666" s="2">
        <v>46158</v>
      </c>
      <c r="Q3666">
        <f>_xlfn.XLOOKUP(E3666,CPT!$A$2:$A$13,CPT!$D$2:$D$13)</f>
        <v>260</v>
      </c>
      <c r="R3666" s="1">
        <f>_xlfn.XLOOKUP(C3666,Contract!$A$2:$A$9,Contract!$B$2:$B$9)</f>
        <v>0.28000000000000003</v>
      </c>
      <c r="S3666" s="1">
        <f t="shared" si="228"/>
        <v>72.8</v>
      </c>
      <c r="T3666" s="1">
        <f t="shared" si="229"/>
        <v>-0.32000000000000739</v>
      </c>
      <c r="U3666" s="1" t="str">
        <f t="shared" si="230"/>
        <v>OK</v>
      </c>
      <c r="V3666" s="1" t="str">
        <f>_xlfn.XLOOKUP(C3666,Payers!$A$2:$A$9,Payers!$B$2:$B$9)</f>
        <v>Coastal Medicaid MCO</v>
      </c>
      <c r="W3666" s="1" t="str">
        <f t="shared" si="231"/>
        <v>2026-02</v>
      </c>
    </row>
    <row r="3667" spans="1:23">
      <c r="A3667" s="1" t="s">
        <v>5970</v>
      </c>
      <c r="B3667" s="1" t="s">
        <v>2255</v>
      </c>
      <c r="C3667" s="1" t="s">
        <v>52</v>
      </c>
      <c r="D3667" s="1" t="s">
        <v>26</v>
      </c>
      <c r="E3667" s="1" t="s">
        <v>185</v>
      </c>
      <c r="F3667">
        <v>1</v>
      </c>
      <c r="G3667" s="2">
        <v>46093</v>
      </c>
      <c r="H3667" s="2">
        <v>46104</v>
      </c>
      <c r="I3667">
        <v>1152.7</v>
      </c>
      <c r="J3667">
        <v>584.67999999999995</v>
      </c>
      <c r="K3667">
        <v>584.67999999999995</v>
      </c>
      <c r="L3667">
        <v>0</v>
      </c>
      <c r="M3667" s="1" t="s">
        <v>21</v>
      </c>
      <c r="N3667" s="1" t="s">
        <v>22</v>
      </c>
      <c r="O3667" s="2">
        <v>46140</v>
      </c>
      <c r="P3667" s="2">
        <v>46140</v>
      </c>
      <c r="Q3667">
        <f>_xlfn.XLOOKUP(E3667,CPT!$A$2:$A$13,CPT!$D$2:$D$13)</f>
        <v>1150</v>
      </c>
      <c r="R3667" s="1">
        <f>_xlfn.XLOOKUP(C3667,Contract!$A$2:$A$9,Contract!$B$2:$B$9)</f>
        <v>0.47</v>
      </c>
      <c r="S3667" s="1">
        <f t="shared" si="228"/>
        <v>540.5</v>
      </c>
      <c r="T3667" s="1">
        <f t="shared" si="229"/>
        <v>-44.17999999999995</v>
      </c>
      <c r="U3667" s="1" t="str">
        <f t="shared" si="230"/>
        <v>OK</v>
      </c>
      <c r="V3667" s="1" t="str">
        <f>_xlfn.XLOOKUP(C3667,Payers!$A$2:$A$9,Payers!$B$2:$B$9)</f>
        <v>Keystone Commercial PPO</v>
      </c>
      <c r="W3667" s="1" t="str">
        <f t="shared" si="231"/>
        <v>2026-03</v>
      </c>
    </row>
    <row r="3668" spans="1:23">
      <c r="A3668" s="1" t="s">
        <v>5971</v>
      </c>
      <c r="B3668" s="1" t="s">
        <v>1110</v>
      </c>
      <c r="C3668" s="1" t="s">
        <v>60</v>
      </c>
      <c r="D3668" s="1" t="s">
        <v>26</v>
      </c>
      <c r="E3668" s="1" t="s">
        <v>88</v>
      </c>
      <c r="F3668">
        <v>1</v>
      </c>
      <c r="G3668" s="2">
        <v>46274</v>
      </c>
      <c r="H3668" s="2">
        <v>46279</v>
      </c>
      <c r="I3668">
        <v>267.73</v>
      </c>
      <c r="M3668" s="1" t="s">
        <v>69</v>
      </c>
      <c r="N3668" s="1" t="s">
        <v>22</v>
      </c>
      <c r="O3668" s="2"/>
      <c r="P3668" s="2"/>
      <c r="Q3668">
        <f>_xlfn.XLOOKUP(E3668,CPT!$A$2:$A$13,CPT!$D$2:$D$13)</f>
        <v>260</v>
      </c>
      <c r="R3668" s="1">
        <f>_xlfn.XLOOKUP(C3668,Contract!$A$2:$A$9,Contract!$B$2:$B$9)</f>
        <v>0.45</v>
      </c>
      <c r="S3668" s="1">
        <f t="shared" si="228"/>
        <v>117</v>
      </c>
      <c r="T3668" s="1" t="str">
        <f t="shared" si="229"/>
        <v/>
      </c>
      <c r="U3668" s="1" t="str">
        <f t="shared" si="230"/>
        <v/>
      </c>
      <c r="V3668" s="1" t="str">
        <f>_xlfn.XLOOKUP(C3668,Payers!$A$2:$A$9,Payers!$B$2:$B$9)</f>
        <v>Blue Horizon Commercial</v>
      </c>
      <c r="W3668" s="1" t="str">
        <f t="shared" si="231"/>
        <v>2026-09</v>
      </c>
    </row>
    <row r="3669" spans="1:23">
      <c r="A3669" s="1" t="s">
        <v>5972</v>
      </c>
      <c r="B3669" s="1" t="s">
        <v>498</v>
      </c>
      <c r="C3669" s="1" t="s">
        <v>47</v>
      </c>
      <c r="D3669" s="1" t="s">
        <v>30</v>
      </c>
      <c r="E3669" s="1" t="s">
        <v>20</v>
      </c>
      <c r="F3669">
        <v>1</v>
      </c>
      <c r="G3669" s="2">
        <v>46174</v>
      </c>
      <c r="H3669" s="2">
        <v>46176</v>
      </c>
      <c r="I3669">
        <v>146.18</v>
      </c>
      <c r="J3669">
        <v>43.64</v>
      </c>
      <c r="K3669">
        <v>43.64</v>
      </c>
      <c r="L3669">
        <v>0</v>
      </c>
      <c r="M3669" s="1" t="s">
        <v>21</v>
      </c>
      <c r="N3669" s="1" t="s">
        <v>22</v>
      </c>
      <c r="O3669" s="2">
        <v>46221</v>
      </c>
      <c r="P3669" s="2">
        <v>46221</v>
      </c>
      <c r="Q3669">
        <f>_xlfn.XLOOKUP(E3669,CPT!$A$2:$A$13,CPT!$D$2:$D$13)</f>
        <v>145</v>
      </c>
      <c r="R3669" s="1">
        <f>_xlfn.XLOOKUP(C3669,Contract!$A$2:$A$9,Contract!$B$2:$B$9)</f>
        <v>0.28000000000000003</v>
      </c>
      <c r="S3669" s="1">
        <f t="shared" si="228"/>
        <v>40.6</v>
      </c>
      <c r="T3669" s="1">
        <f t="shared" si="229"/>
        <v>-3.0399999999999991</v>
      </c>
      <c r="U3669" s="1" t="str">
        <f t="shared" si="230"/>
        <v>OK</v>
      </c>
      <c r="V3669" s="1" t="str">
        <f>_xlfn.XLOOKUP(C3669,Payers!$A$2:$A$9,Payers!$B$2:$B$9)</f>
        <v>Coastal Medicaid MCO</v>
      </c>
      <c r="W3669" s="1" t="str">
        <f t="shared" si="231"/>
        <v>2026-06</v>
      </c>
    </row>
    <row r="3670" spans="1:23">
      <c r="A3670" s="1" t="s">
        <v>5973</v>
      </c>
      <c r="B3670" s="1" t="s">
        <v>3238</v>
      </c>
      <c r="C3670" s="1" t="s">
        <v>25</v>
      </c>
      <c r="D3670" s="1" t="s">
        <v>37</v>
      </c>
      <c r="E3670" s="1" t="s">
        <v>48</v>
      </c>
      <c r="F3670">
        <v>1</v>
      </c>
      <c r="G3670" s="2">
        <v>46259</v>
      </c>
      <c r="H3670" s="2">
        <v>46264</v>
      </c>
      <c r="I3670">
        <v>426.95</v>
      </c>
      <c r="J3670">
        <v>150.78</v>
      </c>
      <c r="K3670">
        <v>120.62</v>
      </c>
      <c r="L3670">
        <v>30.16</v>
      </c>
      <c r="M3670" s="1" t="s">
        <v>21</v>
      </c>
      <c r="N3670" s="1" t="s">
        <v>22</v>
      </c>
      <c r="O3670" s="2">
        <v>46288</v>
      </c>
      <c r="P3670" s="2">
        <v>46288</v>
      </c>
      <c r="Q3670">
        <f>_xlfn.XLOOKUP(E3670,CPT!$A$2:$A$13,CPT!$D$2:$D$13)</f>
        <v>420</v>
      </c>
      <c r="R3670" s="1">
        <f>_xlfn.XLOOKUP(C3670,Contract!$A$2:$A$9,Contract!$B$2:$B$9)</f>
        <v>0.36</v>
      </c>
      <c r="S3670" s="1">
        <f t="shared" si="228"/>
        <v>151.19999999999999</v>
      </c>
      <c r="T3670" s="1">
        <f t="shared" si="229"/>
        <v>0.41999999999998749</v>
      </c>
      <c r="U3670" s="1" t="str">
        <f t="shared" si="230"/>
        <v>OK</v>
      </c>
      <c r="V3670" s="1" t="str">
        <f>_xlfn.XLOOKUP(C3670,Payers!$A$2:$A$9,Payers!$B$2:$B$9)</f>
        <v>Medicare Part B</v>
      </c>
      <c r="W3670" s="1" t="str">
        <f t="shared" si="231"/>
        <v>2026-08</v>
      </c>
    </row>
    <row r="3671" spans="1:23">
      <c r="A3671" s="1" t="s">
        <v>5974</v>
      </c>
      <c r="B3671" s="1" t="s">
        <v>1536</v>
      </c>
      <c r="C3671" s="1" t="s">
        <v>76</v>
      </c>
      <c r="D3671" s="1" t="s">
        <v>26</v>
      </c>
      <c r="E3671" s="1" t="s">
        <v>88</v>
      </c>
      <c r="F3671">
        <v>1</v>
      </c>
      <c r="G3671" s="2">
        <v>46094</v>
      </c>
      <c r="H3671" s="2">
        <v>46107</v>
      </c>
      <c r="I3671">
        <v>259.79000000000002</v>
      </c>
      <c r="M3671" s="1" t="s">
        <v>32</v>
      </c>
      <c r="N3671" s="1" t="s">
        <v>98</v>
      </c>
      <c r="O3671" s="2">
        <v>46150</v>
      </c>
      <c r="P3671" s="2"/>
      <c r="Q3671">
        <f>_xlfn.XLOOKUP(E3671,CPT!$A$2:$A$13,CPT!$D$2:$D$13)</f>
        <v>260</v>
      </c>
      <c r="R3671" s="1">
        <f>_xlfn.XLOOKUP(C3671,Contract!$A$2:$A$9,Contract!$B$2:$B$9)</f>
        <v>0.43</v>
      </c>
      <c r="S3671" s="1">
        <f t="shared" si="228"/>
        <v>111.8</v>
      </c>
      <c r="T3671" s="1" t="str">
        <f t="shared" si="229"/>
        <v/>
      </c>
      <c r="U3671" s="1" t="str">
        <f t="shared" si="230"/>
        <v/>
      </c>
      <c r="V3671" s="1" t="str">
        <f>_xlfn.XLOOKUP(C3671,Payers!$A$2:$A$9,Payers!$B$2:$B$9)</f>
        <v>Summit Health Commercial</v>
      </c>
      <c r="W3671" s="1" t="str">
        <f t="shared" si="231"/>
        <v>2026-03</v>
      </c>
    </row>
    <row r="3672" spans="1:23">
      <c r="A3672" s="1" t="s">
        <v>5975</v>
      </c>
      <c r="B3672" s="1" t="s">
        <v>566</v>
      </c>
      <c r="C3672" s="1" t="s">
        <v>60</v>
      </c>
      <c r="D3672" s="1" t="s">
        <v>37</v>
      </c>
      <c r="E3672" s="1" t="s">
        <v>48</v>
      </c>
      <c r="F3672">
        <v>1</v>
      </c>
      <c r="G3672" s="2">
        <v>46069</v>
      </c>
      <c r="H3672" s="2">
        <v>46073</v>
      </c>
      <c r="I3672">
        <v>419.51</v>
      </c>
      <c r="J3672">
        <v>174.22</v>
      </c>
      <c r="K3672">
        <v>174.22</v>
      </c>
      <c r="L3672">
        <v>0</v>
      </c>
      <c r="M3672" s="1" t="s">
        <v>21</v>
      </c>
      <c r="N3672" s="1" t="s">
        <v>22</v>
      </c>
      <c r="O3672" s="2">
        <v>46102</v>
      </c>
      <c r="P3672" s="2">
        <v>46102</v>
      </c>
      <c r="Q3672">
        <f>_xlfn.XLOOKUP(E3672,CPT!$A$2:$A$13,CPT!$D$2:$D$13)</f>
        <v>420</v>
      </c>
      <c r="R3672" s="1">
        <f>_xlfn.XLOOKUP(C3672,Contract!$A$2:$A$9,Contract!$B$2:$B$9)</f>
        <v>0.45</v>
      </c>
      <c r="S3672" s="1">
        <f t="shared" si="228"/>
        <v>189</v>
      </c>
      <c r="T3672" s="1">
        <f t="shared" si="229"/>
        <v>14.780000000000001</v>
      </c>
      <c r="U3672" s="1" t="str">
        <f t="shared" si="230"/>
        <v>Underpaid</v>
      </c>
      <c r="V3672" s="1" t="str">
        <f>_xlfn.XLOOKUP(C3672,Payers!$A$2:$A$9,Payers!$B$2:$B$9)</f>
        <v>Blue Horizon Commercial</v>
      </c>
      <c r="W3672" s="1" t="str">
        <f t="shared" si="231"/>
        <v>2026-02</v>
      </c>
    </row>
    <row r="3673" spans="1:23">
      <c r="A3673" s="1" t="s">
        <v>5976</v>
      </c>
      <c r="B3673" s="1" t="s">
        <v>217</v>
      </c>
      <c r="C3673" s="1" t="s">
        <v>60</v>
      </c>
      <c r="D3673" s="1" t="s">
        <v>26</v>
      </c>
      <c r="E3673" s="1" t="s">
        <v>44</v>
      </c>
      <c r="F3673">
        <v>1</v>
      </c>
      <c r="G3673" s="2">
        <v>46263</v>
      </c>
      <c r="H3673" s="2">
        <v>46266</v>
      </c>
      <c r="I3673">
        <v>4904.84</v>
      </c>
      <c r="M3673" s="1" t="s">
        <v>69</v>
      </c>
      <c r="N3673" s="1" t="s">
        <v>22</v>
      </c>
      <c r="O3673" s="2"/>
      <c r="P3673" s="2"/>
      <c r="Q3673">
        <f>_xlfn.XLOOKUP(E3673,CPT!$A$2:$A$13,CPT!$D$2:$D$13)</f>
        <v>4800</v>
      </c>
      <c r="R3673" s="1">
        <f>_xlfn.XLOOKUP(C3673,Contract!$A$2:$A$9,Contract!$B$2:$B$9)</f>
        <v>0.45</v>
      </c>
      <c r="S3673" s="1">
        <f t="shared" si="228"/>
        <v>2160</v>
      </c>
      <c r="T3673" s="1" t="str">
        <f t="shared" si="229"/>
        <v/>
      </c>
      <c r="U3673" s="1" t="str">
        <f t="shared" si="230"/>
        <v/>
      </c>
      <c r="V3673" s="1" t="str">
        <f>_xlfn.XLOOKUP(C3673,Payers!$A$2:$A$9,Payers!$B$2:$B$9)</f>
        <v>Blue Horizon Commercial</v>
      </c>
      <c r="W3673" s="1" t="str">
        <f t="shared" si="231"/>
        <v>2026-08</v>
      </c>
    </row>
    <row r="3674" spans="1:23">
      <c r="A3674" s="1" t="s">
        <v>5977</v>
      </c>
      <c r="B3674" s="1" t="s">
        <v>5978</v>
      </c>
      <c r="C3674" s="1" t="s">
        <v>52</v>
      </c>
      <c r="D3674" s="1" t="s">
        <v>30</v>
      </c>
      <c r="E3674" s="1" t="s">
        <v>91</v>
      </c>
      <c r="F3674">
        <v>1</v>
      </c>
      <c r="G3674" s="2">
        <v>46136</v>
      </c>
      <c r="H3674" s="2">
        <v>46142</v>
      </c>
      <c r="I3674">
        <v>59.38</v>
      </c>
      <c r="J3674">
        <v>27.24</v>
      </c>
      <c r="K3674">
        <v>21.79</v>
      </c>
      <c r="L3674">
        <v>5.45</v>
      </c>
      <c r="M3674" s="1" t="s">
        <v>21</v>
      </c>
      <c r="N3674" s="1" t="s">
        <v>22</v>
      </c>
      <c r="O3674" s="2">
        <v>46181</v>
      </c>
      <c r="P3674" s="2">
        <v>46181</v>
      </c>
      <c r="Q3674">
        <f>_xlfn.XLOOKUP(E3674,CPT!$A$2:$A$13,CPT!$D$2:$D$13)</f>
        <v>58</v>
      </c>
      <c r="R3674" s="1">
        <f>_xlfn.XLOOKUP(C3674,Contract!$A$2:$A$9,Contract!$B$2:$B$9)</f>
        <v>0.47</v>
      </c>
      <c r="S3674" s="1">
        <f t="shared" si="228"/>
        <v>27.26</v>
      </c>
      <c r="T3674" s="1">
        <f t="shared" si="229"/>
        <v>2.0000000000003126E-2</v>
      </c>
      <c r="U3674" s="1" t="str">
        <f t="shared" si="230"/>
        <v>OK</v>
      </c>
      <c r="V3674" s="1" t="str">
        <f>_xlfn.XLOOKUP(C3674,Payers!$A$2:$A$9,Payers!$B$2:$B$9)</f>
        <v>Keystone Commercial PPO</v>
      </c>
      <c r="W3674" s="1" t="str">
        <f t="shared" si="231"/>
        <v>2026-04</v>
      </c>
    </row>
    <row r="3675" spans="1:23">
      <c r="A3675" s="1" t="s">
        <v>5979</v>
      </c>
      <c r="B3675" s="1" t="s">
        <v>5980</v>
      </c>
      <c r="C3675" s="1" t="s">
        <v>76</v>
      </c>
      <c r="D3675" s="1" t="s">
        <v>37</v>
      </c>
      <c r="E3675" s="1" t="s">
        <v>48</v>
      </c>
      <c r="F3675">
        <v>1</v>
      </c>
      <c r="G3675" s="2">
        <v>45995</v>
      </c>
      <c r="H3675" s="2">
        <v>45997</v>
      </c>
      <c r="I3675">
        <v>415.37</v>
      </c>
      <c r="J3675">
        <v>158.22</v>
      </c>
      <c r="K3675">
        <v>142.4</v>
      </c>
      <c r="L3675">
        <v>15.82</v>
      </c>
      <c r="M3675" s="1" t="s">
        <v>21</v>
      </c>
      <c r="N3675" s="1" t="s">
        <v>22</v>
      </c>
      <c r="O3675" s="2">
        <v>46032</v>
      </c>
      <c r="P3675" s="2">
        <v>46032</v>
      </c>
      <c r="Q3675">
        <f>_xlfn.XLOOKUP(E3675,CPT!$A$2:$A$13,CPT!$D$2:$D$13)</f>
        <v>420</v>
      </c>
      <c r="R3675" s="1">
        <f>_xlfn.XLOOKUP(C3675,Contract!$A$2:$A$9,Contract!$B$2:$B$9)</f>
        <v>0.43</v>
      </c>
      <c r="S3675" s="1">
        <f t="shared" si="228"/>
        <v>180.6</v>
      </c>
      <c r="T3675" s="1">
        <f t="shared" si="229"/>
        <v>22.379999999999995</v>
      </c>
      <c r="U3675" s="1" t="str">
        <f t="shared" si="230"/>
        <v>Underpaid</v>
      </c>
      <c r="V3675" s="1" t="str">
        <f>_xlfn.XLOOKUP(C3675,Payers!$A$2:$A$9,Payers!$B$2:$B$9)</f>
        <v>Summit Health Commercial</v>
      </c>
      <c r="W3675" s="1" t="str">
        <f t="shared" si="231"/>
        <v>2025-12</v>
      </c>
    </row>
    <row r="3676" spans="1:23">
      <c r="A3676" s="1" t="s">
        <v>5981</v>
      </c>
      <c r="B3676" s="1" t="s">
        <v>5982</v>
      </c>
      <c r="C3676" s="1" t="s">
        <v>52</v>
      </c>
      <c r="D3676" s="1" t="s">
        <v>37</v>
      </c>
      <c r="E3676" s="1" t="s">
        <v>48</v>
      </c>
      <c r="F3676">
        <v>1</v>
      </c>
      <c r="G3676" s="2">
        <v>46243</v>
      </c>
      <c r="H3676" s="2">
        <v>46247</v>
      </c>
      <c r="I3676">
        <v>411.9</v>
      </c>
      <c r="M3676" s="1" t="s">
        <v>69</v>
      </c>
      <c r="N3676" s="1" t="s">
        <v>22</v>
      </c>
      <c r="O3676" s="2"/>
      <c r="P3676" s="2"/>
      <c r="Q3676">
        <f>_xlfn.XLOOKUP(E3676,CPT!$A$2:$A$13,CPT!$D$2:$D$13)</f>
        <v>420</v>
      </c>
      <c r="R3676" s="1">
        <f>_xlfn.XLOOKUP(C3676,Contract!$A$2:$A$9,Contract!$B$2:$B$9)</f>
        <v>0.47</v>
      </c>
      <c r="S3676" s="1">
        <f t="shared" si="228"/>
        <v>197.4</v>
      </c>
      <c r="T3676" s="1" t="str">
        <f t="shared" si="229"/>
        <v/>
      </c>
      <c r="U3676" s="1" t="str">
        <f t="shared" si="230"/>
        <v/>
      </c>
      <c r="V3676" s="1" t="str">
        <f>_xlfn.XLOOKUP(C3676,Payers!$A$2:$A$9,Payers!$B$2:$B$9)</f>
        <v>Keystone Commercial PPO</v>
      </c>
      <c r="W3676" s="1" t="str">
        <f t="shared" si="231"/>
        <v>2026-08</v>
      </c>
    </row>
    <row r="3677" spans="1:23">
      <c r="A3677" s="1" t="s">
        <v>5983</v>
      </c>
      <c r="B3677" s="1" t="s">
        <v>3037</v>
      </c>
      <c r="C3677" s="1" t="s">
        <v>25</v>
      </c>
      <c r="D3677" s="1" t="s">
        <v>26</v>
      </c>
      <c r="E3677" s="1" t="s">
        <v>113</v>
      </c>
      <c r="F3677">
        <v>1</v>
      </c>
      <c r="G3677" s="2">
        <v>45981</v>
      </c>
      <c r="H3677" s="2">
        <v>45987</v>
      </c>
      <c r="I3677">
        <v>1038.31</v>
      </c>
      <c r="M3677" s="1" t="s">
        <v>32</v>
      </c>
      <c r="N3677" s="1" t="s">
        <v>49</v>
      </c>
      <c r="O3677" s="2">
        <v>46004</v>
      </c>
      <c r="P3677" s="2"/>
      <c r="Q3677">
        <f>_xlfn.XLOOKUP(E3677,CPT!$A$2:$A$13,CPT!$D$2:$D$13)</f>
        <v>1050</v>
      </c>
      <c r="R3677" s="1">
        <f>_xlfn.XLOOKUP(C3677,Contract!$A$2:$A$9,Contract!$B$2:$B$9)</f>
        <v>0.36</v>
      </c>
      <c r="S3677" s="1">
        <f t="shared" si="228"/>
        <v>378</v>
      </c>
      <c r="T3677" s="1" t="str">
        <f t="shared" si="229"/>
        <v/>
      </c>
      <c r="U3677" s="1" t="str">
        <f t="shared" si="230"/>
        <v/>
      </c>
      <c r="V3677" s="1" t="str">
        <f>_xlfn.XLOOKUP(C3677,Payers!$A$2:$A$9,Payers!$B$2:$B$9)</f>
        <v>Medicare Part B</v>
      </c>
      <c r="W3677" s="1" t="str">
        <f t="shared" si="231"/>
        <v>2025-11</v>
      </c>
    </row>
    <row r="3678" spans="1:23">
      <c r="A3678" s="1" t="s">
        <v>5984</v>
      </c>
      <c r="B3678" s="1" t="s">
        <v>1957</v>
      </c>
      <c r="C3678" s="1" t="s">
        <v>60</v>
      </c>
      <c r="D3678" s="1" t="s">
        <v>37</v>
      </c>
      <c r="E3678" s="1" t="s">
        <v>57</v>
      </c>
      <c r="F3678">
        <v>1</v>
      </c>
      <c r="G3678" s="2">
        <v>46052</v>
      </c>
      <c r="H3678" s="2">
        <v>46059</v>
      </c>
      <c r="I3678">
        <v>211.46</v>
      </c>
      <c r="J3678">
        <v>100.08</v>
      </c>
      <c r="K3678">
        <v>100.08</v>
      </c>
      <c r="L3678">
        <v>0</v>
      </c>
      <c r="M3678" s="1" t="s">
        <v>21</v>
      </c>
      <c r="N3678" s="1" t="s">
        <v>22</v>
      </c>
      <c r="O3678" s="2">
        <v>46080</v>
      </c>
      <c r="P3678" s="2">
        <v>46080</v>
      </c>
      <c r="Q3678">
        <f>_xlfn.XLOOKUP(E3678,CPT!$A$2:$A$13,CPT!$D$2:$D$13)</f>
        <v>210</v>
      </c>
      <c r="R3678" s="1">
        <f>_xlfn.XLOOKUP(C3678,Contract!$A$2:$A$9,Contract!$B$2:$B$9)</f>
        <v>0.45</v>
      </c>
      <c r="S3678" s="1">
        <f t="shared" si="228"/>
        <v>94.5</v>
      </c>
      <c r="T3678" s="1">
        <f t="shared" si="229"/>
        <v>-5.5799999999999983</v>
      </c>
      <c r="U3678" s="1" t="str">
        <f t="shared" si="230"/>
        <v>OK</v>
      </c>
      <c r="V3678" s="1" t="str">
        <f>_xlfn.XLOOKUP(C3678,Payers!$A$2:$A$9,Payers!$B$2:$B$9)</f>
        <v>Blue Horizon Commercial</v>
      </c>
      <c r="W3678" s="1" t="str">
        <f t="shared" si="231"/>
        <v>2026-01</v>
      </c>
    </row>
    <row r="3679" spans="1:23">
      <c r="A3679" s="1" t="s">
        <v>5985</v>
      </c>
      <c r="B3679" s="1" t="s">
        <v>5005</v>
      </c>
      <c r="C3679" s="1" t="s">
        <v>52</v>
      </c>
      <c r="D3679" s="1" t="s">
        <v>37</v>
      </c>
      <c r="E3679" s="1" t="s">
        <v>48</v>
      </c>
      <c r="F3679">
        <v>1</v>
      </c>
      <c r="G3679" s="2">
        <v>46187</v>
      </c>
      <c r="H3679" s="2">
        <v>46188</v>
      </c>
      <c r="I3679">
        <v>426.04</v>
      </c>
      <c r="J3679">
        <v>196.97</v>
      </c>
      <c r="K3679">
        <v>196.97</v>
      </c>
      <c r="L3679">
        <v>0</v>
      </c>
      <c r="M3679" s="1" t="s">
        <v>21</v>
      </c>
      <c r="N3679" s="1" t="s">
        <v>22</v>
      </c>
      <c r="O3679" s="2">
        <v>46224</v>
      </c>
      <c r="P3679" s="2">
        <v>46224</v>
      </c>
      <c r="Q3679">
        <f>_xlfn.XLOOKUP(E3679,CPT!$A$2:$A$13,CPT!$D$2:$D$13)</f>
        <v>420</v>
      </c>
      <c r="R3679" s="1">
        <f>_xlfn.XLOOKUP(C3679,Contract!$A$2:$A$9,Contract!$B$2:$B$9)</f>
        <v>0.47</v>
      </c>
      <c r="S3679" s="1">
        <f t="shared" si="228"/>
        <v>197.4</v>
      </c>
      <c r="T3679" s="1">
        <f t="shared" si="229"/>
        <v>0.43000000000000682</v>
      </c>
      <c r="U3679" s="1" t="str">
        <f t="shared" si="230"/>
        <v>OK</v>
      </c>
      <c r="V3679" s="1" t="str">
        <f>_xlfn.XLOOKUP(C3679,Payers!$A$2:$A$9,Payers!$B$2:$B$9)</f>
        <v>Keystone Commercial PPO</v>
      </c>
      <c r="W3679" s="1" t="str">
        <f t="shared" si="231"/>
        <v>2026-06</v>
      </c>
    </row>
    <row r="3680" spans="1:23">
      <c r="A3680" s="1" t="s">
        <v>5986</v>
      </c>
      <c r="B3680" s="1" t="s">
        <v>1365</v>
      </c>
      <c r="C3680" s="1" t="s">
        <v>76</v>
      </c>
      <c r="D3680" s="1" t="s">
        <v>26</v>
      </c>
      <c r="E3680" s="1" t="s">
        <v>113</v>
      </c>
      <c r="F3680">
        <v>1</v>
      </c>
      <c r="G3680" s="2">
        <v>46068</v>
      </c>
      <c r="H3680" s="2">
        <v>46069</v>
      </c>
      <c r="I3680">
        <v>1058.9100000000001</v>
      </c>
      <c r="J3680">
        <v>410.54</v>
      </c>
      <c r="K3680">
        <v>369.49</v>
      </c>
      <c r="L3680">
        <v>41.05</v>
      </c>
      <c r="M3680" s="1" t="s">
        <v>21</v>
      </c>
      <c r="N3680" s="1" t="s">
        <v>22</v>
      </c>
      <c r="O3680" s="2">
        <v>46098</v>
      </c>
      <c r="P3680" s="2">
        <v>46098</v>
      </c>
      <c r="Q3680">
        <f>_xlfn.XLOOKUP(E3680,CPT!$A$2:$A$13,CPT!$D$2:$D$13)</f>
        <v>1050</v>
      </c>
      <c r="R3680" s="1">
        <f>_xlfn.XLOOKUP(C3680,Contract!$A$2:$A$9,Contract!$B$2:$B$9)</f>
        <v>0.43</v>
      </c>
      <c r="S3680" s="1">
        <f t="shared" si="228"/>
        <v>451.5</v>
      </c>
      <c r="T3680" s="1">
        <f t="shared" si="229"/>
        <v>40.95999999999998</v>
      </c>
      <c r="U3680" s="1" t="str">
        <f t="shared" si="230"/>
        <v>Underpaid</v>
      </c>
      <c r="V3680" s="1" t="str">
        <f>_xlfn.XLOOKUP(C3680,Payers!$A$2:$A$9,Payers!$B$2:$B$9)</f>
        <v>Summit Health Commercial</v>
      </c>
      <c r="W3680" s="1" t="str">
        <f t="shared" si="231"/>
        <v>2026-02</v>
      </c>
    </row>
    <row r="3681" spans="1:23">
      <c r="A3681" s="1" t="s">
        <v>5987</v>
      </c>
      <c r="B3681" s="1" t="s">
        <v>5988</v>
      </c>
      <c r="C3681" s="1" t="s">
        <v>76</v>
      </c>
      <c r="D3681" s="1" t="s">
        <v>37</v>
      </c>
      <c r="E3681" s="1" t="s">
        <v>38</v>
      </c>
      <c r="F3681">
        <v>10</v>
      </c>
      <c r="G3681" s="2">
        <v>46177</v>
      </c>
      <c r="H3681" s="2">
        <v>46178</v>
      </c>
      <c r="I3681">
        <v>14610.4</v>
      </c>
      <c r="J3681">
        <v>5375.96</v>
      </c>
      <c r="K3681">
        <v>5375.96</v>
      </c>
      <c r="L3681">
        <v>0</v>
      </c>
      <c r="M3681" s="1" t="s">
        <v>21</v>
      </c>
      <c r="N3681" s="1" t="s">
        <v>22</v>
      </c>
      <c r="O3681" s="2">
        <v>46206</v>
      </c>
      <c r="P3681" s="2">
        <v>46206</v>
      </c>
      <c r="Q3681">
        <f>_xlfn.XLOOKUP(E3681,CPT!$A$2:$A$13,CPT!$D$2:$D$13)</f>
        <v>1450</v>
      </c>
      <c r="R3681" s="1">
        <f>_xlfn.XLOOKUP(C3681,Contract!$A$2:$A$9,Contract!$B$2:$B$9)</f>
        <v>0.43</v>
      </c>
      <c r="S3681" s="1">
        <f t="shared" si="228"/>
        <v>6235</v>
      </c>
      <c r="T3681" s="1">
        <f t="shared" si="229"/>
        <v>859.04</v>
      </c>
      <c r="U3681" s="1" t="str">
        <f t="shared" si="230"/>
        <v>Underpaid</v>
      </c>
      <c r="V3681" s="1" t="str">
        <f>_xlfn.XLOOKUP(C3681,Payers!$A$2:$A$9,Payers!$B$2:$B$9)</f>
        <v>Summit Health Commercial</v>
      </c>
      <c r="W3681" s="1" t="str">
        <f t="shared" si="231"/>
        <v>2026-06</v>
      </c>
    </row>
    <row r="3682" spans="1:23">
      <c r="A3682" s="1" t="s">
        <v>5989</v>
      </c>
      <c r="B3682" s="1" t="s">
        <v>5990</v>
      </c>
      <c r="C3682" s="1" t="s">
        <v>47</v>
      </c>
      <c r="D3682" s="1" t="s">
        <v>30</v>
      </c>
      <c r="E3682" s="1" t="s">
        <v>91</v>
      </c>
      <c r="F3682">
        <v>4</v>
      </c>
      <c r="G3682" s="2">
        <v>46130</v>
      </c>
      <c r="H3682" s="2">
        <v>46134</v>
      </c>
      <c r="I3682">
        <v>236.57</v>
      </c>
      <c r="J3682">
        <v>71.819999999999993</v>
      </c>
      <c r="K3682">
        <v>71.819999999999993</v>
      </c>
      <c r="L3682">
        <v>0</v>
      </c>
      <c r="M3682" s="1" t="s">
        <v>21</v>
      </c>
      <c r="N3682" s="1" t="s">
        <v>22</v>
      </c>
      <c r="O3682" s="2">
        <v>46162</v>
      </c>
      <c r="P3682" s="2">
        <v>46162</v>
      </c>
      <c r="Q3682">
        <f>_xlfn.XLOOKUP(E3682,CPT!$A$2:$A$13,CPT!$D$2:$D$13)</f>
        <v>58</v>
      </c>
      <c r="R3682" s="1">
        <f>_xlfn.XLOOKUP(C3682,Contract!$A$2:$A$9,Contract!$B$2:$B$9)</f>
        <v>0.28000000000000003</v>
      </c>
      <c r="S3682" s="1">
        <f t="shared" si="228"/>
        <v>64.959999999999994</v>
      </c>
      <c r="T3682" s="1">
        <f t="shared" si="229"/>
        <v>-6.8599999999999994</v>
      </c>
      <c r="U3682" s="1" t="str">
        <f t="shared" si="230"/>
        <v>OK</v>
      </c>
      <c r="V3682" s="1" t="str">
        <f>_xlfn.XLOOKUP(C3682,Payers!$A$2:$A$9,Payers!$B$2:$B$9)</f>
        <v>Coastal Medicaid MCO</v>
      </c>
      <c r="W3682" s="1" t="str">
        <f t="shared" si="231"/>
        <v>2026-04</v>
      </c>
    </row>
    <row r="3683" spans="1:23">
      <c r="A3683" s="1" t="s">
        <v>5991</v>
      </c>
      <c r="B3683" s="1" t="s">
        <v>4188</v>
      </c>
      <c r="C3683" s="1" t="s">
        <v>76</v>
      </c>
      <c r="D3683" s="1" t="s">
        <v>19</v>
      </c>
      <c r="E3683" s="1" t="s">
        <v>41</v>
      </c>
      <c r="F3683">
        <v>1</v>
      </c>
      <c r="G3683" s="2">
        <v>46271</v>
      </c>
      <c r="H3683" s="2">
        <v>46273</v>
      </c>
      <c r="I3683">
        <v>38.21</v>
      </c>
      <c r="M3683" s="1" t="s">
        <v>69</v>
      </c>
      <c r="N3683" s="1" t="s">
        <v>22</v>
      </c>
      <c r="O3683" s="2"/>
      <c r="P3683" s="2"/>
      <c r="Q3683">
        <f>_xlfn.XLOOKUP(E3683,CPT!$A$2:$A$13,CPT!$D$2:$D$13)</f>
        <v>38</v>
      </c>
      <c r="R3683" s="1">
        <f>_xlfn.XLOOKUP(C3683,Contract!$A$2:$A$9,Contract!$B$2:$B$9)</f>
        <v>0.43</v>
      </c>
      <c r="S3683" s="1">
        <f t="shared" si="228"/>
        <v>16.34</v>
      </c>
      <c r="T3683" s="1" t="str">
        <f t="shared" si="229"/>
        <v/>
      </c>
      <c r="U3683" s="1" t="str">
        <f t="shared" si="230"/>
        <v/>
      </c>
      <c r="V3683" s="1" t="str">
        <f>_xlfn.XLOOKUP(C3683,Payers!$A$2:$A$9,Payers!$B$2:$B$9)</f>
        <v>Summit Health Commercial</v>
      </c>
      <c r="W3683" s="1" t="str">
        <f t="shared" si="231"/>
        <v>2026-09</v>
      </c>
    </row>
    <row r="3684" spans="1:23">
      <c r="A3684" s="1" t="s">
        <v>5992</v>
      </c>
      <c r="B3684" s="1" t="s">
        <v>221</v>
      </c>
      <c r="C3684" s="1" t="s">
        <v>60</v>
      </c>
      <c r="D3684" s="1" t="s">
        <v>26</v>
      </c>
      <c r="E3684" s="1" t="s">
        <v>88</v>
      </c>
      <c r="F3684">
        <v>1</v>
      </c>
      <c r="G3684" s="2">
        <v>46196</v>
      </c>
      <c r="H3684" s="2">
        <v>46204</v>
      </c>
      <c r="I3684">
        <v>265.76</v>
      </c>
      <c r="J3684">
        <v>128.34</v>
      </c>
      <c r="K3684">
        <v>128.34</v>
      </c>
      <c r="L3684">
        <v>0</v>
      </c>
      <c r="M3684" s="1" t="s">
        <v>21</v>
      </c>
      <c r="N3684" s="1" t="s">
        <v>22</v>
      </c>
      <c r="O3684" s="2">
        <v>46224</v>
      </c>
      <c r="P3684" s="2">
        <v>46224</v>
      </c>
      <c r="Q3684">
        <f>_xlfn.XLOOKUP(E3684,CPT!$A$2:$A$13,CPT!$D$2:$D$13)</f>
        <v>260</v>
      </c>
      <c r="R3684" s="1">
        <f>_xlfn.XLOOKUP(C3684,Contract!$A$2:$A$9,Contract!$B$2:$B$9)</f>
        <v>0.45</v>
      </c>
      <c r="S3684" s="1">
        <f t="shared" si="228"/>
        <v>117</v>
      </c>
      <c r="T3684" s="1">
        <f t="shared" si="229"/>
        <v>-11.340000000000003</v>
      </c>
      <c r="U3684" s="1" t="str">
        <f t="shared" si="230"/>
        <v>OK</v>
      </c>
      <c r="V3684" s="1" t="str">
        <f>_xlfn.XLOOKUP(C3684,Payers!$A$2:$A$9,Payers!$B$2:$B$9)</f>
        <v>Blue Horizon Commercial</v>
      </c>
      <c r="W3684" s="1" t="str">
        <f t="shared" si="231"/>
        <v>2026-06</v>
      </c>
    </row>
    <row r="3685" spans="1:23">
      <c r="A3685" s="1" t="s">
        <v>5993</v>
      </c>
      <c r="B3685" s="1" t="s">
        <v>3399</v>
      </c>
      <c r="C3685" s="1" t="s">
        <v>76</v>
      </c>
      <c r="D3685" s="1" t="s">
        <v>30</v>
      </c>
      <c r="E3685" s="1" t="s">
        <v>20</v>
      </c>
      <c r="F3685">
        <v>1</v>
      </c>
      <c r="G3685" s="2">
        <v>45997</v>
      </c>
      <c r="H3685" s="2">
        <v>46002</v>
      </c>
      <c r="I3685">
        <v>143.61000000000001</v>
      </c>
      <c r="J3685">
        <v>60.59</v>
      </c>
      <c r="K3685">
        <v>60.59</v>
      </c>
      <c r="L3685">
        <v>0</v>
      </c>
      <c r="M3685" s="1" t="s">
        <v>21</v>
      </c>
      <c r="N3685" s="1" t="s">
        <v>22</v>
      </c>
      <c r="O3685" s="2">
        <v>46034</v>
      </c>
      <c r="P3685" s="2">
        <v>46034</v>
      </c>
      <c r="Q3685">
        <f>_xlfn.XLOOKUP(E3685,CPT!$A$2:$A$13,CPT!$D$2:$D$13)</f>
        <v>145</v>
      </c>
      <c r="R3685" s="1">
        <f>_xlfn.XLOOKUP(C3685,Contract!$A$2:$A$9,Contract!$B$2:$B$9)</f>
        <v>0.43</v>
      </c>
      <c r="S3685" s="1">
        <f t="shared" si="228"/>
        <v>62.35</v>
      </c>
      <c r="T3685" s="1">
        <f t="shared" si="229"/>
        <v>1.759999999999998</v>
      </c>
      <c r="U3685" s="1" t="str">
        <f t="shared" si="230"/>
        <v>OK</v>
      </c>
      <c r="V3685" s="1" t="str">
        <f>_xlfn.XLOOKUP(C3685,Payers!$A$2:$A$9,Payers!$B$2:$B$9)</f>
        <v>Summit Health Commercial</v>
      </c>
      <c r="W3685" s="1" t="str">
        <f t="shared" si="231"/>
        <v>2025-12</v>
      </c>
    </row>
    <row r="3686" spans="1:23">
      <c r="A3686" s="1" t="s">
        <v>5994</v>
      </c>
      <c r="B3686" s="1" t="s">
        <v>3953</v>
      </c>
      <c r="C3686" s="1" t="s">
        <v>60</v>
      </c>
      <c r="D3686" s="1" t="s">
        <v>19</v>
      </c>
      <c r="E3686" s="1" t="s">
        <v>57</v>
      </c>
      <c r="F3686">
        <v>1</v>
      </c>
      <c r="G3686" s="2">
        <v>46141</v>
      </c>
      <c r="H3686" s="2">
        <v>46143</v>
      </c>
      <c r="I3686">
        <v>216.2</v>
      </c>
      <c r="J3686">
        <v>94.26</v>
      </c>
      <c r="K3686">
        <v>75.41</v>
      </c>
      <c r="L3686">
        <v>18.850000000000001</v>
      </c>
      <c r="M3686" s="1" t="s">
        <v>21</v>
      </c>
      <c r="N3686" s="1" t="s">
        <v>22</v>
      </c>
      <c r="O3686" s="2">
        <v>46172</v>
      </c>
      <c r="P3686" s="2">
        <v>46172</v>
      </c>
      <c r="Q3686">
        <f>_xlfn.XLOOKUP(E3686,CPT!$A$2:$A$13,CPT!$D$2:$D$13)</f>
        <v>210</v>
      </c>
      <c r="R3686" s="1">
        <f>_xlfn.XLOOKUP(C3686,Contract!$A$2:$A$9,Contract!$B$2:$B$9)</f>
        <v>0.45</v>
      </c>
      <c r="S3686" s="1">
        <f t="shared" si="228"/>
        <v>94.5</v>
      </c>
      <c r="T3686" s="1">
        <f t="shared" si="229"/>
        <v>0.23999999999999488</v>
      </c>
      <c r="U3686" s="1" t="str">
        <f t="shared" si="230"/>
        <v>OK</v>
      </c>
      <c r="V3686" s="1" t="str">
        <f>_xlfn.XLOOKUP(C3686,Payers!$A$2:$A$9,Payers!$B$2:$B$9)</f>
        <v>Blue Horizon Commercial</v>
      </c>
      <c r="W3686" s="1" t="str">
        <f t="shared" si="231"/>
        <v>2026-04</v>
      </c>
    </row>
    <row r="3687" spans="1:23">
      <c r="A3687" s="1" t="s">
        <v>5995</v>
      </c>
      <c r="B3687" s="1" t="s">
        <v>5996</v>
      </c>
      <c r="C3687" s="1" t="s">
        <v>18</v>
      </c>
      <c r="D3687" s="1" t="s">
        <v>19</v>
      </c>
      <c r="E3687" s="1" t="s">
        <v>41</v>
      </c>
      <c r="F3687">
        <v>1</v>
      </c>
      <c r="G3687" s="2">
        <v>45964</v>
      </c>
      <c r="H3687" s="2">
        <v>45971</v>
      </c>
      <c r="I3687">
        <v>38.83</v>
      </c>
      <c r="M3687" s="1" t="s">
        <v>32</v>
      </c>
      <c r="N3687" s="1" t="s">
        <v>98</v>
      </c>
      <c r="O3687" s="2">
        <v>46019</v>
      </c>
      <c r="P3687" s="2"/>
      <c r="Q3687">
        <f>_xlfn.XLOOKUP(E3687,CPT!$A$2:$A$13,CPT!$D$2:$D$13)</f>
        <v>38</v>
      </c>
      <c r="R3687" s="1">
        <f>_xlfn.XLOOKUP(C3687,Contract!$A$2:$A$9,Contract!$B$2:$B$9)</f>
        <v>0.38</v>
      </c>
      <c r="S3687" s="1">
        <f t="shared" si="228"/>
        <v>14.44</v>
      </c>
      <c r="T3687" s="1" t="str">
        <f t="shared" si="229"/>
        <v/>
      </c>
      <c r="U3687" s="1" t="str">
        <f t="shared" si="230"/>
        <v/>
      </c>
      <c r="V3687" s="1" t="str">
        <f>_xlfn.XLOOKUP(C3687,Payers!$A$2:$A$9,Payers!$B$2:$B$9)</f>
        <v>Sunshine Medicare Advantage</v>
      </c>
      <c r="W3687" s="1" t="str">
        <f t="shared" si="231"/>
        <v>2025-11</v>
      </c>
    </row>
    <row r="3688" spans="1:23">
      <c r="A3688" s="1" t="s">
        <v>5997</v>
      </c>
      <c r="B3688" s="1" t="s">
        <v>1843</v>
      </c>
      <c r="C3688" s="1" t="s">
        <v>47</v>
      </c>
      <c r="D3688" s="1" t="s">
        <v>30</v>
      </c>
      <c r="E3688" s="1" t="s">
        <v>91</v>
      </c>
      <c r="F3688">
        <v>1</v>
      </c>
      <c r="G3688" s="2">
        <v>46062</v>
      </c>
      <c r="H3688" s="2">
        <v>46066</v>
      </c>
      <c r="I3688">
        <v>57.34</v>
      </c>
      <c r="J3688">
        <v>15.19</v>
      </c>
      <c r="K3688">
        <v>13.67</v>
      </c>
      <c r="L3688">
        <v>1.52</v>
      </c>
      <c r="M3688" s="1" t="s">
        <v>21</v>
      </c>
      <c r="N3688" s="1" t="s">
        <v>22</v>
      </c>
      <c r="O3688" s="2">
        <v>46150</v>
      </c>
      <c r="P3688" s="2">
        <v>46150</v>
      </c>
      <c r="Q3688">
        <f>_xlfn.XLOOKUP(E3688,CPT!$A$2:$A$13,CPT!$D$2:$D$13)</f>
        <v>58</v>
      </c>
      <c r="R3688" s="1">
        <f>_xlfn.XLOOKUP(C3688,Contract!$A$2:$A$9,Contract!$B$2:$B$9)</f>
        <v>0.28000000000000003</v>
      </c>
      <c r="S3688" s="1">
        <f t="shared" si="228"/>
        <v>16.239999999999998</v>
      </c>
      <c r="T3688" s="1">
        <f t="shared" si="229"/>
        <v>1.0499999999999989</v>
      </c>
      <c r="U3688" s="1" t="str">
        <f t="shared" si="230"/>
        <v>Underpaid</v>
      </c>
      <c r="V3688" s="1" t="str">
        <f>_xlfn.XLOOKUP(C3688,Payers!$A$2:$A$9,Payers!$B$2:$B$9)</f>
        <v>Coastal Medicaid MCO</v>
      </c>
      <c r="W3688" s="1" t="str">
        <f t="shared" si="231"/>
        <v>2026-02</v>
      </c>
    </row>
    <row r="3689" spans="1:23">
      <c r="A3689" s="1" t="s">
        <v>5998</v>
      </c>
      <c r="B3689" s="1" t="s">
        <v>3916</v>
      </c>
      <c r="C3689" s="1" t="s">
        <v>76</v>
      </c>
      <c r="D3689" s="1" t="s">
        <v>30</v>
      </c>
      <c r="E3689" s="1" t="s">
        <v>31</v>
      </c>
      <c r="F3689">
        <v>4</v>
      </c>
      <c r="G3689" s="2">
        <v>46182</v>
      </c>
      <c r="H3689" s="2">
        <v>46183</v>
      </c>
      <c r="I3689">
        <v>253.2</v>
      </c>
      <c r="M3689" s="1" t="s">
        <v>32</v>
      </c>
      <c r="N3689" s="1" t="s">
        <v>124</v>
      </c>
      <c r="O3689" s="2">
        <v>46207</v>
      </c>
      <c r="P3689" s="2"/>
      <c r="Q3689">
        <f>_xlfn.XLOOKUP(E3689,CPT!$A$2:$A$13,CPT!$D$2:$D$13)</f>
        <v>62</v>
      </c>
      <c r="R3689" s="1">
        <f>_xlfn.XLOOKUP(C3689,Contract!$A$2:$A$9,Contract!$B$2:$B$9)</f>
        <v>0.43</v>
      </c>
      <c r="S3689" s="1">
        <f t="shared" si="228"/>
        <v>106.64</v>
      </c>
      <c r="T3689" s="1" t="str">
        <f t="shared" si="229"/>
        <v/>
      </c>
      <c r="U3689" s="1" t="str">
        <f t="shared" si="230"/>
        <v/>
      </c>
      <c r="V3689" s="1" t="str">
        <f>_xlfn.XLOOKUP(C3689,Payers!$A$2:$A$9,Payers!$B$2:$B$9)</f>
        <v>Summit Health Commercial</v>
      </c>
      <c r="W3689" s="1" t="str">
        <f t="shared" si="231"/>
        <v>2026-06</v>
      </c>
    </row>
    <row r="3690" spans="1:23">
      <c r="A3690" s="1" t="s">
        <v>5999</v>
      </c>
      <c r="B3690" s="1" t="s">
        <v>1684</v>
      </c>
      <c r="C3690" s="1" t="s">
        <v>76</v>
      </c>
      <c r="D3690" s="1" t="s">
        <v>37</v>
      </c>
      <c r="E3690" s="1" t="s">
        <v>48</v>
      </c>
      <c r="F3690">
        <v>1</v>
      </c>
      <c r="G3690" s="2">
        <v>46258</v>
      </c>
      <c r="H3690" s="2">
        <v>46261</v>
      </c>
      <c r="I3690">
        <v>430.09</v>
      </c>
      <c r="J3690">
        <v>208.57</v>
      </c>
      <c r="K3690">
        <v>208.57</v>
      </c>
      <c r="L3690">
        <v>0</v>
      </c>
      <c r="M3690" s="1" t="s">
        <v>21</v>
      </c>
      <c r="N3690" s="1" t="s">
        <v>22</v>
      </c>
      <c r="O3690" s="2">
        <v>46295</v>
      </c>
      <c r="P3690" s="2">
        <v>46295</v>
      </c>
      <c r="Q3690">
        <f>_xlfn.XLOOKUP(E3690,CPT!$A$2:$A$13,CPT!$D$2:$D$13)</f>
        <v>420</v>
      </c>
      <c r="R3690" s="1">
        <f>_xlfn.XLOOKUP(C3690,Contract!$A$2:$A$9,Contract!$B$2:$B$9)</f>
        <v>0.43</v>
      </c>
      <c r="S3690" s="1">
        <f t="shared" si="228"/>
        <v>180.6</v>
      </c>
      <c r="T3690" s="1">
        <f t="shared" si="229"/>
        <v>-27.97</v>
      </c>
      <c r="U3690" s="1" t="str">
        <f t="shared" si="230"/>
        <v>OK</v>
      </c>
      <c r="V3690" s="1" t="str">
        <f>_xlfn.XLOOKUP(C3690,Payers!$A$2:$A$9,Payers!$B$2:$B$9)</f>
        <v>Summit Health Commercial</v>
      </c>
      <c r="W3690" s="1" t="str">
        <f t="shared" si="231"/>
        <v>2026-08</v>
      </c>
    </row>
    <row r="3691" spans="1:23">
      <c r="A3691" s="1" t="s">
        <v>6000</v>
      </c>
      <c r="B3691" s="1" t="s">
        <v>46</v>
      </c>
      <c r="C3691" s="1" t="s">
        <v>60</v>
      </c>
      <c r="D3691" s="1" t="s">
        <v>19</v>
      </c>
      <c r="E3691" s="1" t="s">
        <v>88</v>
      </c>
      <c r="F3691">
        <v>1</v>
      </c>
      <c r="G3691" s="2">
        <v>46202</v>
      </c>
      <c r="H3691" s="2">
        <v>46210</v>
      </c>
      <c r="I3691">
        <v>263.70999999999998</v>
      </c>
      <c r="J3691">
        <v>108.64</v>
      </c>
      <c r="K3691">
        <v>108.64</v>
      </c>
      <c r="L3691">
        <v>0</v>
      </c>
      <c r="M3691" s="1" t="s">
        <v>21</v>
      </c>
      <c r="N3691" s="1" t="s">
        <v>22</v>
      </c>
      <c r="O3691" s="2">
        <v>46244</v>
      </c>
      <c r="P3691" s="2">
        <v>46244</v>
      </c>
      <c r="Q3691">
        <f>_xlfn.XLOOKUP(E3691,CPT!$A$2:$A$13,CPT!$D$2:$D$13)</f>
        <v>260</v>
      </c>
      <c r="R3691" s="1">
        <f>_xlfn.XLOOKUP(C3691,Contract!$A$2:$A$9,Contract!$B$2:$B$9)</f>
        <v>0.45</v>
      </c>
      <c r="S3691" s="1">
        <f t="shared" si="228"/>
        <v>117</v>
      </c>
      <c r="T3691" s="1">
        <f t="shared" si="229"/>
        <v>8.36</v>
      </c>
      <c r="U3691" s="1" t="str">
        <f t="shared" si="230"/>
        <v>Underpaid</v>
      </c>
      <c r="V3691" s="1" t="str">
        <f>_xlfn.XLOOKUP(C3691,Payers!$A$2:$A$9,Payers!$B$2:$B$9)</f>
        <v>Blue Horizon Commercial</v>
      </c>
      <c r="W3691" s="1" t="str">
        <f t="shared" si="231"/>
        <v>2026-06</v>
      </c>
    </row>
    <row r="3692" spans="1:23">
      <c r="A3692" s="1" t="s">
        <v>6001</v>
      </c>
      <c r="B3692" s="1" t="s">
        <v>6002</v>
      </c>
      <c r="C3692" s="1" t="s">
        <v>18</v>
      </c>
      <c r="D3692" s="1" t="s">
        <v>30</v>
      </c>
      <c r="E3692" s="1" t="s">
        <v>91</v>
      </c>
      <c r="F3692">
        <v>4</v>
      </c>
      <c r="G3692" s="2">
        <v>45941</v>
      </c>
      <c r="H3692" s="2">
        <v>45955</v>
      </c>
      <c r="I3692">
        <v>228.47</v>
      </c>
      <c r="J3692">
        <v>86.25</v>
      </c>
      <c r="K3692">
        <v>77.63</v>
      </c>
      <c r="L3692">
        <v>8.6199999999999992</v>
      </c>
      <c r="M3692" s="1" t="s">
        <v>21</v>
      </c>
      <c r="N3692" s="1" t="s">
        <v>22</v>
      </c>
      <c r="O3692" s="2">
        <v>46002</v>
      </c>
      <c r="P3692" s="2">
        <v>46002</v>
      </c>
      <c r="Q3692">
        <f>_xlfn.XLOOKUP(E3692,CPT!$A$2:$A$13,CPT!$D$2:$D$13)</f>
        <v>58</v>
      </c>
      <c r="R3692" s="1">
        <f>_xlfn.XLOOKUP(C3692,Contract!$A$2:$A$9,Contract!$B$2:$B$9)</f>
        <v>0.38</v>
      </c>
      <c r="S3692" s="1">
        <f t="shared" si="228"/>
        <v>88.16</v>
      </c>
      <c r="T3692" s="1">
        <f t="shared" si="229"/>
        <v>1.9099999999999966</v>
      </c>
      <c r="U3692" s="1" t="str">
        <f t="shared" si="230"/>
        <v>OK</v>
      </c>
      <c r="V3692" s="1" t="str">
        <f>_xlfn.XLOOKUP(C3692,Payers!$A$2:$A$9,Payers!$B$2:$B$9)</f>
        <v>Sunshine Medicare Advantage</v>
      </c>
      <c r="W3692" s="1" t="str">
        <f t="shared" si="231"/>
        <v>2025-10</v>
      </c>
    </row>
    <row r="3693" spans="1:23">
      <c r="A3693" s="1" t="s">
        <v>6003</v>
      </c>
      <c r="B3693" s="1" t="s">
        <v>1616</v>
      </c>
      <c r="C3693" s="1" t="s">
        <v>79</v>
      </c>
      <c r="D3693" s="1" t="s">
        <v>26</v>
      </c>
      <c r="E3693" s="1" t="s">
        <v>41</v>
      </c>
      <c r="F3693">
        <v>1</v>
      </c>
      <c r="G3693" s="2">
        <v>46234</v>
      </c>
      <c r="H3693" s="2">
        <v>46236</v>
      </c>
      <c r="I3693">
        <v>38.46</v>
      </c>
      <c r="M3693" s="1" t="s">
        <v>69</v>
      </c>
      <c r="N3693" s="1" t="s">
        <v>22</v>
      </c>
      <c r="O3693" s="2"/>
      <c r="P3693" s="2"/>
      <c r="Q3693">
        <f>_xlfn.XLOOKUP(E3693,CPT!$A$2:$A$13,CPT!$D$2:$D$13)</f>
        <v>38</v>
      </c>
      <c r="R3693" s="1">
        <f>_xlfn.XLOOKUP(C3693,Contract!$A$2:$A$9,Contract!$B$2:$B$9)</f>
        <v>1</v>
      </c>
      <c r="S3693" s="1">
        <f t="shared" si="228"/>
        <v>38</v>
      </c>
      <c r="T3693" s="1" t="str">
        <f t="shared" si="229"/>
        <v/>
      </c>
      <c r="U3693" s="1" t="str">
        <f t="shared" si="230"/>
        <v/>
      </c>
      <c r="V3693" s="1" t="str">
        <f>_xlfn.XLOOKUP(C3693,Payers!$A$2:$A$9,Payers!$B$2:$B$9)</f>
        <v>Self-Pay</v>
      </c>
      <c r="W3693" s="1" t="str">
        <f t="shared" si="231"/>
        <v>2026-07</v>
      </c>
    </row>
    <row r="3694" spans="1:23">
      <c r="A3694" s="1" t="s">
        <v>6004</v>
      </c>
      <c r="B3694" s="1" t="s">
        <v>6005</v>
      </c>
      <c r="C3694" s="1" t="s">
        <v>18</v>
      </c>
      <c r="D3694" s="1" t="s">
        <v>30</v>
      </c>
      <c r="E3694" s="1" t="s">
        <v>91</v>
      </c>
      <c r="F3694">
        <v>4</v>
      </c>
      <c r="G3694" s="2">
        <v>46075</v>
      </c>
      <c r="H3694" s="2">
        <v>46099</v>
      </c>
      <c r="I3694">
        <v>225.79</v>
      </c>
      <c r="J3694">
        <v>76.41</v>
      </c>
      <c r="K3694">
        <v>68.77</v>
      </c>
      <c r="L3694">
        <v>7.64</v>
      </c>
      <c r="M3694" s="1" t="s">
        <v>21</v>
      </c>
      <c r="N3694" s="1" t="s">
        <v>22</v>
      </c>
      <c r="O3694" s="2">
        <v>46133</v>
      </c>
      <c r="P3694" s="2">
        <v>46133</v>
      </c>
      <c r="Q3694">
        <f>_xlfn.XLOOKUP(E3694,CPT!$A$2:$A$13,CPT!$D$2:$D$13)</f>
        <v>58</v>
      </c>
      <c r="R3694" s="1">
        <f>_xlfn.XLOOKUP(C3694,Contract!$A$2:$A$9,Contract!$B$2:$B$9)</f>
        <v>0.38</v>
      </c>
      <c r="S3694" s="1">
        <f t="shared" si="228"/>
        <v>88.16</v>
      </c>
      <c r="T3694" s="1">
        <f t="shared" si="229"/>
        <v>11.75</v>
      </c>
      <c r="U3694" s="1" t="str">
        <f t="shared" si="230"/>
        <v>Underpaid</v>
      </c>
      <c r="V3694" s="1" t="str">
        <f>_xlfn.XLOOKUP(C3694,Payers!$A$2:$A$9,Payers!$B$2:$B$9)</f>
        <v>Sunshine Medicare Advantage</v>
      </c>
      <c r="W3694" s="1" t="str">
        <f t="shared" si="231"/>
        <v>2026-02</v>
      </c>
    </row>
    <row r="3695" spans="1:23">
      <c r="A3695" s="1" t="s">
        <v>6006</v>
      </c>
      <c r="B3695" s="1" t="s">
        <v>213</v>
      </c>
      <c r="C3695" s="1" t="s">
        <v>25</v>
      </c>
      <c r="D3695" s="1" t="s">
        <v>19</v>
      </c>
      <c r="E3695" s="1" t="s">
        <v>57</v>
      </c>
      <c r="F3695">
        <v>1</v>
      </c>
      <c r="G3695" s="2">
        <v>46082</v>
      </c>
      <c r="H3695" s="2">
        <v>46089</v>
      </c>
      <c r="I3695">
        <v>204.99</v>
      </c>
      <c r="J3695">
        <v>76.73</v>
      </c>
      <c r="K3695">
        <v>76.73</v>
      </c>
      <c r="L3695">
        <v>0</v>
      </c>
      <c r="M3695" s="1" t="s">
        <v>21</v>
      </c>
      <c r="N3695" s="1" t="s">
        <v>22</v>
      </c>
      <c r="O3695" s="2">
        <v>46100</v>
      </c>
      <c r="P3695" s="2">
        <v>46100</v>
      </c>
      <c r="Q3695">
        <f>_xlfn.XLOOKUP(E3695,CPT!$A$2:$A$13,CPT!$D$2:$D$13)</f>
        <v>210</v>
      </c>
      <c r="R3695" s="1">
        <f>_xlfn.XLOOKUP(C3695,Contract!$A$2:$A$9,Contract!$B$2:$B$9)</f>
        <v>0.36</v>
      </c>
      <c r="S3695" s="1">
        <f t="shared" si="228"/>
        <v>75.599999999999994</v>
      </c>
      <c r="T3695" s="1">
        <f t="shared" si="229"/>
        <v>-1.1300000000000097</v>
      </c>
      <c r="U3695" s="1" t="str">
        <f t="shared" si="230"/>
        <v>OK</v>
      </c>
      <c r="V3695" s="1" t="str">
        <f>_xlfn.XLOOKUP(C3695,Payers!$A$2:$A$9,Payers!$B$2:$B$9)</f>
        <v>Medicare Part B</v>
      </c>
      <c r="W3695" s="1" t="str">
        <f t="shared" si="231"/>
        <v>2026-03</v>
      </c>
    </row>
    <row r="3696" spans="1:23">
      <c r="A3696" s="1" t="s">
        <v>6007</v>
      </c>
      <c r="B3696" s="1" t="s">
        <v>1276</v>
      </c>
      <c r="C3696" s="1" t="s">
        <v>52</v>
      </c>
      <c r="D3696" s="1" t="s">
        <v>26</v>
      </c>
      <c r="E3696" s="1" t="s">
        <v>27</v>
      </c>
      <c r="F3696">
        <v>1</v>
      </c>
      <c r="G3696" s="2">
        <v>46080</v>
      </c>
      <c r="H3696" s="2">
        <v>46081</v>
      </c>
      <c r="I3696">
        <v>237</v>
      </c>
      <c r="J3696">
        <v>114.73</v>
      </c>
      <c r="K3696">
        <v>103.26</v>
      </c>
      <c r="L3696">
        <v>11.47</v>
      </c>
      <c r="M3696" s="1" t="s">
        <v>21</v>
      </c>
      <c r="N3696" s="1" t="s">
        <v>22</v>
      </c>
      <c r="O3696" s="2">
        <v>46126</v>
      </c>
      <c r="P3696" s="2">
        <v>46126</v>
      </c>
      <c r="Q3696">
        <f>_xlfn.XLOOKUP(E3696,CPT!$A$2:$A$13,CPT!$D$2:$D$13)</f>
        <v>240</v>
      </c>
      <c r="R3696" s="1">
        <f>_xlfn.XLOOKUP(C3696,Contract!$A$2:$A$9,Contract!$B$2:$B$9)</f>
        <v>0.47</v>
      </c>
      <c r="S3696" s="1">
        <f t="shared" si="228"/>
        <v>112.8</v>
      </c>
      <c r="T3696" s="1">
        <f t="shared" si="229"/>
        <v>-1.9300000000000068</v>
      </c>
      <c r="U3696" s="1" t="str">
        <f t="shared" si="230"/>
        <v>OK</v>
      </c>
      <c r="V3696" s="1" t="str">
        <f>_xlfn.XLOOKUP(C3696,Payers!$A$2:$A$9,Payers!$B$2:$B$9)</f>
        <v>Keystone Commercial PPO</v>
      </c>
      <c r="W3696" s="1" t="str">
        <f t="shared" si="231"/>
        <v>2026-02</v>
      </c>
    </row>
    <row r="3697" spans="1:23">
      <c r="A3697" s="1" t="s">
        <v>6008</v>
      </c>
      <c r="B3697" s="1" t="s">
        <v>6009</v>
      </c>
      <c r="C3697" s="1" t="s">
        <v>60</v>
      </c>
      <c r="D3697" s="1" t="s">
        <v>26</v>
      </c>
      <c r="E3697" s="1" t="s">
        <v>27</v>
      </c>
      <c r="F3697">
        <v>1</v>
      </c>
      <c r="G3697" s="2">
        <v>46113</v>
      </c>
      <c r="H3697" s="2">
        <v>46126</v>
      </c>
      <c r="I3697">
        <v>240.09</v>
      </c>
      <c r="J3697">
        <v>117.28</v>
      </c>
      <c r="K3697">
        <v>117.28</v>
      </c>
      <c r="L3697">
        <v>0</v>
      </c>
      <c r="M3697" s="1" t="s">
        <v>21</v>
      </c>
      <c r="N3697" s="1" t="s">
        <v>22</v>
      </c>
      <c r="O3697" s="2">
        <v>46162</v>
      </c>
      <c r="P3697" s="2">
        <v>46162</v>
      </c>
      <c r="Q3697">
        <f>_xlfn.XLOOKUP(E3697,CPT!$A$2:$A$13,CPT!$D$2:$D$13)</f>
        <v>240</v>
      </c>
      <c r="R3697" s="1">
        <f>_xlfn.XLOOKUP(C3697,Contract!$A$2:$A$9,Contract!$B$2:$B$9)</f>
        <v>0.45</v>
      </c>
      <c r="S3697" s="1">
        <f t="shared" si="228"/>
        <v>108</v>
      </c>
      <c r="T3697" s="1">
        <f t="shared" si="229"/>
        <v>-9.2800000000000011</v>
      </c>
      <c r="U3697" s="1" t="str">
        <f t="shared" si="230"/>
        <v>OK</v>
      </c>
      <c r="V3697" s="1" t="str">
        <f>_xlfn.XLOOKUP(C3697,Payers!$A$2:$A$9,Payers!$B$2:$B$9)</f>
        <v>Blue Horizon Commercial</v>
      </c>
      <c r="W3697" s="1" t="str">
        <f t="shared" si="231"/>
        <v>2026-04</v>
      </c>
    </row>
    <row r="3698" spans="1:23">
      <c r="A3698" s="1" t="s">
        <v>6010</v>
      </c>
      <c r="B3698" s="1" t="s">
        <v>1973</v>
      </c>
      <c r="C3698" s="1" t="s">
        <v>60</v>
      </c>
      <c r="D3698" s="1" t="s">
        <v>19</v>
      </c>
      <c r="E3698" s="1" t="s">
        <v>20</v>
      </c>
      <c r="F3698">
        <v>1</v>
      </c>
      <c r="G3698" s="2">
        <v>46260</v>
      </c>
      <c r="H3698" s="2">
        <v>46264</v>
      </c>
      <c r="I3698">
        <v>143.81</v>
      </c>
      <c r="M3698" s="1" t="s">
        <v>69</v>
      </c>
      <c r="N3698" s="1" t="s">
        <v>22</v>
      </c>
      <c r="O3698" s="2"/>
      <c r="P3698" s="2"/>
      <c r="Q3698">
        <f>_xlfn.XLOOKUP(E3698,CPT!$A$2:$A$13,CPT!$D$2:$D$13)</f>
        <v>145</v>
      </c>
      <c r="R3698" s="1">
        <f>_xlfn.XLOOKUP(C3698,Contract!$A$2:$A$9,Contract!$B$2:$B$9)</f>
        <v>0.45</v>
      </c>
      <c r="S3698" s="1">
        <f t="shared" si="228"/>
        <v>65.25</v>
      </c>
      <c r="T3698" s="1" t="str">
        <f t="shared" si="229"/>
        <v/>
      </c>
      <c r="U3698" s="1" t="str">
        <f t="shared" si="230"/>
        <v/>
      </c>
      <c r="V3698" s="1" t="str">
        <f>_xlfn.XLOOKUP(C3698,Payers!$A$2:$A$9,Payers!$B$2:$B$9)</f>
        <v>Blue Horizon Commercial</v>
      </c>
      <c r="W3698" s="1" t="str">
        <f t="shared" si="231"/>
        <v>2026-08</v>
      </c>
    </row>
    <row r="3699" spans="1:23">
      <c r="A3699" s="1" t="s">
        <v>6011</v>
      </c>
      <c r="B3699" s="1" t="s">
        <v>845</v>
      </c>
      <c r="C3699" s="1" t="s">
        <v>79</v>
      </c>
      <c r="D3699" s="1" t="s">
        <v>26</v>
      </c>
      <c r="E3699" s="1" t="s">
        <v>41</v>
      </c>
      <c r="F3699">
        <v>1</v>
      </c>
      <c r="G3699" s="2">
        <v>46124</v>
      </c>
      <c r="H3699" s="2">
        <v>46125</v>
      </c>
      <c r="I3699">
        <v>37.659999999999997</v>
      </c>
      <c r="J3699">
        <v>37.659999999999997</v>
      </c>
      <c r="K3699">
        <v>37.659999999999997</v>
      </c>
      <c r="L3699">
        <v>0</v>
      </c>
      <c r="M3699" s="1" t="s">
        <v>21</v>
      </c>
      <c r="N3699" s="1" t="s">
        <v>22</v>
      </c>
      <c r="O3699" s="2">
        <v>46177</v>
      </c>
      <c r="P3699" s="2">
        <v>46177</v>
      </c>
      <c r="Q3699">
        <f>_xlfn.XLOOKUP(E3699,CPT!$A$2:$A$13,CPT!$D$2:$D$13)</f>
        <v>38</v>
      </c>
      <c r="R3699" s="1">
        <f>_xlfn.XLOOKUP(C3699,Contract!$A$2:$A$9,Contract!$B$2:$B$9)</f>
        <v>1</v>
      </c>
      <c r="S3699" s="1">
        <f t="shared" si="228"/>
        <v>38</v>
      </c>
      <c r="T3699" s="1">
        <f t="shared" si="229"/>
        <v>0.34000000000000341</v>
      </c>
      <c r="U3699" s="1" t="str">
        <f t="shared" si="230"/>
        <v>OK</v>
      </c>
      <c r="V3699" s="1" t="str">
        <f>_xlfn.XLOOKUP(C3699,Payers!$A$2:$A$9,Payers!$B$2:$B$9)</f>
        <v>Self-Pay</v>
      </c>
      <c r="W3699" s="1" t="str">
        <f t="shared" si="231"/>
        <v>2026-04</v>
      </c>
    </row>
    <row r="3700" spans="1:23">
      <c r="A3700" s="1" t="s">
        <v>6012</v>
      </c>
      <c r="B3700" s="1" t="s">
        <v>6013</v>
      </c>
      <c r="C3700" s="1" t="s">
        <v>76</v>
      </c>
      <c r="D3700" s="1" t="s">
        <v>26</v>
      </c>
      <c r="E3700" s="1" t="s">
        <v>185</v>
      </c>
      <c r="F3700">
        <v>1</v>
      </c>
      <c r="G3700" s="2">
        <v>46170</v>
      </c>
      <c r="H3700" s="2">
        <v>46173</v>
      </c>
      <c r="I3700">
        <v>1163.23</v>
      </c>
      <c r="M3700" s="1" t="s">
        <v>32</v>
      </c>
      <c r="N3700" s="1" t="s">
        <v>168</v>
      </c>
      <c r="O3700" s="2">
        <v>46211</v>
      </c>
      <c r="P3700" s="2"/>
      <c r="Q3700">
        <f>_xlfn.XLOOKUP(E3700,CPT!$A$2:$A$13,CPT!$D$2:$D$13)</f>
        <v>1150</v>
      </c>
      <c r="R3700" s="1">
        <f>_xlfn.XLOOKUP(C3700,Contract!$A$2:$A$9,Contract!$B$2:$B$9)</f>
        <v>0.43</v>
      </c>
      <c r="S3700" s="1">
        <f t="shared" si="228"/>
        <v>494.5</v>
      </c>
      <c r="T3700" s="1" t="str">
        <f t="shared" si="229"/>
        <v/>
      </c>
      <c r="U3700" s="1" t="str">
        <f t="shared" si="230"/>
        <v/>
      </c>
      <c r="V3700" s="1" t="str">
        <f>_xlfn.XLOOKUP(C3700,Payers!$A$2:$A$9,Payers!$B$2:$B$9)</f>
        <v>Summit Health Commercial</v>
      </c>
      <c r="W3700" s="1" t="str">
        <f t="shared" si="231"/>
        <v>2026-05</v>
      </c>
    </row>
    <row r="3701" spans="1:23">
      <c r="A3701" s="1" t="s">
        <v>6014</v>
      </c>
      <c r="B3701" s="1" t="s">
        <v>6015</v>
      </c>
      <c r="C3701" s="1" t="s">
        <v>47</v>
      </c>
      <c r="D3701" s="1" t="s">
        <v>26</v>
      </c>
      <c r="E3701" s="1" t="s">
        <v>185</v>
      </c>
      <c r="F3701">
        <v>1</v>
      </c>
      <c r="G3701" s="2">
        <v>46207</v>
      </c>
      <c r="H3701" s="2">
        <v>46212</v>
      </c>
      <c r="I3701">
        <v>1167.22</v>
      </c>
      <c r="M3701" s="1" t="s">
        <v>32</v>
      </c>
      <c r="N3701" s="1" t="s">
        <v>315</v>
      </c>
      <c r="O3701" s="2">
        <v>46268</v>
      </c>
      <c r="P3701" s="2"/>
      <c r="Q3701">
        <f>_xlfn.XLOOKUP(E3701,CPT!$A$2:$A$13,CPT!$D$2:$D$13)</f>
        <v>1150</v>
      </c>
      <c r="R3701" s="1">
        <f>_xlfn.XLOOKUP(C3701,Contract!$A$2:$A$9,Contract!$B$2:$B$9)</f>
        <v>0.28000000000000003</v>
      </c>
      <c r="S3701" s="1">
        <f t="shared" si="228"/>
        <v>322</v>
      </c>
      <c r="T3701" s="1" t="str">
        <f t="shared" si="229"/>
        <v/>
      </c>
      <c r="U3701" s="1" t="str">
        <f t="shared" si="230"/>
        <v/>
      </c>
      <c r="V3701" s="1" t="str">
        <f>_xlfn.XLOOKUP(C3701,Payers!$A$2:$A$9,Payers!$B$2:$B$9)</f>
        <v>Coastal Medicaid MCO</v>
      </c>
      <c r="W3701" s="1" t="str">
        <f t="shared" si="231"/>
        <v>2026-07</v>
      </c>
    </row>
    <row r="3702" spans="1:23">
      <c r="A3702" s="1" t="s">
        <v>6016</v>
      </c>
      <c r="B3702" s="1" t="s">
        <v>1663</v>
      </c>
      <c r="C3702" s="1" t="s">
        <v>25</v>
      </c>
      <c r="D3702" s="1" t="s">
        <v>19</v>
      </c>
      <c r="E3702" s="1" t="s">
        <v>20</v>
      </c>
      <c r="F3702">
        <v>1</v>
      </c>
      <c r="G3702" s="2">
        <v>45967</v>
      </c>
      <c r="H3702" s="2">
        <v>45969</v>
      </c>
      <c r="I3702">
        <v>142.24</v>
      </c>
      <c r="J3702">
        <v>58.73</v>
      </c>
      <c r="K3702">
        <v>52.86</v>
      </c>
      <c r="L3702">
        <v>5.87</v>
      </c>
      <c r="M3702" s="1" t="s">
        <v>21</v>
      </c>
      <c r="N3702" s="1" t="s">
        <v>22</v>
      </c>
      <c r="O3702" s="2">
        <v>45982</v>
      </c>
      <c r="P3702" s="2">
        <v>45982</v>
      </c>
      <c r="Q3702">
        <f>_xlfn.XLOOKUP(E3702,CPT!$A$2:$A$13,CPT!$D$2:$D$13)</f>
        <v>145</v>
      </c>
      <c r="R3702" s="1">
        <f>_xlfn.XLOOKUP(C3702,Contract!$A$2:$A$9,Contract!$B$2:$B$9)</f>
        <v>0.36</v>
      </c>
      <c r="S3702" s="1">
        <f t="shared" si="228"/>
        <v>52.2</v>
      </c>
      <c r="T3702" s="1">
        <f t="shared" si="229"/>
        <v>-6.529999999999994</v>
      </c>
      <c r="U3702" s="1" t="str">
        <f t="shared" si="230"/>
        <v>OK</v>
      </c>
      <c r="V3702" s="1" t="str">
        <f>_xlfn.XLOOKUP(C3702,Payers!$A$2:$A$9,Payers!$B$2:$B$9)</f>
        <v>Medicare Part B</v>
      </c>
      <c r="W3702" s="1" t="str">
        <f t="shared" si="231"/>
        <v>2025-11</v>
      </c>
    </row>
    <row r="3703" spans="1:23">
      <c r="A3703" s="1" t="s">
        <v>6017</v>
      </c>
      <c r="B3703" s="1" t="s">
        <v>6018</v>
      </c>
      <c r="C3703" s="1" t="s">
        <v>18</v>
      </c>
      <c r="D3703" s="1" t="s">
        <v>19</v>
      </c>
      <c r="E3703" s="1" t="s">
        <v>57</v>
      </c>
      <c r="F3703">
        <v>1</v>
      </c>
      <c r="G3703" s="2">
        <v>46256</v>
      </c>
      <c r="H3703" s="2">
        <v>46257</v>
      </c>
      <c r="I3703">
        <v>215.94</v>
      </c>
      <c r="M3703" s="1" t="s">
        <v>69</v>
      </c>
      <c r="N3703" s="1" t="s">
        <v>22</v>
      </c>
      <c r="O3703" s="2"/>
      <c r="P3703" s="2"/>
      <c r="Q3703">
        <f>_xlfn.XLOOKUP(E3703,CPT!$A$2:$A$13,CPT!$D$2:$D$13)</f>
        <v>210</v>
      </c>
      <c r="R3703" s="1">
        <f>_xlfn.XLOOKUP(C3703,Contract!$A$2:$A$9,Contract!$B$2:$B$9)</f>
        <v>0.38</v>
      </c>
      <c r="S3703" s="1">
        <f t="shared" si="228"/>
        <v>79.8</v>
      </c>
      <c r="T3703" s="1" t="str">
        <f t="shared" si="229"/>
        <v/>
      </c>
      <c r="U3703" s="1" t="str">
        <f t="shared" si="230"/>
        <v/>
      </c>
      <c r="V3703" s="1" t="str">
        <f>_xlfn.XLOOKUP(C3703,Payers!$A$2:$A$9,Payers!$B$2:$B$9)</f>
        <v>Sunshine Medicare Advantage</v>
      </c>
      <c r="W3703" s="1" t="str">
        <f t="shared" si="231"/>
        <v>2026-08</v>
      </c>
    </row>
    <row r="3704" spans="1:23">
      <c r="A3704" s="1" t="s">
        <v>6019</v>
      </c>
      <c r="B3704" s="1" t="s">
        <v>4570</v>
      </c>
      <c r="C3704" s="1" t="s">
        <v>25</v>
      </c>
      <c r="D3704" s="1" t="s">
        <v>19</v>
      </c>
      <c r="E3704" s="1" t="s">
        <v>20</v>
      </c>
      <c r="F3704">
        <v>1</v>
      </c>
      <c r="G3704" s="2">
        <v>45997</v>
      </c>
      <c r="H3704" s="2">
        <v>45998</v>
      </c>
      <c r="I3704">
        <v>144</v>
      </c>
      <c r="J3704">
        <v>46.67</v>
      </c>
      <c r="K3704">
        <v>46.67</v>
      </c>
      <c r="L3704">
        <v>0</v>
      </c>
      <c r="M3704" s="1" t="s">
        <v>21</v>
      </c>
      <c r="N3704" s="1" t="s">
        <v>22</v>
      </c>
      <c r="O3704" s="2">
        <v>46015</v>
      </c>
      <c r="P3704" s="2">
        <v>46015</v>
      </c>
      <c r="Q3704">
        <f>_xlfn.XLOOKUP(E3704,CPT!$A$2:$A$13,CPT!$D$2:$D$13)</f>
        <v>145</v>
      </c>
      <c r="R3704" s="1">
        <f>_xlfn.XLOOKUP(C3704,Contract!$A$2:$A$9,Contract!$B$2:$B$9)</f>
        <v>0.36</v>
      </c>
      <c r="S3704" s="1">
        <f t="shared" si="228"/>
        <v>52.2</v>
      </c>
      <c r="T3704" s="1">
        <f t="shared" si="229"/>
        <v>5.5300000000000011</v>
      </c>
      <c r="U3704" s="1" t="str">
        <f t="shared" si="230"/>
        <v>Underpaid</v>
      </c>
      <c r="V3704" s="1" t="str">
        <f>_xlfn.XLOOKUP(C3704,Payers!$A$2:$A$9,Payers!$B$2:$B$9)</f>
        <v>Medicare Part B</v>
      </c>
      <c r="W3704" s="1" t="str">
        <f t="shared" si="231"/>
        <v>2025-12</v>
      </c>
    </row>
    <row r="3705" spans="1:23">
      <c r="A3705" s="1" t="s">
        <v>6020</v>
      </c>
      <c r="B3705" s="1" t="s">
        <v>3076</v>
      </c>
      <c r="C3705" s="1" t="s">
        <v>60</v>
      </c>
      <c r="D3705" s="1" t="s">
        <v>19</v>
      </c>
      <c r="E3705" s="1" t="s">
        <v>41</v>
      </c>
      <c r="F3705">
        <v>1</v>
      </c>
      <c r="G3705" s="2">
        <v>46184</v>
      </c>
      <c r="H3705" s="2">
        <v>46185</v>
      </c>
      <c r="I3705">
        <v>38.24</v>
      </c>
      <c r="J3705">
        <v>14.75</v>
      </c>
      <c r="K3705">
        <v>14.75</v>
      </c>
      <c r="L3705">
        <v>0</v>
      </c>
      <c r="M3705" s="1" t="s">
        <v>21</v>
      </c>
      <c r="N3705" s="1" t="s">
        <v>22</v>
      </c>
      <c r="O3705" s="2">
        <v>46225</v>
      </c>
      <c r="P3705" s="2">
        <v>46225</v>
      </c>
      <c r="Q3705">
        <f>_xlfn.XLOOKUP(E3705,CPT!$A$2:$A$13,CPT!$D$2:$D$13)</f>
        <v>38</v>
      </c>
      <c r="R3705" s="1">
        <f>_xlfn.XLOOKUP(C3705,Contract!$A$2:$A$9,Contract!$B$2:$B$9)</f>
        <v>0.45</v>
      </c>
      <c r="S3705" s="1">
        <f t="shared" si="228"/>
        <v>17.100000000000001</v>
      </c>
      <c r="T3705" s="1">
        <f t="shared" si="229"/>
        <v>2.3500000000000014</v>
      </c>
      <c r="U3705" s="1" t="str">
        <f t="shared" si="230"/>
        <v>Underpaid</v>
      </c>
      <c r="V3705" s="1" t="str">
        <f>_xlfn.XLOOKUP(C3705,Payers!$A$2:$A$9,Payers!$B$2:$B$9)</f>
        <v>Blue Horizon Commercial</v>
      </c>
      <c r="W3705" s="1" t="str">
        <f t="shared" si="231"/>
        <v>2026-06</v>
      </c>
    </row>
    <row r="3706" spans="1:23">
      <c r="A3706" s="1" t="s">
        <v>6021</v>
      </c>
      <c r="B3706" s="1" t="s">
        <v>5898</v>
      </c>
      <c r="C3706" s="1" t="s">
        <v>52</v>
      </c>
      <c r="D3706" s="1" t="s">
        <v>19</v>
      </c>
      <c r="E3706" s="1" t="s">
        <v>41</v>
      </c>
      <c r="F3706">
        <v>1</v>
      </c>
      <c r="G3706" s="2">
        <v>46099</v>
      </c>
      <c r="H3706" s="2">
        <v>46114</v>
      </c>
      <c r="I3706">
        <v>37.229999999999997</v>
      </c>
      <c r="J3706">
        <v>18.079999999999998</v>
      </c>
      <c r="K3706">
        <v>14.46</v>
      </c>
      <c r="L3706">
        <v>3.62</v>
      </c>
      <c r="M3706" s="1" t="s">
        <v>21</v>
      </c>
      <c r="N3706" s="1" t="s">
        <v>22</v>
      </c>
      <c r="O3706" s="2">
        <v>46135</v>
      </c>
      <c r="P3706" s="2">
        <v>46135</v>
      </c>
      <c r="Q3706">
        <f>_xlfn.XLOOKUP(E3706,CPT!$A$2:$A$13,CPT!$D$2:$D$13)</f>
        <v>38</v>
      </c>
      <c r="R3706" s="1">
        <f>_xlfn.XLOOKUP(C3706,Contract!$A$2:$A$9,Contract!$B$2:$B$9)</f>
        <v>0.47</v>
      </c>
      <c r="S3706" s="1">
        <f t="shared" si="228"/>
        <v>17.86</v>
      </c>
      <c r="T3706" s="1">
        <f t="shared" si="229"/>
        <v>-0.21999999999999886</v>
      </c>
      <c r="U3706" s="1" t="str">
        <f t="shared" si="230"/>
        <v>OK</v>
      </c>
      <c r="V3706" s="1" t="str">
        <f>_xlfn.XLOOKUP(C3706,Payers!$A$2:$A$9,Payers!$B$2:$B$9)</f>
        <v>Keystone Commercial PPO</v>
      </c>
      <c r="W3706" s="1" t="str">
        <f t="shared" si="231"/>
        <v>2026-03</v>
      </c>
    </row>
    <row r="3707" spans="1:23">
      <c r="A3707" s="1" t="s">
        <v>6022</v>
      </c>
      <c r="B3707" s="1" t="s">
        <v>6023</v>
      </c>
      <c r="C3707" s="1" t="s">
        <v>76</v>
      </c>
      <c r="D3707" s="1" t="s">
        <v>30</v>
      </c>
      <c r="E3707" s="1" t="s">
        <v>20</v>
      </c>
      <c r="F3707">
        <v>1</v>
      </c>
      <c r="G3707" s="2">
        <v>46072</v>
      </c>
      <c r="H3707" s="2">
        <v>46081</v>
      </c>
      <c r="I3707">
        <v>142.97999999999999</v>
      </c>
      <c r="J3707">
        <v>55.89</v>
      </c>
      <c r="K3707">
        <v>50.3</v>
      </c>
      <c r="L3707">
        <v>5.59</v>
      </c>
      <c r="M3707" s="1" t="s">
        <v>21</v>
      </c>
      <c r="N3707" s="1" t="s">
        <v>22</v>
      </c>
      <c r="O3707" s="2">
        <v>46120</v>
      </c>
      <c r="P3707" s="2">
        <v>46120</v>
      </c>
      <c r="Q3707">
        <f>_xlfn.XLOOKUP(E3707,CPT!$A$2:$A$13,CPT!$D$2:$D$13)</f>
        <v>145</v>
      </c>
      <c r="R3707" s="1">
        <f>_xlfn.XLOOKUP(C3707,Contract!$A$2:$A$9,Contract!$B$2:$B$9)</f>
        <v>0.43</v>
      </c>
      <c r="S3707" s="1">
        <f t="shared" si="228"/>
        <v>62.35</v>
      </c>
      <c r="T3707" s="1">
        <f t="shared" si="229"/>
        <v>6.4600000000000009</v>
      </c>
      <c r="U3707" s="1" t="str">
        <f t="shared" si="230"/>
        <v>Underpaid</v>
      </c>
      <c r="V3707" s="1" t="str">
        <f>_xlfn.XLOOKUP(C3707,Payers!$A$2:$A$9,Payers!$B$2:$B$9)</f>
        <v>Summit Health Commercial</v>
      </c>
      <c r="W3707" s="1" t="str">
        <f t="shared" si="231"/>
        <v>2026-02</v>
      </c>
    </row>
    <row r="3708" spans="1:23">
      <c r="A3708" s="1" t="s">
        <v>6024</v>
      </c>
      <c r="B3708" s="1" t="s">
        <v>5419</v>
      </c>
      <c r="C3708" s="1" t="s">
        <v>60</v>
      </c>
      <c r="D3708" s="1" t="s">
        <v>30</v>
      </c>
      <c r="E3708" s="1" t="s">
        <v>20</v>
      </c>
      <c r="F3708">
        <v>1</v>
      </c>
      <c r="G3708" s="2">
        <v>46015</v>
      </c>
      <c r="H3708" s="2">
        <v>46016</v>
      </c>
      <c r="I3708">
        <v>144.13</v>
      </c>
      <c r="M3708" s="1" t="s">
        <v>32</v>
      </c>
      <c r="N3708" s="1" t="s">
        <v>168</v>
      </c>
      <c r="O3708" s="2">
        <v>46038</v>
      </c>
      <c r="P3708" s="2"/>
      <c r="Q3708">
        <f>_xlfn.XLOOKUP(E3708,CPT!$A$2:$A$13,CPT!$D$2:$D$13)</f>
        <v>145</v>
      </c>
      <c r="R3708" s="1">
        <f>_xlfn.XLOOKUP(C3708,Contract!$A$2:$A$9,Contract!$B$2:$B$9)</f>
        <v>0.45</v>
      </c>
      <c r="S3708" s="1">
        <f t="shared" si="228"/>
        <v>65.25</v>
      </c>
      <c r="T3708" s="1" t="str">
        <f t="shared" si="229"/>
        <v/>
      </c>
      <c r="U3708" s="1" t="str">
        <f t="shared" si="230"/>
        <v/>
      </c>
      <c r="V3708" s="1" t="str">
        <f>_xlfn.XLOOKUP(C3708,Payers!$A$2:$A$9,Payers!$B$2:$B$9)</f>
        <v>Blue Horizon Commercial</v>
      </c>
      <c r="W3708" s="1" t="str">
        <f t="shared" si="231"/>
        <v>2025-12</v>
      </c>
    </row>
    <row r="3709" spans="1:23">
      <c r="A3709" s="1" t="s">
        <v>6025</v>
      </c>
      <c r="B3709" s="1" t="s">
        <v>1603</v>
      </c>
      <c r="C3709" s="1" t="s">
        <v>79</v>
      </c>
      <c r="D3709" s="1" t="s">
        <v>19</v>
      </c>
      <c r="E3709" s="1" t="s">
        <v>41</v>
      </c>
      <c r="F3709">
        <v>1</v>
      </c>
      <c r="G3709" s="2">
        <v>46115</v>
      </c>
      <c r="H3709" s="2">
        <v>46121</v>
      </c>
      <c r="I3709">
        <v>38.33</v>
      </c>
      <c r="M3709" s="1" t="s">
        <v>69</v>
      </c>
      <c r="N3709" s="1" t="s">
        <v>22</v>
      </c>
      <c r="O3709" s="2"/>
      <c r="P3709" s="2"/>
      <c r="Q3709">
        <f>_xlfn.XLOOKUP(E3709,CPT!$A$2:$A$13,CPT!$D$2:$D$13)</f>
        <v>38</v>
      </c>
      <c r="R3709" s="1">
        <f>_xlfn.XLOOKUP(C3709,Contract!$A$2:$A$9,Contract!$B$2:$B$9)</f>
        <v>1</v>
      </c>
      <c r="S3709" s="1">
        <f t="shared" si="228"/>
        <v>38</v>
      </c>
      <c r="T3709" s="1" t="str">
        <f t="shared" si="229"/>
        <v/>
      </c>
      <c r="U3709" s="1" t="str">
        <f t="shared" si="230"/>
        <v/>
      </c>
      <c r="V3709" s="1" t="str">
        <f>_xlfn.XLOOKUP(C3709,Payers!$A$2:$A$9,Payers!$B$2:$B$9)</f>
        <v>Self-Pay</v>
      </c>
      <c r="W3709" s="1" t="str">
        <f t="shared" si="231"/>
        <v>2026-04</v>
      </c>
    </row>
    <row r="3710" spans="1:23">
      <c r="A3710" s="1" t="s">
        <v>6026</v>
      </c>
      <c r="B3710" s="1" t="s">
        <v>6027</v>
      </c>
      <c r="C3710" s="1" t="s">
        <v>60</v>
      </c>
      <c r="D3710" s="1" t="s">
        <v>19</v>
      </c>
      <c r="E3710" s="1" t="s">
        <v>57</v>
      </c>
      <c r="F3710">
        <v>1</v>
      </c>
      <c r="G3710" s="2">
        <v>46271</v>
      </c>
      <c r="H3710" s="2">
        <v>46273</v>
      </c>
      <c r="I3710">
        <v>206.39</v>
      </c>
      <c r="M3710" s="1" t="s">
        <v>69</v>
      </c>
      <c r="N3710" s="1" t="s">
        <v>22</v>
      </c>
      <c r="O3710" s="2"/>
      <c r="P3710" s="2"/>
      <c r="Q3710">
        <f>_xlfn.XLOOKUP(E3710,CPT!$A$2:$A$13,CPT!$D$2:$D$13)</f>
        <v>210</v>
      </c>
      <c r="R3710" s="1">
        <f>_xlfn.XLOOKUP(C3710,Contract!$A$2:$A$9,Contract!$B$2:$B$9)</f>
        <v>0.45</v>
      </c>
      <c r="S3710" s="1">
        <f t="shared" si="228"/>
        <v>94.5</v>
      </c>
      <c r="T3710" s="1" t="str">
        <f t="shared" si="229"/>
        <v/>
      </c>
      <c r="U3710" s="1" t="str">
        <f t="shared" si="230"/>
        <v/>
      </c>
      <c r="V3710" s="1" t="str">
        <f>_xlfn.XLOOKUP(C3710,Payers!$A$2:$A$9,Payers!$B$2:$B$9)</f>
        <v>Blue Horizon Commercial</v>
      </c>
      <c r="W3710" s="1" t="str">
        <f t="shared" si="231"/>
        <v>2026-09</v>
      </c>
    </row>
    <row r="3711" spans="1:23">
      <c r="A3711" s="1" t="s">
        <v>6028</v>
      </c>
      <c r="B3711" s="1" t="s">
        <v>5071</v>
      </c>
      <c r="C3711" s="1" t="s">
        <v>76</v>
      </c>
      <c r="D3711" s="1" t="s">
        <v>37</v>
      </c>
      <c r="E3711" s="1" t="s">
        <v>48</v>
      </c>
      <c r="F3711">
        <v>1</v>
      </c>
      <c r="G3711" s="2">
        <v>46253</v>
      </c>
      <c r="H3711" s="2">
        <v>46254</v>
      </c>
      <c r="I3711">
        <v>408.67</v>
      </c>
      <c r="M3711" s="1" t="s">
        <v>32</v>
      </c>
      <c r="N3711" s="1" t="s">
        <v>315</v>
      </c>
      <c r="O3711" s="2">
        <v>46276</v>
      </c>
      <c r="P3711" s="2"/>
      <c r="Q3711">
        <f>_xlfn.XLOOKUP(E3711,CPT!$A$2:$A$13,CPT!$D$2:$D$13)</f>
        <v>420</v>
      </c>
      <c r="R3711" s="1">
        <f>_xlfn.XLOOKUP(C3711,Contract!$A$2:$A$9,Contract!$B$2:$B$9)</f>
        <v>0.43</v>
      </c>
      <c r="S3711" s="1">
        <f t="shared" si="228"/>
        <v>180.6</v>
      </c>
      <c r="T3711" s="1" t="str">
        <f t="shared" si="229"/>
        <v/>
      </c>
      <c r="U3711" s="1" t="str">
        <f t="shared" si="230"/>
        <v/>
      </c>
      <c r="V3711" s="1" t="str">
        <f>_xlfn.XLOOKUP(C3711,Payers!$A$2:$A$9,Payers!$B$2:$B$9)</f>
        <v>Summit Health Commercial</v>
      </c>
      <c r="W3711" s="1" t="str">
        <f t="shared" si="231"/>
        <v>2026-08</v>
      </c>
    </row>
    <row r="3712" spans="1:23">
      <c r="A3712" s="1" t="s">
        <v>6029</v>
      </c>
      <c r="B3712" s="1" t="s">
        <v>2404</v>
      </c>
      <c r="C3712" s="1" t="s">
        <v>76</v>
      </c>
      <c r="D3712" s="1" t="s">
        <v>37</v>
      </c>
      <c r="E3712" s="1" t="s">
        <v>57</v>
      </c>
      <c r="F3712">
        <v>1</v>
      </c>
      <c r="G3712" s="2">
        <v>46198</v>
      </c>
      <c r="H3712" s="2">
        <v>46204</v>
      </c>
      <c r="I3712">
        <v>212.15</v>
      </c>
      <c r="J3712">
        <v>78.180000000000007</v>
      </c>
      <c r="K3712">
        <v>78.180000000000007</v>
      </c>
      <c r="L3712">
        <v>0</v>
      </c>
      <c r="M3712" s="1" t="s">
        <v>21</v>
      </c>
      <c r="N3712" s="1" t="s">
        <v>22</v>
      </c>
      <c r="O3712" s="2">
        <v>46240</v>
      </c>
      <c r="P3712" s="2">
        <v>46240</v>
      </c>
      <c r="Q3712">
        <f>_xlfn.XLOOKUP(E3712,CPT!$A$2:$A$13,CPT!$D$2:$D$13)</f>
        <v>210</v>
      </c>
      <c r="R3712" s="1">
        <f>_xlfn.XLOOKUP(C3712,Contract!$A$2:$A$9,Contract!$B$2:$B$9)</f>
        <v>0.43</v>
      </c>
      <c r="S3712" s="1">
        <f t="shared" si="228"/>
        <v>90.3</v>
      </c>
      <c r="T3712" s="1">
        <f t="shared" si="229"/>
        <v>12.11999999999999</v>
      </c>
      <c r="U3712" s="1" t="str">
        <f t="shared" si="230"/>
        <v>Underpaid</v>
      </c>
      <c r="V3712" s="1" t="str">
        <f>_xlfn.XLOOKUP(C3712,Payers!$A$2:$A$9,Payers!$B$2:$B$9)</f>
        <v>Summit Health Commercial</v>
      </c>
      <c r="W3712" s="1" t="str">
        <f t="shared" si="231"/>
        <v>2026-06</v>
      </c>
    </row>
    <row r="3713" spans="1:23">
      <c r="A3713" s="1" t="s">
        <v>6030</v>
      </c>
      <c r="B3713" s="1" t="s">
        <v>1383</v>
      </c>
      <c r="C3713" s="1" t="s">
        <v>60</v>
      </c>
      <c r="D3713" s="1" t="s">
        <v>26</v>
      </c>
      <c r="E3713" s="1" t="s">
        <v>41</v>
      </c>
      <c r="F3713">
        <v>1</v>
      </c>
      <c r="G3713" s="2">
        <v>46263</v>
      </c>
      <c r="H3713" s="2">
        <v>46264</v>
      </c>
      <c r="I3713">
        <v>38.65</v>
      </c>
      <c r="J3713">
        <v>14.7</v>
      </c>
      <c r="K3713">
        <v>14.7</v>
      </c>
      <c r="L3713">
        <v>0</v>
      </c>
      <c r="M3713" s="1" t="s">
        <v>21</v>
      </c>
      <c r="N3713" s="1" t="s">
        <v>22</v>
      </c>
      <c r="O3713" s="2">
        <v>46292</v>
      </c>
      <c r="P3713" s="2">
        <v>46292</v>
      </c>
      <c r="Q3713">
        <f>_xlfn.XLOOKUP(E3713,CPT!$A$2:$A$13,CPT!$D$2:$D$13)</f>
        <v>38</v>
      </c>
      <c r="R3713" s="1">
        <f>_xlfn.XLOOKUP(C3713,Contract!$A$2:$A$9,Contract!$B$2:$B$9)</f>
        <v>0.45</v>
      </c>
      <c r="S3713" s="1">
        <f t="shared" si="228"/>
        <v>17.100000000000001</v>
      </c>
      <c r="T3713" s="1">
        <f t="shared" si="229"/>
        <v>2.4000000000000021</v>
      </c>
      <c r="U3713" s="1" t="str">
        <f t="shared" si="230"/>
        <v>Underpaid</v>
      </c>
      <c r="V3713" s="1" t="str">
        <f>_xlfn.XLOOKUP(C3713,Payers!$A$2:$A$9,Payers!$B$2:$B$9)</f>
        <v>Blue Horizon Commercial</v>
      </c>
      <c r="W3713" s="1" t="str">
        <f t="shared" si="231"/>
        <v>2026-08</v>
      </c>
    </row>
    <row r="3714" spans="1:23">
      <c r="A3714" s="1" t="s">
        <v>6031</v>
      </c>
      <c r="B3714" s="1" t="s">
        <v>6032</v>
      </c>
      <c r="C3714" s="1" t="s">
        <v>79</v>
      </c>
      <c r="D3714" s="1" t="s">
        <v>30</v>
      </c>
      <c r="E3714" s="1" t="s">
        <v>91</v>
      </c>
      <c r="F3714">
        <v>1</v>
      </c>
      <c r="G3714" s="2">
        <v>46037</v>
      </c>
      <c r="H3714" s="2">
        <v>46040</v>
      </c>
      <c r="I3714">
        <v>58.8</v>
      </c>
      <c r="J3714">
        <v>58.8</v>
      </c>
      <c r="K3714">
        <v>58.8</v>
      </c>
      <c r="L3714">
        <v>0</v>
      </c>
      <c r="M3714" s="1" t="s">
        <v>21</v>
      </c>
      <c r="N3714" s="1" t="s">
        <v>22</v>
      </c>
      <c r="O3714" s="2">
        <v>46137</v>
      </c>
      <c r="P3714" s="2">
        <v>46137</v>
      </c>
      <c r="Q3714">
        <f>_xlfn.XLOOKUP(E3714,CPT!$A$2:$A$13,CPT!$D$2:$D$13)</f>
        <v>58</v>
      </c>
      <c r="R3714" s="1">
        <f>_xlfn.XLOOKUP(C3714,Contract!$A$2:$A$9,Contract!$B$2:$B$9)</f>
        <v>1</v>
      </c>
      <c r="S3714" s="1">
        <f t="shared" ref="S3714:S3777" si="232">ROUND(Q3714*F3714*R3714,2)</f>
        <v>58</v>
      </c>
      <c r="T3714" s="1">
        <f t="shared" ref="T3714:T3777" si="233">IF(M3714="Paid",S3714-J3714,"")</f>
        <v>-0.79999999999999716</v>
      </c>
      <c r="U3714" s="1" t="str">
        <f t="shared" ref="U3714:U3777" si="234">IF(M3714&lt;&gt;"Paid","",IF(T3714&gt;S3714*0.05,"Underpaid","OK"))</f>
        <v>OK</v>
      </c>
      <c r="V3714" s="1" t="str">
        <f>_xlfn.XLOOKUP(C3714,Payers!$A$2:$A$9,Payers!$B$2:$B$9)</f>
        <v>Self-Pay</v>
      </c>
      <c r="W3714" s="1" t="str">
        <f t="shared" ref="W3714:W3777" si="235">TEXT(G3714,"yyyy-mm")</f>
        <v>2026-01</v>
      </c>
    </row>
    <row r="3715" spans="1:23">
      <c r="A3715" s="1" t="s">
        <v>6033</v>
      </c>
      <c r="B3715" s="1" t="s">
        <v>2834</v>
      </c>
      <c r="C3715" s="1" t="s">
        <v>18</v>
      </c>
      <c r="D3715" s="1" t="s">
        <v>37</v>
      </c>
      <c r="E3715" s="1" t="s">
        <v>48</v>
      </c>
      <c r="F3715">
        <v>1</v>
      </c>
      <c r="G3715" s="2">
        <v>46022</v>
      </c>
      <c r="H3715" s="2">
        <v>46025</v>
      </c>
      <c r="I3715">
        <v>417.36</v>
      </c>
      <c r="J3715">
        <v>150.56</v>
      </c>
      <c r="K3715">
        <v>150.56</v>
      </c>
      <c r="L3715">
        <v>0</v>
      </c>
      <c r="M3715" s="1" t="s">
        <v>21</v>
      </c>
      <c r="N3715" s="1" t="s">
        <v>22</v>
      </c>
      <c r="O3715" s="2">
        <v>46104</v>
      </c>
      <c r="P3715" s="2">
        <v>46104</v>
      </c>
      <c r="Q3715">
        <f>_xlfn.XLOOKUP(E3715,CPT!$A$2:$A$13,CPT!$D$2:$D$13)</f>
        <v>420</v>
      </c>
      <c r="R3715" s="1">
        <f>_xlfn.XLOOKUP(C3715,Contract!$A$2:$A$9,Contract!$B$2:$B$9)</f>
        <v>0.38</v>
      </c>
      <c r="S3715" s="1">
        <f t="shared" si="232"/>
        <v>159.6</v>
      </c>
      <c r="T3715" s="1">
        <f t="shared" si="233"/>
        <v>9.039999999999992</v>
      </c>
      <c r="U3715" s="1" t="str">
        <f t="shared" si="234"/>
        <v>Underpaid</v>
      </c>
      <c r="V3715" s="1" t="str">
        <f>_xlfn.XLOOKUP(C3715,Payers!$A$2:$A$9,Payers!$B$2:$B$9)</f>
        <v>Sunshine Medicare Advantage</v>
      </c>
      <c r="W3715" s="1" t="str">
        <f t="shared" si="235"/>
        <v>2025-12</v>
      </c>
    </row>
    <row r="3716" spans="1:23">
      <c r="A3716" s="1" t="s">
        <v>6034</v>
      </c>
      <c r="B3716" s="1" t="s">
        <v>3784</v>
      </c>
      <c r="C3716" s="1" t="s">
        <v>60</v>
      </c>
      <c r="D3716" s="1" t="s">
        <v>37</v>
      </c>
      <c r="E3716" s="1" t="s">
        <v>48</v>
      </c>
      <c r="F3716">
        <v>1</v>
      </c>
      <c r="G3716" s="2">
        <v>46064</v>
      </c>
      <c r="H3716" s="2">
        <v>46065</v>
      </c>
      <c r="I3716">
        <v>426.54</v>
      </c>
      <c r="J3716">
        <v>213.4</v>
      </c>
      <c r="K3716">
        <v>213.4</v>
      </c>
      <c r="L3716">
        <v>0</v>
      </c>
      <c r="M3716" s="1" t="s">
        <v>21</v>
      </c>
      <c r="N3716" s="1" t="s">
        <v>22</v>
      </c>
      <c r="O3716" s="2">
        <v>46100</v>
      </c>
      <c r="P3716" s="2">
        <v>46100</v>
      </c>
      <c r="Q3716">
        <f>_xlfn.XLOOKUP(E3716,CPT!$A$2:$A$13,CPT!$D$2:$D$13)</f>
        <v>420</v>
      </c>
      <c r="R3716" s="1">
        <f>_xlfn.XLOOKUP(C3716,Contract!$A$2:$A$9,Contract!$B$2:$B$9)</f>
        <v>0.45</v>
      </c>
      <c r="S3716" s="1">
        <f t="shared" si="232"/>
        <v>189</v>
      </c>
      <c r="T3716" s="1">
        <f t="shared" si="233"/>
        <v>-24.400000000000006</v>
      </c>
      <c r="U3716" s="1" t="str">
        <f t="shared" si="234"/>
        <v>OK</v>
      </c>
      <c r="V3716" s="1" t="str">
        <f>_xlfn.XLOOKUP(C3716,Payers!$A$2:$A$9,Payers!$B$2:$B$9)</f>
        <v>Blue Horizon Commercial</v>
      </c>
      <c r="W3716" s="1" t="str">
        <f t="shared" si="235"/>
        <v>2026-02</v>
      </c>
    </row>
    <row r="3717" spans="1:23">
      <c r="A3717" s="1" t="s">
        <v>6035</v>
      </c>
      <c r="B3717" s="1" t="s">
        <v>1493</v>
      </c>
      <c r="C3717" s="1" t="s">
        <v>25</v>
      </c>
      <c r="D3717" s="1" t="s">
        <v>26</v>
      </c>
      <c r="E3717" s="1" t="s">
        <v>44</v>
      </c>
      <c r="F3717">
        <v>1</v>
      </c>
      <c r="G3717" s="2">
        <v>46059</v>
      </c>
      <c r="H3717" s="2">
        <v>46061</v>
      </c>
      <c r="I3717">
        <v>4844.3900000000003</v>
      </c>
      <c r="J3717">
        <v>1535.11</v>
      </c>
      <c r="K3717">
        <v>1228.0899999999999</v>
      </c>
      <c r="L3717">
        <v>307.02</v>
      </c>
      <c r="M3717" s="1" t="s">
        <v>21</v>
      </c>
      <c r="N3717" s="1" t="s">
        <v>22</v>
      </c>
      <c r="O3717" s="2">
        <v>46079</v>
      </c>
      <c r="P3717" s="2">
        <v>46079</v>
      </c>
      <c r="Q3717">
        <f>_xlfn.XLOOKUP(E3717,CPT!$A$2:$A$13,CPT!$D$2:$D$13)</f>
        <v>4800</v>
      </c>
      <c r="R3717" s="1">
        <f>_xlfn.XLOOKUP(C3717,Contract!$A$2:$A$9,Contract!$B$2:$B$9)</f>
        <v>0.36</v>
      </c>
      <c r="S3717" s="1">
        <f t="shared" si="232"/>
        <v>1728</v>
      </c>
      <c r="T3717" s="1">
        <f t="shared" si="233"/>
        <v>192.8900000000001</v>
      </c>
      <c r="U3717" s="1" t="str">
        <f t="shared" si="234"/>
        <v>Underpaid</v>
      </c>
      <c r="V3717" s="1" t="str">
        <f>_xlfn.XLOOKUP(C3717,Payers!$A$2:$A$9,Payers!$B$2:$B$9)</f>
        <v>Medicare Part B</v>
      </c>
      <c r="W3717" s="1" t="str">
        <f t="shared" si="235"/>
        <v>2026-02</v>
      </c>
    </row>
    <row r="3718" spans="1:23">
      <c r="A3718" s="1" t="s">
        <v>6036</v>
      </c>
      <c r="B3718" s="1" t="s">
        <v>6037</v>
      </c>
      <c r="C3718" s="1" t="s">
        <v>25</v>
      </c>
      <c r="D3718" s="1" t="s">
        <v>26</v>
      </c>
      <c r="E3718" s="1" t="s">
        <v>41</v>
      </c>
      <c r="F3718">
        <v>1</v>
      </c>
      <c r="G3718" s="2">
        <v>46264</v>
      </c>
      <c r="H3718" s="2">
        <v>46269</v>
      </c>
      <c r="I3718">
        <v>37.74</v>
      </c>
      <c r="J3718">
        <v>13.81</v>
      </c>
      <c r="K3718">
        <v>13.81</v>
      </c>
      <c r="L3718">
        <v>0</v>
      </c>
      <c r="M3718" s="1" t="s">
        <v>21</v>
      </c>
      <c r="N3718" s="1" t="s">
        <v>22</v>
      </c>
      <c r="O3718" s="2">
        <v>46294</v>
      </c>
      <c r="P3718" s="2">
        <v>46294</v>
      </c>
      <c r="Q3718">
        <f>_xlfn.XLOOKUP(E3718,CPT!$A$2:$A$13,CPT!$D$2:$D$13)</f>
        <v>38</v>
      </c>
      <c r="R3718" s="1">
        <f>_xlfn.XLOOKUP(C3718,Contract!$A$2:$A$9,Contract!$B$2:$B$9)</f>
        <v>0.36</v>
      </c>
      <c r="S3718" s="1">
        <f t="shared" si="232"/>
        <v>13.68</v>
      </c>
      <c r="T3718" s="1">
        <f t="shared" si="233"/>
        <v>-0.13000000000000078</v>
      </c>
      <c r="U3718" s="1" t="str">
        <f t="shared" si="234"/>
        <v>OK</v>
      </c>
      <c r="V3718" s="1" t="str">
        <f>_xlfn.XLOOKUP(C3718,Payers!$A$2:$A$9,Payers!$B$2:$B$9)</f>
        <v>Medicare Part B</v>
      </c>
      <c r="W3718" s="1" t="str">
        <f t="shared" si="235"/>
        <v>2026-08</v>
      </c>
    </row>
    <row r="3719" spans="1:23">
      <c r="A3719" s="1" t="s">
        <v>6038</v>
      </c>
      <c r="B3719" s="1" t="s">
        <v>3427</v>
      </c>
      <c r="C3719" s="1" t="s">
        <v>36</v>
      </c>
      <c r="D3719" s="1" t="s">
        <v>19</v>
      </c>
      <c r="E3719" s="1" t="s">
        <v>20</v>
      </c>
      <c r="F3719">
        <v>1</v>
      </c>
      <c r="G3719" s="2">
        <v>46161</v>
      </c>
      <c r="H3719" s="2">
        <v>46163</v>
      </c>
      <c r="I3719">
        <v>148.08000000000001</v>
      </c>
      <c r="J3719">
        <v>40.33</v>
      </c>
      <c r="K3719">
        <v>40.33</v>
      </c>
      <c r="L3719">
        <v>0</v>
      </c>
      <c r="M3719" s="1" t="s">
        <v>21</v>
      </c>
      <c r="N3719" s="1" t="s">
        <v>22</v>
      </c>
      <c r="O3719" s="2">
        <v>46203</v>
      </c>
      <c r="P3719" s="2">
        <v>46203</v>
      </c>
      <c r="Q3719">
        <f>_xlfn.XLOOKUP(E3719,CPT!$A$2:$A$13,CPT!$D$2:$D$13)</f>
        <v>145</v>
      </c>
      <c r="R3719" s="1">
        <f>_xlfn.XLOOKUP(C3719,Contract!$A$2:$A$9,Contract!$B$2:$B$9)</f>
        <v>0.27</v>
      </c>
      <c r="S3719" s="1">
        <f t="shared" si="232"/>
        <v>39.15</v>
      </c>
      <c r="T3719" s="1">
        <f t="shared" si="233"/>
        <v>-1.1799999999999997</v>
      </c>
      <c r="U3719" s="1" t="str">
        <f t="shared" si="234"/>
        <v>OK</v>
      </c>
      <c r="V3719" s="1" t="str">
        <f>_xlfn.XLOOKUP(C3719,Payers!$A$2:$A$9,Payers!$B$2:$B$9)</f>
        <v>Florida Medicaid</v>
      </c>
      <c r="W3719" s="1" t="str">
        <f t="shared" si="235"/>
        <v>2026-05</v>
      </c>
    </row>
    <row r="3720" spans="1:23">
      <c r="A3720" s="1" t="s">
        <v>6039</v>
      </c>
      <c r="B3720" s="1" t="s">
        <v>6040</v>
      </c>
      <c r="C3720" s="1" t="s">
        <v>18</v>
      </c>
      <c r="D3720" s="1" t="s">
        <v>19</v>
      </c>
      <c r="E3720" s="1" t="s">
        <v>88</v>
      </c>
      <c r="F3720">
        <v>1</v>
      </c>
      <c r="G3720" s="2">
        <v>46208</v>
      </c>
      <c r="H3720" s="2">
        <v>46209</v>
      </c>
      <c r="I3720">
        <v>254.63</v>
      </c>
      <c r="J3720">
        <v>106.19</v>
      </c>
      <c r="K3720">
        <v>84.95</v>
      </c>
      <c r="L3720">
        <v>21.24</v>
      </c>
      <c r="M3720" s="1" t="s">
        <v>21</v>
      </c>
      <c r="N3720" s="1" t="s">
        <v>22</v>
      </c>
      <c r="O3720" s="2">
        <v>46267</v>
      </c>
      <c r="P3720" s="2">
        <v>46267</v>
      </c>
      <c r="Q3720">
        <f>_xlfn.XLOOKUP(E3720,CPT!$A$2:$A$13,CPT!$D$2:$D$13)</f>
        <v>260</v>
      </c>
      <c r="R3720" s="1">
        <f>_xlfn.XLOOKUP(C3720,Contract!$A$2:$A$9,Contract!$B$2:$B$9)</f>
        <v>0.38</v>
      </c>
      <c r="S3720" s="1">
        <f t="shared" si="232"/>
        <v>98.8</v>
      </c>
      <c r="T3720" s="1">
        <f t="shared" si="233"/>
        <v>-7.3900000000000006</v>
      </c>
      <c r="U3720" s="1" t="str">
        <f t="shared" si="234"/>
        <v>OK</v>
      </c>
      <c r="V3720" s="1" t="str">
        <f>_xlfn.XLOOKUP(C3720,Payers!$A$2:$A$9,Payers!$B$2:$B$9)</f>
        <v>Sunshine Medicare Advantage</v>
      </c>
      <c r="W3720" s="1" t="str">
        <f t="shared" si="235"/>
        <v>2026-07</v>
      </c>
    </row>
    <row r="3721" spans="1:23">
      <c r="A3721" s="1" t="s">
        <v>6041</v>
      </c>
      <c r="B3721" s="1" t="s">
        <v>4308</v>
      </c>
      <c r="C3721" s="1" t="s">
        <v>52</v>
      </c>
      <c r="D3721" s="1" t="s">
        <v>26</v>
      </c>
      <c r="E3721" s="1" t="s">
        <v>88</v>
      </c>
      <c r="F3721">
        <v>1</v>
      </c>
      <c r="G3721" s="2">
        <v>46227</v>
      </c>
      <c r="H3721" s="2">
        <v>46229</v>
      </c>
      <c r="I3721">
        <v>253.84</v>
      </c>
      <c r="J3721">
        <v>116.74</v>
      </c>
      <c r="K3721">
        <v>116.74</v>
      </c>
      <c r="L3721">
        <v>0</v>
      </c>
      <c r="M3721" s="1" t="s">
        <v>21</v>
      </c>
      <c r="N3721" s="1" t="s">
        <v>22</v>
      </c>
      <c r="O3721" s="2">
        <v>46271</v>
      </c>
      <c r="P3721" s="2">
        <v>46271</v>
      </c>
      <c r="Q3721">
        <f>_xlfn.XLOOKUP(E3721,CPT!$A$2:$A$13,CPT!$D$2:$D$13)</f>
        <v>260</v>
      </c>
      <c r="R3721" s="1">
        <f>_xlfn.XLOOKUP(C3721,Contract!$A$2:$A$9,Contract!$B$2:$B$9)</f>
        <v>0.47</v>
      </c>
      <c r="S3721" s="1">
        <f t="shared" si="232"/>
        <v>122.2</v>
      </c>
      <c r="T3721" s="1">
        <f t="shared" si="233"/>
        <v>5.460000000000008</v>
      </c>
      <c r="U3721" s="1" t="str">
        <f t="shared" si="234"/>
        <v>OK</v>
      </c>
      <c r="V3721" s="1" t="str">
        <f>_xlfn.XLOOKUP(C3721,Payers!$A$2:$A$9,Payers!$B$2:$B$9)</f>
        <v>Keystone Commercial PPO</v>
      </c>
      <c r="W3721" s="1" t="str">
        <f t="shared" si="235"/>
        <v>2026-07</v>
      </c>
    </row>
    <row r="3722" spans="1:23">
      <c r="A3722" s="1" t="s">
        <v>6042</v>
      </c>
      <c r="B3722" s="1" t="s">
        <v>3443</v>
      </c>
      <c r="C3722" s="1" t="s">
        <v>18</v>
      </c>
      <c r="D3722" s="1" t="s">
        <v>19</v>
      </c>
      <c r="E3722" s="1" t="s">
        <v>41</v>
      </c>
      <c r="F3722">
        <v>1</v>
      </c>
      <c r="G3722" s="2">
        <v>46282</v>
      </c>
      <c r="H3722" s="2">
        <v>46283</v>
      </c>
      <c r="I3722">
        <v>37.72</v>
      </c>
      <c r="M3722" s="1" t="s">
        <v>69</v>
      </c>
      <c r="N3722" s="1" t="s">
        <v>22</v>
      </c>
      <c r="O3722" s="2"/>
      <c r="P3722" s="2"/>
      <c r="Q3722">
        <f>_xlfn.XLOOKUP(E3722,CPT!$A$2:$A$13,CPT!$D$2:$D$13)</f>
        <v>38</v>
      </c>
      <c r="R3722" s="1">
        <f>_xlfn.XLOOKUP(C3722,Contract!$A$2:$A$9,Contract!$B$2:$B$9)</f>
        <v>0.38</v>
      </c>
      <c r="S3722" s="1">
        <f t="shared" si="232"/>
        <v>14.44</v>
      </c>
      <c r="T3722" s="1" t="str">
        <f t="shared" si="233"/>
        <v/>
      </c>
      <c r="U3722" s="1" t="str">
        <f t="shared" si="234"/>
        <v/>
      </c>
      <c r="V3722" s="1" t="str">
        <f>_xlfn.XLOOKUP(C3722,Payers!$A$2:$A$9,Payers!$B$2:$B$9)</f>
        <v>Sunshine Medicare Advantage</v>
      </c>
      <c r="W3722" s="1" t="str">
        <f t="shared" si="235"/>
        <v>2026-09</v>
      </c>
    </row>
    <row r="3723" spans="1:23">
      <c r="A3723" s="1" t="s">
        <v>6043</v>
      </c>
      <c r="B3723" s="1" t="s">
        <v>6044</v>
      </c>
      <c r="C3723" s="1" t="s">
        <v>76</v>
      </c>
      <c r="D3723" s="1" t="s">
        <v>26</v>
      </c>
      <c r="E3723" s="1" t="s">
        <v>57</v>
      </c>
      <c r="F3723">
        <v>1</v>
      </c>
      <c r="G3723" s="2">
        <v>46121</v>
      </c>
      <c r="H3723" s="2">
        <v>46123</v>
      </c>
      <c r="I3723">
        <v>208.01</v>
      </c>
      <c r="J3723">
        <v>85.33</v>
      </c>
      <c r="K3723">
        <v>68.260000000000005</v>
      </c>
      <c r="L3723">
        <v>17.07</v>
      </c>
      <c r="M3723" s="1" t="s">
        <v>21</v>
      </c>
      <c r="N3723" s="1" t="s">
        <v>22</v>
      </c>
      <c r="O3723" s="2">
        <v>46185</v>
      </c>
      <c r="P3723" s="2">
        <v>46185</v>
      </c>
      <c r="Q3723">
        <f>_xlfn.XLOOKUP(E3723,CPT!$A$2:$A$13,CPT!$D$2:$D$13)</f>
        <v>210</v>
      </c>
      <c r="R3723" s="1">
        <f>_xlfn.XLOOKUP(C3723,Contract!$A$2:$A$9,Contract!$B$2:$B$9)</f>
        <v>0.43</v>
      </c>
      <c r="S3723" s="1">
        <f t="shared" si="232"/>
        <v>90.3</v>
      </c>
      <c r="T3723" s="1">
        <f t="shared" si="233"/>
        <v>4.9699999999999989</v>
      </c>
      <c r="U3723" s="1" t="str">
        <f t="shared" si="234"/>
        <v>Underpaid</v>
      </c>
      <c r="V3723" s="1" t="str">
        <f>_xlfn.XLOOKUP(C3723,Payers!$A$2:$A$9,Payers!$B$2:$B$9)</f>
        <v>Summit Health Commercial</v>
      </c>
      <c r="W3723" s="1" t="str">
        <f t="shared" si="235"/>
        <v>2026-04</v>
      </c>
    </row>
    <row r="3724" spans="1:23">
      <c r="A3724" s="1" t="s">
        <v>6045</v>
      </c>
      <c r="B3724" s="1" t="s">
        <v>3250</v>
      </c>
      <c r="C3724" s="1" t="s">
        <v>18</v>
      </c>
      <c r="D3724" s="1" t="s">
        <v>37</v>
      </c>
      <c r="E3724" s="1" t="s">
        <v>38</v>
      </c>
      <c r="F3724">
        <v>30</v>
      </c>
      <c r="G3724" s="2">
        <v>46232</v>
      </c>
      <c r="H3724" s="2">
        <v>46234</v>
      </c>
      <c r="I3724">
        <v>43447</v>
      </c>
      <c r="J3724">
        <v>15778.64</v>
      </c>
      <c r="K3724">
        <v>15778.64</v>
      </c>
      <c r="L3724">
        <v>0</v>
      </c>
      <c r="M3724" s="1" t="s">
        <v>21</v>
      </c>
      <c r="N3724" s="1" t="s">
        <v>22</v>
      </c>
      <c r="O3724" s="2">
        <v>46273</v>
      </c>
      <c r="P3724" s="2">
        <v>46273</v>
      </c>
      <c r="Q3724">
        <f>_xlfn.XLOOKUP(E3724,CPT!$A$2:$A$13,CPT!$D$2:$D$13)</f>
        <v>1450</v>
      </c>
      <c r="R3724" s="1">
        <f>_xlfn.XLOOKUP(C3724,Contract!$A$2:$A$9,Contract!$B$2:$B$9)</f>
        <v>0.38</v>
      </c>
      <c r="S3724" s="1">
        <f t="shared" si="232"/>
        <v>16530</v>
      </c>
      <c r="T3724" s="1">
        <f t="shared" si="233"/>
        <v>751.36000000000058</v>
      </c>
      <c r="U3724" s="1" t="str">
        <f t="shared" si="234"/>
        <v>OK</v>
      </c>
      <c r="V3724" s="1" t="str">
        <f>_xlfn.XLOOKUP(C3724,Payers!$A$2:$A$9,Payers!$B$2:$B$9)</f>
        <v>Sunshine Medicare Advantage</v>
      </c>
      <c r="W3724" s="1" t="str">
        <f t="shared" si="235"/>
        <v>2026-07</v>
      </c>
    </row>
    <row r="3725" spans="1:23">
      <c r="A3725" s="1" t="s">
        <v>6046</v>
      </c>
      <c r="B3725" s="1" t="s">
        <v>5426</v>
      </c>
      <c r="C3725" s="1" t="s">
        <v>60</v>
      </c>
      <c r="D3725" s="1" t="s">
        <v>37</v>
      </c>
      <c r="E3725" s="1" t="s">
        <v>57</v>
      </c>
      <c r="F3725">
        <v>1</v>
      </c>
      <c r="G3725" s="2">
        <v>46055</v>
      </c>
      <c r="H3725" s="2">
        <v>46062</v>
      </c>
      <c r="I3725">
        <v>204.39</v>
      </c>
      <c r="J3725">
        <v>89.86</v>
      </c>
      <c r="K3725">
        <v>89.86</v>
      </c>
      <c r="L3725">
        <v>0</v>
      </c>
      <c r="M3725" s="1" t="s">
        <v>21</v>
      </c>
      <c r="N3725" s="1" t="s">
        <v>22</v>
      </c>
      <c r="O3725" s="2">
        <v>46093</v>
      </c>
      <c r="P3725" s="2">
        <v>46093</v>
      </c>
      <c r="Q3725">
        <f>_xlfn.XLOOKUP(E3725,CPT!$A$2:$A$13,CPT!$D$2:$D$13)</f>
        <v>210</v>
      </c>
      <c r="R3725" s="1">
        <f>_xlfn.XLOOKUP(C3725,Contract!$A$2:$A$9,Contract!$B$2:$B$9)</f>
        <v>0.45</v>
      </c>
      <c r="S3725" s="1">
        <f t="shared" si="232"/>
        <v>94.5</v>
      </c>
      <c r="T3725" s="1">
        <f t="shared" si="233"/>
        <v>4.6400000000000006</v>
      </c>
      <c r="U3725" s="1" t="str">
        <f t="shared" si="234"/>
        <v>OK</v>
      </c>
      <c r="V3725" s="1" t="str">
        <f>_xlfn.XLOOKUP(C3725,Payers!$A$2:$A$9,Payers!$B$2:$B$9)</f>
        <v>Blue Horizon Commercial</v>
      </c>
      <c r="W3725" s="1" t="str">
        <f t="shared" si="235"/>
        <v>2026-02</v>
      </c>
    </row>
    <row r="3726" spans="1:23">
      <c r="A3726" s="1" t="s">
        <v>6047</v>
      </c>
      <c r="B3726" s="1" t="s">
        <v>5349</v>
      </c>
      <c r="C3726" s="1" t="s">
        <v>25</v>
      </c>
      <c r="D3726" s="1" t="s">
        <v>26</v>
      </c>
      <c r="E3726" s="1" t="s">
        <v>113</v>
      </c>
      <c r="F3726">
        <v>1</v>
      </c>
      <c r="G3726" s="2">
        <v>46145</v>
      </c>
      <c r="H3726" s="2">
        <v>46153</v>
      </c>
      <c r="I3726">
        <v>1071.29</v>
      </c>
      <c r="J3726">
        <v>365.8</v>
      </c>
      <c r="K3726">
        <v>365.8</v>
      </c>
      <c r="L3726">
        <v>0</v>
      </c>
      <c r="M3726" s="1" t="s">
        <v>21</v>
      </c>
      <c r="N3726" s="1" t="s">
        <v>22</v>
      </c>
      <c r="O3726" s="2">
        <v>46177</v>
      </c>
      <c r="P3726" s="2">
        <v>46177</v>
      </c>
      <c r="Q3726">
        <f>_xlfn.XLOOKUP(E3726,CPT!$A$2:$A$13,CPT!$D$2:$D$13)</f>
        <v>1050</v>
      </c>
      <c r="R3726" s="1">
        <f>_xlfn.XLOOKUP(C3726,Contract!$A$2:$A$9,Contract!$B$2:$B$9)</f>
        <v>0.36</v>
      </c>
      <c r="S3726" s="1">
        <f t="shared" si="232"/>
        <v>378</v>
      </c>
      <c r="T3726" s="1">
        <f t="shared" si="233"/>
        <v>12.199999999999989</v>
      </c>
      <c r="U3726" s="1" t="str">
        <f t="shared" si="234"/>
        <v>OK</v>
      </c>
      <c r="V3726" s="1" t="str">
        <f>_xlfn.XLOOKUP(C3726,Payers!$A$2:$A$9,Payers!$B$2:$B$9)</f>
        <v>Medicare Part B</v>
      </c>
      <c r="W3726" s="1" t="str">
        <f t="shared" si="235"/>
        <v>2026-05</v>
      </c>
    </row>
    <row r="3727" spans="1:23">
      <c r="A3727" s="1" t="s">
        <v>6048</v>
      </c>
      <c r="B3727" s="1" t="s">
        <v>5511</v>
      </c>
      <c r="C3727" s="1" t="s">
        <v>76</v>
      </c>
      <c r="D3727" s="1" t="s">
        <v>30</v>
      </c>
      <c r="E3727" s="1" t="s">
        <v>31</v>
      </c>
      <c r="F3727">
        <v>1</v>
      </c>
      <c r="G3727" s="2">
        <v>46082</v>
      </c>
      <c r="H3727" s="2">
        <v>46083</v>
      </c>
      <c r="I3727">
        <v>62.16</v>
      </c>
      <c r="J3727">
        <v>27.69</v>
      </c>
      <c r="K3727">
        <v>22.15</v>
      </c>
      <c r="L3727">
        <v>5.54</v>
      </c>
      <c r="M3727" s="1" t="s">
        <v>21</v>
      </c>
      <c r="N3727" s="1" t="s">
        <v>22</v>
      </c>
      <c r="O3727" s="2">
        <v>46098</v>
      </c>
      <c r="P3727" s="2">
        <v>46098</v>
      </c>
      <c r="Q3727">
        <f>_xlfn.XLOOKUP(E3727,CPT!$A$2:$A$13,CPT!$D$2:$D$13)</f>
        <v>62</v>
      </c>
      <c r="R3727" s="1">
        <f>_xlfn.XLOOKUP(C3727,Contract!$A$2:$A$9,Contract!$B$2:$B$9)</f>
        <v>0.43</v>
      </c>
      <c r="S3727" s="1">
        <f t="shared" si="232"/>
        <v>26.66</v>
      </c>
      <c r="T3727" s="1">
        <f t="shared" si="233"/>
        <v>-1.0300000000000011</v>
      </c>
      <c r="U3727" s="1" t="str">
        <f t="shared" si="234"/>
        <v>OK</v>
      </c>
      <c r="V3727" s="1" t="str">
        <f>_xlfn.XLOOKUP(C3727,Payers!$A$2:$A$9,Payers!$B$2:$B$9)</f>
        <v>Summit Health Commercial</v>
      </c>
      <c r="W3727" s="1" t="str">
        <f t="shared" si="235"/>
        <v>2026-03</v>
      </c>
    </row>
    <row r="3728" spans="1:23">
      <c r="A3728" s="1" t="s">
        <v>6049</v>
      </c>
      <c r="B3728" s="1" t="s">
        <v>6050</v>
      </c>
      <c r="C3728" s="1" t="s">
        <v>47</v>
      </c>
      <c r="D3728" s="1" t="s">
        <v>19</v>
      </c>
      <c r="E3728" s="1" t="s">
        <v>20</v>
      </c>
      <c r="F3728">
        <v>1</v>
      </c>
      <c r="G3728" s="2">
        <v>46263</v>
      </c>
      <c r="H3728" s="2">
        <v>46265</v>
      </c>
      <c r="I3728">
        <v>143.94</v>
      </c>
      <c r="M3728" s="1" t="s">
        <v>69</v>
      </c>
      <c r="N3728" s="1" t="s">
        <v>22</v>
      </c>
      <c r="O3728" s="2"/>
      <c r="P3728" s="2"/>
      <c r="Q3728">
        <f>_xlfn.XLOOKUP(E3728,CPT!$A$2:$A$13,CPT!$D$2:$D$13)</f>
        <v>145</v>
      </c>
      <c r="R3728" s="1">
        <f>_xlfn.XLOOKUP(C3728,Contract!$A$2:$A$9,Contract!$B$2:$B$9)</f>
        <v>0.28000000000000003</v>
      </c>
      <c r="S3728" s="1">
        <f t="shared" si="232"/>
        <v>40.6</v>
      </c>
      <c r="T3728" s="1" t="str">
        <f t="shared" si="233"/>
        <v/>
      </c>
      <c r="U3728" s="1" t="str">
        <f t="shared" si="234"/>
        <v/>
      </c>
      <c r="V3728" s="1" t="str">
        <f>_xlfn.XLOOKUP(C3728,Payers!$A$2:$A$9,Payers!$B$2:$B$9)</f>
        <v>Coastal Medicaid MCO</v>
      </c>
      <c r="W3728" s="1" t="str">
        <f t="shared" si="235"/>
        <v>2026-08</v>
      </c>
    </row>
    <row r="3729" spans="1:23">
      <c r="A3729" s="1" t="s">
        <v>6051</v>
      </c>
      <c r="B3729" s="1" t="s">
        <v>4605</v>
      </c>
      <c r="C3729" s="1" t="s">
        <v>36</v>
      </c>
      <c r="D3729" s="1" t="s">
        <v>26</v>
      </c>
      <c r="E3729" s="1" t="s">
        <v>113</v>
      </c>
      <c r="F3729">
        <v>1</v>
      </c>
      <c r="G3729" s="2">
        <v>46166</v>
      </c>
      <c r="H3729" s="2">
        <v>46170</v>
      </c>
      <c r="I3729">
        <v>1022.13</v>
      </c>
      <c r="J3729">
        <v>243.32</v>
      </c>
      <c r="K3729">
        <v>194.66</v>
      </c>
      <c r="L3729">
        <v>48.66</v>
      </c>
      <c r="M3729" s="1" t="s">
        <v>21</v>
      </c>
      <c r="N3729" s="1" t="s">
        <v>22</v>
      </c>
      <c r="O3729" s="2">
        <v>46212</v>
      </c>
      <c r="P3729" s="2">
        <v>46212</v>
      </c>
      <c r="Q3729">
        <f>_xlfn.XLOOKUP(E3729,CPT!$A$2:$A$13,CPT!$D$2:$D$13)</f>
        <v>1050</v>
      </c>
      <c r="R3729" s="1">
        <f>_xlfn.XLOOKUP(C3729,Contract!$A$2:$A$9,Contract!$B$2:$B$9)</f>
        <v>0.27</v>
      </c>
      <c r="S3729" s="1">
        <f t="shared" si="232"/>
        <v>283.5</v>
      </c>
      <c r="T3729" s="1">
        <f t="shared" si="233"/>
        <v>40.180000000000007</v>
      </c>
      <c r="U3729" s="1" t="str">
        <f t="shared" si="234"/>
        <v>Underpaid</v>
      </c>
      <c r="V3729" s="1" t="str">
        <f>_xlfn.XLOOKUP(C3729,Payers!$A$2:$A$9,Payers!$B$2:$B$9)</f>
        <v>Florida Medicaid</v>
      </c>
      <c r="W3729" s="1" t="str">
        <f t="shared" si="235"/>
        <v>2026-05</v>
      </c>
    </row>
    <row r="3730" spans="1:23">
      <c r="A3730" s="1" t="s">
        <v>6052</v>
      </c>
      <c r="B3730" s="1" t="s">
        <v>5982</v>
      </c>
      <c r="C3730" s="1" t="s">
        <v>60</v>
      </c>
      <c r="D3730" s="1" t="s">
        <v>19</v>
      </c>
      <c r="E3730" s="1" t="s">
        <v>57</v>
      </c>
      <c r="F3730">
        <v>1</v>
      </c>
      <c r="G3730" s="2">
        <v>46225</v>
      </c>
      <c r="H3730" s="2">
        <v>46228</v>
      </c>
      <c r="I3730">
        <v>216.03</v>
      </c>
      <c r="M3730" s="1" t="s">
        <v>32</v>
      </c>
      <c r="N3730" s="1" t="s">
        <v>49</v>
      </c>
      <c r="O3730" s="2">
        <v>46264</v>
      </c>
      <c r="P3730" s="2"/>
      <c r="Q3730">
        <f>_xlfn.XLOOKUP(E3730,CPT!$A$2:$A$13,CPT!$D$2:$D$13)</f>
        <v>210</v>
      </c>
      <c r="R3730" s="1">
        <f>_xlfn.XLOOKUP(C3730,Contract!$A$2:$A$9,Contract!$B$2:$B$9)</f>
        <v>0.45</v>
      </c>
      <c r="S3730" s="1">
        <f t="shared" si="232"/>
        <v>94.5</v>
      </c>
      <c r="T3730" s="1" t="str">
        <f t="shared" si="233"/>
        <v/>
      </c>
      <c r="U3730" s="1" t="str">
        <f t="shared" si="234"/>
        <v/>
      </c>
      <c r="V3730" s="1" t="str">
        <f>_xlfn.XLOOKUP(C3730,Payers!$A$2:$A$9,Payers!$B$2:$B$9)</f>
        <v>Blue Horizon Commercial</v>
      </c>
      <c r="W3730" s="1" t="str">
        <f t="shared" si="235"/>
        <v>2026-07</v>
      </c>
    </row>
    <row r="3731" spans="1:23">
      <c r="A3731" s="1" t="s">
        <v>6053</v>
      </c>
      <c r="B3731" s="1" t="s">
        <v>6023</v>
      </c>
      <c r="C3731" s="1" t="s">
        <v>47</v>
      </c>
      <c r="D3731" s="1" t="s">
        <v>26</v>
      </c>
      <c r="E3731" s="1" t="s">
        <v>44</v>
      </c>
      <c r="F3731">
        <v>1</v>
      </c>
      <c r="G3731" s="2">
        <v>46043</v>
      </c>
      <c r="H3731" s="2">
        <v>46048</v>
      </c>
      <c r="I3731">
        <v>4661.3</v>
      </c>
      <c r="J3731">
        <v>1307.4100000000001</v>
      </c>
      <c r="K3731">
        <v>1045.93</v>
      </c>
      <c r="L3731">
        <v>261.48</v>
      </c>
      <c r="M3731" s="1" t="s">
        <v>21</v>
      </c>
      <c r="N3731" s="1" t="s">
        <v>22</v>
      </c>
      <c r="O3731" s="2">
        <v>46115</v>
      </c>
      <c r="P3731" s="2">
        <v>46115</v>
      </c>
      <c r="Q3731">
        <f>_xlfn.XLOOKUP(E3731,CPT!$A$2:$A$13,CPT!$D$2:$D$13)</f>
        <v>4800</v>
      </c>
      <c r="R3731" s="1">
        <f>_xlfn.XLOOKUP(C3731,Contract!$A$2:$A$9,Contract!$B$2:$B$9)</f>
        <v>0.28000000000000003</v>
      </c>
      <c r="S3731" s="1">
        <f t="shared" si="232"/>
        <v>1344</v>
      </c>
      <c r="T3731" s="1">
        <f t="shared" si="233"/>
        <v>36.589999999999918</v>
      </c>
      <c r="U3731" s="1" t="str">
        <f t="shared" si="234"/>
        <v>OK</v>
      </c>
      <c r="V3731" s="1" t="str">
        <f>_xlfn.XLOOKUP(C3731,Payers!$A$2:$A$9,Payers!$B$2:$B$9)</f>
        <v>Coastal Medicaid MCO</v>
      </c>
      <c r="W3731" s="1" t="str">
        <f t="shared" si="235"/>
        <v>2026-01</v>
      </c>
    </row>
    <row r="3732" spans="1:23">
      <c r="A3732" s="1" t="s">
        <v>6054</v>
      </c>
      <c r="B3732" s="1" t="s">
        <v>4517</v>
      </c>
      <c r="C3732" s="1" t="s">
        <v>52</v>
      </c>
      <c r="D3732" s="1" t="s">
        <v>30</v>
      </c>
      <c r="E3732" s="1" t="s">
        <v>20</v>
      </c>
      <c r="F3732">
        <v>1</v>
      </c>
      <c r="G3732" s="2">
        <v>46189</v>
      </c>
      <c r="H3732" s="2">
        <v>46196</v>
      </c>
      <c r="I3732">
        <v>141.97999999999999</v>
      </c>
      <c r="J3732">
        <v>77.23</v>
      </c>
      <c r="K3732">
        <v>61.78</v>
      </c>
      <c r="L3732">
        <v>15.45</v>
      </c>
      <c r="M3732" s="1" t="s">
        <v>21</v>
      </c>
      <c r="N3732" s="1" t="s">
        <v>22</v>
      </c>
      <c r="O3732" s="2">
        <v>46240</v>
      </c>
      <c r="P3732" s="2">
        <v>46240</v>
      </c>
      <c r="Q3732">
        <f>_xlfn.XLOOKUP(E3732,CPT!$A$2:$A$13,CPT!$D$2:$D$13)</f>
        <v>145</v>
      </c>
      <c r="R3732" s="1">
        <f>_xlfn.XLOOKUP(C3732,Contract!$A$2:$A$9,Contract!$B$2:$B$9)</f>
        <v>0.47</v>
      </c>
      <c r="S3732" s="1">
        <f t="shared" si="232"/>
        <v>68.150000000000006</v>
      </c>
      <c r="T3732" s="1">
        <f t="shared" si="233"/>
        <v>-9.0799999999999983</v>
      </c>
      <c r="U3732" s="1" t="str">
        <f t="shared" si="234"/>
        <v>OK</v>
      </c>
      <c r="V3732" s="1" t="str">
        <f>_xlfn.XLOOKUP(C3732,Payers!$A$2:$A$9,Payers!$B$2:$B$9)</f>
        <v>Keystone Commercial PPO</v>
      </c>
      <c r="W3732" s="1" t="str">
        <f t="shared" si="235"/>
        <v>2026-06</v>
      </c>
    </row>
    <row r="3733" spans="1:23">
      <c r="A3733" s="1" t="s">
        <v>6055</v>
      </c>
      <c r="B3733" s="1" t="s">
        <v>2033</v>
      </c>
      <c r="C3733" s="1" t="s">
        <v>47</v>
      </c>
      <c r="D3733" s="1" t="s">
        <v>19</v>
      </c>
      <c r="E3733" s="1" t="s">
        <v>88</v>
      </c>
      <c r="F3733">
        <v>1</v>
      </c>
      <c r="G3733" s="2">
        <v>46026</v>
      </c>
      <c r="H3733" s="2">
        <v>46028</v>
      </c>
      <c r="I3733">
        <v>266.85000000000002</v>
      </c>
      <c r="J3733">
        <v>84.76</v>
      </c>
      <c r="K3733">
        <v>67.81</v>
      </c>
      <c r="L3733">
        <v>16.95</v>
      </c>
      <c r="M3733" s="1" t="s">
        <v>21</v>
      </c>
      <c r="N3733" s="1" t="s">
        <v>22</v>
      </c>
      <c r="O3733" s="2">
        <v>46066</v>
      </c>
      <c r="P3733" s="2">
        <v>46066</v>
      </c>
      <c r="Q3733">
        <f>_xlfn.XLOOKUP(E3733,CPT!$A$2:$A$13,CPT!$D$2:$D$13)</f>
        <v>260</v>
      </c>
      <c r="R3733" s="1">
        <f>_xlfn.XLOOKUP(C3733,Contract!$A$2:$A$9,Contract!$B$2:$B$9)</f>
        <v>0.28000000000000003</v>
      </c>
      <c r="S3733" s="1">
        <f t="shared" si="232"/>
        <v>72.8</v>
      </c>
      <c r="T3733" s="1">
        <f t="shared" si="233"/>
        <v>-11.960000000000008</v>
      </c>
      <c r="U3733" s="1" t="str">
        <f t="shared" si="234"/>
        <v>OK</v>
      </c>
      <c r="V3733" s="1" t="str">
        <f>_xlfn.XLOOKUP(C3733,Payers!$A$2:$A$9,Payers!$B$2:$B$9)</f>
        <v>Coastal Medicaid MCO</v>
      </c>
      <c r="W3733" s="1" t="str">
        <f t="shared" si="235"/>
        <v>2026-01</v>
      </c>
    </row>
    <row r="3734" spans="1:23">
      <c r="A3734" s="1" t="s">
        <v>6056</v>
      </c>
      <c r="B3734" s="1" t="s">
        <v>6057</v>
      </c>
      <c r="C3734" s="1" t="s">
        <v>52</v>
      </c>
      <c r="D3734" s="1" t="s">
        <v>30</v>
      </c>
      <c r="E3734" s="1" t="s">
        <v>91</v>
      </c>
      <c r="F3734">
        <v>3</v>
      </c>
      <c r="G3734" s="2">
        <v>46101</v>
      </c>
      <c r="H3734" s="2">
        <v>46102</v>
      </c>
      <c r="I3734">
        <v>179.09</v>
      </c>
      <c r="J3734">
        <v>91.49</v>
      </c>
      <c r="K3734">
        <v>91.49</v>
      </c>
      <c r="L3734">
        <v>0</v>
      </c>
      <c r="M3734" s="1" t="s">
        <v>21</v>
      </c>
      <c r="N3734" s="1" t="s">
        <v>22</v>
      </c>
      <c r="O3734" s="2">
        <v>46159</v>
      </c>
      <c r="P3734" s="2">
        <v>46159</v>
      </c>
      <c r="Q3734">
        <f>_xlfn.XLOOKUP(E3734,CPT!$A$2:$A$13,CPT!$D$2:$D$13)</f>
        <v>58</v>
      </c>
      <c r="R3734" s="1">
        <f>_xlfn.XLOOKUP(C3734,Contract!$A$2:$A$9,Contract!$B$2:$B$9)</f>
        <v>0.47</v>
      </c>
      <c r="S3734" s="1">
        <f t="shared" si="232"/>
        <v>81.78</v>
      </c>
      <c r="T3734" s="1">
        <f t="shared" si="233"/>
        <v>-9.7099999999999937</v>
      </c>
      <c r="U3734" s="1" t="str">
        <f t="shared" si="234"/>
        <v>OK</v>
      </c>
      <c r="V3734" s="1" t="str">
        <f>_xlfn.XLOOKUP(C3734,Payers!$A$2:$A$9,Payers!$B$2:$B$9)</f>
        <v>Keystone Commercial PPO</v>
      </c>
      <c r="W3734" s="1" t="str">
        <f t="shared" si="235"/>
        <v>2026-03</v>
      </c>
    </row>
    <row r="3735" spans="1:23">
      <c r="A3735" s="1" t="s">
        <v>6058</v>
      </c>
      <c r="B3735" s="1" t="s">
        <v>6059</v>
      </c>
      <c r="C3735" s="1" t="s">
        <v>36</v>
      </c>
      <c r="D3735" s="1" t="s">
        <v>37</v>
      </c>
      <c r="E3735" s="1" t="s">
        <v>38</v>
      </c>
      <c r="F3735">
        <v>30</v>
      </c>
      <c r="G3735" s="2">
        <v>46126</v>
      </c>
      <c r="H3735" s="2">
        <v>46129</v>
      </c>
      <c r="I3735">
        <v>44190.91</v>
      </c>
      <c r="M3735" s="1" t="s">
        <v>32</v>
      </c>
      <c r="N3735" s="1" t="s">
        <v>315</v>
      </c>
      <c r="O3735" s="2">
        <v>46164</v>
      </c>
      <c r="P3735" s="2"/>
      <c r="Q3735">
        <f>_xlfn.XLOOKUP(E3735,CPT!$A$2:$A$13,CPT!$D$2:$D$13)</f>
        <v>1450</v>
      </c>
      <c r="R3735" s="1">
        <f>_xlfn.XLOOKUP(C3735,Contract!$A$2:$A$9,Contract!$B$2:$B$9)</f>
        <v>0.27</v>
      </c>
      <c r="S3735" s="1">
        <f t="shared" si="232"/>
        <v>11745</v>
      </c>
      <c r="T3735" s="1" t="str">
        <f t="shared" si="233"/>
        <v/>
      </c>
      <c r="U3735" s="1" t="str">
        <f t="shared" si="234"/>
        <v/>
      </c>
      <c r="V3735" s="1" t="str">
        <f>_xlfn.XLOOKUP(C3735,Payers!$A$2:$A$9,Payers!$B$2:$B$9)</f>
        <v>Florida Medicaid</v>
      </c>
      <c r="W3735" s="1" t="str">
        <f t="shared" si="235"/>
        <v>2026-04</v>
      </c>
    </row>
    <row r="3736" spans="1:23">
      <c r="A3736" s="1" t="s">
        <v>6060</v>
      </c>
      <c r="B3736" s="1" t="s">
        <v>1258</v>
      </c>
      <c r="C3736" s="1" t="s">
        <v>25</v>
      </c>
      <c r="D3736" s="1" t="s">
        <v>19</v>
      </c>
      <c r="E3736" s="1" t="s">
        <v>20</v>
      </c>
      <c r="F3736">
        <v>1</v>
      </c>
      <c r="G3736" s="2">
        <v>46161</v>
      </c>
      <c r="H3736" s="2">
        <v>46168</v>
      </c>
      <c r="I3736">
        <v>141.34</v>
      </c>
      <c r="M3736" s="1" t="s">
        <v>32</v>
      </c>
      <c r="N3736" s="1" t="s">
        <v>33</v>
      </c>
      <c r="O3736" s="2">
        <v>46181</v>
      </c>
      <c r="P3736" s="2"/>
      <c r="Q3736">
        <f>_xlfn.XLOOKUP(E3736,CPT!$A$2:$A$13,CPT!$D$2:$D$13)</f>
        <v>145</v>
      </c>
      <c r="R3736" s="1">
        <f>_xlfn.XLOOKUP(C3736,Contract!$A$2:$A$9,Contract!$B$2:$B$9)</f>
        <v>0.36</v>
      </c>
      <c r="S3736" s="1">
        <f t="shared" si="232"/>
        <v>52.2</v>
      </c>
      <c r="T3736" s="1" t="str">
        <f t="shared" si="233"/>
        <v/>
      </c>
      <c r="U3736" s="1" t="str">
        <f t="shared" si="234"/>
        <v/>
      </c>
      <c r="V3736" s="1" t="str">
        <f>_xlfn.XLOOKUP(C3736,Payers!$A$2:$A$9,Payers!$B$2:$B$9)</f>
        <v>Medicare Part B</v>
      </c>
      <c r="W3736" s="1" t="str">
        <f t="shared" si="235"/>
        <v>2026-05</v>
      </c>
    </row>
    <row r="3737" spans="1:23">
      <c r="A3737" s="1" t="s">
        <v>6061</v>
      </c>
      <c r="B3737" s="1" t="s">
        <v>1416</v>
      </c>
      <c r="C3737" s="1" t="s">
        <v>60</v>
      </c>
      <c r="D3737" s="1" t="s">
        <v>26</v>
      </c>
      <c r="E3737" s="1" t="s">
        <v>57</v>
      </c>
      <c r="F3737">
        <v>1</v>
      </c>
      <c r="G3737" s="2">
        <v>46265</v>
      </c>
      <c r="H3737" s="2">
        <v>46266</v>
      </c>
      <c r="I3737">
        <v>214.15</v>
      </c>
      <c r="M3737" s="1" t="s">
        <v>32</v>
      </c>
      <c r="N3737" s="1" t="s">
        <v>168</v>
      </c>
      <c r="O3737" s="2">
        <v>46281</v>
      </c>
      <c r="P3737" s="2"/>
      <c r="Q3737">
        <f>_xlfn.XLOOKUP(E3737,CPT!$A$2:$A$13,CPT!$D$2:$D$13)</f>
        <v>210</v>
      </c>
      <c r="R3737" s="1">
        <f>_xlfn.XLOOKUP(C3737,Contract!$A$2:$A$9,Contract!$B$2:$B$9)</f>
        <v>0.45</v>
      </c>
      <c r="S3737" s="1">
        <f t="shared" si="232"/>
        <v>94.5</v>
      </c>
      <c r="T3737" s="1" t="str">
        <f t="shared" si="233"/>
        <v/>
      </c>
      <c r="U3737" s="1" t="str">
        <f t="shared" si="234"/>
        <v/>
      </c>
      <c r="V3737" s="1" t="str">
        <f>_xlfn.XLOOKUP(C3737,Payers!$A$2:$A$9,Payers!$B$2:$B$9)</f>
        <v>Blue Horizon Commercial</v>
      </c>
      <c r="W3737" s="1" t="str">
        <f t="shared" si="235"/>
        <v>2026-08</v>
      </c>
    </row>
    <row r="3738" spans="1:23">
      <c r="A3738" s="1" t="s">
        <v>6062</v>
      </c>
      <c r="B3738" s="1" t="s">
        <v>5826</v>
      </c>
      <c r="C3738" s="1" t="s">
        <v>76</v>
      </c>
      <c r="D3738" s="1" t="s">
        <v>30</v>
      </c>
      <c r="E3738" s="1" t="s">
        <v>31</v>
      </c>
      <c r="F3738">
        <v>3</v>
      </c>
      <c r="G3738" s="2">
        <v>46156</v>
      </c>
      <c r="H3738" s="2">
        <v>46159</v>
      </c>
      <c r="I3738">
        <v>180.96</v>
      </c>
      <c r="J3738">
        <v>66.77</v>
      </c>
      <c r="K3738">
        <v>66.77</v>
      </c>
      <c r="L3738">
        <v>0</v>
      </c>
      <c r="M3738" s="1" t="s">
        <v>21</v>
      </c>
      <c r="N3738" s="1" t="s">
        <v>22</v>
      </c>
      <c r="O3738" s="2">
        <v>46181</v>
      </c>
      <c r="P3738" s="2">
        <v>46181</v>
      </c>
      <c r="Q3738">
        <f>_xlfn.XLOOKUP(E3738,CPT!$A$2:$A$13,CPT!$D$2:$D$13)</f>
        <v>62</v>
      </c>
      <c r="R3738" s="1">
        <f>_xlfn.XLOOKUP(C3738,Contract!$A$2:$A$9,Contract!$B$2:$B$9)</f>
        <v>0.43</v>
      </c>
      <c r="S3738" s="1">
        <f t="shared" si="232"/>
        <v>79.98</v>
      </c>
      <c r="T3738" s="1">
        <f t="shared" si="233"/>
        <v>13.210000000000008</v>
      </c>
      <c r="U3738" s="1" t="str">
        <f t="shared" si="234"/>
        <v>Underpaid</v>
      </c>
      <c r="V3738" s="1" t="str">
        <f>_xlfn.XLOOKUP(C3738,Payers!$A$2:$A$9,Payers!$B$2:$B$9)</f>
        <v>Summit Health Commercial</v>
      </c>
      <c r="W3738" s="1" t="str">
        <f t="shared" si="235"/>
        <v>2026-05</v>
      </c>
    </row>
    <row r="3739" spans="1:23">
      <c r="A3739" s="1" t="s">
        <v>6063</v>
      </c>
      <c r="B3739" s="1" t="s">
        <v>2609</v>
      </c>
      <c r="C3739" s="1" t="s">
        <v>60</v>
      </c>
      <c r="D3739" s="1" t="s">
        <v>26</v>
      </c>
      <c r="E3739" s="1" t="s">
        <v>44</v>
      </c>
      <c r="F3739">
        <v>1</v>
      </c>
      <c r="G3739" s="2">
        <v>46061</v>
      </c>
      <c r="H3739" s="2">
        <v>46064</v>
      </c>
      <c r="I3739">
        <v>4917.4399999999996</v>
      </c>
      <c r="J3739">
        <v>1932.74</v>
      </c>
      <c r="K3739">
        <v>1932.74</v>
      </c>
      <c r="L3739">
        <v>0</v>
      </c>
      <c r="M3739" s="1" t="s">
        <v>21</v>
      </c>
      <c r="N3739" s="1" t="s">
        <v>22</v>
      </c>
      <c r="O3739" s="2">
        <v>46104</v>
      </c>
      <c r="P3739" s="2">
        <v>46104</v>
      </c>
      <c r="Q3739">
        <f>_xlfn.XLOOKUP(E3739,CPT!$A$2:$A$13,CPT!$D$2:$D$13)</f>
        <v>4800</v>
      </c>
      <c r="R3739" s="1">
        <f>_xlfn.XLOOKUP(C3739,Contract!$A$2:$A$9,Contract!$B$2:$B$9)</f>
        <v>0.45</v>
      </c>
      <c r="S3739" s="1">
        <f t="shared" si="232"/>
        <v>2160</v>
      </c>
      <c r="T3739" s="1">
        <f t="shared" si="233"/>
        <v>227.26</v>
      </c>
      <c r="U3739" s="1" t="str">
        <f t="shared" si="234"/>
        <v>Underpaid</v>
      </c>
      <c r="V3739" s="1" t="str">
        <f>_xlfn.XLOOKUP(C3739,Payers!$A$2:$A$9,Payers!$B$2:$B$9)</f>
        <v>Blue Horizon Commercial</v>
      </c>
      <c r="W3739" s="1" t="str">
        <f t="shared" si="235"/>
        <v>2026-02</v>
      </c>
    </row>
    <row r="3740" spans="1:23">
      <c r="A3740" s="1" t="s">
        <v>6064</v>
      </c>
      <c r="B3740" s="1" t="s">
        <v>2812</v>
      </c>
      <c r="C3740" s="1" t="s">
        <v>52</v>
      </c>
      <c r="D3740" s="1" t="s">
        <v>30</v>
      </c>
      <c r="E3740" s="1" t="s">
        <v>31</v>
      </c>
      <c r="F3740">
        <v>3</v>
      </c>
      <c r="G3740" s="2">
        <v>46204</v>
      </c>
      <c r="H3740" s="2">
        <v>46208</v>
      </c>
      <c r="I3740">
        <v>181.03</v>
      </c>
      <c r="J3740">
        <v>90.28</v>
      </c>
      <c r="K3740">
        <v>90.28</v>
      </c>
      <c r="L3740">
        <v>0</v>
      </c>
      <c r="M3740" s="1" t="s">
        <v>21</v>
      </c>
      <c r="N3740" s="1" t="s">
        <v>22</v>
      </c>
      <c r="O3740" s="2">
        <v>46236</v>
      </c>
      <c r="P3740" s="2">
        <v>46236</v>
      </c>
      <c r="Q3740">
        <f>_xlfn.XLOOKUP(E3740,CPT!$A$2:$A$13,CPT!$D$2:$D$13)</f>
        <v>62</v>
      </c>
      <c r="R3740" s="1">
        <f>_xlfn.XLOOKUP(C3740,Contract!$A$2:$A$9,Contract!$B$2:$B$9)</f>
        <v>0.47</v>
      </c>
      <c r="S3740" s="1">
        <f t="shared" si="232"/>
        <v>87.42</v>
      </c>
      <c r="T3740" s="1">
        <f t="shared" si="233"/>
        <v>-2.8599999999999994</v>
      </c>
      <c r="U3740" s="1" t="str">
        <f t="shared" si="234"/>
        <v>OK</v>
      </c>
      <c r="V3740" s="1" t="str">
        <f>_xlfn.XLOOKUP(C3740,Payers!$A$2:$A$9,Payers!$B$2:$B$9)</f>
        <v>Keystone Commercial PPO</v>
      </c>
      <c r="W3740" s="1" t="str">
        <f t="shared" si="235"/>
        <v>2026-07</v>
      </c>
    </row>
    <row r="3741" spans="1:23">
      <c r="A3741" s="1" t="s">
        <v>6065</v>
      </c>
      <c r="B3741" s="1" t="s">
        <v>2822</v>
      </c>
      <c r="C3741" s="1" t="s">
        <v>60</v>
      </c>
      <c r="D3741" s="1" t="s">
        <v>26</v>
      </c>
      <c r="E3741" s="1" t="s">
        <v>44</v>
      </c>
      <c r="F3741">
        <v>1</v>
      </c>
      <c r="G3741" s="2">
        <v>46258</v>
      </c>
      <c r="H3741" s="2">
        <v>46264</v>
      </c>
      <c r="I3741">
        <v>4778.87</v>
      </c>
      <c r="M3741" s="1" t="s">
        <v>32</v>
      </c>
      <c r="N3741" s="1" t="s">
        <v>49</v>
      </c>
      <c r="O3741" s="2">
        <v>46279</v>
      </c>
      <c r="P3741" s="2"/>
      <c r="Q3741">
        <f>_xlfn.XLOOKUP(E3741,CPT!$A$2:$A$13,CPT!$D$2:$D$13)</f>
        <v>4800</v>
      </c>
      <c r="R3741" s="1">
        <f>_xlfn.XLOOKUP(C3741,Contract!$A$2:$A$9,Contract!$B$2:$B$9)</f>
        <v>0.45</v>
      </c>
      <c r="S3741" s="1">
        <f t="shared" si="232"/>
        <v>2160</v>
      </c>
      <c r="T3741" s="1" t="str">
        <f t="shared" si="233"/>
        <v/>
      </c>
      <c r="U3741" s="1" t="str">
        <f t="shared" si="234"/>
        <v/>
      </c>
      <c r="V3741" s="1" t="str">
        <f>_xlfn.XLOOKUP(C3741,Payers!$A$2:$A$9,Payers!$B$2:$B$9)</f>
        <v>Blue Horizon Commercial</v>
      </c>
      <c r="W3741" s="1" t="str">
        <f t="shared" si="235"/>
        <v>2026-08</v>
      </c>
    </row>
    <row r="3742" spans="1:23">
      <c r="A3742" s="1" t="s">
        <v>6066</v>
      </c>
      <c r="B3742" s="1" t="s">
        <v>3611</v>
      </c>
      <c r="C3742" s="1" t="s">
        <v>76</v>
      </c>
      <c r="D3742" s="1" t="s">
        <v>26</v>
      </c>
      <c r="E3742" s="1" t="s">
        <v>88</v>
      </c>
      <c r="F3742">
        <v>1</v>
      </c>
      <c r="G3742" s="2">
        <v>46171</v>
      </c>
      <c r="H3742" s="2">
        <v>46185</v>
      </c>
      <c r="I3742">
        <v>252.98</v>
      </c>
      <c r="J3742">
        <v>108.78</v>
      </c>
      <c r="K3742">
        <v>97.9</v>
      </c>
      <c r="L3742">
        <v>10.88</v>
      </c>
      <c r="M3742" s="1" t="s">
        <v>21</v>
      </c>
      <c r="N3742" s="1" t="s">
        <v>22</v>
      </c>
      <c r="O3742" s="2">
        <v>46229</v>
      </c>
      <c r="P3742" s="2">
        <v>46229</v>
      </c>
      <c r="Q3742">
        <f>_xlfn.XLOOKUP(E3742,CPT!$A$2:$A$13,CPT!$D$2:$D$13)</f>
        <v>260</v>
      </c>
      <c r="R3742" s="1">
        <f>_xlfn.XLOOKUP(C3742,Contract!$A$2:$A$9,Contract!$B$2:$B$9)</f>
        <v>0.43</v>
      </c>
      <c r="S3742" s="1">
        <f t="shared" si="232"/>
        <v>111.8</v>
      </c>
      <c r="T3742" s="1">
        <f t="shared" si="233"/>
        <v>3.019999999999996</v>
      </c>
      <c r="U3742" s="1" t="str">
        <f t="shared" si="234"/>
        <v>OK</v>
      </c>
      <c r="V3742" s="1" t="str">
        <f>_xlfn.XLOOKUP(C3742,Payers!$A$2:$A$9,Payers!$B$2:$B$9)</f>
        <v>Summit Health Commercial</v>
      </c>
      <c r="W3742" s="1" t="str">
        <f t="shared" si="235"/>
        <v>2026-05</v>
      </c>
    </row>
    <row r="3743" spans="1:23">
      <c r="A3743" s="1" t="s">
        <v>6067</v>
      </c>
      <c r="B3743" s="1" t="s">
        <v>4005</v>
      </c>
      <c r="C3743" s="1" t="s">
        <v>25</v>
      </c>
      <c r="D3743" s="1" t="s">
        <v>26</v>
      </c>
      <c r="E3743" s="1" t="s">
        <v>27</v>
      </c>
      <c r="F3743">
        <v>1</v>
      </c>
      <c r="G3743" s="2">
        <v>46179</v>
      </c>
      <c r="H3743" s="2">
        <v>46183</v>
      </c>
      <c r="I3743">
        <v>243.05</v>
      </c>
      <c r="J3743">
        <v>92.99</v>
      </c>
      <c r="K3743">
        <v>92.99</v>
      </c>
      <c r="L3743">
        <v>0</v>
      </c>
      <c r="M3743" s="1" t="s">
        <v>21</v>
      </c>
      <c r="N3743" s="1" t="s">
        <v>22</v>
      </c>
      <c r="O3743" s="2">
        <v>46200</v>
      </c>
      <c r="P3743" s="2">
        <v>46200</v>
      </c>
      <c r="Q3743">
        <f>_xlfn.XLOOKUP(E3743,CPT!$A$2:$A$13,CPT!$D$2:$D$13)</f>
        <v>240</v>
      </c>
      <c r="R3743" s="1">
        <f>_xlfn.XLOOKUP(C3743,Contract!$A$2:$A$9,Contract!$B$2:$B$9)</f>
        <v>0.36</v>
      </c>
      <c r="S3743" s="1">
        <f t="shared" si="232"/>
        <v>86.4</v>
      </c>
      <c r="T3743" s="1">
        <f t="shared" si="233"/>
        <v>-6.5899999999999892</v>
      </c>
      <c r="U3743" s="1" t="str">
        <f t="shared" si="234"/>
        <v>OK</v>
      </c>
      <c r="V3743" s="1" t="str">
        <f>_xlfn.XLOOKUP(C3743,Payers!$A$2:$A$9,Payers!$B$2:$B$9)</f>
        <v>Medicare Part B</v>
      </c>
      <c r="W3743" s="1" t="str">
        <f t="shared" si="235"/>
        <v>2026-06</v>
      </c>
    </row>
    <row r="3744" spans="1:23">
      <c r="A3744" s="1" t="s">
        <v>6068</v>
      </c>
      <c r="B3744" s="1" t="s">
        <v>2873</v>
      </c>
      <c r="C3744" s="1" t="s">
        <v>60</v>
      </c>
      <c r="D3744" s="1" t="s">
        <v>30</v>
      </c>
      <c r="E3744" s="1" t="s">
        <v>31</v>
      </c>
      <c r="F3744">
        <v>1</v>
      </c>
      <c r="G3744" s="2">
        <v>46032</v>
      </c>
      <c r="H3744" s="2">
        <v>46038</v>
      </c>
      <c r="I3744">
        <v>61.5</v>
      </c>
      <c r="J3744">
        <v>27.22</v>
      </c>
      <c r="K3744">
        <v>27.22</v>
      </c>
      <c r="L3744">
        <v>0</v>
      </c>
      <c r="M3744" s="1" t="s">
        <v>21</v>
      </c>
      <c r="N3744" s="1" t="s">
        <v>22</v>
      </c>
      <c r="O3744" s="2">
        <v>46056</v>
      </c>
      <c r="P3744" s="2">
        <v>46056</v>
      </c>
      <c r="Q3744">
        <f>_xlfn.XLOOKUP(E3744,CPT!$A$2:$A$13,CPT!$D$2:$D$13)</f>
        <v>62</v>
      </c>
      <c r="R3744" s="1">
        <f>_xlfn.XLOOKUP(C3744,Contract!$A$2:$A$9,Contract!$B$2:$B$9)</f>
        <v>0.45</v>
      </c>
      <c r="S3744" s="1">
        <f t="shared" si="232"/>
        <v>27.9</v>
      </c>
      <c r="T3744" s="1">
        <f t="shared" si="233"/>
        <v>0.67999999999999972</v>
      </c>
      <c r="U3744" s="1" t="str">
        <f t="shared" si="234"/>
        <v>OK</v>
      </c>
      <c r="V3744" s="1" t="str">
        <f>_xlfn.XLOOKUP(C3744,Payers!$A$2:$A$9,Payers!$B$2:$B$9)</f>
        <v>Blue Horizon Commercial</v>
      </c>
      <c r="W3744" s="1" t="str">
        <f t="shared" si="235"/>
        <v>2026-01</v>
      </c>
    </row>
    <row r="3745" spans="1:23">
      <c r="A3745" s="1" t="s">
        <v>6069</v>
      </c>
      <c r="B3745" s="1" t="s">
        <v>6070</v>
      </c>
      <c r="C3745" s="1" t="s">
        <v>25</v>
      </c>
      <c r="D3745" s="1" t="s">
        <v>26</v>
      </c>
      <c r="E3745" s="1" t="s">
        <v>185</v>
      </c>
      <c r="F3745">
        <v>1</v>
      </c>
      <c r="G3745" s="2">
        <v>46255</v>
      </c>
      <c r="H3745" s="2">
        <v>46258</v>
      </c>
      <c r="I3745">
        <v>1179.6600000000001</v>
      </c>
      <c r="J3745">
        <v>371.9</v>
      </c>
      <c r="K3745">
        <v>334.71</v>
      </c>
      <c r="L3745">
        <v>37.19</v>
      </c>
      <c r="M3745" s="1" t="s">
        <v>21</v>
      </c>
      <c r="N3745" s="1" t="s">
        <v>22</v>
      </c>
      <c r="O3745" s="2">
        <v>46272</v>
      </c>
      <c r="P3745" s="2">
        <v>46272</v>
      </c>
      <c r="Q3745">
        <f>_xlfn.XLOOKUP(E3745,CPT!$A$2:$A$13,CPT!$D$2:$D$13)</f>
        <v>1150</v>
      </c>
      <c r="R3745" s="1">
        <f>_xlfn.XLOOKUP(C3745,Contract!$A$2:$A$9,Contract!$B$2:$B$9)</f>
        <v>0.36</v>
      </c>
      <c r="S3745" s="1">
        <f t="shared" si="232"/>
        <v>414</v>
      </c>
      <c r="T3745" s="1">
        <f t="shared" si="233"/>
        <v>42.100000000000023</v>
      </c>
      <c r="U3745" s="1" t="str">
        <f t="shared" si="234"/>
        <v>Underpaid</v>
      </c>
      <c r="V3745" s="1" t="str">
        <f>_xlfn.XLOOKUP(C3745,Payers!$A$2:$A$9,Payers!$B$2:$B$9)</f>
        <v>Medicare Part B</v>
      </c>
      <c r="W3745" s="1" t="str">
        <f t="shared" si="235"/>
        <v>2026-08</v>
      </c>
    </row>
    <row r="3746" spans="1:23">
      <c r="A3746" s="1" t="s">
        <v>6071</v>
      </c>
      <c r="B3746" s="1" t="s">
        <v>675</v>
      </c>
      <c r="C3746" s="1" t="s">
        <v>47</v>
      </c>
      <c r="D3746" s="1" t="s">
        <v>30</v>
      </c>
      <c r="E3746" s="1" t="s">
        <v>91</v>
      </c>
      <c r="F3746">
        <v>1</v>
      </c>
      <c r="G3746" s="2">
        <v>46039</v>
      </c>
      <c r="H3746" s="2">
        <v>46040</v>
      </c>
      <c r="I3746">
        <v>59.72</v>
      </c>
      <c r="M3746" s="1" t="s">
        <v>32</v>
      </c>
      <c r="N3746" s="1" t="s">
        <v>33</v>
      </c>
      <c r="O3746" s="2">
        <v>46090</v>
      </c>
      <c r="P3746" s="2"/>
      <c r="Q3746">
        <f>_xlfn.XLOOKUP(E3746,CPT!$A$2:$A$13,CPT!$D$2:$D$13)</f>
        <v>58</v>
      </c>
      <c r="R3746" s="1">
        <f>_xlfn.XLOOKUP(C3746,Contract!$A$2:$A$9,Contract!$B$2:$B$9)</f>
        <v>0.28000000000000003</v>
      </c>
      <c r="S3746" s="1">
        <f t="shared" si="232"/>
        <v>16.239999999999998</v>
      </c>
      <c r="T3746" s="1" t="str">
        <f t="shared" si="233"/>
        <v/>
      </c>
      <c r="U3746" s="1" t="str">
        <f t="shared" si="234"/>
        <v/>
      </c>
      <c r="V3746" s="1" t="str">
        <f>_xlfn.XLOOKUP(C3746,Payers!$A$2:$A$9,Payers!$B$2:$B$9)</f>
        <v>Coastal Medicaid MCO</v>
      </c>
      <c r="W3746" s="1" t="str">
        <f t="shared" si="235"/>
        <v>2026-01</v>
      </c>
    </row>
    <row r="3747" spans="1:23">
      <c r="A3747" s="1" t="s">
        <v>6072</v>
      </c>
      <c r="B3747" s="1" t="s">
        <v>6073</v>
      </c>
      <c r="C3747" s="1" t="s">
        <v>47</v>
      </c>
      <c r="D3747" s="1" t="s">
        <v>30</v>
      </c>
      <c r="E3747" s="1" t="s">
        <v>91</v>
      </c>
      <c r="F3747">
        <v>4</v>
      </c>
      <c r="G3747" s="2">
        <v>46179</v>
      </c>
      <c r="H3747" s="2">
        <v>46180</v>
      </c>
      <c r="I3747">
        <v>235.62</v>
      </c>
      <c r="J3747">
        <v>69.400000000000006</v>
      </c>
      <c r="K3747">
        <v>55.52</v>
      </c>
      <c r="L3747">
        <v>13.88</v>
      </c>
      <c r="M3747" s="1" t="s">
        <v>21</v>
      </c>
      <c r="N3747" s="1" t="s">
        <v>22</v>
      </c>
      <c r="O3747" s="2">
        <v>46248</v>
      </c>
      <c r="P3747" s="2">
        <v>46248</v>
      </c>
      <c r="Q3747">
        <f>_xlfn.XLOOKUP(E3747,CPT!$A$2:$A$13,CPT!$D$2:$D$13)</f>
        <v>58</v>
      </c>
      <c r="R3747" s="1">
        <f>_xlfn.XLOOKUP(C3747,Contract!$A$2:$A$9,Contract!$B$2:$B$9)</f>
        <v>0.28000000000000003</v>
      </c>
      <c r="S3747" s="1">
        <f t="shared" si="232"/>
        <v>64.959999999999994</v>
      </c>
      <c r="T3747" s="1">
        <f t="shared" si="233"/>
        <v>-4.4400000000000119</v>
      </c>
      <c r="U3747" s="1" t="str">
        <f t="shared" si="234"/>
        <v>OK</v>
      </c>
      <c r="V3747" s="1" t="str">
        <f>_xlfn.XLOOKUP(C3747,Payers!$A$2:$A$9,Payers!$B$2:$B$9)</f>
        <v>Coastal Medicaid MCO</v>
      </c>
      <c r="W3747" s="1" t="str">
        <f t="shared" si="235"/>
        <v>2026-06</v>
      </c>
    </row>
    <row r="3748" spans="1:23">
      <c r="A3748" s="1" t="s">
        <v>6074</v>
      </c>
      <c r="B3748" s="1" t="s">
        <v>5426</v>
      </c>
      <c r="C3748" s="1" t="s">
        <v>25</v>
      </c>
      <c r="D3748" s="1" t="s">
        <v>26</v>
      </c>
      <c r="E3748" s="1" t="s">
        <v>27</v>
      </c>
      <c r="F3748">
        <v>1</v>
      </c>
      <c r="G3748" s="2">
        <v>46115</v>
      </c>
      <c r="H3748" s="2">
        <v>46117</v>
      </c>
      <c r="I3748">
        <v>243.48</v>
      </c>
      <c r="J3748">
        <v>81</v>
      </c>
      <c r="K3748">
        <v>81</v>
      </c>
      <c r="L3748">
        <v>0</v>
      </c>
      <c r="M3748" s="1" t="s">
        <v>21</v>
      </c>
      <c r="N3748" s="1" t="s">
        <v>22</v>
      </c>
      <c r="O3748" s="2">
        <v>46135</v>
      </c>
      <c r="P3748" s="2">
        <v>46135</v>
      </c>
      <c r="Q3748">
        <f>_xlfn.XLOOKUP(E3748,CPT!$A$2:$A$13,CPT!$D$2:$D$13)</f>
        <v>240</v>
      </c>
      <c r="R3748" s="1">
        <f>_xlfn.XLOOKUP(C3748,Contract!$A$2:$A$9,Contract!$B$2:$B$9)</f>
        <v>0.36</v>
      </c>
      <c r="S3748" s="1">
        <f t="shared" si="232"/>
        <v>86.4</v>
      </c>
      <c r="T3748" s="1">
        <f t="shared" si="233"/>
        <v>5.4000000000000057</v>
      </c>
      <c r="U3748" s="1" t="str">
        <f t="shared" si="234"/>
        <v>Underpaid</v>
      </c>
      <c r="V3748" s="1" t="str">
        <f>_xlfn.XLOOKUP(C3748,Payers!$A$2:$A$9,Payers!$B$2:$B$9)</f>
        <v>Medicare Part B</v>
      </c>
      <c r="W3748" s="1" t="str">
        <f t="shared" si="235"/>
        <v>2026-04</v>
      </c>
    </row>
    <row r="3749" spans="1:23">
      <c r="A3749" s="1" t="s">
        <v>6075</v>
      </c>
      <c r="B3749" s="1" t="s">
        <v>2524</v>
      </c>
      <c r="C3749" s="1" t="s">
        <v>47</v>
      </c>
      <c r="D3749" s="1" t="s">
        <v>26</v>
      </c>
      <c r="E3749" s="1" t="s">
        <v>41</v>
      </c>
      <c r="F3749">
        <v>1</v>
      </c>
      <c r="G3749" s="2">
        <v>46175</v>
      </c>
      <c r="H3749" s="2">
        <v>46177</v>
      </c>
      <c r="I3749">
        <v>37.78</v>
      </c>
      <c r="M3749" s="1" t="s">
        <v>32</v>
      </c>
      <c r="N3749" s="1" t="s">
        <v>49</v>
      </c>
      <c r="O3749" s="2">
        <v>46230</v>
      </c>
      <c r="P3749" s="2"/>
      <c r="Q3749">
        <f>_xlfn.XLOOKUP(E3749,CPT!$A$2:$A$13,CPT!$D$2:$D$13)</f>
        <v>38</v>
      </c>
      <c r="R3749" s="1">
        <f>_xlfn.XLOOKUP(C3749,Contract!$A$2:$A$9,Contract!$B$2:$B$9)</f>
        <v>0.28000000000000003</v>
      </c>
      <c r="S3749" s="1">
        <f t="shared" si="232"/>
        <v>10.64</v>
      </c>
      <c r="T3749" s="1" t="str">
        <f t="shared" si="233"/>
        <v/>
      </c>
      <c r="U3749" s="1" t="str">
        <f t="shared" si="234"/>
        <v/>
      </c>
      <c r="V3749" s="1" t="str">
        <f>_xlfn.XLOOKUP(C3749,Payers!$A$2:$A$9,Payers!$B$2:$B$9)</f>
        <v>Coastal Medicaid MCO</v>
      </c>
      <c r="W3749" s="1" t="str">
        <f t="shared" si="235"/>
        <v>2026-06</v>
      </c>
    </row>
    <row r="3750" spans="1:23">
      <c r="A3750" s="1" t="s">
        <v>6076</v>
      </c>
      <c r="B3750" s="1" t="s">
        <v>4581</v>
      </c>
      <c r="C3750" s="1" t="s">
        <v>60</v>
      </c>
      <c r="D3750" s="1" t="s">
        <v>30</v>
      </c>
      <c r="E3750" s="1" t="s">
        <v>31</v>
      </c>
      <c r="F3750">
        <v>2</v>
      </c>
      <c r="G3750" s="2">
        <v>46035</v>
      </c>
      <c r="H3750" s="2">
        <v>46038</v>
      </c>
      <c r="I3750">
        <v>122.97</v>
      </c>
      <c r="J3750">
        <v>48.75</v>
      </c>
      <c r="K3750">
        <v>43.87</v>
      </c>
      <c r="L3750">
        <v>4.88</v>
      </c>
      <c r="M3750" s="1" t="s">
        <v>21</v>
      </c>
      <c r="N3750" s="1" t="s">
        <v>22</v>
      </c>
      <c r="O3750" s="2">
        <v>46063</v>
      </c>
      <c r="P3750" s="2">
        <v>46063</v>
      </c>
      <c r="Q3750">
        <f>_xlfn.XLOOKUP(E3750,CPT!$A$2:$A$13,CPT!$D$2:$D$13)</f>
        <v>62</v>
      </c>
      <c r="R3750" s="1">
        <f>_xlfn.XLOOKUP(C3750,Contract!$A$2:$A$9,Contract!$B$2:$B$9)</f>
        <v>0.45</v>
      </c>
      <c r="S3750" s="1">
        <f t="shared" si="232"/>
        <v>55.8</v>
      </c>
      <c r="T3750" s="1">
        <f t="shared" si="233"/>
        <v>7.0499999999999972</v>
      </c>
      <c r="U3750" s="1" t="str">
        <f t="shared" si="234"/>
        <v>Underpaid</v>
      </c>
      <c r="V3750" s="1" t="str">
        <f>_xlfn.XLOOKUP(C3750,Payers!$A$2:$A$9,Payers!$B$2:$B$9)</f>
        <v>Blue Horizon Commercial</v>
      </c>
      <c r="W3750" s="1" t="str">
        <f t="shared" si="235"/>
        <v>2026-01</v>
      </c>
    </row>
    <row r="3751" spans="1:23">
      <c r="A3751" s="1" t="s">
        <v>6077</v>
      </c>
      <c r="B3751" s="1" t="s">
        <v>6078</v>
      </c>
      <c r="C3751" s="1" t="s">
        <v>60</v>
      </c>
      <c r="D3751" s="1" t="s">
        <v>37</v>
      </c>
      <c r="E3751" s="1" t="s">
        <v>57</v>
      </c>
      <c r="F3751">
        <v>1</v>
      </c>
      <c r="G3751" s="2">
        <v>46073</v>
      </c>
      <c r="H3751" s="2">
        <v>46078</v>
      </c>
      <c r="I3751">
        <v>206.66</v>
      </c>
      <c r="M3751" s="1" t="s">
        <v>32</v>
      </c>
      <c r="N3751" s="1" t="s">
        <v>33</v>
      </c>
      <c r="O3751" s="2">
        <v>46110</v>
      </c>
      <c r="P3751" s="2"/>
      <c r="Q3751">
        <f>_xlfn.XLOOKUP(E3751,CPT!$A$2:$A$13,CPT!$D$2:$D$13)</f>
        <v>210</v>
      </c>
      <c r="R3751" s="1">
        <f>_xlfn.XLOOKUP(C3751,Contract!$A$2:$A$9,Contract!$B$2:$B$9)</f>
        <v>0.45</v>
      </c>
      <c r="S3751" s="1">
        <f t="shared" si="232"/>
        <v>94.5</v>
      </c>
      <c r="T3751" s="1" t="str">
        <f t="shared" si="233"/>
        <v/>
      </c>
      <c r="U3751" s="1" t="str">
        <f t="shared" si="234"/>
        <v/>
      </c>
      <c r="V3751" s="1" t="str">
        <f>_xlfn.XLOOKUP(C3751,Payers!$A$2:$A$9,Payers!$B$2:$B$9)</f>
        <v>Blue Horizon Commercial</v>
      </c>
      <c r="W3751" s="1" t="str">
        <f t="shared" si="235"/>
        <v>2026-02</v>
      </c>
    </row>
    <row r="3752" spans="1:23">
      <c r="A3752" s="1" t="s">
        <v>6079</v>
      </c>
      <c r="B3752" s="1" t="s">
        <v>6080</v>
      </c>
      <c r="C3752" s="1" t="s">
        <v>52</v>
      </c>
      <c r="D3752" s="1" t="s">
        <v>26</v>
      </c>
      <c r="E3752" s="1" t="s">
        <v>88</v>
      </c>
      <c r="F3752">
        <v>1</v>
      </c>
      <c r="G3752" s="2">
        <v>46045</v>
      </c>
      <c r="H3752" s="2">
        <v>46046</v>
      </c>
      <c r="I3752">
        <v>258.02999999999997</v>
      </c>
      <c r="J3752">
        <v>135.44999999999999</v>
      </c>
      <c r="K3752">
        <v>135.44999999999999</v>
      </c>
      <c r="L3752">
        <v>0</v>
      </c>
      <c r="M3752" s="1" t="s">
        <v>21</v>
      </c>
      <c r="N3752" s="1" t="s">
        <v>22</v>
      </c>
      <c r="O3752" s="2">
        <v>46085</v>
      </c>
      <c r="P3752" s="2">
        <v>46085</v>
      </c>
      <c r="Q3752">
        <f>_xlfn.XLOOKUP(E3752,CPT!$A$2:$A$13,CPT!$D$2:$D$13)</f>
        <v>260</v>
      </c>
      <c r="R3752" s="1">
        <f>_xlfn.XLOOKUP(C3752,Contract!$A$2:$A$9,Contract!$B$2:$B$9)</f>
        <v>0.47</v>
      </c>
      <c r="S3752" s="1">
        <f t="shared" si="232"/>
        <v>122.2</v>
      </c>
      <c r="T3752" s="1">
        <f t="shared" si="233"/>
        <v>-13.249999999999986</v>
      </c>
      <c r="U3752" s="1" t="str">
        <f t="shared" si="234"/>
        <v>OK</v>
      </c>
      <c r="V3752" s="1" t="str">
        <f>_xlfn.XLOOKUP(C3752,Payers!$A$2:$A$9,Payers!$B$2:$B$9)</f>
        <v>Keystone Commercial PPO</v>
      </c>
      <c r="W3752" s="1" t="str">
        <f t="shared" si="235"/>
        <v>2026-01</v>
      </c>
    </row>
    <row r="3753" spans="1:23">
      <c r="A3753" s="1" t="s">
        <v>6081</v>
      </c>
      <c r="B3753" s="1" t="s">
        <v>843</v>
      </c>
      <c r="C3753" s="1" t="s">
        <v>25</v>
      </c>
      <c r="D3753" s="1" t="s">
        <v>37</v>
      </c>
      <c r="E3753" s="1" t="s">
        <v>38</v>
      </c>
      <c r="F3753">
        <v>5</v>
      </c>
      <c r="G3753" s="2">
        <v>46080</v>
      </c>
      <c r="H3753" s="2">
        <v>46085</v>
      </c>
      <c r="I3753">
        <v>7239.5</v>
      </c>
      <c r="M3753" s="1" t="s">
        <v>32</v>
      </c>
      <c r="N3753" s="1" t="s">
        <v>315</v>
      </c>
      <c r="O3753" s="2">
        <v>46107</v>
      </c>
      <c r="P3753" s="2"/>
      <c r="Q3753">
        <f>_xlfn.XLOOKUP(E3753,CPT!$A$2:$A$13,CPT!$D$2:$D$13)</f>
        <v>1450</v>
      </c>
      <c r="R3753" s="1">
        <f>_xlfn.XLOOKUP(C3753,Contract!$A$2:$A$9,Contract!$B$2:$B$9)</f>
        <v>0.36</v>
      </c>
      <c r="S3753" s="1">
        <f t="shared" si="232"/>
        <v>2610</v>
      </c>
      <c r="T3753" s="1" t="str">
        <f t="shared" si="233"/>
        <v/>
      </c>
      <c r="U3753" s="1" t="str">
        <f t="shared" si="234"/>
        <v/>
      </c>
      <c r="V3753" s="1" t="str">
        <f>_xlfn.XLOOKUP(C3753,Payers!$A$2:$A$9,Payers!$B$2:$B$9)</f>
        <v>Medicare Part B</v>
      </c>
      <c r="W3753" s="1" t="str">
        <f t="shared" si="235"/>
        <v>2026-02</v>
      </c>
    </row>
    <row r="3754" spans="1:23">
      <c r="A3754" s="1" t="s">
        <v>6082</v>
      </c>
      <c r="B3754" s="1" t="s">
        <v>1920</v>
      </c>
      <c r="C3754" s="1" t="s">
        <v>47</v>
      </c>
      <c r="D3754" s="1" t="s">
        <v>19</v>
      </c>
      <c r="E3754" s="1" t="s">
        <v>41</v>
      </c>
      <c r="F3754">
        <v>1</v>
      </c>
      <c r="G3754" s="2">
        <v>46011</v>
      </c>
      <c r="H3754" s="2">
        <v>46013</v>
      </c>
      <c r="I3754">
        <v>38.299999999999997</v>
      </c>
      <c r="J3754">
        <v>10.56</v>
      </c>
      <c r="K3754">
        <v>10.56</v>
      </c>
      <c r="L3754">
        <v>0</v>
      </c>
      <c r="M3754" s="1" t="s">
        <v>21</v>
      </c>
      <c r="N3754" s="1" t="s">
        <v>22</v>
      </c>
      <c r="O3754" s="2">
        <v>46074</v>
      </c>
      <c r="P3754" s="2">
        <v>46074</v>
      </c>
      <c r="Q3754">
        <f>_xlfn.XLOOKUP(E3754,CPT!$A$2:$A$13,CPT!$D$2:$D$13)</f>
        <v>38</v>
      </c>
      <c r="R3754" s="1">
        <f>_xlfn.XLOOKUP(C3754,Contract!$A$2:$A$9,Contract!$B$2:$B$9)</f>
        <v>0.28000000000000003</v>
      </c>
      <c r="S3754" s="1">
        <f t="shared" si="232"/>
        <v>10.64</v>
      </c>
      <c r="T3754" s="1">
        <f t="shared" si="233"/>
        <v>8.0000000000000071E-2</v>
      </c>
      <c r="U3754" s="1" t="str">
        <f t="shared" si="234"/>
        <v>OK</v>
      </c>
      <c r="V3754" s="1" t="str">
        <f>_xlfn.XLOOKUP(C3754,Payers!$A$2:$A$9,Payers!$B$2:$B$9)</f>
        <v>Coastal Medicaid MCO</v>
      </c>
      <c r="W3754" s="1" t="str">
        <f t="shared" si="235"/>
        <v>2025-12</v>
      </c>
    </row>
    <row r="3755" spans="1:23">
      <c r="A3755" s="1" t="s">
        <v>6083</v>
      </c>
      <c r="B3755" s="1" t="s">
        <v>5405</v>
      </c>
      <c r="C3755" s="1" t="s">
        <v>36</v>
      </c>
      <c r="D3755" s="1" t="s">
        <v>19</v>
      </c>
      <c r="E3755" s="1" t="s">
        <v>57</v>
      </c>
      <c r="F3755">
        <v>1</v>
      </c>
      <c r="G3755" s="2">
        <v>46000</v>
      </c>
      <c r="H3755" s="2">
        <v>46006</v>
      </c>
      <c r="I3755">
        <v>208.97</v>
      </c>
      <c r="J3755">
        <v>59.31</v>
      </c>
      <c r="K3755">
        <v>47.45</v>
      </c>
      <c r="L3755">
        <v>11.86</v>
      </c>
      <c r="M3755" s="1" t="s">
        <v>21</v>
      </c>
      <c r="N3755" s="1" t="s">
        <v>22</v>
      </c>
      <c r="O3755" s="2">
        <v>46048</v>
      </c>
      <c r="P3755" s="2">
        <v>46048</v>
      </c>
      <c r="Q3755">
        <f>_xlfn.XLOOKUP(E3755,CPT!$A$2:$A$13,CPT!$D$2:$D$13)</f>
        <v>210</v>
      </c>
      <c r="R3755" s="1">
        <f>_xlfn.XLOOKUP(C3755,Contract!$A$2:$A$9,Contract!$B$2:$B$9)</f>
        <v>0.27</v>
      </c>
      <c r="S3755" s="1">
        <f t="shared" si="232"/>
        <v>56.7</v>
      </c>
      <c r="T3755" s="1">
        <f t="shared" si="233"/>
        <v>-2.6099999999999994</v>
      </c>
      <c r="U3755" s="1" t="str">
        <f t="shared" si="234"/>
        <v>OK</v>
      </c>
      <c r="V3755" s="1" t="str">
        <f>_xlfn.XLOOKUP(C3755,Payers!$A$2:$A$9,Payers!$B$2:$B$9)</f>
        <v>Florida Medicaid</v>
      </c>
      <c r="W3755" s="1" t="str">
        <f t="shared" si="235"/>
        <v>2025-12</v>
      </c>
    </row>
    <row r="3756" spans="1:23">
      <c r="A3756" s="1" t="s">
        <v>6084</v>
      </c>
      <c r="B3756" s="1" t="s">
        <v>6037</v>
      </c>
      <c r="C3756" s="1" t="s">
        <v>60</v>
      </c>
      <c r="D3756" s="1" t="s">
        <v>19</v>
      </c>
      <c r="E3756" s="1" t="s">
        <v>20</v>
      </c>
      <c r="F3756">
        <v>1</v>
      </c>
      <c r="G3756" s="2">
        <v>46120</v>
      </c>
      <c r="H3756" s="2">
        <v>46121</v>
      </c>
      <c r="I3756">
        <v>142.37</v>
      </c>
      <c r="J3756">
        <v>68.989999999999995</v>
      </c>
      <c r="K3756">
        <v>62.09</v>
      </c>
      <c r="L3756">
        <v>6.9</v>
      </c>
      <c r="M3756" s="1" t="s">
        <v>21</v>
      </c>
      <c r="N3756" s="1" t="s">
        <v>22</v>
      </c>
      <c r="O3756" s="2">
        <v>46154</v>
      </c>
      <c r="P3756" s="2">
        <v>46154</v>
      </c>
      <c r="Q3756">
        <f>_xlfn.XLOOKUP(E3756,CPT!$A$2:$A$13,CPT!$D$2:$D$13)</f>
        <v>145</v>
      </c>
      <c r="R3756" s="1">
        <f>_xlfn.XLOOKUP(C3756,Contract!$A$2:$A$9,Contract!$B$2:$B$9)</f>
        <v>0.45</v>
      </c>
      <c r="S3756" s="1">
        <f t="shared" si="232"/>
        <v>65.25</v>
      </c>
      <c r="T3756" s="1">
        <f t="shared" si="233"/>
        <v>-3.7399999999999949</v>
      </c>
      <c r="U3756" s="1" t="str">
        <f t="shared" si="234"/>
        <v>OK</v>
      </c>
      <c r="V3756" s="1" t="str">
        <f>_xlfn.XLOOKUP(C3756,Payers!$A$2:$A$9,Payers!$B$2:$B$9)</f>
        <v>Blue Horizon Commercial</v>
      </c>
      <c r="W3756" s="1" t="str">
        <f t="shared" si="235"/>
        <v>2026-04</v>
      </c>
    </row>
    <row r="3757" spans="1:23">
      <c r="A3757" s="1" t="s">
        <v>6085</v>
      </c>
      <c r="B3757" s="1" t="s">
        <v>136</v>
      </c>
      <c r="C3757" s="1" t="s">
        <v>76</v>
      </c>
      <c r="D3757" s="1" t="s">
        <v>26</v>
      </c>
      <c r="E3757" s="1" t="s">
        <v>44</v>
      </c>
      <c r="F3757">
        <v>1</v>
      </c>
      <c r="G3757" s="2">
        <v>46158</v>
      </c>
      <c r="H3757" s="2">
        <v>46160</v>
      </c>
      <c r="I3757">
        <v>4793.32</v>
      </c>
      <c r="J3757">
        <v>2175.35</v>
      </c>
      <c r="K3757">
        <v>1740.28</v>
      </c>
      <c r="L3757">
        <v>435.07</v>
      </c>
      <c r="M3757" s="1" t="s">
        <v>21</v>
      </c>
      <c r="N3757" s="1" t="s">
        <v>22</v>
      </c>
      <c r="O3757" s="2">
        <v>46191</v>
      </c>
      <c r="P3757" s="2">
        <v>46191</v>
      </c>
      <c r="Q3757">
        <f>_xlfn.XLOOKUP(E3757,CPT!$A$2:$A$13,CPT!$D$2:$D$13)</f>
        <v>4800</v>
      </c>
      <c r="R3757" s="1">
        <f>_xlfn.XLOOKUP(C3757,Contract!$A$2:$A$9,Contract!$B$2:$B$9)</f>
        <v>0.43</v>
      </c>
      <c r="S3757" s="1">
        <f t="shared" si="232"/>
        <v>2064</v>
      </c>
      <c r="T3757" s="1">
        <f t="shared" si="233"/>
        <v>-111.34999999999991</v>
      </c>
      <c r="U3757" s="1" t="str">
        <f t="shared" si="234"/>
        <v>OK</v>
      </c>
      <c r="V3757" s="1" t="str">
        <f>_xlfn.XLOOKUP(C3757,Payers!$A$2:$A$9,Payers!$B$2:$B$9)</f>
        <v>Summit Health Commercial</v>
      </c>
      <c r="W3757" s="1" t="str">
        <f t="shared" si="235"/>
        <v>2026-05</v>
      </c>
    </row>
    <row r="3758" spans="1:23">
      <c r="A3758" s="1" t="s">
        <v>6086</v>
      </c>
      <c r="B3758" s="1" t="s">
        <v>2037</v>
      </c>
      <c r="C3758" s="1" t="s">
        <v>60</v>
      </c>
      <c r="D3758" s="1" t="s">
        <v>37</v>
      </c>
      <c r="E3758" s="1" t="s">
        <v>38</v>
      </c>
      <c r="F3758">
        <v>30</v>
      </c>
      <c r="G3758" s="2">
        <v>46156</v>
      </c>
      <c r="H3758" s="2">
        <v>46157</v>
      </c>
      <c r="I3758">
        <v>42215.62</v>
      </c>
      <c r="J3758">
        <v>21781.27</v>
      </c>
      <c r="K3758">
        <v>21781.27</v>
      </c>
      <c r="L3758">
        <v>0</v>
      </c>
      <c r="M3758" s="1" t="s">
        <v>21</v>
      </c>
      <c r="N3758" s="1" t="s">
        <v>22</v>
      </c>
      <c r="O3758" s="2">
        <v>46180</v>
      </c>
      <c r="P3758" s="2">
        <v>46180</v>
      </c>
      <c r="Q3758">
        <f>_xlfn.XLOOKUP(E3758,CPT!$A$2:$A$13,CPT!$D$2:$D$13)</f>
        <v>1450</v>
      </c>
      <c r="R3758" s="1">
        <f>_xlfn.XLOOKUP(C3758,Contract!$A$2:$A$9,Contract!$B$2:$B$9)</f>
        <v>0.45</v>
      </c>
      <c r="S3758" s="1">
        <f t="shared" si="232"/>
        <v>19575</v>
      </c>
      <c r="T3758" s="1">
        <f t="shared" si="233"/>
        <v>-2206.2700000000004</v>
      </c>
      <c r="U3758" s="1" t="str">
        <f t="shared" si="234"/>
        <v>OK</v>
      </c>
      <c r="V3758" s="1" t="str">
        <f>_xlfn.XLOOKUP(C3758,Payers!$A$2:$A$9,Payers!$B$2:$B$9)</f>
        <v>Blue Horizon Commercial</v>
      </c>
      <c r="W3758" s="1" t="str">
        <f t="shared" si="235"/>
        <v>2026-05</v>
      </c>
    </row>
    <row r="3759" spans="1:23">
      <c r="A3759" s="1" t="s">
        <v>6087</v>
      </c>
      <c r="B3759" s="1" t="s">
        <v>5715</v>
      </c>
      <c r="C3759" s="1" t="s">
        <v>25</v>
      </c>
      <c r="D3759" s="1" t="s">
        <v>26</v>
      </c>
      <c r="E3759" s="1" t="s">
        <v>57</v>
      </c>
      <c r="F3759">
        <v>1</v>
      </c>
      <c r="G3759" s="2">
        <v>46045</v>
      </c>
      <c r="H3759" s="2">
        <v>46054</v>
      </c>
      <c r="I3759">
        <v>216.1</v>
      </c>
      <c r="J3759">
        <v>85.73</v>
      </c>
      <c r="K3759">
        <v>68.58</v>
      </c>
      <c r="L3759">
        <v>17.149999999999999</v>
      </c>
      <c r="M3759" s="1" t="s">
        <v>21</v>
      </c>
      <c r="N3759" s="1" t="s">
        <v>22</v>
      </c>
      <c r="O3759" s="2">
        <v>46077</v>
      </c>
      <c r="P3759" s="2">
        <v>46077</v>
      </c>
      <c r="Q3759">
        <f>_xlfn.XLOOKUP(E3759,CPT!$A$2:$A$13,CPT!$D$2:$D$13)</f>
        <v>210</v>
      </c>
      <c r="R3759" s="1">
        <f>_xlfn.XLOOKUP(C3759,Contract!$A$2:$A$9,Contract!$B$2:$B$9)</f>
        <v>0.36</v>
      </c>
      <c r="S3759" s="1">
        <f t="shared" si="232"/>
        <v>75.599999999999994</v>
      </c>
      <c r="T3759" s="1">
        <f t="shared" si="233"/>
        <v>-10.13000000000001</v>
      </c>
      <c r="U3759" s="1" t="str">
        <f t="shared" si="234"/>
        <v>OK</v>
      </c>
      <c r="V3759" s="1" t="str">
        <f>_xlfn.XLOOKUP(C3759,Payers!$A$2:$A$9,Payers!$B$2:$B$9)</f>
        <v>Medicare Part B</v>
      </c>
      <c r="W3759" s="1" t="str">
        <f t="shared" si="235"/>
        <v>2026-01</v>
      </c>
    </row>
    <row r="3760" spans="1:23">
      <c r="A3760" s="1" t="s">
        <v>6088</v>
      </c>
      <c r="B3760" s="1" t="s">
        <v>6089</v>
      </c>
      <c r="C3760" s="1" t="s">
        <v>18</v>
      </c>
      <c r="D3760" s="1" t="s">
        <v>37</v>
      </c>
      <c r="E3760" s="1" t="s">
        <v>38</v>
      </c>
      <c r="F3760">
        <v>30</v>
      </c>
      <c r="G3760" s="2">
        <v>46180</v>
      </c>
      <c r="H3760" s="2">
        <v>46182</v>
      </c>
      <c r="I3760">
        <v>42899.25</v>
      </c>
      <c r="M3760" s="1" t="s">
        <v>32</v>
      </c>
      <c r="N3760" s="1" t="s">
        <v>33</v>
      </c>
      <c r="O3760" s="2">
        <v>46239</v>
      </c>
      <c r="P3760" s="2"/>
      <c r="Q3760">
        <f>_xlfn.XLOOKUP(E3760,CPT!$A$2:$A$13,CPT!$D$2:$D$13)</f>
        <v>1450</v>
      </c>
      <c r="R3760" s="1">
        <f>_xlfn.XLOOKUP(C3760,Contract!$A$2:$A$9,Contract!$B$2:$B$9)</f>
        <v>0.38</v>
      </c>
      <c r="S3760" s="1">
        <f t="shared" si="232"/>
        <v>16530</v>
      </c>
      <c r="T3760" s="1" t="str">
        <f t="shared" si="233"/>
        <v/>
      </c>
      <c r="U3760" s="1" t="str">
        <f t="shared" si="234"/>
        <v/>
      </c>
      <c r="V3760" s="1" t="str">
        <f>_xlfn.XLOOKUP(C3760,Payers!$A$2:$A$9,Payers!$B$2:$B$9)</f>
        <v>Sunshine Medicare Advantage</v>
      </c>
      <c r="W3760" s="1" t="str">
        <f t="shared" si="235"/>
        <v>2026-06</v>
      </c>
    </row>
    <row r="3761" spans="1:23">
      <c r="A3761" s="1" t="s">
        <v>6090</v>
      </c>
      <c r="B3761" s="1" t="s">
        <v>2323</v>
      </c>
      <c r="C3761" s="1" t="s">
        <v>76</v>
      </c>
      <c r="D3761" s="1" t="s">
        <v>30</v>
      </c>
      <c r="E3761" s="1" t="s">
        <v>20</v>
      </c>
      <c r="F3761">
        <v>1</v>
      </c>
      <c r="G3761" s="2">
        <v>45998</v>
      </c>
      <c r="H3761" s="2">
        <v>46003</v>
      </c>
      <c r="I3761">
        <v>145.77000000000001</v>
      </c>
      <c r="J3761">
        <v>53.73</v>
      </c>
      <c r="K3761">
        <v>53.73</v>
      </c>
      <c r="L3761">
        <v>0</v>
      </c>
      <c r="M3761" s="1" t="s">
        <v>21</v>
      </c>
      <c r="N3761" s="1" t="s">
        <v>22</v>
      </c>
      <c r="O3761" s="2">
        <v>46039</v>
      </c>
      <c r="P3761" s="2">
        <v>46039</v>
      </c>
      <c r="Q3761">
        <f>_xlfn.XLOOKUP(E3761,CPT!$A$2:$A$13,CPT!$D$2:$D$13)</f>
        <v>145</v>
      </c>
      <c r="R3761" s="1">
        <f>_xlfn.XLOOKUP(C3761,Contract!$A$2:$A$9,Contract!$B$2:$B$9)</f>
        <v>0.43</v>
      </c>
      <c r="S3761" s="1">
        <f t="shared" si="232"/>
        <v>62.35</v>
      </c>
      <c r="T3761" s="1">
        <f t="shared" si="233"/>
        <v>8.6200000000000045</v>
      </c>
      <c r="U3761" s="1" t="str">
        <f t="shared" si="234"/>
        <v>Underpaid</v>
      </c>
      <c r="V3761" s="1" t="str">
        <f>_xlfn.XLOOKUP(C3761,Payers!$A$2:$A$9,Payers!$B$2:$B$9)</f>
        <v>Summit Health Commercial</v>
      </c>
      <c r="W3761" s="1" t="str">
        <f t="shared" si="235"/>
        <v>2025-12</v>
      </c>
    </row>
    <row r="3762" spans="1:23">
      <c r="A3762" s="1" t="s">
        <v>6091</v>
      </c>
      <c r="B3762" s="1" t="s">
        <v>6092</v>
      </c>
      <c r="C3762" s="1" t="s">
        <v>60</v>
      </c>
      <c r="D3762" s="1" t="s">
        <v>37</v>
      </c>
      <c r="E3762" s="1" t="s">
        <v>48</v>
      </c>
      <c r="F3762">
        <v>1</v>
      </c>
      <c r="G3762" s="2">
        <v>46152</v>
      </c>
      <c r="H3762" s="2">
        <v>46159</v>
      </c>
      <c r="I3762">
        <v>421.77</v>
      </c>
      <c r="J3762">
        <v>195.63</v>
      </c>
      <c r="K3762">
        <v>156.5</v>
      </c>
      <c r="L3762">
        <v>39.130000000000003</v>
      </c>
      <c r="M3762" s="1" t="s">
        <v>21</v>
      </c>
      <c r="N3762" s="1" t="s">
        <v>22</v>
      </c>
      <c r="O3762" s="2">
        <v>46185</v>
      </c>
      <c r="P3762" s="2">
        <v>46185</v>
      </c>
      <c r="Q3762">
        <f>_xlfn.XLOOKUP(E3762,CPT!$A$2:$A$13,CPT!$D$2:$D$13)</f>
        <v>420</v>
      </c>
      <c r="R3762" s="1">
        <f>_xlfn.XLOOKUP(C3762,Contract!$A$2:$A$9,Contract!$B$2:$B$9)</f>
        <v>0.45</v>
      </c>
      <c r="S3762" s="1">
        <f t="shared" si="232"/>
        <v>189</v>
      </c>
      <c r="T3762" s="1">
        <f t="shared" si="233"/>
        <v>-6.6299999999999955</v>
      </c>
      <c r="U3762" s="1" t="str">
        <f t="shared" si="234"/>
        <v>OK</v>
      </c>
      <c r="V3762" s="1" t="str">
        <f>_xlfn.XLOOKUP(C3762,Payers!$A$2:$A$9,Payers!$B$2:$B$9)</f>
        <v>Blue Horizon Commercial</v>
      </c>
      <c r="W3762" s="1" t="str">
        <f t="shared" si="235"/>
        <v>2026-05</v>
      </c>
    </row>
    <row r="3763" spans="1:23">
      <c r="A3763" s="1" t="s">
        <v>6093</v>
      </c>
      <c r="B3763" s="1" t="s">
        <v>6094</v>
      </c>
      <c r="C3763" s="1" t="s">
        <v>52</v>
      </c>
      <c r="D3763" s="1" t="s">
        <v>30</v>
      </c>
      <c r="E3763" s="1" t="s">
        <v>31</v>
      </c>
      <c r="F3763">
        <v>3</v>
      </c>
      <c r="G3763" s="2">
        <v>46008</v>
      </c>
      <c r="H3763" s="2">
        <v>46010</v>
      </c>
      <c r="I3763">
        <v>181.99</v>
      </c>
      <c r="J3763">
        <v>92.16</v>
      </c>
      <c r="K3763">
        <v>92.16</v>
      </c>
      <c r="L3763">
        <v>0</v>
      </c>
      <c r="M3763" s="1" t="s">
        <v>21</v>
      </c>
      <c r="N3763" s="1" t="s">
        <v>22</v>
      </c>
      <c r="O3763" s="2">
        <v>46058</v>
      </c>
      <c r="P3763" s="2">
        <v>46058</v>
      </c>
      <c r="Q3763">
        <f>_xlfn.XLOOKUP(E3763,CPT!$A$2:$A$13,CPT!$D$2:$D$13)</f>
        <v>62</v>
      </c>
      <c r="R3763" s="1">
        <f>_xlfn.XLOOKUP(C3763,Contract!$A$2:$A$9,Contract!$B$2:$B$9)</f>
        <v>0.47</v>
      </c>
      <c r="S3763" s="1">
        <f t="shared" si="232"/>
        <v>87.42</v>
      </c>
      <c r="T3763" s="1">
        <f t="shared" si="233"/>
        <v>-4.7399999999999949</v>
      </c>
      <c r="U3763" s="1" t="str">
        <f t="shared" si="234"/>
        <v>OK</v>
      </c>
      <c r="V3763" s="1" t="str">
        <f>_xlfn.XLOOKUP(C3763,Payers!$A$2:$A$9,Payers!$B$2:$B$9)</f>
        <v>Keystone Commercial PPO</v>
      </c>
      <c r="W3763" s="1" t="str">
        <f t="shared" si="235"/>
        <v>2025-12</v>
      </c>
    </row>
    <row r="3764" spans="1:23">
      <c r="A3764" s="1" t="s">
        <v>6095</v>
      </c>
      <c r="B3764" s="1" t="s">
        <v>5378</v>
      </c>
      <c r="C3764" s="1" t="s">
        <v>52</v>
      </c>
      <c r="D3764" s="1" t="s">
        <v>37</v>
      </c>
      <c r="E3764" s="1" t="s">
        <v>38</v>
      </c>
      <c r="F3764">
        <v>5</v>
      </c>
      <c r="G3764" s="2">
        <v>46028</v>
      </c>
      <c r="H3764" s="2">
        <v>46032</v>
      </c>
      <c r="I3764">
        <v>7189.23</v>
      </c>
      <c r="J3764">
        <v>3555.97</v>
      </c>
      <c r="K3764">
        <v>3555.97</v>
      </c>
      <c r="L3764">
        <v>0</v>
      </c>
      <c r="M3764" s="1" t="s">
        <v>21</v>
      </c>
      <c r="N3764" s="1" t="s">
        <v>22</v>
      </c>
      <c r="O3764" s="2">
        <v>46069</v>
      </c>
      <c r="P3764" s="2">
        <v>46069</v>
      </c>
      <c r="Q3764">
        <f>_xlfn.XLOOKUP(E3764,CPT!$A$2:$A$13,CPT!$D$2:$D$13)</f>
        <v>1450</v>
      </c>
      <c r="R3764" s="1">
        <f>_xlfn.XLOOKUP(C3764,Contract!$A$2:$A$9,Contract!$B$2:$B$9)</f>
        <v>0.47</v>
      </c>
      <c r="S3764" s="1">
        <f t="shared" si="232"/>
        <v>3407.5</v>
      </c>
      <c r="T3764" s="1">
        <f t="shared" si="233"/>
        <v>-148.4699999999998</v>
      </c>
      <c r="U3764" s="1" t="str">
        <f t="shared" si="234"/>
        <v>OK</v>
      </c>
      <c r="V3764" s="1" t="str">
        <f>_xlfn.XLOOKUP(C3764,Payers!$A$2:$A$9,Payers!$B$2:$B$9)</f>
        <v>Keystone Commercial PPO</v>
      </c>
      <c r="W3764" s="1" t="str">
        <f t="shared" si="235"/>
        <v>2026-01</v>
      </c>
    </row>
    <row r="3765" spans="1:23">
      <c r="A3765" s="1" t="s">
        <v>6096</v>
      </c>
      <c r="B3765" s="1" t="s">
        <v>6097</v>
      </c>
      <c r="C3765" s="1" t="s">
        <v>60</v>
      </c>
      <c r="D3765" s="1" t="s">
        <v>19</v>
      </c>
      <c r="E3765" s="1" t="s">
        <v>88</v>
      </c>
      <c r="F3765">
        <v>1</v>
      </c>
      <c r="G3765" s="2">
        <v>46040</v>
      </c>
      <c r="H3765" s="2">
        <v>46044</v>
      </c>
      <c r="I3765">
        <v>257.18</v>
      </c>
      <c r="J3765">
        <v>118.7</v>
      </c>
      <c r="K3765">
        <v>118.7</v>
      </c>
      <c r="L3765">
        <v>0</v>
      </c>
      <c r="M3765" s="1" t="s">
        <v>21</v>
      </c>
      <c r="N3765" s="1" t="s">
        <v>22</v>
      </c>
      <c r="O3765" s="2">
        <v>46074</v>
      </c>
      <c r="P3765" s="2">
        <v>46074</v>
      </c>
      <c r="Q3765">
        <f>_xlfn.XLOOKUP(E3765,CPT!$A$2:$A$13,CPT!$D$2:$D$13)</f>
        <v>260</v>
      </c>
      <c r="R3765" s="1">
        <f>_xlfn.XLOOKUP(C3765,Contract!$A$2:$A$9,Contract!$B$2:$B$9)</f>
        <v>0.45</v>
      </c>
      <c r="S3765" s="1">
        <f t="shared" si="232"/>
        <v>117</v>
      </c>
      <c r="T3765" s="1">
        <f t="shared" si="233"/>
        <v>-1.7000000000000028</v>
      </c>
      <c r="U3765" s="1" t="str">
        <f t="shared" si="234"/>
        <v>OK</v>
      </c>
      <c r="V3765" s="1" t="str">
        <f>_xlfn.XLOOKUP(C3765,Payers!$A$2:$A$9,Payers!$B$2:$B$9)</f>
        <v>Blue Horizon Commercial</v>
      </c>
      <c r="W3765" s="1" t="str">
        <f t="shared" si="235"/>
        <v>2026-01</v>
      </c>
    </row>
    <row r="3766" spans="1:23">
      <c r="A3766" s="1" t="s">
        <v>6098</v>
      </c>
      <c r="B3766" s="1" t="s">
        <v>1457</v>
      </c>
      <c r="C3766" s="1" t="s">
        <v>47</v>
      </c>
      <c r="D3766" s="1" t="s">
        <v>30</v>
      </c>
      <c r="E3766" s="1" t="s">
        <v>20</v>
      </c>
      <c r="F3766">
        <v>1</v>
      </c>
      <c r="G3766" s="2">
        <v>46196</v>
      </c>
      <c r="H3766" s="2">
        <v>46202</v>
      </c>
      <c r="I3766">
        <v>148.79</v>
      </c>
      <c r="M3766" s="1" t="s">
        <v>32</v>
      </c>
      <c r="N3766" s="1" t="s">
        <v>281</v>
      </c>
      <c r="O3766" s="2">
        <v>46256</v>
      </c>
      <c r="P3766" s="2"/>
      <c r="Q3766">
        <f>_xlfn.XLOOKUP(E3766,CPT!$A$2:$A$13,CPT!$D$2:$D$13)</f>
        <v>145</v>
      </c>
      <c r="R3766" s="1">
        <f>_xlfn.XLOOKUP(C3766,Contract!$A$2:$A$9,Contract!$B$2:$B$9)</f>
        <v>0.28000000000000003</v>
      </c>
      <c r="S3766" s="1">
        <f t="shared" si="232"/>
        <v>40.6</v>
      </c>
      <c r="T3766" s="1" t="str">
        <f t="shared" si="233"/>
        <v/>
      </c>
      <c r="U3766" s="1" t="str">
        <f t="shared" si="234"/>
        <v/>
      </c>
      <c r="V3766" s="1" t="str">
        <f>_xlfn.XLOOKUP(C3766,Payers!$A$2:$A$9,Payers!$B$2:$B$9)</f>
        <v>Coastal Medicaid MCO</v>
      </c>
      <c r="W3766" s="1" t="str">
        <f t="shared" si="235"/>
        <v>2026-06</v>
      </c>
    </row>
    <row r="3767" spans="1:23">
      <c r="A3767" s="1" t="s">
        <v>6099</v>
      </c>
      <c r="B3767" s="1" t="s">
        <v>6100</v>
      </c>
      <c r="C3767" s="1" t="s">
        <v>79</v>
      </c>
      <c r="D3767" s="1" t="s">
        <v>26</v>
      </c>
      <c r="E3767" s="1" t="s">
        <v>44</v>
      </c>
      <c r="F3767">
        <v>1</v>
      </c>
      <c r="G3767" s="2">
        <v>46192</v>
      </c>
      <c r="H3767" s="2">
        <v>46197</v>
      </c>
      <c r="I3767">
        <v>4664.45</v>
      </c>
      <c r="M3767" s="1" t="s">
        <v>69</v>
      </c>
      <c r="N3767" s="1" t="s">
        <v>22</v>
      </c>
      <c r="O3767" s="2"/>
      <c r="P3767" s="2"/>
      <c r="Q3767">
        <f>_xlfn.XLOOKUP(E3767,CPT!$A$2:$A$13,CPT!$D$2:$D$13)</f>
        <v>4800</v>
      </c>
      <c r="R3767" s="1">
        <f>_xlfn.XLOOKUP(C3767,Contract!$A$2:$A$9,Contract!$B$2:$B$9)</f>
        <v>1</v>
      </c>
      <c r="S3767" s="1">
        <f t="shared" si="232"/>
        <v>4800</v>
      </c>
      <c r="T3767" s="1" t="str">
        <f t="shared" si="233"/>
        <v/>
      </c>
      <c r="U3767" s="1" t="str">
        <f t="shared" si="234"/>
        <v/>
      </c>
      <c r="V3767" s="1" t="str">
        <f>_xlfn.XLOOKUP(C3767,Payers!$A$2:$A$9,Payers!$B$2:$B$9)</f>
        <v>Self-Pay</v>
      </c>
      <c r="W3767" s="1" t="str">
        <f t="shared" si="235"/>
        <v>2026-06</v>
      </c>
    </row>
    <row r="3768" spans="1:23">
      <c r="A3768" s="1" t="s">
        <v>6101</v>
      </c>
      <c r="B3768" s="1" t="s">
        <v>6102</v>
      </c>
      <c r="C3768" s="1" t="s">
        <v>36</v>
      </c>
      <c r="D3768" s="1" t="s">
        <v>19</v>
      </c>
      <c r="E3768" s="1" t="s">
        <v>88</v>
      </c>
      <c r="F3768">
        <v>1</v>
      </c>
      <c r="G3768" s="2">
        <v>46070</v>
      </c>
      <c r="H3768" s="2">
        <v>46078</v>
      </c>
      <c r="I3768">
        <v>255.47</v>
      </c>
      <c r="M3768" s="1" t="s">
        <v>32</v>
      </c>
      <c r="N3768" s="1" t="s">
        <v>33</v>
      </c>
      <c r="O3768" s="2">
        <v>46098</v>
      </c>
      <c r="P3768" s="2"/>
      <c r="Q3768">
        <f>_xlfn.XLOOKUP(E3768,CPT!$A$2:$A$13,CPT!$D$2:$D$13)</f>
        <v>260</v>
      </c>
      <c r="R3768" s="1">
        <f>_xlfn.XLOOKUP(C3768,Contract!$A$2:$A$9,Contract!$B$2:$B$9)</f>
        <v>0.27</v>
      </c>
      <c r="S3768" s="1">
        <f t="shared" si="232"/>
        <v>70.2</v>
      </c>
      <c r="T3768" s="1" t="str">
        <f t="shared" si="233"/>
        <v/>
      </c>
      <c r="U3768" s="1" t="str">
        <f t="shared" si="234"/>
        <v/>
      </c>
      <c r="V3768" s="1" t="str">
        <f>_xlfn.XLOOKUP(C3768,Payers!$A$2:$A$9,Payers!$B$2:$B$9)</f>
        <v>Florida Medicaid</v>
      </c>
      <c r="W3768" s="1" t="str">
        <f t="shared" si="235"/>
        <v>2026-02</v>
      </c>
    </row>
    <row r="3769" spans="1:23">
      <c r="A3769" s="1" t="s">
        <v>6103</v>
      </c>
      <c r="B3769" s="1" t="s">
        <v>3082</v>
      </c>
      <c r="C3769" s="1" t="s">
        <v>18</v>
      </c>
      <c r="D3769" s="1" t="s">
        <v>30</v>
      </c>
      <c r="E3769" s="1" t="s">
        <v>31</v>
      </c>
      <c r="F3769">
        <v>4</v>
      </c>
      <c r="G3769" s="2">
        <v>45969</v>
      </c>
      <c r="H3769" s="2">
        <v>45970</v>
      </c>
      <c r="I3769">
        <v>254.28</v>
      </c>
      <c r="J3769">
        <v>91.12</v>
      </c>
      <c r="K3769">
        <v>91.12</v>
      </c>
      <c r="L3769">
        <v>0</v>
      </c>
      <c r="M3769" s="1" t="s">
        <v>21</v>
      </c>
      <c r="N3769" s="1" t="s">
        <v>22</v>
      </c>
      <c r="O3769" s="2">
        <v>46033</v>
      </c>
      <c r="P3769" s="2">
        <v>46033</v>
      </c>
      <c r="Q3769">
        <f>_xlfn.XLOOKUP(E3769,CPT!$A$2:$A$13,CPT!$D$2:$D$13)</f>
        <v>62</v>
      </c>
      <c r="R3769" s="1">
        <f>_xlfn.XLOOKUP(C3769,Contract!$A$2:$A$9,Contract!$B$2:$B$9)</f>
        <v>0.38</v>
      </c>
      <c r="S3769" s="1">
        <f t="shared" si="232"/>
        <v>94.24</v>
      </c>
      <c r="T3769" s="1">
        <f t="shared" si="233"/>
        <v>3.1199999999999903</v>
      </c>
      <c r="U3769" s="1" t="str">
        <f t="shared" si="234"/>
        <v>OK</v>
      </c>
      <c r="V3769" s="1" t="str">
        <f>_xlfn.XLOOKUP(C3769,Payers!$A$2:$A$9,Payers!$B$2:$B$9)</f>
        <v>Sunshine Medicare Advantage</v>
      </c>
      <c r="W3769" s="1" t="str">
        <f t="shared" si="235"/>
        <v>2025-11</v>
      </c>
    </row>
    <row r="3770" spans="1:23">
      <c r="A3770" s="1" t="s">
        <v>6104</v>
      </c>
      <c r="B3770" s="1" t="s">
        <v>341</v>
      </c>
      <c r="C3770" s="1" t="s">
        <v>25</v>
      </c>
      <c r="D3770" s="1" t="s">
        <v>37</v>
      </c>
      <c r="E3770" s="1" t="s">
        <v>48</v>
      </c>
      <c r="F3770">
        <v>1</v>
      </c>
      <c r="G3770" s="2">
        <v>46180</v>
      </c>
      <c r="H3770" s="2">
        <v>46186</v>
      </c>
      <c r="I3770">
        <v>415.7</v>
      </c>
      <c r="J3770">
        <v>163.02000000000001</v>
      </c>
      <c r="K3770">
        <v>163.02000000000001</v>
      </c>
      <c r="L3770">
        <v>0</v>
      </c>
      <c r="M3770" s="1" t="s">
        <v>21</v>
      </c>
      <c r="N3770" s="1" t="s">
        <v>22</v>
      </c>
      <c r="O3770" s="2">
        <v>46207</v>
      </c>
      <c r="P3770" s="2">
        <v>46207</v>
      </c>
      <c r="Q3770">
        <f>_xlfn.XLOOKUP(E3770,CPT!$A$2:$A$13,CPT!$D$2:$D$13)</f>
        <v>420</v>
      </c>
      <c r="R3770" s="1">
        <f>_xlfn.XLOOKUP(C3770,Contract!$A$2:$A$9,Contract!$B$2:$B$9)</f>
        <v>0.36</v>
      </c>
      <c r="S3770" s="1">
        <f t="shared" si="232"/>
        <v>151.19999999999999</v>
      </c>
      <c r="T3770" s="1">
        <f t="shared" si="233"/>
        <v>-11.820000000000022</v>
      </c>
      <c r="U3770" s="1" t="str">
        <f t="shared" si="234"/>
        <v>OK</v>
      </c>
      <c r="V3770" s="1" t="str">
        <f>_xlfn.XLOOKUP(C3770,Payers!$A$2:$A$9,Payers!$B$2:$B$9)</f>
        <v>Medicare Part B</v>
      </c>
      <c r="W3770" s="1" t="str">
        <f t="shared" si="235"/>
        <v>2026-06</v>
      </c>
    </row>
    <row r="3771" spans="1:23">
      <c r="A3771" s="1" t="s">
        <v>6105</v>
      </c>
      <c r="B3771" s="1" t="s">
        <v>4168</v>
      </c>
      <c r="C3771" s="1" t="s">
        <v>52</v>
      </c>
      <c r="D3771" s="1" t="s">
        <v>30</v>
      </c>
      <c r="E3771" s="1" t="s">
        <v>20</v>
      </c>
      <c r="F3771">
        <v>1</v>
      </c>
      <c r="G3771" s="2">
        <v>46167</v>
      </c>
      <c r="H3771" s="2">
        <v>46168</v>
      </c>
      <c r="I3771">
        <v>142.1</v>
      </c>
      <c r="J3771">
        <v>58.89</v>
      </c>
      <c r="K3771">
        <v>58.89</v>
      </c>
      <c r="L3771">
        <v>0</v>
      </c>
      <c r="M3771" s="1" t="s">
        <v>21</v>
      </c>
      <c r="N3771" s="1" t="s">
        <v>22</v>
      </c>
      <c r="O3771" s="2">
        <v>46228</v>
      </c>
      <c r="P3771" s="2">
        <v>46228</v>
      </c>
      <c r="Q3771">
        <f>_xlfn.XLOOKUP(E3771,CPT!$A$2:$A$13,CPT!$D$2:$D$13)</f>
        <v>145</v>
      </c>
      <c r="R3771" s="1">
        <f>_xlfn.XLOOKUP(C3771,Contract!$A$2:$A$9,Contract!$B$2:$B$9)</f>
        <v>0.47</v>
      </c>
      <c r="S3771" s="1">
        <f t="shared" si="232"/>
        <v>68.150000000000006</v>
      </c>
      <c r="T3771" s="1">
        <f t="shared" si="233"/>
        <v>9.2600000000000051</v>
      </c>
      <c r="U3771" s="1" t="str">
        <f t="shared" si="234"/>
        <v>Underpaid</v>
      </c>
      <c r="V3771" s="1" t="str">
        <f>_xlfn.XLOOKUP(C3771,Payers!$A$2:$A$9,Payers!$B$2:$B$9)</f>
        <v>Keystone Commercial PPO</v>
      </c>
      <c r="W3771" s="1" t="str">
        <f t="shared" si="235"/>
        <v>2026-05</v>
      </c>
    </row>
    <row r="3772" spans="1:23">
      <c r="A3772" s="1" t="s">
        <v>6106</v>
      </c>
      <c r="B3772" s="1" t="s">
        <v>5375</v>
      </c>
      <c r="C3772" s="1" t="s">
        <v>76</v>
      </c>
      <c r="D3772" s="1" t="s">
        <v>19</v>
      </c>
      <c r="E3772" s="1" t="s">
        <v>41</v>
      </c>
      <c r="F3772">
        <v>1</v>
      </c>
      <c r="G3772" s="2">
        <v>45934</v>
      </c>
      <c r="H3772" s="2">
        <v>45935</v>
      </c>
      <c r="I3772">
        <v>37.36</v>
      </c>
      <c r="J3772">
        <v>14.15</v>
      </c>
      <c r="K3772">
        <v>14.15</v>
      </c>
      <c r="L3772">
        <v>0</v>
      </c>
      <c r="M3772" s="1" t="s">
        <v>21</v>
      </c>
      <c r="N3772" s="1" t="s">
        <v>22</v>
      </c>
      <c r="O3772" s="2">
        <v>45962</v>
      </c>
      <c r="P3772" s="2">
        <v>45962</v>
      </c>
      <c r="Q3772">
        <f>_xlfn.XLOOKUP(E3772,CPT!$A$2:$A$13,CPT!$D$2:$D$13)</f>
        <v>38</v>
      </c>
      <c r="R3772" s="1">
        <f>_xlfn.XLOOKUP(C3772,Contract!$A$2:$A$9,Contract!$B$2:$B$9)</f>
        <v>0.43</v>
      </c>
      <c r="S3772" s="1">
        <f t="shared" si="232"/>
        <v>16.34</v>
      </c>
      <c r="T3772" s="1">
        <f t="shared" si="233"/>
        <v>2.1899999999999995</v>
      </c>
      <c r="U3772" s="1" t="str">
        <f t="shared" si="234"/>
        <v>Underpaid</v>
      </c>
      <c r="V3772" s="1" t="str">
        <f>_xlfn.XLOOKUP(C3772,Payers!$A$2:$A$9,Payers!$B$2:$B$9)</f>
        <v>Summit Health Commercial</v>
      </c>
      <c r="W3772" s="1" t="str">
        <f t="shared" si="235"/>
        <v>2025-10</v>
      </c>
    </row>
    <row r="3773" spans="1:23">
      <c r="A3773" s="1" t="s">
        <v>6107</v>
      </c>
      <c r="B3773" s="1" t="s">
        <v>6108</v>
      </c>
      <c r="C3773" s="1" t="s">
        <v>47</v>
      </c>
      <c r="D3773" s="1" t="s">
        <v>26</v>
      </c>
      <c r="E3773" s="1" t="s">
        <v>57</v>
      </c>
      <c r="F3773">
        <v>1</v>
      </c>
      <c r="G3773" s="2">
        <v>46183</v>
      </c>
      <c r="H3773" s="2">
        <v>46186</v>
      </c>
      <c r="I3773">
        <v>214.49</v>
      </c>
      <c r="J3773">
        <v>66.790000000000006</v>
      </c>
      <c r="K3773">
        <v>60.11</v>
      </c>
      <c r="L3773">
        <v>6.68</v>
      </c>
      <c r="M3773" s="1" t="s">
        <v>21</v>
      </c>
      <c r="N3773" s="1" t="s">
        <v>22</v>
      </c>
      <c r="O3773" s="2">
        <v>46247</v>
      </c>
      <c r="P3773" s="2">
        <v>46247</v>
      </c>
      <c r="Q3773">
        <f>_xlfn.XLOOKUP(E3773,CPT!$A$2:$A$13,CPT!$D$2:$D$13)</f>
        <v>210</v>
      </c>
      <c r="R3773" s="1">
        <f>_xlfn.XLOOKUP(C3773,Contract!$A$2:$A$9,Contract!$B$2:$B$9)</f>
        <v>0.28000000000000003</v>
      </c>
      <c r="S3773" s="1">
        <f t="shared" si="232"/>
        <v>58.8</v>
      </c>
      <c r="T3773" s="1">
        <f t="shared" si="233"/>
        <v>-7.9900000000000091</v>
      </c>
      <c r="U3773" s="1" t="str">
        <f t="shared" si="234"/>
        <v>OK</v>
      </c>
      <c r="V3773" s="1" t="str">
        <f>_xlfn.XLOOKUP(C3773,Payers!$A$2:$A$9,Payers!$B$2:$B$9)</f>
        <v>Coastal Medicaid MCO</v>
      </c>
      <c r="W3773" s="1" t="str">
        <f t="shared" si="235"/>
        <v>2026-06</v>
      </c>
    </row>
    <row r="3774" spans="1:23">
      <c r="A3774" s="1" t="s">
        <v>6109</v>
      </c>
      <c r="B3774" s="1" t="s">
        <v>3946</v>
      </c>
      <c r="C3774" s="1" t="s">
        <v>52</v>
      </c>
      <c r="D3774" s="1" t="s">
        <v>30</v>
      </c>
      <c r="E3774" s="1" t="s">
        <v>31</v>
      </c>
      <c r="F3774">
        <v>1</v>
      </c>
      <c r="G3774" s="2">
        <v>45943</v>
      </c>
      <c r="H3774" s="2">
        <v>45945</v>
      </c>
      <c r="I3774">
        <v>60.57</v>
      </c>
      <c r="M3774" s="1" t="s">
        <v>32</v>
      </c>
      <c r="N3774" s="1" t="s">
        <v>124</v>
      </c>
      <c r="O3774" s="2">
        <v>45988</v>
      </c>
      <c r="P3774" s="2"/>
      <c r="Q3774">
        <f>_xlfn.XLOOKUP(E3774,CPT!$A$2:$A$13,CPT!$D$2:$D$13)</f>
        <v>62</v>
      </c>
      <c r="R3774" s="1">
        <f>_xlfn.XLOOKUP(C3774,Contract!$A$2:$A$9,Contract!$B$2:$B$9)</f>
        <v>0.47</v>
      </c>
      <c r="S3774" s="1">
        <f t="shared" si="232"/>
        <v>29.14</v>
      </c>
      <c r="T3774" s="1" t="str">
        <f t="shared" si="233"/>
        <v/>
      </c>
      <c r="U3774" s="1" t="str">
        <f t="shared" si="234"/>
        <v/>
      </c>
      <c r="V3774" s="1" t="str">
        <f>_xlfn.XLOOKUP(C3774,Payers!$A$2:$A$9,Payers!$B$2:$B$9)</f>
        <v>Keystone Commercial PPO</v>
      </c>
      <c r="W3774" s="1" t="str">
        <f t="shared" si="235"/>
        <v>2025-10</v>
      </c>
    </row>
    <row r="3775" spans="1:23">
      <c r="A3775" s="1" t="s">
        <v>6110</v>
      </c>
      <c r="B3775" s="1" t="s">
        <v>1729</v>
      </c>
      <c r="C3775" s="1" t="s">
        <v>25</v>
      </c>
      <c r="D3775" s="1" t="s">
        <v>30</v>
      </c>
      <c r="E3775" s="1" t="s">
        <v>91</v>
      </c>
      <c r="F3775">
        <v>1</v>
      </c>
      <c r="G3775" s="2">
        <v>46023</v>
      </c>
      <c r="H3775" s="2">
        <v>46026</v>
      </c>
      <c r="I3775">
        <v>56.48</v>
      </c>
      <c r="J3775">
        <v>20.61</v>
      </c>
      <c r="K3775">
        <v>20.61</v>
      </c>
      <c r="L3775">
        <v>0</v>
      </c>
      <c r="M3775" s="1" t="s">
        <v>21</v>
      </c>
      <c r="N3775" s="1" t="s">
        <v>22</v>
      </c>
      <c r="O3775" s="2">
        <v>46043</v>
      </c>
      <c r="P3775" s="2">
        <v>46043</v>
      </c>
      <c r="Q3775">
        <f>_xlfn.XLOOKUP(E3775,CPT!$A$2:$A$13,CPT!$D$2:$D$13)</f>
        <v>58</v>
      </c>
      <c r="R3775" s="1">
        <f>_xlfn.XLOOKUP(C3775,Contract!$A$2:$A$9,Contract!$B$2:$B$9)</f>
        <v>0.36</v>
      </c>
      <c r="S3775" s="1">
        <f t="shared" si="232"/>
        <v>20.88</v>
      </c>
      <c r="T3775" s="1">
        <f t="shared" si="233"/>
        <v>0.26999999999999957</v>
      </c>
      <c r="U3775" s="1" t="str">
        <f t="shared" si="234"/>
        <v>OK</v>
      </c>
      <c r="V3775" s="1" t="str">
        <f>_xlfn.XLOOKUP(C3775,Payers!$A$2:$A$9,Payers!$B$2:$B$9)</f>
        <v>Medicare Part B</v>
      </c>
      <c r="W3775" s="1" t="str">
        <f t="shared" si="235"/>
        <v>2026-01</v>
      </c>
    </row>
    <row r="3776" spans="1:23">
      <c r="A3776" s="1" t="s">
        <v>6111</v>
      </c>
      <c r="B3776" s="1" t="s">
        <v>6112</v>
      </c>
      <c r="C3776" s="1" t="s">
        <v>79</v>
      </c>
      <c r="D3776" s="1" t="s">
        <v>26</v>
      </c>
      <c r="E3776" s="1" t="s">
        <v>113</v>
      </c>
      <c r="F3776">
        <v>1</v>
      </c>
      <c r="G3776" s="2">
        <v>46021</v>
      </c>
      <c r="H3776" s="2">
        <v>46025</v>
      </c>
      <c r="I3776">
        <v>1020.38</v>
      </c>
      <c r="J3776">
        <v>1020.38</v>
      </c>
      <c r="K3776">
        <v>1020.38</v>
      </c>
      <c r="L3776">
        <v>0</v>
      </c>
      <c r="M3776" s="1" t="s">
        <v>21</v>
      </c>
      <c r="N3776" s="1" t="s">
        <v>22</v>
      </c>
      <c r="O3776" s="2">
        <v>46107</v>
      </c>
      <c r="P3776" s="2">
        <v>46107</v>
      </c>
      <c r="Q3776">
        <f>_xlfn.XLOOKUP(E3776,CPT!$A$2:$A$13,CPT!$D$2:$D$13)</f>
        <v>1050</v>
      </c>
      <c r="R3776" s="1">
        <f>_xlfn.XLOOKUP(C3776,Contract!$A$2:$A$9,Contract!$B$2:$B$9)</f>
        <v>1</v>
      </c>
      <c r="S3776" s="1">
        <f t="shared" si="232"/>
        <v>1050</v>
      </c>
      <c r="T3776" s="1">
        <f t="shared" si="233"/>
        <v>29.620000000000005</v>
      </c>
      <c r="U3776" s="1" t="str">
        <f t="shared" si="234"/>
        <v>OK</v>
      </c>
      <c r="V3776" s="1" t="str">
        <f>_xlfn.XLOOKUP(C3776,Payers!$A$2:$A$9,Payers!$B$2:$B$9)</f>
        <v>Self-Pay</v>
      </c>
      <c r="W3776" s="1" t="str">
        <f t="shared" si="235"/>
        <v>2025-12</v>
      </c>
    </row>
    <row r="3777" spans="1:23">
      <c r="A3777" s="1" t="s">
        <v>6113</v>
      </c>
      <c r="B3777" s="1" t="s">
        <v>6114</v>
      </c>
      <c r="C3777" s="1" t="s">
        <v>76</v>
      </c>
      <c r="D3777" s="1" t="s">
        <v>26</v>
      </c>
      <c r="E3777" s="1" t="s">
        <v>44</v>
      </c>
      <c r="F3777">
        <v>1</v>
      </c>
      <c r="G3777" s="2">
        <v>46246</v>
      </c>
      <c r="H3777" s="2">
        <v>46255</v>
      </c>
      <c r="I3777">
        <v>4767.6000000000004</v>
      </c>
      <c r="M3777" s="1" t="s">
        <v>32</v>
      </c>
      <c r="N3777" s="1" t="s">
        <v>49</v>
      </c>
      <c r="O3777" s="2">
        <v>46284</v>
      </c>
      <c r="P3777" s="2"/>
      <c r="Q3777">
        <f>_xlfn.XLOOKUP(E3777,CPT!$A$2:$A$13,CPT!$D$2:$D$13)</f>
        <v>4800</v>
      </c>
      <c r="R3777" s="1">
        <f>_xlfn.XLOOKUP(C3777,Contract!$A$2:$A$9,Contract!$B$2:$B$9)</f>
        <v>0.43</v>
      </c>
      <c r="S3777" s="1">
        <f t="shared" si="232"/>
        <v>2064</v>
      </c>
      <c r="T3777" s="1" t="str">
        <f t="shared" si="233"/>
        <v/>
      </c>
      <c r="U3777" s="1" t="str">
        <f t="shared" si="234"/>
        <v/>
      </c>
      <c r="V3777" s="1" t="str">
        <f>_xlfn.XLOOKUP(C3777,Payers!$A$2:$A$9,Payers!$B$2:$B$9)</f>
        <v>Summit Health Commercial</v>
      </c>
      <c r="W3777" s="1" t="str">
        <f t="shared" si="235"/>
        <v>2026-08</v>
      </c>
    </row>
    <row r="3778" spans="1:23">
      <c r="A3778" s="1" t="s">
        <v>6115</v>
      </c>
      <c r="B3778" s="1" t="s">
        <v>6116</v>
      </c>
      <c r="C3778" s="1" t="s">
        <v>18</v>
      </c>
      <c r="D3778" s="1" t="s">
        <v>26</v>
      </c>
      <c r="E3778" s="1" t="s">
        <v>41</v>
      </c>
      <c r="F3778">
        <v>1</v>
      </c>
      <c r="G3778" s="2">
        <v>46117</v>
      </c>
      <c r="H3778" s="2">
        <v>46122</v>
      </c>
      <c r="I3778">
        <v>36.97</v>
      </c>
      <c r="J3778">
        <v>11.97</v>
      </c>
      <c r="K3778">
        <v>10.77</v>
      </c>
      <c r="L3778">
        <v>1.2</v>
      </c>
      <c r="M3778" s="1" t="s">
        <v>21</v>
      </c>
      <c r="N3778" s="1" t="s">
        <v>22</v>
      </c>
      <c r="O3778" s="2">
        <v>46171</v>
      </c>
      <c r="P3778" s="2">
        <v>46171</v>
      </c>
      <c r="Q3778">
        <f>_xlfn.XLOOKUP(E3778,CPT!$A$2:$A$13,CPT!$D$2:$D$13)</f>
        <v>38</v>
      </c>
      <c r="R3778" s="1">
        <f>_xlfn.XLOOKUP(C3778,Contract!$A$2:$A$9,Contract!$B$2:$B$9)</f>
        <v>0.38</v>
      </c>
      <c r="S3778" s="1">
        <f t="shared" ref="S3778:S3841" si="236">ROUND(Q3778*F3778*R3778,2)</f>
        <v>14.44</v>
      </c>
      <c r="T3778" s="1">
        <f t="shared" ref="T3778:T3841" si="237">IF(M3778="Paid",S3778-J3778,"")</f>
        <v>2.4699999999999989</v>
      </c>
      <c r="U3778" s="1" t="str">
        <f t="shared" ref="U3778:U3841" si="238">IF(M3778&lt;&gt;"Paid","",IF(T3778&gt;S3778*0.05,"Underpaid","OK"))</f>
        <v>Underpaid</v>
      </c>
      <c r="V3778" s="1" t="str">
        <f>_xlfn.XLOOKUP(C3778,Payers!$A$2:$A$9,Payers!$B$2:$B$9)</f>
        <v>Sunshine Medicare Advantage</v>
      </c>
      <c r="W3778" s="1" t="str">
        <f t="shared" ref="W3778:W3841" si="239">TEXT(G3778,"yyyy-mm")</f>
        <v>2026-04</v>
      </c>
    </row>
    <row r="3779" spans="1:23">
      <c r="A3779" s="1" t="s">
        <v>6117</v>
      </c>
      <c r="B3779" s="1" t="s">
        <v>955</v>
      </c>
      <c r="C3779" s="1" t="s">
        <v>76</v>
      </c>
      <c r="D3779" s="1" t="s">
        <v>26</v>
      </c>
      <c r="E3779" s="1" t="s">
        <v>57</v>
      </c>
      <c r="F3779">
        <v>1</v>
      </c>
      <c r="G3779" s="2">
        <v>45988</v>
      </c>
      <c r="H3779" s="2">
        <v>45993</v>
      </c>
      <c r="I3779">
        <v>215.73</v>
      </c>
      <c r="J3779">
        <v>87.22</v>
      </c>
      <c r="K3779">
        <v>87.22</v>
      </c>
      <c r="L3779">
        <v>0</v>
      </c>
      <c r="M3779" s="1" t="s">
        <v>21</v>
      </c>
      <c r="N3779" s="1" t="s">
        <v>22</v>
      </c>
      <c r="O3779" s="2">
        <v>46004</v>
      </c>
      <c r="P3779" s="2">
        <v>46004</v>
      </c>
      <c r="Q3779">
        <f>_xlfn.XLOOKUP(E3779,CPT!$A$2:$A$13,CPT!$D$2:$D$13)</f>
        <v>210</v>
      </c>
      <c r="R3779" s="1">
        <f>_xlfn.XLOOKUP(C3779,Contract!$A$2:$A$9,Contract!$B$2:$B$9)</f>
        <v>0.43</v>
      </c>
      <c r="S3779" s="1">
        <f t="shared" si="236"/>
        <v>90.3</v>
      </c>
      <c r="T3779" s="1">
        <f t="shared" si="237"/>
        <v>3.0799999999999983</v>
      </c>
      <c r="U3779" s="1" t="str">
        <f t="shared" si="238"/>
        <v>OK</v>
      </c>
      <c r="V3779" s="1" t="str">
        <f>_xlfn.XLOOKUP(C3779,Payers!$A$2:$A$9,Payers!$B$2:$B$9)</f>
        <v>Summit Health Commercial</v>
      </c>
      <c r="W3779" s="1" t="str">
        <f t="shared" si="239"/>
        <v>2025-11</v>
      </c>
    </row>
    <row r="3780" spans="1:23">
      <c r="A3780" s="1" t="s">
        <v>6118</v>
      </c>
      <c r="B3780" s="1" t="s">
        <v>4982</v>
      </c>
      <c r="C3780" s="1" t="s">
        <v>25</v>
      </c>
      <c r="D3780" s="1" t="s">
        <v>26</v>
      </c>
      <c r="E3780" s="1" t="s">
        <v>44</v>
      </c>
      <c r="F3780">
        <v>1</v>
      </c>
      <c r="G3780" s="2">
        <v>46124</v>
      </c>
      <c r="H3780" s="2">
        <v>46127</v>
      </c>
      <c r="I3780">
        <v>4926.25</v>
      </c>
      <c r="M3780" s="1" t="s">
        <v>32</v>
      </c>
      <c r="N3780" s="1" t="s">
        <v>168</v>
      </c>
      <c r="O3780" s="2">
        <v>46149</v>
      </c>
      <c r="P3780" s="2"/>
      <c r="Q3780">
        <f>_xlfn.XLOOKUP(E3780,CPT!$A$2:$A$13,CPT!$D$2:$D$13)</f>
        <v>4800</v>
      </c>
      <c r="R3780" s="1">
        <f>_xlfn.XLOOKUP(C3780,Contract!$A$2:$A$9,Contract!$B$2:$B$9)</f>
        <v>0.36</v>
      </c>
      <c r="S3780" s="1">
        <f t="shared" si="236"/>
        <v>1728</v>
      </c>
      <c r="T3780" s="1" t="str">
        <f t="shared" si="237"/>
        <v/>
      </c>
      <c r="U3780" s="1" t="str">
        <f t="shared" si="238"/>
        <v/>
      </c>
      <c r="V3780" s="1" t="str">
        <f>_xlfn.XLOOKUP(C3780,Payers!$A$2:$A$9,Payers!$B$2:$B$9)</f>
        <v>Medicare Part B</v>
      </c>
      <c r="W3780" s="1" t="str">
        <f t="shared" si="239"/>
        <v>2026-04</v>
      </c>
    </row>
    <row r="3781" spans="1:23">
      <c r="A3781" s="1" t="s">
        <v>6119</v>
      </c>
      <c r="B3781" s="1" t="s">
        <v>1652</v>
      </c>
      <c r="C3781" s="1" t="s">
        <v>47</v>
      </c>
      <c r="D3781" s="1" t="s">
        <v>26</v>
      </c>
      <c r="E3781" s="1" t="s">
        <v>44</v>
      </c>
      <c r="F3781">
        <v>1</v>
      </c>
      <c r="G3781" s="2">
        <v>46007</v>
      </c>
      <c r="H3781" s="2">
        <v>46008</v>
      </c>
      <c r="I3781">
        <v>4740.5</v>
      </c>
      <c r="M3781" s="1" t="s">
        <v>32</v>
      </c>
      <c r="N3781" s="1" t="s">
        <v>33</v>
      </c>
      <c r="O3781" s="2">
        <v>46027</v>
      </c>
      <c r="P3781" s="2"/>
      <c r="Q3781">
        <f>_xlfn.XLOOKUP(E3781,CPT!$A$2:$A$13,CPT!$D$2:$D$13)</f>
        <v>4800</v>
      </c>
      <c r="R3781" s="1">
        <f>_xlfn.XLOOKUP(C3781,Contract!$A$2:$A$9,Contract!$B$2:$B$9)</f>
        <v>0.28000000000000003</v>
      </c>
      <c r="S3781" s="1">
        <f t="shared" si="236"/>
        <v>1344</v>
      </c>
      <c r="T3781" s="1" t="str">
        <f t="shared" si="237"/>
        <v/>
      </c>
      <c r="U3781" s="1" t="str">
        <f t="shared" si="238"/>
        <v/>
      </c>
      <c r="V3781" s="1" t="str">
        <f>_xlfn.XLOOKUP(C3781,Payers!$A$2:$A$9,Payers!$B$2:$B$9)</f>
        <v>Coastal Medicaid MCO</v>
      </c>
      <c r="W3781" s="1" t="str">
        <f t="shared" si="239"/>
        <v>2025-12</v>
      </c>
    </row>
    <row r="3782" spans="1:23">
      <c r="A3782" s="1" t="s">
        <v>6120</v>
      </c>
      <c r="B3782" s="1" t="s">
        <v>6121</v>
      </c>
      <c r="C3782" s="1" t="s">
        <v>76</v>
      </c>
      <c r="D3782" s="1" t="s">
        <v>19</v>
      </c>
      <c r="E3782" s="1" t="s">
        <v>88</v>
      </c>
      <c r="F3782">
        <v>1</v>
      </c>
      <c r="G3782" s="2">
        <v>46219</v>
      </c>
      <c r="H3782" s="2">
        <v>46226</v>
      </c>
      <c r="I3782">
        <v>252.98</v>
      </c>
      <c r="J3782">
        <v>124.31</v>
      </c>
      <c r="K3782">
        <v>111.88</v>
      </c>
      <c r="L3782">
        <v>12.43</v>
      </c>
      <c r="M3782" s="1" t="s">
        <v>21</v>
      </c>
      <c r="N3782" s="1" t="s">
        <v>22</v>
      </c>
      <c r="O3782" s="2">
        <v>46266</v>
      </c>
      <c r="P3782" s="2">
        <v>46266</v>
      </c>
      <c r="Q3782">
        <f>_xlfn.XLOOKUP(E3782,CPT!$A$2:$A$13,CPT!$D$2:$D$13)</f>
        <v>260</v>
      </c>
      <c r="R3782" s="1">
        <f>_xlfn.XLOOKUP(C3782,Contract!$A$2:$A$9,Contract!$B$2:$B$9)</f>
        <v>0.43</v>
      </c>
      <c r="S3782" s="1">
        <f t="shared" si="236"/>
        <v>111.8</v>
      </c>
      <c r="T3782" s="1">
        <f t="shared" si="237"/>
        <v>-12.510000000000005</v>
      </c>
      <c r="U3782" s="1" t="str">
        <f t="shared" si="238"/>
        <v>OK</v>
      </c>
      <c r="V3782" s="1" t="str">
        <f>_xlfn.XLOOKUP(C3782,Payers!$A$2:$A$9,Payers!$B$2:$B$9)</f>
        <v>Summit Health Commercial</v>
      </c>
      <c r="W3782" s="1" t="str">
        <f t="shared" si="239"/>
        <v>2026-07</v>
      </c>
    </row>
    <row r="3783" spans="1:23">
      <c r="A3783" s="1" t="s">
        <v>6122</v>
      </c>
      <c r="B3783" s="1" t="s">
        <v>2293</v>
      </c>
      <c r="C3783" s="1" t="s">
        <v>25</v>
      </c>
      <c r="D3783" s="1" t="s">
        <v>26</v>
      </c>
      <c r="E3783" s="1" t="s">
        <v>88</v>
      </c>
      <c r="F3783">
        <v>1</v>
      </c>
      <c r="G3783" s="2">
        <v>46189</v>
      </c>
      <c r="H3783" s="2">
        <v>46190</v>
      </c>
      <c r="I3783">
        <v>252.5</v>
      </c>
      <c r="J3783">
        <v>85.2</v>
      </c>
      <c r="K3783">
        <v>68.16</v>
      </c>
      <c r="L3783">
        <v>17.04</v>
      </c>
      <c r="M3783" s="1" t="s">
        <v>21</v>
      </c>
      <c r="N3783" s="1" t="s">
        <v>22</v>
      </c>
      <c r="O3783" s="2">
        <v>46206</v>
      </c>
      <c r="P3783" s="2">
        <v>46206</v>
      </c>
      <c r="Q3783">
        <f>_xlfn.XLOOKUP(E3783,CPT!$A$2:$A$13,CPT!$D$2:$D$13)</f>
        <v>260</v>
      </c>
      <c r="R3783" s="1">
        <f>_xlfn.XLOOKUP(C3783,Contract!$A$2:$A$9,Contract!$B$2:$B$9)</f>
        <v>0.36</v>
      </c>
      <c r="S3783" s="1">
        <f t="shared" si="236"/>
        <v>93.6</v>
      </c>
      <c r="T3783" s="1">
        <f t="shared" si="237"/>
        <v>8.3999999999999915</v>
      </c>
      <c r="U3783" s="1" t="str">
        <f t="shared" si="238"/>
        <v>Underpaid</v>
      </c>
      <c r="V3783" s="1" t="str">
        <f>_xlfn.XLOOKUP(C3783,Payers!$A$2:$A$9,Payers!$B$2:$B$9)</f>
        <v>Medicare Part B</v>
      </c>
      <c r="W3783" s="1" t="str">
        <f t="shared" si="239"/>
        <v>2026-06</v>
      </c>
    </row>
    <row r="3784" spans="1:23">
      <c r="A3784" s="1" t="s">
        <v>6123</v>
      </c>
      <c r="B3784" s="1" t="s">
        <v>6124</v>
      </c>
      <c r="C3784" s="1" t="s">
        <v>76</v>
      </c>
      <c r="D3784" s="1" t="s">
        <v>37</v>
      </c>
      <c r="E3784" s="1" t="s">
        <v>48</v>
      </c>
      <c r="F3784">
        <v>1</v>
      </c>
      <c r="G3784" s="2">
        <v>45978</v>
      </c>
      <c r="H3784" s="2">
        <v>45981</v>
      </c>
      <c r="I3784">
        <v>425.38</v>
      </c>
      <c r="J3784">
        <v>160.41999999999999</v>
      </c>
      <c r="K3784">
        <v>160.41999999999999</v>
      </c>
      <c r="L3784">
        <v>0</v>
      </c>
      <c r="M3784" s="1" t="s">
        <v>21</v>
      </c>
      <c r="N3784" s="1" t="s">
        <v>22</v>
      </c>
      <c r="O3784" s="2">
        <v>46012</v>
      </c>
      <c r="P3784" s="2">
        <v>46012</v>
      </c>
      <c r="Q3784">
        <f>_xlfn.XLOOKUP(E3784,CPT!$A$2:$A$13,CPT!$D$2:$D$13)</f>
        <v>420</v>
      </c>
      <c r="R3784" s="1">
        <f>_xlfn.XLOOKUP(C3784,Contract!$A$2:$A$9,Contract!$B$2:$B$9)</f>
        <v>0.43</v>
      </c>
      <c r="S3784" s="1">
        <f t="shared" si="236"/>
        <v>180.6</v>
      </c>
      <c r="T3784" s="1">
        <f t="shared" si="237"/>
        <v>20.180000000000007</v>
      </c>
      <c r="U3784" s="1" t="str">
        <f t="shared" si="238"/>
        <v>Underpaid</v>
      </c>
      <c r="V3784" s="1" t="str">
        <f>_xlfn.XLOOKUP(C3784,Payers!$A$2:$A$9,Payers!$B$2:$B$9)</f>
        <v>Summit Health Commercial</v>
      </c>
      <c r="W3784" s="1" t="str">
        <f t="shared" si="239"/>
        <v>2025-11</v>
      </c>
    </row>
    <row r="3785" spans="1:23">
      <c r="A3785" s="1" t="s">
        <v>6125</v>
      </c>
      <c r="B3785" s="1" t="s">
        <v>3436</v>
      </c>
      <c r="C3785" s="1" t="s">
        <v>47</v>
      </c>
      <c r="D3785" s="1" t="s">
        <v>19</v>
      </c>
      <c r="E3785" s="1" t="s">
        <v>88</v>
      </c>
      <c r="F3785">
        <v>1</v>
      </c>
      <c r="G3785" s="2">
        <v>46115</v>
      </c>
      <c r="H3785" s="2">
        <v>46120</v>
      </c>
      <c r="I3785">
        <v>260.17</v>
      </c>
      <c r="J3785">
        <v>67.86</v>
      </c>
      <c r="K3785">
        <v>61.07</v>
      </c>
      <c r="L3785">
        <v>6.79</v>
      </c>
      <c r="M3785" s="1" t="s">
        <v>21</v>
      </c>
      <c r="N3785" s="1" t="s">
        <v>22</v>
      </c>
      <c r="O3785" s="2">
        <v>46182</v>
      </c>
      <c r="P3785" s="2">
        <v>46182</v>
      </c>
      <c r="Q3785">
        <f>_xlfn.XLOOKUP(E3785,CPT!$A$2:$A$13,CPT!$D$2:$D$13)</f>
        <v>260</v>
      </c>
      <c r="R3785" s="1">
        <f>_xlfn.XLOOKUP(C3785,Contract!$A$2:$A$9,Contract!$B$2:$B$9)</f>
        <v>0.28000000000000003</v>
      </c>
      <c r="S3785" s="1">
        <f t="shared" si="236"/>
        <v>72.8</v>
      </c>
      <c r="T3785" s="1">
        <f t="shared" si="237"/>
        <v>4.9399999999999977</v>
      </c>
      <c r="U3785" s="1" t="str">
        <f t="shared" si="238"/>
        <v>Underpaid</v>
      </c>
      <c r="V3785" s="1" t="str">
        <f>_xlfn.XLOOKUP(C3785,Payers!$A$2:$A$9,Payers!$B$2:$B$9)</f>
        <v>Coastal Medicaid MCO</v>
      </c>
      <c r="W3785" s="1" t="str">
        <f t="shared" si="239"/>
        <v>2026-04</v>
      </c>
    </row>
    <row r="3786" spans="1:23">
      <c r="A3786" s="1" t="s">
        <v>6126</v>
      </c>
      <c r="B3786" s="1" t="s">
        <v>1224</v>
      </c>
      <c r="C3786" s="1" t="s">
        <v>52</v>
      </c>
      <c r="D3786" s="1" t="s">
        <v>26</v>
      </c>
      <c r="E3786" s="1" t="s">
        <v>88</v>
      </c>
      <c r="F3786">
        <v>1</v>
      </c>
      <c r="G3786" s="2">
        <v>46261</v>
      </c>
      <c r="H3786" s="2">
        <v>46262</v>
      </c>
      <c r="I3786">
        <v>266.47000000000003</v>
      </c>
      <c r="M3786" s="1" t="s">
        <v>69</v>
      </c>
      <c r="N3786" s="1" t="s">
        <v>22</v>
      </c>
      <c r="O3786" s="2"/>
      <c r="P3786" s="2"/>
      <c r="Q3786">
        <f>_xlfn.XLOOKUP(E3786,CPT!$A$2:$A$13,CPT!$D$2:$D$13)</f>
        <v>260</v>
      </c>
      <c r="R3786" s="1">
        <f>_xlfn.XLOOKUP(C3786,Contract!$A$2:$A$9,Contract!$B$2:$B$9)</f>
        <v>0.47</v>
      </c>
      <c r="S3786" s="1">
        <f t="shared" si="236"/>
        <v>122.2</v>
      </c>
      <c r="T3786" s="1" t="str">
        <f t="shared" si="237"/>
        <v/>
      </c>
      <c r="U3786" s="1" t="str">
        <f t="shared" si="238"/>
        <v/>
      </c>
      <c r="V3786" s="1" t="str">
        <f>_xlfn.XLOOKUP(C3786,Payers!$A$2:$A$9,Payers!$B$2:$B$9)</f>
        <v>Keystone Commercial PPO</v>
      </c>
      <c r="W3786" s="1" t="str">
        <f t="shared" si="239"/>
        <v>2026-08</v>
      </c>
    </row>
    <row r="3787" spans="1:23">
      <c r="A3787" s="1" t="s">
        <v>6127</v>
      </c>
      <c r="B3787" s="1" t="s">
        <v>5537</v>
      </c>
      <c r="C3787" s="1" t="s">
        <v>76</v>
      </c>
      <c r="D3787" s="1" t="s">
        <v>19</v>
      </c>
      <c r="E3787" s="1" t="s">
        <v>20</v>
      </c>
      <c r="F3787">
        <v>1</v>
      </c>
      <c r="G3787" s="2">
        <v>45939</v>
      </c>
      <c r="H3787" s="2">
        <v>45940</v>
      </c>
      <c r="I3787">
        <v>147.97999999999999</v>
      </c>
      <c r="J3787">
        <v>60.29</v>
      </c>
      <c r="K3787">
        <v>48.23</v>
      </c>
      <c r="L3787">
        <v>12.06</v>
      </c>
      <c r="M3787" s="1" t="s">
        <v>21</v>
      </c>
      <c r="N3787" s="1" t="s">
        <v>22</v>
      </c>
      <c r="O3787" s="2">
        <v>45978</v>
      </c>
      <c r="P3787" s="2">
        <v>45978</v>
      </c>
      <c r="Q3787">
        <f>_xlfn.XLOOKUP(E3787,CPT!$A$2:$A$13,CPT!$D$2:$D$13)</f>
        <v>145</v>
      </c>
      <c r="R3787" s="1">
        <f>_xlfn.XLOOKUP(C3787,Contract!$A$2:$A$9,Contract!$B$2:$B$9)</f>
        <v>0.43</v>
      </c>
      <c r="S3787" s="1">
        <f t="shared" si="236"/>
        <v>62.35</v>
      </c>
      <c r="T3787" s="1">
        <f t="shared" si="237"/>
        <v>2.0600000000000023</v>
      </c>
      <c r="U3787" s="1" t="str">
        <f t="shared" si="238"/>
        <v>OK</v>
      </c>
      <c r="V3787" s="1" t="str">
        <f>_xlfn.XLOOKUP(C3787,Payers!$A$2:$A$9,Payers!$B$2:$B$9)</f>
        <v>Summit Health Commercial</v>
      </c>
      <c r="W3787" s="1" t="str">
        <f t="shared" si="239"/>
        <v>2025-10</v>
      </c>
    </row>
    <row r="3788" spans="1:23">
      <c r="A3788" s="1" t="s">
        <v>6128</v>
      </c>
      <c r="B3788" s="1" t="s">
        <v>1603</v>
      </c>
      <c r="C3788" s="1" t="s">
        <v>25</v>
      </c>
      <c r="D3788" s="1" t="s">
        <v>26</v>
      </c>
      <c r="E3788" s="1" t="s">
        <v>41</v>
      </c>
      <c r="F3788">
        <v>1</v>
      </c>
      <c r="G3788" s="2">
        <v>46013</v>
      </c>
      <c r="H3788" s="2">
        <v>46023</v>
      </c>
      <c r="I3788">
        <v>37.75</v>
      </c>
      <c r="J3788">
        <v>12.97</v>
      </c>
      <c r="K3788">
        <v>10.38</v>
      </c>
      <c r="L3788">
        <v>2.59</v>
      </c>
      <c r="M3788" s="1" t="s">
        <v>21</v>
      </c>
      <c r="N3788" s="1" t="s">
        <v>22</v>
      </c>
      <c r="O3788" s="2">
        <v>46046</v>
      </c>
      <c r="P3788" s="2">
        <v>46046</v>
      </c>
      <c r="Q3788">
        <f>_xlfn.XLOOKUP(E3788,CPT!$A$2:$A$13,CPT!$D$2:$D$13)</f>
        <v>38</v>
      </c>
      <c r="R3788" s="1">
        <f>_xlfn.XLOOKUP(C3788,Contract!$A$2:$A$9,Contract!$B$2:$B$9)</f>
        <v>0.36</v>
      </c>
      <c r="S3788" s="1">
        <f t="shared" si="236"/>
        <v>13.68</v>
      </c>
      <c r="T3788" s="1">
        <f t="shared" si="237"/>
        <v>0.70999999999999908</v>
      </c>
      <c r="U3788" s="1" t="str">
        <f t="shared" si="238"/>
        <v>Underpaid</v>
      </c>
      <c r="V3788" s="1" t="str">
        <f>_xlfn.XLOOKUP(C3788,Payers!$A$2:$A$9,Payers!$B$2:$B$9)</f>
        <v>Medicare Part B</v>
      </c>
      <c r="W3788" s="1" t="str">
        <f t="shared" si="239"/>
        <v>2025-12</v>
      </c>
    </row>
    <row r="3789" spans="1:23">
      <c r="A3789" s="1" t="s">
        <v>6129</v>
      </c>
      <c r="B3789" s="1" t="s">
        <v>2795</v>
      </c>
      <c r="C3789" s="1" t="s">
        <v>18</v>
      </c>
      <c r="D3789" s="1" t="s">
        <v>26</v>
      </c>
      <c r="E3789" s="1" t="s">
        <v>57</v>
      </c>
      <c r="F3789">
        <v>1</v>
      </c>
      <c r="G3789" s="2">
        <v>46194</v>
      </c>
      <c r="H3789" s="2">
        <v>46196</v>
      </c>
      <c r="I3789">
        <v>211.6</v>
      </c>
      <c r="M3789" s="1" t="s">
        <v>32</v>
      </c>
      <c r="N3789" s="1" t="s">
        <v>98</v>
      </c>
      <c r="O3789" s="2">
        <v>46250</v>
      </c>
      <c r="P3789" s="2"/>
      <c r="Q3789">
        <f>_xlfn.XLOOKUP(E3789,CPT!$A$2:$A$13,CPT!$D$2:$D$13)</f>
        <v>210</v>
      </c>
      <c r="R3789" s="1">
        <f>_xlfn.XLOOKUP(C3789,Contract!$A$2:$A$9,Contract!$B$2:$B$9)</f>
        <v>0.38</v>
      </c>
      <c r="S3789" s="1">
        <f t="shared" si="236"/>
        <v>79.8</v>
      </c>
      <c r="T3789" s="1" t="str">
        <f t="shared" si="237"/>
        <v/>
      </c>
      <c r="U3789" s="1" t="str">
        <f t="shared" si="238"/>
        <v/>
      </c>
      <c r="V3789" s="1" t="str">
        <f>_xlfn.XLOOKUP(C3789,Payers!$A$2:$A$9,Payers!$B$2:$B$9)</f>
        <v>Sunshine Medicare Advantage</v>
      </c>
      <c r="W3789" s="1" t="str">
        <f t="shared" si="239"/>
        <v>2026-06</v>
      </c>
    </row>
    <row r="3790" spans="1:23">
      <c r="A3790" s="1" t="s">
        <v>6130</v>
      </c>
      <c r="B3790" s="1" t="s">
        <v>6131</v>
      </c>
      <c r="C3790" s="1" t="s">
        <v>60</v>
      </c>
      <c r="D3790" s="1" t="s">
        <v>19</v>
      </c>
      <c r="E3790" s="1" t="s">
        <v>57</v>
      </c>
      <c r="F3790">
        <v>1</v>
      </c>
      <c r="G3790" s="2">
        <v>45932</v>
      </c>
      <c r="H3790" s="2">
        <v>45947</v>
      </c>
      <c r="I3790">
        <v>206.94</v>
      </c>
      <c r="J3790">
        <v>92.72</v>
      </c>
      <c r="K3790">
        <v>74.180000000000007</v>
      </c>
      <c r="L3790">
        <v>18.54</v>
      </c>
      <c r="M3790" s="1" t="s">
        <v>21</v>
      </c>
      <c r="N3790" s="1" t="s">
        <v>22</v>
      </c>
      <c r="O3790" s="2">
        <v>45987</v>
      </c>
      <c r="P3790" s="2">
        <v>45987</v>
      </c>
      <c r="Q3790">
        <f>_xlfn.XLOOKUP(E3790,CPT!$A$2:$A$13,CPT!$D$2:$D$13)</f>
        <v>210</v>
      </c>
      <c r="R3790" s="1">
        <f>_xlfn.XLOOKUP(C3790,Contract!$A$2:$A$9,Contract!$B$2:$B$9)</f>
        <v>0.45</v>
      </c>
      <c r="S3790" s="1">
        <f t="shared" si="236"/>
        <v>94.5</v>
      </c>
      <c r="T3790" s="1">
        <f t="shared" si="237"/>
        <v>1.7800000000000011</v>
      </c>
      <c r="U3790" s="1" t="str">
        <f t="shared" si="238"/>
        <v>OK</v>
      </c>
      <c r="V3790" s="1" t="str">
        <f>_xlfn.XLOOKUP(C3790,Payers!$A$2:$A$9,Payers!$B$2:$B$9)</f>
        <v>Blue Horizon Commercial</v>
      </c>
      <c r="W3790" s="1" t="str">
        <f t="shared" si="239"/>
        <v>2025-10</v>
      </c>
    </row>
    <row r="3791" spans="1:23">
      <c r="A3791" s="1" t="s">
        <v>6132</v>
      </c>
      <c r="B3791" s="1" t="s">
        <v>6133</v>
      </c>
      <c r="C3791" s="1" t="s">
        <v>76</v>
      </c>
      <c r="D3791" s="1" t="s">
        <v>37</v>
      </c>
      <c r="E3791" s="1" t="s">
        <v>38</v>
      </c>
      <c r="F3791">
        <v>20</v>
      </c>
      <c r="G3791" s="2">
        <v>46123</v>
      </c>
      <c r="H3791" s="2">
        <v>46125</v>
      </c>
      <c r="I3791">
        <v>28283.79</v>
      </c>
      <c r="M3791" s="1" t="s">
        <v>32</v>
      </c>
      <c r="N3791" s="1" t="s">
        <v>124</v>
      </c>
      <c r="O3791" s="2">
        <v>46145</v>
      </c>
      <c r="P3791" s="2"/>
      <c r="Q3791">
        <f>_xlfn.XLOOKUP(E3791,CPT!$A$2:$A$13,CPT!$D$2:$D$13)</f>
        <v>1450</v>
      </c>
      <c r="R3791" s="1">
        <f>_xlfn.XLOOKUP(C3791,Contract!$A$2:$A$9,Contract!$B$2:$B$9)</f>
        <v>0.43</v>
      </c>
      <c r="S3791" s="1">
        <f t="shared" si="236"/>
        <v>12470</v>
      </c>
      <c r="T3791" s="1" t="str">
        <f t="shared" si="237"/>
        <v/>
      </c>
      <c r="U3791" s="1" t="str">
        <f t="shared" si="238"/>
        <v/>
      </c>
      <c r="V3791" s="1" t="str">
        <f>_xlfn.XLOOKUP(C3791,Payers!$A$2:$A$9,Payers!$B$2:$B$9)</f>
        <v>Summit Health Commercial</v>
      </c>
      <c r="W3791" s="1" t="str">
        <f t="shared" si="239"/>
        <v>2026-04</v>
      </c>
    </row>
    <row r="3792" spans="1:23">
      <c r="A3792" s="1" t="s">
        <v>6134</v>
      </c>
      <c r="B3792" s="1" t="s">
        <v>1389</v>
      </c>
      <c r="C3792" s="1" t="s">
        <v>76</v>
      </c>
      <c r="D3792" s="1" t="s">
        <v>26</v>
      </c>
      <c r="E3792" s="1" t="s">
        <v>185</v>
      </c>
      <c r="F3792">
        <v>1</v>
      </c>
      <c r="G3792" s="2">
        <v>46119</v>
      </c>
      <c r="H3792" s="2">
        <v>46132</v>
      </c>
      <c r="I3792">
        <v>1140</v>
      </c>
      <c r="J3792">
        <v>419.08</v>
      </c>
      <c r="K3792">
        <v>335.26</v>
      </c>
      <c r="L3792">
        <v>83.82</v>
      </c>
      <c r="M3792" s="1" t="s">
        <v>21</v>
      </c>
      <c r="N3792" s="1" t="s">
        <v>22</v>
      </c>
      <c r="O3792" s="2">
        <v>46149</v>
      </c>
      <c r="P3792" s="2">
        <v>46149</v>
      </c>
      <c r="Q3792">
        <f>_xlfn.XLOOKUP(E3792,CPT!$A$2:$A$13,CPT!$D$2:$D$13)</f>
        <v>1150</v>
      </c>
      <c r="R3792" s="1">
        <f>_xlfn.XLOOKUP(C3792,Contract!$A$2:$A$9,Contract!$B$2:$B$9)</f>
        <v>0.43</v>
      </c>
      <c r="S3792" s="1">
        <f t="shared" si="236"/>
        <v>494.5</v>
      </c>
      <c r="T3792" s="1">
        <f t="shared" si="237"/>
        <v>75.420000000000016</v>
      </c>
      <c r="U3792" s="1" t="str">
        <f t="shared" si="238"/>
        <v>Underpaid</v>
      </c>
      <c r="V3792" s="1" t="str">
        <f>_xlfn.XLOOKUP(C3792,Payers!$A$2:$A$9,Payers!$B$2:$B$9)</f>
        <v>Summit Health Commercial</v>
      </c>
      <c r="W3792" s="1" t="str">
        <f t="shared" si="239"/>
        <v>2026-04</v>
      </c>
    </row>
    <row r="3793" spans="1:23">
      <c r="A3793" s="1" t="s">
        <v>6135</v>
      </c>
      <c r="B3793" s="1" t="s">
        <v>1469</v>
      </c>
      <c r="C3793" s="1" t="s">
        <v>52</v>
      </c>
      <c r="D3793" s="1" t="s">
        <v>19</v>
      </c>
      <c r="E3793" s="1" t="s">
        <v>88</v>
      </c>
      <c r="F3793">
        <v>1</v>
      </c>
      <c r="G3793" s="2">
        <v>46092</v>
      </c>
      <c r="H3793" s="2">
        <v>46102</v>
      </c>
      <c r="I3793">
        <v>258.83</v>
      </c>
      <c r="M3793" s="1" t="s">
        <v>32</v>
      </c>
      <c r="N3793" s="1" t="s">
        <v>124</v>
      </c>
      <c r="O3793" s="2">
        <v>46126</v>
      </c>
      <c r="P3793" s="2"/>
      <c r="Q3793">
        <f>_xlfn.XLOOKUP(E3793,CPT!$A$2:$A$13,CPT!$D$2:$D$13)</f>
        <v>260</v>
      </c>
      <c r="R3793" s="1">
        <f>_xlfn.XLOOKUP(C3793,Contract!$A$2:$A$9,Contract!$B$2:$B$9)</f>
        <v>0.47</v>
      </c>
      <c r="S3793" s="1">
        <f t="shared" si="236"/>
        <v>122.2</v>
      </c>
      <c r="T3793" s="1" t="str">
        <f t="shared" si="237"/>
        <v/>
      </c>
      <c r="U3793" s="1" t="str">
        <f t="shared" si="238"/>
        <v/>
      </c>
      <c r="V3793" s="1" t="str">
        <f>_xlfn.XLOOKUP(C3793,Payers!$A$2:$A$9,Payers!$B$2:$B$9)</f>
        <v>Keystone Commercial PPO</v>
      </c>
      <c r="W3793" s="1" t="str">
        <f t="shared" si="239"/>
        <v>2026-03</v>
      </c>
    </row>
    <row r="3794" spans="1:23">
      <c r="A3794" s="1" t="s">
        <v>6136</v>
      </c>
      <c r="B3794" s="1" t="s">
        <v>2428</v>
      </c>
      <c r="C3794" s="1" t="s">
        <v>76</v>
      </c>
      <c r="D3794" s="1" t="s">
        <v>19</v>
      </c>
      <c r="E3794" s="1" t="s">
        <v>57</v>
      </c>
      <c r="F3794">
        <v>1</v>
      </c>
      <c r="G3794" s="2">
        <v>45960</v>
      </c>
      <c r="H3794" s="2">
        <v>45961</v>
      </c>
      <c r="I3794">
        <v>211.83</v>
      </c>
      <c r="J3794">
        <v>95.21</v>
      </c>
      <c r="K3794">
        <v>95.21</v>
      </c>
      <c r="L3794">
        <v>0</v>
      </c>
      <c r="M3794" s="1" t="s">
        <v>21</v>
      </c>
      <c r="N3794" s="1" t="s">
        <v>22</v>
      </c>
      <c r="O3794" s="2">
        <v>45987</v>
      </c>
      <c r="P3794" s="2">
        <v>45987</v>
      </c>
      <c r="Q3794">
        <f>_xlfn.XLOOKUP(E3794,CPT!$A$2:$A$13,CPT!$D$2:$D$13)</f>
        <v>210</v>
      </c>
      <c r="R3794" s="1">
        <f>_xlfn.XLOOKUP(C3794,Contract!$A$2:$A$9,Contract!$B$2:$B$9)</f>
        <v>0.43</v>
      </c>
      <c r="S3794" s="1">
        <f t="shared" si="236"/>
        <v>90.3</v>
      </c>
      <c r="T3794" s="1">
        <f t="shared" si="237"/>
        <v>-4.9099999999999966</v>
      </c>
      <c r="U3794" s="1" t="str">
        <f t="shared" si="238"/>
        <v>OK</v>
      </c>
      <c r="V3794" s="1" t="str">
        <f>_xlfn.XLOOKUP(C3794,Payers!$A$2:$A$9,Payers!$B$2:$B$9)</f>
        <v>Summit Health Commercial</v>
      </c>
      <c r="W3794" s="1" t="str">
        <f t="shared" si="239"/>
        <v>2025-10</v>
      </c>
    </row>
    <row r="3795" spans="1:23">
      <c r="A3795" s="1" t="s">
        <v>6137</v>
      </c>
      <c r="B3795" s="1" t="s">
        <v>2460</v>
      </c>
      <c r="C3795" s="1" t="s">
        <v>60</v>
      </c>
      <c r="D3795" s="1" t="s">
        <v>26</v>
      </c>
      <c r="E3795" s="1" t="s">
        <v>185</v>
      </c>
      <c r="F3795">
        <v>1</v>
      </c>
      <c r="G3795" s="2">
        <v>45961</v>
      </c>
      <c r="H3795" s="2">
        <v>45962</v>
      </c>
      <c r="I3795">
        <v>1169.6199999999999</v>
      </c>
      <c r="M3795" s="1" t="s">
        <v>32</v>
      </c>
      <c r="N3795" s="1" t="s">
        <v>315</v>
      </c>
      <c r="O3795" s="2">
        <v>45991</v>
      </c>
      <c r="P3795" s="2"/>
      <c r="Q3795">
        <f>_xlfn.XLOOKUP(E3795,CPT!$A$2:$A$13,CPT!$D$2:$D$13)</f>
        <v>1150</v>
      </c>
      <c r="R3795" s="1">
        <f>_xlfn.XLOOKUP(C3795,Contract!$A$2:$A$9,Contract!$B$2:$B$9)</f>
        <v>0.45</v>
      </c>
      <c r="S3795" s="1">
        <f t="shared" si="236"/>
        <v>517.5</v>
      </c>
      <c r="T3795" s="1" t="str">
        <f t="shared" si="237"/>
        <v/>
      </c>
      <c r="U3795" s="1" t="str">
        <f t="shared" si="238"/>
        <v/>
      </c>
      <c r="V3795" s="1" t="str">
        <f>_xlfn.XLOOKUP(C3795,Payers!$A$2:$A$9,Payers!$B$2:$B$9)</f>
        <v>Blue Horizon Commercial</v>
      </c>
      <c r="W3795" s="1" t="str">
        <f t="shared" si="239"/>
        <v>2025-10</v>
      </c>
    </row>
    <row r="3796" spans="1:23">
      <c r="A3796" s="1" t="s">
        <v>6138</v>
      </c>
      <c r="B3796" s="1" t="s">
        <v>6139</v>
      </c>
      <c r="C3796" s="1" t="s">
        <v>18</v>
      </c>
      <c r="D3796" s="1" t="s">
        <v>26</v>
      </c>
      <c r="E3796" s="1" t="s">
        <v>185</v>
      </c>
      <c r="F3796">
        <v>1</v>
      </c>
      <c r="G3796" s="2">
        <v>46161</v>
      </c>
      <c r="H3796" s="2">
        <v>46182</v>
      </c>
      <c r="I3796">
        <v>1144.57</v>
      </c>
      <c r="J3796">
        <v>493.3</v>
      </c>
      <c r="K3796">
        <v>394.64</v>
      </c>
      <c r="L3796">
        <v>98.66</v>
      </c>
      <c r="M3796" s="1" t="s">
        <v>21</v>
      </c>
      <c r="N3796" s="1" t="s">
        <v>22</v>
      </c>
      <c r="O3796" s="2">
        <v>46213</v>
      </c>
      <c r="P3796" s="2">
        <v>46213</v>
      </c>
      <c r="Q3796">
        <f>_xlfn.XLOOKUP(E3796,CPT!$A$2:$A$13,CPT!$D$2:$D$13)</f>
        <v>1150</v>
      </c>
      <c r="R3796" s="1">
        <f>_xlfn.XLOOKUP(C3796,Contract!$A$2:$A$9,Contract!$B$2:$B$9)</f>
        <v>0.38</v>
      </c>
      <c r="S3796" s="1">
        <f t="shared" si="236"/>
        <v>437</v>
      </c>
      <c r="T3796" s="1">
        <f t="shared" si="237"/>
        <v>-56.300000000000011</v>
      </c>
      <c r="U3796" s="1" t="str">
        <f t="shared" si="238"/>
        <v>OK</v>
      </c>
      <c r="V3796" s="1" t="str">
        <f>_xlfn.XLOOKUP(C3796,Payers!$A$2:$A$9,Payers!$B$2:$B$9)</f>
        <v>Sunshine Medicare Advantage</v>
      </c>
      <c r="W3796" s="1" t="str">
        <f t="shared" si="239"/>
        <v>2026-05</v>
      </c>
    </row>
    <row r="3797" spans="1:23">
      <c r="A3797" s="1" t="s">
        <v>6140</v>
      </c>
      <c r="B3797" s="1" t="s">
        <v>73</v>
      </c>
      <c r="C3797" s="1" t="s">
        <v>60</v>
      </c>
      <c r="D3797" s="1" t="s">
        <v>26</v>
      </c>
      <c r="E3797" s="1" t="s">
        <v>88</v>
      </c>
      <c r="F3797">
        <v>1</v>
      </c>
      <c r="G3797" s="2">
        <v>46057</v>
      </c>
      <c r="H3797" s="2">
        <v>46060</v>
      </c>
      <c r="I3797">
        <v>267.45</v>
      </c>
      <c r="M3797" s="1" t="s">
        <v>32</v>
      </c>
      <c r="N3797" s="1" t="s">
        <v>168</v>
      </c>
      <c r="O3797" s="2">
        <v>46103</v>
      </c>
      <c r="P3797" s="2"/>
      <c r="Q3797">
        <f>_xlfn.XLOOKUP(E3797,CPT!$A$2:$A$13,CPT!$D$2:$D$13)</f>
        <v>260</v>
      </c>
      <c r="R3797" s="1">
        <f>_xlfn.XLOOKUP(C3797,Contract!$A$2:$A$9,Contract!$B$2:$B$9)</f>
        <v>0.45</v>
      </c>
      <c r="S3797" s="1">
        <f t="shared" si="236"/>
        <v>117</v>
      </c>
      <c r="T3797" s="1" t="str">
        <f t="shared" si="237"/>
        <v/>
      </c>
      <c r="U3797" s="1" t="str">
        <f t="shared" si="238"/>
        <v/>
      </c>
      <c r="V3797" s="1" t="str">
        <f>_xlfn.XLOOKUP(C3797,Payers!$A$2:$A$9,Payers!$B$2:$B$9)</f>
        <v>Blue Horizon Commercial</v>
      </c>
      <c r="W3797" s="1" t="str">
        <f t="shared" si="239"/>
        <v>2026-02</v>
      </c>
    </row>
    <row r="3798" spans="1:23">
      <c r="A3798" s="1" t="s">
        <v>6141</v>
      </c>
      <c r="B3798" s="1" t="s">
        <v>6142</v>
      </c>
      <c r="C3798" s="1" t="s">
        <v>60</v>
      </c>
      <c r="D3798" s="1" t="s">
        <v>19</v>
      </c>
      <c r="E3798" s="1" t="s">
        <v>57</v>
      </c>
      <c r="F3798">
        <v>1</v>
      </c>
      <c r="G3798" s="2">
        <v>46243</v>
      </c>
      <c r="H3798" s="2">
        <v>46247</v>
      </c>
      <c r="I3798">
        <v>213.06</v>
      </c>
      <c r="J3798">
        <v>81.75</v>
      </c>
      <c r="K3798">
        <v>81.75</v>
      </c>
      <c r="L3798">
        <v>0</v>
      </c>
      <c r="M3798" s="1" t="s">
        <v>21</v>
      </c>
      <c r="N3798" s="1" t="s">
        <v>22</v>
      </c>
      <c r="O3798" s="2">
        <v>46287</v>
      </c>
      <c r="P3798" s="2">
        <v>46287</v>
      </c>
      <c r="Q3798">
        <f>_xlfn.XLOOKUP(E3798,CPT!$A$2:$A$13,CPT!$D$2:$D$13)</f>
        <v>210</v>
      </c>
      <c r="R3798" s="1">
        <f>_xlfn.XLOOKUP(C3798,Contract!$A$2:$A$9,Contract!$B$2:$B$9)</f>
        <v>0.45</v>
      </c>
      <c r="S3798" s="1">
        <f t="shared" si="236"/>
        <v>94.5</v>
      </c>
      <c r="T3798" s="1">
        <f t="shared" si="237"/>
        <v>12.75</v>
      </c>
      <c r="U3798" s="1" t="str">
        <f t="shared" si="238"/>
        <v>Underpaid</v>
      </c>
      <c r="V3798" s="1" t="str">
        <f>_xlfn.XLOOKUP(C3798,Payers!$A$2:$A$9,Payers!$B$2:$B$9)</f>
        <v>Blue Horizon Commercial</v>
      </c>
      <c r="W3798" s="1" t="str">
        <f t="shared" si="239"/>
        <v>2026-08</v>
      </c>
    </row>
    <row r="3799" spans="1:23">
      <c r="A3799" s="1" t="s">
        <v>6143</v>
      </c>
      <c r="B3799" s="1" t="s">
        <v>3287</v>
      </c>
      <c r="C3799" s="1" t="s">
        <v>52</v>
      </c>
      <c r="D3799" s="1" t="s">
        <v>19</v>
      </c>
      <c r="E3799" s="1" t="s">
        <v>88</v>
      </c>
      <c r="F3799">
        <v>1</v>
      </c>
      <c r="G3799" s="2">
        <v>45986</v>
      </c>
      <c r="H3799" s="2">
        <v>45987</v>
      </c>
      <c r="I3799">
        <v>254.33</v>
      </c>
      <c r="J3799">
        <v>115.79</v>
      </c>
      <c r="K3799">
        <v>92.63</v>
      </c>
      <c r="L3799">
        <v>23.16</v>
      </c>
      <c r="M3799" s="1" t="s">
        <v>21</v>
      </c>
      <c r="N3799" s="1" t="s">
        <v>22</v>
      </c>
      <c r="O3799" s="2">
        <v>46020</v>
      </c>
      <c r="P3799" s="2">
        <v>46020</v>
      </c>
      <c r="Q3799">
        <f>_xlfn.XLOOKUP(E3799,CPT!$A$2:$A$13,CPT!$D$2:$D$13)</f>
        <v>260</v>
      </c>
      <c r="R3799" s="1">
        <f>_xlfn.XLOOKUP(C3799,Contract!$A$2:$A$9,Contract!$B$2:$B$9)</f>
        <v>0.47</v>
      </c>
      <c r="S3799" s="1">
        <f t="shared" si="236"/>
        <v>122.2</v>
      </c>
      <c r="T3799" s="1">
        <f t="shared" si="237"/>
        <v>6.4099999999999966</v>
      </c>
      <c r="U3799" s="1" t="str">
        <f t="shared" si="238"/>
        <v>Underpaid</v>
      </c>
      <c r="V3799" s="1" t="str">
        <f>_xlfn.XLOOKUP(C3799,Payers!$A$2:$A$9,Payers!$B$2:$B$9)</f>
        <v>Keystone Commercial PPO</v>
      </c>
      <c r="W3799" s="1" t="str">
        <f t="shared" si="239"/>
        <v>2025-11</v>
      </c>
    </row>
    <row r="3800" spans="1:23">
      <c r="A3800" s="1" t="s">
        <v>6144</v>
      </c>
      <c r="B3800" s="1" t="s">
        <v>6145</v>
      </c>
      <c r="C3800" s="1" t="s">
        <v>76</v>
      </c>
      <c r="D3800" s="1" t="s">
        <v>37</v>
      </c>
      <c r="E3800" s="1" t="s">
        <v>48</v>
      </c>
      <c r="F3800">
        <v>1</v>
      </c>
      <c r="G3800" s="2">
        <v>46168</v>
      </c>
      <c r="H3800" s="2">
        <v>46170</v>
      </c>
      <c r="I3800">
        <v>421.39</v>
      </c>
      <c r="J3800">
        <v>202.5</v>
      </c>
      <c r="K3800">
        <v>202.5</v>
      </c>
      <c r="L3800">
        <v>0</v>
      </c>
      <c r="M3800" s="1" t="s">
        <v>21</v>
      </c>
      <c r="N3800" s="1" t="s">
        <v>22</v>
      </c>
      <c r="O3800" s="2">
        <v>46181</v>
      </c>
      <c r="P3800" s="2">
        <v>46181</v>
      </c>
      <c r="Q3800">
        <f>_xlfn.XLOOKUP(E3800,CPT!$A$2:$A$13,CPT!$D$2:$D$13)</f>
        <v>420</v>
      </c>
      <c r="R3800" s="1">
        <f>_xlfn.XLOOKUP(C3800,Contract!$A$2:$A$9,Contract!$B$2:$B$9)</f>
        <v>0.43</v>
      </c>
      <c r="S3800" s="1">
        <f t="shared" si="236"/>
        <v>180.6</v>
      </c>
      <c r="T3800" s="1">
        <f t="shared" si="237"/>
        <v>-21.900000000000006</v>
      </c>
      <c r="U3800" s="1" t="str">
        <f t="shared" si="238"/>
        <v>OK</v>
      </c>
      <c r="V3800" s="1" t="str">
        <f>_xlfn.XLOOKUP(C3800,Payers!$A$2:$A$9,Payers!$B$2:$B$9)</f>
        <v>Summit Health Commercial</v>
      </c>
      <c r="W3800" s="1" t="str">
        <f t="shared" si="239"/>
        <v>2026-05</v>
      </c>
    </row>
    <row r="3801" spans="1:23">
      <c r="A3801" s="1" t="s">
        <v>6146</v>
      </c>
      <c r="B3801" s="1" t="s">
        <v>1133</v>
      </c>
      <c r="C3801" s="1" t="s">
        <v>47</v>
      </c>
      <c r="D3801" s="1" t="s">
        <v>37</v>
      </c>
      <c r="E3801" s="1" t="s">
        <v>57</v>
      </c>
      <c r="F3801">
        <v>1</v>
      </c>
      <c r="G3801" s="2">
        <v>46087</v>
      </c>
      <c r="H3801" s="2">
        <v>46104</v>
      </c>
      <c r="I3801">
        <v>206.82</v>
      </c>
      <c r="J3801">
        <v>59.15</v>
      </c>
      <c r="K3801">
        <v>59.15</v>
      </c>
      <c r="L3801">
        <v>0</v>
      </c>
      <c r="M3801" s="1" t="s">
        <v>21</v>
      </c>
      <c r="N3801" s="1" t="s">
        <v>22</v>
      </c>
      <c r="O3801" s="2">
        <v>46150</v>
      </c>
      <c r="P3801" s="2">
        <v>46150</v>
      </c>
      <c r="Q3801">
        <f>_xlfn.XLOOKUP(E3801,CPT!$A$2:$A$13,CPT!$D$2:$D$13)</f>
        <v>210</v>
      </c>
      <c r="R3801" s="1">
        <f>_xlfn.XLOOKUP(C3801,Contract!$A$2:$A$9,Contract!$B$2:$B$9)</f>
        <v>0.28000000000000003</v>
      </c>
      <c r="S3801" s="1">
        <f t="shared" si="236"/>
        <v>58.8</v>
      </c>
      <c r="T3801" s="1">
        <f t="shared" si="237"/>
        <v>-0.35000000000000142</v>
      </c>
      <c r="U3801" s="1" t="str">
        <f t="shared" si="238"/>
        <v>OK</v>
      </c>
      <c r="V3801" s="1" t="str">
        <f>_xlfn.XLOOKUP(C3801,Payers!$A$2:$A$9,Payers!$B$2:$B$9)</f>
        <v>Coastal Medicaid MCO</v>
      </c>
      <c r="W3801" s="1" t="str">
        <f t="shared" si="239"/>
        <v>2026-03</v>
      </c>
    </row>
    <row r="3802" spans="1:23">
      <c r="A3802" s="1" t="s">
        <v>6147</v>
      </c>
      <c r="B3802" s="1" t="s">
        <v>6148</v>
      </c>
      <c r="C3802" s="1" t="s">
        <v>47</v>
      </c>
      <c r="D3802" s="1" t="s">
        <v>19</v>
      </c>
      <c r="E3802" s="1" t="s">
        <v>20</v>
      </c>
      <c r="F3802">
        <v>1</v>
      </c>
      <c r="G3802" s="2">
        <v>46227</v>
      </c>
      <c r="H3802" s="2">
        <v>46230</v>
      </c>
      <c r="I3802">
        <v>148.34</v>
      </c>
      <c r="M3802" s="1" t="s">
        <v>32</v>
      </c>
      <c r="N3802" s="1" t="s">
        <v>33</v>
      </c>
      <c r="O3802" s="2">
        <v>46273</v>
      </c>
      <c r="P3802" s="2"/>
      <c r="Q3802">
        <f>_xlfn.XLOOKUP(E3802,CPT!$A$2:$A$13,CPT!$D$2:$D$13)</f>
        <v>145</v>
      </c>
      <c r="R3802" s="1">
        <f>_xlfn.XLOOKUP(C3802,Contract!$A$2:$A$9,Contract!$B$2:$B$9)</f>
        <v>0.28000000000000003</v>
      </c>
      <c r="S3802" s="1">
        <f t="shared" si="236"/>
        <v>40.6</v>
      </c>
      <c r="T3802" s="1" t="str">
        <f t="shared" si="237"/>
        <v/>
      </c>
      <c r="U3802" s="1" t="str">
        <f t="shared" si="238"/>
        <v/>
      </c>
      <c r="V3802" s="1" t="str">
        <f>_xlfn.XLOOKUP(C3802,Payers!$A$2:$A$9,Payers!$B$2:$B$9)</f>
        <v>Coastal Medicaid MCO</v>
      </c>
      <c r="W3802" s="1" t="str">
        <f t="shared" si="239"/>
        <v>2026-07</v>
      </c>
    </row>
    <row r="3803" spans="1:23">
      <c r="A3803" s="1" t="s">
        <v>6149</v>
      </c>
      <c r="B3803" s="1" t="s">
        <v>530</v>
      </c>
      <c r="C3803" s="1" t="s">
        <v>60</v>
      </c>
      <c r="D3803" s="1" t="s">
        <v>37</v>
      </c>
      <c r="E3803" s="1" t="s">
        <v>38</v>
      </c>
      <c r="F3803">
        <v>30</v>
      </c>
      <c r="G3803" s="2">
        <v>46026</v>
      </c>
      <c r="H3803" s="2">
        <v>46030</v>
      </c>
      <c r="I3803">
        <v>43075.48</v>
      </c>
      <c r="J3803">
        <v>22185.3</v>
      </c>
      <c r="K3803">
        <v>22185.3</v>
      </c>
      <c r="L3803">
        <v>0</v>
      </c>
      <c r="M3803" s="1" t="s">
        <v>21</v>
      </c>
      <c r="N3803" s="1" t="s">
        <v>22</v>
      </c>
      <c r="O3803" s="2">
        <v>46071</v>
      </c>
      <c r="P3803" s="2">
        <v>46071</v>
      </c>
      <c r="Q3803">
        <f>_xlfn.XLOOKUP(E3803,CPT!$A$2:$A$13,CPT!$D$2:$D$13)</f>
        <v>1450</v>
      </c>
      <c r="R3803" s="1">
        <f>_xlfn.XLOOKUP(C3803,Contract!$A$2:$A$9,Contract!$B$2:$B$9)</f>
        <v>0.45</v>
      </c>
      <c r="S3803" s="1">
        <f t="shared" si="236"/>
        <v>19575</v>
      </c>
      <c r="T3803" s="1">
        <f t="shared" si="237"/>
        <v>-2610.2999999999993</v>
      </c>
      <c r="U3803" s="1" t="str">
        <f t="shared" si="238"/>
        <v>OK</v>
      </c>
      <c r="V3803" s="1" t="str">
        <f>_xlfn.XLOOKUP(C3803,Payers!$A$2:$A$9,Payers!$B$2:$B$9)</f>
        <v>Blue Horizon Commercial</v>
      </c>
      <c r="W3803" s="1" t="str">
        <f t="shared" si="239"/>
        <v>2026-01</v>
      </c>
    </row>
    <row r="3804" spans="1:23">
      <c r="A3804" s="1" t="s">
        <v>6150</v>
      </c>
      <c r="B3804" s="1" t="s">
        <v>4530</v>
      </c>
      <c r="C3804" s="1" t="s">
        <v>36</v>
      </c>
      <c r="D3804" s="1" t="s">
        <v>19</v>
      </c>
      <c r="E3804" s="1" t="s">
        <v>57</v>
      </c>
      <c r="F3804">
        <v>1</v>
      </c>
      <c r="G3804" s="2">
        <v>45952</v>
      </c>
      <c r="H3804" s="2">
        <v>45954</v>
      </c>
      <c r="I3804">
        <v>214.41</v>
      </c>
      <c r="M3804" s="1" t="s">
        <v>32</v>
      </c>
      <c r="N3804" s="1" t="s">
        <v>124</v>
      </c>
      <c r="O3804" s="2">
        <v>46011</v>
      </c>
      <c r="P3804" s="2"/>
      <c r="Q3804">
        <f>_xlfn.XLOOKUP(E3804,CPT!$A$2:$A$13,CPT!$D$2:$D$13)</f>
        <v>210</v>
      </c>
      <c r="R3804" s="1">
        <f>_xlfn.XLOOKUP(C3804,Contract!$A$2:$A$9,Contract!$B$2:$B$9)</f>
        <v>0.27</v>
      </c>
      <c r="S3804" s="1">
        <f t="shared" si="236"/>
        <v>56.7</v>
      </c>
      <c r="T3804" s="1" t="str">
        <f t="shared" si="237"/>
        <v/>
      </c>
      <c r="U3804" s="1" t="str">
        <f t="shared" si="238"/>
        <v/>
      </c>
      <c r="V3804" s="1" t="str">
        <f>_xlfn.XLOOKUP(C3804,Payers!$A$2:$A$9,Payers!$B$2:$B$9)</f>
        <v>Florida Medicaid</v>
      </c>
      <c r="W3804" s="1" t="str">
        <f t="shared" si="239"/>
        <v>2025-10</v>
      </c>
    </row>
    <row r="3805" spans="1:23">
      <c r="A3805" s="1" t="s">
        <v>6151</v>
      </c>
      <c r="B3805" s="1" t="s">
        <v>6152</v>
      </c>
      <c r="C3805" s="1" t="s">
        <v>76</v>
      </c>
      <c r="D3805" s="1" t="s">
        <v>26</v>
      </c>
      <c r="E3805" s="1" t="s">
        <v>27</v>
      </c>
      <c r="F3805">
        <v>1</v>
      </c>
      <c r="G3805" s="2">
        <v>45984</v>
      </c>
      <c r="H3805" s="2">
        <v>45989</v>
      </c>
      <c r="I3805">
        <v>243.42</v>
      </c>
      <c r="J3805">
        <v>100.88</v>
      </c>
      <c r="K3805">
        <v>100.88</v>
      </c>
      <c r="L3805">
        <v>0</v>
      </c>
      <c r="M3805" s="1" t="s">
        <v>21</v>
      </c>
      <c r="N3805" s="1" t="s">
        <v>22</v>
      </c>
      <c r="O3805" s="2">
        <v>46022</v>
      </c>
      <c r="P3805" s="2">
        <v>46022</v>
      </c>
      <c r="Q3805">
        <f>_xlfn.XLOOKUP(E3805,CPT!$A$2:$A$13,CPT!$D$2:$D$13)</f>
        <v>240</v>
      </c>
      <c r="R3805" s="1">
        <f>_xlfn.XLOOKUP(C3805,Contract!$A$2:$A$9,Contract!$B$2:$B$9)</f>
        <v>0.43</v>
      </c>
      <c r="S3805" s="1">
        <f t="shared" si="236"/>
        <v>103.2</v>
      </c>
      <c r="T3805" s="1">
        <f t="shared" si="237"/>
        <v>2.3200000000000074</v>
      </c>
      <c r="U3805" s="1" t="str">
        <f t="shared" si="238"/>
        <v>OK</v>
      </c>
      <c r="V3805" s="1" t="str">
        <f>_xlfn.XLOOKUP(C3805,Payers!$A$2:$A$9,Payers!$B$2:$B$9)</f>
        <v>Summit Health Commercial</v>
      </c>
      <c r="W3805" s="1" t="str">
        <f t="shared" si="239"/>
        <v>2025-11</v>
      </c>
    </row>
    <row r="3806" spans="1:23">
      <c r="A3806" s="1" t="s">
        <v>6153</v>
      </c>
      <c r="B3806" s="1" t="s">
        <v>5858</v>
      </c>
      <c r="C3806" s="1" t="s">
        <v>25</v>
      </c>
      <c r="D3806" s="1" t="s">
        <v>37</v>
      </c>
      <c r="E3806" s="1" t="s">
        <v>38</v>
      </c>
      <c r="F3806">
        <v>5</v>
      </c>
      <c r="G3806" s="2">
        <v>46262</v>
      </c>
      <c r="H3806" s="2">
        <v>46264</v>
      </c>
      <c r="I3806">
        <v>7351.99</v>
      </c>
      <c r="J3806">
        <v>2960.56</v>
      </c>
      <c r="K3806">
        <v>2664.5</v>
      </c>
      <c r="L3806">
        <v>296.06</v>
      </c>
      <c r="M3806" s="1" t="s">
        <v>21</v>
      </c>
      <c r="N3806" s="1" t="s">
        <v>22</v>
      </c>
      <c r="O3806" s="2">
        <v>46280</v>
      </c>
      <c r="P3806" s="2">
        <v>46280</v>
      </c>
      <c r="Q3806">
        <f>_xlfn.XLOOKUP(E3806,CPT!$A$2:$A$13,CPT!$D$2:$D$13)</f>
        <v>1450</v>
      </c>
      <c r="R3806" s="1">
        <f>_xlfn.XLOOKUP(C3806,Contract!$A$2:$A$9,Contract!$B$2:$B$9)</f>
        <v>0.36</v>
      </c>
      <c r="S3806" s="1">
        <f t="shared" si="236"/>
        <v>2610</v>
      </c>
      <c r="T3806" s="1">
        <f t="shared" si="237"/>
        <v>-350.55999999999995</v>
      </c>
      <c r="U3806" s="1" t="str">
        <f t="shared" si="238"/>
        <v>OK</v>
      </c>
      <c r="V3806" s="1" t="str">
        <f>_xlfn.XLOOKUP(C3806,Payers!$A$2:$A$9,Payers!$B$2:$B$9)</f>
        <v>Medicare Part B</v>
      </c>
      <c r="W3806" s="1" t="str">
        <f t="shared" si="239"/>
        <v>2026-08</v>
      </c>
    </row>
    <row r="3807" spans="1:23">
      <c r="A3807" s="1" t="s">
        <v>6154</v>
      </c>
      <c r="B3807" s="1" t="s">
        <v>4883</v>
      </c>
      <c r="C3807" s="1" t="s">
        <v>47</v>
      </c>
      <c r="D3807" s="1" t="s">
        <v>19</v>
      </c>
      <c r="E3807" s="1" t="s">
        <v>20</v>
      </c>
      <c r="F3807">
        <v>1</v>
      </c>
      <c r="G3807" s="2">
        <v>46057</v>
      </c>
      <c r="H3807" s="2">
        <v>46064</v>
      </c>
      <c r="I3807">
        <v>145.09</v>
      </c>
      <c r="J3807">
        <v>41.14</v>
      </c>
      <c r="K3807">
        <v>37.03</v>
      </c>
      <c r="L3807">
        <v>4.1100000000000003</v>
      </c>
      <c r="M3807" s="1" t="s">
        <v>21</v>
      </c>
      <c r="N3807" s="1" t="s">
        <v>22</v>
      </c>
      <c r="O3807" s="2">
        <v>46122</v>
      </c>
      <c r="P3807" s="2">
        <v>46122</v>
      </c>
      <c r="Q3807">
        <f>_xlfn.XLOOKUP(E3807,CPT!$A$2:$A$13,CPT!$D$2:$D$13)</f>
        <v>145</v>
      </c>
      <c r="R3807" s="1">
        <f>_xlfn.XLOOKUP(C3807,Contract!$A$2:$A$9,Contract!$B$2:$B$9)</f>
        <v>0.28000000000000003</v>
      </c>
      <c r="S3807" s="1">
        <f t="shared" si="236"/>
        <v>40.6</v>
      </c>
      <c r="T3807" s="1">
        <f t="shared" si="237"/>
        <v>-0.53999999999999915</v>
      </c>
      <c r="U3807" s="1" t="str">
        <f t="shared" si="238"/>
        <v>OK</v>
      </c>
      <c r="V3807" s="1" t="str">
        <f>_xlfn.XLOOKUP(C3807,Payers!$A$2:$A$9,Payers!$B$2:$B$9)</f>
        <v>Coastal Medicaid MCO</v>
      </c>
      <c r="W3807" s="1" t="str">
        <f t="shared" si="239"/>
        <v>2026-02</v>
      </c>
    </row>
    <row r="3808" spans="1:23">
      <c r="A3808" s="1" t="s">
        <v>6155</v>
      </c>
      <c r="B3808" s="1" t="s">
        <v>3642</v>
      </c>
      <c r="C3808" s="1" t="s">
        <v>47</v>
      </c>
      <c r="D3808" s="1" t="s">
        <v>26</v>
      </c>
      <c r="E3808" s="1" t="s">
        <v>41</v>
      </c>
      <c r="F3808">
        <v>1</v>
      </c>
      <c r="G3808" s="2">
        <v>46093</v>
      </c>
      <c r="H3808" s="2">
        <v>46095</v>
      </c>
      <c r="I3808">
        <v>38.56</v>
      </c>
      <c r="J3808">
        <v>11.12</v>
      </c>
      <c r="K3808">
        <v>11.12</v>
      </c>
      <c r="L3808">
        <v>0</v>
      </c>
      <c r="M3808" s="1" t="s">
        <v>21</v>
      </c>
      <c r="N3808" s="1" t="s">
        <v>22</v>
      </c>
      <c r="O3808" s="2">
        <v>46139</v>
      </c>
      <c r="P3808" s="2">
        <v>46139</v>
      </c>
      <c r="Q3808">
        <f>_xlfn.XLOOKUP(E3808,CPT!$A$2:$A$13,CPT!$D$2:$D$13)</f>
        <v>38</v>
      </c>
      <c r="R3808" s="1">
        <f>_xlfn.XLOOKUP(C3808,Contract!$A$2:$A$9,Contract!$B$2:$B$9)</f>
        <v>0.28000000000000003</v>
      </c>
      <c r="S3808" s="1">
        <f t="shared" si="236"/>
        <v>10.64</v>
      </c>
      <c r="T3808" s="1">
        <f t="shared" si="237"/>
        <v>-0.47999999999999865</v>
      </c>
      <c r="U3808" s="1" t="str">
        <f t="shared" si="238"/>
        <v>OK</v>
      </c>
      <c r="V3808" s="1" t="str">
        <f>_xlfn.XLOOKUP(C3808,Payers!$A$2:$A$9,Payers!$B$2:$B$9)</f>
        <v>Coastal Medicaid MCO</v>
      </c>
      <c r="W3808" s="1" t="str">
        <f t="shared" si="239"/>
        <v>2026-03</v>
      </c>
    </row>
    <row r="3809" spans="1:23">
      <c r="A3809" s="1" t="s">
        <v>6156</v>
      </c>
      <c r="B3809" s="1" t="s">
        <v>1407</v>
      </c>
      <c r="C3809" s="1" t="s">
        <v>60</v>
      </c>
      <c r="D3809" s="1" t="s">
        <v>19</v>
      </c>
      <c r="E3809" s="1" t="s">
        <v>41</v>
      </c>
      <c r="F3809">
        <v>1</v>
      </c>
      <c r="G3809" s="2">
        <v>46174</v>
      </c>
      <c r="H3809" s="2">
        <v>46188</v>
      </c>
      <c r="I3809">
        <v>37.36</v>
      </c>
      <c r="J3809">
        <v>16.75</v>
      </c>
      <c r="K3809">
        <v>16.75</v>
      </c>
      <c r="L3809">
        <v>0</v>
      </c>
      <c r="M3809" s="1" t="s">
        <v>21</v>
      </c>
      <c r="N3809" s="1" t="s">
        <v>22</v>
      </c>
      <c r="O3809" s="2">
        <v>46210</v>
      </c>
      <c r="P3809" s="2">
        <v>46210</v>
      </c>
      <c r="Q3809">
        <f>_xlfn.XLOOKUP(E3809,CPT!$A$2:$A$13,CPT!$D$2:$D$13)</f>
        <v>38</v>
      </c>
      <c r="R3809" s="1">
        <f>_xlfn.XLOOKUP(C3809,Contract!$A$2:$A$9,Contract!$B$2:$B$9)</f>
        <v>0.45</v>
      </c>
      <c r="S3809" s="1">
        <f t="shared" si="236"/>
        <v>17.100000000000001</v>
      </c>
      <c r="T3809" s="1">
        <f t="shared" si="237"/>
        <v>0.35000000000000142</v>
      </c>
      <c r="U3809" s="1" t="str">
        <f t="shared" si="238"/>
        <v>OK</v>
      </c>
      <c r="V3809" s="1" t="str">
        <f>_xlfn.XLOOKUP(C3809,Payers!$A$2:$A$9,Payers!$B$2:$B$9)</f>
        <v>Blue Horizon Commercial</v>
      </c>
      <c r="W3809" s="1" t="str">
        <f t="shared" si="239"/>
        <v>2026-06</v>
      </c>
    </row>
    <row r="3810" spans="1:23">
      <c r="A3810" s="1" t="s">
        <v>6157</v>
      </c>
      <c r="B3810" s="1" t="s">
        <v>3146</v>
      </c>
      <c r="C3810" s="1" t="s">
        <v>25</v>
      </c>
      <c r="D3810" s="1" t="s">
        <v>37</v>
      </c>
      <c r="E3810" s="1" t="s">
        <v>57</v>
      </c>
      <c r="F3810">
        <v>1</v>
      </c>
      <c r="G3810" s="2">
        <v>46223</v>
      </c>
      <c r="H3810" s="2">
        <v>46224</v>
      </c>
      <c r="I3810">
        <v>212.1</v>
      </c>
      <c r="J3810">
        <v>82.65</v>
      </c>
      <c r="K3810">
        <v>74.38</v>
      </c>
      <c r="L3810">
        <v>8.27</v>
      </c>
      <c r="M3810" s="1" t="s">
        <v>21</v>
      </c>
      <c r="N3810" s="1" t="s">
        <v>22</v>
      </c>
      <c r="O3810" s="2">
        <v>46236</v>
      </c>
      <c r="P3810" s="2">
        <v>46236</v>
      </c>
      <c r="Q3810">
        <f>_xlfn.XLOOKUP(E3810,CPT!$A$2:$A$13,CPT!$D$2:$D$13)</f>
        <v>210</v>
      </c>
      <c r="R3810" s="1">
        <f>_xlfn.XLOOKUP(C3810,Contract!$A$2:$A$9,Contract!$B$2:$B$9)</f>
        <v>0.36</v>
      </c>
      <c r="S3810" s="1">
        <f t="shared" si="236"/>
        <v>75.599999999999994</v>
      </c>
      <c r="T3810" s="1">
        <f t="shared" si="237"/>
        <v>-7.0500000000000114</v>
      </c>
      <c r="U3810" s="1" t="str">
        <f t="shared" si="238"/>
        <v>OK</v>
      </c>
      <c r="V3810" s="1" t="str">
        <f>_xlfn.XLOOKUP(C3810,Payers!$A$2:$A$9,Payers!$B$2:$B$9)</f>
        <v>Medicare Part B</v>
      </c>
      <c r="W3810" s="1" t="str">
        <f t="shared" si="239"/>
        <v>2026-07</v>
      </c>
    </row>
    <row r="3811" spans="1:23">
      <c r="A3811" s="1" t="s">
        <v>6158</v>
      </c>
      <c r="B3811" s="1" t="s">
        <v>6159</v>
      </c>
      <c r="C3811" s="1" t="s">
        <v>60</v>
      </c>
      <c r="D3811" s="1" t="s">
        <v>37</v>
      </c>
      <c r="E3811" s="1" t="s">
        <v>48</v>
      </c>
      <c r="F3811">
        <v>1</v>
      </c>
      <c r="G3811" s="2">
        <v>46160</v>
      </c>
      <c r="H3811" s="2">
        <v>46165</v>
      </c>
      <c r="I3811">
        <v>417.41</v>
      </c>
      <c r="J3811">
        <v>214.09</v>
      </c>
      <c r="K3811">
        <v>171.27</v>
      </c>
      <c r="L3811">
        <v>42.82</v>
      </c>
      <c r="M3811" s="1" t="s">
        <v>21</v>
      </c>
      <c r="N3811" s="1" t="s">
        <v>22</v>
      </c>
      <c r="O3811" s="2">
        <v>46172</v>
      </c>
      <c r="P3811" s="2">
        <v>46172</v>
      </c>
      <c r="Q3811">
        <f>_xlfn.XLOOKUP(E3811,CPT!$A$2:$A$13,CPT!$D$2:$D$13)</f>
        <v>420</v>
      </c>
      <c r="R3811" s="1">
        <f>_xlfn.XLOOKUP(C3811,Contract!$A$2:$A$9,Contract!$B$2:$B$9)</f>
        <v>0.45</v>
      </c>
      <c r="S3811" s="1">
        <f t="shared" si="236"/>
        <v>189</v>
      </c>
      <c r="T3811" s="1">
        <f t="shared" si="237"/>
        <v>-25.090000000000003</v>
      </c>
      <c r="U3811" s="1" t="str">
        <f t="shared" si="238"/>
        <v>OK</v>
      </c>
      <c r="V3811" s="1" t="str">
        <f>_xlfn.XLOOKUP(C3811,Payers!$A$2:$A$9,Payers!$B$2:$B$9)</f>
        <v>Blue Horizon Commercial</v>
      </c>
      <c r="W3811" s="1" t="str">
        <f t="shared" si="239"/>
        <v>2026-05</v>
      </c>
    </row>
    <row r="3812" spans="1:23">
      <c r="A3812" s="1" t="s">
        <v>6160</v>
      </c>
      <c r="B3812" s="1" t="s">
        <v>1359</v>
      </c>
      <c r="C3812" s="1" t="s">
        <v>60</v>
      </c>
      <c r="D3812" s="1" t="s">
        <v>30</v>
      </c>
      <c r="E3812" s="1" t="s">
        <v>20</v>
      </c>
      <c r="F3812">
        <v>1</v>
      </c>
      <c r="G3812" s="2">
        <v>46255</v>
      </c>
      <c r="H3812" s="2">
        <v>46256</v>
      </c>
      <c r="I3812">
        <v>147.16</v>
      </c>
      <c r="J3812">
        <v>57.71</v>
      </c>
      <c r="K3812">
        <v>57.71</v>
      </c>
      <c r="L3812">
        <v>0</v>
      </c>
      <c r="M3812" s="1" t="s">
        <v>21</v>
      </c>
      <c r="N3812" s="1" t="s">
        <v>22</v>
      </c>
      <c r="O3812" s="2">
        <v>46295</v>
      </c>
      <c r="P3812" s="2">
        <v>46295</v>
      </c>
      <c r="Q3812">
        <f>_xlfn.XLOOKUP(E3812,CPT!$A$2:$A$13,CPT!$D$2:$D$13)</f>
        <v>145</v>
      </c>
      <c r="R3812" s="1">
        <f>_xlfn.XLOOKUP(C3812,Contract!$A$2:$A$9,Contract!$B$2:$B$9)</f>
        <v>0.45</v>
      </c>
      <c r="S3812" s="1">
        <f t="shared" si="236"/>
        <v>65.25</v>
      </c>
      <c r="T3812" s="1">
        <f t="shared" si="237"/>
        <v>7.5399999999999991</v>
      </c>
      <c r="U3812" s="1" t="str">
        <f t="shared" si="238"/>
        <v>Underpaid</v>
      </c>
      <c r="V3812" s="1" t="str">
        <f>_xlfn.XLOOKUP(C3812,Payers!$A$2:$A$9,Payers!$B$2:$B$9)</f>
        <v>Blue Horizon Commercial</v>
      </c>
      <c r="W3812" s="1" t="str">
        <f t="shared" si="239"/>
        <v>2026-08</v>
      </c>
    </row>
    <row r="3813" spans="1:23">
      <c r="A3813" s="1" t="s">
        <v>6161</v>
      </c>
      <c r="B3813" s="1" t="s">
        <v>6162</v>
      </c>
      <c r="C3813" s="1" t="s">
        <v>60</v>
      </c>
      <c r="D3813" s="1" t="s">
        <v>26</v>
      </c>
      <c r="E3813" s="1" t="s">
        <v>44</v>
      </c>
      <c r="F3813">
        <v>1</v>
      </c>
      <c r="G3813" s="2">
        <v>46054</v>
      </c>
      <c r="H3813" s="2">
        <v>46060</v>
      </c>
      <c r="I3813">
        <v>4783.13</v>
      </c>
      <c r="J3813">
        <v>1984.59</v>
      </c>
      <c r="K3813">
        <v>1984.59</v>
      </c>
      <c r="L3813">
        <v>0</v>
      </c>
      <c r="M3813" s="1" t="s">
        <v>21</v>
      </c>
      <c r="N3813" s="1" t="s">
        <v>22</v>
      </c>
      <c r="O3813" s="2">
        <v>46097</v>
      </c>
      <c r="P3813" s="2">
        <v>46097</v>
      </c>
      <c r="Q3813">
        <f>_xlfn.XLOOKUP(E3813,CPT!$A$2:$A$13,CPT!$D$2:$D$13)</f>
        <v>4800</v>
      </c>
      <c r="R3813" s="1">
        <f>_xlfn.XLOOKUP(C3813,Contract!$A$2:$A$9,Contract!$B$2:$B$9)</f>
        <v>0.45</v>
      </c>
      <c r="S3813" s="1">
        <f t="shared" si="236"/>
        <v>2160</v>
      </c>
      <c r="T3813" s="1">
        <f t="shared" si="237"/>
        <v>175.41000000000008</v>
      </c>
      <c r="U3813" s="1" t="str">
        <f t="shared" si="238"/>
        <v>Underpaid</v>
      </c>
      <c r="V3813" s="1" t="str">
        <f>_xlfn.XLOOKUP(C3813,Payers!$A$2:$A$9,Payers!$B$2:$B$9)</f>
        <v>Blue Horizon Commercial</v>
      </c>
      <c r="W3813" s="1" t="str">
        <f t="shared" si="239"/>
        <v>2026-02</v>
      </c>
    </row>
    <row r="3814" spans="1:23">
      <c r="A3814" s="1" t="s">
        <v>6163</v>
      </c>
      <c r="B3814" s="1" t="s">
        <v>6164</v>
      </c>
      <c r="C3814" s="1" t="s">
        <v>25</v>
      </c>
      <c r="D3814" s="1" t="s">
        <v>26</v>
      </c>
      <c r="E3814" s="1" t="s">
        <v>88</v>
      </c>
      <c r="F3814">
        <v>1</v>
      </c>
      <c r="G3814" s="2">
        <v>46065</v>
      </c>
      <c r="H3814" s="2">
        <v>46066</v>
      </c>
      <c r="I3814">
        <v>255.21</v>
      </c>
      <c r="J3814">
        <v>96.85</v>
      </c>
      <c r="K3814">
        <v>96.85</v>
      </c>
      <c r="L3814">
        <v>0</v>
      </c>
      <c r="M3814" s="1" t="s">
        <v>21</v>
      </c>
      <c r="N3814" s="1" t="s">
        <v>22</v>
      </c>
      <c r="O3814" s="2">
        <v>46081</v>
      </c>
      <c r="P3814" s="2">
        <v>46081</v>
      </c>
      <c r="Q3814">
        <f>_xlfn.XLOOKUP(E3814,CPT!$A$2:$A$13,CPT!$D$2:$D$13)</f>
        <v>260</v>
      </c>
      <c r="R3814" s="1">
        <f>_xlfn.XLOOKUP(C3814,Contract!$A$2:$A$9,Contract!$B$2:$B$9)</f>
        <v>0.36</v>
      </c>
      <c r="S3814" s="1">
        <f t="shared" si="236"/>
        <v>93.6</v>
      </c>
      <c r="T3814" s="1">
        <f t="shared" si="237"/>
        <v>-3.25</v>
      </c>
      <c r="U3814" s="1" t="str">
        <f t="shared" si="238"/>
        <v>OK</v>
      </c>
      <c r="V3814" s="1" t="str">
        <f>_xlfn.XLOOKUP(C3814,Payers!$A$2:$A$9,Payers!$B$2:$B$9)</f>
        <v>Medicare Part B</v>
      </c>
      <c r="W3814" s="1" t="str">
        <f t="shared" si="239"/>
        <v>2026-02</v>
      </c>
    </row>
    <row r="3815" spans="1:23">
      <c r="A3815" s="1" t="s">
        <v>6165</v>
      </c>
      <c r="B3815" s="1" t="s">
        <v>3429</v>
      </c>
      <c r="C3815" s="1" t="s">
        <v>18</v>
      </c>
      <c r="D3815" s="1" t="s">
        <v>26</v>
      </c>
      <c r="E3815" s="1" t="s">
        <v>88</v>
      </c>
      <c r="F3815">
        <v>1</v>
      </c>
      <c r="G3815" s="2">
        <v>46077</v>
      </c>
      <c r="H3815" s="2">
        <v>46088</v>
      </c>
      <c r="I3815">
        <v>259.39999999999998</v>
      </c>
      <c r="M3815" s="1" t="s">
        <v>32</v>
      </c>
      <c r="N3815" s="1" t="s">
        <v>124</v>
      </c>
      <c r="O3815" s="2">
        <v>46112</v>
      </c>
      <c r="P3815" s="2"/>
      <c r="Q3815">
        <f>_xlfn.XLOOKUP(E3815,CPT!$A$2:$A$13,CPT!$D$2:$D$13)</f>
        <v>260</v>
      </c>
      <c r="R3815" s="1">
        <f>_xlfn.XLOOKUP(C3815,Contract!$A$2:$A$9,Contract!$B$2:$B$9)</f>
        <v>0.38</v>
      </c>
      <c r="S3815" s="1">
        <f t="shared" si="236"/>
        <v>98.8</v>
      </c>
      <c r="T3815" s="1" t="str">
        <f t="shared" si="237"/>
        <v/>
      </c>
      <c r="U3815" s="1" t="str">
        <f t="shared" si="238"/>
        <v/>
      </c>
      <c r="V3815" s="1" t="str">
        <f>_xlfn.XLOOKUP(C3815,Payers!$A$2:$A$9,Payers!$B$2:$B$9)</f>
        <v>Sunshine Medicare Advantage</v>
      </c>
      <c r="W3815" s="1" t="str">
        <f t="shared" si="239"/>
        <v>2026-02</v>
      </c>
    </row>
    <row r="3816" spans="1:23">
      <c r="A3816" s="1" t="s">
        <v>6166</v>
      </c>
      <c r="B3816" s="1" t="s">
        <v>3197</v>
      </c>
      <c r="C3816" s="1" t="s">
        <v>47</v>
      </c>
      <c r="D3816" s="1" t="s">
        <v>26</v>
      </c>
      <c r="E3816" s="1" t="s">
        <v>185</v>
      </c>
      <c r="F3816">
        <v>1</v>
      </c>
      <c r="G3816" s="2">
        <v>46144</v>
      </c>
      <c r="H3816" s="2">
        <v>46147</v>
      </c>
      <c r="I3816">
        <v>1175.5899999999999</v>
      </c>
      <c r="J3816">
        <v>296.76</v>
      </c>
      <c r="K3816">
        <v>267.08</v>
      </c>
      <c r="L3816">
        <v>29.68</v>
      </c>
      <c r="M3816" s="1" t="s">
        <v>21</v>
      </c>
      <c r="N3816" s="1" t="s">
        <v>22</v>
      </c>
      <c r="O3816" s="2">
        <v>46189</v>
      </c>
      <c r="P3816" s="2">
        <v>46189</v>
      </c>
      <c r="Q3816">
        <f>_xlfn.XLOOKUP(E3816,CPT!$A$2:$A$13,CPT!$D$2:$D$13)</f>
        <v>1150</v>
      </c>
      <c r="R3816" s="1">
        <f>_xlfn.XLOOKUP(C3816,Contract!$A$2:$A$9,Contract!$B$2:$B$9)</f>
        <v>0.28000000000000003</v>
      </c>
      <c r="S3816" s="1">
        <f t="shared" si="236"/>
        <v>322</v>
      </c>
      <c r="T3816" s="1">
        <f t="shared" si="237"/>
        <v>25.240000000000009</v>
      </c>
      <c r="U3816" s="1" t="str">
        <f t="shared" si="238"/>
        <v>Underpaid</v>
      </c>
      <c r="V3816" s="1" t="str">
        <f>_xlfn.XLOOKUP(C3816,Payers!$A$2:$A$9,Payers!$B$2:$B$9)</f>
        <v>Coastal Medicaid MCO</v>
      </c>
      <c r="W3816" s="1" t="str">
        <f t="shared" si="239"/>
        <v>2026-05</v>
      </c>
    </row>
    <row r="3817" spans="1:23">
      <c r="A3817" s="1" t="s">
        <v>6167</v>
      </c>
      <c r="B3817" s="1" t="s">
        <v>6168</v>
      </c>
      <c r="C3817" s="1" t="s">
        <v>60</v>
      </c>
      <c r="D3817" s="1" t="s">
        <v>26</v>
      </c>
      <c r="E3817" s="1" t="s">
        <v>113</v>
      </c>
      <c r="F3817">
        <v>1</v>
      </c>
      <c r="G3817" s="2">
        <v>46257</v>
      </c>
      <c r="H3817" s="2">
        <v>46258</v>
      </c>
      <c r="I3817">
        <v>1064.25</v>
      </c>
      <c r="J3817">
        <v>482.29</v>
      </c>
      <c r="K3817">
        <v>434.06</v>
      </c>
      <c r="L3817">
        <v>48.23</v>
      </c>
      <c r="M3817" s="1" t="s">
        <v>21</v>
      </c>
      <c r="N3817" s="1" t="s">
        <v>22</v>
      </c>
      <c r="O3817" s="2">
        <v>46274</v>
      </c>
      <c r="P3817" s="2">
        <v>46274</v>
      </c>
      <c r="Q3817">
        <f>_xlfn.XLOOKUP(E3817,CPT!$A$2:$A$13,CPT!$D$2:$D$13)</f>
        <v>1050</v>
      </c>
      <c r="R3817" s="1">
        <f>_xlfn.XLOOKUP(C3817,Contract!$A$2:$A$9,Contract!$B$2:$B$9)</f>
        <v>0.45</v>
      </c>
      <c r="S3817" s="1">
        <f t="shared" si="236"/>
        <v>472.5</v>
      </c>
      <c r="T3817" s="1">
        <f t="shared" si="237"/>
        <v>-9.7900000000000205</v>
      </c>
      <c r="U3817" s="1" t="str">
        <f t="shared" si="238"/>
        <v>OK</v>
      </c>
      <c r="V3817" s="1" t="str">
        <f>_xlfn.XLOOKUP(C3817,Payers!$A$2:$A$9,Payers!$B$2:$B$9)</f>
        <v>Blue Horizon Commercial</v>
      </c>
      <c r="W3817" s="1" t="str">
        <f t="shared" si="239"/>
        <v>2026-08</v>
      </c>
    </row>
    <row r="3818" spans="1:23">
      <c r="A3818" s="1" t="s">
        <v>6169</v>
      </c>
      <c r="B3818" s="1" t="s">
        <v>690</v>
      </c>
      <c r="C3818" s="1" t="s">
        <v>60</v>
      </c>
      <c r="D3818" s="1" t="s">
        <v>19</v>
      </c>
      <c r="E3818" s="1" t="s">
        <v>20</v>
      </c>
      <c r="F3818">
        <v>1</v>
      </c>
      <c r="G3818" s="2">
        <v>46211</v>
      </c>
      <c r="H3818" s="2">
        <v>46214</v>
      </c>
      <c r="I3818">
        <v>146.46</v>
      </c>
      <c r="J3818">
        <v>73.91</v>
      </c>
      <c r="K3818">
        <v>73.91</v>
      </c>
      <c r="L3818">
        <v>0</v>
      </c>
      <c r="M3818" s="1" t="s">
        <v>21</v>
      </c>
      <c r="N3818" s="1" t="s">
        <v>22</v>
      </c>
      <c r="O3818" s="2">
        <v>46227</v>
      </c>
      <c r="P3818" s="2">
        <v>46227</v>
      </c>
      <c r="Q3818">
        <f>_xlfn.XLOOKUP(E3818,CPT!$A$2:$A$13,CPT!$D$2:$D$13)</f>
        <v>145</v>
      </c>
      <c r="R3818" s="1">
        <f>_xlfn.XLOOKUP(C3818,Contract!$A$2:$A$9,Contract!$B$2:$B$9)</f>
        <v>0.45</v>
      </c>
      <c r="S3818" s="1">
        <f t="shared" si="236"/>
        <v>65.25</v>
      </c>
      <c r="T3818" s="1">
        <f t="shared" si="237"/>
        <v>-8.6599999999999966</v>
      </c>
      <c r="U3818" s="1" t="str">
        <f t="shared" si="238"/>
        <v>OK</v>
      </c>
      <c r="V3818" s="1" t="str">
        <f>_xlfn.XLOOKUP(C3818,Payers!$A$2:$A$9,Payers!$B$2:$B$9)</f>
        <v>Blue Horizon Commercial</v>
      </c>
      <c r="W3818" s="1" t="str">
        <f t="shared" si="239"/>
        <v>2026-07</v>
      </c>
    </row>
    <row r="3819" spans="1:23">
      <c r="A3819" s="1" t="s">
        <v>6170</v>
      </c>
      <c r="B3819" s="1" t="s">
        <v>1137</v>
      </c>
      <c r="C3819" s="1" t="s">
        <v>47</v>
      </c>
      <c r="D3819" s="1" t="s">
        <v>19</v>
      </c>
      <c r="E3819" s="1" t="s">
        <v>20</v>
      </c>
      <c r="F3819">
        <v>1</v>
      </c>
      <c r="G3819" s="2">
        <v>46066</v>
      </c>
      <c r="H3819" s="2">
        <v>46069</v>
      </c>
      <c r="I3819">
        <v>148.44999999999999</v>
      </c>
      <c r="J3819">
        <v>44.65</v>
      </c>
      <c r="K3819">
        <v>44.65</v>
      </c>
      <c r="L3819">
        <v>0</v>
      </c>
      <c r="M3819" s="1" t="s">
        <v>21</v>
      </c>
      <c r="N3819" s="1" t="s">
        <v>22</v>
      </c>
      <c r="O3819" s="2">
        <v>46152</v>
      </c>
      <c r="P3819" s="2">
        <v>46152</v>
      </c>
      <c r="Q3819">
        <f>_xlfn.XLOOKUP(E3819,CPT!$A$2:$A$13,CPT!$D$2:$D$13)</f>
        <v>145</v>
      </c>
      <c r="R3819" s="1">
        <f>_xlfn.XLOOKUP(C3819,Contract!$A$2:$A$9,Contract!$B$2:$B$9)</f>
        <v>0.28000000000000003</v>
      </c>
      <c r="S3819" s="1">
        <f t="shared" si="236"/>
        <v>40.6</v>
      </c>
      <c r="T3819" s="1">
        <f t="shared" si="237"/>
        <v>-4.0499999999999972</v>
      </c>
      <c r="U3819" s="1" t="str">
        <f t="shared" si="238"/>
        <v>OK</v>
      </c>
      <c r="V3819" s="1" t="str">
        <f>_xlfn.XLOOKUP(C3819,Payers!$A$2:$A$9,Payers!$B$2:$B$9)</f>
        <v>Coastal Medicaid MCO</v>
      </c>
      <c r="W3819" s="1" t="str">
        <f t="shared" si="239"/>
        <v>2026-02</v>
      </c>
    </row>
    <row r="3820" spans="1:23">
      <c r="A3820" s="1" t="s">
        <v>6171</v>
      </c>
      <c r="B3820" s="1" t="s">
        <v>3340</v>
      </c>
      <c r="C3820" s="1" t="s">
        <v>36</v>
      </c>
      <c r="D3820" s="1" t="s">
        <v>26</v>
      </c>
      <c r="E3820" s="1" t="s">
        <v>113</v>
      </c>
      <c r="F3820">
        <v>1</v>
      </c>
      <c r="G3820" s="2">
        <v>46025</v>
      </c>
      <c r="H3820" s="2">
        <v>46032</v>
      </c>
      <c r="I3820">
        <v>1053.51</v>
      </c>
      <c r="J3820">
        <v>281.55</v>
      </c>
      <c r="K3820">
        <v>225.24</v>
      </c>
      <c r="L3820">
        <v>56.31</v>
      </c>
      <c r="M3820" s="1" t="s">
        <v>21</v>
      </c>
      <c r="N3820" s="1" t="s">
        <v>22</v>
      </c>
      <c r="O3820" s="2">
        <v>46071</v>
      </c>
      <c r="P3820" s="2">
        <v>46071</v>
      </c>
      <c r="Q3820">
        <f>_xlfn.XLOOKUP(E3820,CPT!$A$2:$A$13,CPT!$D$2:$D$13)</f>
        <v>1050</v>
      </c>
      <c r="R3820" s="1">
        <f>_xlfn.XLOOKUP(C3820,Contract!$A$2:$A$9,Contract!$B$2:$B$9)</f>
        <v>0.27</v>
      </c>
      <c r="S3820" s="1">
        <f t="shared" si="236"/>
        <v>283.5</v>
      </c>
      <c r="T3820" s="1">
        <f t="shared" si="237"/>
        <v>1.9499999999999886</v>
      </c>
      <c r="U3820" s="1" t="str">
        <f t="shared" si="238"/>
        <v>OK</v>
      </c>
      <c r="V3820" s="1" t="str">
        <f>_xlfn.XLOOKUP(C3820,Payers!$A$2:$A$9,Payers!$B$2:$B$9)</f>
        <v>Florida Medicaid</v>
      </c>
      <c r="W3820" s="1" t="str">
        <f t="shared" si="239"/>
        <v>2026-01</v>
      </c>
    </row>
    <row r="3821" spans="1:23">
      <c r="A3821" s="1" t="s">
        <v>6172</v>
      </c>
      <c r="B3821" s="1" t="s">
        <v>6173</v>
      </c>
      <c r="C3821" s="1" t="s">
        <v>36</v>
      </c>
      <c r="D3821" s="1" t="s">
        <v>37</v>
      </c>
      <c r="E3821" s="1" t="s">
        <v>48</v>
      </c>
      <c r="F3821">
        <v>1</v>
      </c>
      <c r="G3821" s="2">
        <v>45971</v>
      </c>
      <c r="H3821" s="2">
        <v>45972</v>
      </c>
      <c r="I3821">
        <v>414</v>
      </c>
      <c r="M3821" s="1" t="s">
        <v>32</v>
      </c>
      <c r="N3821" s="1" t="s">
        <v>315</v>
      </c>
      <c r="O3821" s="2">
        <v>46023</v>
      </c>
      <c r="P3821" s="2"/>
      <c r="Q3821">
        <f>_xlfn.XLOOKUP(E3821,CPT!$A$2:$A$13,CPT!$D$2:$D$13)</f>
        <v>420</v>
      </c>
      <c r="R3821" s="1">
        <f>_xlfn.XLOOKUP(C3821,Contract!$A$2:$A$9,Contract!$B$2:$B$9)</f>
        <v>0.27</v>
      </c>
      <c r="S3821" s="1">
        <f t="shared" si="236"/>
        <v>113.4</v>
      </c>
      <c r="T3821" s="1" t="str">
        <f t="shared" si="237"/>
        <v/>
      </c>
      <c r="U3821" s="1" t="str">
        <f t="shared" si="238"/>
        <v/>
      </c>
      <c r="V3821" s="1" t="str">
        <f>_xlfn.XLOOKUP(C3821,Payers!$A$2:$A$9,Payers!$B$2:$B$9)</f>
        <v>Florida Medicaid</v>
      </c>
      <c r="W3821" s="1" t="str">
        <f t="shared" si="239"/>
        <v>2025-11</v>
      </c>
    </row>
    <row r="3822" spans="1:23">
      <c r="A3822" s="1" t="s">
        <v>6174</v>
      </c>
      <c r="B3822" s="1" t="s">
        <v>5079</v>
      </c>
      <c r="C3822" s="1" t="s">
        <v>52</v>
      </c>
      <c r="D3822" s="1" t="s">
        <v>19</v>
      </c>
      <c r="E3822" s="1" t="s">
        <v>57</v>
      </c>
      <c r="F3822">
        <v>1</v>
      </c>
      <c r="G3822" s="2">
        <v>45934</v>
      </c>
      <c r="H3822" s="2">
        <v>45935</v>
      </c>
      <c r="I3822">
        <v>207.55</v>
      </c>
      <c r="J3822">
        <v>106.5</v>
      </c>
      <c r="K3822">
        <v>106.5</v>
      </c>
      <c r="L3822">
        <v>0</v>
      </c>
      <c r="M3822" s="1" t="s">
        <v>21</v>
      </c>
      <c r="N3822" s="1" t="s">
        <v>22</v>
      </c>
      <c r="O3822" s="2">
        <v>45965</v>
      </c>
      <c r="P3822" s="2">
        <v>45965</v>
      </c>
      <c r="Q3822">
        <f>_xlfn.XLOOKUP(E3822,CPT!$A$2:$A$13,CPT!$D$2:$D$13)</f>
        <v>210</v>
      </c>
      <c r="R3822" s="1">
        <f>_xlfn.XLOOKUP(C3822,Contract!$A$2:$A$9,Contract!$B$2:$B$9)</f>
        <v>0.47</v>
      </c>
      <c r="S3822" s="1">
        <f t="shared" si="236"/>
        <v>98.7</v>
      </c>
      <c r="T3822" s="1">
        <f t="shared" si="237"/>
        <v>-7.7999999999999972</v>
      </c>
      <c r="U3822" s="1" t="str">
        <f t="shared" si="238"/>
        <v>OK</v>
      </c>
      <c r="V3822" s="1" t="str">
        <f>_xlfn.XLOOKUP(C3822,Payers!$A$2:$A$9,Payers!$B$2:$B$9)</f>
        <v>Keystone Commercial PPO</v>
      </c>
      <c r="W3822" s="1" t="str">
        <f t="shared" si="239"/>
        <v>2025-10</v>
      </c>
    </row>
    <row r="3823" spans="1:23">
      <c r="A3823" s="1" t="s">
        <v>6175</v>
      </c>
      <c r="B3823" s="1" t="s">
        <v>1337</v>
      </c>
      <c r="C3823" s="1" t="s">
        <v>76</v>
      </c>
      <c r="D3823" s="1" t="s">
        <v>19</v>
      </c>
      <c r="E3823" s="1" t="s">
        <v>20</v>
      </c>
      <c r="F3823">
        <v>1</v>
      </c>
      <c r="G3823" s="2">
        <v>46181</v>
      </c>
      <c r="H3823" s="2">
        <v>46185</v>
      </c>
      <c r="I3823">
        <v>144.24</v>
      </c>
      <c r="J3823">
        <v>55.86</v>
      </c>
      <c r="K3823">
        <v>44.69</v>
      </c>
      <c r="L3823">
        <v>11.17</v>
      </c>
      <c r="M3823" s="1" t="s">
        <v>21</v>
      </c>
      <c r="N3823" s="1" t="s">
        <v>22</v>
      </c>
      <c r="O3823" s="2">
        <v>46203</v>
      </c>
      <c r="P3823" s="2">
        <v>46203</v>
      </c>
      <c r="Q3823">
        <f>_xlfn.XLOOKUP(E3823,CPT!$A$2:$A$13,CPT!$D$2:$D$13)</f>
        <v>145</v>
      </c>
      <c r="R3823" s="1">
        <f>_xlfn.XLOOKUP(C3823,Contract!$A$2:$A$9,Contract!$B$2:$B$9)</f>
        <v>0.43</v>
      </c>
      <c r="S3823" s="1">
        <f t="shared" si="236"/>
        <v>62.35</v>
      </c>
      <c r="T3823" s="1">
        <f t="shared" si="237"/>
        <v>6.490000000000002</v>
      </c>
      <c r="U3823" s="1" t="str">
        <f t="shared" si="238"/>
        <v>Underpaid</v>
      </c>
      <c r="V3823" s="1" t="str">
        <f>_xlfn.XLOOKUP(C3823,Payers!$A$2:$A$9,Payers!$B$2:$B$9)</f>
        <v>Summit Health Commercial</v>
      </c>
      <c r="W3823" s="1" t="str">
        <f t="shared" si="239"/>
        <v>2026-06</v>
      </c>
    </row>
    <row r="3824" spans="1:23">
      <c r="A3824" s="1" t="s">
        <v>6176</v>
      </c>
      <c r="B3824" s="1" t="s">
        <v>3718</v>
      </c>
      <c r="C3824" s="1" t="s">
        <v>47</v>
      </c>
      <c r="D3824" s="1" t="s">
        <v>30</v>
      </c>
      <c r="E3824" s="1" t="s">
        <v>31</v>
      </c>
      <c r="F3824">
        <v>4</v>
      </c>
      <c r="G3824" s="2">
        <v>46174</v>
      </c>
      <c r="H3824" s="2">
        <v>46179</v>
      </c>
      <c r="I3824">
        <v>242.52</v>
      </c>
      <c r="J3824">
        <v>73.58</v>
      </c>
      <c r="K3824">
        <v>66.22</v>
      </c>
      <c r="L3824">
        <v>7.36</v>
      </c>
      <c r="M3824" s="1" t="s">
        <v>21</v>
      </c>
      <c r="N3824" s="1" t="s">
        <v>22</v>
      </c>
      <c r="O3824" s="2">
        <v>46245</v>
      </c>
      <c r="P3824" s="2">
        <v>46245</v>
      </c>
      <c r="Q3824">
        <f>_xlfn.XLOOKUP(E3824,CPT!$A$2:$A$13,CPT!$D$2:$D$13)</f>
        <v>62</v>
      </c>
      <c r="R3824" s="1">
        <f>_xlfn.XLOOKUP(C3824,Contract!$A$2:$A$9,Contract!$B$2:$B$9)</f>
        <v>0.28000000000000003</v>
      </c>
      <c r="S3824" s="1">
        <f t="shared" si="236"/>
        <v>69.44</v>
      </c>
      <c r="T3824" s="1">
        <f t="shared" si="237"/>
        <v>-4.1400000000000006</v>
      </c>
      <c r="U3824" s="1" t="str">
        <f t="shared" si="238"/>
        <v>OK</v>
      </c>
      <c r="V3824" s="1" t="str">
        <f>_xlfn.XLOOKUP(C3824,Payers!$A$2:$A$9,Payers!$B$2:$B$9)</f>
        <v>Coastal Medicaid MCO</v>
      </c>
      <c r="W3824" s="1" t="str">
        <f t="shared" si="239"/>
        <v>2026-06</v>
      </c>
    </row>
    <row r="3825" spans="1:23">
      <c r="A3825" s="1" t="s">
        <v>6177</v>
      </c>
      <c r="B3825" s="1" t="s">
        <v>2503</v>
      </c>
      <c r="C3825" s="1" t="s">
        <v>76</v>
      </c>
      <c r="D3825" s="1" t="s">
        <v>37</v>
      </c>
      <c r="E3825" s="1" t="s">
        <v>38</v>
      </c>
      <c r="F3825">
        <v>10</v>
      </c>
      <c r="G3825" s="2">
        <v>46188</v>
      </c>
      <c r="H3825" s="2">
        <v>46189</v>
      </c>
      <c r="I3825">
        <v>14094.74</v>
      </c>
      <c r="M3825" s="1" t="s">
        <v>32</v>
      </c>
      <c r="N3825" s="1" t="s">
        <v>49</v>
      </c>
      <c r="O3825" s="2">
        <v>46223</v>
      </c>
      <c r="P3825" s="2"/>
      <c r="Q3825">
        <f>_xlfn.XLOOKUP(E3825,CPT!$A$2:$A$13,CPT!$D$2:$D$13)</f>
        <v>1450</v>
      </c>
      <c r="R3825" s="1">
        <f>_xlfn.XLOOKUP(C3825,Contract!$A$2:$A$9,Contract!$B$2:$B$9)</f>
        <v>0.43</v>
      </c>
      <c r="S3825" s="1">
        <f t="shared" si="236"/>
        <v>6235</v>
      </c>
      <c r="T3825" s="1" t="str">
        <f t="shared" si="237"/>
        <v/>
      </c>
      <c r="U3825" s="1" t="str">
        <f t="shared" si="238"/>
        <v/>
      </c>
      <c r="V3825" s="1" t="str">
        <f>_xlfn.XLOOKUP(C3825,Payers!$A$2:$A$9,Payers!$B$2:$B$9)</f>
        <v>Summit Health Commercial</v>
      </c>
      <c r="W3825" s="1" t="str">
        <f t="shared" si="239"/>
        <v>2026-06</v>
      </c>
    </row>
    <row r="3826" spans="1:23">
      <c r="A3826" s="1" t="s">
        <v>6178</v>
      </c>
      <c r="B3826" s="1" t="s">
        <v>6179</v>
      </c>
      <c r="C3826" s="1" t="s">
        <v>52</v>
      </c>
      <c r="D3826" s="1" t="s">
        <v>26</v>
      </c>
      <c r="E3826" s="1" t="s">
        <v>41</v>
      </c>
      <c r="F3826">
        <v>1</v>
      </c>
      <c r="G3826" s="2">
        <v>46197</v>
      </c>
      <c r="H3826" s="2">
        <v>46198</v>
      </c>
      <c r="I3826">
        <v>37.9</v>
      </c>
      <c r="J3826">
        <v>16.850000000000001</v>
      </c>
      <c r="K3826">
        <v>13.48</v>
      </c>
      <c r="L3826">
        <v>3.37</v>
      </c>
      <c r="M3826" s="1" t="s">
        <v>21</v>
      </c>
      <c r="N3826" s="1" t="s">
        <v>22</v>
      </c>
      <c r="O3826" s="2">
        <v>46258</v>
      </c>
      <c r="P3826" s="2">
        <v>46258</v>
      </c>
      <c r="Q3826">
        <f>_xlfn.XLOOKUP(E3826,CPT!$A$2:$A$13,CPT!$D$2:$D$13)</f>
        <v>38</v>
      </c>
      <c r="R3826" s="1">
        <f>_xlfn.XLOOKUP(C3826,Contract!$A$2:$A$9,Contract!$B$2:$B$9)</f>
        <v>0.47</v>
      </c>
      <c r="S3826" s="1">
        <f t="shared" si="236"/>
        <v>17.86</v>
      </c>
      <c r="T3826" s="1">
        <f t="shared" si="237"/>
        <v>1.009999999999998</v>
      </c>
      <c r="U3826" s="1" t="str">
        <f t="shared" si="238"/>
        <v>Underpaid</v>
      </c>
      <c r="V3826" s="1" t="str">
        <f>_xlfn.XLOOKUP(C3826,Payers!$A$2:$A$9,Payers!$B$2:$B$9)</f>
        <v>Keystone Commercial PPO</v>
      </c>
      <c r="W3826" s="1" t="str">
        <f t="shared" si="239"/>
        <v>2026-06</v>
      </c>
    </row>
    <row r="3827" spans="1:23">
      <c r="A3827" s="1" t="s">
        <v>6180</v>
      </c>
      <c r="B3827" s="1" t="s">
        <v>4412</v>
      </c>
      <c r="C3827" s="1" t="s">
        <v>52</v>
      </c>
      <c r="D3827" s="1" t="s">
        <v>37</v>
      </c>
      <c r="E3827" s="1" t="s">
        <v>57</v>
      </c>
      <c r="F3827">
        <v>1</v>
      </c>
      <c r="G3827" s="2">
        <v>45932</v>
      </c>
      <c r="H3827" s="2">
        <v>45933</v>
      </c>
      <c r="I3827">
        <v>207.97</v>
      </c>
      <c r="J3827">
        <v>95.74</v>
      </c>
      <c r="K3827">
        <v>95.74</v>
      </c>
      <c r="L3827">
        <v>0</v>
      </c>
      <c r="M3827" s="1" t="s">
        <v>21</v>
      </c>
      <c r="N3827" s="1" t="s">
        <v>22</v>
      </c>
      <c r="O3827" s="2">
        <v>45977</v>
      </c>
      <c r="P3827" s="2">
        <v>45977</v>
      </c>
      <c r="Q3827">
        <f>_xlfn.XLOOKUP(E3827,CPT!$A$2:$A$13,CPT!$D$2:$D$13)</f>
        <v>210</v>
      </c>
      <c r="R3827" s="1">
        <f>_xlfn.XLOOKUP(C3827,Contract!$A$2:$A$9,Contract!$B$2:$B$9)</f>
        <v>0.47</v>
      </c>
      <c r="S3827" s="1">
        <f t="shared" si="236"/>
        <v>98.7</v>
      </c>
      <c r="T3827" s="1">
        <f t="shared" si="237"/>
        <v>2.960000000000008</v>
      </c>
      <c r="U3827" s="1" t="str">
        <f t="shared" si="238"/>
        <v>OK</v>
      </c>
      <c r="V3827" s="1" t="str">
        <f>_xlfn.XLOOKUP(C3827,Payers!$A$2:$A$9,Payers!$B$2:$B$9)</f>
        <v>Keystone Commercial PPO</v>
      </c>
      <c r="W3827" s="1" t="str">
        <f t="shared" si="239"/>
        <v>2025-10</v>
      </c>
    </row>
    <row r="3828" spans="1:23">
      <c r="A3828" s="1" t="s">
        <v>6181</v>
      </c>
      <c r="B3828" s="1" t="s">
        <v>5844</v>
      </c>
      <c r="C3828" s="1" t="s">
        <v>52</v>
      </c>
      <c r="D3828" s="1" t="s">
        <v>19</v>
      </c>
      <c r="E3828" s="1" t="s">
        <v>57</v>
      </c>
      <c r="F3828">
        <v>1</v>
      </c>
      <c r="G3828" s="2">
        <v>46255</v>
      </c>
      <c r="H3828" s="2">
        <v>46260</v>
      </c>
      <c r="I3828">
        <v>206.49</v>
      </c>
      <c r="M3828" s="1" t="s">
        <v>69</v>
      </c>
      <c r="N3828" s="1" t="s">
        <v>22</v>
      </c>
      <c r="O3828" s="2"/>
      <c r="P3828" s="2"/>
      <c r="Q3828">
        <f>_xlfn.XLOOKUP(E3828,CPT!$A$2:$A$13,CPT!$D$2:$D$13)</f>
        <v>210</v>
      </c>
      <c r="R3828" s="1">
        <f>_xlfn.XLOOKUP(C3828,Contract!$A$2:$A$9,Contract!$B$2:$B$9)</f>
        <v>0.47</v>
      </c>
      <c r="S3828" s="1">
        <f t="shared" si="236"/>
        <v>98.7</v>
      </c>
      <c r="T3828" s="1" t="str">
        <f t="shared" si="237"/>
        <v/>
      </c>
      <c r="U3828" s="1" t="str">
        <f t="shared" si="238"/>
        <v/>
      </c>
      <c r="V3828" s="1" t="str">
        <f>_xlfn.XLOOKUP(C3828,Payers!$A$2:$A$9,Payers!$B$2:$B$9)</f>
        <v>Keystone Commercial PPO</v>
      </c>
      <c r="W3828" s="1" t="str">
        <f t="shared" si="239"/>
        <v>2026-08</v>
      </c>
    </row>
    <row r="3829" spans="1:23">
      <c r="A3829" s="1" t="s">
        <v>6182</v>
      </c>
      <c r="B3829" s="1" t="s">
        <v>369</v>
      </c>
      <c r="C3829" s="1" t="s">
        <v>60</v>
      </c>
      <c r="D3829" s="1" t="s">
        <v>37</v>
      </c>
      <c r="E3829" s="1" t="s">
        <v>38</v>
      </c>
      <c r="F3829">
        <v>30</v>
      </c>
      <c r="G3829" s="2">
        <v>46025</v>
      </c>
      <c r="H3829" s="2">
        <v>46028</v>
      </c>
      <c r="I3829">
        <v>43881.71</v>
      </c>
      <c r="J3829">
        <v>20190.16</v>
      </c>
      <c r="K3829">
        <v>20190.16</v>
      </c>
      <c r="L3829">
        <v>0</v>
      </c>
      <c r="M3829" s="1" t="s">
        <v>21</v>
      </c>
      <c r="N3829" s="1" t="s">
        <v>22</v>
      </c>
      <c r="O3829" s="2">
        <v>46069</v>
      </c>
      <c r="P3829" s="2">
        <v>46069</v>
      </c>
      <c r="Q3829">
        <f>_xlfn.XLOOKUP(E3829,CPT!$A$2:$A$13,CPT!$D$2:$D$13)</f>
        <v>1450</v>
      </c>
      <c r="R3829" s="1">
        <f>_xlfn.XLOOKUP(C3829,Contract!$A$2:$A$9,Contract!$B$2:$B$9)</f>
        <v>0.45</v>
      </c>
      <c r="S3829" s="1">
        <f t="shared" si="236"/>
        <v>19575</v>
      </c>
      <c r="T3829" s="1">
        <f t="shared" si="237"/>
        <v>-615.15999999999985</v>
      </c>
      <c r="U3829" s="1" t="str">
        <f t="shared" si="238"/>
        <v>OK</v>
      </c>
      <c r="V3829" s="1" t="str">
        <f>_xlfn.XLOOKUP(C3829,Payers!$A$2:$A$9,Payers!$B$2:$B$9)</f>
        <v>Blue Horizon Commercial</v>
      </c>
      <c r="W3829" s="1" t="str">
        <f t="shared" si="239"/>
        <v>2026-01</v>
      </c>
    </row>
    <row r="3830" spans="1:23">
      <c r="A3830" s="1" t="s">
        <v>6183</v>
      </c>
      <c r="B3830" s="1" t="s">
        <v>6184</v>
      </c>
      <c r="C3830" s="1" t="s">
        <v>18</v>
      </c>
      <c r="D3830" s="1" t="s">
        <v>26</v>
      </c>
      <c r="E3830" s="1" t="s">
        <v>44</v>
      </c>
      <c r="F3830">
        <v>1</v>
      </c>
      <c r="G3830" s="2">
        <v>46233</v>
      </c>
      <c r="H3830" s="2">
        <v>46234</v>
      </c>
      <c r="I3830">
        <v>4804.78</v>
      </c>
      <c r="J3830">
        <v>1995.8</v>
      </c>
      <c r="K3830">
        <v>1796.22</v>
      </c>
      <c r="L3830">
        <v>199.58</v>
      </c>
      <c r="M3830" s="1" t="s">
        <v>21</v>
      </c>
      <c r="N3830" s="1" t="s">
        <v>22</v>
      </c>
      <c r="O3830" s="2">
        <v>46295</v>
      </c>
      <c r="P3830" s="2">
        <v>46295</v>
      </c>
      <c r="Q3830">
        <f>_xlfn.XLOOKUP(E3830,CPT!$A$2:$A$13,CPT!$D$2:$D$13)</f>
        <v>4800</v>
      </c>
      <c r="R3830" s="1">
        <f>_xlfn.XLOOKUP(C3830,Contract!$A$2:$A$9,Contract!$B$2:$B$9)</f>
        <v>0.38</v>
      </c>
      <c r="S3830" s="1">
        <f t="shared" si="236"/>
        <v>1824</v>
      </c>
      <c r="T3830" s="1">
        <f t="shared" si="237"/>
        <v>-171.79999999999995</v>
      </c>
      <c r="U3830" s="1" t="str">
        <f t="shared" si="238"/>
        <v>OK</v>
      </c>
      <c r="V3830" s="1" t="str">
        <f>_xlfn.XLOOKUP(C3830,Payers!$A$2:$A$9,Payers!$B$2:$B$9)</f>
        <v>Sunshine Medicare Advantage</v>
      </c>
      <c r="W3830" s="1" t="str">
        <f t="shared" si="239"/>
        <v>2026-07</v>
      </c>
    </row>
    <row r="3831" spans="1:23">
      <c r="A3831" s="1" t="s">
        <v>6185</v>
      </c>
      <c r="B3831" s="1" t="s">
        <v>6186</v>
      </c>
      <c r="C3831" s="1" t="s">
        <v>47</v>
      </c>
      <c r="D3831" s="1" t="s">
        <v>19</v>
      </c>
      <c r="E3831" s="1" t="s">
        <v>20</v>
      </c>
      <c r="F3831">
        <v>1</v>
      </c>
      <c r="G3831" s="2">
        <v>45974</v>
      </c>
      <c r="H3831" s="2">
        <v>45981</v>
      </c>
      <c r="I3831">
        <v>143.61000000000001</v>
      </c>
      <c r="J3831">
        <v>43.66</v>
      </c>
      <c r="K3831">
        <v>43.66</v>
      </c>
      <c r="L3831">
        <v>0</v>
      </c>
      <c r="M3831" s="1" t="s">
        <v>21</v>
      </c>
      <c r="N3831" s="1" t="s">
        <v>22</v>
      </c>
      <c r="O3831" s="2">
        <v>46044</v>
      </c>
      <c r="P3831" s="2">
        <v>46044</v>
      </c>
      <c r="Q3831">
        <f>_xlfn.XLOOKUP(E3831,CPT!$A$2:$A$13,CPT!$D$2:$D$13)</f>
        <v>145</v>
      </c>
      <c r="R3831" s="1">
        <f>_xlfn.XLOOKUP(C3831,Contract!$A$2:$A$9,Contract!$B$2:$B$9)</f>
        <v>0.28000000000000003</v>
      </c>
      <c r="S3831" s="1">
        <f t="shared" si="236"/>
        <v>40.6</v>
      </c>
      <c r="T3831" s="1">
        <f t="shared" si="237"/>
        <v>-3.0599999999999952</v>
      </c>
      <c r="U3831" s="1" t="str">
        <f t="shared" si="238"/>
        <v>OK</v>
      </c>
      <c r="V3831" s="1" t="str">
        <f>_xlfn.XLOOKUP(C3831,Payers!$A$2:$A$9,Payers!$B$2:$B$9)</f>
        <v>Coastal Medicaid MCO</v>
      </c>
      <c r="W3831" s="1" t="str">
        <f t="shared" si="239"/>
        <v>2025-11</v>
      </c>
    </row>
    <row r="3832" spans="1:23">
      <c r="A3832" s="1" t="s">
        <v>6187</v>
      </c>
      <c r="B3832" s="1" t="s">
        <v>647</v>
      </c>
      <c r="C3832" s="1" t="s">
        <v>76</v>
      </c>
      <c r="D3832" s="1" t="s">
        <v>30</v>
      </c>
      <c r="E3832" s="1" t="s">
        <v>20</v>
      </c>
      <c r="F3832">
        <v>1</v>
      </c>
      <c r="G3832" s="2">
        <v>46213</v>
      </c>
      <c r="H3832" s="2">
        <v>46218</v>
      </c>
      <c r="I3832">
        <v>140.91</v>
      </c>
      <c r="J3832">
        <v>69.52</v>
      </c>
      <c r="K3832">
        <v>69.52</v>
      </c>
      <c r="L3832">
        <v>0</v>
      </c>
      <c r="M3832" s="1" t="s">
        <v>21</v>
      </c>
      <c r="N3832" s="1" t="s">
        <v>22</v>
      </c>
      <c r="O3832" s="2">
        <v>46245</v>
      </c>
      <c r="P3832" s="2">
        <v>46245</v>
      </c>
      <c r="Q3832">
        <f>_xlfn.XLOOKUP(E3832,CPT!$A$2:$A$13,CPT!$D$2:$D$13)</f>
        <v>145</v>
      </c>
      <c r="R3832" s="1">
        <f>_xlfn.XLOOKUP(C3832,Contract!$A$2:$A$9,Contract!$B$2:$B$9)</f>
        <v>0.43</v>
      </c>
      <c r="S3832" s="1">
        <f t="shared" si="236"/>
        <v>62.35</v>
      </c>
      <c r="T3832" s="1">
        <f t="shared" si="237"/>
        <v>-7.1699999999999946</v>
      </c>
      <c r="U3832" s="1" t="str">
        <f t="shared" si="238"/>
        <v>OK</v>
      </c>
      <c r="V3832" s="1" t="str">
        <f>_xlfn.XLOOKUP(C3832,Payers!$A$2:$A$9,Payers!$B$2:$B$9)</f>
        <v>Summit Health Commercial</v>
      </c>
      <c r="W3832" s="1" t="str">
        <f t="shared" si="239"/>
        <v>2026-07</v>
      </c>
    </row>
    <row r="3833" spans="1:23">
      <c r="A3833" s="1" t="s">
        <v>6188</v>
      </c>
      <c r="B3833" s="1" t="s">
        <v>6189</v>
      </c>
      <c r="C3833" s="1" t="s">
        <v>76</v>
      </c>
      <c r="D3833" s="1" t="s">
        <v>30</v>
      </c>
      <c r="E3833" s="1" t="s">
        <v>31</v>
      </c>
      <c r="F3833">
        <v>1</v>
      </c>
      <c r="G3833" s="2">
        <v>46155</v>
      </c>
      <c r="H3833" s="2">
        <v>46164</v>
      </c>
      <c r="I3833">
        <v>63.83</v>
      </c>
      <c r="J3833">
        <v>24.75</v>
      </c>
      <c r="K3833">
        <v>19.8</v>
      </c>
      <c r="L3833">
        <v>4.95</v>
      </c>
      <c r="M3833" s="1" t="s">
        <v>21</v>
      </c>
      <c r="N3833" s="1" t="s">
        <v>22</v>
      </c>
      <c r="O3833" s="2">
        <v>46223</v>
      </c>
      <c r="P3833" s="2">
        <v>46223</v>
      </c>
      <c r="Q3833">
        <f>_xlfn.XLOOKUP(E3833,CPT!$A$2:$A$13,CPT!$D$2:$D$13)</f>
        <v>62</v>
      </c>
      <c r="R3833" s="1">
        <f>_xlfn.XLOOKUP(C3833,Contract!$A$2:$A$9,Contract!$B$2:$B$9)</f>
        <v>0.43</v>
      </c>
      <c r="S3833" s="1">
        <f t="shared" si="236"/>
        <v>26.66</v>
      </c>
      <c r="T3833" s="1">
        <f t="shared" si="237"/>
        <v>1.9100000000000001</v>
      </c>
      <c r="U3833" s="1" t="str">
        <f t="shared" si="238"/>
        <v>Underpaid</v>
      </c>
      <c r="V3833" s="1" t="str">
        <f>_xlfn.XLOOKUP(C3833,Payers!$A$2:$A$9,Payers!$B$2:$B$9)</f>
        <v>Summit Health Commercial</v>
      </c>
      <c r="W3833" s="1" t="str">
        <f t="shared" si="239"/>
        <v>2026-05</v>
      </c>
    </row>
    <row r="3834" spans="1:23">
      <c r="A3834" s="1" t="s">
        <v>6190</v>
      </c>
      <c r="B3834" s="1" t="s">
        <v>6191</v>
      </c>
      <c r="C3834" s="1" t="s">
        <v>76</v>
      </c>
      <c r="D3834" s="1" t="s">
        <v>26</v>
      </c>
      <c r="E3834" s="1" t="s">
        <v>113</v>
      </c>
      <c r="F3834">
        <v>1</v>
      </c>
      <c r="G3834" s="2">
        <v>46099</v>
      </c>
      <c r="H3834" s="2">
        <v>46100</v>
      </c>
      <c r="I3834">
        <v>1043.8699999999999</v>
      </c>
      <c r="J3834">
        <v>466.6</v>
      </c>
      <c r="K3834">
        <v>373.28</v>
      </c>
      <c r="L3834">
        <v>93.32</v>
      </c>
      <c r="M3834" s="1" t="s">
        <v>21</v>
      </c>
      <c r="N3834" s="1" t="s">
        <v>22</v>
      </c>
      <c r="O3834" s="2">
        <v>46117</v>
      </c>
      <c r="P3834" s="2">
        <v>46117</v>
      </c>
      <c r="Q3834">
        <f>_xlfn.XLOOKUP(E3834,CPT!$A$2:$A$13,CPT!$D$2:$D$13)</f>
        <v>1050</v>
      </c>
      <c r="R3834" s="1">
        <f>_xlfn.XLOOKUP(C3834,Contract!$A$2:$A$9,Contract!$B$2:$B$9)</f>
        <v>0.43</v>
      </c>
      <c r="S3834" s="1">
        <f t="shared" si="236"/>
        <v>451.5</v>
      </c>
      <c r="T3834" s="1">
        <f t="shared" si="237"/>
        <v>-15.100000000000023</v>
      </c>
      <c r="U3834" s="1" t="str">
        <f t="shared" si="238"/>
        <v>OK</v>
      </c>
      <c r="V3834" s="1" t="str">
        <f>_xlfn.XLOOKUP(C3834,Payers!$A$2:$A$9,Payers!$B$2:$B$9)</f>
        <v>Summit Health Commercial</v>
      </c>
      <c r="W3834" s="1" t="str">
        <f t="shared" si="239"/>
        <v>2026-03</v>
      </c>
    </row>
    <row r="3835" spans="1:23">
      <c r="A3835" s="1" t="s">
        <v>6192</v>
      </c>
      <c r="B3835" s="1" t="s">
        <v>6193</v>
      </c>
      <c r="C3835" s="1" t="s">
        <v>36</v>
      </c>
      <c r="D3835" s="1" t="s">
        <v>30</v>
      </c>
      <c r="E3835" s="1" t="s">
        <v>31</v>
      </c>
      <c r="F3835">
        <v>2</v>
      </c>
      <c r="G3835" s="2">
        <v>46166</v>
      </c>
      <c r="H3835" s="2">
        <v>46169</v>
      </c>
      <c r="I3835">
        <v>120.47</v>
      </c>
      <c r="J3835">
        <v>34.049999999999997</v>
      </c>
      <c r="K3835">
        <v>30.65</v>
      </c>
      <c r="L3835">
        <v>3.4</v>
      </c>
      <c r="M3835" s="1" t="s">
        <v>21</v>
      </c>
      <c r="N3835" s="1" t="s">
        <v>22</v>
      </c>
      <c r="O3835" s="2">
        <v>46202</v>
      </c>
      <c r="P3835" s="2">
        <v>46202</v>
      </c>
      <c r="Q3835">
        <f>_xlfn.XLOOKUP(E3835,CPT!$A$2:$A$13,CPT!$D$2:$D$13)</f>
        <v>62</v>
      </c>
      <c r="R3835" s="1">
        <f>_xlfn.XLOOKUP(C3835,Contract!$A$2:$A$9,Contract!$B$2:$B$9)</f>
        <v>0.27</v>
      </c>
      <c r="S3835" s="1">
        <f t="shared" si="236"/>
        <v>33.479999999999997</v>
      </c>
      <c r="T3835" s="1">
        <f t="shared" si="237"/>
        <v>-0.57000000000000028</v>
      </c>
      <c r="U3835" s="1" t="str">
        <f t="shared" si="238"/>
        <v>OK</v>
      </c>
      <c r="V3835" s="1" t="str">
        <f>_xlfn.XLOOKUP(C3835,Payers!$A$2:$A$9,Payers!$B$2:$B$9)</f>
        <v>Florida Medicaid</v>
      </c>
      <c r="W3835" s="1" t="str">
        <f t="shared" si="239"/>
        <v>2026-05</v>
      </c>
    </row>
    <row r="3836" spans="1:23">
      <c r="A3836" s="1" t="s">
        <v>6194</v>
      </c>
      <c r="B3836" s="1" t="s">
        <v>3184</v>
      </c>
      <c r="C3836" s="1" t="s">
        <v>76</v>
      </c>
      <c r="D3836" s="1" t="s">
        <v>26</v>
      </c>
      <c r="E3836" s="1" t="s">
        <v>57</v>
      </c>
      <c r="F3836">
        <v>1</v>
      </c>
      <c r="G3836" s="2">
        <v>46222</v>
      </c>
      <c r="H3836" s="2">
        <v>46223</v>
      </c>
      <c r="I3836">
        <v>214.53</v>
      </c>
      <c r="J3836">
        <v>90.98</v>
      </c>
      <c r="K3836">
        <v>81.88</v>
      </c>
      <c r="L3836">
        <v>9.1</v>
      </c>
      <c r="M3836" s="1" t="s">
        <v>21</v>
      </c>
      <c r="N3836" s="1" t="s">
        <v>22</v>
      </c>
      <c r="O3836" s="2">
        <v>46263</v>
      </c>
      <c r="P3836" s="2">
        <v>46263</v>
      </c>
      <c r="Q3836">
        <f>_xlfn.XLOOKUP(E3836,CPT!$A$2:$A$13,CPT!$D$2:$D$13)</f>
        <v>210</v>
      </c>
      <c r="R3836" s="1">
        <f>_xlfn.XLOOKUP(C3836,Contract!$A$2:$A$9,Contract!$B$2:$B$9)</f>
        <v>0.43</v>
      </c>
      <c r="S3836" s="1">
        <f t="shared" si="236"/>
        <v>90.3</v>
      </c>
      <c r="T3836" s="1">
        <f t="shared" si="237"/>
        <v>-0.68000000000000682</v>
      </c>
      <c r="U3836" s="1" t="str">
        <f t="shared" si="238"/>
        <v>OK</v>
      </c>
      <c r="V3836" s="1" t="str">
        <f>_xlfn.XLOOKUP(C3836,Payers!$A$2:$A$9,Payers!$B$2:$B$9)</f>
        <v>Summit Health Commercial</v>
      </c>
      <c r="W3836" s="1" t="str">
        <f t="shared" si="239"/>
        <v>2026-07</v>
      </c>
    </row>
    <row r="3837" spans="1:23">
      <c r="A3837" s="1" t="s">
        <v>6195</v>
      </c>
      <c r="B3837" s="1" t="s">
        <v>6196</v>
      </c>
      <c r="C3837" s="1" t="s">
        <v>76</v>
      </c>
      <c r="D3837" s="1" t="s">
        <v>26</v>
      </c>
      <c r="E3837" s="1" t="s">
        <v>113</v>
      </c>
      <c r="F3837">
        <v>1</v>
      </c>
      <c r="G3837" s="2">
        <v>46293</v>
      </c>
      <c r="H3837" s="2">
        <v>46295</v>
      </c>
      <c r="I3837">
        <v>1033.8499999999999</v>
      </c>
      <c r="M3837" s="1" t="s">
        <v>69</v>
      </c>
      <c r="N3837" s="1" t="s">
        <v>22</v>
      </c>
      <c r="O3837" s="2"/>
      <c r="P3837" s="2"/>
      <c r="Q3837">
        <f>_xlfn.XLOOKUP(E3837,CPT!$A$2:$A$13,CPT!$D$2:$D$13)</f>
        <v>1050</v>
      </c>
      <c r="R3837" s="1">
        <f>_xlfn.XLOOKUP(C3837,Contract!$A$2:$A$9,Contract!$B$2:$B$9)</f>
        <v>0.43</v>
      </c>
      <c r="S3837" s="1">
        <f t="shared" si="236"/>
        <v>451.5</v>
      </c>
      <c r="T3837" s="1" t="str">
        <f t="shared" si="237"/>
        <v/>
      </c>
      <c r="U3837" s="1" t="str">
        <f t="shared" si="238"/>
        <v/>
      </c>
      <c r="V3837" s="1" t="str">
        <f>_xlfn.XLOOKUP(C3837,Payers!$A$2:$A$9,Payers!$B$2:$B$9)</f>
        <v>Summit Health Commercial</v>
      </c>
      <c r="W3837" s="1" t="str">
        <f t="shared" si="239"/>
        <v>2026-09</v>
      </c>
    </row>
    <row r="3838" spans="1:23">
      <c r="A3838" s="1" t="s">
        <v>6197</v>
      </c>
      <c r="B3838" s="1" t="s">
        <v>5572</v>
      </c>
      <c r="C3838" s="1" t="s">
        <v>76</v>
      </c>
      <c r="D3838" s="1" t="s">
        <v>37</v>
      </c>
      <c r="E3838" s="1" t="s">
        <v>57</v>
      </c>
      <c r="F3838">
        <v>1</v>
      </c>
      <c r="G3838" s="2">
        <v>46044</v>
      </c>
      <c r="H3838" s="2">
        <v>46047</v>
      </c>
      <c r="I3838">
        <v>208.02</v>
      </c>
      <c r="J3838">
        <v>99.7</v>
      </c>
      <c r="K3838">
        <v>89.73</v>
      </c>
      <c r="L3838">
        <v>9.9700000000000006</v>
      </c>
      <c r="M3838" s="1" t="s">
        <v>21</v>
      </c>
      <c r="N3838" s="1" t="s">
        <v>22</v>
      </c>
      <c r="O3838" s="2">
        <v>46075</v>
      </c>
      <c r="P3838" s="2">
        <v>46075</v>
      </c>
      <c r="Q3838">
        <f>_xlfn.XLOOKUP(E3838,CPT!$A$2:$A$13,CPT!$D$2:$D$13)</f>
        <v>210</v>
      </c>
      <c r="R3838" s="1">
        <f>_xlfn.XLOOKUP(C3838,Contract!$A$2:$A$9,Contract!$B$2:$B$9)</f>
        <v>0.43</v>
      </c>
      <c r="S3838" s="1">
        <f t="shared" si="236"/>
        <v>90.3</v>
      </c>
      <c r="T3838" s="1">
        <f t="shared" si="237"/>
        <v>-9.4000000000000057</v>
      </c>
      <c r="U3838" s="1" t="str">
        <f t="shared" si="238"/>
        <v>OK</v>
      </c>
      <c r="V3838" s="1" t="str">
        <f>_xlfn.XLOOKUP(C3838,Payers!$A$2:$A$9,Payers!$B$2:$B$9)</f>
        <v>Summit Health Commercial</v>
      </c>
      <c r="W3838" s="1" t="str">
        <f t="shared" si="239"/>
        <v>2026-01</v>
      </c>
    </row>
    <row r="3839" spans="1:23">
      <c r="A3839" s="1" t="s">
        <v>6198</v>
      </c>
      <c r="B3839" s="1" t="s">
        <v>6199</v>
      </c>
      <c r="C3839" s="1" t="s">
        <v>60</v>
      </c>
      <c r="D3839" s="1" t="s">
        <v>19</v>
      </c>
      <c r="E3839" s="1" t="s">
        <v>41</v>
      </c>
      <c r="F3839">
        <v>1</v>
      </c>
      <c r="G3839" s="2">
        <v>46279</v>
      </c>
      <c r="H3839" s="2">
        <v>46282</v>
      </c>
      <c r="I3839">
        <v>38.979999999999997</v>
      </c>
      <c r="M3839" s="1" t="s">
        <v>69</v>
      </c>
      <c r="N3839" s="1" t="s">
        <v>22</v>
      </c>
      <c r="O3839" s="2"/>
      <c r="P3839" s="2"/>
      <c r="Q3839">
        <f>_xlfn.XLOOKUP(E3839,CPT!$A$2:$A$13,CPT!$D$2:$D$13)</f>
        <v>38</v>
      </c>
      <c r="R3839" s="1">
        <f>_xlfn.XLOOKUP(C3839,Contract!$A$2:$A$9,Contract!$B$2:$B$9)</f>
        <v>0.45</v>
      </c>
      <c r="S3839" s="1">
        <f t="shared" si="236"/>
        <v>17.100000000000001</v>
      </c>
      <c r="T3839" s="1" t="str">
        <f t="shared" si="237"/>
        <v/>
      </c>
      <c r="U3839" s="1" t="str">
        <f t="shared" si="238"/>
        <v/>
      </c>
      <c r="V3839" s="1" t="str">
        <f>_xlfn.XLOOKUP(C3839,Payers!$A$2:$A$9,Payers!$B$2:$B$9)</f>
        <v>Blue Horizon Commercial</v>
      </c>
      <c r="W3839" s="1" t="str">
        <f t="shared" si="239"/>
        <v>2026-09</v>
      </c>
    </row>
    <row r="3840" spans="1:23">
      <c r="A3840" s="1" t="s">
        <v>6200</v>
      </c>
      <c r="B3840" s="1" t="s">
        <v>2744</v>
      </c>
      <c r="C3840" s="1" t="s">
        <v>60</v>
      </c>
      <c r="D3840" s="1" t="s">
        <v>19</v>
      </c>
      <c r="E3840" s="1" t="s">
        <v>57</v>
      </c>
      <c r="F3840">
        <v>1</v>
      </c>
      <c r="G3840" s="2">
        <v>46248</v>
      </c>
      <c r="H3840" s="2">
        <v>46250</v>
      </c>
      <c r="I3840">
        <v>214.87</v>
      </c>
      <c r="J3840">
        <v>89.73</v>
      </c>
      <c r="K3840">
        <v>71.78</v>
      </c>
      <c r="L3840">
        <v>17.95</v>
      </c>
      <c r="M3840" s="1" t="s">
        <v>21</v>
      </c>
      <c r="N3840" s="1" t="s">
        <v>22</v>
      </c>
      <c r="O3840" s="2">
        <v>46275</v>
      </c>
      <c r="P3840" s="2">
        <v>46275</v>
      </c>
      <c r="Q3840">
        <f>_xlfn.XLOOKUP(E3840,CPT!$A$2:$A$13,CPT!$D$2:$D$13)</f>
        <v>210</v>
      </c>
      <c r="R3840" s="1">
        <f>_xlfn.XLOOKUP(C3840,Contract!$A$2:$A$9,Contract!$B$2:$B$9)</f>
        <v>0.45</v>
      </c>
      <c r="S3840" s="1">
        <f t="shared" si="236"/>
        <v>94.5</v>
      </c>
      <c r="T3840" s="1">
        <f t="shared" si="237"/>
        <v>4.769999999999996</v>
      </c>
      <c r="U3840" s="1" t="str">
        <f t="shared" si="238"/>
        <v>Underpaid</v>
      </c>
      <c r="V3840" s="1" t="str">
        <f>_xlfn.XLOOKUP(C3840,Payers!$A$2:$A$9,Payers!$B$2:$B$9)</f>
        <v>Blue Horizon Commercial</v>
      </c>
      <c r="W3840" s="1" t="str">
        <f t="shared" si="239"/>
        <v>2026-08</v>
      </c>
    </row>
    <row r="3841" spans="1:23">
      <c r="A3841" s="1" t="s">
        <v>6201</v>
      </c>
      <c r="B3841" s="1" t="s">
        <v>233</v>
      </c>
      <c r="C3841" s="1" t="s">
        <v>60</v>
      </c>
      <c r="D3841" s="1" t="s">
        <v>37</v>
      </c>
      <c r="E3841" s="1" t="s">
        <v>38</v>
      </c>
      <c r="F3841">
        <v>10</v>
      </c>
      <c r="G3841" s="2">
        <v>46176</v>
      </c>
      <c r="H3841" s="2">
        <v>46183</v>
      </c>
      <c r="I3841">
        <v>14602.53</v>
      </c>
      <c r="J3841">
        <v>6666.32</v>
      </c>
      <c r="K3841">
        <v>6666.32</v>
      </c>
      <c r="L3841">
        <v>0</v>
      </c>
      <c r="M3841" s="1" t="s">
        <v>21</v>
      </c>
      <c r="N3841" s="1" t="s">
        <v>22</v>
      </c>
      <c r="O3841" s="2">
        <v>46215</v>
      </c>
      <c r="P3841" s="2">
        <v>46215</v>
      </c>
      <c r="Q3841">
        <f>_xlfn.XLOOKUP(E3841,CPT!$A$2:$A$13,CPT!$D$2:$D$13)</f>
        <v>1450</v>
      </c>
      <c r="R3841" s="1">
        <f>_xlfn.XLOOKUP(C3841,Contract!$A$2:$A$9,Contract!$B$2:$B$9)</f>
        <v>0.45</v>
      </c>
      <c r="S3841" s="1">
        <f t="shared" si="236"/>
        <v>6525</v>
      </c>
      <c r="T3841" s="1">
        <f t="shared" si="237"/>
        <v>-141.31999999999971</v>
      </c>
      <c r="U3841" s="1" t="str">
        <f t="shared" si="238"/>
        <v>OK</v>
      </c>
      <c r="V3841" s="1" t="str">
        <f>_xlfn.XLOOKUP(C3841,Payers!$A$2:$A$9,Payers!$B$2:$B$9)</f>
        <v>Blue Horizon Commercial</v>
      </c>
      <c r="W3841" s="1" t="str">
        <f t="shared" si="239"/>
        <v>2026-06</v>
      </c>
    </row>
    <row r="3842" spans="1:23">
      <c r="A3842" s="1" t="s">
        <v>6202</v>
      </c>
      <c r="B3842" s="1" t="s">
        <v>6203</v>
      </c>
      <c r="C3842" s="1" t="s">
        <v>60</v>
      </c>
      <c r="D3842" s="1" t="s">
        <v>37</v>
      </c>
      <c r="E3842" s="1" t="s">
        <v>57</v>
      </c>
      <c r="F3842">
        <v>1</v>
      </c>
      <c r="G3842" s="2">
        <v>46050</v>
      </c>
      <c r="H3842" s="2">
        <v>46053</v>
      </c>
      <c r="I3842">
        <v>209.22</v>
      </c>
      <c r="J3842">
        <v>96.76</v>
      </c>
      <c r="K3842">
        <v>96.76</v>
      </c>
      <c r="L3842">
        <v>0</v>
      </c>
      <c r="M3842" s="1" t="s">
        <v>21</v>
      </c>
      <c r="N3842" s="1" t="s">
        <v>22</v>
      </c>
      <c r="O3842" s="2">
        <v>46096</v>
      </c>
      <c r="P3842" s="2">
        <v>46096</v>
      </c>
      <c r="Q3842">
        <f>_xlfn.XLOOKUP(E3842,CPT!$A$2:$A$13,CPT!$D$2:$D$13)</f>
        <v>210</v>
      </c>
      <c r="R3842" s="1">
        <f>_xlfn.XLOOKUP(C3842,Contract!$A$2:$A$9,Contract!$B$2:$B$9)</f>
        <v>0.45</v>
      </c>
      <c r="S3842" s="1">
        <f t="shared" ref="S3842:S3905" si="240">ROUND(Q3842*F3842*R3842,2)</f>
        <v>94.5</v>
      </c>
      <c r="T3842" s="1">
        <f t="shared" ref="T3842:T3905" si="241">IF(M3842="Paid",S3842-J3842,"")</f>
        <v>-2.2600000000000051</v>
      </c>
      <c r="U3842" s="1" t="str">
        <f t="shared" ref="U3842:U3905" si="242">IF(M3842&lt;&gt;"Paid","",IF(T3842&gt;S3842*0.05,"Underpaid","OK"))</f>
        <v>OK</v>
      </c>
      <c r="V3842" s="1" t="str">
        <f>_xlfn.XLOOKUP(C3842,Payers!$A$2:$A$9,Payers!$B$2:$B$9)</f>
        <v>Blue Horizon Commercial</v>
      </c>
      <c r="W3842" s="1" t="str">
        <f t="shared" ref="W3842:W3905" si="243">TEXT(G3842,"yyyy-mm")</f>
        <v>2026-01</v>
      </c>
    </row>
    <row r="3843" spans="1:23">
      <c r="A3843" s="1" t="s">
        <v>6204</v>
      </c>
      <c r="B3843" s="1" t="s">
        <v>6205</v>
      </c>
      <c r="C3843" s="1" t="s">
        <v>60</v>
      </c>
      <c r="D3843" s="1" t="s">
        <v>26</v>
      </c>
      <c r="E3843" s="1" t="s">
        <v>185</v>
      </c>
      <c r="F3843">
        <v>1</v>
      </c>
      <c r="G3843" s="2">
        <v>46011</v>
      </c>
      <c r="H3843" s="2">
        <v>46020</v>
      </c>
      <c r="I3843">
        <v>1145.6600000000001</v>
      </c>
      <c r="J3843">
        <v>436.89</v>
      </c>
      <c r="K3843">
        <v>349.51</v>
      </c>
      <c r="L3843">
        <v>87.38</v>
      </c>
      <c r="M3843" s="1" t="s">
        <v>21</v>
      </c>
      <c r="N3843" s="1" t="s">
        <v>22</v>
      </c>
      <c r="O3843" s="2">
        <v>46048</v>
      </c>
      <c r="P3843" s="2">
        <v>46048</v>
      </c>
      <c r="Q3843">
        <f>_xlfn.XLOOKUP(E3843,CPT!$A$2:$A$13,CPT!$D$2:$D$13)</f>
        <v>1150</v>
      </c>
      <c r="R3843" s="1">
        <f>_xlfn.XLOOKUP(C3843,Contract!$A$2:$A$9,Contract!$B$2:$B$9)</f>
        <v>0.45</v>
      </c>
      <c r="S3843" s="1">
        <f t="shared" si="240"/>
        <v>517.5</v>
      </c>
      <c r="T3843" s="1">
        <f t="shared" si="241"/>
        <v>80.610000000000014</v>
      </c>
      <c r="U3843" s="1" t="str">
        <f t="shared" si="242"/>
        <v>Underpaid</v>
      </c>
      <c r="V3843" s="1" t="str">
        <f>_xlfn.XLOOKUP(C3843,Payers!$A$2:$A$9,Payers!$B$2:$B$9)</f>
        <v>Blue Horizon Commercial</v>
      </c>
      <c r="W3843" s="1" t="str">
        <f t="shared" si="243"/>
        <v>2025-12</v>
      </c>
    </row>
    <row r="3844" spans="1:23">
      <c r="A3844" s="1" t="s">
        <v>6206</v>
      </c>
      <c r="B3844" s="1" t="s">
        <v>5506</v>
      </c>
      <c r="C3844" s="1" t="s">
        <v>60</v>
      </c>
      <c r="D3844" s="1" t="s">
        <v>26</v>
      </c>
      <c r="E3844" s="1" t="s">
        <v>88</v>
      </c>
      <c r="F3844">
        <v>1</v>
      </c>
      <c r="G3844" s="2">
        <v>46142</v>
      </c>
      <c r="H3844" s="2">
        <v>46143</v>
      </c>
      <c r="I3844">
        <v>264.32</v>
      </c>
      <c r="J3844">
        <v>117.56</v>
      </c>
      <c r="K3844">
        <v>117.56</v>
      </c>
      <c r="L3844">
        <v>0</v>
      </c>
      <c r="M3844" s="1" t="s">
        <v>21</v>
      </c>
      <c r="N3844" s="1" t="s">
        <v>22</v>
      </c>
      <c r="O3844" s="2">
        <v>46187</v>
      </c>
      <c r="P3844" s="2">
        <v>46187</v>
      </c>
      <c r="Q3844">
        <f>_xlfn.XLOOKUP(E3844,CPT!$A$2:$A$13,CPT!$D$2:$D$13)</f>
        <v>260</v>
      </c>
      <c r="R3844" s="1">
        <f>_xlfn.XLOOKUP(C3844,Contract!$A$2:$A$9,Contract!$B$2:$B$9)</f>
        <v>0.45</v>
      </c>
      <c r="S3844" s="1">
        <f t="shared" si="240"/>
        <v>117</v>
      </c>
      <c r="T3844" s="1">
        <f t="shared" si="241"/>
        <v>-0.56000000000000227</v>
      </c>
      <c r="U3844" s="1" t="str">
        <f t="shared" si="242"/>
        <v>OK</v>
      </c>
      <c r="V3844" s="1" t="str">
        <f>_xlfn.XLOOKUP(C3844,Payers!$A$2:$A$9,Payers!$B$2:$B$9)</f>
        <v>Blue Horizon Commercial</v>
      </c>
      <c r="W3844" s="1" t="str">
        <f t="shared" si="243"/>
        <v>2026-04</v>
      </c>
    </row>
    <row r="3845" spans="1:23">
      <c r="A3845" s="1" t="s">
        <v>6207</v>
      </c>
      <c r="B3845" s="1" t="s">
        <v>6208</v>
      </c>
      <c r="C3845" s="1" t="s">
        <v>60</v>
      </c>
      <c r="D3845" s="1" t="s">
        <v>37</v>
      </c>
      <c r="E3845" s="1" t="s">
        <v>57</v>
      </c>
      <c r="F3845">
        <v>1</v>
      </c>
      <c r="G3845" s="2">
        <v>45996</v>
      </c>
      <c r="H3845" s="2">
        <v>45997</v>
      </c>
      <c r="I3845">
        <v>211.54</v>
      </c>
      <c r="J3845">
        <v>103.91</v>
      </c>
      <c r="K3845">
        <v>93.52</v>
      </c>
      <c r="L3845">
        <v>10.39</v>
      </c>
      <c r="M3845" s="1" t="s">
        <v>21</v>
      </c>
      <c r="N3845" s="1" t="s">
        <v>22</v>
      </c>
      <c r="O3845" s="2">
        <v>46022</v>
      </c>
      <c r="P3845" s="2">
        <v>46022</v>
      </c>
      <c r="Q3845">
        <f>_xlfn.XLOOKUP(E3845,CPT!$A$2:$A$13,CPT!$D$2:$D$13)</f>
        <v>210</v>
      </c>
      <c r="R3845" s="1">
        <f>_xlfn.XLOOKUP(C3845,Contract!$A$2:$A$9,Contract!$B$2:$B$9)</f>
        <v>0.45</v>
      </c>
      <c r="S3845" s="1">
        <f t="shared" si="240"/>
        <v>94.5</v>
      </c>
      <c r="T3845" s="1">
        <f t="shared" si="241"/>
        <v>-9.4099999999999966</v>
      </c>
      <c r="U3845" s="1" t="str">
        <f t="shared" si="242"/>
        <v>OK</v>
      </c>
      <c r="V3845" s="1" t="str">
        <f>_xlfn.XLOOKUP(C3845,Payers!$A$2:$A$9,Payers!$B$2:$B$9)</f>
        <v>Blue Horizon Commercial</v>
      </c>
      <c r="W3845" s="1" t="str">
        <f t="shared" si="243"/>
        <v>2025-12</v>
      </c>
    </row>
    <row r="3846" spans="1:23">
      <c r="A3846" s="1" t="s">
        <v>6209</v>
      </c>
      <c r="B3846" s="1" t="s">
        <v>6210</v>
      </c>
      <c r="C3846" s="1" t="s">
        <v>60</v>
      </c>
      <c r="D3846" s="1" t="s">
        <v>19</v>
      </c>
      <c r="E3846" s="1" t="s">
        <v>20</v>
      </c>
      <c r="F3846">
        <v>1</v>
      </c>
      <c r="G3846" s="2">
        <v>46137</v>
      </c>
      <c r="H3846" s="2">
        <v>46139</v>
      </c>
      <c r="I3846">
        <v>143.9</v>
      </c>
      <c r="J3846">
        <v>60.75</v>
      </c>
      <c r="K3846">
        <v>60.75</v>
      </c>
      <c r="L3846">
        <v>0</v>
      </c>
      <c r="M3846" s="1" t="s">
        <v>21</v>
      </c>
      <c r="N3846" s="1" t="s">
        <v>22</v>
      </c>
      <c r="O3846" s="2">
        <v>46158</v>
      </c>
      <c r="P3846" s="2">
        <v>46158</v>
      </c>
      <c r="Q3846">
        <f>_xlfn.XLOOKUP(E3846,CPT!$A$2:$A$13,CPT!$D$2:$D$13)</f>
        <v>145</v>
      </c>
      <c r="R3846" s="1">
        <f>_xlfn.XLOOKUP(C3846,Contract!$A$2:$A$9,Contract!$B$2:$B$9)</f>
        <v>0.45</v>
      </c>
      <c r="S3846" s="1">
        <f t="shared" si="240"/>
        <v>65.25</v>
      </c>
      <c r="T3846" s="1">
        <f t="shared" si="241"/>
        <v>4.5</v>
      </c>
      <c r="U3846" s="1" t="str">
        <f t="shared" si="242"/>
        <v>Underpaid</v>
      </c>
      <c r="V3846" s="1" t="str">
        <f>_xlfn.XLOOKUP(C3846,Payers!$A$2:$A$9,Payers!$B$2:$B$9)</f>
        <v>Blue Horizon Commercial</v>
      </c>
      <c r="W3846" s="1" t="str">
        <f t="shared" si="243"/>
        <v>2026-04</v>
      </c>
    </row>
    <row r="3847" spans="1:23">
      <c r="A3847" s="1" t="s">
        <v>6211</v>
      </c>
      <c r="B3847" s="1" t="s">
        <v>3796</v>
      </c>
      <c r="C3847" s="1" t="s">
        <v>52</v>
      </c>
      <c r="D3847" s="1" t="s">
        <v>37</v>
      </c>
      <c r="E3847" s="1" t="s">
        <v>57</v>
      </c>
      <c r="F3847">
        <v>1</v>
      </c>
      <c r="G3847" s="2">
        <v>45932</v>
      </c>
      <c r="H3847" s="2">
        <v>45935</v>
      </c>
      <c r="I3847">
        <v>213.58</v>
      </c>
      <c r="J3847">
        <v>95.81</v>
      </c>
      <c r="K3847">
        <v>86.23</v>
      </c>
      <c r="L3847">
        <v>9.58</v>
      </c>
      <c r="M3847" s="1" t="s">
        <v>21</v>
      </c>
      <c r="N3847" s="1" t="s">
        <v>22</v>
      </c>
      <c r="O3847" s="2">
        <v>45993</v>
      </c>
      <c r="P3847" s="2">
        <v>45993</v>
      </c>
      <c r="Q3847">
        <f>_xlfn.XLOOKUP(E3847,CPT!$A$2:$A$13,CPT!$D$2:$D$13)</f>
        <v>210</v>
      </c>
      <c r="R3847" s="1">
        <f>_xlfn.XLOOKUP(C3847,Contract!$A$2:$A$9,Contract!$B$2:$B$9)</f>
        <v>0.47</v>
      </c>
      <c r="S3847" s="1">
        <f t="shared" si="240"/>
        <v>98.7</v>
      </c>
      <c r="T3847" s="1">
        <f t="shared" si="241"/>
        <v>2.8900000000000006</v>
      </c>
      <c r="U3847" s="1" t="str">
        <f t="shared" si="242"/>
        <v>OK</v>
      </c>
      <c r="V3847" s="1" t="str">
        <f>_xlfn.XLOOKUP(C3847,Payers!$A$2:$A$9,Payers!$B$2:$B$9)</f>
        <v>Keystone Commercial PPO</v>
      </c>
      <c r="W3847" s="1" t="str">
        <f t="shared" si="243"/>
        <v>2025-10</v>
      </c>
    </row>
    <row r="3848" spans="1:23">
      <c r="A3848" s="1" t="s">
        <v>6212</v>
      </c>
      <c r="B3848" s="1" t="s">
        <v>367</v>
      </c>
      <c r="C3848" s="1" t="s">
        <v>25</v>
      </c>
      <c r="D3848" s="1" t="s">
        <v>26</v>
      </c>
      <c r="E3848" s="1" t="s">
        <v>41</v>
      </c>
      <c r="F3848">
        <v>1</v>
      </c>
      <c r="G3848" s="2">
        <v>46076</v>
      </c>
      <c r="H3848" s="2">
        <v>46080</v>
      </c>
      <c r="I3848">
        <v>37.119999999999997</v>
      </c>
      <c r="M3848" s="1" t="s">
        <v>32</v>
      </c>
      <c r="N3848" s="1" t="s">
        <v>33</v>
      </c>
      <c r="O3848" s="2">
        <v>46096</v>
      </c>
      <c r="P3848" s="2"/>
      <c r="Q3848">
        <f>_xlfn.XLOOKUP(E3848,CPT!$A$2:$A$13,CPT!$D$2:$D$13)</f>
        <v>38</v>
      </c>
      <c r="R3848" s="1">
        <f>_xlfn.XLOOKUP(C3848,Contract!$A$2:$A$9,Contract!$B$2:$B$9)</f>
        <v>0.36</v>
      </c>
      <c r="S3848" s="1">
        <f t="shared" si="240"/>
        <v>13.68</v>
      </c>
      <c r="T3848" s="1" t="str">
        <f t="shared" si="241"/>
        <v/>
      </c>
      <c r="U3848" s="1" t="str">
        <f t="shared" si="242"/>
        <v/>
      </c>
      <c r="V3848" s="1" t="str">
        <f>_xlfn.XLOOKUP(C3848,Payers!$A$2:$A$9,Payers!$B$2:$B$9)</f>
        <v>Medicare Part B</v>
      </c>
      <c r="W3848" s="1" t="str">
        <f t="shared" si="243"/>
        <v>2026-02</v>
      </c>
    </row>
    <row r="3849" spans="1:23">
      <c r="A3849" s="1" t="s">
        <v>6213</v>
      </c>
      <c r="B3849" s="1" t="s">
        <v>2112</v>
      </c>
      <c r="C3849" s="1" t="s">
        <v>60</v>
      </c>
      <c r="D3849" s="1" t="s">
        <v>26</v>
      </c>
      <c r="E3849" s="1" t="s">
        <v>185</v>
      </c>
      <c r="F3849">
        <v>1</v>
      </c>
      <c r="G3849" s="2">
        <v>45971</v>
      </c>
      <c r="H3849" s="2">
        <v>45974</v>
      </c>
      <c r="I3849">
        <v>1145.8900000000001</v>
      </c>
      <c r="J3849">
        <v>461.83</v>
      </c>
      <c r="K3849">
        <v>415.65</v>
      </c>
      <c r="L3849">
        <v>46.18</v>
      </c>
      <c r="M3849" s="1" t="s">
        <v>21</v>
      </c>
      <c r="N3849" s="1" t="s">
        <v>22</v>
      </c>
      <c r="O3849" s="2">
        <v>46004</v>
      </c>
      <c r="P3849" s="2">
        <v>46004</v>
      </c>
      <c r="Q3849">
        <f>_xlfn.XLOOKUP(E3849,CPT!$A$2:$A$13,CPT!$D$2:$D$13)</f>
        <v>1150</v>
      </c>
      <c r="R3849" s="1">
        <f>_xlfn.XLOOKUP(C3849,Contract!$A$2:$A$9,Contract!$B$2:$B$9)</f>
        <v>0.45</v>
      </c>
      <c r="S3849" s="1">
        <f t="shared" si="240"/>
        <v>517.5</v>
      </c>
      <c r="T3849" s="1">
        <f t="shared" si="241"/>
        <v>55.670000000000016</v>
      </c>
      <c r="U3849" s="1" t="str">
        <f t="shared" si="242"/>
        <v>Underpaid</v>
      </c>
      <c r="V3849" s="1" t="str">
        <f>_xlfn.XLOOKUP(C3849,Payers!$A$2:$A$9,Payers!$B$2:$B$9)</f>
        <v>Blue Horizon Commercial</v>
      </c>
      <c r="W3849" s="1" t="str">
        <f t="shared" si="243"/>
        <v>2025-11</v>
      </c>
    </row>
    <row r="3850" spans="1:23">
      <c r="A3850" s="1" t="s">
        <v>6214</v>
      </c>
      <c r="B3850" s="1" t="s">
        <v>4206</v>
      </c>
      <c r="C3850" s="1" t="s">
        <v>18</v>
      </c>
      <c r="D3850" s="1" t="s">
        <v>19</v>
      </c>
      <c r="E3850" s="1" t="s">
        <v>41</v>
      </c>
      <c r="F3850">
        <v>1</v>
      </c>
      <c r="G3850" s="2">
        <v>45977</v>
      </c>
      <c r="H3850" s="2">
        <v>45979</v>
      </c>
      <c r="I3850">
        <v>38.020000000000003</v>
      </c>
      <c r="M3850" s="1" t="s">
        <v>32</v>
      </c>
      <c r="N3850" s="1" t="s">
        <v>168</v>
      </c>
      <c r="O3850" s="2">
        <v>46014</v>
      </c>
      <c r="P3850" s="2"/>
      <c r="Q3850">
        <f>_xlfn.XLOOKUP(E3850,CPT!$A$2:$A$13,CPT!$D$2:$D$13)</f>
        <v>38</v>
      </c>
      <c r="R3850" s="1">
        <f>_xlfn.XLOOKUP(C3850,Contract!$A$2:$A$9,Contract!$B$2:$B$9)</f>
        <v>0.38</v>
      </c>
      <c r="S3850" s="1">
        <f t="shared" si="240"/>
        <v>14.44</v>
      </c>
      <c r="T3850" s="1" t="str">
        <f t="shared" si="241"/>
        <v/>
      </c>
      <c r="U3850" s="1" t="str">
        <f t="shared" si="242"/>
        <v/>
      </c>
      <c r="V3850" s="1" t="str">
        <f>_xlfn.XLOOKUP(C3850,Payers!$A$2:$A$9,Payers!$B$2:$B$9)</f>
        <v>Sunshine Medicare Advantage</v>
      </c>
      <c r="W3850" s="1" t="str">
        <f t="shared" si="243"/>
        <v>2025-11</v>
      </c>
    </row>
    <row r="3851" spans="1:23">
      <c r="A3851" s="1" t="s">
        <v>6215</v>
      </c>
      <c r="B3851" s="1" t="s">
        <v>1349</v>
      </c>
      <c r="C3851" s="1" t="s">
        <v>76</v>
      </c>
      <c r="D3851" s="1" t="s">
        <v>19</v>
      </c>
      <c r="E3851" s="1" t="s">
        <v>57</v>
      </c>
      <c r="F3851">
        <v>1</v>
      </c>
      <c r="G3851" s="2">
        <v>46023</v>
      </c>
      <c r="H3851" s="2">
        <v>46025</v>
      </c>
      <c r="I3851">
        <v>208.97</v>
      </c>
      <c r="J3851">
        <v>90.03</v>
      </c>
      <c r="K3851">
        <v>90.03</v>
      </c>
      <c r="L3851">
        <v>0</v>
      </c>
      <c r="M3851" s="1" t="s">
        <v>21</v>
      </c>
      <c r="N3851" s="1" t="s">
        <v>22</v>
      </c>
      <c r="O3851" s="2">
        <v>46065</v>
      </c>
      <c r="P3851" s="2">
        <v>46065</v>
      </c>
      <c r="Q3851">
        <f>_xlfn.XLOOKUP(E3851,CPT!$A$2:$A$13,CPT!$D$2:$D$13)</f>
        <v>210</v>
      </c>
      <c r="R3851" s="1">
        <f>_xlfn.XLOOKUP(C3851,Contract!$A$2:$A$9,Contract!$B$2:$B$9)</f>
        <v>0.43</v>
      </c>
      <c r="S3851" s="1">
        <f t="shared" si="240"/>
        <v>90.3</v>
      </c>
      <c r="T3851" s="1">
        <f t="shared" si="241"/>
        <v>0.26999999999999602</v>
      </c>
      <c r="U3851" s="1" t="str">
        <f t="shared" si="242"/>
        <v>OK</v>
      </c>
      <c r="V3851" s="1" t="str">
        <f>_xlfn.XLOOKUP(C3851,Payers!$A$2:$A$9,Payers!$B$2:$B$9)</f>
        <v>Summit Health Commercial</v>
      </c>
      <c r="W3851" s="1" t="str">
        <f t="shared" si="243"/>
        <v>2026-01</v>
      </c>
    </row>
    <row r="3852" spans="1:23">
      <c r="A3852" s="1" t="s">
        <v>6216</v>
      </c>
      <c r="B3852" s="1" t="s">
        <v>933</v>
      </c>
      <c r="C3852" s="1" t="s">
        <v>25</v>
      </c>
      <c r="D3852" s="1" t="s">
        <v>19</v>
      </c>
      <c r="E3852" s="1" t="s">
        <v>41</v>
      </c>
      <c r="F3852">
        <v>1</v>
      </c>
      <c r="G3852" s="2">
        <v>46124</v>
      </c>
      <c r="H3852" s="2">
        <v>46128</v>
      </c>
      <c r="I3852">
        <v>38.520000000000003</v>
      </c>
      <c r="J3852">
        <v>15.75</v>
      </c>
      <c r="K3852">
        <v>12.6</v>
      </c>
      <c r="L3852">
        <v>3.15</v>
      </c>
      <c r="M3852" s="1" t="s">
        <v>21</v>
      </c>
      <c r="N3852" s="1" t="s">
        <v>22</v>
      </c>
      <c r="O3852" s="2">
        <v>46147</v>
      </c>
      <c r="P3852" s="2">
        <v>46147</v>
      </c>
      <c r="Q3852">
        <f>_xlfn.XLOOKUP(E3852,CPT!$A$2:$A$13,CPT!$D$2:$D$13)</f>
        <v>38</v>
      </c>
      <c r="R3852" s="1">
        <f>_xlfn.XLOOKUP(C3852,Contract!$A$2:$A$9,Contract!$B$2:$B$9)</f>
        <v>0.36</v>
      </c>
      <c r="S3852" s="1">
        <f t="shared" si="240"/>
        <v>13.68</v>
      </c>
      <c r="T3852" s="1">
        <f t="shared" si="241"/>
        <v>-2.0700000000000003</v>
      </c>
      <c r="U3852" s="1" t="str">
        <f t="shared" si="242"/>
        <v>OK</v>
      </c>
      <c r="V3852" s="1" t="str">
        <f>_xlfn.XLOOKUP(C3852,Payers!$A$2:$A$9,Payers!$B$2:$B$9)</f>
        <v>Medicare Part B</v>
      </c>
      <c r="W3852" s="1" t="str">
        <f t="shared" si="243"/>
        <v>2026-04</v>
      </c>
    </row>
    <row r="3853" spans="1:23">
      <c r="A3853" s="1" t="s">
        <v>6217</v>
      </c>
      <c r="B3853" s="1" t="s">
        <v>6218</v>
      </c>
      <c r="C3853" s="1" t="s">
        <v>60</v>
      </c>
      <c r="D3853" s="1" t="s">
        <v>26</v>
      </c>
      <c r="E3853" s="1" t="s">
        <v>27</v>
      </c>
      <c r="F3853">
        <v>1</v>
      </c>
      <c r="G3853" s="2">
        <v>45986</v>
      </c>
      <c r="H3853" s="2">
        <v>45987</v>
      </c>
      <c r="I3853">
        <v>236.96</v>
      </c>
      <c r="J3853">
        <v>97.44</v>
      </c>
      <c r="K3853">
        <v>87.7</v>
      </c>
      <c r="L3853">
        <v>9.74</v>
      </c>
      <c r="M3853" s="1" t="s">
        <v>21</v>
      </c>
      <c r="N3853" s="1" t="s">
        <v>22</v>
      </c>
      <c r="O3853" s="2">
        <v>46011</v>
      </c>
      <c r="P3853" s="2">
        <v>46011</v>
      </c>
      <c r="Q3853">
        <f>_xlfn.XLOOKUP(E3853,CPT!$A$2:$A$13,CPT!$D$2:$D$13)</f>
        <v>240</v>
      </c>
      <c r="R3853" s="1">
        <f>_xlfn.XLOOKUP(C3853,Contract!$A$2:$A$9,Contract!$B$2:$B$9)</f>
        <v>0.45</v>
      </c>
      <c r="S3853" s="1">
        <f t="shared" si="240"/>
        <v>108</v>
      </c>
      <c r="T3853" s="1">
        <f t="shared" si="241"/>
        <v>10.560000000000002</v>
      </c>
      <c r="U3853" s="1" t="str">
        <f t="shared" si="242"/>
        <v>Underpaid</v>
      </c>
      <c r="V3853" s="1" t="str">
        <f>_xlfn.XLOOKUP(C3853,Payers!$A$2:$A$9,Payers!$B$2:$B$9)</f>
        <v>Blue Horizon Commercial</v>
      </c>
      <c r="W3853" s="1" t="str">
        <f t="shared" si="243"/>
        <v>2025-11</v>
      </c>
    </row>
    <row r="3854" spans="1:23">
      <c r="A3854" s="1" t="s">
        <v>6219</v>
      </c>
      <c r="B3854" s="1" t="s">
        <v>2156</v>
      </c>
      <c r="C3854" s="1" t="s">
        <v>60</v>
      </c>
      <c r="D3854" s="1" t="s">
        <v>19</v>
      </c>
      <c r="E3854" s="1" t="s">
        <v>88</v>
      </c>
      <c r="F3854">
        <v>1</v>
      </c>
      <c r="G3854" s="2">
        <v>46130</v>
      </c>
      <c r="H3854" s="2">
        <v>46134</v>
      </c>
      <c r="I3854">
        <v>254.09</v>
      </c>
      <c r="J3854">
        <v>112.57</v>
      </c>
      <c r="K3854">
        <v>112.57</v>
      </c>
      <c r="L3854">
        <v>0</v>
      </c>
      <c r="M3854" s="1" t="s">
        <v>21</v>
      </c>
      <c r="N3854" s="1" t="s">
        <v>22</v>
      </c>
      <c r="O3854" s="2">
        <v>46166</v>
      </c>
      <c r="P3854" s="2">
        <v>46166</v>
      </c>
      <c r="Q3854">
        <f>_xlfn.XLOOKUP(E3854,CPT!$A$2:$A$13,CPT!$D$2:$D$13)</f>
        <v>260</v>
      </c>
      <c r="R3854" s="1">
        <f>_xlfn.XLOOKUP(C3854,Contract!$A$2:$A$9,Contract!$B$2:$B$9)</f>
        <v>0.45</v>
      </c>
      <c r="S3854" s="1">
        <f t="shared" si="240"/>
        <v>117</v>
      </c>
      <c r="T3854" s="1">
        <f t="shared" si="241"/>
        <v>4.4300000000000068</v>
      </c>
      <c r="U3854" s="1" t="str">
        <f t="shared" si="242"/>
        <v>OK</v>
      </c>
      <c r="V3854" s="1" t="str">
        <f>_xlfn.XLOOKUP(C3854,Payers!$A$2:$A$9,Payers!$B$2:$B$9)</f>
        <v>Blue Horizon Commercial</v>
      </c>
      <c r="W3854" s="1" t="str">
        <f t="shared" si="243"/>
        <v>2026-04</v>
      </c>
    </row>
    <row r="3855" spans="1:23">
      <c r="A3855" s="1" t="s">
        <v>6220</v>
      </c>
      <c r="B3855" s="1" t="s">
        <v>2160</v>
      </c>
      <c r="C3855" s="1" t="s">
        <v>76</v>
      </c>
      <c r="D3855" s="1" t="s">
        <v>19</v>
      </c>
      <c r="E3855" s="1" t="s">
        <v>88</v>
      </c>
      <c r="F3855">
        <v>1</v>
      </c>
      <c r="G3855" s="2">
        <v>45966</v>
      </c>
      <c r="H3855" s="2">
        <v>45967</v>
      </c>
      <c r="I3855">
        <v>262.91000000000003</v>
      </c>
      <c r="J3855">
        <v>129.65</v>
      </c>
      <c r="K3855">
        <v>116.68</v>
      </c>
      <c r="L3855">
        <v>12.97</v>
      </c>
      <c r="M3855" s="1" t="s">
        <v>21</v>
      </c>
      <c r="N3855" s="1" t="s">
        <v>22</v>
      </c>
      <c r="O3855" s="2">
        <v>46001</v>
      </c>
      <c r="P3855" s="2">
        <v>46001</v>
      </c>
      <c r="Q3855">
        <f>_xlfn.XLOOKUP(E3855,CPT!$A$2:$A$13,CPT!$D$2:$D$13)</f>
        <v>260</v>
      </c>
      <c r="R3855" s="1">
        <f>_xlfn.XLOOKUP(C3855,Contract!$A$2:$A$9,Contract!$B$2:$B$9)</f>
        <v>0.43</v>
      </c>
      <c r="S3855" s="1">
        <f t="shared" si="240"/>
        <v>111.8</v>
      </c>
      <c r="T3855" s="1">
        <f t="shared" si="241"/>
        <v>-17.850000000000009</v>
      </c>
      <c r="U3855" s="1" t="str">
        <f t="shared" si="242"/>
        <v>OK</v>
      </c>
      <c r="V3855" s="1" t="str">
        <f>_xlfn.XLOOKUP(C3855,Payers!$A$2:$A$9,Payers!$B$2:$B$9)</f>
        <v>Summit Health Commercial</v>
      </c>
      <c r="W3855" s="1" t="str">
        <f t="shared" si="243"/>
        <v>2025-11</v>
      </c>
    </row>
    <row r="3856" spans="1:23">
      <c r="A3856" s="1" t="s">
        <v>6221</v>
      </c>
      <c r="B3856" s="1" t="s">
        <v>6222</v>
      </c>
      <c r="C3856" s="1" t="s">
        <v>25</v>
      </c>
      <c r="D3856" s="1" t="s">
        <v>30</v>
      </c>
      <c r="E3856" s="1" t="s">
        <v>20</v>
      </c>
      <c r="F3856">
        <v>1</v>
      </c>
      <c r="G3856" s="2">
        <v>45946</v>
      </c>
      <c r="H3856" s="2">
        <v>45949</v>
      </c>
      <c r="I3856">
        <v>148.65</v>
      </c>
      <c r="J3856">
        <v>59.37</v>
      </c>
      <c r="K3856">
        <v>59.37</v>
      </c>
      <c r="L3856">
        <v>0</v>
      </c>
      <c r="M3856" s="1" t="s">
        <v>21</v>
      </c>
      <c r="N3856" s="1" t="s">
        <v>22</v>
      </c>
      <c r="O3856" s="2">
        <v>45967</v>
      </c>
      <c r="P3856" s="2">
        <v>45967</v>
      </c>
      <c r="Q3856">
        <f>_xlfn.XLOOKUP(E3856,CPT!$A$2:$A$13,CPT!$D$2:$D$13)</f>
        <v>145</v>
      </c>
      <c r="R3856" s="1">
        <f>_xlfn.XLOOKUP(C3856,Contract!$A$2:$A$9,Contract!$B$2:$B$9)</f>
        <v>0.36</v>
      </c>
      <c r="S3856" s="1">
        <f t="shared" si="240"/>
        <v>52.2</v>
      </c>
      <c r="T3856" s="1">
        <f t="shared" si="241"/>
        <v>-7.1699999999999946</v>
      </c>
      <c r="U3856" s="1" t="str">
        <f t="shared" si="242"/>
        <v>OK</v>
      </c>
      <c r="V3856" s="1" t="str">
        <f>_xlfn.XLOOKUP(C3856,Payers!$A$2:$A$9,Payers!$B$2:$B$9)</f>
        <v>Medicare Part B</v>
      </c>
      <c r="W3856" s="1" t="str">
        <f t="shared" si="243"/>
        <v>2025-10</v>
      </c>
    </row>
    <row r="3857" spans="1:23">
      <c r="A3857" s="1" t="s">
        <v>6223</v>
      </c>
      <c r="B3857" s="1" t="s">
        <v>6224</v>
      </c>
      <c r="C3857" s="1" t="s">
        <v>47</v>
      </c>
      <c r="D3857" s="1" t="s">
        <v>19</v>
      </c>
      <c r="E3857" s="1" t="s">
        <v>57</v>
      </c>
      <c r="F3857">
        <v>1</v>
      </c>
      <c r="G3857" s="2">
        <v>46109</v>
      </c>
      <c r="H3857" s="2">
        <v>46112</v>
      </c>
      <c r="I3857">
        <v>209.33</v>
      </c>
      <c r="M3857" s="1" t="s">
        <v>32</v>
      </c>
      <c r="N3857" s="1" t="s">
        <v>168</v>
      </c>
      <c r="O3857" s="2">
        <v>46151</v>
      </c>
      <c r="P3857" s="2"/>
      <c r="Q3857">
        <f>_xlfn.XLOOKUP(E3857,CPT!$A$2:$A$13,CPT!$D$2:$D$13)</f>
        <v>210</v>
      </c>
      <c r="R3857" s="1">
        <f>_xlfn.XLOOKUP(C3857,Contract!$A$2:$A$9,Contract!$B$2:$B$9)</f>
        <v>0.28000000000000003</v>
      </c>
      <c r="S3857" s="1">
        <f t="shared" si="240"/>
        <v>58.8</v>
      </c>
      <c r="T3857" s="1" t="str">
        <f t="shared" si="241"/>
        <v/>
      </c>
      <c r="U3857" s="1" t="str">
        <f t="shared" si="242"/>
        <v/>
      </c>
      <c r="V3857" s="1" t="str">
        <f>_xlfn.XLOOKUP(C3857,Payers!$A$2:$A$9,Payers!$B$2:$B$9)</f>
        <v>Coastal Medicaid MCO</v>
      </c>
      <c r="W3857" s="1" t="str">
        <f t="shared" si="243"/>
        <v>2026-03</v>
      </c>
    </row>
    <row r="3858" spans="1:23">
      <c r="A3858" s="1" t="s">
        <v>6225</v>
      </c>
      <c r="B3858" s="1" t="s">
        <v>6226</v>
      </c>
      <c r="C3858" s="1" t="s">
        <v>79</v>
      </c>
      <c r="D3858" s="1" t="s">
        <v>19</v>
      </c>
      <c r="E3858" s="1" t="s">
        <v>41</v>
      </c>
      <c r="F3858">
        <v>1</v>
      </c>
      <c r="G3858" s="2">
        <v>46241</v>
      </c>
      <c r="H3858" s="2">
        <v>46245</v>
      </c>
      <c r="I3858">
        <v>37.68</v>
      </c>
      <c r="M3858" s="1" t="s">
        <v>69</v>
      </c>
      <c r="N3858" s="1" t="s">
        <v>22</v>
      </c>
      <c r="O3858" s="2"/>
      <c r="P3858" s="2"/>
      <c r="Q3858">
        <f>_xlfn.XLOOKUP(E3858,CPT!$A$2:$A$13,CPT!$D$2:$D$13)</f>
        <v>38</v>
      </c>
      <c r="R3858" s="1">
        <f>_xlfn.XLOOKUP(C3858,Contract!$A$2:$A$9,Contract!$B$2:$B$9)</f>
        <v>1</v>
      </c>
      <c r="S3858" s="1">
        <f t="shared" si="240"/>
        <v>38</v>
      </c>
      <c r="T3858" s="1" t="str">
        <f t="shared" si="241"/>
        <v/>
      </c>
      <c r="U3858" s="1" t="str">
        <f t="shared" si="242"/>
        <v/>
      </c>
      <c r="V3858" s="1" t="str">
        <f>_xlfn.XLOOKUP(C3858,Payers!$A$2:$A$9,Payers!$B$2:$B$9)</f>
        <v>Self-Pay</v>
      </c>
      <c r="W3858" s="1" t="str">
        <f t="shared" si="243"/>
        <v>2026-08</v>
      </c>
    </row>
    <row r="3859" spans="1:23">
      <c r="A3859" s="1" t="s">
        <v>6227</v>
      </c>
      <c r="B3859" s="1" t="s">
        <v>5049</v>
      </c>
      <c r="C3859" s="1" t="s">
        <v>76</v>
      </c>
      <c r="D3859" s="1" t="s">
        <v>26</v>
      </c>
      <c r="E3859" s="1" t="s">
        <v>27</v>
      </c>
      <c r="F3859">
        <v>1</v>
      </c>
      <c r="G3859" s="2">
        <v>46042</v>
      </c>
      <c r="H3859" s="2">
        <v>46046</v>
      </c>
      <c r="I3859">
        <v>239.54</v>
      </c>
      <c r="J3859">
        <v>96.94</v>
      </c>
      <c r="K3859">
        <v>77.55</v>
      </c>
      <c r="L3859">
        <v>19.39</v>
      </c>
      <c r="M3859" s="1" t="s">
        <v>21</v>
      </c>
      <c r="N3859" s="1" t="s">
        <v>22</v>
      </c>
      <c r="O3859" s="2">
        <v>46082</v>
      </c>
      <c r="P3859" s="2">
        <v>46082</v>
      </c>
      <c r="Q3859">
        <f>_xlfn.XLOOKUP(E3859,CPT!$A$2:$A$13,CPT!$D$2:$D$13)</f>
        <v>240</v>
      </c>
      <c r="R3859" s="1">
        <f>_xlfn.XLOOKUP(C3859,Contract!$A$2:$A$9,Contract!$B$2:$B$9)</f>
        <v>0.43</v>
      </c>
      <c r="S3859" s="1">
        <f t="shared" si="240"/>
        <v>103.2</v>
      </c>
      <c r="T3859" s="1">
        <f t="shared" si="241"/>
        <v>6.2600000000000051</v>
      </c>
      <c r="U3859" s="1" t="str">
        <f t="shared" si="242"/>
        <v>Underpaid</v>
      </c>
      <c r="V3859" s="1" t="str">
        <f>_xlfn.XLOOKUP(C3859,Payers!$A$2:$A$9,Payers!$B$2:$B$9)</f>
        <v>Summit Health Commercial</v>
      </c>
      <c r="W3859" s="1" t="str">
        <f t="shared" si="243"/>
        <v>2026-01</v>
      </c>
    </row>
    <row r="3860" spans="1:23">
      <c r="A3860" s="1" t="s">
        <v>6228</v>
      </c>
      <c r="B3860" s="1" t="s">
        <v>6229</v>
      </c>
      <c r="C3860" s="1" t="s">
        <v>60</v>
      </c>
      <c r="D3860" s="1" t="s">
        <v>30</v>
      </c>
      <c r="E3860" s="1" t="s">
        <v>31</v>
      </c>
      <c r="F3860">
        <v>1</v>
      </c>
      <c r="G3860" s="2">
        <v>46240</v>
      </c>
      <c r="H3860" s="2">
        <v>46245</v>
      </c>
      <c r="I3860">
        <v>61.38</v>
      </c>
      <c r="J3860">
        <v>28.69</v>
      </c>
      <c r="K3860">
        <v>28.69</v>
      </c>
      <c r="L3860">
        <v>0</v>
      </c>
      <c r="M3860" s="1" t="s">
        <v>21</v>
      </c>
      <c r="N3860" s="1" t="s">
        <v>22</v>
      </c>
      <c r="O3860" s="2">
        <v>46266</v>
      </c>
      <c r="P3860" s="2">
        <v>46266</v>
      </c>
      <c r="Q3860">
        <f>_xlfn.XLOOKUP(E3860,CPT!$A$2:$A$13,CPT!$D$2:$D$13)</f>
        <v>62</v>
      </c>
      <c r="R3860" s="1">
        <f>_xlfn.XLOOKUP(C3860,Contract!$A$2:$A$9,Contract!$B$2:$B$9)</f>
        <v>0.45</v>
      </c>
      <c r="S3860" s="1">
        <f t="shared" si="240"/>
        <v>27.9</v>
      </c>
      <c r="T3860" s="1">
        <f t="shared" si="241"/>
        <v>-0.7900000000000027</v>
      </c>
      <c r="U3860" s="1" t="str">
        <f t="shared" si="242"/>
        <v>OK</v>
      </c>
      <c r="V3860" s="1" t="str">
        <f>_xlfn.XLOOKUP(C3860,Payers!$A$2:$A$9,Payers!$B$2:$B$9)</f>
        <v>Blue Horizon Commercial</v>
      </c>
      <c r="W3860" s="1" t="str">
        <f t="shared" si="243"/>
        <v>2026-08</v>
      </c>
    </row>
    <row r="3861" spans="1:23">
      <c r="A3861" s="1" t="s">
        <v>6230</v>
      </c>
      <c r="B3861" s="1" t="s">
        <v>1077</v>
      </c>
      <c r="C3861" s="1" t="s">
        <v>60</v>
      </c>
      <c r="D3861" s="1" t="s">
        <v>30</v>
      </c>
      <c r="E3861" s="1" t="s">
        <v>20</v>
      </c>
      <c r="F3861">
        <v>1</v>
      </c>
      <c r="G3861" s="2">
        <v>46232</v>
      </c>
      <c r="H3861" s="2">
        <v>46236</v>
      </c>
      <c r="I3861">
        <v>144.54</v>
      </c>
      <c r="J3861">
        <v>62.79</v>
      </c>
      <c r="K3861">
        <v>50.23</v>
      </c>
      <c r="L3861">
        <v>12.56</v>
      </c>
      <c r="M3861" s="1" t="s">
        <v>21</v>
      </c>
      <c r="N3861" s="1" t="s">
        <v>22</v>
      </c>
      <c r="O3861" s="2">
        <v>46247</v>
      </c>
      <c r="P3861" s="2">
        <v>46247</v>
      </c>
      <c r="Q3861">
        <f>_xlfn.XLOOKUP(E3861,CPT!$A$2:$A$13,CPT!$D$2:$D$13)</f>
        <v>145</v>
      </c>
      <c r="R3861" s="1">
        <f>_xlfn.XLOOKUP(C3861,Contract!$A$2:$A$9,Contract!$B$2:$B$9)</f>
        <v>0.45</v>
      </c>
      <c r="S3861" s="1">
        <f t="shared" si="240"/>
        <v>65.25</v>
      </c>
      <c r="T3861" s="1">
        <f t="shared" si="241"/>
        <v>2.4600000000000009</v>
      </c>
      <c r="U3861" s="1" t="str">
        <f t="shared" si="242"/>
        <v>OK</v>
      </c>
      <c r="V3861" s="1" t="str">
        <f>_xlfn.XLOOKUP(C3861,Payers!$A$2:$A$9,Payers!$B$2:$B$9)</f>
        <v>Blue Horizon Commercial</v>
      </c>
      <c r="W3861" s="1" t="str">
        <f t="shared" si="243"/>
        <v>2026-07</v>
      </c>
    </row>
    <row r="3862" spans="1:23">
      <c r="A3862" s="1" t="s">
        <v>6231</v>
      </c>
      <c r="B3862" s="1" t="s">
        <v>898</v>
      </c>
      <c r="C3862" s="1" t="s">
        <v>52</v>
      </c>
      <c r="D3862" s="1" t="s">
        <v>37</v>
      </c>
      <c r="E3862" s="1" t="s">
        <v>57</v>
      </c>
      <c r="F3862">
        <v>1</v>
      </c>
      <c r="G3862" s="2">
        <v>46190</v>
      </c>
      <c r="H3862" s="2">
        <v>46194</v>
      </c>
      <c r="I3862">
        <v>211.31</v>
      </c>
      <c r="J3862">
        <v>84.57</v>
      </c>
      <c r="K3862">
        <v>84.57</v>
      </c>
      <c r="L3862">
        <v>0</v>
      </c>
      <c r="M3862" s="1" t="s">
        <v>21</v>
      </c>
      <c r="N3862" s="1" t="s">
        <v>22</v>
      </c>
      <c r="O3862" s="2">
        <v>46240</v>
      </c>
      <c r="P3862" s="2">
        <v>46240</v>
      </c>
      <c r="Q3862">
        <f>_xlfn.XLOOKUP(E3862,CPT!$A$2:$A$13,CPT!$D$2:$D$13)</f>
        <v>210</v>
      </c>
      <c r="R3862" s="1">
        <f>_xlfn.XLOOKUP(C3862,Contract!$A$2:$A$9,Contract!$B$2:$B$9)</f>
        <v>0.47</v>
      </c>
      <c r="S3862" s="1">
        <f t="shared" si="240"/>
        <v>98.7</v>
      </c>
      <c r="T3862" s="1">
        <f t="shared" si="241"/>
        <v>14.13000000000001</v>
      </c>
      <c r="U3862" s="1" t="str">
        <f t="shared" si="242"/>
        <v>Underpaid</v>
      </c>
      <c r="V3862" s="1" t="str">
        <f>_xlfn.XLOOKUP(C3862,Payers!$A$2:$A$9,Payers!$B$2:$B$9)</f>
        <v>Keystone Commercial PPO</v>
      </c>
      <c r="W3862" s="1" t="str">
        <f t="shared" si="243"/>
        <v>2026-06</v>
      </c>
    </row>
    <row r="3863" spans="1:23">
      <c r="A3863" s="1" t="s">
        <v>6232</v>
      </c>
      <c r="B3863" s="1" t="s">
        <v>6233</v>
      </c>
      <c r="C3863" s="1" t="s">
        <v>60</v>
      </c>
      <c r="D3863" s="1" t="s">
        <v>30</v>
      </c>
      <c r="E3863" s="1" t="s">
        <v>91</v>
      </c>
      <c r="F3863">
        <v>1</v>
      </c>
      <c r="G3863" s="2">
        <v>46285</v>
      </c>
      <c r="H3863" s="2">
        <v>46286</v>
      </c>
      <c r="I3863">
        <v>57.39</v>
      </c>
      <c r="M3863" s="1" t="s">
        <v>69</v>
      </c>
      <c r="N3863" s="1" t="s">
        <v>22</v>
      </c>
      <c r="O3863" s="2"/>
      <c r="P3863" s="2"/>
      <c r="Q3863">
        <f>_xlfn.XLOOKUP(E3863,CPT!$A$2:$A$13,CPT!$D$2:$D$13)</f>
        <v>58</v>
      </c>
      <c r="R3863" s="1">
        <f>_xlfn.XLOOKUP(C3863,Contract!$A$2:$A$9,Contract!$B$2:$B$9)</f>
        <v>0.45</v>
      </c>
      <c r="S3863" s="1">
        <f t="shared" si="240"/>
        <v>26.1</v>
      </c>
      <c r="T3863" s="1" t="str">
        <f t="shared" si="241"/>
        <v/>
      </c>
      <c r="U3863" s="1" t="str">
        <f t="shared" si="242"/>
        <v/>
      </c>
      <c r="V3863" s="1" t="str">
        <f>_xlfn.XLOOKUP(C3863,Payers!$A$2:$A$9,Payers!$B$2:$B$9)</f>
        <v>Blue Horizon Commercial</v>
      </c>
      <c r="W3863" s="1" t="str">
        <f t="shared" si="243"/>
        <v>2026-09</v>
      </c>
    </row>
    <row r="3864" spans="1:23">
      <c r="A3864" s="1" t="s">
        <v>6234</v>
      </c>
      <c r="B3864" s="1" t="s">
        <v>5607</v>
      </c>
      <c r="C3864" s="1" t="s">
        <v>76</v>
      </c>
      <c r="D3864" s="1" t="s">
        <v>26</v>
      </c>
      <c r="E3864" s="1" t="s">
        <v>185</v>
      </c>
      <c r="F3864">
        <v>1</v>
      </c>
      <c r="G3864" s="2">
        <v>46073</v>
      </c>
      <c r="H3864" s="2">
        <v>46074</v>
      </c>
      <c r="I3864">
        <v>1128.3499999999999</v>
      </c>
      <c r="M3864" s="1" t="s">
        <v>32</v>
      </c>
      <c r="N3864" s="1" t="s">
        <v>315</v>
      </c>
      <c r="O3864" s="2">
        <v>46113</v>
      </c>
      <c r="P3864" s="2"/>
      <c r="Q3864">
        <f>_xlfn.XLOOKUP(E3864,CPT!$A$2:$A$13,CPT!$D$2:$D$13)</f>
        <v>1150</v>
      </c>
      <c r="R3864" s="1">
        <f>_xlfn.XLOOKUP(C3864,Contract!$A$2:$A$9,Contract!$B$2:$B$9)</f>
        <v>0.43</v>
      </c>
      <c r="S3864" s="1">
        <f t="shared" si="240"/>
        <v>494.5</v>
      </c>
      <c r="T3864" s="1" t="str">
        <f t="shared" si="241"/>
        <v/>
      </c>
      <c r="U3864" s="1" t="str">
        <f t="shared" si="242"/>
        <v/>
      </c>
      <c r="V3864" s="1" t="str">
        <f>_xlfn.XLOOKUP(C3864,Payers!$A$2:$A$9,Payers!$B$2:$B$9)</f>
        <v>Summit Health Commercial</v>
      </c>
      <c r="W3864" s="1" t="str">
        <f t="shared" si="243"/>
        <v>2026-02</v>
      </c>
    </row>
    <row r="3865" spans="1:23">
      <c r="A3865" s="1" t="s">
        <v>6235</v>
      </c>
      <c r="B3865" s="1" t="s">
        <v>1959</v>
      </c>
      <c r="C3865" s="1" t="s">
        <v>52</v>
      </c>
      <c r="D3865" s="1" t="s">
        <v>37</v>
      </c>
      <c r="E3865" s="1" t="s">
        <v>57</v>
      </c>
      <c r="F3865">
        <v>1</v>
      </c>
      <c r="G3865" s="2">
        <v>45959</v>
      </c>
      <c r="H3865" s="2">
        <v>45975</v>
      </c>
      <c r="I3865">
        <v>209.45</v>
      </c>
      <c r="J3865">
        <v>91.14</v>
      </c>
      <c r="K3865">
        <v>91.14</v>
      </c>
      <c r="L3865">
        <v>0</v>
      </c>
      <c r="M3865" s="1" t="s">
        <v>21</v>
      </c>
      <c r="N3865" s="1" t="s">
        <v>22</v>
      </c>
      <c r="O3865" s="2">
        <v>46034</v>
      </c>
      <c r="P3865" s="2">
        <v>46034</v>
      </c>
      <c r="Q3865">
        <f>_xlfn.XLOOKUP(E3865,CPT!$A$2:$A$13,CPT!$D$2:$D$13)</f>
        <v>210</v>
      </c>
      <c r="R3865" s="1">
        <f>_xlfn.XLOOKUP(C3865,Contract!$A$2:$A$9,Contract!$B$2:$B$9)</f>
        <v>0.47</v>
      </c>
      <c r="S3865" s="1">
        <f t="shared" si="240"/>
        <v>98.7</v>
      </c>
      <c r="T3865" s="1">
        <f t="shared" si="241"/>
        <v>7.5600000000000023</v>
      </c>
      <c r="U3865" s="1" t="str">
        <f t="shared" si="242"/>
        <v>Underpaid</v>
      </c>
      <c r="V3865" s="1" t="str">
        <f>_xlfn.XLOOKUP(C3865,Payers!$A$2:$A$9,Payers!$B$2:$B$9)</f>
        <v>Keystone Commercial PPO</v>
      </c>
      <c r="W3865" s="1" t="str">
        <f t="shared" si="243"/>
        <v>2025-10</v>
      </c>
    </row>
    <row r="3866" spans="1:23">
      <c r="A3866" s="1" t="s">
        <v>6236</v>
      </c>
      <c r="B3866" s="1" t="s">
        <v>5744</v>
      </c>
      <c r="C3866" s="1" t="s">
        <v>76</v>
      </c>
      <c r="D3866" s="1" t="s">
        <v>19</v>
      </c>
      <c r="E3866" s="1" t="s">
        <v>20</v>
      </c>
      <c r="F3866">
        <v>1</v>
      </c>
      <c r="G3866" s="2">
        <v>46210</v>
      </c>
      <c r="H3866" s="2">
        <v>46214</v>
      </c>
      <c r="I3866">
        <v>142.11000000000001</v>
      </c>
      <c r="J3866">
        <v>55.62</v>
      </c>
      <c r="K3866">
        <v>55.62</v>
      </c>
      <c r="L3866">
        <v>0</v>
      </c>
      <c r="M3866" s="1" t="s">
        <v>21</v>
      </c>
      <c r="N3866" s="1" t="s">
        <v>22</v>
      </c>
      <c r="O3866" s="2">
        <v>46225</v>
      </c>
      <c r="P3866" s="2">
        <v>46225</v>
      </c>
      <c r="Q3866">
        <f>_xlfn.XLOOKUP(E3866,CPT!$A$2:$A$13,CPT!$D$2:$D$13)</f>
        <v>145</v>
      </c>
      <c r="R3866" s="1">
        <f>_xlfn.XLOOKUP(C3866,Contract!$A$2:$A$9,Contract!$B$2:$B$9)</f>
        <v>0.43</v>
      </c>
      <c r="S3866" s="1">
        <f t="shared" si="240"/>
        <v>62.35</v>
      </c>
      <c r="T3866" s="1">
        <f t="shared" si="241"/>
        <v>6.730000000000004</v>
      </c>
      <c r="U3866" s="1" t="str">
        <f t="shared" si="242"/>
        <v>Underpaid</v>
      </c>
      <c r="V3866" s="1" t="str">
        <f>_xlfn.XLOOKUP(C3866,Payers!$A$2:$A$9,Payers!$B$2:$B$9)</f>
        <v>Summit Health Commercial</v>
      </c>
      <c r="W3866" s="1" t="str">
        <f t="shared" si="243"/>
        <v>2026-07</v>
      </c>
    </row>
    <row r="3867" spans="1:23">
      <c r="A3867" s="1" t="s">
        <v>6237</v>
      </c>
      <c r="B3867" s="1" t="s">
        <v>1216</v>
      </c>
      <c r="C3867" s="1" t="s">
        <v>25</v>
      </c>
      <c r="D3867" s="1" t="s">
        <v>30</v>
      </c>
      <c r="E3867" s="1" t="s">
        <v>20</v>
      </c>
      <c r="F3867">
        <v>1</v>
      </c>
      <c r="G3867" s="2">
        <v>46121</v>
      </c>
      <c r="H3867" s="2">
        <v>46246</v>
      </c>
      <c r="I3867">
        <v>145.30000000000001</v>
      </c>
      <c r="M3867" s="1" t="s">
        <v>32</v>
      </c>
      <c r="N3867" s="1" t="s">
        <v>137</v>
      </c>
      <c r="O3867" s="2">
        <v>46270</v>
      </c>
      <c r="P3867" s="2"/>
      <c r="Q3867">
        <f>_xlfn.XLOOKUP(E3867,CPT!$A$2:$A$13,CPT!$D$2:$D$13)</f>
        <v>145</v>
      </c>
      <c r="R3867" s="1">
        <f>_xlfn.XLOOKUP(C3867,Contract!$A$2:$A$9,Contract!$B$2:$B$9)</f>
        <v>0.36</v>
      </c>
      <c r="S3867" s="1">
        <f t="shared" si="240"/>
        <v>52.2</v>
      </c>
      <c r="T3867" s="1" t="str">
        <f t="shared" si="241"/>
        <v/>
      </c>
      <c r="U3867" s="1" t="str">
        <f t="shared" si="242"/>
        <v/>
      </c>
      <c r="V3867" s="1" t="str">
        <f>_xlfn.XLOOKUP(C3867,Payers!$A$2:$A$9,Payers!$B$2:$B$9)</f>
        <v>Medicare Part B</v>
      </c>
      <c r="W3867" s="1" t="str">
        <f t="shared" si="243"/>
        <v>2026-04</v>
      </c>
    </row>
    <row r="3868" spans="1:23">
      <c r="A3868" s="1" t="s">
        <v>6238</v>
      </c>
      <c r="B3868" s="1" t="s">
        <v>4548</v>
      </c>
      <c r="C3868" s="1" t="s">
        <v>60</v>
      </c>
      <c r="D3868" s="1" t="s">
        <v>37</v>
      </c>
      <c r="E3868" s="1" t="s">
        <v>57</v>
      </c>
      <c r="F3868">
        <v>1</v>
      </c>
      <c r="G3868" s="2">
        <v>46238</v>
      </c>
      <c r="H3868" s="2">
        <v>46255</v>
      </c>
      <c r="I3868">
        <v>211.61</v>
      </c>
      <c r="J3868">
        <v>108.51</v>
      </c>
      <c r="K3868">
        <v>86.81</v>
      </c>
      <c r="L3868">
        <v>21.7</v>
      </c>
      <c r="M3868" s="1" t="s">
        <v>21</v>
      </c>
      <c r="N3868" s="1" t="s">
        <v>22</v>
      </c>
      <c r="O3868" s="2">
        <v>46293</v>
      </c>
      <c r="P3868" s="2">
        <v>46293</v>
      </c>
      <c r="Q3868">
        <f>_xlfn.XLOOKUP(E3868,CPT!$A$2:$A$13,CPT!$D$2:$D$13)</f>
        <v>210</v>
      </c>
      <c r="R3868" s="1">
        <f>_xlfn.XLOOKUP(C3868,Contract!$A$2:$A$9,Contract!$B$2:$B$9)</f>
        <v>0.45</v>
      </c>
      <c r="S3868" s="1">
        <f t="shared" si="240"/>
        <v>94.5</v>
      </c>
      <c r="T3868" s="1">
        <f t="shared" si="241"/>
        <v>-14.010000000000005</v>
      </c>
      <c r="U3868" s="1" t="str">
        <f t="shared" si="242"/>
        <v>OK</v>
      </c>
      <c r="V3868" s="1" t="str">
        <f>_xlfn.XLOOKUP(C3868,Payers!$A$2:$A$9,Payers!$B$2:$B$9)</f>
        <v>Blue Horizon Commercial</v>
      </c>
      <c r="W3868" s="1" t="str">
        <f t="shared" si="243"/>
        <v>2026-08</v>
      </c>
    </row>
    <row r="3869" spans="1:23">
      <c r="A3869" s="1" t="s">
        <v>6239</v>
      </c>
      <c r="B3869" s="1" t="s">
        <v>6240</v>
      </c>
      <c r="C3869" s="1" t="s">
        <v>36</v>
      </c>
      <c r="D3869" s="1" t="s">
        <v>37</v>
      </c>
      <c r="E3869" s="1" t="s">
        <v>57</v>
      </c>
      <c r="F3869">
        <v>1</v>
      </c>
      <c r="G3869" s="2">
        <v>46056</v>
      </c>
      <c r="H3869" s="2">
        <v>46073</v>
      </c>
      <c r="I3869">
        <v>204.86</v>
      </c>
      <c r="J3869">
        <v>47.86</v>
      </c>
      <c r="K3869">
        <v>38.29</v>
      </c>
      <c r="L3869">
        <v>9.57</v>
      </c>
      <c r="M3869" s="1" t="s">
        <v>21</v>
      </c>
      <c r="N3869" s="1" t="s">
        <v>22</v>
      </c>
      <c r="O3869" s="2">
        <v>46089</v>
      </c>
      <c r="P3869" s="2">
        <v>46089</v>
      </c>
      <c r="Q3869">
        <f>_xlfn.XLOOKUP(E3869,CPT!$A$2:$A$13,CPT!$D$2:$D$13)</f>
        <v>210</v>
      </c>
      <c r="R3869" s="1">
        <f>_xlfn.XLOOKUP(C3869,Contract!$A$2:$A$9,Contract!$B$2:$B$9)</f>
        <v>0.27</v>
      </c>
      <c r="S3869" s="1">
        <f t="shared" si="240"/>
        <v>56.7</v>
      </c>
      <c r="T3869" s="1">
        <f t="shared" si="241"/>
        <v>8.8400000000000034</v>
      </c>
      <c r="U3869" s="1" t="str">
        <f t="shared" si="242"/>
        <v>Underpaid</v>
      </c>
      <c r="V3869" s="1" t="str">
        <f>_xlfn.XLOOKUP(C3869,Payers!$A$2:$A$9,Payers!$B$2:$B$9)</f>
        <v>Florida Medicaid</v>
      </c>
      <c r="W3869" s="1" t="str">
        <f t="shared" si="243"/>
        <v>2026-02</v>
      </c>
    </row>
    <row r="3870" spans="1:23">
      <c r="A3870" s="1" t="s">
        <v>6241</v>
      </c>
      <c r="B3870" s="1" t="s">
        <v>5178</v>
      </c>
      <c r="C3870" s="1" t="s">
        <v>18</v>
      </c>
      <c r="D3870" s="1" t="s">
        <v>19</v>
      </c>
      <c r="E3870" s="1" t="s">
        <v>41</v>
      </c>
      <c r="F3870">
        <v>1</v>
      </c>
      <c r="G3870" s="2">
        <v>46201</v>
      </c>
      <c r="H3870" s="2">
        <v>46204</v>
      </c>
      <c r="I3870">
        <v>37.799999999999997</v>
      </c>
      <c r="M3870" s="1" t="s">
        <v>32</v>
      </c>
      <c r="N3870" s="1" t="s">
        <v>33</v>
      </c>
      <c r="O3870" s="2">
        <v>46261</v>
      </c>
      <c r="P3870" s="2"/>
      <c r="Q3870">
        <f>_xlfn.XLOOKUP(E3870,CPT!$A$2:$A$13,CPT!$D$2:$D$13)</f>
        <v>38</v>
      </c>
      <c r="R3870" s="1">
        <f>_xlfn.XLOOKUP(C3870,Contract!$A$2:$A$9,Contract!$B$2:$B$9)</f>
        <v>0.38</v>
      </c>
      <c r="S3870" s="1">
        <f t="shared" si="240"/>
        <v>14.44</v>
      </c>
      <c r="T3870" s="1" t="str">
        <f t="shared" si="241"/>
        <v/>
      </c>
      <c r="U3870" s="1" t="str">
        <f t="shared" si="242"/>
        <v/>
      </c>
      <c r="V3870" s="1" t="str">
        <f>_xlfn.XLOOKUP(C3870,Payers!$A$2:$A$9,Payers!$B$2:$B$9)</f>
        <v>Sunshine Medicare Advantage</v>
      </c>
      <c r="W3870" s="1" t="str">
        <f t="shared" si="243"/>
        <v>2026-06</v>
      </c>
    </row>
    <row r="3871" spans="1:23">
      <c r="A3871" s="1" t="s">
        <v>6242</v>
      </c>
      <c r="B3871" s="1" t="s">
        <v>5702</v>
      </c>
      <c r="C3871" s="1" t="s">
        <v>60</v>
      </c>
      <c r="D3871" s="1" t="s">
        <v>37</v>
      </c>
      <c r="E3871" s="1" t="s">
        <v>48</v>
      </c>
      <c r="F3871">
        <v>1</v>
      </c>
      <c r="G3871" s="2">
        <v>46281</v>
      </c>
      <c r="H3871" s="2">
        <v>46284</v>
      </c>
      <c r="I3871">
        <v>428.05</v>
      </c>
      <c r="M3871" s="1" t="s">
        <v>69</v>
      </c>
      <c r="N3871" s="1" t="s">
        <v>22</v>
      </c>
      <c r="O3871" s="2"/>
      <c r="P3871" s="2"/>
      <c r="Q3871">
        <f>_xlfn.XLOOKUP(E3871,CPT!$A$2:$A$13,CPT!$D$2:$D$13)</f>
        <v>420</v>
      </c>
      <c r="R3871" s="1">
        <f>_xlfn.XLOOKUP(C3871,Contract!$A$2:$A$9,Contract!$B$2:$B$9)</f>
        <v>0.45</v>
      </c>
      <c r="S3871" s="1">
        <f t="shared" si="240"/>
        <v>189</v>
      </c>
      <c r="T3871" s="1" t="str">
        <f t="shared" si="241"/>
        <v/>
      </c>
      <c r="U3871" s="1" t="str">
        <f t="shared" si="242"/>
        <v/>
      </c>
      <c r="V3871" s="1" t="str">
        <f>_xlfn.XLOOKUP(C3871,Payers!$A$2:$A$9,Payers!$B$2:$B$9)</f>
        <v>Blue Horizon Commercial</v>
      </c>
      <c r="W3871" s="1" t="str">
        <f t="shared" si="243"/>
        <v>2026-09</v>
      </c>
    </row>
    <row r="3872" spans="1:23">
      <c r="A3872" s="1" t="s">
        <v>6243</v>
      </c>
      <c r="B3872" s="1" t="s">
        <v>3642</v>
      </c>
      <c r="C3872" s="1" t="s">
        <v>25</v>
      </c>
      <c r="D3872" s="1" t="s">
        <v>19</v>
      </c>
      <c r="E3872" s="1" t="s">
        <v>88</v>
      </c>
      <c r="F3872">
        <v>1</v>
      </c>
      <c r="G3872" s="2">
        <v>46162</v>
      </c>
      <c r="H3872" s="2">
        <v>46164</v>
      </c>
      <c r="I3872">
        <v>252.67</v>
      </c>
      <c r="J3872">
        <v>84.42</v>
      </c>
      <c r="K3872">
        <v>75.98</v>
      </c>
      <c r="L3872">
        <v>8.44</v>
      </c>
      <c r="M3872" s="1" t="s">
        <v>21</v>
      </c>
      <c r="N3872" s="1" t="s">
        <v>22</v>
      </c>
      <c r="O3872" s="2">
        <v>46185</v>
      </c>
      <c r="P3872" s="2">
        <v>46185</v>
      </c>
      <c r="Q3872">
        <f>_xlfn.XLOOKUP(E3872,CPT!$A$2:$A$13,CPT!$D$2:$D$13)</f>
        <v>260</v>
      </c>
      <c r="R3872" s="1">
        <f>_xlfn.XLOOKUP(C3872,Contract!$A$2:$A$9,Contract!$B$2:$B$9)</f>
        <v>0.36</v>
      </c>
      <c r="S3872" s="1">
        <f t="shared" si="240"/>
        <v>93.6</v>
      </c>
      <c r="T3872" s="1">
        <f t="shared" si="241"/>
        <v>9.1799999999999926</v>
      </c>
      <c r="U3872" s="1" t="str">
        <f t="shared" si="242"/>
        <v>Underpaid</v>
      </c>
      <c r="V3872" s="1" t="str">
        <f>_xlfn.XLOOKUP(C3872,Payers!$A$2:$A$9,Payers!$B$2:$B$9)</f>
        <v>Medicare Part B</v>
      </c>
      <c r="W3872" s="1" t="str">
        <f t="shared" si="243"/>
        <v>2026-05</v>
      </c>
    </row>
    <row r="3873" spans="1:23">
      <c r="A3873" s="1" t="s">
        <v>6244</v>
      </c>
      <c r="B3873" s="1" t="s">
        <v>4208</v>
      </c>
      <c r="C3873" s="1" t="s">
        <v>60</v>
      </c>
      <c r="D3873" s="1" t="s">
        <v>37</v>
      </c>
      <c r="E3873" s="1" t="s">
        <v>48</v>
      </c>
      <c r="F3873">
        <v>1</v>
      </c>
      <c r="G3873" s="2">
        <v>45986</v>
      </c>
      <c r="H3873" s="2">
        <v>45988</v>
      </c>
      <c r="I3873">
        <v>423.85</v>
      </c>
      <c r="M3873" s="1" t="s">
        <v>32</v>
      </c>
      <c r="N3873" s="1" t="s">
        <v>49</v>
      </c>
      <c r="O3873" s="2">
        <v>46014</v>
      </c>
      <c r="P3873" s="2"/>
      <c r="Q3873">
        <f>_xlfn.XLOOKUP(E3873,CPT!$A$2:$A$13,CPT!$D$2:$D$13)</f>
        <v>420</v>
      </c>
      <c r="R3873" s="1">
        <f>_xlfn.XLOOKUP(C3873,Contract!$A$2:$A$9,Contract!$B$2:$B$9)</f>
        <v>0.45</v>
      </c>
      <c r="S3873" s="1">
        <f t="shared" si="240"/>
        <v>189</v>
      </c>
      <c r="T3873" s="1" t="str">
        <f t="shared" si="241"/>
        <v/>
      </c>
      <c r="U3873" s="1" t="str">
        <f t="shared" si="242"/>
        <v/>
      </c>
      <c r="V3873" s="1" t="str">
        <f>_xlfn.XLOOKUP(C3873,Payers!$A$2:$A$9,Payers!$B$2:$B$9)</f>
        <v>Blue Horizon Commercial</v>
      </c>
      <c r="W3873" s="1" t="str">
        <f t="shared" si="243"/>
        <v>2025-11</v>
      </c>
    </row>
    <row r="3874" spans="1:23">
      <c r="A3874" s="1" t="s">
        <v>6245</v>
      </c>
      <c r="B3874" s="1" t="s">
        <v>6246</v>
      </c>
      <c r="C3874" s="1" t="s">
        <v>76</v>
      </c>
      <c r="D3874" s="1" t="s">
        <v>30</v>
      </c>
      <c r="E3874" s="1" t="s">
        <v>20</v>
      </c>
      <c r="F3874">
        <v>1</v>
      </c>
      <c r="G3874" s="2">
        <v>46061</v>
      </c>
      <c r="H3874" s="2">
        <v>46157</v>
      </c>
      <c r="I3874">
        <v>148.63999999999999</v>
      </c>
      <c r="M3874" s="1" t="s">
        <v>32</v>
      </c>
      <c r="N3874" s="1" t="s">
        <v>137</v>
      </c>
      <c r="O3874" s="2">
        <v>46192</v>
      </c>
      <c r="P3874" s="2"/>
      <c r="Q3874">
        <f>_xlfn.XLOOKUP(E3874,CPT!$A$2:$A$13,CPT!$D$2:$D$13)</f>
        <v>145</v>
      </c>
      <c r="R3874" s="1">
        <f>_xlfn.XLOOKUP(C3874,Contract!$A$2:$A$9,Contract!$B$2:$B$9)</f>
        <v>0.43</v>
      </c>
      <c r="S3874" s="1">
        <f t="shared" si="240"/>
        <v>62.35</v>
      </c>
      <c r="T3874" s="1" t="str">
        <f t="shared" si="241"/>
        <v/>
      </c>
      <c r="U3874" s="1" t="str">
        <f t="shared" si="242"/>
        <v/>
      </c>
      <c r="V3874" s="1" t="str">
        <f>_xlfn.XLOOKUP(C3874,Payers!$A$2:$A$9,Payers!$B$2:$B$9)</f>
        <v>Summit Health Commercial</v>
      </c>
      <c r="W3874" s="1" t="str">
        <f t="shared" si="243"/>
        <v>2026-02</v>
      </c>
    </row>
    <row r="3875" spans="1:23">
      <c r="A3875" s="1" t="s">
        <v>6247</v>
      </c>
      <c r="B3875" s="1" t="s">
        <v>6248</v>
      </c>
      <c r="C3875" s="1" t="s">
        <v>25</v>
      </c>
      <c r="D3875" s="1" t="s">
        <v>26</v>
      </c>
      <c r="E3875" s="1" t="s">
        <v>185</v>
      </c>
      <c r="F3875">
        <v>1</v>
      </c>
      <c r="G3875" s="2">
        <v>46135</v>
      </c>
      <c r="H3875" s="2">
        <v>46139</v>
      </c>
      <c r="I3875">
        <v>1151.7</v>
      </c>
      <c r="J3875">
        <v>355.06</v>
      </c>
      <c r="K3875">
        <v>355.06</v>
      </c>
      <c r="L3875">
        <v>0</v>
      </c>
      <c r="M3875" s="1" t="s">
        <v>21</v>
      </c>
      <c r="N3875" s="1" t="s">
        <v>22</v>
      </c>
      <c r="O3875" s="2">
        <v>46152</v>
      </c>
      <c r="P3875" s="2">
        <v>46152</v>
      </c>
      <c r="Q3875">
        <f>_xlfn.XLOOKUP(E3875,CPT!$A$2:$A$13,CPT!$D$2:$D$13)</f>
        <v>1150</v>
      </c>
      <c r="R3875" s="1">
        <f>_xlfn.XLOOKUP(C3875,Contract!$A$2:$A$9,Contract!$B$2:$B$9)</f>
        <v>0.36</v>
      </c>
      <c r="S3875" s="1">
        <f t="shared" si="240"/>
        <v>414</v>
      </c>
      <c r="T3875" s="1">
        <f t="shared" si="241"/>
        <v>58.94</v>
      </c>
      <c r="U3875" s="1" t="str">
        <f t="shared" si="242"/>
        <v>Underpaid</v>
      </c>
      <c r="V3875" s="1" t="str">
        <f>_xlfn.XLOOKUP(C3875,Payers!$A$2:$A$9,Payers!$B$2:$B$9)</f>
        <v>Medicare Part B</v>
      </c>
      <c r="W3875" s="1" t="str">
        <f t="shared" si="243"/>
        <v>2026-04</v>
      </c>
    </row>
    <row r="3876" spans="1:23">
      <c r="A3876" s="1" t="s">
        <v>6249</v>
      </c>
      <c r="B3876" s="1" t="s">
        <v>2707</v>
      </c>
      <c r="C3876" s="1" t="s">
        <v>60</v>
      </c>
      <c r="D3876" s="1" t="s">
        <v>26</v>
      </c>
      <c r="E3876" s="1" t="s">
        <v>57</v>
      </c>
      <c r="F3876">
        <v>1</v>
      </c>
      <c r="G3876" s="2">
        <v>46092</v>
      </c>
      <c r="H3876" s="2">
        <v>46094</v>
      </c>
      <c r="I3876">
        <v>205.38</v>
      </c>
      <c r="J3876">
        <v>103.7</v>
      </c>
      <c r="K3876">
        <v>82.96</v>
      </c>
      <c r="L3876">
        <v>20.74</v>
      </c>
      <c r="M3876" s="1" t="s">
        <v>21</v>
      </c>
      <c r="N3876" s="1" t="s">
        <v>22</v>
      </c>
      <c r="O3876" s="2">
        <v>46127</v>
      </c>
      <c r="P3876" s="2">
        <v>46127</v>
      </c>
      <c r="Q3876">
        <f>_xlfn.XLOOKUP(E3876,CPT!$A$2:$A$13,CPT!$D$2:$D$13)</f>
        <v>210</v>
      </c>
      <c r="R3876" s="1">
        <f>_xlfn.XLOOKUP(C3876,Contract!$A$2:$A$9,Contract!$B$2:$B$9)</f>
        <v>0.45</v>
      </c>
      <c r="S3876" s="1">
        <f t="shared" si="240"/>
        <v>94.5</v>
      </c>
      <c r="T3876" s="1">
        <f t="shared" si="241"/>
        <v>-9.2000000000000028</v>
      </c>
      <c r="U3876" s="1" t="str">
        <f t="shared" si="242"/>
        <v>OK</v>
      </c>
      <c r="V3876" s="1" t="str">
        <f>_xlfn.XLOOKUP(C3876,Payers!$A$2:$A$9,Payers!$B$2:$B$9)</f>
        <v>Blue Horizon Commercial</v>
      </c>
      <c r="W3876" s="1" t="str">
        <f t="shared" si="243"/>
        <v>2026-03</v>
      </c>
    </row>
    <row r="3877" spans="1:23">
      <c r="A3877" s="1" t="s">
        <v>6250</v>
      </c>
      <c r="B3877" s="1" t="s">
        <v>6251</v>
      </c>
      <c r="C3877" s="1" t="s">
        <v>18</v>
      </c>
      <c r="D3877" s="1" t="s">
        <v>19</v>
      </c>
      <c r="E3877" s="1" t="s">
        <v>88</v>
      </c>
      <c r="F3877">
        <v>1</v>
      </c>
      <c r="G3877" s="2">
        <v>46005</v>
      </c>
      <c r="H3877" s="2">
        <v>46008</v>
      </c>
      <c r="I3877">
        <v>259.41000000000003</v>
      </c>
      <c r="J3877">
        <v>86.67</v>
      </c>
      <c r="K3877">
        <v>86.67</v>
      </c>
      <c r="L3877">
        <v>0</v>
      </c>
      <c r="M3877" s="1" t="s">
        <v>21</v>
      </c>
      <c r="N3877" s="1" t="s">
        <v>22</v>
      </c>
      <c r="O3877" s="2">
        <v>46069</v>
      </c>
      <c r="P3877" s="2">
        <v>46069</v>
      </c>
      <c r="Q3877">
        <f>_xlfn.XLOOKUP(E3877,CPT!$A$2:$A$13,CPT!$D$2:$D$13)</f>
        <v>260</v>
      </c>
      <c r="R3877" s="1">
        <f>_xlfn.XLOOKUP(C3877,Contract!$A$2:$A$9,Contract!$B$2:$B$9)</f>
        <v>0.38</v>
      </c>
      <c r="S3877" s="1">
        <f t="shared" si="240"/>
        <v>98.8</v>
      </c>
      <c r="T3877" s="1">
        <f t="shared" si="241"/>
        <v>12.129999999999995</v>
      </c>
      <c r="U3877" s="1" t="str">
        <f t="shared" si="242"/>
        <v>Underpaid</v>
      </c>
      <c r="V3877" s="1" t="str">
        <f>_xlfn.XLOOKUP(C3877,Payers!$A$2:$A$9,Payers!$B$2:$B$9)</f>
        <v>Sunshine Medicare Advantage</v>
      </c>
      <c r="W3877" s="1" t="str">
        <f t="shared" si="243"/>
        <v>2025-12</v>
      </c>
    </row>
    <row r="3878" spans="1:23">
      <c r="A3878" s="1" t="s">
        <v>6252</v>
      </c>
      <c r="B3878" s="1" t="s">
        <v>6253</v>
      </c>
      <c r="C3878" s="1" t="s">
        <v>36</v>
      </c>
      <c r="D3878" s="1" t="s">
        <v>19</v>
      </c>
      <c r="E3878" s="1" t="s">
        <v>57</v>
      </c>
      <c r="F3878">
        <v>1</v>
      </c>
      <c r="G3878" s="2">
        <v>46046</v>
      </c>
      <c r="H3878" s="2">
        <v>46048</v>
      </c>
      <c r="I3878">
        <v>206.71</v>
      </c>
      <c r="J3878">
        <v>57.82</v>
      </c>
      <c r="K3878">
        <v>52.04</v>
      </c>
      <c r="L3878">
        <v>5.78</v>
      </c>
      <c r="M3878" s="1" t="s">
        <v>21</v>
      </c>
      <c r="N3878" s="1" t="s">
        <v>22</v>
      </c>
      <c r="O3878" s="2">
        <v>46089</v>
      </c>
      <c r="P3878" s="2">
        <v>46089</v>
      </c>
      <c r="Q3878">
        <f>_xlfn.XLOOKUP(E3878,CPT!$A$2:$A$13,CPT!$D$2:$D$13)</f>
        <v>210</v>
      </c>
      <c r="R3878" s="1">
        <f>_xlfn.XLOOKUP(C3878,Contract!$A$2:$A$9,Contract!$B$2:$B$9)</f>
        <v>0.27</v>
      </c>
      <c r="S3878" s="1">
        <f t="shared" si="240"/>
        <v>56.7</v>
      </c>
      <c r="T3878" s="1">
        <f t="shared" si="241"/>
        <v>-1.1199999999999974</v>
      </c>
      <c r="U3878" s="1" t="str">
        <f t="shared" si="242"/>
        <v>OK</v>
      </c>
      <c r="V3878" s="1" t="str">
        <f>_xlfn.XLOOKUP(C3878,Payers!$A$2:$A$9,Payers!$B$2:$B$9)</f>
        <v>Florida Medicaid</v>
      </c>
      <c r="W3878" s="1" t="str">
        <f t="shared" si="243"/>
        <v>2026-01</v>
      </c>
    </row>
    <row r="3879" spans="1:23">
      <c r="A3879" s="1" t="s">
        <v>6254</v>
      </c>
      <c r="B3879" s="1" t="s">
        <v>4667</v>
      </c>
      <c r="C3879" s="1" t="s">
        <v>76</v>
      </c>
      <c r="D3879" s="1" t="s">
        <v>37</v>
      </c>
      <c r="E3879" s="1" t="s">
        <v>48</v>
      </c>
      <c r="F3879">
        <v>1</v>
      </c>
      <c r="G3879" s="2">
        <v>46124</v>
      </c>
      <c r="H3879" s="2">
        <v>46133</v>
      </c>
      <c r="I3879">
        <v>409.52</v>
      </c>
      <c r="J3879">
        <v>199.29</v>
      </c>
      <c r="K3879">
        <v>179.36</v>
      </c>
      <c r="L3879">
        <v>19.93</v>
      </c>
      <c r="M3879" s="1" t="s">
        <v>21</v>
      </c>
      <c r="N3879" s="1" t="s">
        <v>22</v>
      </c>
      <c r="O3879" s="2">
        <v>46163</v>
      </c>
      <c r="P3879" s="2">
        <v>46163</v>
      </c>
      <c r="Q3879">
        <f>_xlfn.XLOOKUP(E3879,CPT!$A$2:$A$13,CPT!$D$2:$D$13)</f>
        <v>420</v>
      </c>
      <c r="R3879" s="1">
        <f>_xlfn.XLOOKUP(C3879,Contract!$A$2:$A$9,Contract!$B$2:$B$9)</f>
        <v>0.43</v>
      </c>
      <c r="S3879" s="1">
        <f t="shared" si="240"/>
        <v>180.6</v>
      </c>
      <c r="T3879" s="1">
        <f t="shared" si="241"/>
        <v>-18.689999999999998</v>
      </c>
      <c r="U3879" s="1" t="str">
        <f t="shared" si="242"/>
        <v>OK</v>
      </c>
      <c r="V3879" s="1" t="str">
        <f>_xlfn.XLOOKUP(C3879,Payers!$A$2:$A$9,Payers!$B$2:$B$9)</f>
        <v>Summit Health Commercial</v>
      </c>
      <c r="W3879" s="1" t="str">
        <f t="shared" si="243"/>
        <v>2026-04</v>
      </c>
    </row>
    <row r="3880" spans="1:23">
      <c r="A3880" s="1" t="s">
        <v>6255</v>
      </c>
      <c r="B3880" s="1" t="s">
        <v>6256</v>
      </c>
      <c r="C3880" s="1" t="s">
        <v>60</v>
      </c>
      <c r="D3880" s="1" t="s">
        <v>37</v>
      </c>
      <c r="E3880" s="1" t="s">
        <v>48</v>
      </c>
      <c r="F3880">
        <v>1</v>
      </c>
      <c r="G3880" s="2">
        <v>46040</v>
      </c>
      <c r="H3880" s="2">
        <v>46042</v>
      </c>
      <c r="I3880">
        <v>409.36</v>
      </c>
      <c r="J3880">
        <v>209.31</v>
      </c>
      <c r="K3880">
        <v>209.31</v>
      </c>
      <c r="L3880">
        <v>0</v>
      </c>
      <c r="M3880" s="1" t="s">
        <v>21</v>
      </c>
      <c r="N3880" s="1" t="s">
        <v>22</v>
      </c>
      <c r="O3880" s="2">
        <v>46087</v>
      </c>
      <c r="P3880" s="2">
        <v>46087</v>
      </c>
      <c r="Q3880">
        <f>_xlfn.XLOOKUP(E3880,CPT!$A$2:$A$13,CPT!$D$2:$D$13)</f>
        <v>420</v>
      </c>
      <c r="R3880" s="1">
        <f>_xlfn.XLOOKUP(C3880,Contract!$A$2:$A$9,Contract!$B$2:$B$9)</f>
        <v>0.45</v>
      </c>
      <c r="S3880" s="1">
        <f t="shared" si="240"/>
        <v>189</v>
      </c>
      <c r="T3880" s="1">
        <f t="shared" si="241"/>
        <v>-20.310000000000002</v>
      </c>
      <c r="U3880" s="1" t="str">
        <f t="shared" si="242"/>
        <v>OK</v>
      </c>
      <c r="V3880" s="1" t="str">
        <f>_xlfn.XLOOKUP(C3880,Payers!$A$2:$A$9,Payers!$B$2:$B$9)</f>
        <v>Blue Horizon Commercial</v>
      </c>
      <c r="W3880" s="1" t="str">
        <f t="shared" si="243"/>
        <v>2026-01</v>
      </c>
    </row>
    <row r="3881" spans="1:23">
      <c r="A3881" s="1" t="s">
        <v>6257</v>
      </c>
      <c r="B3881" s="1" t="s">
        <v>6258</v>
      </c>
      <c r="C3881" s="1" t="s">
        <v>60</v>
      </c>
      <c r="D3881" s="1" t="s">
        <v>19</v>
      </c>
      <c r="E3881" s="1" t="s">
        <v>57</v>
      </c>
      <c r="F3881">
        <v>1</v>
      </c>
      <c r="G3881" s="2">
        <v>46255</v>
      </c>
      <c r="H3881" s="2">
        <v>46257</v>
      </c>
      <c r="I3881">
        <v>216.29</v>
      </c>
      <c r="J3881">
        <v>93.15</v>
      </c>
      <c r="K3881">
        <v>74.52</v>
      </c>
      <c r="L3881">
        <v>18.63</v>
      </c>
      <c r="M3881" s="1" t="s">
        <v>21</v>
      </c>
      <c r="N3881" s="1" t="s">
        <v>22</v>
      </c>
      <c r="O3881" s="2">
        <v>46284</v>
      </c>
      <c r="P3881" s="2">
        <v>46284</v>
      </c>
      <c r="Q3881">
        <f>_xlfn.XLOOKUP(E3881,CPT!$A$2:$A$13,CPT!$D$2:$D$13)</f>
        <v>210</v>
      </c>
      <c r="R3881" s="1">
        <f>_xlfn.XLOOKUP(C3881,Contract!$A$2:$A$9,Contract!$B$2:$B$9)</f>
        <v>0.45</v>
      </c>
      <c r="S3881" s="1">
        <f t="shared" si="240"/>
        <v>94.5</v>
      </c>
      <c r="T3881" s="1">
        <f t="shared" si="241"/>
        <v>1.3499999999999943</v>
      </c>
      <c r="U3881" s="1" t="str">
        <f t="shared" si="242"/>
        <v>OK</v>
      </c>
      <c r="V3881" s="1" t="str">
        <f>_xlfn.XLOOKUP(C3881,Payers!$A$2:$A$9,Payers!$B$2:$B$9)</f>
        <v>Blue Horizon Commercial</v>
      </c>
      <c r="W3881" s="1" t="str">
        <f t="shared" si="243"/>
        <v>2026-08</v>
      </c>
    </row>
    <row r="3882" spans="1:23">
      <c r="A3882" s="1" t="s">
        <v>6259</v>
      </c>
      <c r="B3882" s="1" t="s">
        <v>6260</v>
      </c>
      <c r="C3882" s="1" t="s">
        <v>25</v>
      </c>
      <c r="D3882" s="1" t="s">
        <v>26</v>
      </c>
      <c r="E3882" s="1" t="s">
        <v>44</v>
      </c>
      <c r="F3882">
        <v>1</v>
      </c>
      <c r="G3882" s="2">
        <v>45962</v>
      </c>
      <c r="H3882" s="2">
        <v>45968</v>
      </c>
      <c r="I3882">
        <v>4719.47</v>
      </c>
      <c r="J3882">
        <v>1952.11</v>
      </c>
      <c r="K3882">
        <v>1756.9</v>
      </c>
      <c r="L3882">
        <v>195.21</v>
      </c>
      <c r="M3882" s="1" t="s">
        <v>21</v>
      </c>
      <c r="N3882" s="1" t="s">
        <v>22</v>
      </c>
      <c r="O3882" s="2">
        <v>45982</v>
      </c>
      <c r="P3882" s="2">
        <v>45982</v>
      </c>
      <c r="Q3882">
        <f>_xlfn.XLOOKUP(E3882,CPT!$A$2:$A$13,CPT!$D$2:$D$13)</f>
        <v>4800</v>
      </c>
      <c r="R3882" s="1">
        <f>_xlfn.XLOOKUP(C3882,Contract!$A$2:$A$9,Contract!$B$2:$B$9)</f>
        <v>0.36</v>
      </c>
      <c r="S3882" s="1">
        <f t="shared" si="240"/>
        <v>1728</v>
      </c>
      <c r="T3882" s="1">
        <f t="shared" si="241"/>
        <v>-224.1099999999999</v>
      </c>
      <c r="U3882" s="1" t="str">
        <f t="shared" si="242"/>
        <v>OK</v>
      </c>
      <c r="V3882" s="1" t="str">
        <f>_xlfn.XLOOKUP(C3882,Payers!$A$2:$A$9,Payers!$B$2:$B$9)</f>
        <v>Medicare Part B</v>
      </c>
      <c r="W3882" s="1" t="str">
        <f t="shared" si="243"/>
        <v>2025-11</v>
      </c>
    </row>
    <row r="3883" spans="1:23">
      <c r="A3883" s="1" t="s">
        <v>6261</v>
      </c>
      <c r="B3883" s="1" t="s">
        <v>6262</v>
      </c>
      <c r="C3883" s="1" t="s">
        <v>47</v>
      </c>
      <c r="D3883" s="1" t="s">
        <v>37</v>
      </c>
      <c r="E3883" s="1" t="s">
        <v>38</v>
      </c>
      <c r="F3883">
        <v>10</v>
      </c>
      <c r="G3883" s="2">
        <v>46193</v>
      </c>
      <c r="H3883" s="2">
        <v>46196</v>
      </c>
      <c r="I3883">
        <v>14678.66</v>
      </c>
      <c r="J3883">
        <v>4595.58</v>
      </c>
      <c r="K3883">
        <v>4595.58</v>
      </c>
      <c r="L3883">
        <v>0</v>
      </c>
      <c r="M3883" s="1" t="s">
        <v>21</v>
      </c>
      <c r="N3883" s="1" t="s">
        <v>22</v>
      </c>
      <c r="O3883" s="2">
        <v>46260</v>
      </c>
      <c r="P3883" s="2">
        <v>46260</v>
      </c>
      <c r="Q3883">
        <f>_xlfn.XLOOKUP(E3883,CPT!$A$2:$A$13,CPT!$D$2:$D$13)</f>
        <v>1450</v>
      </c>
      <c r="R3883" s="1">
        <f>_xlfn.XLOOKUP(C3883,Contract!$A$2:$A$9,Contract!$B$2:$B$9)</f>
        <v>0.28000000000000003</v>
      </c>
      <c r="S3883" s="1">
        <f t="shared" si="240"/>
        <v>4060</v>
      </c>
      <c r="T3883" s="1">
        <f t="shared" si="241"/>
        <v>-535.57999999999993</v>
      </c>
      <c r="U3883" s="1" t="str">
        <f t="shared" si="242"/>
        <v>OK</v>
      </c>
      <c r="V3883" s="1" t="str">
        <f>_xlfn.XLOOKUP(C3883,Payers!$A$2:$A$9,Payers!$B$2:$B$9)</f>
        <v>Coastal Medicaid MCO</v>
      </c>
      <c r="W3883" s="1" t="str">
        <f t="shared" si="243"/>
        <v>2026-06</v>
      </c>
    </row>
    <row r="3884" spans="1:23">
      <c r="A3884" s="1" t="s">
        <v>6263</v>
      </c>
      <c r="B3884" s="1" t="s">
        <v>4454</v>
      </c>
      <c r="C3884" s="1" t="s">
        <v>76</v>
      </c>
      <c r="D3884" s="1" t="s">
        <v>26</v>
      </c>
      <c r="E3884" s="1" t="s">
        <v>57</v>
      </c>
      <c r="F3884">
        <v>1</v>
      </c>
      <c r="G3884" s="2">
        <v>46258</v>
      </c>
      <c r="H3884" s="2">
        <v>46259</v>
      </c>
      <c r="I3884">
        <v>207</v>
      </c>
      <c r="J3884">
        <v>101.27</v>
      </c>
      <c r="K3884">
        <v>81.02</v>
      </c>
      <c r="L3884">
        <v>20.25</v>
      </c>
      <c r="M3884" s="1" t="s">
        <v>21</v>
      </c>
      <c r="N3884" s="1" t="s">
        <v>22</v>
      </c>
      <c r="O3884" s="2">
        <v>46274</v>
      </c>
      <c r="P3884" s="2">
        <v>46274</v>
      </c>
      <c r="Q3884">
        <f>_xlfn.XLOOKUP(E3884,CPT!$A$2:$A$13,CPT!$D$2:$D$13)</f>
        <v>210</v>
      </c>
      <c r="R3884" s="1">
        <f>_xlfn.XLOOKUP(C3884,Contract!$A$2:$A$9,Contract!$B$2:$B$9)</f>
        <v>0.43</v>
      </c>
      <c r="S3884" s="1">
        <f t="shared" si="240"/>
        <v>90.3</v>
      </c>
      <c r="T3884" s="1">
        <f t="shared" si="241"/>
        <v>-10.969999999999999</v>
      </c>
      <c r="U3884" s="1" t="str">
        <f t="shared" si="242"/>
        <v>OK</v>
      </c>
      <c r="V3884" s="1" t="str">
        <f>_xlfn.XLOOKUP(C3884,Payers!$A$2:$A$9,Payers!$B$2:$B$9)</f>
        <v>Summit Health Commercial</v>
      </c>
      <c r="W3884" s="1" t="str">
        <f t="shared" si="243"/>
        <v>2026-08</v>
      </c>
    </row>
    <row r="3885" spans="1:23">
      <c r="A3885" s="1" t="s">
        <v>6264</v>
      </c>
      <c r="B3885" s="1" t="s">
        <v>6265</v>
      </c>
      <c r="C3885" s="1" t="s">
        <v>52</v>
      </c>
      <c r="D3885" s="1" t="s">
        <v>37</v>
      </c>
      <c r="E3885" s="1" t="s">
        <v>38</v>
      </c>
      <c r="F3885">
        <v>5</v>
      </c>
      <c r="G3885" s="2">
        <v>46192</v>
      </c>
      <c r="H3885" s="2">
        <v>46194</v>
      </c>
      <c r="I3885">
        <v>7396.02</v>
      </c>
      <c r="J3885">
        <v>3501.99</v>
      </c>
      <c r="K3885">
        <v>2801.59</v>
      </c>
      <c r="L3885">
        <v>700.4</v>
      </c>
      <c r="M3885" s="1" t="s">
        <v>21</v>
      </c>
      <c r="N3885" s="1" t="s">
        <v>22</v>
      </c>
      <c r="O3885" s="2">
        <v>46249</v>
      </c>
      <c r="P3885" s="2">
        <v>46249</v>
      </c>
      <c r="Q3885">
        <f>_xlfn.XLOOKUP(E3885,CPT!$A$2:$A$13,CPT!$D$2:$D$13)</f>
        <v>1450</v>
      </c>
      <c r="R3885" s="1">
        <f>_xlfn.XLOOKUP(C3885,Contract!$A$2:$A$9,Contract!$B$2:$B$9)</f>
        <v>0.47</v>
      </c>
      <c r="S3885" s="1">
        <f t="shared" si="240"/>
        <v>3407.5</v>
      </c>
      <c r="T3885" s="1">
        <f t="shared" si="241"/>
        <v>-94.489999999999782</v>
      </c>
      <c r="U3885" s="1" t="str">
        <f t="shared" si="242"/>
        <v>OK</v>
      </c>
      <c r="V3885" s="1" t="str">
        <f>_xlfn.XLOOKUP(C3885,Payers!$A$2:$A$9,Payers!$B$2:$B$9)</f>
        <v>Keystone Commercial PPO</v>
      </c>
      <c r="W3885" s="1" t="str">
        <f t="shared" si="243"/>
        <v>2026-06</v>
      </c>
    </row>
    <row r="3886" spans="1:23">
      <c r="A3886" s="1" t="s">
        <v>6266</v>
      </c>
      <c r="B3886" s="1" t="s">
        <v>6267</v>
      </c>
      <c r="C3886" s="1" t="s">
        <v>76</v>
      </c>
      <c r="D3886" s="1" t="s">
        <v>26</v>
      </c>
      <c r="E3886" s="1" t="s">
        <v>88</v>
      </c>
      <c r="F3886">
        <v>1</v>
      </c>
      <c r="G3886" s="2">
        <v>46062</v>
      </c>
      <c r="H3886" s="2">
        <v>46065</v>
      </c>
      <c r="I3886">
        <v>264.27999999999997</v>
      </c>
      <c r="J3886">
        <v>98.51</v>
      </c>
      <c r="K3886">
        <v>88.66</v>
      </c>
      <c r="L3886">
        <v>9.85</v>
      </c>
      <c r="M3886" s="1" t="s">
        <v>21</v>
      </c>
      <c r="N3886" s="1" t="s">
        <v>22</v>
      </c>
      <c r="O3886" s="2">
        <v>46102</v>
      </c>
      <c r="P3886" s="2">
        <v>46102</v>
      </c>
      <c r="Q3886">
        <f>_xlfn.XLOOKUP(E3886,CPT!$A$2:$A$13,CPT!$D$2:$D$13)</f>
        <v>260</v>
      </c>
      <c r="R3886" s="1">
        <f>_xlfn.XLOOKUP(C3886,Contract!$A$2:$A$9,Contract!$B$2:$B$9)</f>
        <v>0.43</v>
      </c>
      <c r="S3886" s="1">
        <f t="shared" si="240"/>
        <v>111.8</v>
      </c>
      <c r="T3886" s="1">
        <f t="shared" si="241"/>
        <v>13.289999999999992</v>
      </c>
      <c r="U3886" s="1" t="str">
        <f t="shared" si="242"/>
        <v>Underpaid</v>
      </c>
      <c r="V3886" s="1" t="str">
        <f>_xlfn.XLOOKUP(C3886,Payers!$A$2:$A$9,Payers!$B$2:$B$9)</f>
        <v>Summit Health Commercial</v>
      </c>
      <c r="W3886" s="1" t="str">
        <f t="shared" si="243"/>
        <v>2026-02</v>
      </c>
    </row>
    <row r="3887" spans="1:23">
      <c r="A3887" s="1" t="s">
        <v>6268</v>
      </c>
      <c r="B3887" s="1" t="s">
        <v>2076</v>
      </c>
      <c r="C3887" s="1" t="s">
        <v>18</v>
      </c>
      <c r="D3887" s="1" t="s">
        <v>30</v>
      </c>
      <c r="E3887" s="1" t="s">
        <v>31</v>
      </c>
      <c r="F3887">
        <v>1</v>
      </c>
      <c r="G3887" s="2">
        <v>45957</v>
      </c>
      <c r="H3887" s="2">
        <v>45959</v>
      </c>
      <c r="I3887">
        <v>62.64</v>
      </c>
      <c r="J3887">
        <v>20.81</v>
      </c>
      <c r="K3887">
        <v>20.81</v>
      </c>
      <c r="L3887">
        <v>0</v>
      </c>
      <c r="M3887" s="1" t="s">
        <v>21</v>
      </c>
      <c r="N3887" s="1" t="s">
        <v>22</v>
      </c>
      <c r="O3887" s="2">
        <v>46001</v>
      </c>
      <c r="P3887" s="2">
        <v>46001</v>
      </c>
      <c r="Q3887">
        <f>_xlfn.XLOOKUP(E3887,CPT!$A$2:$A$13,CPT!$D$2:$D$13)</f>
        <v>62</v>
      </c>
      <c r="R3887" s="1">
        <f>_xlfn.XLOOKUP(C3887,Contract!$A$2:$A$9,Contract!$B$2:$B$9)</f>
        <v>0.38</v>
      </c>
      <c r="S3887" s="1">
        <f t="shared" si="240"/>
        <v>23.56</v>
      </c>
      <c r="T3887" s="1">
        <f t="shared" si="241"/>
        <v>2.75</v>
      </c>
      <c r="U3887" s="1" t="str">
        <f t="shared" si="242"/>
        <v>Underpaid</v>
      </c>
      <c r="V3887" s="1" t="str">
        <f>_xlfn.XLOOKUP(C3887,Payers!$A$2:$A$9,Payers!$B$2:$B$9)</f>
        <v>Sunshine Medicare Advantage</v>
      </c>
      <c r="W3887" s="1" t="str">
        <f t="shared" si="243"/>
        <v>2025-10</v>
      </c>
    </row>
    <row r="3888" spans="1:23">
      <c r="A3888" s="1" t="s">
        <v>6269</v>
      </c>
      <c r="B3888" s="1" t="s">
        <v>1592</v>
      </c>
      <c r="C3888" s="1" t="s">
        <v>60</v>
      </c>
      <c r="D3888" s="1" t="s">
        <v>19</v>
      </c>
      <c r="E3888" s="1" t="s">
        <v>41</v>
      </c>
      <c r="F3888">
        <v>1</v>
      </c>
      <c r="G3888" s="2">
        <v>46250</v>
      </c>
      <c r="H3888" s="2">
        <v>46256</v>
      </c>
      <c r="I3888">
        <v>39.020000000000003</v>
      </c>
      <c r="J3888">
        <v>17.309999999999999</v>
      </c>
      <c r="K3888">
        <v>17.309999999999999</v>
      </c>
      <c r="L3888">
        <v>0</v>
      </c>
      <c r="M3888" s="1" t="s">
        <v>21</v>
      </c>
      <c r="N3888" s="1" t="s">
        <v>22</v>
      </c>
      <c r="O3888" s="2">
        <v>46280</v>
      </c>
      <c r="P3888" s="2">
        <v>46280</v>
      </c>
      <c r="Q3888">
        <f>_xlfn.XLOOKUP(E3888,CPT!$A$2:$A$13,CPT!$D$2:$D$13)</f>
        <v>38</v>
      </c>
      <c r="R3888" s="1">
        <f>_xlfn.XLOOKUP(C3888,Contract!$A$2:$A$9,Contract!$B$2:$B$9)</f>
        <v>0.45</v>
      </c>
      <c r="S3888" s="1">
        <f t="shared" si="240"/>
        <v>17.100000000000001</v>
      </c>
      <c r="T3888" s="1">
        <f t="shared" si="241"/>
        <v>-0.2099999999999973</v>
      </c>
      <c r="U3888" s="1" t="str">
        <f t="shared" si="242"/>
        <v>OK</v>
      </c>
      <c r="V3888" s="1" t="str">
        <f>_xlfn.XLOOKUP(C3888,Payers!$A$2:$A$9,Payers!$B$2:$B$9)</f>
        <v>Blue Horizon Commercial</v>
      </c>
      <c r="W3888" s="1" t="str">
        <f t="shared" si="243"/>
        <v>2026-08</v>
      </c>
    </row>
    <row r="3889" spans="1:23">
      <c r="A3889" s="1" t="s">
        <v>6270</v>
      </c>
      <c r="B3889" s="1" t="s">
        <v>4086</v>
      </c>
      <c r="C3889" s="1" t="s">
        <v>76</v>
      </c>
      <c r="D3889" s="1" t="s">
        <v>26</v>
      </c>
      <c r="E3889" s="1" t="s">
        <v>88</v>
      </c>
      <c r="F3889">
        <v>1</v>
      </c>
      <c r="G3889" s="2">
        <v>46070</v>
      </c>
      <c r="H3889" s="2">
        <v>46072</v>
      </c>
      <c r="I3889">
        <v>258.11</v>
      </c>
      <c r="J3889">
        <v>120.04</v>
      </c>
      <c r="K3889">
        <v>108.04</v>
      </c>
      <c r="L3889">
        <v>12</v>
      </c>
      <c r="M3889" s="1" t="s">
        <v>21</v>
      </c>
      <c r="N3889" s="1" t="s">
        <v>22</v>
      </c>
      <c r="O3889" s="2">
        <v>46099</v>
      </c>
      <c r="P3889" s="2">
        <v>46099</v>
      </c>
      <c r="Q3889">
        <f>_xlfn.XLOOKUP(E3889,CPT!$A$2:$A$13,CPT!$D$2:$D$13)</f>
        <v>260</v>
      </c>
      <c r="R3889" s="1">
        <f>_xlfn.XLOOKUP(C3889,Contract!$A$2:$A$9,Contract!$B$2:$B$9)</f>
        <v>0.43</v>
      </c>
      <c r="S3889" s="1">
        <f t="shared" si="240"/>
        <v>111.8</v>
      </c>
      <c r="T3889" s="1">
        <f t="shared" si="241"/>
        <v>-8.2400000000000091</v>
      </c>
      <c r="U3889" s="1" t="str">
        <f t="shared" si="242"/>
        <v>OK</v>
      </c>
      <c r="V3889" s="1" t="str">
        <f>_xlfn.XLOOKUP(C3889,Payers!$A$2:$A$9,Payers!$B$2:$B$9)</f>
        <v>Summit Health Commercial</v>
      </c>
      <c r="W3889" s="1" t="str">
        <f t="shared" si="243"/>
        <v>2026-02</v>
      </c>
    </row>
    <row r="3890" spans="1:23">
      <c r="A3890" s="1" t="s">
        <v>6271</v>
      </c>
      <c r="B3890" s="1" t="s">
        <v>6272</v>
      </c>
      <c r="C3890" s="1" t="s">
        <v>60</v>
      </c>
      <c r="D3890" s="1" t="s">
        <v>37</v>
      </c>
      <c r="E3890" s="1" t="s">
        <v>57</v>
      </c>
      <c r="F3890">
        <v>1</v>
      </c>
      <c r="G3890" s="2">
        <v>46095</v>
      </c>
      <c r="H3890" s="2">
        <v>46096</v>
      </c>
      <c r="I3890">
        <v>206.9</v>
      </c>
      <c r="J3890">
        <v>83.4</v>
      </c>
      <c r="K3890">
        <v>83.4</v>
      </c>
      <c r="L3890">
        <v>0</v>
      </c>
      <c r="M3890" s="1" t="s">
        <v>21</v>
      </c>
      <c r="N3890" s="1" t="s">
        <v>22</v>
      </c>
      <c r="O3890" s="2">
        <v>46135</v>
      </c>
      <c r="P3890" s="2">
        <v>46135</v>
      </c>
      <c r="Q3890">
        <f>_xlfn.XLOOKUP(E3890,CPT!$A$2:$A$13,CPT!$D$2:$D$13)</f>
        <v>210</v>
      </c>
      <c r="R3890" s="1">
        <f>_xlfn.XLOOKUP(C3890,Contract!$A$2:$A$9,Contract!$B$2:$B$9)</f>
        <v>0.45</v>
      </c>
      <c r="S3890" s="1">
        <f t="shared" si="240"/>
        <v>94.5</v>
      </c>
      <c r="T3890" s="1">
        <f t="shared" si="241"/>
        <v>11.099999999999994</v>
      </c>
      <c r="U3890" s="1" t="str">
        <f t="shared" si="242"/>
        <v>Underpaid</v>
      </c>
      <c r="V3890" s="1" t="str">
        <f>_xlfn.XLOOKUP(C3890,Payers!$A$2:$A$9,Payers!$B$2:$B$9)</f>
        <v>Blue Horizon Commercial</v>
      </c>
      <c r="W3890" s="1" t="str">
        <f t="shared" si="243"/>
        <v>2026-03</v>
      </c>
    </row>
    <row r="3891" spans="1:23">
      <c r="A3891" s="1" t="s">
        <v>6273</v>
      </c>
      <c r="B3891" s="1" t="s">
        <v>314</v>
      </c>
      <c r="C3891" s="1" t="s">
        <v>79</v>
      </c>
      <c r="D3891" s="1" t="s">
        <v>19</v>
      </c>
      <c r="E3891" s="1" t="s">
        <v>20</v>
      </c>
      <c r="F3891">
        <v>1</v>
      </c>
      <c r="G3891" s="2">
        <v>46217</v>
      </c>
      <c r="H3891" s="2">
        <v>46218</v>
      </c>
      <c r="I3891">
        <v>144.97</v>
      </c>
      <c r="J3891">
        <v>144.97</v>
      </c>
      <c r="K3891">
        <v>144.97</v>
      </c>
      <c r="L3891">
        <v>0</v>
      </c>
      <c r="M3891" s="1" t="s">
        <v>21</v>
      </c>
      <c r="N3891" s="1" t="s">
        <v>22</v>
      </c>
      <c r="O3891" s="2">
        <v>46273</v>
      </c>
      <c r="P3891" s="2">
        <v>46273</v>
      </c>
      <c r="Q3891">
        <f>_xlfn.XLOOKUP(E3891,CPT!$A$2:$A$13,CPT!$D$2:$D$13)</f>
        <v>145</v>
      </c>
      <c r="R3891" s="1">
        <f>_xlfn.XLOOKUP(C3891,Contract!$A$2:$A$9,Contract!$B$2:$B$9)</f>
        <v>1</v>
      </c>
      <c r="S3891" s="1">
        <f t="shared" si="240"/>
        <v>145</v>
      </c>
      <c r="T3891" s="1">
        <f t="shared" si="241"/>
        <v>3.0000000000001137E-2</v>
      </c>
      <c r="U3891" s="1" t="str">
        <f t="shared" si="242"/>
        <v>OK</v>
      </c>
      <c r="V3891" s="1" t="str">
        <f>_xlfn.XLOOKUP(C3891,Payers!$A$2:$A$9,Payers!$B$2:$B$9)</f>
        <v>Self-Pay</v>
      </c>
      <c r="W3891" s="1" t="str">
        <f t="shared" si="243"/>
        <v>2026-07</v>
      </c>
    </row>
    <row r="3892" spans="1:23">
      <c r="A3892" s="1" t="s">
        <v>6274</v>
      </c>
      <c r="B3892" s="1" t="s">
        <v>6275</v>
      </c>
      <c r="C3892" s="1" t="s">
        <v>76</v>
      </c>
      <c r="D3892" s="1" t="s">
        <v>26</v>
      </c>
      <c r="E3892" s="1" t="s">
        <v>88</v>
      </c>
      <c r="F3892">
        <v>1</v>
      </c>
      <c r="G3892" s="2">
        <v>46070</v>
      </c>
      <c r="H3892" s="2">
        <v>46076</v>
      </c>
      <c r="I3892">
        <v>262.08999999999997</v>
      </c>
      <c r="J3892">
        <v>101.1</v>
      </c>
      <c r="K3892">
        <v>101.1</v>
      </c>
      <c r="L3892">
        <v>0</v>
      </c>
      <c r="M3892" s="1" t="s">
        <v>21</v>
      </c>
      <c r="N3892" s="1" t="s">
        <v>22</v>
      </c>
      <c r="O3892" s="2">
        <v>46093</v>
      </c>
      <c r="P3892" s="2">
        <v>46093</v>
      </c>
      <c r="Q3892">
        <f>_xlfn.XLOOKUP(E3892,CPT!$A$2:$A$13,CPT!$D$2:$D$13)</f>
        <v>260</v>
      </c>
      <c r="R3892" s="1">
        <f>_xlfn.XLOOKUP(C3892,Contract!$A$2:$A$9,Contract!$B$2:$B$9)</f>
        <v>0.43</v>
      </c>
      <c r="S3892" s="1">
        <f t="shared" si="240"/>
        <v>111.8</v>
      </c>
      <c r="T3892" s="1">
        <f t="shared" si="241"/>
        <v>10.700000000000003</v>
      </c>
      <c r="U3892" s="1" t="str">
        <f t="shared" si="242"/>
        <v>Underpaid</v>
      </c>
      <c r="V3892" s="1" t="str">
        <f>_xlfn.XLOOKUP(C3892,Payers!$A$2:$A$9,Payers!$B$2:$B$9)</f>
        <v>Summit Health Commercial</v>
      </c>
      <c r="W3892" s="1" t="str">
        <f t="shared" si="243"/>
        <v>2026-02</v>
      </c>
    </row>
    <row r="3893" spans="1:23">
      <c r="A3893" s="1" t="s">
        <v>6276</v>
      </c>
      <c r="B3893" s="1" t="s">
        <v>1907</v>
      </c>
      <c r="C3893" s="1" t="s">
        <v>47</v>
      </c>
      <c r="D3893" s="1" t="s">
        <v>30</v>
      </c>
      <c r="E3893" s="1" t="s">
        <v>31</v>
      </c>
      <c r="F3893">
        <v>3</v>
      </c>
      <c r="G3893" s="2">
        <v>46085</v>
      </c>
      <c r="H3893" s="2">
        <v>46087</v>
      </c>
      <c r="I3893">
        <v>185.98</v>
      </c>
      <c r="J3893">
        <v>52.64</v>
      </c>
      <c r="K3893">
        <v>52.64</v>
      </c>
      <c r="L3893">
        <v>0</v>
      </c>
      <c r="M3893" s="1" t="s">
        <v>21</v>
      </c>
      <c r="N3893" s="1" t="s">
        <v>22</v>
      </c>
      <c r="O3893" s="2">
        <v>46121</v>
      </c>
      <c r="P3893" s="2">
        <v>46121</v>
      </c>
      <c r="Q3893">
        <f>_xlfn.XLOOKUP(E3893,CPT!$A$2:$A$13,CPT!$D$2:$D$13)</f>
        <v>62</v>
      </c>
      <c r="R3893" s="1">
        <f>_xlfn.XLOOKUP(C3893,Contract!$A$2:$A$9,Contract!$B$2:$B$9)</f>
        <v>0.28000000000000003</v>
      </c>
      <c r="S3893" s="1">
        <f t="shared" si="240"/>
        <v>52.08</v>
      </c>
      <c r="T3893" s="1">
        <f t="shared" si="241"/>
        <v>-0.56000000000000227</v>
      </c>
      <c r="U3893" s="1" t="str">
        <f t="shared" si="242"/>
        <v>OK</v>
      </c>
      <c r="V3893" s="1" t="str">
        <f>_xlfn.XLOOKUP(C3893,Payers!$A$2:$A$9,Payers!$B$2:$B$9)</f>
        <v>Coastal Medicaid MCO</v>
      </c>
      <c r="W3893" s="1" t="str">
        <f t="shared" si="243"/>
        <v>2026-03</v>
      </c>
    </row>
    <row r="3894" spans="1:23">
      <c r="A3894" s="1" t="s">
        <v>6277</v>
      </c>
      <c r="B3894" s="1" t="s">
        <v>780</v>
      </c>
      <c r="C3894" s="1" t="s">
        <v>18</v>
      </c>
      <c r="D3894" s="1" t="s">
        <v>19</v>
      </c>
      <c r="E3894" s="1" t="s">
        <v>88</v>
      </c>
      <c r="F3894">
        <v>1</v>
      </c>
      <c r="G3894" s="2">
        <v>46211</v>
      </c>
      <c r="H3894" s="2">
        <v>46222</v>
      </c>
      <c r="I3894">
        <v>259.06</v>
      </c>
      <c r="J3894">
        <v>100</v>
      </c>
      <c r="K3894">
        <v>90</v>
      </c>
      <c r="L3894">
        <v>10</v>
      </c>
      <c r="M3894" s="1" t="s">
        <v>21</v>
      </c>
      <c r="N3894" s="1" t="s">
        <v>22</v>
      </c>
      <c r="O3894" s="2">
        <v>46288</v>
      </c>
      <c r="P3894" s="2">
        <v>46288</v>
      </c>
      <c r="Q3894">
        <f>_xlfn.XLOOKUP(E3894,CPT!$A$2:$A$13,CPT!$D$2:$D$13)</f>
        <v>260</v>
      </c>
      <c r="R3894" s="1">
        <f>_xlfn.XLOOKUP(C3894,Contract!$A$2:$A$9,Contract!$B$2:$B$9)</f>
        <v>0.38</v>
      </c>
      <c r="S3894" s="1">
        <f t="shared" si="240"/>
        <v>98.8</v>
      </c>
      <c r="T3894" s="1">
        <f t="shared" si="241"/>
        <v>-1.2000000000000028</v>
      </c>
      <c r="U3894" s="1" t="str">
        <f t="shared" si="242"/>
        <v>OK</v>
      </c>
      <c r="V3894" s="1" t="str">
        <f>_xlfn.XLOOKUP(C3894,Payers!$A$2:$A$9,Payers!$B$2:$B$9)</f>
        <v>Sunshine Medicare Advantage</v>
      </c>
      <c r="W3894" s="1" t="str">
        <f t="shared" si="243"/>
        <v>2026-07</v>
      </c>
    </row>
    <row r="3895" spans="1:23">
      <c r="A3895" s="1" t="s">
        <v>6278</v>
      </c>
      <c r="B3895" s="1" t="s">
        <v>6279</v>
      </c>
      <c r="C3895" s="1" t="s">
        <v>36</v>
      </c>
      <c r="D3895" s="1" t="s">
        <v>26</v>
      </c>
      <c r="E3895" s="1" t="s">
        <v>44</v>
      </c>
      <c r="F3895">
        <v>1</v>
      </c>
      <c r="G3895" s="2">
        <v>46055</v>
      </c>
      <c r="H3895" s="2">
        <v>46058</v>
      </c>
      <c r="I3895">
        <v>4829.95</v>
      </c>
      <c r="M3895" s="1" t="s">
        <v>32</v>
      </c>
      <c r="N3895" s="1" t="s">
        <v>168</v>
      </c>
      <c r="O3895" s="2">
        <v>46083</v>
      </c>
      <c r="P3895" s="2"/>
      <c r="Q3895">
        <f>_xlfn.XLOOKUP(E3895,CPT!$A$2:$A$13,CPT!$D$2:$D$13)</f>
        <v>4800</v>
      </c>
      <c r="R3895" s="1">
        <f>_xlfn.XLOOKUP(C3895,Contract!$A$2:$A$9,Contract!$B$2:$B$9)</f>
        <v>0.27</v>
      </c>
      <c r="S3895" s="1">
        <f t="shared" si="240"/>
        <v>1296</v>
      </c>
      <c r="T3895" s="1" t="str">
        <f t="shared" si="241"/>
        <v/>
      </c>
      <c r="U3895" s="1" t="str">
        <f t="shared" si="242"/>
        <v/>
      </c>
      <c r="V3895" s="1" t="str">
        <f>_xlfn.XLOOKUP(C3895,Payers!$A$2:$A$9,Payers!$B$2:$B$9)</f>
        <v>Florida Medicaid</v>
      </c>
      <c r="W3895" s="1" t="str">
        <f t="shared" si="243"/>
        <v>2026-02</v>
      </c>
    </row>
    <row r="3896" spans="1:23">
      <c r="A3896" s="1" t="s">
        <v>6280</v>
      </c>
      <c r="B3896" s="1" t="s">
        <v>1755</v>
      </c>
      <c r="C3896" s="1" t="s">
        <v>52</v>
      </c>
      <c r="D3896" s="1" t="s">
        <v>30</v>
      </c>
      <c r="E3896" s="1" t="s">
        <v>20</v>
      </c>
      <c r="F3896">
        <v>1</v>
      </c>
      <c r="G3896" s="2">
        <v>46137</v>
      </c>
      <c r="H3896" s="2">
        <v>46142</v>
      </c>
      <c r="I3896">
        <v>147.22999999999999</v>
      </c>
      <c r="J3896">
        <v>75.06</v>
      </c>
      <c r="K3896">
        <v>67.55</v>
      </c>
      <c r="L3896">
        <v>7.51</v>
      </c>
      <c r="M3896" s="1" t="s">
        <v>21</v>
      </c>
      <c r="N3896" s="1" t="s">
        <v>22</v>
      </c>
      <c r="O3896" s="2">
        <v>46179</v>
      </c>
      <c r="P3896" s="2">
        <v>46179</v>
      </c>
      <c r="Q3896">
        <f>_xlfn.XLOOKUP(E3896,CPT!$A$2:$A$13,CPT!$D$2:$D$13)</f>
        <v>145</v>
      </c>
      <c r="R3896" s="1">
        <f>_xlfn.XLOOKUP(C3896,Contract!$A$2:$A$9,Contract!$B$2:$B$9)</f>
        <v>0.47</v>
      </c>
      <c r="S3896" s="1">
        <f t="shared" si="240"/>
        <v>68.150000000000006</v>
      </c>
      <c r="T3896" s="1">
        <f t="shared" si="241"/>
        <v>-6.9099999999999966</v>
      </c>
      <c r="U3896" s="1" t="str">
        <f t="shared" si="242"/>
        <v>OK</v>
      </c>
      <c r="V3896" s="1" t="str">
        <f>_xlfn.XLOOKUP(C3896,Payers!$A$2:$A$9,Payers!$B$2:$B$9)</f>
        <v>Keystone Commercial PPO</v>
      </c>
      <c r="W3896" s="1" t="str">
        <f t="shared" si="243"/>
        <v>2026-04</v>
      </c>
    </row>
    <row r="3897" spans="1:23">
      <c r="A3897" s="1" t="s">
        <v>6281</v>
      </c>
      <c r="B3897" s="1" t="s">
        <v>6282</v>
      </c>
      <c r="C3897" s="1" t="s">
        <v>52</v>
      </c>
      <c r="D3897" s="1" t="s">
        <v>37</v>
      </c>
      <c r="E3897" s="1" t="s">
        <v>57</v>
      </c>
      <c r="F3897">
        <v>1</v>
      </c>
      <c r="G3897" s="2">
        <v>46038</v>
      </c>
      <c r="H3897" s="2">
        <v>46041</v>
      </c>
      <c r="I3897">
        <v>215.19</v>
      </c>
      <c r="J3897">
        <v>111.4</v>
      </c>
      <c r="K3897">
        <v>89.12</v>
      </c>
      <c r="L3897">
        <v>22.28</v>
      </c>
      <c r="M3897" s="1" t="s">
        <v>21</v>
      </c>
      <c r="N3897" s="1" t="s">
        <v>22</v>
      </c>
      <c r="O3897" s="2">
        <v>46097</v>
      </c>
      <c r="P3897" s="2">
        <v>46097</v>
      </c>
      <c r="Q3897">
        <f>_xlfn.XLOOKUP(E3897,CPT!$A$2:$A$13,CPT!$D$2:$D$13)</f>
        <v>210</v>
      </c>
      <c r="R3897" s="1">
        <f>_xlfn.XLOOKUP(C3897,Contract!$A$2:$A$9,Contract!$B$2:$B$9)</f>
        <v>0.47</v>
      </c>
      <c r="S3897" s="1">
        <f t="shared" si="240"/>
        <v>98.7</v>
      </c>
      <c r="T3897" s="1">
        <f t="shared" si="241"/>
        <v>-12.700000000000003</v>
      </c>
      <c r="U3897" s="1" t="str">
        <f t="shared" si="242"/>
        <v>OK</v>
      </c>
      <c r="V3897" s="1" t="str">
        <f>_xlfn.XLOOKUP(C3897,Payers!$A$2:$A$9,Payers!$B$2:$B$9)</f>
        <v>Keystone Commercial PPO</v>
      </c>
      <c r="W3897" s="1" t="str">
        <f t="shared" si="243"/>
        <v>2026-01</v>
      </c>
    </row>
    <row r="3898" spans="1:23">
      <c r="A3898" s="1" t="s">
        <v>6283</v>
      </c>
      <c r="B3898" s="1" t="s">
        <v>4060</v>
      </c>
      <c r="C3898" s="1" t="s">
        <v>60</v>
      </c>
      <c r="D3898" s="1" t="s">
        <v>19</v>
      </c>
      <c r="E3898" s="1" t="s">
        <v>88</v>
      </c>
      <c r="F3898">
        <v>1</v>
      </c>
      <c r="G3898" s="2">
        <v>46227</v>
      </c>
      <c r="H3898" s="2">
        <v>46228</v>
      </c>
      <c r="I3898">
        <v>260.81</v>
      </c>
      <c r="J3898">
        <v>116.84</v>
      </c>
      <c r="K3898">
        <v>116.84</v>
      </c>
      <c r="L3898">
        <v>0</v>
      </c>
      <c r="M3898" s="1" t="s">
        <v>21</v>
      </c>
      <c r="N3898" s="1" t="s">
        <v>22</v>
      </c>
      <c r="O3898" s="2">
        <v>46265</v>
      </c>
      <c r="P3898" s="2">
        <v>46265</v>
      </c>
      <c r="Q3898">
        <f>_xlfn.XLOOKUP(E3898,CPT!$A$2:$A$13,CPT!$D$2:$D$13)</f>
        <v>260</v>
      </c>
      <c r="R3898" s="1">
        <f>_xlfn.XLOOKUP(C3898,Contract!$A$2:$A$9,Contract!$B$2:$B$9)</f>
        <v>0.45</v>
      </c>
      <c r="S3898" s="1">
        <f t="shared" si="240"/>
        <v>117</v>
      </c>
      <c r="T3898" s="1">
        <f t="shared" si="241"/>
        <v>0.15999999999999659</v>
      </c>
      <c r="U3898" s="1" t="str">
        <f t="shared" si="242"/>
        <v>OK</v>
      </c>
      <c r="V3898" s="1" t="str">
        <f>_xlfn.XLOOKUP(C3898,Payers!$A$2:$A$9,Payers!$B$2:$B$9)</f>
        <v>Blue Horizon Commercial</v>
      </c>
      <c r="W3898" s="1" t="str">
        <f t="shared" si="243"/>
        <v>2026-07</v>
      </c>
    </row>
    <row r="3899" spans="1:23">
      <c r="A3899" s="1" t="s">
        <v>6284</v>
      </c>
      <c r="B3899" s="1" t="s">
        <v>2545</v>
      </c>
      <c r="C3899" s="1" t="s">
        <v>47</v>
      </c>
      <c r="D3899" s="1" t="s">
        <v>26</v>
      </c>
      <c r="E3899" s="1" t="s">
        <v>44</v>
      </c>
      <c r="F3899">
        <v>1</v>
      </c>
      <c r="G3899" s="2">
        <v>45955</v>
      </c>
      <c r="H3899" s="2">
        <v>45971</v>
      </c>
      <c r="I3899">
        <v>4911.3599999999997</v>
      </c>
      <c r="M3899" s="1" t="s">
        <v>32</v>
      </c>
      <c r="N3899" s="1" t="s">
        <v>315</v>
      </c>
      <c r="O3899" s="2">
        <v>46014</v>
      </c>
      <c r="P3899" s="2"/>
      <c r="Q3899">
        <f>_xlfn.XLOOKUP(E3899,CPT!$A$2:$A$13,CPT!$D$2:$D$13)</f>
        <v>4800</v>
      </c>
      <c r="R3899" s="1">
        <f>_xlfn.XLOOKUP(C3899,Contract!$A$2:$A$9,Contract!$B$2:$B$9)</f>
        <v>0.28000000000000003</v>
      </c>
      <c r="S3899" s="1">
        <f t="shared" si="240"/>
        <v>1344</v>
      </c>
      <c r="T3899" s="1" t="str">
        <f t="shared" si="241"/>
        <v/>
      </c>
      <c r="U3899" s="1" t="str">
        <f t="shared" si="242"/>
        <v/>
      </c>
      <c r="V3899" s="1" t="str">
        <f>_xlfn.XLOOKUP(C3899,Payers!$A$2:$A$9,Payers!$B$2:$B$9)</f>
        <v>Coastal Medicaid MCO</v>
      </c>
      <c r="W3899" s="1" t="str">
        <f t="shared" si="243"/>
        <v>2025-10</v>
      </c>
    </row>
    <row r="3900" spans="1:23">
      <c r="A3900" s="1" t="s">
        <v>6285</v>
      </c>
      <c r="B3900" s="1" t="s">
        <v>6286</v>
      </c>
      <c r="C3900" s="1" t="s">
        <v>60</v>
      </c>
      <c r="D3900" s="1" t="s">
        <v>26</v>
      </c>
      <c r="E3900" s="1" t="s">
        <v>113</v>
      </c>
      <c r="F3900">
        <v>1</v>
      </c>
      <c r="G3900" s="2">
        <v>46016</v>
      </c>
      <c r="H3900" s="2">
        <v>46018</v>
      </c>
      <c r="I3900">
        <v>1021.11</v>
      </c>
      <c r="J3900">
        <v>505.92</v>
      </c>
      <c r="K3900">
        <v>404.74</v>
      </c>
      <c r="L3900">
        <v>101.18</v>
      </c>
      <c r="M3900" s="1" t="s">
        <v>21</v>
      </c>
      <c r="N3900" s="1" t="s">
        <v>22</v>
      </c>
      <c r="O3900" s="2">
        <v>46046</v>
      </c>
      <c r="P3900" s="2">
        <v>46046</v>
      </c>
      <c r="Q3900">
        <f>_xlfn.XLOOKUP(E3900,CPT!$A$2:$A$13,CPT!$D$2:$D$13)</f>
        <v>1050</v>
      </c>
      <c r="R3900" s="1">
        <f>_xlfn.XLOOKUP(C3900,Contract!$A$2:$A$9,Contract!$B$2:$B$9)</f>
        <v>0.45</v>
      </c>
      <c r="S3900" s="1">
        <f t="shared" si="240"/>
        <v>472.5</v>
      </c>
      <c r="T3900" s="1">
        <f t="shared" si="241"/>
        <v>-33.420000000000016</v>
      </c>
      <c r="U3900" s="1" t="str">
        <f t="shared" si="242"/>
        <v>OK</v>
      </c>
      <c r="V3900" s="1" t="str">
        <f>_xlfn.XLOOKUP(C3900,Payers!$A$2:$A$9,Payers!$B$2:$B$9)</f>
        <v>Blue Horizon Commercial</v>
      </c>
      <c r="W3900" s="1" t="str">
        <f t="shared" si="243"/>
        <v>2025-12</v>
      </c>
    </row>
    <row r="3901" spans="1:23">
      <c r="A3901" s="1" t="s">
        <v>6287</v>
      </c>
      <c r="B3901" s="1" t="s">
        <v>6288</v>
      </c>
      <c r="C3901" s="1" t="s">
        <v>60</v>
      </c>
      <c r="D3901" s="1" t="s">
        <v>19</v>
      </c>
      <c r="E3901" s="1" t="s">
        <v>41</v>
      </c>
      <c r="F3901">
        <v>1</v>
      </c>
      <c r="G3901" s="2">
        <v>46208</v>
      </c>
      <c r="H3901" s="2">
        <v>46214</v>
      </c>
      <c r="I3901">
        <v>38.35</v>
      </c>
      <c r="M3901" s="1" t="s">
        <v>32</v>
      </c>
      <c r="N3901" s="1" t="s">
        <v>33</v>
      </c>
      <c r="O3901" s="2">
        <v>46240</v>
      </c>
      <c r="P3901" s="2"/>
      <c r="Q3901">
        <f>_xlfn.XLOOKUP(E3901,CPT!$A$2:$A$13,CPT!$D$2:$D$13)</f>
        <v>38</v>
      </c>
      <c r="R3901" s="1">
        <f>_xlfn.XLOOKUP(C3901,Contract!$A$2:$A$9,Contract!$B$2:$B$9)</f>
        <v>0.45</v>
      </c>
      <c r="S3901" s="1">
        <f t="shared" si="240"/>
        <v>17.100000000000001</v>
      </c>
      <c r="T3901" s="1" t="str">
        <f t="shared" si="241"/>
        <v/>
      </c>
      <c r="U3901" s="1" t="str">
        <f t="shared" si="242"/>
        <v/>
      </c>
      <c r="V3901" s="1" t="str">
        <f>_xlfn.XLOOKUP(C3901,Payers!$A$2:$A$9,Payers!$B$2:$B$9)</f>
        <v>Blue Horizon Commercial</v>
      </c>
      <c r="W3901" s="1" t="str">
        <f t="shared" si="243"/>
        <v>2026-07</v>
      </c>
    </row>
    <row r="3902" spans="1:23">
      <c r="A3902" s="1" t="s">
        <v>6289</v>
      </c>
      <c r="B3902" s="1" t="s">
        <v>5619</v>
      </c>
      <c r="C3902" s="1" t="s">
        <v>25</v>
      </c>
      <c r="D3902" s="1" t="s">
        <v>19</v>
      </c>
      <c r="E3902" s="1" t="s">
        <v>57</v>
      </c>
      <c r="F3902">
        <v>1</v>
      </c>
      <c r="G3902" s="2">
        <v>46263</v>
      </c>
      <c r="H3902" s="2">
        <v>46266</v>
      </c>
      <c r="I3902">
        <v>204.61</v>
      </c>
      <c r="J3902">
        <v>67.989999999999995</v>
      </c>
      <c r="K3902">
        <v>54.39</v>
      </c>
      <c r="L3902">
        <v>13.6</v>
      </c>
      <c r="M3902" s="1" t="s">
        <v>21</v>
      </c>
      <c r="N3902" s="1" t="s">
        <v>22</v>
      </c>
      <c r="O3902" s="2">
        <v>46288</v>
      </c>
      <c r="P3902" s="2">
        <v>46288</v>
      </c>
      <c r="Q3902">
        <f>_xlfn.XLOOKUP(E3902,CPT!$A$2:$A$13,CPT!$D$2:$D$13)</f>
        <v>210</v>
      </c>
      <c r="R3902" s="1">
        <f>_xlfn.XLOOKUP(C3902,Contract!$A$2:$A$9,Contract!$B$2:$B$9)</f>
        <v>0.36</v>
      </c>
      <c r="S3902" s="1">
        <f t="shared" si="240"/>
        <v>75.599999999999994</v>
      </c>
      <c r="T3902" s="1">
        <f t="shared" si="241"/>
        <v>7.6099999999999994</v>
      </c>
      <c r="U3902" s="1" t="str">
        <f t="shared" si="242"/>
        <v>Underpaid</v>
      </c>
      <c r="V3902" s="1" t="str">
        <f>_xlfn.XLOOKUP(C3902,Payers!$A$2:$A$9,Payers!$B$2:$B$9)</f>
        <v>Medicare Part B</v>
      </c>
      <c r="W3902" s="1" t="str">
        <f t="shared" si="243"/>
        <v>2026-08</v>
      </c>
    </row>
    <row r="3903" spans="1:23">
      <c r="A3903" s="1" t="s">
        <v>6290</v>
      </c>
      <c r="B3903" s="1" t="s">
        <v>2534</v>
      </c>
      <c r="C3903" s="1" t="s">
        <v>52</v>
      </c>
      <c r="D3903" s="1" t="s">
        <v>37</v>
      </c>
      <c r="E3903" s="1" t="s">
        <v>48</v>
      </c>
      <c r="F3903">
        <v>1</v>
      </c>
      <c r="G3903" s="2">
        <v>45945</v>
      </c>
      <c r="H3903" s="2">
        <v>45949</v>
      </c>
      <c r="I3903">
        <v>419.72</v>
      </c>
      <c r="J3903">
        <v>194.8</v>
      </c>
      <c r="K3903">
        <v>155.84</v>
      </c>
      <c r="L3903">
        <v>38.96</v>
      </c>
      <c r="M3903" s="1" t="s">
        <v>21</v>
      </c>
      <c r="N3903" s="1" t="s">
        <v>22</v>
      </c>
      <c r="O3903" s="2">
        <v>46004</v>
      </c>
      <c r="P3903" s="2">
        <v>46004</v>
      </c>
      <c r="Q3903">
        <f>_xlfn.XLOOKUP(E3903,CPT!$A$2:$A$13,CPT!$D$2:$D$13)</f>
        <v>420</v>
      </c>
      <c r="R3903" s="1">
        <f>_xlfn.XLOOKUP(C3903,Contract!$A$2:$A$9,Contract!$B$2:$B$9)</f>
        <v>0.47</v>
      </c>
      <c r="S3903" s="1">
        <f t="shared" si="240"/>
        <v>197.4</v>
      </c>
      <c r="T3903" s="1">
        <f t="shared" si="241"/>
        <v>2.5999999999999943</v>
      </c>
      <c r="U3903" s="1" t="str">
        <f t="shared" si="242"/>
        <v>OK</v>
      </c>
      <c r="V3903" s="1" t="str">
        <f>_xlfn.XLOOKUP(C3903,Payers!$A$2:$A$9,Payers!$B$2:$B$9)</f>
        <v>Keystone Commercial PPO</v>
      </c>
      <c r="W3903" s="1" t="str">
        <f t="shared" si="243"/>
        <v>2025-10</v>
      </c>
    </row>
    <row r="3904" spans="1:23">
      <c r="A3904" s="1" t="s">
        <v>6291</v>
      </c>
      <c r="B3904" s="1" t="s">
        <v>2251</v>
      </c>
      <c r="C3904" s="1" t="s">
        <v>18</v>
      </c>
      <c r="D3904" s="1" t="s">
        <v>26</v>
      </c>
      <c r="E3904" s="1" t="s">
        <v>41</v>
      </c>
      <c r="F3904">
        <v>1</v>
      </c>
      <c r="G3904" s="2">
        <v>46209</v>
      </c>
      <c r="H3904" s="2">
        <v>46222</v>
      </c>
      <c r="I3904">
        <v>37.43</v>
      </c>
      <c r="J3904">
        <v>15.48</v>
      </c>
      <c r="K3904">
        <v>15.48</v>
      </c>
      <c r="L3904">
        <v>0</v>
      </c>
      <c r="M3904" s="1" t="s">
        <v>21</v>
      </c>
      <c r="N3904" s="1" t="s">
        <v>22</v>
      </c>
      <c r="O3904" s="2">
        <v>46281</v>
      </c>
      <c r="P3904" s="2">
        <v>46281</v>
      </c>
      <c r="Q3904">
        <f>_xlfn.XLOOKUP(E3904,CPT!$A$2:$A$13,CPT!$D$2:$D$13)</f>
        <v>38</v>
      </c>
      <c r="R3904" s="1">
        <f>_xlfn.XLOOKUP(C3904,Contract!$A$2:$A$9,Contract!$B$2:$B$9)</f>
        <v>0.38</v>
      </c>
      <c r="S3904" s="1">
        <f t="shared" si="240"/>
        <v>14.44</v>
      </c>
      <c r="T3904" s="1">
        <f t="shared" si="241"/>
        <v>-1.0400000000000009</v>
      </c>
      <c r="U3904" s="1" t="str">
        <f t="shared" si="242"/>
        <v>OK</v>
      </c>
      <c r="V3904" s="1" t="str">
        <f>_xlfn.XLOOKUP(C3904,Payers!$A$2:$A$9,Payers!$B$2:$B$9)</f>
        <v>Sunshine Medicare Advantage</v>
      </c>
      <c r="W3904" s="1" t="str">
        <f t="shared" si="243"/>
        <v>2026-07</v>
      </c>
    </row>
    <row r="3905" spans="1:23">
      <c r="A3905" s="1" t="s">
        <v>6292</v>
      </c>
      <c r="B3905" s="1" t="s">
        <v>4389</v>
      </c>
      <c r="C3905" s="1" t="s">
        <v>60</v>
      </c>
      <c r="D3905" s="1" t="s">
        <v>19</v>
      </c>
      <c r="E3905" s="1" t="s">
        <v>57</v>
      </c>
      <c r="F3905">
        <v>1</v>
      </c>
      <c r="G3905" s="2">
        <v>46100</v>
      </c>
      <c r="H3905" s="2">
        <v>46104</v>
      </c>
      <c r="I3905">
        <v>205.7</v>
      </c>
      <c r="M3905" s="1" t="s">
        <v>32</v>
      </c>
      <c r="N3905" s="1" t="s">
        <v>281</v>
      </c>
      <c r="O3905" s="2">
        <v>46143</v>
      </c>
      <c r="P3905" s="2"/>
      <c r="Q3905">
        <f>_xlfn.XLOOKUP(E3905,CPT!$A$2:$A$13,CPT!$D$2:$D$13)</f>
        <v>210</v>
      </c>
      <c r="R3905" s="1">
        <f>_xlfn.XLOOKUP(C3905,Contract!$A$2:$A$9,Contract!$B$2:$B$9)</f>
        <v>0.45</v>
      </c>
      <c r="S3905" s="1">
        <f t="shared" si="240"/>
        <v>94.5</v>
      </c>
      <c r="T3905" s="1" t="str">
        <f t="shared" si="241"/>
        <v/>
      </c>
      <c r="U3905" s="1" t="str">
        <f t="shared" si="242"/>
        <v/>
      </c>
      <c r="V3905" s="1" t="str">
        <f>_xlfn.XLOOKUP(C3905,Payers!$A$2:$A$9,Payers!$B$2:$B$9)</f>
        <v>Blue Horizon Commercial</v>
      </c>
      <c r="W3905" s="1" t="str">
        <f t="shared" si="243"/>
        <v>2026-03</v>
      </c>
    </row>
    <row r="3906" spans="1:23">
      <c r="A3906" s="1" t="s">
        <v>6293</v>
      </c>
      <c r="B3906" s="1" t="s">
        <v>3633</v>
      </c>
      <c r="C3906" s="1" t="s">
        <v>18</v>
      </c>
      <c r="D3906" s="1" t="s">
        <v>19</v>
      </c>
      <c r="E3906" s="1" t="s">
        <v>41</v>
      </c>
      <c r="F3906">
        <v>1</v>
      </c>
      <c r="G3906" s="2">
        <v>46068</v>
      </c>
      <c r="H3906" s="2">
        <v>46069</v>
      </c>
      <c r="I3906">
        <v>37.340000000000003</v>
      </c>
      <c r="J3906">
        <v>15.63</v>
      </c>
      <c r="K3906">
        <v>15.63</v>
      </c>
      <c r="L3906">
        <v>0</v>
      </c>
      <c r="M3906" s="1" t="s">
        <v>21</v>
      </c>
      <c r="N3906" s="1" t="s">
        <v>22</v>
      </c>
      <c r="O3906" s="2">
        <v>46139</v>
      </c>
      <c r="P3906" s="2">
        <v>46139</v>
      </c>
      <c r="Q3906">
        <f>_xlfn.XLOOKUP(E3906,CPT!$A$2:$A$13,CPT!$D$2:$D$13)</f>
        <v>38</v>
      </c>
      <c r="R3906" s="1">
        <f>_xlfn.XLOOKUP(C3906,Contract!$A$2:$A$9,Contract!$B$2:$B$9)</f>
        <v>0.38</v>
      </c>
      <c r="S3906" s="1">
        <f t="shared" ref="S3906:S3969" si="244">ROUND(Q3906*F3906*R3906,2)</f>
        <v>14.44</v>
      </c>
      <c r="T3906" s="1">
        <f t="shared" ref="T3906:T3969" si="245">IF(M3906="Paid",S3906-J3906,"")</f>
        <v>-1.1900000000000013</v>
      </c>
      <c r="U3906" s="1" t="str">
        <f t="shared" ref="U3906:U3969" si="246">IF(M3906&lt;&gt;"Paid","",IF(T3906&gt;S3906*0.05,"Underpaid","OK"))</f>
        <v>OK</v>
      </c>
      <c r="V3906" s="1" t="str">
        <f>_xlfn.XLOOKUP(C3906,Payers!$A$2:$A$9,Payers!$B$2:$B$9)</f>
        <v>Sunshine Medicare Advantage</v>
      </c>
      <c r="W3906" s="1" t="str">
        <f t="shared" ref="W3906:W3969" si="247">TEXT(G3906,"yyyy-mm")</f>
        <v>2026-02</v>
      </c>
    </row>
    <row r="3907" spans="1:23">
      <c r="A3907" s="1" t="s">
        <v>6294</v>
      </c>
      <c r="B3907" s="1" t="s">
        <v>6295</v>
      </c>
      <c r="C3907" s="1" t="s">
        <v>60</v>
      </c>
      <c r="D3907" s="1" t="s">
        <v>19</v>
      </c>
      <c r="E3907" s="1" t="s">
        <v>57</v>
      </c>
      <c r="F3907">
        <v>1</v>
      </c>
      <c r="G3907" s="2">
        <v>46084</v>
      </c>
      <c r="H3907" s="2">
        <v>46090</v>
      </c>
      <c r="I3907">
        <v>208.51</v>
      </c>
      <c r="J3907">
        <v>93.08</v>
      </c>
      <c r="K3907">
        <v>93.08</v>
      </c>
      <c r="L3907">
        <v>0</v>
      </c>
      <c r="M3907" s="1" t="s">
        <v>21</v>
      </c>
      <c r="N3907" s="1" t="s">
        <v>22</v>
      </c>
      <c r="O3907" s="2">
        <v>46131</v>
      </c>
      <c r="P3907" s="2">
        <v>46131</v>
      </c>
      <c r="Q3907">
        <f>_xlfn.XLOOKUP(E3907,CPT!$A$2:$A$13,CPT!$D$2:$D$13)</f>
        <v>210</v>
      </c>
      <c r="R3907" s="1">
        <f>_xlfn.XLOOKUP(C3907,Contract!$A$2:$A$9,Contract!$B$2:$B$9)</f>
        <v>0.45</v>
      </c>
      <c r="S3907" s="1">
        <f t="shared" si="244"/>
        <v>94.5</v>
      </c>
      <c r="T3907" s="1">
        <f t="shared" si="245"/>
        <v>1.4200000000000017</v>
      </c>
      <c r="U3907" s="1" t="str">
        <f t="shared" si="246"/>
        <v>OK</v>
      </c>
      <c r="V3907" s="1" t="str">
        <f>_xlfn.XLOOKUP(C3907,Payers!$A$2:$A$9,Payers!$B$2:$B$9)</f>
        <v>Blue Horizon Commercial</v>
      </c>
      <c r="W3907" s="1" t="str">
        <f t="shared" si="247"/>
        <v>2026-03</v>
      </c>
    </row>
    <row r="3908" spans="1:23">
      <c r="A3908" s="1" t="s">
        <v>6296</v>
      </c>
      <c r="B3908" s="1" t="s">
        <v>2472</v>
      </c>
      <c r="C3908" s="1" t="s">
        <v>60</v>
      </c>
      <c r="D3908" s="1" t="s">
        <v>26</v>
      </c>
      <c r="E3908" s="1" t="s">
        <v>113</v>
      </c>
      <c r="F3908">
        <v>1</v>
      </c>
      <c r="G3908" s="2">
        <v>46163</v>
      </c>
      <c r="H3908" s="2">
        <v>46165</v>
      </c>
      <c r="I3908">
        <v>1078.94</v>
      </c>
      <c r="J3908">
        <v>489.81</v>
      </c>
      <c r="K3908">
        <v>440.83</v>
      </c>
      <c r="L3908">
        <v>48.98</v>
      </c>
      <c r="M3908" s="1" t="s">
        <v>21</v>
      </c>
      <c r="N3908" s="1" t="s">
        <v>22</v>
      </c>
      <c r="O3908" s="2">
        <v>46196</v>
      </c>
      <c r="P3908" s="2">
        <v>46196</v>
      </c>
      <c r="Q3908">
        <f>_xlfn.XLOOKUP(E3908,CPT!$A$2:$A$13,CPT!$D$2:$D$13)</f>
        <v>1050</v>
      </c>
      <c r="R3908" s="1">
        <f>_xlfn.XLOOKUP(C3908,Contract!$A$2:$A$9,Contract!$B$2:$B$9)</f>
        <v>0.45</v>
      </c>
      <c r="S3908" s="1">
        <f t="shared" si="244"/>
        <v>472.5</v>
      </c>
      <c r="T3908" s="1">
        <f t="shared" si="245"/>
        <v>-17.310000000000002</v>
      </c>
      <c r="U3908" s="1" t="str">
        <f t="shared" si="246"/>
        <v>OK</v>
      </c>
      <c r="V3908" s="1" t="str">
        <f>_xlfn.XLOOKUP(C3908,Payers!$A$2:$A$9,Payers!$B$2:$B$9)</f>
        <v>Blue Horizon Commercial</v>
      </c>
      <c r="W3908" s="1" t="str">
        <f t="shared" si="247"/>
        <v>2026-05</v>
      </c>
    </row>
    <row r="3909" spans="1:23">
      <c r="A3909" s="1" t="s">
        <v>6297</v>
      </c>
      <c r="B3909" s="1" t="s">
        <v>4534</v>
      </c>
      <c r="C3909" s="1" t="s">
        <v>60</v>
      </c>
      <c r="D3909" s="1" t="s">
        <v>19</v>
      </c>
      <c r="E3909" s="1" t="s">
        <v>20</v>
      </c>
      <c r="F3909">
        <v>1</v>
      </c>
      <c r="G3909" s="2">
        <v>46013</v>
      </c>
      <c r="H3909" s="2">
        <v>46014</v>
      </c>
      <c r="I3909">
        <v>147.66</v>
      </c>
      <c r="J3909">
        <v>65.849999999999994</v>
      </c>
      <c r="K3909">
        <v>65.849999999999994</v>
      </c>
      <c r="L3909">
        <v>0</v>
      </c>
      <c r="M3909" s="1" t="s">
        <v>21</v>
      </c>
      <c r="N3909" s="1" t="s">
        <v>22</v>
      </c>
      <c r="O3909" s="2">
        <v>46038</v>
      </c>
      <c r="P3909" s="2">
        <v>46038</v>
      </c>
      <c r="Q3909">
        <f>_xlfn.XLOOKUP(E3909,CPT!$A$2:$A$13,CPT!$D$2:$D$13)</f>
        <v>145</v>
      </c>
      <c r="R3909" s="1">
        <f>_xlfn.XLOOKUP(C3909,Contract!$A$2:$A$9,Contract!$B$2:$B$9)</f>
        <v>0.45</v>
      </c>
      <c r="S3909" s="1">
        <f t="shared" si="244"/>
        <v>65.25</v>
      </c>
      <c r="T3909" s="1">
        <f t="shared" si="245"/>
        <v>-0.59999999999999432</v>
      </c>
      <c r="U3909" s="1" t="str">
        <f t="shared" si="246"/>
        <v>OK</v>
      </c>
      <c r="V3909" s="1" t="str">
        <f>_xlfn.XLOOKUP(C3909,Payers!$A$2:$A$9,Payers!$B$2:$B$9)</f>
        <v>Blue Horizon Commercial</v>
      </c>
      <c r="W3909" s="1" t="str">
        <f t="shared" si="247"/>
        <v>2025-12</v>
      </c>
    </row>
    <row r="3910" spans="1:23">
      <c r="A3910" s="1" t="s">
        <v>6298</v>
      </c>
      <c r="B3910" s="1" t="s">
        <v>3093</v>
      </c>
      <c r="C3910" s="1" t="s">
        <v>52</v>
      </c>
      <c r="D3910" s="1" t="s">
        <v>26</v>
      </c>
      <c r="E3910" s="1" t="s">
        <v>88</v>
      </c>
      <c r="F3910">
        <v>1</v>
      </c>
      <c r="G3910" s="2">
        <v>46107</v>
      </c>
      <c r="H3910" s="2">
        <v>46109</v>
      </c>
      <c r="I3910">
        <v>264.17</v>
      </c>
      <c r="J3910">
        <v>131.72999999999999</v>
      </c>
      <c r="K3910">
        <v>118.56</v>
      </c>
      <c r="L3910">
        <v>13.17</v>
      </c>
      <c r="M3910" s="1" t="s">
        <v>21</v>
      </c>
      <c r="N3910" s="1" t="s">
        <v>22</v>
      </c>
      <c r="O3910" s="2">
        <v>46152</v>
      </c>
      <c r="P3910" s="2">
        <v>46152</v>
      </c>
      <c r="Q3910">
        <f>_xlfn.XLOOKUP(E3910,CPT!$A$2:$A$13,CPT!$D$2:$D$13)</f>
        <v>260</v>
      </c>
      <c r="R3910" s="1">
        <f>_xlfn.XLOOKUP(C3910,Contract!$A$2:$A$9,Contract!$B$2:$B$9)</f>
        <v>0.47</v>
      </c>
      <c r="S3910" s="1">
        <f t="shared" si="244"/>
        <v>122.2</v>
      </c>
      <c r="T3910" s="1">
        <f t="shared" si="245"/>
        <v>-9.5299999999999869</v>
      </c>
      <c r="U3910" s="1" t="str">
        <f t="shared" si="246"/>
        <v>OK</v>
      </c>
      <c r="V3910" s="1" t="str">
        <f>_xlfn.XLOOKUP(C3910,Payers!$A$2:$A$9,Payers!$B$2:$B$9)</f>
        <v>Keystone Commercial PPO</v>
      </c>
      <c r="W3910" s="1" t="str">
        <f t="shared" si="247"/>
        <v>2026-03</v>
      </c>
    </row>
    <row r="3911" spans="1:23">
      <c r="A3911" s="1" t="s">
        <v>6299</v>
      </c>
      <c r="B3911" s="1" t="s">
        <v>2284</v>
      </c>
      <c r="C3911" s="1" t="s">
        <v>25</v>
      </c>
      <c r="D3911" s="1" t="s">
        <v>37</v>
      </c>
      <c r="E3911" s="1" t="s">
        <v>48</v>
      </c>
      <c r="F3911">
        <v>1</v>
      </c>
      <c r="G3911" s="2">
        <v>46046</v>
      </c>
      <c r="H3911" s="2">
        <v>46048</v>
      </c>
      <c r="I3911">
        <v>427.7</v>
      </c>
      <c r="J3911">
        <v>171.73</v>
      </c>
      <c r="K3911">
        <v>154.56</v>
      </c>
      <c r="L3911">
        <v>17.170000000000002</v>
      </c>
      <c r="M3911" s="1" t="s">
        <v>21</v>
      </c>
      <c r="N3911" s="1" t="s">
        <v>22</v>
      </c>
      <c r="O3911" s="2">
        <v>46059</v>
      </c>
      <c r="P3911" s="2">
        <v>46059</v>
      </c>
      <c r="Q3911">
        <f>_xlfn.XLOOKUP(E3911,CPT!$A$2:$A$13,CPT!$D$2:$D$13)</f>
        <v>420</v>
      </c>
      <c r="R3911" s="1">
        <f>_xlfn.XLOOKUP(C3911,Contract!$A$2:$A$9,Contract!$B$2:$B$9)</f>
        <v>0.36</v>
      </c>
      <c r="S3911" s="1">
        <f t="shared" si="244"/>
        <v>151.19999999999999</v>
      </c>
      <c r="T3911" s="1">
        <f t="shared" si="245"/>
        <v>-20.53</v>
      </c>
      <c r="U3911" s="1" t="str">
        <f t="shared" si="246"/>
        <v>OK</v>
      </c>
      <c r="V3911" s="1" t="str">
        <f>_xlfn.XLOOKUP(C3911,Payers!$A$2:$A$9,Payers!$B$2:$B$9)</f>
        <v>Medicare Part B</v>
      </c>
      <c r="W3911" s="1" t="str">
        <f t="shared" si="247"/>
        <v>2026-01</v>
      </c>
    </row>
    <row r="3912" spans="1:23">
      <c r="A3912" s="1" t="s">
        <v>6300</v>
      </c>
      <c r="B3912" s="1" t="s">
        <v>3991</v>
      </c>
      <c r="C3912" s="1" t="s">
        <v>18</v>
      </c>
      <c r="D3912" s="1" t="s">
        <v>19</v>
      </c>
      <c r="E3912" s="1" t="s">
        <v>88</v>
      </c>
      <c r="F3912">
        <v>1</v>
      </c>
      <c r="G3912" s="2">
        <v>46239</v>
      </c>
      <c r="H3912" s="2">
        <v>46247</v>
      </c>
      <c r="I3912">
        <v>267.44</v>
      </c>
      <c r="M3912" s="1" t="s">
        <v>32</v>
      </c>
      <c r="N3912" s="1" t="s">
        <v>98</v>
      </c>
      <c r="O3912" s="2">
        <v>46277</v>
      </c>
      <c r="P3912" s="2"/>
      <c r="Q3912">
        <f>_xlfn.XLOOKUP(E3912,CPT!$A$2:$A$13,CPT!$D$2:$D$13)</f>
        <v>260</v>
      </c>
      <c r="R3912" s="1">
        <f>_xlfn.XLOOKUP(C3912,Contract!$A$2:$A$9,Contract!$B$2:$B$9)</f>
        <v>0.38</v>
      </c>
      <c r="S3912" s="1">
        <f t="shared" si="244"/>
        <v>98.8</v>
      </c>
      <c r="T3912" s="1" t="str">
        <f t="shared" si="245"/>
        <v/>
      </c>
      <c r="U3912" s="1" t="str">
        <f t="shared" si="246"/>
        <v/>
      </c>
      <c r="V3912" s="1" t="str">
        <f>_xlfn.XLOOKUP(C3912,Payers!$A$2:$A$9,Payers!$B$2:$B$9)</f>
        <v>Sunshine Medicare Advantage</v>
      </c>
      <c r="W3912" s="1" t="str">
        <f t="shared" si="247"/>
        <v>2026-08</v>
      </c>
    </row>
    <row r="3913" spans="1:23">
      <c r="A3913" s="1" t="s">
        <v>6301</v>
      </c>
      <c r="B3913" s="1" t="s">
        <v>6302</v>
      </c>
      <c r="C3913" s="1" t="s">
        <v>76</v>
      </c>
      <c r="D3913" s="1" t="s">
        <v>30</v>
      </c>
      <c r="E3913" s="1" t="s">
        <v>20</v>
      </c>
      <c r="F3913">
        <v>1</v>
      </c>
      <c r="G3913" s="2">
        <v>46136</v>
      </c>
      <c r="H3913" s="2">
        <v>46231</v>
      </c>
      <c r="I3913">
        <v>143.38999999999999</v>
      </c>
      <c r="M3913" s="1" t="s">
        <v>32</v>
      </c>
      <c r="N3913" s="1" t="s">
        <v>137</v>
      </c>
      <c r="O3913" s="2">
        <v>46250</v>
      </c>
      <c r="P3913" s="2"/>
      <c r="Q3913">
        <f>_xlfn.XLOOKUP(E3913,CPT!$A$2:$A$13,CPT!$D$2:$D$13)</f>
        <v>145</v>
      </c>
      <c r="R3913" s="1">
        <f>_xlfn.XLOOKUP(C3913,Contract!$A$2:$A$9,Contract!$B$2:$B$9)</f>
        <v>0.43</v>
      </c>
      <c r="S3913" s="1">
        <f t="shared" si="244"/>
        <v>62.35</v>
      </c>
      <c r="T3913" s="1" t="str">
        <f t="shared" si="245"/>
        <v/>
      </c>
      <c r="U3913" s="1" t="str">
        <f t="shared" si="246"/>
        <v/>
      </c>
      <c r="V3913" s="1" t="str">
        <f>_xlfn.XLOOKUP(C3913,Payers!$A$2:$A$9,Payers!$B$2:$B$9)</f>
        <v>Summit Health Commercial</v>
      </c>
      <c r="W3913" s="1" t="str">
        <f t="shared" si="247"/>
        <v>2026-04</v>
      </c>
    </row>
    <row r="3914" spans="1:23">
      <c r="A3914" s="1" t="s">
        <v>6303</v>
      </c>
      <c r="B3914" s="1" t="s">
        <v>305</v>
      </c>
      <c r="C3914" s="1" t="s">
        <v>60</v>
      </c>
      <c r="D3914" s="1" t="s">
        <v>26</v>
      </c>
      <c r="E3914" s="1" t="s">
        <v>57</v>
      </c>
      <c r="F3914">
        <v>1</v>
      </c>
      <c r="G3914" s="2">
        <v>46244</v>
      </c>
      <c r="H3914" s="2">
        <v>46245</v>
      </c>
      <c r="I3914">
        <v>214</v>
      </c>
      <c r="J3914">
        <v>106.75</v>
      </c>
      <c r="K3914">
        <v>85.4</v>
      </c>
      <c r="L3914">
        <v>21.35</v>
      </c>
      <c r="M3914" s="1" t="s">
        <v>21</v>
      </c>
      <c r="N3914" s="1" t="s">
        <v>22</v>
      </c>
      <c r="O3914" s="2">
        <v>46277</v>
      </c>
      <c r="P3914" s="2">
        <v>46277</v>
      </c>
      <c r="Q3914">
        <f>_xlfn.XLOOKUP(E3914,CPT!$A$2:$A$13,CPT!$D$2:$D$13)</f>
        <v>210</v>
      </c>
      <c r="R3914" s="1">
        <f>_xlfn.XLOOKUP(C3914,Contract!$A$2:$A$9,Contract!$B$2:$B$9)</f>
        <v>0.45</v>
      </c>
      <c r="S3914" s="1">
        <f t="shared" si="244"/>
        <v>94.5</v>
      </c>
      <c r="T3914" s="1">
        <f t="shared" si="245"/>
        <v>-12.25</v>
      </c>
      <c r="U3914" s="1" t="str">
        <f t="shared" si="246"/>
        <v>OK</v>
      </c>
      <c r="V3914" s="1" t="str">
        <f>_xlfn.XLOOKUP(C3914,Payers!$A$2:$A$9,Payers!$B$2:$B$9)</f>
        <v>Blue Horizon Commercial</v>
      </c>
      <c r="W3914" s="1" t="str">
        <f t="shared" si="247"/>
        <v>2026-08</v>
      </c>
    </row>
    <row r="3915" spans="1:23">
      <c r="A3915" s="1" t="s">
        <v>6304</v>
      </c>
      <c r="B3915" s="1" t="s">
        <v>4140</v>
      </c>
      <c r="C3915" s="1" t="s">
        <v>60</v>
      </c>
      <c r="D3915" s="1" t="s">
        <v>26</v>
      </c>
      <c r="E3915" s="1" t="s">
        <v>41</v>
      </c>
      <c r="F3915">
        <v>1</v>
      </c>
      <c r="G3915" s="2">
        <v>46148</v>
      </c>
      <c r="H3915" s="2">
        <v>46149</v>
      </c>
      <c r="I3915">
        <v>37.340000000000003</v>
      </c>
      <c r="M3915" s="1" t="s">
        <v>32</v>
      </c>
      <c r="N3915" s="1" t="s">
        <v>124</v>
      </c>
      <c r="O3915" s="2">
        <v>46177</v>
      </c>
      <c r="P3915" s="2"/>
      <c r="Q3915">
        <f>_xlfn.XLOOKUP(E3915,CPT!$A$2:$A$13,CPT!$D$2:$D$13)</f>
        <v>38</v>
      </c>
      <c r="R3915" s="1">
        <f>_xlfn.XLOOKUP(C3915,Contract!$A$2:$A$9,Contract!$B$2:$B$9)</f>
        <v>0.45</v>
      </c>
      <c r="S3915" s="1">
        <f t="shared" si="244"/>
        <v>17.100000000000001</v>
      </c>
      <c r="T3915" s="1" t="str">
        <f t="shared" si="245"/>
        <v/>
      </c>
      <c r="U3915" s="1" t="str">
        <f t="shared" si="246"/>
        <v/>
      </c>
      <c r="V3915" s="1" t="str">
        <f>_xlfn.XLOOKUP(C3915,Payers!$A$2:$A$9,Payers!$B$2:$B$9)</f>
        <v>Blue Horizon Commercial</v>
      </c>
      <c r="W3915" s="1" t="str">
        <f t="shared" si="247"/>
        <v>2026-05</v>
      </c>
    </row>
    <row r="3916" spans="1:23">
      <c r="A3916" s="1" t="s">
        <v>6305</v>
      </c>
      <c r="B3916" s="1" t="s">
        <v>6306</v>
      </c>
      <c r="C3916" s="1" t="s">
        <v>36</v>
      </c>
      <c r="D3916" s="1" t="s">
        <v>26</v>
      </c>
      <c r="E3916" s="1" t="s">
        <v>57</v>
      </c>
      <c r="F3916">
        <v>1</v>
      </c>
      <c r="G3916" s="2">
        <v>46109</v>
      </c>
      <c r="H3916" s="2">
        <v>46110</v>
      </c>
      <c r="I3916">
        <v>210.09</v>
      </c>
      <c r="J3916">
        <v>50.99</v>
      </c>
      <c r="K3916">
        <v>50.99</v>
      </c>
      <c r="L3916">
        <v>0</v>
      </c>
      <c r="M3916" s="1" t="s">
        <v>21</v>
      </c>
      <c r="N3916" s="1" t="s">
        <v>22</v>
      </c>
      <c r="O3916" s="2">
        <v>46143</v>
      </c>
      <c r="P3916" s="2">
        <v>46143</v>
      </c>
      <c r="Q3916">
        <f>_xlfn.XLOOKUP(E3916,CPT!$A$2:$A$13,CPT!$D$2:$D$13)</f>
        <v>210</v>
      </c>
      <c r="R3916" s="1">
        <f>_xlfn.XLOOKUP(C3916,Contract!$A$2:$A$9,Contract!$B$2:$B$9)</f>
        <v>0.27</v>
      </c>
      <c r="S3916" s="1">
        <f t="shared" si="244"/>
        <v>56.7</v>
      </c>
      <c r="T3916" s="1">
        <f t="shared" si="245"/>
        <v>5.7100000000000009</v>
      </c>
      <c r="U3916" s="1" t="str">
        <f t="shared" si="246"/>
        <v>Underpaid</v>
      </c>
      <c r="V3916" s="1" t="str">
        <f>_xlfn.XLOOKUP(C3916,Payers!$A$2:$A$9,Payers!$B$2:$B$9)</f>
        <v>Florida Medicaid</v>
      </c>
      <c r="W3916" s="1" t="str">
        <f t="shared" si="247"/>
        <v>2026-03</v>
      </c>
    </row>
    <row r="3917" spans="1:23">
      <c r="A3917" s="1" t="s">
        <v>6307</v>
      </c>
      <c r="B3917" s="1" t="s">
        <v>6308</v>
      </c>
      <c r="C3917" s="1" t="s">
        <v>36</v>
      </c>
      <c r="D3917" s="1" t="s">
        <v>19</v>
      </c>
      <c r="E3917" s="1" t="s">
        <v>20</v>
      </c>
      <c r="F3917">
        <v>1</v>
      </c>
      <c r="G3917" s="2">
        <v>46063</v>
      </c>
      <c r="H3917" s="2">
        <v>46078</v>
      </c>
      <c r="I3917">
        <v>145.46</v>
      </c>
      <c r="J3917">
        <v>45.25</v>
      </c>
      <c r="K3917">
        <v>45.25</v>
      </c>
      <c r="L3917">
        <v>0</v>
      </c>
      <c r="M3917" s="1" t="s">
        <v>21</v>
      </c>
      <c r="N3917" s="1" t="s">
        <v>22</v>
      </c>
      <c r="O3917" s="2">
        <v>46123</v>
      </c>
      <c r="P3917" s="2">
        <v>46123</v>
      </c>
      <c r="Q3917">
        <f>_xlfn.XLOOKUP(E3917,CPT!$A$2:$A$13,CPT!$D$2:$D$13)</f>
        <v>145</v>
      </c>
      <c r="R3917" s="1">
        <f>_xlfn.XLOOKUP(C3917,Contract!$A$2:$A$9,Contract!$B$2:$B$9)</f>
        <v>0.27</v>
      </c>
      <c r="S3917" s="1">
        <f t="shared" si="244"/>
        <v>39.15</v>
      </c>
      <c r="T3917" s="1">
        <f t="shared" si="245"/>
        <v>-6.1000000000000014</v>
      </c>
      <c r="U3917" s="1" t="str">
        <f t="shared" si="246"/>
        <v>OK</v>
      </c>
      <c r="V3917" s="1" t="str">
        <f>_xlfn.XLOOKUP(C3917,Payers!$A$2:$A$9,Payers!$B$2:$B$9)</f>
        <v>Florida Medicaid</v>
      </c>
      <c r="W3917" s="1" t="str">
        <f t="shared" si="247"/>
        <v>2026-02</v>
      </c>
    </row>
    <row r="3918" spans="1:23">
      <c r="A3918" s="1" t="s">
        <v>6309</v>
      </c>
      <c r="B3918" s="1" t="s">
        <v>6310</v>
      </c>
      <c r="C3918" s="1" t="s">
        <v>18</v>
      </c>
      <c r="D3918" s="1" t="s">
        <v>30</v>
      </c>
      <c r="E3918" s="1" t="s">
        <v>20</v>
      </c>
      <c r="F3918">
        <v>1</v>
      </c>
      <c r="G3918" s="2">
        <v>46286</v>
      </c>
      <c r="H3918" s="2">
        <v>46287</v>
      </c>
      <c r="I3918">
        <v>141.34</v>
      </c>
      <c r="M3918" s="1" t="s">
        <v>69</v>
      </c>
      <c r="N3918" s="1" t="s">
        <v>22</v>
      </c>
      <c r="O3918" s="2"/>
      <c r="P3918" s="2"/>
      <c r="Q3918">
        <f>_xlfn.XLOOKUP(E3918,CPT!$A$2:$A$13,CPT!$D$2:$D$13)</f>
        <v>145</v>
      </c>
      <c r="R3918" s="1">
        <f>_xlfn.XLOOKUP(C3918,Contract!$A$2:$A$9,Contract!$B$2:$B$9)</f>
        <v>0.38</v>
      </c>
      <c r="S3918" s="1">
        <f t="shared" si="244"/>
        <v>55.1</v>
      </c>
      <c r="T3918" s="1" t="str">
        <f t="shared" si="245"/>
        <v/>
      </c>
      <c r="U3918" s="1" t="str">
        <f t="shared" si="246"/>
        <v/>
      </c>
      <c r="V3918" s="1" t="str">
        <f>_xlfn.XLOOKUP(C3918,Payers!$A$2:$A$9,Payers!$B$2:$B$9)</f>
        <v>Sunshine Medicare Advantage</v>
      </c>
      <c r="W3918" s="1" t="str">
        <f t="shared" si="247"/>
        <v>2026-09</v>
      </c>
    </row>
    <row r="3919" spans="1:23">
      <c r="A3919" s="1" t="s">
        <v>6311</v>
      </c>
      <c r="B3919" s="1" t="s">
        <v>3666</v>
      </c>
      <c r="C3919" s="1" t="s">
        <v>47</v>
      </c>
      <c r="D3919" s="1" t="s">
        <v>30</v>
      </c>
      <c r="E3919" s="1" t="s">
        <v>91</v>
      </c>
      <c r="F3919">
        <v>1</v>
      </c>
      <c r="G3919" s="2">
        <v>45995</v>
      </c>
      <c r="H3919" s="2">
        <v>45998</v>
      </c>
      <c r="I3919">
        <v>56.61</v>
      </c>
      <c r="J3919">
        <v>13.34</v>
      </c>
      <c r="K3919">
        <v>13.34</v>
      </c>
      <c r="L3919">
        <v>0</v>
      </c>
      <c r="M3919" s="1" t="s">
        <v>21</v>
      </c>
      <c r="N3919" s="1" t="s">
        <v>22</v>
      </c>
      <c r="O3919" s="2">
        <v>46078</v>
      </c>
      <c r="P3919" s="2">
        <v>46078</v>
      </c>
      <c r="Q3919">
        <f>_xlfn.XLOOKUP(E3919,CPT!$A$2:$A$13,CPT!$D$2:$D$13)</f>
        <v>58</v>
      </c>
      <c r="R3919" s="1">
        <f>_xlfn.XLOOKUP(C3919,Contract!$A$2:$A$9,Contract!$B$2:$B$9)</f>
        <v>0.28000000000000003</v>
      </c>
      <c r="S3919" s="1">
        <f t="shared" si="244"/>
        <v>16.239999999999998</v>
      </c>
      <c r="T3919" s="1">
        <f t="shared" si="245"/>
        <v>2.8999999999999986</v>
      </c>
      <c r="U3919" s="1" t="str">
        <f t="shared" si="246"/>
        <v>Underpaid</v>
      </c>
      <c r="V3919" s="1" t="str">
        <f>_xlfn.XLOOKUP(C3919,Payers!$A$2:$A$9,Payers!$B$2:$B$9)</f>
        <v>Coastal Medicaid MCO</v>
      </c>
      <c r="W3919" s="1" t="str">
        <f t="shared" si="247"/>
        <v>2025-12</v>
      </c>
    </row>
    <row r="3920" spans="1:23">
      <c r="A3920" s="1" t="s">
        <v>6312</v>
      </c>
      <c r="B3920" s="1" t="s">
        <v>6313</v>
      </c>
      <c r="C3920" s="1" t="s">
        <v>60</v>
      </c>
      <c r="D3920" s="1" t="s">
        <v>37</v>
      </c>
      <c r="E3920" s="1" t="s">
        <v>48</v>
      </c>
      <c r="F3920">
        <v>1</v>
      </c>
      <c r="G3920" s="2">
        <v>46150</v>
      </c>
      <c r="H3920" s="2">
        <v>46160</v>
      </c>
      <c r="I3920">
        <v>431.95</v>
      </c>
      <c r="J3920">
        <v>184.33</v>
      </c>
      <c r="K3920">
        <v>147.46</v>
      </c>
      <c r="L3920">
        <v>36.869999999999997</v>
      </c>
      <c r="M3920" s="1" t="s">
        <v>21</v>
      </c>
      <c r="N3920" s="1" t="s">
        <v>22</v>
      </c>
      <c r="O3920" s="2">
        <v>46196</v>
      </c>
      <c r="P3920" s="2">
        <v>46196</v>
      </c>
      <c r="Q3920">
        <f>_xlfn.XLOOKUP(E3920,CPT!$A$2:$A$13,CPT!$D$2:$D$13)</f>
        <v>420</v>
      </c>
      <c r="R3920" s="1">
        <f>_xlfn.XLOOKUP(C3920,Contract!$A$2:$A$9,Contract!$B$2:$B$9)</f>
        <v>0.45</v>
      </c>
      <c r="S3920" s="1">
        <f t="shared" si="244"/>
        <v>189</v>
      </c>
      <c r="T3920" s="1">
        <f t="shared" si="245"/>
        <v>4.6699999999999875</v>
      </c>
      <c r="U3920" s="1" t="str">
        <f t="shared" si="246"/>
        <v>OK</v>
      </c>
      <c r="V3920" s="1" t="str">
        <f>_xlfn.XLOOKUP(C3920,Payers!$A$2:$A$9,Payers!$B$2:$B$9)</f>
        <v>Blue Horizon Commercial</v>
      </c>
      <c r="W3920" s="1" t="str">
        <f t="shared" si="247"/>
        <v>2026-05</v>
      </c>
    </row>
    <row r="3921" spans="1:23">
      <c r="A3921" s="1" t="s">
        <v>6314</v>
      </c>
      <c r="B3921" s="1" t="s">
        <v>5967</v>
      </c>
      <c r="C3921" s="1" t="s">
        <v>18</v>
      </c>
      <c r="D3921" s="1" t="s">
        <v>26</v>
      </c>
      <c r="E3921" s="1" t="s">
        <v>113</v>
      </c>
      <c r="F3921">
        <v>1</v>
      </c>
      <c r="G3921" s="2">
        <v>46133</v>
      </c>
      <c r="H3921" s="2">
        <v>46136</v>
      </c>
      <c r="I3921">
        <v>1052.1500000000001</v>
      </c>
      <c r="J3921">
        <v>392.33</v>
      </c>
      <c r="K3921">
        <v>353.1</v>
      </c>
      <c r="L3921">
        <v>39.229999999999997</v>
      </c>
      <c r="M3921" s="1" t="s">
        <v>21</v>
      </c>
      <c r="N3921" s="1" t="s">
        <v>22</v>
      </c>
      <c r="O3921" s="2">
        <v>46180</v>
      </c>
      <c r="P3921" s="2">
        <v>46180</v>
      </c>
      <c r="Q3921">
        <f>_xlfn.XLOOKUP(E3921,CPT!$A$2:$A$13,CPT!$D$2:$D$13)</f>
        <v>1050</v>
      </c>
      <c r="R3921" s="1">
        <f>_xlfn.XLOOKUP(C3921,Contract!$A$2:$A$9,Contract!$B$2:$B$9)</f>
        <v>0.38</v>
      </c>
      <c r="S3921" s="1">
        <f t="shared" si="244"/>
        <v>399</v>
      </c>
      <c r="T3921" s="1">
        <f t="shared" si="245"/>
        <v>6.6700000000000159</v>
      </c>
      <c r="U3921" s="1" t="str">
        <f t="shared" si="246"/>
        <v>OK</v>
      </c>
      <c r="V3921" s="1" t="str">
        <f>_xlfn.XLOOKUP(C3921,Payers!$A$2:$A$9,Payers!$B$2:$B$9)</f>
        <v>Sunshine Medicare Advantage</v>
      </c>
      <c r="W3921" s="1" t="str">
        <f t="shared" si="247"/>
        <v>2026-04</v>
      </c>
    </row>
    <row r="3922" spans="1:23">
      <c r="A3922" s="1" t="s">
        <v>6315</v>
      </c>
      <c r="B3922" s="1" t="s">
        <v>3247</v>
      </c>
      <c r="C3922" s="1" t="s">
        <v>76</v>
      </c>
      <c r="D3922" s="1" t="s">
        <v>26</v>
      </c>
      <c r="E3922" s="1" t="s">
        <v>57</v>
      </c>
      <c r="F3922">
        <v>1</v>
      </c>
      <c r="G3922" s="2">
        <v>46241</v>
      </c>
      <c r="H3922" s="2">
        <v>46244</v>
      </c>
      <c r="I3922">
        <v>214.28</v>
      </c>
      <c r="J3922">
        <v>82.81</v>
      </c>
      <c r="K3922">
        <v>74.53</v>
      </c>
      <c r="L3922">
        <v>8.2799999999999994</v>
      </c>
      <c r="M3922" s="1" t="s">
        <v>21</v>
      </c>
      <c r="N3922" s="1" t="s">
        <v>22</v>
      </c>
      <c r="O3922" s="2">
        <v>46250</v>
      </c>
      <c r="P3922" s="2">
        <v>46250</v>
      </c>
      <c r="Q3922">
        <f>_xlfn.XLOOKUP(E3922,CPT!$A$2:$A$13,CPT!$D$2:$D$13)</f>
        <v>210</v>
      </c>
      <c r="R3922" s="1">
        <f>_xlfn.XLOOKUP(C3922,Contract!$A$2:$A$9,Contract!$B$2:$B$9)</f>
        <v>0.43</v>
      </c>
      <c r="S3922" s="1">
        <f t="shared" si="244"/>
        <v>90.3</v>
      </c>
      <c r="T3922" s="1">
        <f t="shared" si="245"/>
        <v>7.4899999999999949</v>
      </c>
      <c r="U3922" s="1" t="str">
        <f t="shared" si="246"/>
        <v>Underpaid</v>
      </c>
      <c r="V3922" s="1" t="str">
        <f>_xlfn.XLOOKUP(C3922,Payers!$A$2:$A$9,Payers!$B$2:$B$9)</f>
        <v>Summit Health Commercial</v>
      </c>
      <c r="W3922" s="1" t="str">
        <f t="shared" si="247"/>
        <v>2026-08</v>
      </c>
    </row>
    <row r="3923" spans="1:23">
      <c r="A3923" s="1" t="s">
        <v>6316</v>
      </c>
      <c r="B3923" s="1" t="s">
        <v>5725</v>
      </c>
      <c r="C3923" s="1" t="s">
        <v>47</v>
      </c>
      <c r="D3923" s="1" t="s">
        <v>26</v>
      </c>
      <c r="E3923" s="1" t="s">
        <v>113</v>
      </c>
      <c r="F3923">
        <v>1</v>
      </c>
      <c r="G3923" s="2">
        <v>46206</v>
      </c>
      <c r="H3923" s="2">
        <v>46210</v>
      </c>
      <c r="I3923">
        <v>1055.23</v>
      </c>
      <c r="J3923">
        <v>314.33</v>
      </c>
      <c r="K3923">
        <v>314.33</v>
      </c>
      <c r="L3923">
        <v>0</v>
      </c>
      <c r="M3923" s="1" t="s">
        <v>21</v>
      </c>
      <c r="N3923" s="1" t="s">
        <v>22</v>
      </c>
      <c r="O3923" s="2">
        <v>46281</v>
      </c>
      <c r="P3923" s="2">
        <v>46281</v>
      </c>
      <c r="Q3923">
        <f>_xlfn.XLOOKUP(E3923,CPT!$A$2:$A$13,CPT!$D$2:$D$13)</f>
        <v>1050</v>
      </c>
      <c r="R3923" s="1">
        <f>_xlfn.XLOOKUP(C3923,Contract!$A$2:$A$9,Contract!$B$2:$B$9)</f>
        <v>0.28000000000000003</v>
      </c>
      <c r="S3923" s="1">
        <f t="shared" si="244"/>
        <v>294</v>
      </c>
      <c r="T3923" s="1">
        <f t="shared" si="245"/>
        <v>-20.329999999999984</v>
      </c>
      <c r="U3923" s="1" t="str">
        <f t="shared" si="246"/>
        <v>OK</v>
      </c>
      <c r="V3923" s="1" t="str">
        <f>_xlfn.XLOOKUP(C3923,Payers!$A$2:$A$9,Payers!$B$2:$B$9)</f>
        <v>Coastal Medicaid MCO</v>
      </c>
      <c r="W3923" s="1" t="str">
        <f t="shared" si="247"/>
        <v>2026-07</v>
      </c>
    </row>
    <row r="3924" spans="1:23">
      <c r="A3924" s="1" t="s">
        <v>6317</v>
      </c>
      <c r="B3924" s="1" t="s">
        <v>1254</v>
      </c>
      <c r="C3924" s="1" t="s">
        <v>60</v>
      </c>
      <c r="D3924" s="1" t="s">
        <v>30</v>
      </c>
      <c r="E3924" s="1" t="s">
        <v>91</v>
      </c>
      <c r="F3924">
        <v>2</v>
      </c>
      <c r="G3924" s="2">
        <v>46251</v>
      </c>
      <c r="H3924" s="2">
        <v>46257</v>
      </c>
      <c r="I3924">
        <v>112.76</v>
      </c>
      <c r="J3924">
        <v>53.21</v>
      </c>
      <c r="K3924">
        <v>47.89</v>
      </c>
      <c r="L3924">
        <v>5.32</v>
      </c>
      <c r="M3924" s="1" t="s">
        <v>21</v>
      </c>
      <c r="N3924" s="1" t="s">
        <v>22</v>
      </c>
      <c r="O3924" s="2">
        <v>46284</v>
      </c>
      <c r="P3924" s="2">
        <v>46284</v>
      </c>
      <c r="Q3924">
        <f>_xlfn.XLOOKUP(E3924,CPT!$A$2:$A$13,CPT!$D$2:$D$13)</f>
        <v>58</v>
      </c>
      <c r="R3924" s="1">
        <f>_xlfn.XLOOKUP(C3924,Contract!$A$2:$A$9,Contract!$B$2:$B$9)</f>
        <v>0.45</v>
      </c>
      <c r="S3924" s="1">
        <f t="shared" si="244"/>
        <v>52.2</v>
      </c>
      <c r="T3924" s="1">
        <f t="shared" si="245"/>
        <v>-1.009999999999998</v>
      </c>
      <c r="U3924" s="1" t="str">
        <f t="shared" si="246"/>
        <v>OK</v>
      </c>
      <c r="V3924" s="1" t="str">
        <f>_xlfn.XLOOKUP(C3924,Payers!$A$2:$A$9,Payers!$B$2:$B$9)</f>
        <v>Blue Horizon Commercial</v>
      </c>
      <c r="W3924" s="1" t="str">
        <f t="shared" si="247"/>
        <v>2026-08</v>
      </c>
    </row>
    <row r="3925" spans="1:23">
      <c r="A3925" s="1" t="s">
        <v>6318</v>
      </c>
      <c r="B3925" s="1" t="s">
        <v>6319</v>
      </c>
      <c r="C3925" s="1" t="s">
        <v>76</v>
      </c>
      <c r="D3925" s="1" t="s">
        <v>37</v>
      </c>
      <c r="E3925" s="1" t="s">
        <v>57</v>
      </c>
      <c r="F3925">
        <v>1</v>
      </c>
      <c r="G3925" s="2">
        <v>46261</v>
      </c>
      <c r="H3925" s="2">
        <v>46266</v>
      </c>
      <c r="I3925">
        <v>215.87</v>
      </c>
      <c r="J3925">
        <v>101.21</v>
      </c>
      <c r="K3925">
        <v>91.09</v>
      </c>
      <c r="L3925">
        <v>10.119999999999999</v>
      </c>
      <c r="M3925" s="1" t="s">
        <v>21</v>
      </c>
      <c r="N3925" s="1" t="s">
        <v>22</v>
      </c>
      <c r="O3925" s="2">
        <v>46295</v>
      </c>
      <c r="P3925" s="2">
        <v>46295</v>
      </c>
      <c r="Q3925">
        <f>_xlfn.XLOOKUP(E3925,CPT!$A$2:$A$13,CPT!$D$2:$D$13)</f>
        <v>210</v>
      </c>
      <c r="R3925" s="1">
        <f>_xlfn.XLOOKUP(C3925,Contract!$A$2:$A$9,Contract!$B$2:$B$9)</f>
        <v>0.43</v>
      </c>
      <c r="S3925" s="1">
        <f t="shared" si="244"/>
        <v>90.3</v>
      </c>
      <c r="T3925" s="1">
        <f t="shared" si="245"/>
        <v>-10.909999999999997</v>
      </c>
      <c r="U3925" s="1" t="str">
        <f t="shared" si="246"/>
        <v>OK</v>
      </c>
      <c r="V3925" s="1" t="str">
        <f>_xlfn.XLOOKUP(C3925,Payers!$A$2:$A$9,Payers!$B$2:$B$9)</f>
        <v>Summit Health Commercial</v>
      </c>
      <c r="W3925" s="1" t="str">
        <f t="shared" si="247"/>
        <v>2026-08</v>
      </c>
    </row>
    <row r="3926" spans="1:23">
      <c r="A3926" s="1" t="s">
        <v>6320</v>
      </c>
      <c r="B3926" s="1" t="s">
        <v>4029</v>
      </c>
      <c r="C3926" s="1" t="s">
        <v>25</v>
      </c>
      <c r="D3926" s="1" t="s">
        <v>30</v>
      </c>
      <c r="E3926" s="1" t="s">
        <v>31</v>
      </c>
      <c r="F3926">
        <v>4</v>
      </c>
      <c r="G3926" s="2">
        <v>46125</v>
      </c>
      <c r="H3926" s="2">
        <v>46131</v>
      </c>
      <c r="I3926">
        <v>250.49</v>
      </c>
      <c r="M3926" s="1" t="s">
        <v>32</v>
      </c>
      <c r="N3926" s="1" t="s">
        <v>33</v>
      </c>
      <c r="O3926" s="2">
        <v>46154</v>
      </c>
      <c r="P3926" s="2"/>
      <c r="Q3926">
        <f>_xlfn.XLOOKUP(E3926,CPT!$A$2:$A$13,CPT!$D$2:$D$13)</f>
        <v>62</v>
      </c>
      <c r="R3926" s="1">
        <f>_xlfn.XLOOKUP(C3926,Contract!$A$2:$A$9,Contract!$B$2:$B$9)</f>
        <v>0.36</v>
      </c>
      <c r="S3926" s="1">
        <f t="shared" si="244"/>
        <v>89.28</v>
      </c>
      <c r="T3926" s="1" t="str">
        <f t="shared" si="245"/>
        <v/>
      </c>
      <c r="U3926" s="1" t="str">
        <f t="shared" si="246"/>
        <v/>
      </c>
      <c r="V3926" s="1" t="str">
        <f>_xlfn.XLOOKUP(C3926,Payers!$A$2:$A$9,Payers!$B$2:$B$9)</f>
        <v>Medicare Part B</v>
      </c>
      <c r="W3926" s="1" t="str">
        <f t="shared" si="247"/>
        <v>2026-04</v>
      </c>
    </row>
    <row r="3927" spans="1:23">
      <c r="A3927" s="1" t="s">
        <v>6321</v>
      </c>
      <c r="B3927" s="1" t="s">
        <v>6322</v>
      </c>
      <c r="C3927" s="1" t="s">
        <v>18</v>
      </c>
      <c r="D3927" s="1" t="s">
        <v>30</v>
      </c>
      <c r="E3927" s="1" t="s">
        <v>91</v>
      </c>
      <c r="F3927">
        <v>1</v>
      </c>
      <c r="G3927" s="2">
        <v>46253</v>
      </c>
      <c r="H3927" s="2">
        <v>46260</v>
      </c>
      <c r="I3927">
        <v>57.06</v>
      </c>
      <c r="M3927" s="1" t="s">
        <v>69</v>
      </c>
      <c r="N3927" s="1" t="s">
        <v>22</v>
      </c>
      <c r="O3927" s="2"/>
      <c r="P3927" s="2"/>
      <c r="Q3927">
        <f>_xlfn.XLOOKUP(E3927,CPT!$A$2:$A$13,CPT!$D$2:$D$13)</f>
        <v>58</v>
      </c>
      <c r="R3927" s="1">
        <f>_xlfn.XLOOKUP(C3927,Contract!$A$2:$A$9,Contract!$B$2:$B$9)</f>
        <v>0.38</v>
      </c>
      <c r="S3927" s="1">
        <f t="shared" si="244"/>
        <v>22.04</v>
      </c>
      <c r="T3927" s="1" t="str">
        <f t="shared" si="245"/>
        <v/>
      </c>
      <c r="U3927" s="1" t="str">
        <f t="shared" si="246"/>
        <v/>
      </c>
      <c r="V3927" s="1" t="str">
        <f>_xlfn.XLOOKUP(C3927,Payers!$A$2:$A$9,Payers!$B$2:$B$9)</f>
        <v>Sunshine Medicare Advantage</v>
      </c>
      <c r="W3927" s="1" t="str">
        <f t="shared" si="247"/>
        <v>2026-08</v>
      </c>
    </row>
    <row r="3928" spans="1:23">
      <c r="A3928" s="1" t="s">
        <v>6323</v>
      </c>
      <c r="B3928" s="1" t="s">
        <v>1618</v>
      </c>
      <c r="C3928" s="1" t="s">
        <v>79</v>
      </c>
      <c r="D3928" s="1" t="s">
        <v>30</v>
      </c>
      <c r="E3928" s="1" t="s">
        <v>20</v>
      </c>
      <c r="F3928">
        <v>1</v>
      </c>
      <c r="G3928" s="2">
        <v>45939</v>
      </c>
      <c r="H3928" s="2">
        <v>45943</v>
      </c>
      <c r="I3928">
        <v>144.43</v>
      </c>
      <c r="M3928" s="1" t="s">
        <v>69</v>
      </c>
      <c r="N3928" s="1" t="s">
        <v>22</v>
      </c>
      <c r="O3928" s="2"/>
      <c r="P3928" s="2"/>
      <c r="Q3928">
        <f>_xlfn.XLOOKUP(E3928,CPT!$A$2:$A$13,CPT!$D$2:$D$13)</f>
        <v>145</v>
      </c>
      <c r="R3928" s="1">
        <f>_xlfn.XLOOKUP(C3928,Contract!$A$2:$A$9,Contract!$B$2:$B$9)</f>
        <v>1</v>
      </c>
      <c r="S3928" s="1">
        <f t="shared" si="244"/>
        <v>145</v>
      </c>
      <c r="T3928" s="1" t="str">
        <f t="shared" si="245"/>
        <v/>
      </c>
      <c r="U3928" s="1" t="str">
        <f t="shared" si="246"/>
        <v/>
      </c>
      <c r="V3928" s="1" t="str">
        <f>_xlfn.XLOOKUP(C3928,Payers!$A$2:$A$9,Payers!$B$2:$B$9)</f>
        <v>Self-Pay</v>
      </c>
      <c r="W3928" s="1" t="str">
        <f t="shared" si="247"/>
        <v>2025-10</v>
      </c>
    </row>
    <row r="3929" spans="1:23">
      <c r="A3929" s="1" t="s">
        <v>6324</v>
      </c>
      <c r="B3929" s="1" t="s">
        <v>6325</v>
      </c>
      <c r="C3929" s="1" t="s">
        <v>60</v>
      </c>
      <c r="D3929" s="1" t="s">
        <v>30</v>
      </c>
      <c r="E3929" s="1" t="s">
        <v>31</v>
      </c>
      <c r="F3929">
        <v>3</v>
      </c>
      <c r="G3929" s="2">
        <v>46225</v>
      </c>
      <c r="H3929" s="2">
        <v>46237</v>
      </c>
      <c r="I3929">
        <v>181.07</v>
      </c>
      <c r="J3929">
        <v>92.41</v>
      </c>
      <c r="K3929">
        <v>83.17</v>
      </c>
      <c r="L3929">
        <v>9.24</v>
      </c>
      <c r="M3929" s="1" t="s">
        <v>21</v>
      </c>
      <c r="N3929" s="1" t="s">
        <v>22</v>
      </c>
      <c r="O3929" s="2">
        <v>46251</v>
      </c>
      <c r="P3929" s="2">
        <v>46251</v>
      </c>
      <c r="Q3929">
        <f>_xlfn.XLOOKUP(E3929,CPT!$A$2:$A$13,CPT!$D$2:$D$13)</f>
        <v>62</v>
      </c>
      <c r="R3929" s="1">
        <f>_xlfn.XLOOKUP(C3929,Contract!$A$2:$A$9,Contract!$B$2:$B$9)</f>
        <v>0.45</v>
      </c>
      <c r="S3929" s="1">
        <f t="shared" si="244"/>
        <v>83.7</v>
      </c>
      <c r="T3929" s="1">
        <f t="shared" si="245"/>
        <v>-8.7099999999999937</v>
      </c>
      <c r="U3929" s="1" t="str">
        <f t="shared" si="246"/>
        <v>OK</v>
      </c>
      <c r="V3929" s="1" t="str">
        <f>_xlfn.XLOOKUP(C3929,Payers!$A$2:$A$9,Payers!$B$2:$B$9)</f>
        <v>Blue Horizon Commercial</v>
      </c>
      <c r="W3929" s="1" t="str">
        <f t="shared" si="247"/>
        <v>2026-07</v>
      </c>
    </row>
    <row r="3930" spans="1:23">
      <c r="A3930" s="1" t="s">
        <v>6326</v>
      </c>
      <c r="B3930" s="1" t="s">
        <v>6009</v>
      </c>
      <c r="C3930" s="1" t="s">
        <v>76</v>
      </c>
      <c r="D3930" s="1" t="s">
        <v>19</v>
      </c>
      <c r="E3930" s="1" t="s">
        <v>41</v>
      </c>
      <c r="F3930">
        <v>1</v>
      </c>
      <c r="G3930" s="2">
        <v>46153</v>
      </c>
      <c r="H3930" s="2">
        <v>46158</v>
      </c>
      <c r="I3930">
        <v>38.06</v>
      </c>
      <c r="J3930">
        <v>16.260000000000002</v>
      </c>
      <c r="K3930">
        <v>16.260000000000002</v>
      </c>
      <c r="L3930">
        <v>0</v>
      </c>
      <c r="M3930" s="1" t="s">
        <v>21</v>
      </c>
      <c r="N3930" s="1" t="s">
        <v>22</v>
      </c>
      <c r="O3930" s="2">
        <v>46173</v>
      </c>
      <c r="P3930" s="2">
        <v>46173</v>
      </c>
      <c r="Q3930">
        <f>_xlfn.XLOOKUP(E3930,CPT!$A$2:$A$13,CPT!$D$2:$D$13)</f>
        <v>38</v>
      </c>
      <c r="R3930" s="1">
        <f>_xlfn.XLOOKUP(C3930,Contract!$A$2:$A$9,Contract!$B$2:$B$9)</f>
        <v>0.43</v>
      </c>
      <c r="S3930" s="1">
        <f t="shared" si="244"/>
        <v>16.34</v>
      </c>
      <c r="T3930" s="1">
        <f t="shared" si="245"/>
        <v>7.9999999999998295E-2</v>
      </c>
      <c r="U3930" s="1" t="str">
        <f t="shared" si="246"/>
        <v>OK</v>
      </c>
      <c r="V3930" s="1" t="str">
        <f>_xlfn.XLOOKUP(C3930,Payers!$A$2:$A$9,Payers!$B$2:$B$9)</f>
        <v>Summit Health Commercial</v>
      </c>
      <c r="W3930" s="1" t="str">
        <f t="shared" si="247"/>
        <v>2026-05</v>
      </c>
    </row>
    <row r="3931" spans="1:23">
      <c r="A3931" s="1" t="s">
        <v>6327</v>
      </c>
      <c r="B3931" s="1" t="s">
        <v>696</v>
      </c>
      <c r="C3931" s="1" t="s">
        <v>47</v>
      </c>
      <c r="D3931" s="1" t="s">
        <v>19</v>
      </c>
      <c r="E3931" s="1" t="s">
        <v>88</v>
      </c>
      <c r="F3931">
        <v>1</v>
      </c>
      <c r="G3931" s="2">
        <v>46064</v>
      </c>
      <c r="H3931" s="2">
        <v>46067</v>
      </c>
      <c r="I3931">
        <v>253.67</v>
      </c>
      <c r="M3931" s="1" t="s">
        <v>32</v>
      </c>
      <c r="N3931" s="1" t="s">
        <v>33</v>
      </c>
      <c r="O3931" s="2">
        <v>46100</v>
      </c>
      <c r="P3931" s="2"/>
      <c r="Q3931">
        <f>_xlfn.XLOOKUP(E3931,CPT!$A$2:$A$13,CPT!$D$2:$D$13)</f>
        <v>260</v>
      </c>
      <c r="R3931" s="1">
        <f>_xlfn.XLOOKUP(C3931,Contract!$A$2:$A$9,Contract!$B$2:$B$9)</f>
        <v>0.28000000000000003</v>
      </c>
      <c r="S3931" s="1">
        <f t="shared" si="244"/>
        <v>72.8</v>
      </c>
      <c r="T3931" s="1" t="str">
        <f t="shared" si="245"/>
        <v/>
      </c>
      <c r="U3931" s="1" t="str">
        <f t="shared" si="246"/>
        <v/>
      </c>
      <c r="V3931" s="1" t="str">
        <f>_xlfn.XLOOKUP(C3931,Payers!$A$2:$A$9,Payers!$B$2:$B$9)</f>
        <v>Coastal Medicaid MCO</v>
      </c>
      <c r="W3931" s="1" t="str">
        <f t="shared" si="247"/>
        <v>2026-02</v>
      </c>
    </row>
    <row r="3932" spans="1:23">
      <c r="A3932" s="1" t="s">
        <v>6328</v>
      </c>
      <c r="B3932" s="1" t="s">
        <v>3983</v>
      </c>
      <c r="C3932" s="1" t="s">
        <v>60</v>
      </c>
      <c r="D3932" s="1" t="s">
        <v>26</v>
      </c>
      <c r="E3932" s="1" t="s">
        <v>41</v>
      </c>
      <c r="F3932">
        <v>1</v>
      </c>
      <c r="G3932" s="2">
        <v>46131</v>
      </c>
      <c r="H3932" s="2">
        <v>46137</v>
      </c>
      <c r="I3932">
        <v>38.06</v>
      </c>
      <c r="J3932">
        <v>14.59</v>
      </c>
      <c r="K3932">
        <v>13.13</v>
      </c>
      <c r="L3932">
        <v>1.46</v>
      </c>
      <c r="M3932" s="1" t="s">
        <v>21</v>
      </c>
      <c r="N3932" s="1" t="s">
        <v>22</v>
      </c>
      <c r="O3932" s="2">
        <v>46162</v>
      </c>
      <c r="P3932" s="2">
        <v>46162</v>
      </c>
      <c r="Q3932">
        <f>_xlfn.XLOOKUP(E3932,CPT!$A$2:$A$13,CPT!$D$2:$D$13)</f>
        <v>38</v>
      </c>
      <c r="R3932" s="1">
        <f>_xlfn.XLOOKUP(C3932,Contract!$A$2:$A$9,Contract!$B$2:$B$9)</f>
        <v>0.45</v>
      </c>
      <c r="S3932" s="1">
        <f t="shared" si="244"/>
        <v>17.100000000000001</v>
      </c>
      <c r="T3932" s="1">
        <f t="shared" si="245"/>
        <v>2.5100000000000016</v>
      </c>
      <c r="U3932" s="1" t="str">
        <f t="shared" si="246"/>
        <v>Underpaid</v>
      </c>
      <c r="V3932" s="1" t="str">
        <f>_xlfn.XLOOKUP(C3932,Payers!$A$2:$A$9,Payers!$B$2:$B$9)</f>
        <v>Blue Horizon Commercial</v>
      </c>
      <c r="W3932" s="1" t="str">
        <f t="shared" si="247"/>
        <v>2026-04</v>
      </c>
    </row>
    <row r="3933" spans="1:23">
      <c r="A3933" s="1" t="s">
        <v>6329</v>
      </c>
      <c r="B3933" s="1" t="s">
        <v>5107</v>
      </c>
      <c r="C3933" s="1" t="s">
        <v>25</v>
      </c>
      <c r="D3933" s="1" t="s">
        <v>19</v>
      </c>
      <c r="E3933" s="1" t="s">
        <v>57</v>
      </c>
      <c r="F3933">
        <v>1</v>
      </c>
      <c r="G3933" s="2">
        <v>46232</v>
      </c>
      <c r="H3933" s="2">
        <v>46234</v>
      </c>
      <c r="I3933">
        <v>204.21</v>
      </c>
      <c r="J3933">
        <v>80.14</v>
      </c>
      <c r="K3933">
        <v>64.11</v>
      </c>
      <c r="L3933">
        <v>16.03</v>
      </c>
      <c r="M3933" s="1" t="s">
        <v>21</v>
      </c>
      <c r="N3933" s="1" t="s">
        <v>22</v>
      </c>
      <c r="O3933" s="2">
        <v>46244</v>
      </c>
      <c r="P3933" s="2">
        <v>46244</v>
      </c>
      <c r="Q3933">
        <f>_xlfn.XLOOKUP(E3933,CPT!$A$2:$A$13,CPT!$D$2:$D$13)</f>
        <v>210</v>
      </c>
      <c r="R3933" s="1">
        <f>_xlfn.XLOOKUP(C3933,Contract!$A$2:$A$9,Contract!$B$2:$B$9)</f>
        <v>0.36</v>
      </c>
      <c r="S3933" s="1">
        <f t="shared" si="244"/>
        <v>75.599999999999994</v>
      </c>
      <c r="T3933" s="1">
        <f t="shared" si="245"/>
        <v>-4.5400000000000063</v>
      </c>
      <c r="U3933" s="1" t="str">
        <f t="shared" si="246"/>
        <v>OK</v>
      </c>
      <c r="V3933" s="1" t="str">
        <f>_xlfn.XLOOKUP(C3933,Payers!$A$2:$A$9,Payers!$B$2:$B$9)</f>
        <v>Medicare Part B</v>
      </c>
      <c r="W3933" s="1" t="str">
        <f t="shared" si="247"/>
        <v>2026-07</v>
      </c>
    </row>
    <row r="3934" spans="1:23">
      <c r="A3934" s="1" t="s">
        <v>6330</v>
      </c>
      <c r="B3934" s="1" t="s">
        <v>102</v>
      </c>
      <c r="C3934" s="1" t="s">
        <v>60</v>
      </c>
      <c r="D3934" s="1" t="s">
        <v>19</v>
      </c>
      <c r="E3934" s="1" t="s">
        <v>57</v>
      </c>
      <c r="F3934">
        <v>1</v>
      </c>
      <c r="G3934" s="2">
        <v>46026</v>
      </c>
      <c r="H3934" s="2">
        <v>46027</v>
      </c>
      <c r="I3934">
        <v>207.95</v>
      </c>
      <c r="J3934">
        <v>106.71</v>
      </c>
      <c r="K3934">
        <v>85.37</v>
      </c>
      <c r="L3934">
        <v>21.34</v>
      </c>
      <c r="M3934" s="1" t="s">
        <v>21</v>
      </c>
      <c r="N3934" s="1" t="s">
        <v>22</v>
      </c>
      <c r="O3934" s="2">
        <v>46046</v>
      </c>
      <c r="P3934" s="2">
        <v>46046</v>
      </c>
      <c r="Q3934">
        <f>_xlfn.XLOOKUP(E3934,CPT!$A$2:$A$13,CPT!$D$2:$D$13)</f>
        <v>210</v>
      </c>
      <c r="R3934" s="1">
        <f>_xlfn.XLOOKUP(C3934,Contract!$A$2:$A$9,Contract!$B$2:$B$9)</f>
        <v>0.45</v>
      </c>
      <c r="S3934" s="1">
        <f t="shared" si="244"/>
        <v>94.5</v>
      </c>
      <c r="T3934" s="1">
        <f t="shared" si="245"/>
        <v>-12.209999999999994</v>
      </c>
      <c r="U3934" s="1" t="str">
        <f t="shared" si="246"/>
        <v>OK</v>
      </c>
      <c r="V3934" s="1" t="str">
        <f>_xlfn.XLOOKUP(C3934,Payers!$A$2:$A$9,Payers!$B$2:$B$9)</f>
        <v>Blue Horizon Commercial</v>
      </c>
      <c r="W3934" s="1" t="str">
        <f t="shared" si="247"/>
        <v>2026-01</v>
      </c>
    </row>
    <row r="3935" spans="1:23">
      <c r="A3935" s="1" t="s">
        <v>6331</v>
      </c>
      <c r="B3935" s="1" t="s">
        <v>4115</v>
      </c>
      <c r="C3935" s="1" t="s">
        <v>36</v>
      </c>
      <c r="D3935" s="1" t="s">
        <v>26</v>
      </c>
      <c r="E3935" s="1" t="s">
        <v>185</v>
      </c>
      <c r="F3935">
        <v>1</v>
      </c>
      <c r="G3935" s="2">
        <v>46249</v>
      </c>
      <c r="H3935" s="2">
        <v>46258</v>
      </c>
      <c r="I3935">
        <v>1146.02</v>
      </c>
      <c r="M3935" s="1" t="s">
        <v>32</v>
      </c>
      <c r="N3935" s="1" t="s">
        <v>124</v>
      </c>
      <c r="O3935" s="2">
        <v>46293</v>
      </c>
      <c r="P3935" s="2"/>
      <c r="Q3935">
        <f>_xlfn.XLOOKUP(E3935,CPT!$A$2:$A$13,CPT!$D$2:$D$13)</f>
        <v>1150</v>
      </c>
      <c r="R3935" s="1">
        <f>_xlfn.XLOOKUP(C3935,Contract!$A$2:$A$9,Contract!$B$2:$B$9)</f>
        <v>0.27</v>
      </c>
      <c r="S3935" s="1">
        <f t="shared" si="244"/>
        <v>310.5</v>
      </c>
      <c r="T3935" s="1" t="str">
        <f t="shared" si="245"/>
        <v/>
      </c>
      <c r="U3935" s="1" t="str">
        <f t="shared" si="246"/>
        <v/>
      </c>
      <c r="V3935" s="1" t="str">
        <f>_xlfn.XLOOKUP(C3935,Payers!$A$2:$A$9,Payers!$B$2:$B$9)</f>
        <v>Florida Medicaid</v>
      </c>
      <c r="W3935" s="1" t="str">
        <f t="shared" si="247"/>
        <v>2026-08</v>
      </c>
    </row>
    <row r="3936" spans="1:23">
      <c r="A3936" s="1" t="s">
        <v>6332</v>
      </c>
      <c r="B3936" s="1" t="s">
        <v>6333</v>
      </c>
      <c r="C3936" s="1" t="s">
        <v>76</v>
      </c>
      <c r="D3936" s="1" t="s">
        <v>30</v>
      </c>
      <c r="E3936" s="1" t="s">
        <v>31</v>
      </c>
      <c r="F3936">
        <v>2</v>
      </c>
      <c r="G3936" s="2">
        <v>46243</v>
      </c>
      <c r="H3936" s="2">
        <v>46245</v>
      </c>
      <c r="I3936">
        <v>124.12</v>
      </c>
      <c r="J3936">
        <v>47.75</v>
      </c>
      <c r="K3936">
        <v>47.75</v>
      </c>
      <c r="L3936">
        <v>0</v>
      </c>
      <c r="M3936" s="1" t="s">
        <v>21</v>
      </c>
      <c r="N3936" s="1" t="s">
        <v>22</v>
      </c>
      <c r="O3936" s="2">
        <v>46273</v>
      </c>
      <c r="P3936" s="2">
        <v>46273</v>
      </c>
      <c r="Q3936">
        <f>_xlfn.XLOOKUP(E3936,CPT!$A$2:$A$13,CPT!$D$2:$D$13)</f>
        <v>62</v>
      </c>
      <c r="R3936" s="1">
        <f>_xlfn.XLOOKUP(C3936,Contract!$A$2:$A$9,Contract!$B$2:$B$9)</f>
        <v>0.43</v>
      </c>
      <c r="S3936" s="1">
        <f t="shared" si="244"/>
        <v>53.32</v>
      </c>
      <c r="T3936" s="1">
        <f t="shared" si="245"/>
        <v>5.57</v>
      </c>
      <c r="U3936" s="1" t="str">
        <f t="shared" si="246"/>
        <v>Underpaid</v>
      </c>
      <c r="V3936" s="1" t="str">
        <f>_xlfn.XLOOKUP(C3936,Payers!$A$2:$A$9,Payers!$B$2:$B$9)</f>
        <v>Summit Health Commercial</v>
      </c>
      <c r="W3936" s="1" t="str">
        <f t="shared" si="247"/>
        <v>2026-08</v>
      </c>
    </row>
    <row r="3937" spans="1:23">
      <c r="A3937" s="1" t="s">
        <v>6334</v>
      </c>
      <c r="B3937" s="1" t="s">
        <v>2362</v>
      </c>
      <c r="C3937" s="1" t="s">
        <v>25</v>
      </c>
      <c r="D3937" s="1" t="s">
        <v>19</v>
      </c>
      <c r="E3937" s="1" t="s">
        <v>57</v>
      </c>
      <c r="F3937">
        <v>1</v>
      </c>
      <c r="G3937" s="2">
        <v>46083</v>
      </c>
      <c r="H3937" s="2">
        <v>46088</v>
      </c>
      <c r="I3937">
        <v>207.83</v>
      </c>
      <c r="M3937" s="1" t="s">
        <v>32</v>
      </c>
      <c r="N3937" s="1" t="s">
        <v>98</v>
      </c>
      <c r="O3937" s="2">
        <v>46106</v>
      </c>
      <c r="P3937" s="2"/>
      <c r="Q3937">
        <f>_xlfn.XLOOKUP(E3937,CPT!$A$2:$A$13,CPT!$D$2:$D$13)</f>
        <v>210</v>
      </c>
      <c r="R3937" s="1">
        <f>_xlfn.XLOOKUP(C3937,Contract!$A$2:$A$9,Contract!$B$2:$B$9)</f>
        <v>0.36</v>
      </c>
      <c r="S3937" s="1">
        <f t="shared" si="244"/>
        <v>75.599999999999994</v>
      </c>
      <c r="T3937" s="1" t="str">
        <f t="shared" si="245"/>
        <v/>
      </c>
      <c r="U3937" s="1" t="str">
        <f t="shared" si="246"/>
        <v/>
      </c>
      <c r="V3937" s="1" t="str">
        <f>_xlfn.XLOOKUP(C3937,Payers!$A$2:$A$9,Payers!$B$2:$B$9)</f>
        <v>Medicare Part B</v>
      </c>
      <c r="W3937" s="1" t="str">
        <f t="shared" si="247"/>
        <v>2026-03</v>
      </c>
    </row>
    <row r="3938" spans="1:23">
      <c r="A3938" s="1" t="s">
        <v>6335</v>
      </c>
      <c r="B3938" s="1" t="s">
        <v>347</v>
      </c>
      <c r="C3938" s="1" t="s">
        <v>52</v>
      </c>
      <c r="D3938" s="1" t="s">
        <v>30</v>
      </c>
      <c r="E3938" s="1" t="s">
        <v>91</v>
      </c>
      <c r="F3938">
        <v>3</v>
      </c>
      <c r="G3938" s="2">
        <v>46090</v>
      </c>
      <c r="H3938" s="2">
        <v>46092</v>
      </c>
      <c r="I3938">
        <v>173.58</v>
      </c>
      <c r="J3938">
        <v>72.290000000000006</v>
      </c>
      <c r="K3938">
        <v>72.290000000000006</v>
      </c>
      <c r="L3938">
        <v>0</v>
      </c>
      <c r="M3938" s="1" t="s">
        <v>21</v>
      </c>
      <c r="N3938" s="1" t="s">
        <v>22</v>
      </c>
      <c r="O3938" s="2">
        <v>46132</v>
      </c>
      <c r="P3938" s="2">
        <v>46132</v>
      </c>
      <c r="Q3938">
        <f>_xlfn.XLOOKUP(E3938,CPT!$A$2:$A$13,CPT!$D$2:$D$13)</f>
        <v>58</v>
      </c>
      <c r="R3938" s="1">
        <f>_xlfn.XLOOKUP(C3938,Contract!$A$2:$A$9,Contract!$B$2:$B$9)</f>
        <v>0.47</v>
      </c>
      <c r="S3938" s="1">
        <f t="shared" si="244"/>
        <v>81.78</v>
      </c>
      <c r="T3938" s="1">
        <f t="shared" si="245"/>
        <v>9.4899999999999949</v>
      </c>
      <c r="U3938" s="1" t="str">
        <f t="shared" si="246"/>
        <v>Underpaid</v>
      </c>
      <c r="V3938" s="1" t="str">
        <f>_xlfn.XLOOKUP(C3938,Payers!$A$2:$A$9,Payers!$B$2:$B$9)</f>
        <v>Keystone Commercial PPO</v>
      </c>
      <c r="W3938" s="1" t="str">
        <f t="shared" si="247"/>
        <v>2026-03</v>
      </c>
    </row>
    <row r="3939" spans="1:23">
      <c r="A3939" s="1" t="s">
        <v>6336</v>
      </c>
      <c r="B3939" s="1" t="s">
        <v>6337</v>
      </c>
      <c r="C3939" s="1" t="s">
        <v>25</v>
      </c>
      <c r="D3939" s="1" t="s">
        <v>19</v>
      </c>
      <c r="E3939" s="1" t="s">
        <v>88</v>
      </c>
      <c r="F3939">
        <v>1</v>
      </c>
      <c r="G3939" s="2">
        <v>46257</v>
      </c>
      <c r="H3939" s="2">
        <v>46264</v>
      </c>
      <c r="I3939">
        <v>266.51</v>
      </c>
      <c r="J3939">
        <v>91.83</v>
      </c>
      <c r="K3939">
        <v>82.65</v>
      </c>
      <c r="L3939">
        <v>9.18</v>
      </c>
      <c r="M3939" s="1" t="s">
        <v>21</v>
      </c>
      <c r="N3939" s="1" t="s">
        <v>22</v>
      </c>
      <c r="O3939" s="2">
        <v>46282</v>
      </c>
      <c r="P3939" s="2">
        <v>46282</v>
      </c>
      <c r="Q3939">
        <f>_xlfn.XLOOKUP(E3939,CPT!$A$2:$A$13,CPT!$D$2:$D$13)</f>
        <v>260</v>
      </c>
      <c r="R3939" s="1">
        <f>_xlfn.XLOOKUP(C3939,Contract!$A$2:$A$9,Contract!$B$2:$B$9)</f>
        <v>0.36</v>
      </c>
      <c r="S3939" s="1">
        <f t="shared" si="244"/>
        <v>93.6</v>
      </c>
      <c r="T3939" s="1">
        <f t="shared" si="245"/>
        <v>1.769999999999996</v>
      </c>
      <c r="U3939" s="1" t="str">
        <f t="shared" si="246"/>
        <v>OK</v>
      </c>
      <c r="V3939" s="1" t="str">
        <f>_xlfn.XLOOKUP(C3939,Payers!$A$2:$A$9,Payers!$B$2:$B$9)</f>
        <v>Medicare Part B</v>
      </c>
      <c r="W3939" s="1" t="str">
        <f t="shared" si="247"/>
        <v>2026-08</v>
      </c>
    </row>
    <row r="3940" spans="1:23">
      <c r="A3940" s="1" t="s">
        <v>6338</v>
      </c>
      <c r="B3940" s="1" t="s">
        <v>2099</v>
      </c>
      <c r="C3940" s="1" t="s">
        <v>25</v>
      </c>
      <c r="D3940" s="1" t="s">
        <v>30</v>
      </c>
      <c r="E3940" s="1" t="s">
        <v>20</v>
      </c>
      <c r="F3940">
        <v>1</v>
      </c>
      <c r="G3940" s="2">
        <v>46129</v>
      </c>
      <c r="H3940" s="2">
        <v>46134</v>
      </c>
      <c r="I3940">
        <v>148.24</v>
      </c>
      <c r="J3940">
        <v>50.2</v>
      </c>
      <c r="K3940">
        <v>45.18</v>
      </c>
      <c r="L3940">
        <v>5.0199999999999996</v>
      </c>
      <c r="M3940" s="1" t="s">
        <v>21</v>
      </c>
      <c r="N3940" s="1" t="s">
        <v>22</v>
      </c>
      <c r="O3940" s="2">
        <v>46143</v>
      </c>
      <c r="P3940" s="2">
        <v>46143</v>
      </c>
      <c r="Q3940">
        <f>_xlfn.XLOOKUP(E3940,CPT!$A$2:$A$13,CPT!$D$2:$D$13)</f>
        <v>145</v>
      </c>
      <c r="R3940" s="1">
        <f>_xlfn.XLOOKUP(C3940,Contract!$A$2:$A$9,Contract!$B$2:$B$9)</f>
        <v>0.36</v>
      </c>
      <c r="S3940" s="1">
        <f t="shared" si="244"/>
        <v>52.2</v>
      </c>
      <c r="T3940" s="1">
        <f t="shared" si="245"/>
        <v>2</v>
      </c>
      <c r="U3940" s="1" t="str">
        <f t="shared" si="246"/>
        <v>OK</v>
      </c>
      <c r="V3940" s="1" t="str">
        <f>_xlfn.XLOOKUP(C3940,Payers!$A$2:$A$9,Payers!$B$2:$B$9)</f>
        <v>Medicare Part B</v>
      </c>
      <c r="W3940" s="1" t="str">
        <f t="shared" si="247"/>
        <v>2026-04</v>
      </c>
    </row>
    <row r="3941" spans="1:23">
      <c r="A3941" s="1" t="s">
        <v>6339</v>
      </c>
      <c r="B3941" s="1" t="s">
        <v>6340</v>
      </c>
      <c r="C3941" s="1" t="s">
        <v>60</v>
      </c>
      <c r="D3941" s="1" t="s">
        <v>19</v>
      </c>
      <c r="E3941" s="1" t="s">
        <v>88</v>
      </c>
      <c r="F3941">
        <v>1</v>
      </c>
      <c r="G3941" s="2">
        <v>46261</v>
      </c>
      <c r="H3941" s="2">
        <v>46266</v>
      </c>
      <c r="I3941">
        <v>264.14</v>
      </c>
      <c r="M3941" s="1" t="s">
        <v>32</v>
      </c>
      <c r="N3941" s="1" t="s">
        <v>33</v>
      </c>
      <c r="O3941" s="2">
        <v>46295</v>
      </c>
      <c r="P3941" s="2"/>
      <c r="Q3941">
        <f>_xlfn.XLOOKUP(E3941,CPT!$A$2:$A$13,CPT!$D$2:$D$13)</f>
        <v>260</v>
      </c>
      <c r="R3941" s="1">
        <f>_xlfn.XLOOKUP(C3941,Contract!$A$2:$A$9,Contract!$B$2:$B$9)</f>
        <v>0.45</v>
      </c>
      <c r="S3941" s="1">
        <f t="shared" si="244"/>
        <v>117</v>
      </c>
      <c r="T3941" s="1" t="str">
        <f t="shared" si="245"/>
        <v/>
      </c>
      <c r="U3941" s="1" t="str">
        <f t="shared" si="246"/>
        <v/>
      </c>
      <c r="V3941" s="1" t="str">
        <f>_xlfn.XLOOKUP(C3941,Payers!$A$2:$A$9,Payers!$B$2:$B$9)</f>
        <v>Blue Horizon Commercial</v>
      </c>
      <c r="W3941" s="1" t="str">
        <f t="shared" si="247"/>
        <v>2026-08</v>
      </c>
    </row>
    <row r="3942" spans="1:23">
      <c r="A3942" s="1" t="s">
        <v>6341</v>
      </c>
      <c r="B3942" s="1" t="s">
        <v>6342</v>
      </c>
      <c r="C3942" s="1" t="s">
        <v>25</v>
      </c>
      <c r="D3942" s="1" t="s">
        <v>19</v>
      </c>
      <c r="E3942" s="1" t="s">
        <v>20</v>
      </c>
      <c r="F3942">
        <v>1</v>
      </c>
      <c r="G3942" s="2">
        <v>46226</v>
      </c>
      <c r="H3942" s="2">
        <v>46231</v>
      </c>
      <c r="I3942">
        <v>145.06</v>
      </c>
      <c r="J3942">
        <v>49.19</v>
      </c>
      <c r="K3942">
        <v>49.19</v>
      </c>
      <c r="L3942">
        <v>0</v>
      </c>
      <c r="M3942" s="1" t="s">
        <v>21</v>
      </c>
      <c r="N3942" s="1" t="s">
        <v>22</v>
      </c>
      <c r="O3942" s="2">
        <v>46248</v>
      </c>
      <c r="P3942" s="2">
        <v>46248</v>
      </c>
      <c r="Q3942">
        <f>_xlfn.XLOOKUP(E3942,CPT!$A$2:$A$13,CPT!$D$2:$D$13)</f>
        <v>145</v>
      </c>
      <c r="R3942" s="1">
        <f>_xlfn.XLOOKUP(C3942,Contract!$A$2:$A$9,Contract!$B$2:$B$9)</f>
        <v>0.36</v>
      </c>
      <c r="S3942" s="1">
        <f t="shared" si="244"/>
        <v>52.2</v>
      </c>
      <c r="T3942" s="1">
        <f t="shared" si="245"/>
        <v>3.0100000000000051</v>
      </c>
      <c r="U3942" s="1" t="str">
        <f t="shared" si="246"/>
        <v>Underpaid</v>
      </c>
      <c r="V3942" s="1" t="str">
        <f>_xlfn.XLOOKUP(C3942,Payers!$A$2:$A$9,Payers!$B$2:$B$9)</f>
        <v>Medicare Part B</v>
      </c>
      <c r="W3942" s="1" t="str">
        <f t="shared" si="247"/>
        <v>2026-07</v>
      </c>
    </row>
    <row r="3943" spans="1:23">
      <c r="A3943" s="1" t="s">
        <v>6343</v>
      </c>
      <c r="B3943" s="1" t="s">
        <v>3427</v>
      </c>
      <c r="C3943" s="1" t="s">
        <v>52</v>
      </c>
      <c r="D3943" s="1" t="s">
        <v>26</v>
      </c>
      <c r="E3943" s="1" t="s">
        <v>113</v>
      </c>
      <c r="F3943">
        <v>1</v>
      </c>
      <c r="G3943" s="2">
        <v>46000</v>
      </c>
      <c r="H3943" s="2">
        <v>46016</v>
      </c>
      <c r="I3943">
        <v>1074.3599999999999</v>
      </c>
      <c r="J3943">
        <v>573.1</v>
      </c>
      <c r="K3943">
        <v>458.48</v>
      </c>
      <c r="L3943">
        <v>114.62</v>
      </c>
      <c r="M3943" s="1" t="s">
        <v>21</v>
      </c>
      <c r="N3943" s="1" t="s">
        <v>22</v>
      </c>
      <c r="O3943" s="2">
        <v>46078</v>
      </c>
      <c r="P3943" s="2">
        <v>46078</v>
      </c>
      <c r="Q3943">
        <f>_xlfn.XLOOKUP(E3943,CPT!$A$2:$A$13,CPT!$D$2:$D$13)</f>
        <v>1050</v>
      </c>
      <c r="R3943" s="1">
        <f>_xlfn.XLOOKUP(C3943,Contract!$A$2:$A$9,Contract!$B$2:$B$9)</f>
        <v>0.47</v>
      </c>
      <c r="S3943" s="1">
        <f t="shared" si="244"/>
        <v>493.5</v>
      </c>
      <c r="T3943" s="1">
        <f t="shared" si="245"/>
        <v>-79.600000000000023</v>
      </c>
      <c r="U3943" s="1" t="str">
        <f t="shared" si="246"/>
        <v>OK</v>
      </c>
      <c r="V3943" s="1" t="str">
        <f>_xlfn.XLOOKUP(C3943,Payers!$A$2:$A$9,Payers!$B$2:$B$9)</f>
        <v>Keystone Commercial PPO</v>
      </c>
      <c r="W3943" s="1" t="str">
        <f t="shared" si="247"/>
        <v>2025-12</v>
      </c>
    </row>
    <row r="3944" spans="1:23">
      <c r="A3944" s="1" t="s">
        <v>6344</v>
      </c>
      <c r="B3944" s="1" t="s">
        <v>223</v>
      </c>
      <c r="C3944" s="1" t="s">
        <v>60</v>
      </c>
      <c r="D3944" s="1" t="s">
        <v>19</v>
      </c>
      <c r="E3944" s="1" t="s">
        <v>88</v>
      </c>
      <c r="F3944">
        <v>1</v>
      </c>
      <c r="G3944" s="2">
        <v>46239</v>
      </c>
      <c r="H3944" s="2">
        <v>46243</v>
      </c>
      <c r="I3944">
        <v>252.27</v>
      </c>
      <c r="J3944">
        <v>105.81</v>
      </c>
      <c r="K3944">
        <v>95.23</v>
      </c>
      <c r="L3944">
        <v>10.58</v>
      </c>
      <c r="M3944" s="1" t="s">
        <v>21</v>
      </c>
      <c r="N3944" s="1" t="s">
        <v>22</v>
      </c>
      <c r="O3944" s="2">
        <v>46252</v>
      </c>
      <c r="P3944" s="2">
        <v>46252</v>
      </c>
      <c r="Q3944">
        <f>_xlfn.XLOOKUP(E3944,CPT!$A$2:$A$13,CPT!$D$2:$D$13)</f>
        <v>260</v>
      </c>
      <c r="R3944" s="1">
        <f>_xlfn.XLOOKUP(C3944,Contract!$A$2:$A$9,Contract!$B$2:$B$9)</f>
        <v>0.45</v>
      </c>
      <c r="S3944" s="1">
        <f t="shared" si="244"/>
        <v>117</v>
      </c>
      <c r="T3944" s="1">
        <f t="shared" si="245"/>
        <v>11.189999999999998</v>
      </c>
      <c r="U3944" s="1" t="str">
        <f t="shared" si="246"/>
        <v>Underpaid</v>
      </c>
      <c r="V3944" s="1" t="str">
        <f>_xlfn.XLOOKUP(C3944,Payers!$A$2:$A$9,Payers!$B$2:$B$9)</f>
        <v>Blue Horizon Commercial</v>
      </c>
      <c r="W3944" s="1" t="str">
        <f t="shared" si="247"/>
        <v>2026-08</v>
      </c>
    </row>
    <row r="3945" spans="1:23">
      <c r="A3945" s="1" t="s">
        <v>6345</v>
      </c>
      <c r="B3945" s="1" t="s">
        <v>3807</v>
      </c>
      <c r="C3945" s="1" t="s">
        <v>25</v>
      </c>
      <c r="D3945" s="1" t="s">
        <v>30</v>
      </c>
      <c r="E3945" s="1" t="s">
        <v>31</v>
      </c>
      <c r="F3945">
        <v>3</v>
      </c>
      <c r="G3945" s="2">
        <v>45945</v>
      </c>
      <c r="H3945" s="2">
        <v>45946</v>
      </c>
      <c r="I3945">
        <v>187.06</v>
      </c>
      <c r="M3945" s="1" t="s">
        <v>32</v>
      </c>
      <c r="N3945" s="1" t="s">
        <v>124</v>
      </c>
      <c r="O3945" s="2">
        <v>45964</v>
      </c>
      <c r="P3945" s="2"/>
      <c r="Q3945">
        <f>_xlfn.XLOOKUP(E3945,CPT!$A$2:$A$13,CPT!$D$2:$D$13)</f>
        <v>62</v>
      </c>
      <c r="R3945" s="1">
        <f>_xlfn.XLOOKUP(C3945,Contract!$A$2:$A$9,Contract!$B$2:$B$9)</f>
        <v>0.36</v>
      </c>
      <c r="S3945" s="1">
        <f t="shared" si="244"/>
        <v>66.959999999999994</v>
      </c>
      <c r="T3945" s="1" t="str">
        <f t="shared" si="245"/>
        <v/>
      </c>
      <c r="U3945" s="1" t="str">
        <f t="shared" si="246"/>
        <v/>
      </c>
      <c r="V3945" s="1" t="str">
        <f>_xlfn.XLOOKUP(C3945,Payers!$A$2:$A$9,Payers!$B$2:$B$9)</f>
        <v>Medicare Part B</v>
      </c>
      <c r="W3945" s="1" t="str">
        <f t="shared" si="247"/>
        <v>2025-10</v>
      </c>
    </row>
    <row r="3946" spans="1:23">
      <c r="A3946" s="1" t="s">
        <v>6346</v>
      </c>
      <c r="B3946" s="1" t="s">
        <v>6347</v>
      </c>
      <c r="C3946" s="1" t="s">
        <v>60</v>
      </c>
      <c r="D3946" s="1" t="s">
        <v>19</v>
      </c>
      <c r="E3946" s="1" t="s">
        <v>88</v>
      </c>
      <c r="F3946">
        <v>1</v>
      </c>
      <c r="G3946" s="2">
        <v>46286</v>
      </c>
      <c r="H3946" s="2">
        <v>46289</v>
      </c>
      <c r="I3946">
        <v>261.01</v>
      </c>
      <c r="M3946" s="1" t="s">
        <v>69</v>
      </c>
      <c r="N3946" s="1" t="s">
        <v>22</v>
      </c>
      <c r="O3946" s="2"/>
      <c r="P3946" s="2"/>
      <c r="Q3946">
        <f>_xlfn.XLOOKUP(E3946,CPT!$A$2:$A$13,CPT!$D$2:$D$13)</f>
        <v>260</v>
      </c>
      <c r="R3946" s="1">
        <f>_xlfn.XLOOKUP(C3946,Contract!$A$2:$A$9,Contract!$B$2:$B$9)</f>
        <v>0.45</v>
      </c>
      <c r="S3946" s="1">
        <f t="shared" si="244"/>
        <v>117</v>
      </c>
      <c r="T3946" s="1" t="str">
        <f t="shared" si="245"/>
        <v/>
      </c>
      <c r="U3946" s="1" t="str">
        <f t="shared" si="246"/>
        <v/>
      </c>
      <c r="V3946" s="1" t="str">
        <f>_xlfn.XLOOKUP(C3946,Payers!$A$2:$A$9,Payers!$B$2:$B$9)</f>
        <v>Blue Horizon Commercial</v>
      </c>
      <c r="W3946" s="1" t="str">
        <f t="shared" si="247"/>
        <v>2026-09</v>
      </c>
    </row>
    <row r="3947" spans="1:23">
      <c r="A3947" s="1" t="s">
        <v>6348</v>
      </c>
      <c r="B3947" s="1" t="s">
        <v>110</v>
      </c>
      <c r="C3947" s="1" t="s">
        <v>60</v>
      </c>
      <c r="D3947" s="1" t="s">
        <v>30</v>
      </c>
      <c r="E3947" s="1" t="s">
        <v>20</v>
      </c>
      <c r="F3947">
        <v>1</v>
      </c>
      <c r="G3947" s="2">
        <v>46017</v>
      </c>
      <c r="H3947" s="2">
        <v>46026</v>
      </c>
      <c r="I3947">
        <v>142.72</v>
      </c>
      <c r="J3947">
        <v>62.51</v>
      </c>
      <c r="K3947">
        <v>62.51</v>
      </c>
      <c r="L3947">
        <v>0</v>
      </c>
      <c r="M3947" s="1" t="s">
        <v>21</v>
      </c>
      <c r="N3947" s="1" t="s">
        <v>22</v>
      </c>
      <c r="O3947" s="2">
        <v>46057</v>
      </c>
      <c r="P3947" s="2">
        <v>46057</v>
      </c>
      <c r="Q3947">
        <f>_xlfn.XLOOKUP(E3947,CPT!$A$2:$A$13,CPT!$D$2:$D$13)</f>
        <v>145</v>
      </c>
      <c r="R3947" s="1">
        <f>_xlfn.XLOOKUP(C3947,Contract!$A$2:$A$9,Contract!$B$2:$B$9)</f>
        <v>0.45</v>
      </c>
      <c r="S3947" s="1">
        <f t="shared" si="244"/>
        <v>65.25</v>
      </c>
      <c r="T3947" s="1">
        <f t="shared" si="245"/>
        <v>2.740000000000002</v>
      </c>
      <c r="U3947" s="1" t="str">
        <f t="shared" si="246"/>
        <v>OK</v>
      </c>
      <c r="V3947" s="1" t="str">
        <f>_xlfn.XLOOKUP(C3947,Payers!$A$2:$A$9,Payers!$B$2:$B$9)</f>
        <v>Blue Horizon Commercial</v>
      </c>
      <c r="W3947" s="1" t="str">
        <f t="shared" si="247"/>
        <v>2025-12</v>
      </c>
    </row>
    <row r="3948" spans="1:23">
      <c r="A3948" s="1" t="s">
        <v>6349</v>
      </c>
      <c r="B3948" s="1" t="s">
        <v>5128</v>
      </c>
      <c r="C3948" s="1" t="s">
        <v>25</v>
      </c>
      <c r="D3948" s="1" t="s">
        <v>26</v>
      </c>
      <c r="E3948" s="1" t="s">
        <v>27</v>
      </c>
      <c r="F3948">
        <v>1</v>
      </c>
      <c r="G3948" s="2">
        <v>46273</v>
      </c>
      <c r="H3948" s="2">
        <v>46281</v>
      </c>
      <c r="I3948">
        <v>245.31</v>
      </c>
      <c r="M3948" s="1" t="s">
        <v>69</v>
      </c>
      <c r="N3948" s="1" t="s">
        <v>22</v>
      </c>
      <c r="O3948" s="2"/>
      <c r="P3948" s="2"/>
      <c r="Q3948">
        <f>_xlfn.XLOOKUP(E3948,CPT!$A$2:$A$13,CPT!$D$2:$D$13)</f>
        <v>240</v>
      </c>
      <c r="R3948" s="1">
        <f>_xlfn.XLOOKUP(C3948,Contract!$A$2:$A$9,Contract!$B$2:$B$9)</f>
        <v>0.36</v>
      </c>
      <c r="S3948" s="1">
        <f t="shared" si="244"/>
        <v>86.4</v>
      </c>
      <c r="T3948" s="1" t="str">
        <f t="shared" si="245"/>
        <v/>
      </c>
      <c r="U3948" s="1" t="str">
        <f t="shared" si="246"/>
        <v/>
      </c>
      <c r="V3948" s="1" t="str">
        <f>_xlfn.XLOOKUP(C3948,Payers!$A$2:$A$9,Payers!$B$2:$B$9)</f>
        <v>Medicare Part B</v>
      </c>
      <c r="W3948" s="1" t="str">
        <f t="shared" si="247"/>
        <v>2026-09</v>
      </c>
    </row>
    <row r="3949" spans="1:23">
      <c r="A3949" s="1" t="s">
        <v>6350</v>
      </c>
      <c r="B3949" s="1" t="s">
        <v>6351</v>
      </c>
      <c r="C3949" s="1" t="s">
        <v>52</v>
      </c>
      <c r="D3949" s="1" t="s">
        <v>26</v>
      </c>
      <c r="E3949" s="1" t="s">
        <v>57</v>
      </c>
      <c r="F3949">
        <v>1</v>
      </c>
      <c r="G3949" s="2">
        <v>46009</v>
      </c>
      <c r="H3949" s="2">
        <v>46012</v>
      </c>
      <c r="I3949">
        <v>210.58</v>
      </c>
      <c r="J3949">
        <v>98.85</v>
      </c>
      <c r="K3949">
        <v>98.85</v>
      </c>
      <c r="L3949">
        <v>0</v>
      </c>
      <c r="M3949" s="1" t="s">
        <v>21</v>
      </c>
      <c r="N3949" s="1" t="s">
        <v>22</v>
      </c>
      <c r="O3949" s="2">
        <v>46057</v>
      </c>
      <c r="P3949" s="2">
        <v>46057</v>
      </c>
      <c r="Q3949">
        <f>_xlfn.XLOOKUP(E3949,CPT!$A$2:$A$13,CPT!$D$2:$D$13)</f>
        <v>210</v>
      </c>
      <c r="R3949" s="1">
        <f>_xlfn.XLOOKUP(C3949,Contract!$A$2:$A$9,Contract!$B$2:$B$9)</f>
        <v>0.47</v>
      </c>
      <c r="S3949" s="1">
        <f t="shared" si="244"/>
        <v>98.7</v>
      </c>
      <c r="T3949" s="1">
        <f t="shared" si="245"/>
        <v>-0.14999999999999147</v>
      </c>
      <c r="U3949" s="1" t="str">
        <f t="shared" si="246"/>
        <v>OK</v>
      </c>
      <c r="V3949" s="1" t="str">
        <f>_xlfn.XLOOKUP(C3949,Payers!$A$2:$A$9,Payers!$B$2:$B$9)</f>
        <v>Keystone Commercial PPO</v>
      </c>
      <c r="W3949" s="1" t="str">
        <f t="shared" si="247"/>
        <v>2025-12</v>
      </c>
    </row>
    <row r="3950" spans="1:23">
      <c r="A3950" s="1" t="s">
        <v>6352</v>
      </c>
      <c r="B3950" s="1" t="s">
        <v>6353</v>
      </c>
      <c r="C3950" s="1" t="s">
        <v>60</v>
      </c>
      <c r="D3950" s="1" t="s">
        <v>37</v>
      </c>
      <c r="E3950" s="1" t="s">
        <v>57</v>
      </c>
      <c r="F3950">
        <v>1</v>
      </c>
      <c r="G3950" s="2">
        <v>46028</v>
      </c>
      <c r="H3950" s="2">
        <v>46029</v>
      </c>
      <c r="I3950">
        <v>203.83</v>
      </c>
      <c r="J3950">
        <v>92.93</v>
      </c>
      <c r="K3950">
        <v>92.93</v>
      </c>
      <c r="L3950">
        <v>0</v>
      </c>
      <c r="M3950" s="1" t="s">
        <v>21</v>
      </c>
      <c r="N3950" s="1" t="s">
        <v>22</v>
      </c>
      <c r="O3950" s="2">
        <v>46064</v>
      </c>
      <c r="P3950" s="2">
        <v>46064</v>
      </c>
      <c r="Q3950">
        <f>_xlfn.XLOOKUP(E3950,CPT!$A$2:$A$13,CPT!$D$2:$D$13)</f>
        <v>210</v>
      </c>
      <c r="R3950" s="1">
        <f>_xlfn.XLOOKUP(C3950,Contract!$A$2:$A$9,Contract!$B$2:$B$9)</f>
        <v>0.45</v>
      </c>
      <c r="S3950" s="1">
        <f t="shared" si="244"/>
        <v>94.5</v>
      </c>
      <c r="T3950" s="1">
        <f t="shared" si="245"/>
        <v>1.5699999999999932</v>
      </c>
      <c r="U3950" s="1" t="str">
        <f t="shared" si="246"/>
        <v>OK</v>
      </c>
      <c r="V3950" s="1" t="str">
        <f>_xlfn.XLOOKUP(C3950,Payers!$A$2:$A$9,Payers!$B$2:$B$9)</f>
        <v>Blue Horizon Commercial</v>
      </c>
      <c r="W3950" s="1" t="str">
        <f t="shared" si="247"/>
        <v>2026-01</v>
      </c>
    </row>
    <row r="3951" spans="1:23">
      <c r="A3951" s="1" t="s">
        <v>6354</v>
      </c>
      <c r="B3951" s="1" t="s">
        <v>2330</v>
      </c>
      <c r="C3951" s="1" t="s">
        <v>25</v>
      </c>
      <c r="D3951" s="1" t="s">
        <v>26</v>
      </c>
      <c r="E3951" s="1" t="s">
        <v>41</v>
      </c>
      <c r="F3951">
        <v>1</v>
      </c>
      <c r="G3951" s="2">
        <v>46124</v>
      </c>
      <c r="H3951" s="2">
        <v>46126</v>
      </c>
      <c r="I3951">
        <v>39.01</v>
      </c>
      <c r="J3951">
        <v>13.03</v>
      </c>
      <c r="K3951">
        <v>11.73</v>
      </c>
      <c r="L3951">
        <v>1.3</v>
      </c>
      <c r="M3951" s="1" t="s">
        <v>21</v>
      </c>
      <c r="N3951" s="1" t="s">
        <v>22</v>
      </c>
      <c r="O3951" s="2">
        <v>46140</v>
      </c>
      <c r="P3951" s="2">
        <v>46140</v>
      </c>
      <c r="Q3951">
        <f>_xlfn.XLOOKUP(E3951,CPT!$A$2:$A$13,CPT!$D$2:$D$13)</f>
        <v>38</v>
      </c>
      <c r="R3951" s="1">
        <f>_xlfn.XLOOKUP(C3951,Contract!$A$2:$A$9,Contract!$B$2:$B$9)</f>
        <v>0.36</v>
      </c>
      <c r="S3951" s="1">
        <f t="shared" si="244"/>
        <v>13.68</v>
      </c>
      <c r="T3951" s="1">
        <f t="shared" si="245"/>
        <v>0.65000000000000036</v>
      </c>
      <c r="U3951" s="1" t="str">
        <f t="shared" si="246"/>
        <v>OK</v>
      </c>
      <c r="V3951" s="1" t="str">
        <f>_xlfn.XLOOKUP(C3951,Payers!$A$2:$A$9,Payers!$B$2:$B$9)</f>
        <v>Medicare Part B</v>
      </c>
      <c r="W3951" s="1" t="str">
        <f t="shared" si="247"/>
        <v>2026-04</v>
      </c>
    </row>
    <row r="3952" spans="1:23">
      <c r="A3952" s="1" t="s">
        <v>6355</v>
      </c>
      <c r="B3952" s="1" t="s">
        <v>6356</v>
      </c>
      <c r="C3952" s="1" t="s">
        <v>79</v>
      </c>
      <c r="D3952" s="1" t="s">
        <v>30</v>
      </c>
      <c r="E3952" s="1" t="s">
        <v>31</v>
      </c>
      <c r="F3952">
        <v>1</v>
      </c>
      <c r="G3952" s="2">
        <v>46218</v>
      </c>
      <c r="H3952" s="2">
        <v>46226</v>
      </c>
      <c r="I3952">
        <v>61.8</v>
      </c>
      <c r="M3952" s="1" t="s">
        <v>69</v>
      </c>
      <c r="N3952" s="1" t="s">
        <v>22</v>
      </c>
      <c r="O3952" s="2"/>
      <c r="P3952" s="2"/>
      <c r="Q3952">
        <f>_xlfn.XLOOKUP(E3952,CPT!$A$2:$A$13,CPT!$D$2:$D$13)</f>
        <v>62</v>
      </c>
      <c r="R3952" s="1">
        <f>_xlfn.XLOOKUP(C3952,Contract!$A$2:$A$9,Contract!$B$2:$B$9)</f>
        <v>1</v>
      </c>
      <c r="S3952" s="1">
        <f t="shared" si="244"/>
        <v>62</v>
      </c>
      <c r="T3952" s="1" t="str">
        <f t="shared" si="245"/>
        <v/>
      </c>
      <c r="U3952" s="1" t="str">
        <f t="shared" si="246"/>
        <v/>
      </c>
      <c r="V3952" s="1" t="str">
        <f>_xlfn.XLOOKUP(C3952,Payers!$A$2:$A$9,Payers!$B$2:$B$9)</f>
        <v>Self-Pay</v>
      </c>
      <c r="W3952" s="1" t="str">
        <f t="shared" si="247"/>
        <v>2026-07</v>
      </c>
    </row>
    <row r="3953" spans="1:23">
      <c r="A3953" s="1" t="s">
        <v>6357</v>
      </c>
      <c r="B3953" s="1" t="s">
        <v>4348</v>
      </c>
      <c r="C3953" s="1" t="s">
        <v>25</v>
      </c>
      <c r="D3953" s="1" t="s">
        <v>30</v>
      </c>
      <c r="E3953" s="1" t="s">
        <v>20</v>
      </c>
      <c r="F3953">
        <v>1</v>
      </c>
      <c r="G3953" s="2">
        <v>46010</v>
      </c>
      <c r="H3953" s="2">
        <v>46013</v>
      </c>
      <c r="I3953">
        <v>146.41</v>
      </c>
      <c r="J3953">
        <v>48.41</v>
      </c>
      <c r="K3953">
        <v>48.41</v>
      </c>
      <c r="L3953">
        <v>0</v>
      </c>
      <c r="M3953" s="1" t="s">
        <v>21</v>
      </c>
      <c r="N3953" s="1" t="s">
        <v>22</v>
      </c>
      <c r="O3953" s="2">
        <v>46023</v>
      </c>
      <c r="P3953" s="2">
        <v>46023</v>
      </c>
      <c r="Q3953">
        <f>_xlfn.XLOOKUP(E3953,CPT!$A$2:$A$13,CPT!$D$2:$D$13)</f>
        <v>145</v>
      </c>
      <c r="R3953" s="1">
        <f>_xlfn.XLOOKUP(C3953,Contract!$A$2:$A$9,Contract!$B$2:$B$9)</f>
        <v>0.36</v>
      </c>
      <c r="S3953" s="1">
        <f t="shared" si="244"/>
        <v>52.2</v>
      </c>
      <c r="T3953" s="1">
        <f t="shared" si="245"/>
        <v>3.7900000000000063</v>
      </c>
      <c r="U3953" s="1" t="str">
        <f t="shared" si="246"/>
        <v>Underpaid</v>
      </c>
      <c r="V3953" s="1" t="str">
        <f>_xlfn.XLOOKUP(C3953,Payers!$A$2:$A$9,Payers!$B$2:$B$9)</f>
        <v>Medicare Part B</v>
      </c>
      <c r="W3953" s="1" t="str">
        <f t="shared" si="247"/>
        <v>2025-12</v>
      </c>
    </row>
    <row r="3954" spans="1:23">
      <c r="A3954" s="1" t="s">
        <v>6358</v>
      </c>
      <c r="B3954" s="1" t="s">
        <v>3222</v>
      </c>
      <c r="C3954" s="1" t="s">
        <v>25</v>
      </c>
      <c r="D3954" s="1" t="s">
        <v>30</v>
      </c>
      <c r="E3954" s="1" t="s">
        <v>31</v>
      </c>
      <c r="F3954">
        <v>3</v>
      </c>
      <c r="G3954" s="2">
        <v>46257</v>
      </c>
      <c r="H3954" s="2">
        <v>46262</v>
      </c>
      <c r="I3954">
        <v>185.86</v>
      </c>
      <c r="J3954">
        <v>58.34</v>
      </c>
      <c r="K3954">
        <v>58.34</v>
      </c>
      <c r="L3954">
        <v>0</v>
      </c>
      <c r="M3954" s="1" t="s">
        <v>21</v>
      </c>
      <c r="N3954" s="1" t="s">
        <v>22</v>
      </c>
      <c r="O3954" s="2">
        <v>46272</v>
      </c>
      <c r="P3954" s="2">
        <v>46272</v>
      </c>
      <c r="Q3954">
        <f>_xlfn.XLOOKUP(E3954,CPT!$A$2:$A$13,CPT!$D$2:$D$13)</f>
        <v>62</v>
      </c>
      <c r="R3954" s="1">
        <f>_xlfn.XLOOKUP(C3954,Contract!$A$2:$A$9,Contract!$B$2:$B$9)</f>
        <v>0.36</v>
      </c>
      <c r="S3954" s="1">
        <f t="shared" si="244"/>
        <v>66.959999999999994</v>
      </c>
      <c r="T3954" s="1">
        <f t="shared" si="245"/>
        <v>8.6199999999999903</v>
      </c>
      <c r="U3954" s="1" t="str">
        <f t="shared" si="246"/>
        <v>Underpaid</v>
      </c>
      <c r="V3954" s="1" t="str">
        <f>_xlfn.XLOOKUP(C3954,Payers!$A$2:$A$9,Payers!$B$2:$B$9)</f>
        <v>Medicare Part B</v>
      </c>
      <c r="W3954" s="1" t="str">
        <f t="shared" si="247"/>
        <v>2026-08</v>
      </c>
    </row>
    <row r="3955" spans="1:23">
      <c r="A3955" s="1" t="s">
        <v>6359</v>
      </c>
      <c r="B3955" s="1" t="s">
        <v>1002</v>
      </c>
      <c r="C3955" s="1" t="s">
        <v>52</v>
      </c>
      <c r="D3955" s="1" t="s">
        <v>19</v>
      </c>
      <c r="E3955" s="1" t="s">
        <v>88</v>
      </c>
      <c r="F3955">
        <v>1</v>
      </c>
      <c r="G3955" s="2">
        <v>46007</v>
      </c>
      <c r="H3955" s="2">
        <v>46012</v>
      </c>
      <c r="I3955">
        <v>266.12</v>
      </c>
      <c r="J3955">
        <v>131.80000000000001</v>
      </c>
      <c r="K3955">
        <v>131.80000000000001</v>
      </c>
      <c r="L3955">
        <v>0</v>
      </c>
      <c r="M3955" s="1" t="s">
        <v>21</v>
      </c>
      <c r="N3955" s="1" t="s">
        <v>22</v>
      </c>
      <c r="O3955" s="2">
        <v>46042</v>
      </c>
      <c r="P3955" s="2">
        <v>46042</v>
      </c>
      <c r="Q3955">
        <f>_xlfn.XLOOKUP(E3955,CPT!$A$2:$A$13,CPT!$D$2:$D$13)</f>
        <v>260</v>
      </c>
      <c r="R3955" s="1">
        <f>_xlfn.XLOOKUP(C3955,Contract!$A$2:$A$9,Contract!$B$2:$B$9)</f>
        <v>0.47</v>
      </c>
      <c r="S3955" s="1">
        <f t="shared" si="244"/>
        <v>122.2</v>
      </c>
      <c r="T3955" s="1">
        <f t="shared" si="245"/>
        <v>-9.6000000000000085</v>
      </c>
      <c r="U3955" s="1" t="str">
        <f t="shared" si="246"/>
        <v>OK</v>
      </c>
      <c r="V3955" s="1" t="str">
        <f>_xlfn.XLOOKUP(C3955,Payers!$A$2:$A$9,Payers!$B$2:$B$9)</f>
        <v>Keystone Commercial PPO</v>
      </c>
      <c r="W3955" s="1" t="str">
        <f t="shared" si="247"/>
        <v>2025-12</v>
      </c>
    </row>
    <row r="3956" spans="1:23">
      <c r="A3956" s="1" t="s">
        <v>6360</v>
      </c>
      <c r="B3956" s="1" t="s">
        <v>1634</v>
      </c>
      <c r="C3956" s="1" t="s">
        <v>60</v>
      </c>
      <c r="D3956" s="1" t="s">
        <v>26</v>
      </c>
      <c r="E3956" s="1" t="s">
        <v>27</v>
      </c>
      <c r="F3956">
        <v>1</v>
      </c>
      <c r="G3956" s="2">
        <v>46095</v>
      </c>
      <c r="H3956" s="2">
        <v>46099</v>
      </c>
      <c r="I3956">
        <v>246.62</v>
      </c>
      <c r="J3956">
        <v>94.36</v>
      </c>
      <c r="K3956">
        <v>94.36</v>
      </c>
      <c r="L3956">
        <v>0</v>
      </c>
      <c r="M3956" s="1" t="s">
        <v>21</v>
      </c>
      <c r="N3956" s="1" t="s">
        <v>22</v>
      </c>
      <c r="O3956" s="2">
        <v>46119</v>
      </c>
      <c r="P3956" s="2">
        <v>46119</v>
      </c>
      <c r="Q3956">
        <f>_xlfn.XLOOKUP(E3956,CPT!$A$2:$A$13,CPT!$D$2:$D$13)</f>
        <v>240</v>
      </c>
      <c r="R3956" s="1">
        <f>_xlfn.XLOOKUP(C3956,Contract!$A$2:$A$9,Contract!$B$2:$B$9)</f>
        <v>0.45</v>
      </c>
      <c r="S3956" s="1">
        <f t="shared" si="244"/>
        <v>108</v>
      </c>
      <c r="T3956" s="1">
        <f t="shared" si="245"/>
        <v>13.64</v>
      </c>
      <c r="U3956" s="1" t="str">
        <f t="shared" si="246"/>
        <v>Underpaid</v>
      </c>
      <c r="V3956" s="1" t="str">
        <f>_xlfn.XLOOKUP(C3956,Payers!$A$2:$A$9,Payers!$B$2:$B$9)</f>
        <v>Blue Horizon Commercial</v>
      </c>
      <c r="W3956" s="1" t="str">
        <f t="shared" si="247"/>
        <v>2026-03</v>
      </c>
    </row>
    <row r="3957" spans="1:23">
      <c r="A3957" s="1" t="s">
        <v>6361</v>
      </c>
      <c r="B3957" s="1" t="s">
        <v>6362</v>
      </c>
      <c r="C3957" s="1" t="s">
        <v>18</v>
      </c>
      <c r="D3957" s="1" t="s">
        <v>37</v>
      </c>
      <c r="E3957" s="1" t="s">
        <v>57</v>
      </c>
      <c r="F3957">
        <v>1</v>
      </c>
      <c r="G3957" s="2">
        <v>45960</v>
      </c>
      <c r="H3957" s="2">
        <v>45969</v>
      </c>
      <c r="I3957">
        <v>216.06</v>
      </c>
      <c r="J3957">
        <v>93.83</v>
      </c>
      <c r="K3957">
        <v>84.45</v>
      </c>
      <c r="L3957">
        <v>9.3800000000000008</v>
      </c>
      <c r="M3957" s="1" t="s">
        <v>21</v>
      </c>
      <c r="N3957" s="1" t="s">
        <v>22</v>
      </c>
      <c r="O3957" s="2">
        <v>46005</v>
      </c>
      <c r="P3957" s="2">
        <v>46005</v>
      </c>
      <c r="Q3957">
        <f>_xlfn.XLOOKUP(E3957,CPT!$A$2:$A$13,CPT!$D$2:$D$13)</f>
        <v>210</v>
      </c>
      <c r="R3957" s="1">
        <f>_xlfn.XLOOKUP(C3957,Contract!$A$2:$A$9,Contract!$B$2:$B$9)</f>
        <v>0.38</v>
      </c>
      <c r="S3957" s="1">
        <f t="shared" si="244"/>
        <v>79.8</v>
      </c>
      <c r="T3957" s="1">
        <f t="shared" si="245"/>
        <v>-14.030000000000001</v>
      </c>
      <c r="U3957" s="1" t="str">
        <f t="shared" si="246"/>
        <v>OK</v>
      </c>
      <c r="V3957" s="1" t="str">
        <f>_xlfn.XLOOKUP(C3957,Payers!$A$2:$A$9,Payers!$B$2:$B$9)</f>
        <v>Sunshine Medicare Advantage</v>
      </c>
      <c r="W3957" s="1" t="str">
        <f t="shared" si="247"/>
        <v>2025-10</v>
      </c>
    </row>
    <row r="3958" spans="1:23">
      <c r="A3958" s="1" t="s">
        <v>6363</v>
      </c>
      <c r="B3958" s="1" t="s">
        <v>2090</v>
      </c>
      <c r="C3958" s="1" t="s">
        <v>25</v>
      </c>
      <c r="D3958" s="1" t="s">
        <v>19</v>
      </c>
      <c r="E3958" s="1" t="s">
        <v>88</v>
      </c>
      <c r="F3958">
        <v>1</v>
      </c>
      <c r="G3958" s="2">
        <v>46011</v>
      </c>
      <c r="H3958" s="2">
        <v>46012</v>
      </c>
      <c r="I3958">
        <v>262.37</v>
      </c>
      <c r="J3958">
        <v>106.69</v>
      </c>
      <c r="K3958">
        <v>106.69</v>
      </c>
      <c r="L3958">
        <v>0</v>
      </c>
      <c r="M3958" s="1" t="s">
        <v>21</v>
      </c>
      <c r="N3958" s="1" t="s">
        <v>22</v>
      </c>
      <c r="O3958" s="2">
        <v>46023</v>
      </c>
      <c r="P3958" s="2">
        <v>46023</v>
      </c>
      <c r="Q3958">
        <f>_xlfn.XLOOKUP(E3958,CPT!$A$2:$A$13,CPT!$D$2:$D$13)</f>
        <v>260</v>
      </c>
      <c r="R3958" s="1">
        <f>_xlfn.XLOOKUP(C3958,Contract!$A$2:$A$9,Contract!$B$2:$B$9)</f>
        <v>0.36</v>
      </c>
      <c r="S3958" s="1">
        <f t="shared" si="244"/>
        <v>93.6</v>
      </c>
      <c r="T3958" s="1">
        <f t="shared" si="245"/>
        <v>-13.090000000000003</v>
      </c>
      <c r="U3958" s="1" t="str">
        <f t="shared" si="246"/>
        <v>OK</v>
      </c>
      <c r="V3958" s="1" t="str">
        <f>_xlfn.XLOOKUP(C3958,Payers!$A$2:$A$9,Payers!$B$2:$B$9)</f>
        <v>Medicare Part B</v>
      </c>
      <c r="W3958" s="1" t="str">
        <f t="shared" si="247"/>
        <v>2025-12</v>
      </c>
    </row>
    <row r="3959" spans="1:23">
      <c r="A3959" s="1" t="s">
        <v>6364</v>
      </c>
      <c r="B3959" s="1" t="s">
        <v>803</v>
      </c>
      <c r="C3959" s="1" t="s">
        <v>47</v>
      </c>
      <c r="D3959" s="1" t="s">
        <v>26</v>
      </c>
      <c r="E3959" s="1" t="s">
        <v>185</v>
      </c>
      <c r="F3959">
        <v>1</v>
      </c>
      <c r="G3959" s="2">
        <v>45972</v>
      </c>
      <c r="H3959" s="2">
        <v>45976</v>
      </c>
      <c r="I3959">
        <v>1171.3599999999999</v>
      </c>
      <c r="J3959">
        <v>288.27</v>
      </c>
      <c r="K3959">
        <v>288.27</v>
      </c>
      <c r="L3959">
        <v>0</v>
      </c>
      <c r="M3959" s="1" t="s">
        <v>21</v>
      </c>
      <c r="N3959" s="1" t="s">
        <v>22</v>
      </c>
      <c r="O3959" s="2">
        <v>46017</v>
      </c>
      <c r="P3959" s="2">
        <v>46017</v>
      </c>
      <c r="Q3959">
        <f>_xlfn.XLOOKUP(E3959,CPT!$A$2:$A$13,CPT!$D$2:$D$13)</f>
        <v>1150</v>
      </c>
      <c r="R3959" s="1">
        <f>_xlfn.XLOOKUP(C3959,Contract!$A$2:$A$9,Contract!$B$2:$B$9)</f>
        <v>0.28000000000000003</v>
      </c>
      <c r="S3959" s="1">
        <f t="shared" si="244"/>
        <v>322</v>
      </c>
      <c r="T3959" s="1">
        <f t="shared" si="245"/>
        <v>33.730000000000018</v>
      </c>
      <c r="U3959" s="1" t="str">
        <f t="shared" si="246"/>
        <v>Underpaid</v>
      </c>
      <c r="V3959" s="1" t="str">
        <f>_xlfn.XLOOKUP(C3959,Payers!$A$2:$A$9,Payers!$B$2:$B$9)</f>
        <v>Coastal Medicaid MCO</v>
      </c>
      <c r="W3959" s="1" t="str">
        <f t="shared" si="247"/>
        <v>2025-11</v>
      </c>
    </row>
    <row r="3960" spans="1:23">
      <c r="A3960" s="1" t="s">
        <v>6365</v>
      </c>
      <c r="B3960" s="1" t="s">
        <v>4431</v>
      </c>
      <c r="C3960" s="1" t="s">
        <v>52</v>
      </c>
      <c r="D3960" s="1" t="s">
        <v>26</v>
      </c>
      <c r="E3960" s="1" t="s">
        <v>44</v>
      </c>
      <c r="F3960">
        <v>1</v>
      </c>
      <c r="G3960" s="2">
        <v>46205</v>
      </c>
      <c r="H3960" s="2">
        <v>46207</v>
      </c>
      <c r="I3960">
        <v>4868.74</v>
      </c>
      <c r="M3960" s="1" t="s">
        <v>32</v>
      </c>
      <c r="N3960" s="1" t="s">
        <v>168</v>
      </c>
      <c r="O3960" s="2">
        <v>46255</v>
      </c>
      <c r="P3960" s="2"/>
      <c r="Q3960">
        <f>_xlfn.XLOOKUP(E3960,CPT!$A$2:$A$13,CPT!$D$2:$D$13)</f>
        <v>4800</v>
      </c>
      <c r="R3960" s="1">
        <f>_xlfn.XLOOKUP(C3960,Contract!$A$2:$A$9,Contract!$B$2:$B$9)</f>
        <v>0.47</v>
      </c>
      <c r="S3960" s="1">
        <f t="shared" si="244"/>
        <v>2256</v>
      </c>
      <c r="T3960" s="1" t="str">
        <f t="shared" si="245"/>
        <v/>
      </c>
      <c r="U3960" s="1" t="str">
        <f t="shared" si="246"/>
        <v/>
      </c>
      <c r="V3960" s="1" t="str">
        <f>_xlfn.XLOOKUP(C3960,Payers!$A$2:$A$9,Payers!$B$2:$B$9)</f>
        <v>Keystone Commercial PPO</v>
      </c>
      <c r="W3960" s="1" t="str">
        <f t="shared" si="247"/>
        <v>2026-07</v>
      </c>
    </row>
    <row r="3961" spans="1:23">
      <c r="A3961" s="1" t="s">
        <v>6366</v>
      </c>
      <c r="B3961" s="1" t="s">
        <v>4952</v>
      </c>
      <c r="C3961" s="1" t="s">
        <v>60</v>
      </c>
      <c r="D3961" s="1" t="s">
        <v>37</v>
      </c>
      <c r="E3961" s="1" t="s">
        <v>38</v>
      </c>
      <c r="F3961">
        <v>10</v>
      </c>
      <c r="G3961" s="2">
        <v>46183</v>
      </c>
      <c r="H3961" s="2">
        <v>46191</v>
      </c>
      <c r="I3961">
        <v>14923.94</v>
      </c>
      <c r="J3961">
        <v>7054.25</v>
      </c>
      <c r="K3961">
        <v>6348.82</v>
      </c>
      <c r="L3961">
        <v>705.43</v>
      </c>
      <c r="M3961" s="1" t="s">
        <v>21</v>
      </c>
      <c r="N3961" s="1" t="s">
        <v>22</v>
      </c>
      <c r="O3961" s="2">
        <v>46223</v>
      </c>
      <c r="P3961" s="2">
        <v>46223</v>
      </c>
      <c r="Q3961">
        <f>_xlfn.XLOOKUP(E3961,CPT!$A$2:$A$13,CPT!$D$2:$D$13)</f>
        <v>1450</v>
      </c>
      <c r="R3961" s="1">
        <f>_xlfn.XLOOKUP(C3961,Contract!$A$2:$A$9,Contract!$B$2:$B$9)</f>
        <v>0.45</v>
      </c>
      <c r="S3961" s="1">
        <f t="shared" si="244"/>
        <v>6525</v>
      </c>
      <c r="T3961" s="1">
        <f t="shared" si="245"/>
        <v>-529.25</v>
      </c>
      <c r="U3961" s="1" t="str">
        <f t="shared" si="246"/>
        <v>OK</v>
      </c>
      <c r="V3961" s="1" t="str">
        <f>_xlfn.XLOOKUP(C3961,Payers!$A$2:$A$9,Payers!$B$2:$B$9)</f>
        <v>Blue Horizon Commercial</v>
      </c>
      <c r="W3961" s="1" t="str">
        <f t="shared" si="247"/>
        <v>2026-06</v>
      </c>
    </row>
    <row r="3962" spans="1:23">
      <c r="A3962" s="1" t="s">
        <v>6367</v>
      </c>
      <c r="B3962" s="1" t="s">
        <v>2446</v>
      </c>
      <c r="C3962" s="1" t="s">
        <v>25</v>
      </c>
      <c r="D3962" s="1" t="s">
        <v>30</v>
      </c>
      <c r="E3962" s="1" t="s">
        <v>31</v>
      </c>
      <c r="F3962">
        <v>1</v>
      </c>
      <c r="G3962" s="2">
        <v>46185</v>
      </c>
      <c r="H3962" s="2">
        <v>46199</v>
      </c>
      <c r="I3962">
        <v>63.35</v>
      </c>
      <c r="J3962">
        <v>22.43</v>
      </c>
      <c r="K3962">
        <v>22.43</v>
      </c>
      <c r="L3962">
        <v>0</v>
      </c>
      <c r="M3962" s="1" t="s">
        <v>21</v>
      </c>
      <c r="N3962" s="1" t="s">
        <v>22</v>
      </c>
      <c r="O3962" s="2">
        <v>46213</v>
      </c>
      <c r="P3962" s="2">
        <v>46213</v>
      </c>
      <c r="Q3962">
        <f>_xlfn.XLOOKUP(E3962,CPT!$A$2:$A$13,CPT!$D$2:$D$13)</f>
        <v>62</v>
      </c>
      <c r="R3962" s="1">
        <f>_xlfn.XLOOKUP(C3962,Contract!$A$2:$A$9,Contract!$B$2:$B$9)</f>
        <v>0.36</v>
      </c>
      <c r="S3962" s="1">
        <f t="shared" si="244"/>
        <v>22.32</v>
      </c>
      <c r="T3962" s="1">
        <f t="shared" si="245"/>
        <v>-0.10999999999999943</v>
      </c>
      <c r="U3962" s="1" t="str">
        <f t="shared" si="246"/>
        <v>OK</v>
      </c>
      <c r="V3962" s="1" t="str">
        <f>_xlfn.XLOOKUP(C3962,Payers!$A$2:$A$9,Payers!$B$2:$B$9)</f>
        <v>Medicare Part B</v>
      </c>
      <c r="W3962" s="1" t="str">
        <f t="shared" si="247"/>
        <v>2026-06</v>
      </c>
    </row>
    <row r="3963" spans="1:23">
      <c r="A3963" s="1" t="s">
        <v>6368</v>
      </c>
      <c r="B3963" s="1" t="s">
        <v>4378</v>
      </c>
      <c r="C3963" s="1" t="s">
        <v>47</v>
      </c>
      <c r="D3963" s="1" t="s">
        <v>19</v>
      </c>
      <c r="E3963" s="1" t="s">
        <v>88</v>
      </c>
      <c r="F3963">
        <v>1</v>
      </c>
      <c r="G3963" s="2">
        <v>46146</v>
      </c>
      <c r="H3963" s="2">
        <v>46151</v>
      </c>
      <c r="I3963">
        <v>260</v>
      </c>
      <c r="J3963">
        <v>70.83</v>
      </c>
      <c r="K3963">
        <v>70.83</v>
      </c>
      <c r="L3963">
        <v>0</v>
      </c>
      <c r="M3963" s="1" t="s">
        <v>21</v>
      </c>
      <c r="N3963" s="1" t="s">
        <v>22</v>
      </c>
      <c r="O3963" s="2">
        <v>46187</v>
      </c>
      <c r="P3963" s="2">
        <v>46187</v>
      </c>
      <c r="Q3963">
        <f>_xlfn.XLOOKUP(E3963,CPT!$A$2:$A$13,CPT!$D$2:$D$13)</f>
        <v>260</v>
      </c>
      <c r="R3963" s="1">
        <f>_xlfn.XLOOKUP(C3963,Contract!$A$2:$A$9,Contract!$B$2:$B$9)</f>
        <v>0.28000000000000003</v>
      </c>
      <c r="S3963" s="1">
        <f t="shared" si="244"/>
        <v>72.8</v>
      </c>
      <c r="T3963" s="1">
        <f t="shared" si="245"/>
        <v>1.9699999999999989</v>
      </c>
      <c r="U3963" s="1" t="str">
        <f t="shared" si="246"/>
        <v>OK</v>
      </c>
      <c r="V3963" s="1" t="str">
        <f>_xlfn.XLOOKUP(C3963,Payers!$A$2:$A$9,Payers!$B$2:$B$9)</f>
        <v>Coastal Medicaid MCO</v>
      </c>
      <c r="W3963" s="1" t="str">
        <f t="shared" si="247"/>
        <v>2026-05</v>
      </c>
    </row>
    <row r="3964" spans="1:23">
      <c r="A3964" s="1" t="s">
        <v>6369</v>
      </c>
      <c r="B3964" s="1" t="s">
        <v>6370</v>
      </c>
      <c r="C3964" s="1" t="s">
        <v>25</v>
      </c>
      <c r="D3964" s="1" t="s">
        <v>26</v>
      </c>
      <c r="E3964" s="1" t="s">
        <v>41</v>
      </c>
      <c r="F3964">
        <v>1</v>
      </c>
      <c r="G3964" s="2">
        <v>45987</v>
      </c>
      <c r="H3964" s="2">
        <v>45988</v>
      </c>
      <c r="I3964">
        <v>37.15</v>
      </c>
      <c r="J3964">
        <v>12.43</v>
      </c>
      <c r="K3964">
        <v>11.19</v>
      </c>
      <c r="L3964">
        <v>1.24</v>
      </c>
      <c r="M3964" s="1" t="s">
        <v>21</v>
      </c>
      <c r="N3964" s="1" t="s">
        <v>22</v>
      </c>
      <c r="O3964" s="2">
        <v>46008</v>
      </c>
      <c r="P3964" s="2">
        <v>46008</v>
      </c>
      <c r="Q3964">
        <f>_xlfn.XLOOKUP(E3964,CPT!$A$2:$A$13,CPT!$D$2:$D$13)</f>
        <v>38</v>
      </c>
      <c r="R3964" s="1">
        <f>_xlfn.XLOOKUP(C3964,Contract!$A$2:$A$9,Contract!$B$2:$B$9)</f>
        <v>0.36</v>
      </c>
      <c r="S3964" s="1">
        <f t="shared" si="244"/>
        <v>13.68</v>
      </c>
      <c r="T3964" s="1">
        <f t="shared" si="245"/>
        <v>1.25</v>
      </c>
      <c r="U3964" s="1" t="str">
        <f t="shared" si="246"/>
        <v>Underpaid</v>
      </c>
      <c r="V3964" s="1" t="str">
        <f>_xlfn.XLOOKUP(C3964,Payers!$A$2:$A$9,Payers!$B$2:$B$9)</f>
        <v>Medicare Part B</v>
      </c>
      <c r="W3964" s="1" t="str">
        <f t="shared" si="247"/>
        <v>2025-11</v>
      </c>
    </row>
    <row r="3965" spans="1:23">
      <c r="A3965" s="1" t="s">
        <v>6371</v>
      </c>
      <c r="B3965" s="1" t="s">
        <v>95</v>
      </c>
      <c r="C3965" s="1" t="s">
        <v>60</v>
      </c>
      <c r="D3965" s="1" t="s">
        <v>19</v>
      </c>
      <c r="E3965" s="1" t="s">
        <v>20</v>
      </c>
      <c r="F3965">
        <v>1</v>
      </c>
      <c r="G3965" s="2">
        <v>46107</v>
      </c>
      <c r="H3965" s="2">
        <v>46112</v>
      </c>
      <c r="I3965">
        <v>141.66</v>
      </c>
      <c r="J3965">
        <v>66.739999999999995</v>
      </c>
      <c r="K3965">
        <v>66.739999999999995</v>
      </c>
      <c r="L3965">
        <v>0</v>
      </c>
      <c r="M3965" s="1" t="s">
        <v>21</v>
      </c>
      <c r="N3965" s="1" t="s">
        <v>22</v>
      </c>
      <c r="O3965" s="2">
        <v>46150</v>
      </c>
      <c r="P3965" s="2">
        <v>46150</v>
      </c>
      <c r="Q3965">
        <f>_xlfn.XLOOKUP(E3965,CPT!$A$2:$A$13,CPT!$D$2:$D$13)</f>
        <v>145</v>
      </c>
      <c r="R3965" s="1">
        <f>_xlfn.XLOOKUP(C3965,Contract!$A$2:$A$9,Contract!$B$2:$B$9)</f>
        <v>0.45</v>
      </c>
      <c r="S3965" s="1">
        <f t="shared" si="244"/>
        <v>65.25</v>
      </c>
      <c r="T3965" s="1">
        <f t="shared" si="245"/>
        <v>-1.4899999999999949</v>
      </c>
      <c r="U3965" s="1" t="str">
        <f t="shared" si="246"/>
        <v>OK</v>
      </c>
      <c r="V3965" s="1" t="str">
        <f>_xlfn.XLOOKUP(C3965,Payers!$A$2:$A$9,Payers!$B$2:$B$9)</f>
        <v>Blue Horizon Commercial</v>
      </c>
      <c r="W3965" s="1" t="str">
        <f t="shared" si="247"/>
        <v>2026-03</v>
      </c>
    </row>
    <row r="3966" spans="1:23">
      <c r="A3966" s="1" t="s">
        <v>6372</v>
      </c>
      <c r="B3966" s="1" t="s">
        <v>4840</v>
      </c>
      <c r="C3966" s="1" t="s">
        <v>60</v>
      </c>
      <c r="D3966" s="1" t="s">
        <v>37</v>
      </c>
      <c r="E3966" s="1" t="s">
        <v>48</v>
      </c>
      <c r="F3966">
        <v>1</v>
      </c>
      <c r="G3966" s="2">
        <v>46115</v>
      </c>
      <c r="H3966" s="2">
        <v>46118</v>
      </c>
      <c r="I3966">
        <v>427.78</v>
      </c>
      <c r="J3966">
        <v>172.1</v>
      </c>
      <c r="K3966">
        <v>154.88999999999999</v>
      </c>
      <c r="L3966">
        <v>17.21</v>
      </c>
      <c r="M3966" s="1" t="s">
        <v>21</v>
      </c>
      <c r="N3966" s="1" t="s">
        <v>22</v>
      </c>
      <c r="O3966" s="2">
        <v>46143</v>
      </c>
      <c r="P3966" s="2">
        <v>46143</v>
      </c>
      <c r="Q3966">
        <f>_xlfn.XLOOKUP(E3966,CPT!$A$2:$A$13,CPT!$D$2:$D$13)</f>
        <v>420</v>
      </c>
      <c r="R3966" s="1">
        <f>_xlfn.XLOOKUP(C3966,Contract!$A$2:$A$9,Contract!$B$2:$B$9)</f>
        <v>0.45</v>
      </c>
      <c r="S3966" s="1">
        <f t="shared" si="244"/>
        <v>189</v>
      </c>
      <c r="T3966" s="1">
        <f t="shared" si="245"/>
        <v>16.900000000000006</v>
      </c>
      <c r="U3966" s="1" t="str">
        <f t="shared" si="246"/>
        <v>Underpaid</v>
      </c>
      <c r="V3966" s="1" t="str">
        <f>_xlfn.XLOOKUP(C3966,Payers!$A$2:$A$9,Payers!$B$2:$B$9)</f>
        <v>Blue Horizon Commercial</v>
      </c>
      <c r="W3966" s="1" t="str">
        <f t="shared" si="247"/>
        <v>2026-04</v>
      </c>
    </row>
    <row r="3967" spans="1:23">
      <c r="A3967" s="1" t="s">
        <v>6373</v>
      </c>
      <c r="B3967" s="1" t="s">
        <v>3789</v>
      </c>
      <c r="C3967" s="1" t="s">
        <v>47</v>
      </c>
      <c r="D3967" s="1" t="s">
        <v>19</v>
      </c>
      <c r="E3967" s="1" t="s">
        <v>20</v>
      </c>
      <c r="F3967">
        <v>1</v>
      </c>
      <c r="G3967" s="2">
        <v>46203</v>
      </c>
      <c r="H3967" s="2">
        <v>46206</v>
      </c>
      <c r="I3967">
        <v>142.5</v>
      </c>
      <c r="J3967">
        <v>41.03</v>
      </c>
      <c r="K3967">
        <v>41.03</v>
      </c>
      <c r="L3967">
        <v>0</v>
      </c>
      <c r="M3967" s="1" t="s">
        <v>21</v>
      </c>
      <c r="N3967" s="1" t="s">
        <v>22</v>
      </c>
      <c r="O3967" s="2">
        <v>46287</v>
      </c>
      <c r="P3967" s="2">
        <v>46287</v>
      </c>
      <c r="Q3967">
        <f>_xlfn.XLOOKUP(E3967,CPT!$A$2:$A$13,CPT!$D$2:$D$13)</f>
        <v>145</v>
      </c>
      <c r="R3967" s="1">
        <f>_xlfn.XLOOKUP(C3967,Contract!$A$2:$A$9,Contract!$B$2:$B$9)</f>
        <v>0.28000000000000003</v>
      </c>
      <c r="S3967" s="1">
        <f t="shared" si="244"/>
        <v>40.6</v>
      </c>
      <c r="T3967" s="1">
        <f t="shared" si="245"/>
        <v>-0.42999999999999972</v>
      </c>
      <c r="U3967" s="1" t="str">
        <f t="shared" si="246"/>
        <v>OK</v>
      </c>
      <c r="V3967" s="1" t="str">
        <f>_xlfn.XLOOKUP(C3967,Payers!$A$2:$A$9,Payers!$B$2:$B$9)</f>
        <v>Coastal Medicaid MCO</v>
      </c>
      <c r="W3967" s="1" t="str">
        <f t="shared" si="247"/>
        <v>2026-06</v>
      </c>
    </row>
    <row r="3968" spans="1:23">
      <c r="A3968" s="1" t="s">
        <v>6374</v>
      </c>
      <c r="B3968" s="1" t="s">
        <v>4060</v>
      </c>
      <c r="C3968" s="1" t="s">
        <v>18</v>
      </c>
      <c r="D3968" s="1" t="s">
        <v>37</v>
      </c>
      <c r="E3968" s="1" t="s">
        <v>38</v>
      </c>
      <c r="F3968">
        <v>10</v>
      </c>
      <c r="G3968" s="2">
        <v>46144</v>
      </c>
      <c r="H3968" s="2">
        <v>46147</v>
      </c>
      <c r="I3968">
        <v>14297.32</v>
      </c>
      <c r="J3968">
        <v>5766.2</v>
      </c>
      <c r="K3968">
        <v>5766.2</v>
      </c>
      <c r="L3968">
        <v>0</v>
      </c>
      <c r="M3968" s="1" t="s">
        <v>21</v>
      </c>
      <c r="N3968" s="1" t="s">
        <v>22</v>
      </c>
      <c r="O3968" s="2">
        <v>46170</v>
      </c>
      <c r="P3968" s="2">
        <v>46170</v>
      </c>
      <c r="Q3968">
        <f>_xlfn.XLOOKUP(E3968,CPT!$A$2:$A$13,CPT!$D$2:$D$13)</f>
        <v>1450</v>
      </c>
      <c r="R3968" s="1">
        <f>_xlfn.XLOOKUP(C3968,Contract!$A$2:$A$9,Contract!$B$2:$B$9)</f>
        <v>0.38</v>
      </c>
      <c r="S3968" s="1">
        <f t="shared" si="244"/>
        <v>5510</v>
      </c>
      <c r="T3968" s="1">
        <f t="shared" si="245"/>
        <v>-256.19999999999982</v>
      </c>
      <c r="U3968" s="1" t="str">
        <f t="shared" si="246"/>
        <v>OK</v>
      </c>
      <c r="V3968" s="1" t="str">
        <f>_xlfn.XLOOKUP(C3968,Payers!$A$2:$A$9,Payers!$B$2:$B$9)</f>
        <v>Sunshine Medicare Advantage</v>
      </c>
      <c r="W3968" s="1" t="str">
        <f t="shared" si="247"/>
        <v>2026-05</v>
      </c>
    </row>
    <row r="3969" spans="1:23">
      <c r="A3969" s="1" t="s">
        <v>6375</v>
      </c>
      <c r="B3969" s="1" t="s">
        <v>6376</v>
      </c>
      <c r="C3969" s="1" t="s">
        <v>60</v>
      </c>
      <c r="D3969" s="1" t="s">
        <v>37</v>
      </c>
      <c r="E3969" s="1" t="s">
        <v>38</v>
      </c>
      <c r="F3969">
        <v>30</v>
      </c>
      <c r="G3969" s="2">
        <v>46092</v>
      </c>
      <c r="H3969" s="2">
        <v>46095</v>
      </c>
      <c r="I3969">
        <v>44480.4</v>
      </c>
      <c r="J3969">
        <v>21742.1</v>
      </c>
      <c r="K3969">
        <v>17393.68</v>
      </c>
      <c r="L3969">
        <v>4348.42</v>
      </c>
      <c r="M3969" s="1" t="s">
        <v>21</v>
      </c>
      <c r="N3969" s="1" t="s">
        <v>22</v>
      </c>
      <c r="O3969" s="2">
        <v>46122</v>
      </c>
      <c r="P3969" s="2">
        <v>46122</v>
      </c>
      <c r="Q3969">
        <f>_xlfn.XLOOKUP(E3969,CPT!$A$2:$A$13,CPT!$D$2:$D$13)</f>
        <v>1450</v>
      </c>
      <c r="R3969" s="1">
        <f>_xlfn.XLOOKUP(C3969,Contract!$A$2:$A$9,Contract!$B$2:$B$9)</f>
        <v>0.45</v>
      </c>
      <c r="S3969" s="1">
        <f t="shared" si="244"/>
        <v>19575</v>
      </c>
      <c r="T3969" s="1">
        <f t="shared" si="245"/>
        <v>-2167.0999999999985</v>
      </c>
      <c r="U3969" s="1" t="str">
        <f t="shared" si="246"/>
        <v>OK</v>
      </c>
      <c r="V3969" s="1" t="str">
        <f>_xlfn.XLOOKUP(C3969,Payers!$A$2:$A$9,Payers!$B$2:$B$9)</f>
        <v>Blue Horizon Commercial</v>
      </c>
      <c r="W3969" s="1" t="str">
        <f t="shared" si="247"/>
        <v>2026-03</v>
      </c>
    </row>
    <row r="3970" spans="1:23">
      <c r="A3970" s="1" t="s">
        <v>6377</v>
      </c>
      <c r="B3970" s="1" t="s">
        <v>2029</v>
      </c>
      <c r="C3970" s="1" t="s">
        <v>47</v>
      </c>
      <c r="D3970" s="1" t="s">
        <v>37</v>
      </c>
      <c r="E3970" s="1" t="s">
        <v>38</v>
      </c>
      <c r="F3970">
        <v>30</v>
      </c>
      <c r="G3970" s="2">
        <v>46176</v>
      </c>
      <c r="H3970" s="2">
        <v>46179</v>
      </c>
      <c r="I3970">
        <v>43093.42</v>
      </c>
      <c r="J3970">
        <v>11450.94</v>
      </c>
      <c r="K3970">
        <v>10305.85</v>
      </c>
      <c r="L3970">
        <v>1145.0899999999999</v>
      </c>
      <c r="M3970" s="1" t="s">
        <v>21</v>
      </c>
      <c r="N3970" s="1" t="s">
        <v>22</v>
      </c>
      <c r="O3970" s="2">
        <v>46230</v>
      </c>
      <c r="P3970" s="2">
        <v>46230</v>
      </c>
      <c r="Q3970">
        <f>_xlfn.XLOOKUP(E3970,CPT!$A$2:$A$13,CPT!$D$2:$D$13)</f>
        <v>1450</v>
      </c>
      <c r="R3970" s="1">
        <f>_xlfn.XLOOKUP(C3970,Contract!$A$2:$A$9,Contract!$B$2:$B$9)</f>
        <v>0.28000000000000003</v>
      </c>
      <c r="S3970" s="1">
        <f t="shared" ref="S3970:S4033" si="248">ROUND(Q3970*F3970*R3970,2)</f>
        <v>12180</v>
      </c>
      <c r="T3970" s="1">
        <f t="shared" ref="T3970:T4033" si="249">IF(M3970="Paid",S3970-J3970,"")</f>
        <v>729.05999999999949</v>
      </c>
      <c r="U3970" s="1" t="str">
        <f t="shared" ref="U3970:U4033" si="250">IF(M3970&lt;&gt;"Paid","",IF(T3970&gt;S3970*0.05,"Underpaid","OK"))</f>
        <v>Underpaid</v>
      </c>
      <c r="V3970" s="1" t="str">
        <f>_xlfn.XLOOKUP(C3970,Payers!$A$2:$A$9,Payers!$B$2:$B$9)</f>
        <v>Coastal Medicaid MCO</v>
      </c>
      <c r="W3970" s="1" t="str">
        <f t="shared" ref="W3970:W4033" si="251">TEXT(G3970,"yyyy-mm")</f>
        <v>2026-06</v>
      </c>
    </row>
    <row r="3971" spans="1:23">
      <c r="A3971" s="1" t="s">
        <v>6378</v>
      </c>
      <c r="B3971" s="1" t="s">
        <v>54</v>
      </c>
      <c r="C3971" s="1" t="s">
        <v>60</v>
      </c>
      <c r="D3971" s="1" t="s">
        <v>30</v>
      </c>
      <c r="E3971" s="1" t="s">
        <v>91</v>
      </c>
      <c r="F3971">
        <v>2</v>
      </c>
      <c r="G3971" s="2">
        <v>46149</v>
      </c>
      <c r="H3971" s="2">
        <v>46163</v>
      </c>
      <c r="I3971">
        <v>114.38</v>
      </c>
      <c r="J3971">
        <v>49.88</v>
      </c>
      <c r="K3971">
        <v>39.9</v>
      </c>
      <c r="L3971">
        <v>9.98</v>
      </c>
      <c r="M3971" s="1" t="s">
        <v>21</v>
      </c>
      <c r="N3971" s="1" t="s">
        <v>22</v>
      </c>
      <c r="O3971" s="2">
        <v>46198</v>
      </c>
      <c r="P3971" s="2">
        <v>46198</v>
      </c>
      <c r="Q3971">
        <f>_xlfn.XLOOKUP(E3971,CPT!$A$2:$A$13,CPT!$D$2:$D$13)</f>
        <v>58</v>
      </c>
      <c r="R3971" s="1">
        <f>_xlfn.XLOOKUP(C3971,Contract!$A$2:$A$9,Contract!$B$2:$B$9)</f>
        <v>0.45</v>
      </c>
      <c r="S3971" s="1">
        <f t="shared" si="248"/>
        <v>52.2</v>
      </c>
      <c r="T3971" s="1">
        <f t="shared" si="249"/>
        <v>2.3200000000000003</v>
      </c>
      <c r="U3971" s="1" t="str">
        <f t="shared" si="250"/>
        <v>OK</v>
      </c>
      <c r="V3971" s="1" t="str">
        <f>_xlfn.XLOOKUP(C3971,Payers!$A$2:$A$9,Payers!$B$2:$B$9)</f>
        <v>Blue Horizon Commercial</v>
      </c>
      <c r="W3971" s="1" t="str">
        <f t="shared" si="251"/>
        <v>2026-05</v>
      </c>
    </row>
    <row r="3972" spans="1:23">
      <c r="A3972" s="1" t="s">
        <v>6379</v>
      </c>
      <c r="B3972" s="1" t="s">
        <v>6380</v>
      </c>
      <c r="C3972" s="1" t="s">
        <v>60</v>
      </c>
      <c r="D3972" s="1" t="s">
        <v>26</v>
      </c>
      <c r="E3972" s="1" t="s">
        <v>88</v>
      </c>
      <c r="F3972">
        <v>1</v>
      </c>
      <c r="G3972" s="2">
        <v>46106</v>
      </c>
      <c r="H3972" s="2">
        <v>46109</v>
      </c>
      <c r="I3972">
        <v>257.7</v>
      </c>
      <c r="J3972">
        <v>128.54</v>
      </c>
      <c r="K3972">
        <v>115.69</v>
      </c>
      <c r="L3972">
        <v>12.85</v>
      </c>
      <c r="M3972" s="1" t="s">
        <v>21</v>
      </c>
      <c r="N3972" s="1" t="s">
        <v>22</v>
      </c>
      <c r="O3972" s="2">
        <v>46137</v>
      </c>
      <c r="P3972" s="2">
        <v>46137</v>
      </c>
      <c r="Q3972">
        <f>_xlfn.XLOOKUP(E3972,CPT!$A$2:$A$13,CPT!$D$2:$D$13)</f>
        <v>260</v>
      </c>
      <c r="R3972" s="1">
        <f>_xlfn.XLOOKUP(C3972,Contract!$A$2:$A$9,Contract!$B$2:$B$9)</f>
        <v>0.45</v>
      </c>
      <c r="S3972" s="1">
        <f t="shared" si="248"/>
        <v>117</v>
      </c>
      <c r="T3972" s="1">
        <f t="shared" si="249"/>
        <v>-11.539999999999992</v>
      </c>
      <c r="U3972" s="1" t="str">
        <f t="shared" si="250"/>
        <v>OK</v>
      </c>
      <c r="V3972" s="1" t="str">
        <f>_xlfn.XLOOKUP(C3972,Payers!$A$2:$A$9,Payers!$B$2:$B$9)</f>
        <v>Blue Horizon Commercial</v>
      </c>
      <c r="W3972" s="1" t="str">
        <f t="shared" si="251"/>
        <v>2026-03</v>
      </c>
    </row>
    <row r="3973" spans="1:23">
      <c r="A3973" s="1" t="s">
        <v>6381</v>
      </c>
      <c r="B3973" s="1" t="s">
        <v>2424</v>
      </c>
      <c r="C3973" s="1" t="s">
        <v>76</v>
      </c>
      <c r="D3973" s="1" t="s">
        <v>19</v>
      </c>
      <c r="E3973" s="1" t="s">
        <v>88</v>
      </c>
      <c r="F3973">
        <v>1</v>
      </c>
      <c r="G3973" s="2">
        <v>45934</v>
      </c>
      <c r="H3973" s="2">
        <v>45935</v>
      </c>
      <c r="I3973">
        <v>256.67</v>
      </c>
      <c r="J3973">
        <v>105.35</v>
      </c>
      <c r="K3973">
        <v>94.81</v>
      </c>
      <c r="L3973">
        <v>10.54</v>
      </c>
      <c r="M3973" s="1" t="s">
        <v>21</v>
      </c>
      <c r="N3973" s="1" t="s">
        <v>22</v>
      </c>
      <c r="O3973" s="2">
        <v>45977</v>
      </c>
      <c r="P3973" s="2">
        <v>45977</v>
      </c>
      <c r="Q3973">
        <f>_xlfn.XLOOKUP(E3973,CPT!$A$2:$A$13,CPT!$D$2:$D$13)</f>
        <v>260</v>
      </c>
      <c r="R3973" s="1">
        <f>_xlfn.XLOOKUP(C3973,Contract!$A$2:$A$9,Contract!$B$2:$B$9)</f>
        <v>0.43</v>
      </c>
      <c r="S3973" s="1">
        <f t="shared" si="248"/>
        <v>111.8</v>
      </c>
      <c r="T3973" s="1">
        <f t="shared" si="249"/>
        <v>6.4500000000000028</v>
      </c>
      <c r="U3973" s="1" t="str">
        <f t="shared" si="250"/>
        <v>Underpaid</v>
      </c>
      <c r="V3973" s="1" t="str">
        <f>_xlfn.XLOOKUP(C3973,Payers!$A$2:$A$9,Payers!$B$2:$B$9)</f>
        <v>Summit Health Commercial</v>
      </c>
      <c r="W3973" s="1" t="str">
        <f t="shared" si="251"/>
        <v>2025-10</v>
      </c>
    </row>
    <row r="3974" spans="1:23">
      <c r="A3974" s="1" t="s">
        <v>6382</v>
      </c>
      <c r="B3974" s="1" t="s">
        <v>5046</v>
      </c>
      <c r="C3974" s="1" t="s">
        <v>18</v>
      </c>
      <c r="D3974" s="1" t="s">
        <v>37</v>
      </c>
      <c r="E3974" s="1" t="s">
        <v>38</v>
      </c>
      <c r="F3974">
        <v>5</v>
      </c>
      <c r="G3974" s="2">
        <v>46177</v>
      </c>
      <c r="H3974" s="2">
        <v>46187</v>
      </c>
      <c r="I3974">
        <v>7218.42</v>
      </c>
      <c r="J3974">
        <v>3064.06</v>
      </c>
      <c r="K3974">
        <v>3064.06</v>
      </c>
      <c r="L3974">
        <v>0</v>
      </c>
      <c r="M3974" s="1" t="s">
        <v>21</v>
      </c>
      <c r="N3974" s="1" t="s">
        <v>22</v>
      </c>
      <c r="O3974" s="2">
        <v>46218</v>
      </c>
      <c r="P3974" s="2">
        <v>46218</v>
      </c>
      <c r="Q3974">
        <f>_xlfn.XLOOKUP(E3974,CPT!$A$2:$A$13,CPT!$D$2:$D$13)</f>
        <v>1450</v>
      </c>
      <c r="R3974" s="1">
        <f>_xlfn.XLOOKUP(C3974,Contract!$A$2:$A$9,Contract!$B$2:$B$9)</f>
        <v>0.38</v>
      </c>
      <c r="S3974" s="1">
        <f t="shared" si="248"/>
        <v>2755</v>
      </c>
      <c r="T3974" s="1">
        <f t="shared" si="249"/>
        <v>-309.05999999999995</v>
      </c>
      <c r="U3974" s="1" t="str">
        <f t="shared" si="250"/>
        <v>OK</v>
      </c>
      <c r="V3974" s="1" t="str">
        <f>_xlfn.XLOOKUP(C3974,Payers!$A$2:$A$9,Payers!$B$2:$B$9)</f>
        <v>Sunshine Medicare Advantage</v>
      </c>
      <c r="W3974" s="1" t="str">
        <f t="shared" si="251"/>
        <v>2026-06</v>
      </c>
    </row>
    <row r="3975" spans="1:23">
      <c r="A3975" s="1" t="s">
        <v>6383</v>
      </c>
      <c r="B3975" s="1" t="s">
        <v>4774</v>
      </c>
      <c r="C3975" s="1" t="s">
        <v>36</v>
      </c>
      <c r="D3975" s="1" t="s">
        <v>19</v>
      </c>
      <c r="E3975" s="1" t="s">
        <v>41</v>
      </c>
      <c r="F3975">
        <v>1</v>
      </c>
      <c r="G3975" s="2">
        <v>46117</v>
      </c>
      <c r="H3975" s="2">
        <v>46119</v>
      </c>
      <c r="I3975">
        <v>38.35</v>
      </c>
      <c r="J3975">
        <v>9.27</v>
      </c>
      <c r="K3975">
        <v>9.27</v>
      </c>
      <c r="L3975">
        <v>0</v>
      </c>
      <c r="M3975" s="1" t="s">
        <v>21</v>
      </c>
      <c r="N3975" s="1" t="s">
        <v>22</v>
      </c>
      <c r="O3975" s="2">
        <v>46156</v>
      </c>
      <c r="P3975" s="2">
        <v>46156</v>
      </c>
      <c r="Q3975">
        <f>_xlfn.XLOOKUP(E3975,CPT!$A$2:$A$13,CPT!$D$2:$D$13)</f>
        <v>38</v>
      </c>
      <c r="R3975" s="1">
        <f>_xlfn.XLOOKUP(C3975,Contract!$A$2:$A$9,Contract!$B$2:$B$9)</f>
        <v>0.27</v>
      </c>
      <c r="S3975" s="1">
        <f t="shared" si="248"/>
        <v>10.26</v>
      </c>
      <c r="T3975" s="1">
        <f t="shared" si="249"/>
        <v>0.99000000000000021</v>
      </c>
      <c r="U3975" s="1" t="str">
        <f t="shared" si="250"/>
        <v>Underpaid</v>
      </c>
      <c r="V3975" s="1" t="str">
        <f>_xlfn.XLOOKUP(C3975,Payers!$A$2:$A$9,Payers!$B$2:$B$9)</f>
        <v>Florida Medicaid</v>
      </c>
      <c r="W3975" s="1" t="str">
        <f t="shared" si="251"/>
        <v>2026-04</v>
      </c>
    </row>
    <row r="3976" spans="1:23">
      <c r="A3976" s="1" t="s">
        <v>6384</v>
      </c>
      <c r="B3976" s="1" t="s">
        <v>6385</v>
      </c>
      <c r="C3976" s="1" t="s">
        <v>60</v>
      </c>
      <c r="D3976" s="1" t="s">
        <v>26</v>
      </c>
      <c r="E3976" s="1" t="s">
        <v>41</v>
      </c>
      <c r="F3976">
        <v>1</v>
      </c>
      <c r="G3976" s="2">
        <v>45970</v>
      </c>
      <c r="H3976" s="2">
        <v>45974</v>
      </c>
      <c r="I3976">
        <v>38.26</v>
      </c>
      <c r="J3976">
        <v>19.309999999999999</v>
      </c>
      <c r="K3976">
        <v>19.309999999999999</v>
      </c>
      <c r="L3976">
        <v>0</v>
      </c>
      <c r="M3976" s="1" t="s">
        <v>21</v>
      </c>
      <c r="N3976" s="1" t="s">
        <v>22</v>
      </c>
      <c r="O3976" s="2">
        <v>46001</v>
      </c>
      <c r="P3976" s="2">
        <v>46001</v>
      </c>
      <c r="Q3976">
        <f>_xlfn.XLOOKUP(E3976,CPT!$A$2:$A$13,CPT!$D$2:$D$13)</f>
        <v>38</v>
      </c>
      <c r="R3976" s="1">
        <f>_xlfn.XLOOKUP(C3976,Contract!$A$2:$A$9,Contract!$B$2:$B$9)</f>
        <v>0.45</v>
      </c>
      <c r="S3976" s="1">
        <f t="shared" si="248"/>
        <v>17.100000000000001</v>
      </c>
      <c r="T3976" s="1">
        <f t="shared" si="249"/>
        <v>-2.2099999999999973</v>
      </c>
      <c r="U3976" s="1" t="str">
        <f t="shared" si="250"/>
        <v>OK</v>
      </c>
      <c r="V3976" s="1" t="str">
        <f>_xlfn.XLOOKUP(C3976,Payers!$A$2:$A$9,Payers!$B$2:$B$9)</f>
        <v>Blue Horizon Commercial</v>
      </c>
      <c r="W3976" s="1" t="str">
        <f t="shared" si="251"/>
        <v>2025-11</v>
      </c>
    </row>
    <row r="3977" spans="1:23">
      <c r="A3977" s="1" t="s">
        <v>6386</v>
      </c>
      <c r="B3977" s="1" t="s">
        <v>6387</v>
      </c>
      <c r="C3977" s="1" t="s">
        <v>52</v>
      </c>
      <c r="D3977" s="1" t="s">
        <v>37</v>
      </c>
      <c r="E3977" s="1" t="s">
        <v>48</v>
      </c>
      <c r="F3977">
        <v>1</v>
      </c>
      <c r="G3977" s="2">
        <v>46166</v>
      </c>
      <c r="H3977" s="2">
        <v>46173</v>
      </c>
      <c r="I3977">
        <v>414.82</v>
      </c>
      <c r="J3977">
        <v>216.11</v>
      </c>
      <c r="K3977">
        <v>216.11</v>
      </c>
      <c r="L3977">
        <v>0</v>
      </c>
      <c r="M3977" s="1" t="s">
        <v>21</v>
      </c>
      <c r="N3977" s="1" t="s">
        <v>22</v>
      </c>
      <c r="O3977" s="2">
        <v>46212</v>
      </c>
      <c r="P3977" s="2">
        <v>46212</v>
      </c>
      <c r="Q3977">
        <f>_xlfn.XLOOKUP(E3977,CPT!$A$2:$A$13,CPT!$D$2:$D$13)</f>
        <v>420</v>
      </c>
      <c r="R3977" s="1">
        <f>_xlfn.XLOOKUP(C3977,Contract!$A$2:$A$9,Contract!$B$2:$B$9)</f>
        <v>0.47</v>
      </c>
      <c r="S3977" s="1">
        <f t="shared" si="248"/>
        <v>197.4</v>
      </c>
      <c r="T3977" s="1">
        <f t="shared" si="249"/>
        <v>-18.710000000000008</v>
      </c>
      <c r="U3977" s="1" t="str">
        <f t="shared" si="250"/>
        <v>OK</v>
      </c>
      <c r="V3977" s="1" t="str">
        <f>_xlfn.XLOOKUP(C3977,Payers!$A$2:$A$9,Payers!$B$2:$B$9)</f>
        <v>Keystone Commercial PPO</v>
      </c>
      <c r="W3977" s="1" t="str">
        <f t="shared" si="251"/>
        <v>2026-05</v>
      </c>
    </row>
    <row r="3978" spans="1:23">
      <c r="A3978" s="1" t="s">
        <v>6388</v>
      </c>
      <c r="B3978" s="1" t="s">
        <v>6389</v>
      </c>
      <c r="C3978" s="1" t="s">
        <v>52</v>
      </c>
      <c r="D3978" s="1" t="s">
        <v>19</v>
      </c>
      <c r="E3978" s="1" t="s">
        <v>57</v>
      </c>
      <c r="F3978">
        <v>1</v>
      </c>
      <c r="G3978" s="2">
        <v>46063</v>
      </c>
      <c r="H3978" s="2">
        <v>46066</v>
      </c>
      <c r="I3978">
        <v>206.51</v>
      </c>
      <c r="J3978">
        <v>96.68</v>
      </c>
      <c r="K3978">
        <v>87.01</v>
      </c>
      <c r="L3978">
        <v>9.67</v>
      </c>
      <c r="M3978" s="1" t="s">
        <v>21</v>
      </c>
      <c r="N3978" s="1" t="s">
        <v>22</v>
      </c>
      <c r="O3978" s="2">
        <v>46120</v>
      </c>
      <c r="P3978" s="2">
        <v>46120</v>
      </c>
      <c r="Q3978">
        <f>_xlfn.XLOOKUP(E3978,CPT!$A$2:$A$13,CPT!$D$2:$D$13)</f>
        <v>210</v>
      </c>
      <c r="R3978" s="1">
        <f>_xlfn.XLOOKUP(C3978,Contract!$A$2:$A$9,Contract!$B$2:$B$9)</f>
        <v>0.47</v>
      </c>
      <c r="S3978" s="1">
        <f t="shared" si="248"/>
        <v>98.7</v>
      </c>
      <c r="T3978" s="1">
        <f t="shared" si="249"/>
        <v>2.019999999999996</v>
      </c>
      <c r="U3978" s="1" t="str">
        <f t="shared" si="250"/>
        <v>OK</v>
      </c>
      <c r="V3978" s="1" t="str">
        <f>_xlfn.XLOOKUP(C3978,Payers!$A$2:$A$9,Payers!$B$2:$B$9)</f>
        <v>Keystone Commercial PPO</v>
      </c>
      <c r="W3978" s="1" t="str">
        <f t="shared" si="251"/>
        <v>2026-02</v>
      </c>
    </row>
    <row r="3979" spans="1:23">
      <c r="A3979" s="1" t="s">
        <v>6390</v>
      </c>
      <c r="B3979" s="1" t="s">
        <v>4204</v>
      </c>
      <c r="C3979" s="1" t="s">
        <v>18</v>
      </c>
      <c r="D3979" s="1" t="s">
        <v>19</v>
      </c>
      <c r="E3979" s="1" t="s">
        <v>57</v>
      </c>
      <c r="F3979">
        <v>1</v>
      </c>
      <c r="G3979" s="2">
        <v>46144</v>
      </c>
      <c r="H3979" s="2">
        <v>46148</v>
      </c>
      <c r="I3979">
        <v>204.73</v>
      </c>
      <c r="M3979" s="1" t="s">
        <v>32</v>
      </c>
      <c r="N3979" s="1" t="s">
        <v>49</v>
      </c>
      <c r="O3979" s="2">
        <v>46199</v>
      </c>
      <c r="P3979" s="2"/>
      <c r="Q3979">
        <f>_xlfn.XLOOKUP(E3979,CPT!$A$2:$A$13,CPT!$D$2:$D$13)</f>
        <v>210</v>
      </c>
      <c r="R3979" s="1">
        <f>_xlfn.XLOOKUP(C3979,Contract!$A$2:$A$9,Contract!$B$2:$B$9)</f>
        <v>0.38</v>
      </c>
      <c r="S3979" s="1">
        <f t="shared" si="248"/>
        <v>79.8</v>
      </c>
      <c r="T3979" s="1" t="str">
        <f t="shared" si="249"/>
        <v/>
      </c>
      <c r="U3979" s="1" t="str">
        <f t="shared" si="250"/>
        <v/>
      </c>
      <c r="V3979" s="1" t="str">
        <f>_xlfn.XLOOKUP(C3979,Payers!$A$2:$A$9,Payers!$B$2:$B$9)</f>
        <v>Sunshine Medicare Advantage</v>
      </c>
      <c r="W3979" s="1" t="str">
        <f t="shared" si="251"/>
        <v>2026-05</v>
      </c>
    </row>
    <row r="3980" spans="1:23">
      <c r="A3980" s="1" t="s">
        <v>6391</v>
      </c>
      <c r="B3980" s="1" t="s">
        <v>6392</v>
      </c>
      <c r="C3980" s="1" t="s">
        <v>60</v>
      </c>
      <c r="D3980" s="1" t="s">
        <v>26</v>
      </c>
      <c r="E3980" s="1" t="s">
        <v>185</v>
      </c>
      <c r="F3980">
        <v>1</v>
      </c>
      <c r="G3980" s="2">
        <v>46247</v>
      </c>
      <c r="H3980" s="2">
        <v>46249</v>
      </c>
      <c r="I3980">
        <v>1144.08</v>
      </c>
      <c r="J3980">
        <v>579.74</v>
      </c>
      <c r="K3980">
        <v>579.74</v>
      </c>
      <c r="L3980">
        <v>0</v>
      </c>
      <c r="M3980" s="1" t="s">
        <v>21</v>
      </c>
      <c r="N3980" s="1" t="s">
        <v>22</v>
      </c>
      <c r="O3980" s="2">
        <v>46266</v>
      </c>
      <c r="P3980" s="2">
        <v>46266</v>
      </c>
      <c r="Q3980">
        <f>_xlfn.XLOOKUP(E3980,CPT!$A$2:$A$13,CPT!$D$2:$D$13)</f>
        <v>1150</v>
      </c>
      <c r="R3980" s="1">
        <f>_xlfn.XLOOKUP(C3980,Contract!$A$2:$A$9,Contract!$B$2:$B$9)</f>
        <v>0.45</v>
      </c>
      <c r="S3980" s="1">
        <f t="shared" si="248"/>
        <v>517.5</v>
      </c>
      <c r="T3980" s="1">
        <f t="shared" si="249"/>
        <v>-62.240000000000009</v>
      </c>
      <c r="U3980" s="1" t="str">
        <f t="shared" si="250"/>
        <v>OK</v>
      </c>
      <c r="V3980" s="1" t="str">
        <f>_xlfn.XLOOKUP(C3980,Payers!$A$2:$A$9,Payers!$B$2:$B$9)</f>
        <v>Blue Horizon Commercial</v>
      </c>
      <c r="W3980" s="1" t="str">
        <f t="shared" si="251"/>
        <v>2026-08</v>
      </c>
    </row>
    <row r="3981" spans="1:23">
      <c r="A3981" s="1" t="s">
        <v>6393</v>
      </c>
      <c r="B3981" s="1" t="s">
        <v>3627</v>
      </c>
      <c r="C3981" s="1" t="s">
        <v>60</v>
      </c>
      <c r="D3981" s="1" t="s">
        <v>37</v>
      </c>
      <c r="E3981" s="1" t="s">
        <v>48</v>
      </c>
      <c r="F3981">
        <v>1</v>
      </c>
      <c r="G3981" s="2">
        <v>45964</v>
      </c>
      <c r="H3981" s="2">
        <v>45967</v>
      </c>
      <c r="I3981">
        <v>410.78</v>
      </c>
      <c r="J3981">
        <v>196.18</v>
      </c>
      <c r="K3981">
        <v>156.94</v>
      </c>
      <c r="L3981">
        <v>39.24</v>
      </c>
      <c r="M3981" s="1" t="s">
        <v>21</v>
      </c>
      <c r="N3981" s="1" t="s">
        <v>22</v>
      </c>
      <c r="O3981" s="2">
        <v>45998</v>
      </c>
      <c r="P3981" s="2">
        <v>45998</v>
      </c>
      <c r="Q3981">
        <f>_xlfn.XLOOKUP(E3981,CPT!$A$2:$A$13,CPT!$D$2:$D$13)</f>
        <v>420</v>
      </c>
      <c r="R3981" s="1">
        <f>_xlfn.XLOOKUP(C3981,Contract!$A$2:$A$9,Contract!$B$2:$B$9)</f>
        <v>0.45</v>
      </c>
      <c r="S3981" s="1">
        <f t="shared" si="248"/>
        <v>189</v>
      </c>
      <c r="T3981" s="1">
        <f t="shared" si="249"/>
        <v>-7.1800000000000068</v>
      </c>
      <c r="U3981" s="1" t="str">
        <f t="shared" si="250"/>
        <v>OK</v>
      </c>
      <c r="V3981" s="1" t="str">
        <f>_xlfn.XLOOKUP(C3981,Payers!$A$2:$A$9,Payers!$B$2:$B$9)</f>
        <v>Blue Horizon Commercial</v>
      </c>
      <c r="W3981" s="1" t="str">
        <f t="shared" si="251"/>
        <v>2025-11</v>
      </c>
    </row>
    <row r="3982" spans="1:23">
      <c r="A3982" s="1" t="s">
        <v>6394</v>
      </c>
      <c r="B3982" s="1" t="s">
        <v>6395</v>
      </c>
      <c r="C3982" s="1" t="s">
        <v>79</v>
      </c>
      <c r="D3982" s="1" t="s">
        <v>26</v>
      </c>
      <c r="E3982" s="1" t="s">
        <v>41</v>
      </c>
      <c r="F3982">
        <v>1</v>
      </c>
      <c r="G3982" s="2">
        <v>46203</v>
      </c>
      <c r="H3982" s="2">
        <v>46205</v>
      </c>
      <c r="I3982">
        <v>38.58</v>
      </c>
      <c r="J3982">
        <v>38.58</v>
      </c>
      <c r="K3982">
        <v>38.58</v>
      </c>
      <c r="L3982">
        <v>0</v>
      </c>
      <c r="M3982" s="1" t="s">
        <v>21</v>
      </c>
      <c r="N3982" s="1" t="s">
        <v>22</v>
      </c>
      <c r="O3982" s="2">
        <v>46254</v>
      </c>
      <c r="P3982" s="2">
        <v>46254</v>
      </c>
      <c r="Q3982">
        <f>_xlfn.XLOOKUP(E3982,CPT!$A$2:$A$13,CPT!$D$2:$D$13)</f>
        <v>38</v>
      </c>
      <c r="R3982" s="1">
        <f>_xlfn.XLOOKUP(C3982,Contract!$A$2:$A$9,Contract!$B$2:$B$9)</f>
        <v>1</v>
      </c>
      <c r="S3982" s="1">
        <f t="shared" si="248"/>
        <v>38</v>
      </c>
      <c r="T3982" s="1">
        <f t="shared" si="249"/>
        <v>-0.57999999999999829</v>
      </c>
      <c r="U3982" s="1" t="str">
        <f t="shared" si="250"/>
        <v>OK</v>
      </c>
      <c r="V3982" s="1" t="str">
        <f>_xlfn.XLOOKUP(C3982,Payers!$A$2:$A$9,Payers!$B$2:$B$9)</f>
        <v>Self-Pay</v>
      </c>
      <c r="W3982" s="1" t="str">
        <f t="shared" si="251"/>
        <v>2026-06</v>
      </c>
    </row>
    <row r="3983" spans="1:23">
      <c r="A3983" s="1" t="s">
        <v>6396</v>
      </c>
      <c r="B3983" s="1" t="s">
        <v>1430</v>
      </c>
      <c r="C3983" s="1" t="s">
        <v>25</v>
      </c>
      <c r="D3983" s="1" t="s">
        <v>19</v>
      </c>
      <c r="E3983" s="1" t="s">
        <v>88</v>
      </c>
      <c r="F3983">
        <v>1</v>
      </c>
      <c r="G3983" s="2">
        <v>45979</v>
      </c>
      <c r="H3983" s="2">
        <v>45982</v>
      </c>
      <c r="I3983">
        <v>262.19</v>
      </c>
      <c r="J3983">
        <v>80.73</v>
      </c>
      <c r="K3983">
        <v>80.73</v>
      </c>
      <c r="L3983">
        <v>0</v>
      </c>
      <c r="M3983" s="1" t="s">
        <v>21</v>
      </c>
      <c r="N3983" s="1" t="s">
        <v>22</v>
      </c>
      <c r="O3983" s="2">
        <v>46006</v>
      </c>
      <c r="P3983" s="2">
        <v>46006</v>
      </c>
      <c r="Q3983">
        <f>_xlfn.XLOOKUP(E3983,CPT!$A$2:$A$13,CPT!$D$2:$D$13)</f>
        <v>260</v>
      </c>
      <c r="R3983" s="1">
        <f>_xlfn.XLOOKUP(C3983,Contract!$A$2:$A$9,Contract!$B$2:$B$9)</f>
        <v>0.36</v>
      </c>
      <c r="S3983" s="1">
        <f t="shared" si="248"/>
        <v>93.6</v>
      </c>
      <c r="T3983" s="1">
        <f t="shared" si="249"/>
        <v>12.86999999999999</v>
      </c>
      <c r="U3983" s="1" t="str">
        <f t="shared" si="250"/>
        <v>Underpaid</v>
      </c>
      <c r="V3983" s="1" t="str">
        <f>_xlfn.XLOOKUP(C3983,Payers!$A$2:$A$9,Payers!$B$2:$B$9)</f>
        <v>Medicare Part B</v>
      </c>
      <c r="W3983" s="1" t="str">
        <f t="shared" si="251"/>
        <v>2025-11</v>
      </c>
    </row>
    <row r="3984" spans="1:23">
      <c r="A3984" s="1" t="s">
        <v>6397</v>
      </c>
      <c r="B3984" s="1" t="s">
        <v>3668</v>
      </c>
      <c r="C3984" s="1" t="s">
        <v>36</v>
      </c>
      <c r="D3984" s="1" t="s">
        <v>30</v>
      </c>
      <c r="E3984" s="1" t="s">
        <v>31</v>
      </c>
      <c r="F3984">
        <v>4</v>
      </c>
      <c r="G3984" s="2">
        <v>46286</v>
      </c>
      <c r="H3984" s="2">
        <v>46290</v>
      </c>
      <c r="I3984">
        <v>244.16</v>
      </c>
      <c r="M3984" s="1" t="s">
        <v>69</v>
      </c>
      <c r="N3984" s="1" t="s">
        <v>22</v>
      </c>
      <c r="O3984" s="2"/>
      <c r="P3984" s="2"/>
      <c r="Q3984">
        <f>_xlfn.XLOOKUP(E3984,CPT!$A$2:$A$13,CPT!$D$2:$D$13)</f>
        <v>62</v>
      </c>
      <c r="R3984" s="1">
        <f>_xlfn.XLOOKUP(C3984,Contract!$A$2:$A$9,Contract!$B$2:$B$9)</f>
        <v>0.27</v>
      </c>
      <c r="S3984" s="1">
        <f t="shared" si="248"/>
        <v>66.959999999999994</v>
      </c>
      <c r="T3984" s="1" t="str">
        <f t="shared" si="249"/>
        <v/>
      </c>
      <c r="U3984" s="1" t="str">
        <f t="shared" si="250"/>
        <v/>
      </c>
      <c r="V3984" s="1" t="str">
        <f>_xlfn.XLOOKUP(C3984,Payers!$A$2:$A$9,Payers!$B$2:$B$9)</f>
        <v>Florida Medicaid</v>
      </c>
      <c r="W3984" s="1" t="str">
        <f t="shared" si="251"/>
        <v>2026-09</v>
      </c>
    </row>
    <row r="3985" spans="1:23">
      <c r="A3985" s="1" t="s">
        <v>6398</v>
      </c>
      <c r="B3985" s="1" t="s">
        <v>1614</v>
      </c>
      <c r="C3985" s="1" t="s">
        <v>60</v>
      </c>
      <c r="D3985" s="1" t="s">
        <v>37</v>
      </c>
      <c r="E3985" s="1" t="s">
        <v>38</v>
      </c>
      <c r="F3985">
        <v>5</v>
      </c>
      <c r="G3985" s="2">
        <v>46120</v>
      </c>
      <c r="H3985" s="2">
        <v>46121</v>
      </c>
      <c r="I3985">
        <v>7452.11</v>
      </c>
      <c r="J3985">
        <v>3704.72</v>
      </c>
      <c r="K3985">
        <v>3704.72</v>
      </c>
      <c r="L3985">
        <v>0</v>
      </c>
      <c r="M3985" s="1" t="s">
        <v>21</v>
      </c>
      <c r="N3985" s="1" t="s">
        <v>22</v>
      </c>
      <c r="O3985" s="2">
        <v>46142</v>
      </c>
      <c r="P3985" s="2">
        <v>46142</v>
      </c>
      <c r="Q3985">
        <f>_xlfn.XLOOKUP(E3985,CPT!$A$2:$A$13,CPT!$D$2:$D$13)</f>
        <v>1450</v>
      </c>
      <c r="R3985" s="1">
        <f>_xlfn.XLOOKUP(C3985,Contract!$A$2:$A$9,Contract!$B$2:$B$9)</f>
        <v>0.45</v>
      </c>
      <c r="S3985" s="1">
        <f t="shared" si="248"/>
        <v>3262.5</v>
      </c>
      <c r="T3985" s="1">
        <f t="shared" si="249"/>
        <v>-442.2199999999998</v>
      </c>
      <c r="U3985" s="1" t="str">
        <f t="shared" si="250"/>
        <v>OK</v>
      </c>
      <c r="V3985" s="1" t="str">
        <f>_xlfn.XLOOKUP(C3985,Payers!$A$2:$A$9,Payers!$B$2:$B$9)</f>
        <v>Blue Horizon Commercial</v>
      </c>
      <c r="W3985" s="1" t="str">
        <f t="shared" si="251"/>
        <v>2026-04</v>
      </c>
    </row>
    <row r="3986" spans="1:23">
      <c r="A3986" s="1" t="s">
        <v>6399</v>
      </c>
      <c r="B3986" s="1" t="s">
        <v>6400</v>
      </c>
      <c r="C3986" s="1" t="s">
        <v>36</v>
      </c>
      <c r="D3986" s="1" t="s">
        <v>37</v>
      </c>
      <c r="E3986" s="1" t="s">
        <v>38</v>
      </c>
      <c r="F3986">
        <v>20</v>
      </c>
      <c r="G3986" s="2">
        <v>46169</v>
      </c>
      <c r="H3986" s="2">
        <v>46171</v>
      </c>
      <c r="I3986">
        <v>29472.35</v>
      </c>
      <c r="J3986">
        <v>7420.3</v>
      </c>
      <c r="K3986">
        <v>7420.3</v>
      </c>
      <c r="L3986">
        <v>0</v>
      </c>
      <c r="M3986" s="1" t="s">
        <v>21</v>
      </c>
      <c r="N3986" s="1" t="s">
        <v>22</v>
      </c>
      <c r="O3986" s="2">
        <v>46226</v>
      </c>
      <c r="P3986" s="2">
        <v>46226</v>
      </c>
      <c r="Q3986">
        <f>_xlfn.XLOOKUP(E3986,CPT!$A$2:$A$13,CPT!$D$2:$D$13)</f>
        <v>1450</v>
      </c>
      <c r="R3986" s="1">
        <f>_xlfn.XLOOKUP(C3986,Contract!$A$2:$A$9,Contract!$B$2:$B$9)</f>
        <v>0.27</v>
      </c>
      <c r="S3986" s="1">
        <f t="shared" si="248"/>
        <v>7830</v>
      </c>
      <c r="T3986" s="1">
        <f t="shared" si="249"/>
        <v>409.69999999999982</v>
      </c>
      <c r="U3986" s="1" t="str">
        <f t="shared" si="250"/>
        <v>Underpaid</v>
      </c>
      <c r="V3986" s="1" t="str">
        <f>_xlfn.XLOOKUP(C3986,Payers!$A$2:$A$9,Payers!$B$2:$B$9)</f>
        <v>Florida Medicaid</v>
      </c>
      <c r="W3986" s="1" t="str">
        <f t="shared" si="251"/>
        <v>2026-05</v>
      </c>
    </row>
    <row r="3987" spans="1:23">
      <c r="A3987" s="1" t="s">
        <v>6401</v>
      </c>
      <c r="B3987" s="1" t="s">
        <v>1849</v>
      </c>
      <c r="C3987" s="1" t="s">
        <v>60</v>
      </c>
      <c r="D3987" s="1" t="s">
        <v>19</v>
      </c>
      <c r="E3987" s="1" t="s">
        <v>20</v>
      </c>
      <c r="F3987">
        <v>1</v>
      </c>
      <c r="G3987" s="2">
        <v>45982</v>
      </c>
      <c r="H3987" s="2">
        <v>45987</v>
      </c>
      <c r="I3987">
        <v>144.69</v>
      </c>
      <c r="J3987">
        <v>57.61</v>
      </c>
      <c r="K3987">
        <v>57.61</v>
      </c>
      <c r="L3987">
        <v>0</v>
      </c>
      <c r="M3987" s="1" t="s">
        <v>21</v>
      </c>
      <c r="N3987" s="1" t="s">
        <v>22</v>
      </c>
      <c r="O3987" s="2">
        <v>46026</v>
      </c>
      <c r="P3987" s="2">
        <v>46026</v>
      </c>
      <c r="Q3987">
        <f>_xlfn.XLOOKUP(E3987,CPT!$A$2:$A$13,CPT!$D$2:$D$13)</f>
        <v>145</v>
      </c>
      <c r="R3987" s="1">
        <f>_xlfn.XLOOKUP(C3987,Contract!$A$2:$A$9,Contract!$B$2:$B$9)</f>
        <v>0.45</v>
      </c>
      <c r="S3987" s="1">
        <f t="shared" si="248"/>
        <v>65.25</v>
      </c>
      <c r="T3987" s="1">
        <f t="shared" si="249"/>
        <v>7.6400000000000006</v>
      </c>
      <c r="U3987" s="1" t="str">
        <f t="shared" si="250"/>
        <v>Underpaid</v>
      </c>
      <c r="V3987" s="1" t="str">
        <f>_xlfn.XLOOKUP(C3987,Payers!$A$2:$A$9,Payers!$B$2:$B$9)</f>
        <v>Blue Horizon Commercial</v>
      </c>
      <c r="W3987" s="1" t="str">
        <f t="shared" si="251"/>
        <v>2025-11</v>
      </c>
    </row>
    <row r="3988" spans="1:23">
      <c r="A3988" s="1" t="s">
        <v>6402</v>
      </c>
      <c r="B3988" s="1" t="s">
        <v>2220</v>
      </c>
      <c r="C3988" s="1" t="s">
        <v>36</v>
      </c>
      <c r="D3988" s="1" t="s">
        <v>30</v>
      </c>
      <c r="E3988" s="1" t="s">
        <v>31</v>
      </c>
      <c r="F3988">
        <v>2</v>
      </c>
      <c r="G3988" s="2">
        <v>46179</v>
      </c>
      <c r="H3988" s="2">
        <v>46181</v>
      </c>
      <c r="I3988">
        <v>122.01</v>
      </c>
      <c r="J3988">
        <v>32.07</v>
      </c>
      <c r="K3988">
        <v>25.66</v>
      </c>
      <c r="L3988">
        <v>6.41</v>
      </c>
      <c r="M3988" s="1" t="s">
        <v>21</v>
      </c>
      <c r="N3988" s="1" t="s">
        <v>22</v>
      </c>
      <c r="O3988" s="2">
        <v>46241</v>
      </c>
      <c r="P3988" s="2">
        <v>46241</v>
      </c>
      <c r="Q3988">
        <f>_xlfn.XLOOKUP(E3988,CPT!$A$2:$A$13,CPT!$D$2:$D$13)</f>
        <v>62</v>
      </c>
      <c r="R3988" s="1">
        <f>_xlfn.XLOOKUP(C3988,Contract!$A$2:$A$9,Contract!$B$2:$B$9)</f>
        <v>0.27</v>
      </c>
      <c r="S3988" s="1">
        <f t="shared" si="248"/>
        <v>33.479999999999997</v>
      </c>
      <c r="T3988" s="1">
        <f t="shared" si="249"/>
        <v>1.4099999999999966</v>
      </c>
      <c r="U3988" s="1" t="str">
        <f t="shared" si="250"/>
        <v>OK</v>
      </c>
      <c r="V3988" s="1" t="str">
        <f>_xlfn.XLOOKUP(C3988,Payers!$A$2:$A$9,Payers!$B$2:$B$9)</f>
        <v>Florida Medicaid</v>
      </c>
      <c r="W3988" s="1" t="str">
        <f t="shared" si="251"/>
        <v>2026-06</v>
      </c>
    </row>
    <row r="3989" spans="1:23">
      <c r="A3989" s="1" t="s">
        <v>6403</v>
      </c>
      <c r="B3989" s="1" t="s">
        <v>5919</v>
      </c>
      <c r="C3989" s="1" t="s">
        <v>76</v>
      </c>
      <c r="D3989" s="1" t="s">
        <v>26</v>
      </c>
      <c r="E3989" s="1" t="s">
        <v>185</v>
      </c>
      <c r="F3989">
        <v>1</v>
      </c>
      <c r="G3989" s="2">
        <v>45968</v>
      </c>
      <c r="H3989" s="2">
        <v>45973</v>
      </c>
      <c r="I3989">
        <v>1164.51</v>
      </c>
      <c r="J3989">
        <v>505.15</v>
      </c>
      <c r="K3989">
        <v>404.12</v>
      </c>
      <c r="L3989">
        <v>101.03</v>
      </c>
      <c r="M3989" s="1" t="s">
        <v>21</v>
      </c>
      <c r="N3989" s="1" t="s">
        <v>22</v>
      </c>
      <c r="O3989" s="2">
        <v>46040</v>
      </c>
      <c r="P3989" s="2">
        <v>46040</v>
      </c>
      <c r="Q3989">
        <f>_xlfn.XLOOKUP(E3989,CPT!$A$2:$A$13,CPT!$D$2:$D$13)</f>
        <v>1150</v>
      </c>
      <c r="R3989" s="1">
        <f>_xlfn.XLOOKUP(C3989,Contract!$A$2:$A$9,Contract!$B$2:$B$9)</f>
        <v>0.43</v>
      </c>
      <c r="S3989" s="1">
        <f t="shared" si="248"/>
        <v>494.5</v>
      </c>
      <c r="T3989" s="1">
        <f t="shared" si="249"/>
        <v>-10.649999999999977</v>
      </c>
      <c r="U3989" s="1" t="str">
        <f t="shared" si="250"/>
        <v>OK</v>
      </c>
      <c r="V3989" s="1" t="str">
        <f>_xlfn.XLOOKUP(C3989,Payers!$A$2:$A$9,Payers!$B$2:$B$9)</f>
        <v>Summit Health Commercial</v>
      </c>
      <c r="W3989" s="1" t="str">
        <f t="shared" si="251"/>
        <v>2025-11</v>
      </c>
    </row>
    <row r="3990" spans="1:23">
      <c r="A3990" s="1" t="s">
        <v>6404</v>
      </c>
      <c r="B3990" s="1" t="s">
        <v>2716</v>
      </c>
      <c r="C3990" s="1" t="s">
        <v>60</v>
      </c>
      <c r="D3990" s="1" t="s">
        <v>30</v>
      </c>
      <c r="E3990" s="1" t="s">
        <v>91</v>
      </c>
      <c r="F3990">
        <v>4</v>
      </c>
      <c r="G3990" s="2">
        <v>46115</v>
      </c>
      <c r="H3990" s="2">
        <v>46116</v>
      </c>
      <c r="I3990">
        <v>235.09</v>
      </c>
      <c r="J3990">
        <v>96.83</v>
      </c>
      <c r="K3990">
        <v>77.459999999999994</v>
      </c>
      <c r="L3990">
        <v>19.37</v>
      </c>
      <c r="M3990" s="1" t="s">
        <v>21</v>
      </c>
      <c r="N3990" s="1" t="s">
        <v>22</v>
      </c>
      <c r="O3990" s="2">
        <v>46133</v>
      </c>
      <c r="P3990" s="2">
        <v>46133</v>
      </c>
      <c r="Q3990">
        <f>_xlfn.XLOOKUP(E3990,CPT!$A$2:$A$13,CPT!$D$2:$D$13)</f>
        <v>58</v>
      </c>
      <c r="R3990" s="1">
        <f>_xlfn.XLOOKUP(C3990,Contract!$A$2:$A$9,Contract!$B$2:$B$9)</f>
        <v>0.45</v>
      </c>
      <c r="S3990" s="1">
        <f t="shared" si="248"/>
        <v>104.4</v>
      </c>
      <c r="T3990" s="1">
        <f t="shared" si="249"/>
        <v>7.5700000000000074</v>
      </c>
      <c r="U3990" s="1" t="str">
        <f t="shared" si="250"/>
        <v>Underpaid</v>
      </c>
      <c r="V3990" s="1" t="str">
        <f>_xlfn.XLOOKUP(C3990,Payers!$A$2:$A$9,Payers!$B$2:$B$9)</f>
        <v>Blue Horizon Commercial</v>
      </c>
      <c r="W3990" s="1" t="str">
        <f t="shared" si="251"/>
        <v>2026-04</v>
      </c>
    </row>
    <row r="3991" spans="1:23">
      <c r="A3991" s="1" t="s">
        <v>6405</v>
      </c>
      <c r="B3991" s="1" t="s">
        <v>5306</v>
      </c>
      <c r="C3991" s="1" t="s">
        <v>76</v>
      </c>
      <c r="D3991" s="1" t="s">
        <v>37</v>
      </c>
      <c r="E3991" s="1" t="s">
        <v>57</v>
      </c>
      <c r="F3991">
        <v>1</v>
      </c>
      <c r="G3991" s="2">
        <v>46190</v>
      </c>
      <c r="H3991" s="2">
        <v>46192</v>
      </c>
      <c r="I3991">
        <v>208.31</v>
      </c>
      <c r="J3991">
        <v>93.46</v>
      </c>
      <c r="K3991">
        <v>84.11</v>
      </c>
      <c r="L3991">
        <v>9.35</v>
      </c>
      <c r="M3991" s="1" t="s">
        <v>21</v>
      </c>
      <c r="N3991" s="1" t="s">
        <v>22</v>
      </c>
      <c r="O3991" s="2">
        <v>46239</v>
      </c>
      <c r="P3991" s="2">
        <v>46239</v>
      </c>
      <c r="Q3991">
        <f>_xlfn.XLOOKUP(E3991,CPT!$A$2:$A$13,CPT!$D$2:$D$13)</f>
        <v>210</v>
      </c>
      <c r="R3991" s="1">
        <f>_xlfn.XLOOKUP(C3991,Contract!$A$2:$A$9,Contract!$B$2:$B$9)</f>
        <v>0.43</v>
      </c>
      <c r="S3991" s="1">
        <f t="shared" si="248"/>
        <v>90.3</v>
      </c>
      <c r="T3991" s="1">
        <f t="shared" si="249"/>
        <v>-3.1599999999999966</v>
      </c>
      <c r="U3991" s="1" t="str">
        <f t="shared" si="250"/>
        <v>OK</v>
      </c>
      <c r="V3991" s="1" t="str">
        <f>_xlfn.XLOOKUP(C3991,Payers!$A$2:$A$9,Payers!$B$2:$B$9)</f>
        <v>Summit Health Commercial</v>
      </c>
      <c r="W3991" s="1" t="str">
        <f t="shared" si="251"/>
        <v>2026-06</v>
      </c>
    </row>
    <row r="3992" spans="1:23">
      <c r="A3992" s="1" t="s">
        <v>6406</v>
      </c>
      <c r="B3992" s="1" t="s">
        <v>4822</v>
      </c>
      <c r="C3992" s="1" t="s">
        <v>36</v>
      </c>
      <c r="D3992" s="1" t="s">
        <v>19</v>
      </c>
      <c r="E3992" s="1" t="s">
        <v>57</v>
      </c>
      <c r="F3992">
        <v>1</v>
      </c>
      <c r="G3992" s="2">
        <v>46056</v>
      </c>
      <c r="H3992" s="2">
        <v>46061</v>
      </c>
      <c r="I3992">
        <v>207.91</v>
      </c>
      <c r="M3992" s="1" t="s">
        <v>32</v>
      </c>
      <c r="N3992" s="1" t="s">
        <v>33</v>
      </c>
      <c r="O3992" s="2">
        <v>46092</v>
      </c>
      <c r="P3992" s="2"/>
      <c r="Q3992">
        <f>_xlfn.XLOOKUP(E3992,CPT!$A$2:$A$13,CPT!$D$2:$D$13)</f>
        <v>210</v>
      </c>
      <c r="R3992" s="1">
        <f>_xlfn.XLOOKUP(C3992,Contract!$A$2:$A$9,Contract!$B$2:$B$9)</f>
        <v>0.27</v>
      </c>
      <c r="S3992" s="1">
        <f t="shared" si="248"/>
        <v>56.7</v>
      </c>
      <c r="T3992" s="1" t="str">
        <f t="shared" si="249"/>
        <v/>
      </c>
      <c r="U3992" s="1" t="str">
        <f t="shared" si="250"/>
        <v/>
      </c>
      <c r="V3992" s="1" t="str">
        <f>_xlfn.XLOOKUP(C3992,Payers!$A$2:$A$9,Payers!$B$2:$B$9)</f>
        <v>Florida Medicaid</v>
      </c>
      <c r="W3992" s="1" t="str">
        <f t="shared" si="251"/>
        <v>2026-02</v>
      </c>
    </row>
    <row r="3993" spans="1:23">
      <c r="A3993" s="1" t="s">
        <v>6407</v>
      </c>
      <c r="B3993" s="1" t="s">
        <v>6408</v>
      </c>
      <c r="C3993" s="1" t="s">
        <v>18</v>
      </c>
      <c r="D3993" s="1" t="s">
        <v>30</v>
      </c>
      <c r="E3993" s="1" t="s">
        <v>31</v>
      </c>
      <c r="F3993">
        <v>1</v>
      </c>
      <c r="G3993" s="2">
        <v>45970</v>
      </c>
      <c r="H3993" s="2">
        <v>46088</v>
      </c>
      <c r="I3993">
        <v>63.84</v>
      </c>
      <c r="M3993" s="1" t="s">
        <v>32</v>
      </c>
      <c r="N3993" s="1" t="s">
        <v>137</v>
      </c>
      <c r="O3993" s="2">
        <v>46162</v>
      </c>
      <c r="P3993" s="2"/>
      <c r="Q3993">
        <f>_xlfn.XLOOKUP(E3993,CPT!$A$2:$A$13,CPT!$D$2:$D$13)</f>
        <v>62</v>
      </c>
      <c r="R3993" s="1">
        <f>_xlfn.XLOOKUP(C3993,Contract!$A$2:$A$9,Contract!$B$2:$B$9)</f>
        <v>0.38</v>
      </c>
      <c r="S3993" s="1">
        <f t="shared" si="248"/>
        <v>23.56</v>
      </c>
      <c r="T3993" s="1" t="str">
        <f t="shared" si="249"/>
        <v/>
      </c>
      <c r="U3993" s="1" t="str">
        <f t="shared" si="250"/>
        <v/>
      </c>
      <c r="V3993" s="1" t="str">
        <f>_xlfn.XLOOKUP(C3993,Payers!$A$2:$A$9,Payers!$B$2:$B$9)</f>
        <v>Sunshine Medicare Advantage</v>
      </c>
      <c r="W3993" s="1" t="str">
        <f t="shared" si="251"/>
        <v>2025-11</v>
      </c>
    </row>
    <row r="3994" spans="1:23">
      <c r="A3994" s="1" t="s">
        <v>6409</v>
      </c>
      <c r="B3994" s="1" t="s">
        <v>2711</v>
      </c>
      <c r="C3994" s="1" t="s">
        <v>60</v>
      </c>
      <c r="D3994" s="1" t="s">
        <v>19</v>
      </c>
      <c r="E3994" s="1" t="s">
        <v>57</v>
      </c>
      <c r="F3994">
        <v>1</v>
      </c>
      <c r="G3994" s="2">
        <v>45957</v>
      </c>
      <c r="H3994" s="2">
        <v>45958</v>
      </c>
      <c r="I3994">
        <v>210.08</v>
      </c>
      <c r="J3994">
        <v>96.37</v>
      </c>
      <c r="K3994">
        <v>96.37</v>
      </c>
      <c r="L3994">
        <v>0</v>
      </c>
      <c r="M3994" s="1" t="s">
        <v>21</v>
      </c>
      <c r="N3994" s="1" t="s">
        <v>22</v>
      </c>
      <c r="O3994" s="2">
        <v>46007</v>
      </c>
      <c r="P3994" s="2">
        <v>46007</v>
      </c>
      <c r="Q3994">
        <f>_xlfn.XLOOKUP(E3994,CPT!$A$2:$A$13,CPT!$D$2:$D$13)</f>
        <v>210</v>
      </c>
      <c r="R3994" s="1">
        <f>_xlfn.XLOOKUP(C3994,Contract!$A$2:$A$9,Contract!$B$2:$B$9)</f>
        <v>0.45</v>
      </c>
      <c r="S3994" s="1">
        <f t="shared" si="248"/>
        <v>94.5</v>
      </c>
      <c r="T3994" s="1">
        <f t="shared" si="249"/>
        <v>-1.8700000000000045</v>
      </c>
      <c r="U3994" s="1" t="str">
        <f t="shared" si="250"/>
        <v>OK</v>
      </c>
      <c r="V3994" s="1" t="str">
        <f>_xlfn.XLOOKUP(C3994,Payers!$A$2:$A$9,Payers!$B$2:$B$9)</f>
        <v>Blue Horizon Commercial</v>
      </c>
      <c r="W3994" s="1" t="str">
        <f t="shared" si="251"/>
        <v>2025-10</v>
      </c>
    </row>
    <row r="3995" spans="1:23">
      <c r="A3995" s="1" t="s">
        <v>6410</v>
      </c>
      <c r="B3995" s="1" t="s">
        <v>1143</v>
      </c>
      <c r="C3995" s="1" t="s">
        <v>76</v>
      </c>
      <c r="D3995" s="1" t="s">
        <v>26</v>
      </c>
      <c r="E3995" s="1" t="s">
        <v>185</v>
      </c>
      <c r="F3995">
        <v>1</v>
      </c>
      <c r="G3995" s="2">
        <v>46191</v>
      </c>
      <c r="H3995" s="2">
        <v>46195</v>
      </c>
      <c r="I3995">
        <v>1141.07</v>
      </c>
      <c r="J3995">
        <v>435.27</v>
      </c>
      <c r="K3995">
        <v>391.74</v>
      </c>
      <c r="L3995">
        <v>43.53</v>
      </c>
      <c r="M3995" s="1" t="s">
        <v>21</v>
      </c>
      <c r="N3995" s="1" t="s">
        <v>22</v>
      </c>
      <c r="O3995" s="2">
        <v>46209</v>
      </c>
      <c r="P3995" s="2">
        <v>46209</v>
      </c>
      <c r="Q3995">
        <f>_xlfn.XLOOKUP(E3995,CPT!$A$2:$A$13,CPT!$D$2:$D$13)</f>
        <v>1150</v>
      </c>
      <c r="R3995" s="1">
        <f>_xlfn.XLOOKUP(C3995,Contract!$A$2:$A$9,Contract!$B$2:$B$9)</f>
        <v>0.43</v>
      </c>
      <c r="S3995" s="1">
        <f t="shared" si="248"/>
        <v>494.5</v>
      </c>
      <c r="T3995" s="1">
        <f t="shared" si="249"/>
        <v>59.230000000000018</v>
      </c>
      <c r="U3995" s="1" t="str">
        <f t="shared" si="250"/>
        <v>Underpaid</v>
      </c>
      <c r="V3995" s="1" t="str">
        <f>_xlfn.XLOOKUP(C3995,Payers!$A$2:$A$9,Payers!$B$2:$B$9)</f>
        <v>Summit Health Commercial</v>
      </c>
      <c r="W3995" s="1" t="str">
        <f t="shared" si="251"/>
        <v>2026-06</v>
      </c>
    </row>
    <row r="3996" spans="1:23">
      <c r="A3996" s="1" t="s">
        <v>6411</v>
      </c>
      <c r="B3996" s="1" t="s">
        <v>6412</v>
      </c>
      <c r="C3996" s="1" t="s">
        <v>76</v>
      </c>
      <c r="D3996" s="1" t="s">
        <v>19</v>
      </c>
      <c r="E3996" s="1" t="s">
        <v>41</v>
      </c>
      <c r="F3996">
        <v>1</v>
      </c>
      <c r="G3996" s="2">
        <v>46130</v>
      </c>
      <c r="H3996" s="2">
        <v>46131</v>
      </c>
      <c r="I3996">
        <v>38.18</v>
      </c>
      <c r="J3996">
        <v>17.420000000000002</v>
      </c>
      <c r="K3996">
        <v>17.420000000000002</v>
      </c>
      <c r="L3996">
        <v>0</v>
      </c>
      <c r="M3996" s="1" t="s">
        <v>21</v>
      </c>
      <c r="N3996" s="1" t="s">
        <v>22</v>
      </c>
      <c r="O3996" s="2">
        <v>46138</v>
      </c>
      <c r="P3996" s="2">
        <v>46138</v>
      </c>
      <c r="Q3996">
        <f>_xlfn.XLOOKUP(E3996,CPT!$A$2:$A$13,CPT!$D$2:$D$13)</f>
        <v>38</v>
      </c>
      <c r="R3996" s="1">
        <f>_xlfn.XLOOKUP(C3996,Contract!$A$2:$A$9,Contract!$B$2:$B$9)</f>
        <v>0.43</v>
      </c>
      <c r="S3996" s="1">
        <f t="shared" si="248"/>
        <v>16.34</v>
      </c>
      <c r="T3996" s="1">
        <f t="shared" si="249"/>
        <v>-1.0800000000000018</v>
      </c>
      <c r="U3996" s="1" t="str">
        <f t="shared" si="250"/>
        <v>OK</v>
      </c>
      <c r="V3996" s="1" t="str">
        <f>_xlfn.XLOOKUP(C3996,Payers!$A$2:$A$9,Payers!$B$2:$B$9)</f>
        <v>Summit Health Commercial</v>
      </c>
      <c r="W3996" s="1" t="str">
        <f t="shared" si="251"/>
        <v>2026-04</v>
      </c>
    </row>
    <row r="3997" spans="1:23">
      <c r="A3997" s="1" t="s">
        <v>6413</v>
      </c>
      <c r="B3997" s="1" t="s">
        <v>6203</v>
      </c>
      <c r="C3997" s="1" t="s">
        <v>79</v>
      </c>
      <c r="D3997" s="1" t="s">
        <v>26</v>
      </c>
      <c r="E3997" s="1" t="s">
        <v>27</v>
      </c>
      <c r="F3997">
        <v>1</v>
      </c>
      <c r="G3997" s="2">
        <v>45995</v>
      </c>
      <c r="H3997" s="2">
        <v>45997</v>
      </c>
      <c r="I3997">
        <v>238.65</v>
      </c>
      <c r="M3997" s="1" t="s">
        <v>69</v>
      </c>
      <c r="N3997" s="1" t="s">
        <v>22</v>
      </c>
      <c r="O3997" s="2"/>
      <c r="P3997" s="2"/>
      <c r="Q3997">
        <f>_xlfn.XLOOKUP(E3997,CPT!$A$2:$A$13,CPT!$D$2:$D$13)</f>
        <v>240</v>
      </c>
      <c r="R3997" s="1">
        <f>_xlfn.XLOOKUP(C3997,Contract!$A$2:$A$9,Contract!$B$2:$B$9)</f>
        <v>1</v>
      </c>
      <c r="S3997" s="1">
        <f t="shared" si="248"/>
        <v>240</v>
      </c>
      <c r="T3997" s="1" t="str">
        <f t="shared" si="249"/>
        <v/>
      </c>
      <c r="U3997" s="1" t="str">
        <f t="shared" si="250"/>
        <v/>
      </c>
      <c r="V3997" s="1" t="str">
        <f>_xlfn.XLOOKUP(C3997,Payers!$A$2:$A$9,Payers!$B$2:$B$9)</f>
        <v>Self-Pay</v>
      </c>
      <c r="W3997" s="1" t="str">
        <f t="shared" si="251"/>
        <v>2025-12</v>
      </c>
    </row>
    <row r="3998" spans="1:23">
      <c r="A3998" s="1" t="s">
        <v>6414</v>
      </c>
      <c r="B3998" s="1" t="s">
        <v>5652</v>
      </c>
      <c r="C3998" s="1" t="s">
        <v>60</v>
      </c>
      <c r="D3998" s="1" t="s">
        <v>26</v>
      </c>
      <c r="E3998" s="1" t="s">
        <v>185</v>
      </c>
      <c r="F3998">
        <v>1</v>
      </c>
      <c r="G3998" s="2">
        <v>46163</v>
      </c>
      <c r="H3998" s="2">
        <v>46164</v>
      </c>
      <c r="I3998">
        <v>1171.2</v>
      </c>
      <c r="J3998">
        <v>582.59</v>
      </c>
      <c r="K3998">
        <v>582.59</v>
      </c>
      <c r="L3998">
        <v>0</v>
      </c>
      <c r="M3998" s="1" t="s">
        <v>21</v>
      </c>
      <c r="N3998" s="1" t="s">
        <v>22</v>
      </c>
      <c r="O3998" s="2">
        <v>46187</v>
      </c>
      <c r="P3998" s="2">
        <v>46187</v>
      </c>
      <c r="Q3998">
        <f>_xlfn.XLOOKUP(E3998,CPT!$A$2:$A$13,CPT!$D$2:$D$13)</f>
        <v>1150</v>
      </c>
      <c r="R3998" s="1">
        <f>_xlfn.XLOOKUP(C3998,Contract!$A$2:$A$9,Contract!$B$2:$B$9)</f>
        <v>0.45</v>
      </c>
      <c r="S3998" s="1">
        <f t="shared" si="248"/>
        <v>517.5</v>
      </c>
      <c r="T3998" s="1">
        <f t="shared" si="249"/>
        <v>-65.090000000000032</v>
      </c>
      <c r="U3998" s="1" t="str">
        <f t="shared" si="250"/>
        <v>OK</v>
      </c>
      <c r="V3998" s="1" t="str">
        <f>_xlfn.XLOOKUP(C3998,Payers!$A$2:$A$9,Payers!$B$2:$B$9)</f>
        <v>Blue Horizon Commercial</v>
      </c>
      <c r="W3998" s="1" t="str">
        <f t="shared" si="251"/>
        <v>2026-05</v>
      </c>
    </row>
    <row r="3999" spans="1:23">
      <c r="A3999" s="1" t="s">
        <v>6415</v>
      </c>
      <c r="B3999" s="1" t="s">
        <v>509</v>
      </c>
      <c r="C3999" s="1" t="s">
        <v>47</v>
      </c>
      <c r="D3999" s="1" t="s">
        <v>19</v>
      </c>
      <c r="E3999" s="1" t="s">
        <v>41</v>
      </c>
      <c r="F3999">
        <v>1</v>
      </c>
      <c r="G3999" s="2">
        <v>46185</v>
      </c>
      <c r="H3999" s="2">
        <v>46191</v>
      </c>
      <c r="I3999">
        <v>38.83</v>
      </c>
      <c r="J3999">
        <v>9.6999999999999993</v>
      </c>
      <c r="K3999">
        <v>9.6999999999999993</v>
      </c>
      <c r="L3999">
        <v>0</v>
      </c>
      <c r="M3999" s="1" t="s">
        <v>21</v>
      </c>
      <c r="N3999" s="1" t="s">
        <v>22</v>
      </c>
      <c r="O3999" s="2">
        <v>46265</v>
      </c>
      <c r="P3999" s="2">
        <v>46265</v>
      </c>
      <c r="Q3999">
        <f>_xlfn.XLOOKUP(E3999,CPT!$A$2:$A$13,CPT!$D$2:$D$13)</f>
        <v>38</v>
      </c>
      <c r="R3999" s="1">
        <f>_xlfn.XLOOKUP(C3999,Contract!$A$2:$A$9,Contract!$B$2:$B$9)</f>
        <v>0.28000000000000003</v>
      </c>
      <c r="S3999" s="1">
        <f t="shared" si="248"/>
        <v>10.64</v>
      </c>
      <c r="T3999" s="1">
        <f t="shared" si="249"/>
        <v>0.94000000000000128</v>
      </c>
      <c r="U3999" s="1" t="str">
        <f t="shared" si="250"/>
        <v>Underpaid</v>
      </c>
      <c r="V3999" s="1" t="str">
        <f>_xlfn.XLOOKUP(C3999,Payers!$A$2:$A$9,Payers!$B$2:$B$9)</f>
        <v>Coastal Medicaid MCO</v>
      </c>
      <c r="W3999" s="1" t="str">
        <f t="shared" si="251"/>
        <v>2026-06</v>
      </c>
    </row>
    <row r="4000" spans="1:23">
      <c r="A4000" s="1" t="s">
        <v>6416</v>
      </c>
      <c r="B4000" s="1" t="s">
        <v>6417</v>
      </c>
      <c r="C4000" s="1" t="s">
        <v>76</v>
      </c>
      <c r="D4000" s="1" t="s">
        <v>26</v>
      </c>
      <c r="E4000" s="1" t="s">
        <v>185</v>
      </c>
      <c r="F4000">
        <v>1</v>
      </c>
      <c r="G4000" s="2">
        <v>45962</v>
      </c>
      <c r="H4000" s="2">
        <v>45967</v>
      </c>
      <c r="I4000">
        <v>1143.05</v>
      </c>
      <c r="J4000">
        <v>544.51</v>
      </c>
      <c r="K4000">
        <v>435.61</v>
      </c>
      <c r="L4000">
        <v>108.9</v>
      </c>
      <c r="M4000" s="1" t="s">
        <v>21</v>
      </c>
      <c r="N4000" s="1" t="s">
        <v>22</v>
      </c>
      <c r="O4000" s="2">
        <v>46007</v>
      </c>
      <c r="P4000" s="2">
        <v>46007</v>
      </c>
      <c r="Q4000">
        <f>_xlfn.XLOOKUP(E4000,CPT!$A$2:$A$13,CPT!$D$2:$D$13)</f>
        <v>1150</v>
      </c>
      <c r="R4000" s="1">
        <f>_xlfn.XLOOKUP(C4000,Contract!$A$2:$A$9,Contract!$B$2:$B$9)</f>
        <v>0.43</v>
      </c>
      <c r="S4000" s="1">
        <f t="shared" si="248"/>
        <v>494.5</v>
      </c>
      <c r="T4000" s="1">
        <f t="shared" si="249"/>
        <v>-50.009999999999991</v>
      </c>
      <c r="U4000" s="1" t="str">
        <f t="shared" si="250"/>
        <v>OK</v>
      </c>
      <c r="V4000" s="1" t="str">
        <f>_xlfn.XLOOKUP(C4000,Payers!$A$2:$A$9,Payers!$B$2:$B$9)</f>
        <v>Summit Health Commercial</v>
      </c>
      <c r="W4000" s="1" t="str">
        <f t="shared" si="251"/>
        <v>2025-11</v>
      </c>
    </row>
    <row r="4001" spans="1:23">
      <c r="A4001" s="1" t="s">
        <v>6418</v>
      </c>
      <c r="B4001" s="1" t="s">
        <v>6419</v>
      </c>
      <c r="C4001" s="1" t="s">
        <v>36</v>
      </c>
      <c r="D4001" s="1" t="s">
        <v>30</v>
      </c>
      <c r="E4001" s="1" t="s">
        <v>20</v>
      </c>
      <c r="F4001">
        <v>1</v>
      </c>
      <c r="G4001" s="2">
        <v>46126</v>
      </c>
      <c r="H4001" s="2">
        <v>46263</v>
      </c>
      <c r="I4001">
        <v>147.25</v>
      </c>
      <c r="M4001" s="1" t="s">
        <v>32</v>
      </c>
      <c r="N4001" s="1" t="s">
        <v>137</v>
      </c>
      <c r="O4001" s="2">
        <v>46282</v>
      </c>
      <c r="P4001" s="2"/>
      <c r="Q4001">
        <f>_xlfn.XLOOKUP(E4001,CPT!$A$2:$A$13,CPT!$D$2:$D$13)</f>
        <v>145</v>
      </c>
      <c r="R4001" s="1">
        <f>_xlfn.XLOOKUP(C4001,Contract!$A$2:$A$9,Contract!$B$2:$B$9)</f>
        <v>0.27</v>
      </c>
      <c r="S4001" s="1">
        <f t="shared" si="248"/>
        <v>39.15</v>
      </c>
      <c r="T4001" s="1" t="str">
        <f t="shared" si="249"/>
        <v/>
      </c>
      <c r="U4001" s="1" t="str">
        <f t="shared" si="250"/>
        <v/>
      </c>
      <c r="V4001" s="1" t="str">
        <f>_xlfn.XLOOKUP(C4001,Payers!$A$2:$A$9,Payers!$B$2:$B$9)</f>
        <v>Florida Medicaid</v>
      </c>
      <c r="W4001" s="1" t="str">
        <f t="shared" si="251"/>
        <v>2026-04</v>
      </c>
    </row>
    <row r="4002" spans="1:23">
      <c r="A4002" s="1" t="s">
        <v>6420</v>
      </c>
      <c r="B4002" s="1" t="s">
        <v>2444</v>
      </c>
      <c r="C4002" s="1" t="s">
        <v>36</v>
      </c>
      <c r="D4002" s="1" t="s">
        <v>30</v>
      </c>
      <c r="E4002" s="1" t="s">
        <v>31</v>
      </c>
      <c r="F4002">
        <v>3</v>
      </c>
      <c r="G4002" s="2">
        <v>46009</v>
      </c>
      <c r="H4002" s="2">
        <v>46010</v>
      </c>
      <c r="I4002">
        <v>184.86</v>
      </c>
      <c r="M4002" s="1" t="s">
        <v>32</v>
      </c>
      <c r="N4002" s="1" t="s">
        <v>124</v>
      </c>
      <c r="O4002" s="2">
        <v>46055</v>
      </c>
      <c r="P4002" s="2"/>
      <c r="Q4002">
        <f>_xlfn.XLOOKUP(E4002,CPT!$A$2:$A$13,CPT!$D$2:$D$13)</f>
        <v>62</v>
      </c>
      <c r="R4002" s="1">
        <f>_xlfn.XLOOKUP(C4002,Contract!$A$2:$A$9,Contract!$B$2:$B$9)</f>
        <v>0.27</v>
      </c>
      <c r="S4002" s="1">
        <f t="shared" si="248"/>
        <v>50.22</v>
      </c>
      <c r="T4002" s="1" t="str">
        <f t="shared" si="249"/>
        <v/>
      </c>
      <c r="U4002" s="1" t="str">
        <f t="shared" si="250"/>
        <v/>
      </c>
      <c r="V4002" s="1" t="str">
        <f>_xlfn.XLOOKUP(C4002,Payers!$A$2:$A$9,Payers!$B$2:$B$9)</f>
        <v>Florida Medicaid</v>
      </c>
      <c r="W4002" s="1" t="str">
        <f t="shared" si="251"/>
        <v>2025-12</v>
      </c>
    </row>
    <row r="4003" spans="1:23">
      <c r="A4003" s="1" t="s">
        <v>6421</v>
      </c>
      <c r="B4003" s="1" t="s">
        <v>6422</v>
      </c>
      <c r="C4003" s="1" t="s">
        <v>47</v>
      </c>
      <c r="D4003" s="1" t="s">
        <v>26</v>
      </c>
      <c r="E4003" s="1" t="s">
        <v>185</v>
      </c>
      <c r="F4003">
        <v>1</v>
      </c>
      <c r="G4003" s="2">
        <v>46083</v>
      </c>
      <c r="H4003" s="2">
        <v>46085</v>
      </c>
      <c r="I4003">
        <v>1124.9100000000001</v>
      </c>
      <c r="J4003">
        <v>281.70999999999998</v>
      </c>
      <c r="K4003">
        <v>281.70999999999998</v>
      </c>
      <c r="L4003">
        <v>0</v>
      </c>
      <c r="M4003" s="1" t="s">
        <v>21</v>
      </c>
      <c r="N4003" s="1" t="s">
        <v>22</v>
      </c>
      <c r="O4003" s="2">
        <v>46144</v>
      </c>
      <c r="P4003" s="2">
        <v>46144</v>
      </c>
      <c r="Q4003">
        <f>_xlfn.XLOOKUP(E4003,CPT!$A$2:$A$13,CPT!$D$2:$D$13)</f>
        <v>1150</v>
      </c>
      <c r="R4003" s="1">
        <f>_xlfn.XLOOKUP(C4003,Contract!$A$2:$A$9,Contract!$B$2:$B$9)</f>
        <v>0.28000000000000003</v>
      </c>
      <c r="S4003" s="1">
        <f t="shared" si="248"/>
        <v>322</v>
      </c>
      <c r="T4003" s="1">
        <f t="shared" si="249"/>
        <v>40.29000000000002</v>
      </c>
      <c r="U4003" s="1" t="str">
        <f t="shared" si="250"/>
        <v>Underpaid</v>
      </c>
      <c r="V4003" s="1" t="str">
        <f>_xlfn.XLOOKUP(C4003,Payers!$A$2:$A$9,Payers!$B$2:$B$9)</f>
        <v>Coastal Medicaid MCO</v>
      </c>
      <c r="W4003" s="1" t="str">
        <f t="shared" si="251"/>
        <v>2026-03</v>
      </c>
    </row>
    <row r="4004" spans="1:23">
      <c r="A4004" s="1" t="s">
        <v>6423</v>
      </c>
      <c r="B4004" s="1" t="s">
        <v>2244</v>
      </c>
      <c r="C4004" s="1" t="s">
        <v>60</v>
      </c>
      <c r="D4004" s="1" t="s">
        <v>26</v>
      </c>
      <c r="E4004" s="1" t="s">
        <v>41</v>
      </c>
      <c r="F4004">
        <v>1</v>
      </c>
      <c r="G4004" s="2">
        <v>46290</v>
      </c>
      <c r="H4004" s="2">
        <v>46291</v>
      </c>
      <c r="I4004">
        <v>36.99</v>
      </c>
      <c r="M4004" s="1" t="s">
        <v>69</v>
      </c>
      <c r="N4004" s="1" t="s">
        <v>22</v>
      </c>
      <c r="O4004" s="2"/>
      <c r="P4004" s="2"/>
      <c r="Q4004">
        <f>_xlfn.XLOOKUP(E4004,CPT!$A$2:$A$13,CPT!$D$2:$D$13)</f>
        <v>38</v>
      </c>
      <c r="R4004" s="1">
        <f>_xlfn.XLOOKUP(C4004,Contract!$A$2:$A$9,Contract!$B$2:$B$9)</f>
        <v>0.45</v>
      </c>
      <c r="S4004" s="1">
        <f t="shared" si="248"/>
        <v>17.100000000000001</v>
      </c>
      <c r="T4004" s="1" t="str">
        <f t="shared" si="249"/>
        <v/>
      </c>
      <c r="U4004" s="1" t="str">
        <f t="shared" si="250"/>
        <v/>
      </c>
      <c r="V4004" s="1" t="str">
        <f>_xlfn.XLOOKUP(C4004,Payers!$A$2:$A$9,Payers!$B$2:$B$9)</f>
        <v>Blue Horizon Commercial</v>
      </c>
      <c r="W4004" s="1" t="str">
        <f t="shared" si="251"/>
        <v>2026-09</v>
      </c>
    </row>
    <row r="4005" spans="1:23">
      <c r="A4005" s="1" t="s">
        <v>6424</v>
      </c>
      <c r="B4005" s="1" t="s">
        <v>4843</v>
      </c>
      <c r="C4005" s="1" t="s">
        <v>25</v>
      </c>
      <c r="D4005" s="1" t="s">
        <v>37</v>
      </c>
      <c r="E4005" s="1" t="s">
        <v>48</v>
      </c>
      <c r="F4005">
        <v>1</v>
      </c>
      <c r="G4005" s="2">
        <v>46101</v>
      </c>
      <c r="H4005" s="2">
        <v>46105</v>
      </c>
      <c r="I4005">
        <v>408.95</v>
      </c>
      <c r="J4005">
        <v>128.71</v>
      </c>
      <c r="K4005">
        <v>128.71</v>
      </c>
      <c r="L4005">
        <v>0</v>
      </c>
      <c r="M4005" s="1" t="s">
        <v>21</v>
      </c>
      <c r="N4005" s="1" t="s">
        <v>22</v>
      </c>
      <c r="O4005" s="2">
        <v>46121</v>
      </c>
      <c r="P4005" s="2">
        <v>46121</v>
      </c>
      <c r="Q4005">
        <f>_xlfn.XLOOKUP(E4005,CPT!$A$2:$A$13,CPT!$D$2:$D$13)</f>
        <v>420</v>
      </c>
      <c r="R4005" s="1">
        <f>_xlfn.XLOOKUP(C4005,Contract!$A$2:$A$9,Contract!$B$2:$B$9)</f>
        <v>0.36</v>
      </c>
      <c r="S4005" s="1">
        <f t="shared" si="248"/>
        <v>151.19999999999999</v>
      </c>
      <c r="T4005" s="1">
        <f t="shared" si="249"/>
        <v>22.489999999999981</v>
      </c>
      <c r="U4005" s="1" t="str">
        <f t="shared" si="250"/>
        <v>Underpaid</v>
      </c>
      <c r="V4005" s="1" t="str">
        <f>_xlfn.XLOOKUP(C4005,Payers!$A$2:$A$9,Payers!$B$2:$B$9)</f>
        <v>Medicare Part B</v>
      </c>
      <c r="W4005" s="1" t="str">
        <f t="shared" si="251"/>
        <v>2026-03</v>
      </c>
    </row>
    <row r="4006" spans="1:23">
      <c r="A4006" s="1" t="s">
        <v>6425</v>
      </c>
      <c r="B4006" s="1" t="s">
        <v>2626</v>
      </c>
      <c r="C4006" s="1" t="s">
        <v>25</v>
      </c>
      <c r="D4006" s="1" t="s">
        <v>26</v>
      </c>
      <c r="E4006" s="1" t="s">
        <v>57</v>
      </c>
      <c r="F4006">
        <v>1</v>
      </c>
      <c r="G4006" s="2">
        <v>46125</v>
      </c>
      <c r="H4006" s="2">
        <v>46137</v>
      </c>
      <c r="I4006">
        <v>205.17</v>
      </c>
      <c r="J4006">
        <v>66.599999999999994</v>
      </c>
      <c r="K4006">
        <v>59.94</v>
      </c>
      <c r="L4006">
        <v>6.66</v>
      </c>
      <c r="M4006" s="1" t="s">
        <v>21</v>
      </c>
      <c r="N4006" s="1" t="s">
        <v>22</v>
      </c>
      <c r="O4006" s="2">
        <v>46153</v>
      </c>
      <c r="P4006" s="2">
        <v>46153</v>
      </c>
      <c r="Q4006">
        <f>_xlfn.XLOOKUP(E4006,CPT!$A$2:$A$13,CPT!$D$2:$D$13)</f>
        <v>210</v>
      </c>
      <c r="R4006" s="1">
        <f>_xlfn.XLOOKUP(C4006,Contract!$A$2:$A$9,Contract!$B$2:$B$9)</f>
        <v>0.36</v>
      </c>
      <c r="S4006" s="1">
        <f t="shared" si="248"/>
        <v>75.599999999999994</v>
      </c>
      <c r="T4006" s="1">
        <f t="shared" si="249"/>
        <v>9</v>
      </c>
      <c r="U4006" s="1" t="str">
        <f t="shared" si="250"/>
        <v>Underpaid</v>
      </c>
      <c r="V4006" s="1" t="str">
        <f>_xlfn.XLOOKUP(C4006,Payers!$A$2:$A$9,Payers!$B$2:$B$9)</f>
        <v>Medicare Part B</v>
      </c>
      <c r="W4006" s="1" t="str">
        <f t="shared" si="251"/>
        <v>2026-04</v>
      </c>
    </row>
    <row r="4007" spans="1:23">
      <c r="A4007" s="1" t="s">
        <v>6426</v>
      </c>
      <c r="B4007" s="1" t="s">
        <v>2413</v>
      </c>
      <c r="C4007" s="1" t="s">
        <v>76</v>
      </c>
      <c r="D4007" s="1" t="s">
        <v>37</v>
      </c>
      <c r="E4007" s="1" t="s">
        <v>48</v>
      </c>
      <c r="F4007">
        <v>1</v>
      </c>
      <c r="G4007" s="2">
        <v>46206</v>
      </c>
      <c r="H4007" s="2">
        <v>46216</v>
      </c>
      <c r="I4007">
        <v>426.39</v>
      </c>
      <c r="J4007">
        <v>179.69</v>
      </c>
      <c r="K4007">
        <v>161.72</v>
      </c>
      <c r="L4007">
        <v>17.97</v>
      </c>
      <c r="M4007" s="1" t="s">
        <v>21</v>
      </c>
      <c r="N4007" s="1" t="s">
        <v>22</v>
      </c>
      <c r="O4007" s="2">
        <v>46263</v>
      </c>
      <c r="P4007" s="2">
        <v>46263</v>
      </c>
      <c r="Q4007">
        <f>_xlfn.XLOOKUP(E4007,CPT!$A$2:$A$13,CPT!$D$2:$D$13)</f>
        <v>420</v>
      </c>
      <c r="R4007" s="1">
        <f>_xlfn.XLOOKUP(C4007,Contract!$A$2:$A$9,Contract!$B$2:$B$9)</f>
        <v>0.43</v>
      </c>
      <c r="S4007" s="1">
        <f t="shared" si="248"/>
        <v>180.6</v>
      </c>
      <c r="T4007" s="1">
        <f t="shared" si="249"/>
        <v>0.90999999999999659</v>
      </c>
      <c r="U4007" s="1" t="str">
        <f t="shared" si="250"/>
        <v>OK</v>
      </c>
      <c r="V4007" s="1" t="str">
        <f>_xlfn.XLOOKUP(C4007,Payers!$A$2:$A$9,Payers!$B$2:$B$9)</f>
        <v>Summit Health Commercial</v>
      </c>
      <c r="W4007" s="1" t="str">
        <f t="shared" si="251"/>
        <v>2026-07</v>
      </c>
    </row>
    <row r="4008" spans="1:23">
      <c r="A4008" s="1" t="s">
        <v>6427</v>
      </c>
      <c r="B4008" s="1" t="s">
        <v>365</v>
      </c>
      <c r="C4008" s="1" t="s">
        <v>60</v>
      </c>
      <c r="D4008" s="1" t="s">
        <v>19</v>
      </c>
      <c r="E4008" s="1" t="s">
        <v>88</v>
      </c>
      <c r="F4008">
        <v>1</v>
      </c>
      <c r="G4008" s="2">
        <v>46027</v>
      </c>
      <c r="H4008" s="2">
        <v>46030</v>
      </c>
      <c r="I4008">
        <v>252.2</v>
      </c>
      <c r="J4008">
        <v>109.68</v>
      </c>
      <c r="K4008">
        <v>109.68</v>
      </c>
      <c r="L4008">
        <v>0</v>
      </c>
      <c r="M4008" s="1" t="s">
        <v>21</v>
      </c>
      <c r="N4008" s="1" t="s">
        <v>22</v>
      </c>
      <c r="O4008" s="2">
        <v>46062</v>
      </c>
      <c r="P4008" s="2">
        <v>46062</v>
      </c>
      <c r="Q4008">
        <f>_xlfn.XLOOKUP(E4008,CPT!$A$2:$A$13,CPT!$D$2:$D$13)</f>
        <v>260</v>
      </c>
      <c r="R4008" s="1">
        <f>_xlfn.XLOOKUP(C4008,Contract!$A$2:$A$9,Contract!$B$2:$B$9)</f>
        <v>0.45</v>
      </c>
      <c r="S4008" s="1">
        <f t="shared" si="248"/>
        <v>117</v>
      </c>
      <c r="T4008" s="1">
        <f t="shared" si="249"/>
        <v>7.3199999999999932</v>
      </c>
      <c r="U4008" s="1" t="str">
        <f t="shared" si="250"/>
        <v>Underpaid</v>
      </c>
      <c r="V4008" s="1" t="str">
        <f>_xlfn.XLOOKUP(C4008,Payers!$A$2:$A$9,Payers!$B$2:$B$9)</f>
        <v>Blue Horizon Commercial</v>
      </c>
      <c r="W4008" s="1" t="str">
        <f t="shared" si="251"/>
        <v>2026-01</v>
      </c>
    </row>
    <row r="4009" spans="1:23">
      <c r="A4009" s="1" t="s">
        <v>6428</v>
      </c>
      <c r="B4009" s="1" t="s">
        <v>6429</v>
      </c>
      <c r="C4009" s="1" t="s">
        <v>47</v>
      </c>
      <c r="D4009" s="1" t="s">
        <v>19</v>
      </c>
      <c r="E4009" s="1" t="s">
        <v>57</v>
      </c>
      <c r="F4009">
        <v>1</v>
      </c>
      <c r="G4009" s="2">
        <v>46102</v>
      </c>
      <c r="H4009" s="2">
        <v>46110</v>
      </c>
      <c r="I4009">
        <v>209.03</v>
      </c>
      <c r="M4009" s="1" t="s">
        <v>32</v>
      </c>
      <c r="N4009" s="1" t="s">
        <v>33</v>
      </c>
      <c r="O4009" s="2">
        <v>46162</v>
      </c>
      <c r="P4009" s="2"/>
      <c r="Q4009">
        <f>_xlfn.XLOOKUP(E4009,CPT!$A$2:$A$13,CPT!$D$2:$D$13)</f>
        <v>210</v>
      </c>
      <c r="R4009" s="1">
        <f>_xlfn.XLOOKUP(C4009,Contract!$A$2:$A$9,Contract!$B$2:$B$9)</f>
        <v>0.28000000000000003</v>
      </c>
      <c r="S4009" s="1">
        <f t="shared" si="248"/>
        <v>58.8</v>
      </c>
      <c r="T4009" s="1" t="str">
        <f t="shared" si="249"/>
        <v/>
      </c>
      <c r="U4009" s="1" t="str">
        <f t="shared" si="250"/>
        <v/>
      </c>
      <c r="V4009" s="1" t="str">
        <f>_xlfn.XLOOKUP(C4009,Payers!$A$2:$A$9,Payers!$B$2:$B$9)</f>
        <v>Coastal Medicaid MCO</v>
      </c>
      <c r="W4009" s="1" t="str">
        <f t="shared" si="251"/>
        <v>2026-03</v>
      </c>
    </row>
    <row r="4010" spans="1:23">
      <c r="A4010" s="1" t="s">
        <v>6430</v>
      </c>
      <c r="B4010" s="1" t="s">
        <v>6431</v>
      </c>
      <c r="C4010" s="1" t="s">
        <v>18</v>
      </c>
      <c r="D4010" s="1" t="s">
        <v>19</v>
      </c>
      <c r="E4010" s="1" t="s">
        <v>41</v>
      </c>
      <c r="F4010">
        <v>1</v>
      </c>
      <c r="G4010" s="2">
        <v>46163</v>
      </c>
      <c r="H4010" s="2">
        <v>46169</v>
      </c>
      <c r="I4010">
        <v>37.31</v>
      </c>
      <c r="M4010" s="1" t="s">
        <v>32</v>
      </c>
      <c r="N4010" s="1" t="s">
        <v>33</v>
      </c>
      <c r="O4010" s="2">
        <v>46228</v>
      </c>
      <c r="P4010" s="2"/>
      <c r="Q4010">
        <f>_xlfn.XLOOKUP(E4010,CPT!$A$2:$A$13,CPT!$D$2:$D$13)</f>
        <v>38</v>
      </c>
      <c r="R4010" s="1">
        <f>_xlfn.XLOOKUP(C4010,Contract!$A$2:$A$9,Contract!$B$2:$B$9)</f>
        <v>0.38</v>
      </c>
      <c r="S4010" s="1">
        <f t="shared" si="248"/>
        <v>14.44</v>
      </c>
      <c r="T4010" s="1" t="str">
        <f t="shared" si="249"/>
        <v/>
      </c>
      <c r="U4010" s="1" t="str">
        <f t="shared" si="250"/>
        <v/>
      </c>
      <c r="V4010" s="1" t="str">
        <f>_xlfn.XLOOKUP(C4010,Payers!$A$2:$A$9,Payers!$B$2:$B$9)</f>
        <v>Sunshine Medicare Advantage</v>
      </c>
      <c r="W4010" s="1" t="str">
        <f t="shared" si="251"/>
        <v>2026-05</v>
      </c>
    </row>
    <row r="4011" spans="1:23">
      <c r="A4011" s="1" t="s">
        <v>6432</v>
      </c>
      <c r="B4011" s="1" t="s">
        <v>6433</v>
      </c>
      <c r="C4011" s="1" t="s">
        <v>47</v>
      </c>
      <c r="D4011" s="1" t="s">
        <v>26</v>
      </c>
      <c r="E4011" s="1" t="s">
        <v>57</v>
      </c>
      <c r="F4011">
        <v>1</v>
      </c>
      <c r="G4011" s="2">
        <v>46045</v>
      </c>
      <c r="H4011" s="2">
        <v>46051</v>
      </c>
      <c r="I4011">
        <v>206.18</v>
      </c>
      <c r="M4011" s="1" t="s">
        <v>32</v>
      </c>
      <c r="N4011" s="1" t="s">
        <v>124</v>
      </c>
      <c r="O4011" s="2">
        <v>46124</v>
      </c>
      <c r="P4011" s="2"/>
      <c r="Q4011">
        <f>_xlfn.XLOOKUP(E4011,CPT!$A$2:$A$13,CPT!$D$2:$D$13)</f>
        <v>210</v>
      </c>
      <c r="R4011" s="1">
        <f>_xlfn.XLOOKUP(C4011,Contract!$A$2:$A$9,Contract!$B$2:$B$9)</f>
        <v>0.28000000000000003</v>
      </c>
      <c r="S4011" s="1">
        <f t="shared" si="248"/>
        <v>58.8</v>
      </c>
      <c r="T4011" s="1" t="str">
        <f t="shared" si="249"/>
        <v/>
      </c>
      <c r="U4011" s="1" t="str">
        <f t="shared" si="250"/>
        <v/>
      </c>
      <c r="V4011" s="1" t="str">
        <f>_xlfn.XLOOKUP(C4011,Payers!$A$2:$A$9,Payers!$B$2:$B$9)</f>
        <v>Coastal Medicaid MCO</v>
      </c>
      <c r="W4011" s="1" t="str">
        <f t="shared" si="251"/>
        <v>2026-01</v>
      </c>
    </row>
    <row r="4012" spans="1:23">
      <c r="A4012" s="1" t="s">
        <v>6434</v>
      </c>
      <c r="B4012" s="1" t="s">
        <v>1447</v>
      </c>
      <c r="C4012" s="1" t="s">
        <v>79</v>
      </c>
      <c r="D4012" s="1" t="s">
        <v>26</v>
      </c>
      <c r="E4012" s="1" t="s">
        <v>27</v>
      </c>
      <c r="F4012">
        <v>1</v>
      </c>
      <c r="G4012" s="2">
        <v>46128</v>
      </c>
      <c r="H4012" s="2">
        <v>46133</v>
      </c>
      <c r="I4012">
        <v>234.88</v>
      </c>
      <c r="J4012">
        <v>234.88</v>
      </c>
      <c r="K4012">
        <v>234.88</v>
      </c>
      <c r="L4012">
        <v>0</v>
      </c>
      <c r="M4012" s="1" t="s">
        <v>21</v>
      </c>
      <c r="N4012" s="1" t="s">
        <v>22</v>
      </c>
      <c r="O4012" s="2">
        <v>46220</v>
      </c>
      <c r="P4012" s="2">
        <v>46220</v>
      </c>
      <c r="Q4012">
        <f>_xlfn.XLOOKUP(E4012,CPT!$A$2:$A$13,CPT!$D$2:$D$13)</f>
        <v>240</v>
      </c>
      <c r="R4012" s="1">
        <f>_xlfn.XLOOKUP(C4012,Contract!$A$2:$A$9,Contract!$B$2:$B$9)</f>
        <v>1</v>
      </c>
      <c r="S4012" s="1">
        <f t="shared" si="248"/>
        <v>240</v>
      </c>
      <c r="T4012" s="1">
        <f t="shared" si="249"/>
        <v>5.1200000000000045</v>
      </c>
      <c r="U4012" s="1" t="str">
        <f t="shared" si="250"/>
        <v>OK</v>
      </c>
      <c r="V4012" s="1" t="str">
        <f>_xlfn.XLOOKUP(C4012,Payers!$A$2:$A$9,Payers!$B$2:$B$9)</f>
        <v>Self-Pay</v>
      </c>
      <c r="W4012" s="1" t="str">
        <f t="shared" si="251"/>
        <v>2026-04</v>
      </c>
    </row>
    <row r="4013" spans="1:23">
      <c r="A4013" s="1" t="s">
        <v>6435</v>
      </c>
      <c r="B4013" s="1" t="s">
        <v>466</v>
      </c>
      <c r="C4013" s="1" t="s">
        <v>18</v>
      </c>
      <c r="D4013" s="1" t="s">
        <v>26</v>
      </c>
      <c r="E4013" s="1" t="s">
        <v>41</v>
      </c>
      <c r="F4013">
        <v>1</v>
      </c>
      <c r="G4013" s="2">
        <v>46073</v>
      </c>
      <c r="H4013" s="2">
        <v>46074</v>
      </c>
      <c r="I4013">
        <v>37.54</v>
      </c>
      <c r="J4013">
        <v>12.84</v>
      </c>
      <c r="K4013">
        <v>12.84</v>
      </c>
      <c r="L4013">
        <v>0</v>
      </c>
      <c r="M4013" s="1" t="s">
        <v>21</v>
      </c>
      <c r="N4013" s="1" t="s">
        <v>22</v>
      </c>
      <c r="O4013" s="2">
        <v>46116</v>
      </c>
      <c r="P4013" s="2">
        <v>46116</v>
      </c>
      <c r="Q4013">
        <f>_xlfn.XLOOKUP(E4013,CPT!$A$2:$A$13,CPT!$D$2:$D$13)</f>
        <v>38</v>
      </c>
      <c r="R4013" s="1">
        <f>_xlfn.XLOOKUP(C4013,Contract!$A$2:$A$9,Contract!$B$2:$B$9)</f>
        <v>0.38</v>
      </c>
      <c r="S4013" s="1">
        <f t="shared" si="248"/>
        <v>14.44</v>
      </c>
      <c r="T4013" s="1">
        <f t="shared" si="249"/>
        <v>1.5999999999999996</v>
      </c>
      <c r="U4013" s="1" t="str">
        <f t="shared" si="250"/>
        <v>Underpaid</v>
      </c>
      <c r="V4013" s="1" t="str">
        <f>_xlfn.XLOOKUP(C4013,Payers!$A$2:$A$9,Payers!$B$2:$B$9)</f>
        <v>Sunshine Medicare Advantage</v>
      </c>
      <c r="W4013" s="1" t="str">
        <f t="shared" si="251"/>
        <v>2026-02</v>
      </c>
    </row>
    <row r="4014" spans="1:23">
      <c r="A4014" s="1" t="s">
        <v>6436</v>
      </c>
      <c r="B4014" s="1" t="s">
        <v>6437</v>
      </c>
      <c r="C4014" s="1" t="s">
        <v>52</v>
      </c>
      <c r="D4014" s="1" t="s">
        <v>30</v>
      </c>
      <c r="E4014" s="1" t="s">
        <v>91</v>
      </c>
      <c r="F4014">
        <v>3</v>
      </c>
      <c r="G4014" s="2">
        <v>45944</v>
      </c>
      <c r="H4014" s="2">
        <v>45949</v>
      </c>
      <c r="I4014">
        <v>175.73</v>
      </c>
      <c r="J4014">
        <v>93.5</v>
      </c>
      <c r="K4014">
        <v>84.15</v>
      </c>
      <c r="L4014">
        <v>9.35</v>
      </c>
      <c r="M4014" s="1" t="s">
        <v>21</v>
      </c>
      <c r="N4014" s="1" t="s">
        <v>22</v>
      </c>
      <c r="O4014" s="2">
        <v>45989</v>
      </c>
      <c r="P4014" s="2">
        <v>45989</v>
      </c>
      <c r="Q4014">
        <f>_xlfn.XLOOKUP(E4014,CPT!$A$2:$A$13,CPT!$D$2:$D$13)</f>
        <v>58</v>
      </c>
      <c r="R4014" s="1">
        <f>_xlfn.XLOOKUP(C4014,Contract!$A$2:$A$9,Contract!$B$2:$B$9)</f>
        <v>0.47</v>
      </c>
      <c r="S4014" s="1">
        <f t="shared" si="248"/>
        <v>81.78</v>
      </c>
      <c r="T4014" s="1">
        <f t="shared" si="249"/>
        <v>-11.719999999999999</v>
      </c>
      <c r="U4014" s="1" t="str">
        <f t="shared" si="250"/>
        <v>OK</v>
      </c>
      <c r="V4014" s="1" t="str">
        <f>_xlfn.XLOOKUP(C4014,Payers!$A$2:$A$9,Payers!$B$2:$B$9)</f>
        <v>Keystone Commercial PPO</v>
      </c>
      <c r="W4014" s="1" t="str">
        <f t="shared" si="251"/>
        <v>2025-10</v>
      </c>
    </row>
    <row r="4015" spans="1:23">
      <c r="A4015" s="1" t="s">
        <v>6438</v>
      </c>
      <c r="B4015" s="1" t="s">
        <v>6439</v>
      </c>
      <c r="C4015" s="1" t="s">
        <v>79</v>
      </c>
      <c r="D4015" s="1" t="s">
        <v>30</v>
      </c>
      <c r="E4015" s="1" t="s">
        <v>20</v>
      </c>
      <c r="F4015">
        <v>1</v>
      </c>
      <c r="G4015" s="2">
        <v>46285</v>
      </c>
      <c r="H4015" s="2">
        <v>46290</v>
      </c>
      <c r="I4015">
        <v>142.30000000000001</v>
      </c>
      <c r="M4015" s="1" t="s">
        <v>69</v>
      </c>
      <c r="N4015" s="1" t="s">
        <v>22</v>
      </c>
      <c r="O4015" s="2"/>
      <c r="P4015" s="2"/>
      <c r="Q4015">
        <f>_xlfn.XLOOKUP(E4015,CPT!$A$2:$A$13,CPT!$D$2:$D$13)</f>
        <v>145</v>
      </c>
      <c r="R4015" s="1">
        <f>_xlfn.XLOOKUP(C4015,Contract!$A$2:$A$9,Contract!$B$2:$B$9)</f>
        <v>1</v>
      </c>
      <c r="S4015" s="1">
        <f t="shared" si="248"/>
        <v>145</v>
      </c>
      <c r="T4015" s="1" t="str">
        <f t="shared" si="249"/>
        <v/>
      </c>
      <c r="U4015" s="1" t="str">
        <f t="shared" si="250"/>
        <v/>
      </c>
      <c r="V4015" s="1" t="str">
        <f>_xlfn.XLOOKUP(C4015,Payers!$A$2:$A$9,Payers!$B$2:$B$9)</f>
        <v>Self-Pay</v>
      </c>
      <c r="W4015" s="1" t="str">
        <f t="shared" si="251"/>
        <v>2026-09</v>
      </c>
    </row>
    <row r="4016" spans="1:23">
      <c r="A4016" s="1" t="s">
        <v>6440</v>
      </c>
      <c r="B4016" s="1" t="s">
        <v>6441</v>
      </c>
      <c r="C4016" s="1" t="s">
        <v>36</v>
      </c>
      <c r="D4016" s="1" t="s">
        <v>30</v>
      </c>
      <c r="E4016" s="1" t="s">
        <v>20</v>
      </c>
      <c r="F4016">
        <v>1</v>
      </c>
      <c r="G4016" s="2">
        <v>46050</v>
      </c>
      <c r="H4016" s="2">
        <v>46053</v>
      </c>
      <c r="I4016">
        <v>142.44999999999999</v>
      </c>
      <c r="J4016">
        <v>36.85</v>
      </c>
      <c r="K4016">
        <v>36.85</v>
      </c>
      <c r="L4016">
        <v>0</v>
      </c>
      <c r="M4016" s="1" t="s">
        <v>21</v>
      </c>
      <c r="N4016" s="1" t="s">
        <v>22</v>
      </c>
      <c r="O4016" s="2">
        <v>46079</v>
      </c>
      <c r="P4016" s="2">
        <v>46079</v>
      </c>
      <c r="Q4016">
        <f>_xlfn.XLOOKUP(E4016,CPT!$A$2:$A$13,CPT!$D$2:$D$13)</f>
        <v>145</v>
      </c>
      <c r="R4016" s="1">
        <f>_xlfn.XLOOKUP(C4016,Contract!$A$2:$A$9,Contract!$B$2:$B$9)</f>
        <v>0.27</v>
      </c>
      <c r="S4016" s="1">
        <f t="shared" si="248"/>
        <v>39.15</v>
      </c>
      <c r="T4016" s="1">
        <f t="shared" si="249"/>
        <v>2.2999999999999972</v>
      </c>
      <c r="U4016" s="1" t="str">
        <f t="shared" si="250"/>
        <v>Underpaid</v>
      </c>
      <c r="V4016" s="1" t="str">
        <f>_xlfn.XLOOKUP(C4016,Payers!$A$2:$A$9,Payers!$B$2:$B$9)</f>
        <v>Florida Medicaid</v>
      </c>
      <c r="W4016" s="1" t="str">
        <f t="shared" si="251"/>
        <v>2026-01</v>
      </c>
    </row>
    <row r="4017" spans="1:23">
      <c r="A4017" s="1" t="s">
        <v>6442</v>
      </c>
      <c r="B4017" s="1" t="s">
        <v>1986</v>
      </c>
      <c r="C4017" s="1" t="s">
        <v>25</v>
      </c>
      <c r="D4017" s="1" t="s">
        <v>26</v>
      </c>
      <c r="E4017" s="1" t="s">
        <v>88</v>
      </c>
      <c r="F4017">
        <v>1</v>
      </c>
      <c r="G4017" s="2">
        <v>46068</v>
      </c>
      <c r="H4017" s="2">
        <v>46071</v>
      </c>
      <c r="I4017">
        <v>257.51</v>
      </c>
      <c r="J4017">
        <v>79.989999999999995</v>
      </c>
      <c r="K4017">
        <v>79.989999999999995</v>
      </c>
      <c r="L4017">
        <v>0</v>
      </c>
      <c r="M4017" s="1" t="s">
        <v>21</v>
      </c>
      <c r="N4017" s="1" t="s">
        <v>22</v>
      </c>
      <c r="O4017" s="2">
        <v>46082</v>
      </c>
      <c r="P4017" s="2">
        <v>46082</v>
      </c>
      <c r="Q4017">
        <f>_xlfn.XLOOKUP(E4017,CPT!$A$2:$A$13,CPT!$D$2:$D$13)</f>
        <v>260</v>
      </c>
      <c r="R4017" s="1">
        <f>_xlfn.XLOOKUP(C4017,Contract!$A$2:$A$9,Contract!$B$2:$B$9)</f>
        <v>0.36</v>
      </c>
      <c r="S4017" s="1">
        <f t="shared" si="248"/>
        <v>93.6</v>
      </c>
      <c r="T4017" s="1">
        <f t="shared" si="249"/>
        <v>13.61</v>
      </c>
      <c r="U4017" s="1" t="str">
        <f t="shared" si="250"/>
        <v>Underpaid</v>
      </c>
      <c r="V4017" s="1" t="str">
        <f>_xlfn.XLOOKUP(C4017,Payers!$A$2:$A$9,Payers!$B$2:$B$9)</f>
        <v>Medicare Part B</v>
      </c>
      <c r="W4017" s="1" t="str">
        <f t="shared" si="251"/>
        <v>2026-02</v>
      </c>
    </row>
    <row r="4018" spans="1:23">
      <c r="A4018" s="1" t="s">
        <v>6443</v>
      </c>
      <c r="B4018" s="1" t="s">
        <v>2280</v>
      </c>
      <c r="C4018" s="1" t="s">
        <v>60</v>
      </c>
      <c r="D4018" s="1" t="s">
        <v>30</v>
      </c>
      <c r="E4018" s="1" t="s">
        <v>91</v>
      </c>
      <c r="F4018">
        <v>4</v>
      </c>
      <c r="G4018" s="2">
        <v>46024</v>
      </c>
      <c r="H4018" s="2">
        <v>46119</v>
      </c>
      <c r="I4018">
        <v>234.76</v>
      </c>
      <c r="M4018" s="1" t="s">
        <v>32</v>
      </c>
      <c r="N4018" s="1" t="s">
        <v>137</v>
      </c>
      <c r="O4018" s="2">
        <v>46155</v>
      </c>
      <c r="P4018" s="2"/>
      <c r="Q4018">
        <f>_xlfn.XLOOKUP(E4018,CPT!$A$2:$A$13,CPT!$D$2:$D$13)</f>
        <v>58</v>
      </c>
      <c r="R4018" s="1">
        <f>_xlfn.XLOOKUP(C4018,Contract!$A$2:$A$9,Contract!$B$2:$B$9)</f>
        <v>0.45</v>
      </c>
      <c r="S4018" s="1">
        <f t="shared" si="248"/>
        <v>104.4</v>
      </c>
      <c r="T4018" s="1" t="str">
        <f t="shared" si="249"/>
        <v/>
      </c>
      <c r="U4018" s="1" t="str">
        <f t="shared" si="250"/>
        <v/>
      </c>
      <c r="V4018" s="1" t="str">
        <f>_xlfn.XLOOKUP(C4018,Payers!$A$2:$A$9,Payers!$B$2:$B$9)</f>
        <v>Blue Horizon Commercial</v>
      </c>
      <c r="W4018" s="1" t="str">
        <f t="shared" si="251"/>
        <v>2026-01</v>
      </c>
    </row>
    <row r="4019" spans="1:23">
      <c r="A4019" s="1" t="s">
        <v>6444</v>
      </c>
      <c r="B4019" s="1" t="s">
        <v>1580</v>
      </c>
      <c r="C4019" s="1" t="s">
        <v>76</v>
      </c>
      <c r="D4019" s="1" t="s">
        <v>26</v>
      </c>
      <c r="E4019" s="1" t="s">
        <v>44</v>
      </c>
      <c r="F4019">
        <v>1</v>
      </c>
      <c r="G4019" s="2">
        <v>46279</v>
      </c>
      <c r="H4019" s="2">
        <v>46282</v>
      </c>
      <c r="I4019">
        <v>4787.4399999999996</v>
      </c>
      <c r="M4019" s="1" t="s">
        <v>69</v>
      </c>
      <c r="N4019" s="1" t="s">
        <v>22</v>
      </c>
      <c r="O4019" s="2"/>
      <c r="P4019" s="2"/>
      <c r="Q4019">
        <f>_xlfn.XLOOKUP(E4019,CPT!$A$2:$A$13,CPT!$D$2:$D$13)</f>
        <v>4800</v>
      </c>
      <c r="R4019" s="1">
        <f>_xlfn.XLOOKUP(C4019,Contract!$A$2:$A$9,Contract!$B$2:$B$9)</f>
        <v>0.43</v>
      </c>
      <c r="S4019" s="1">
        <f t="shared" si="248"/>
        <v>2064</v>
      </c>
      <c r="T4019" s="1" t="str">
        <f t="shared" si="249"/>
        <v/>
      </c>
      <c r="U4019" s="1" t="str">
        <f t="shared" si="250"/>
        <v/>
      </c>
      <c r="V4019" s="1" t="str">
        <f>_xlfn.XLOOKUP(C4019,Payers!$A$2:$A$9,Payers!$B$2:$B$9)</f>
        <v>Summit Health Commercial</v>
      </c>
      <c r="W4019" s="1" t="str">
        <f t="shared" si="251"/>
        <v>2026-09</v>
      </c>
    </row>
    <row r="4020" spans="1:23">
      <c r="A4020" s="1" t="s">
        <v>6445</v>
      </c>
      <c r="B4020" s="1" t="s">
        <v>4840</v>
      </c>
      <c r="C4020" s="1" t="s">
        <v>25</v>
      </c>
      <c r="D4020" s="1" t="s">
        <v>19</v>
      </c>
      <c r="E4020" s="1" t="s">
        <v>88</v>
      </c>
      <c r="F4020">
        <v>1</v>
      </c>
      <c r="G4020" s="2">
        <v>46118</v>
      </c>
      <c r="H4020" s="2">
        <v>46120</v>
      </c>
      <c r="I4020">
        <v>267.08</v>
      </c>
      <c r="J4020">
        <v>97.82</v>
      </c>
      <c r="K4020">
        <v>97.82</v>
      </c>
      <c r="L4020">
        <v>0</v>
      </c>
      <c r="M4020" s="1" t="s">
        <v>21</v>
      </c>
      <c r="N4020" s="1" t="s">
        <v>22</v>
      </c>
      <c r="O4020" s="2">
        <v>46138</v>
      </c>
      <c r="P4020" s="2">
        <v>46138</v>
      </c>
      <c r="Q4020">
        <f>_xlfn.XLOOKUP(E4020,CPT!$A$2:$A$13,CPT!$D$2:$D$13)</f>
        <v>260</v>
      </c>
      <c r="R4020" s="1">
        <f>_xlfn.XLOOKUP(C4020,Contract!$A$2:$A$9,Contract!$B$2:$B$9)</f>
        <v>0.36</v>
      </c>
      <c r="S4020" s="1">
        <f t="shared" si="248"/>
        <v>93.6</v>
      </c>
      <c r="T4020" s="1">
        <f t="shared" si="249"/>
        <v>-4.2199999999999989</v>
      </c>
      <c r="U4020" s="1" t="str">
        <f t="shared" si="250"/>
        <v>OK</v>
      </c>
      <c r="V4020" s="1" t="str">
        <f>_xlfn.XLOOKUP(C4020,Payers!$A$2:$A$9,Payers!$B$2:$B$9)</f>
        <v>Medicare Part B</v>
      </c>
      <c r="W4020" s="1" t="str">
        <f t="shared" si="251"/>
        <v>2026-04</v>
      </c>
    </row>
    <row r="4021" spans="1:23">
      <c r="A4021" s="1" t="s">
        <v>6446</v>
      </c>
      <c r="B4021" s="1" t="s">
        <v>918</v>
      </c>
      <c r="C4021" s="1" t="s">
        <v>60</v>
      </c>
      <c r="D4021" s="1" t="s">
        <v>30</v>
      </c>
      <c r="E4021" s="1" t="s">
        <v>20</v>
      </c>
      <c r="F4021">
        <v>1</v>
      </c>
      <c r="G4021" s="2">
        <v>46019</v>
      </c>
      <c r="H4021" s="2">
        <v>46020</v>
      </c>
      <c r="I4021">
        <v>143.55000000000001</v>
      </c>
      <c r="J4021">
        <v>67.31</v>
      </c>
      <c r="K4021">
        <v>60.58</v>
      </c>
      <c r="L4021">
        <v>6.73</v>
      </c>
      <c r="M4021" s="1" t="s">
        <v>21</v>
      </c>
      <c r="N4021" s="1" t="s">
        <v>22</v>
      </c>
      <c r="O4021" s="2">
        <v>46037</v>
      </c>
      <c r="P4021" s="2">
        <v>46037</v>
      </c>
      <c r="Q4021">
        <f>_xlfn.XLOOKUP(E4021,CPT!$A$2:$A$13,CPT!$D$2:$D$13)</f>
        <v>145</v>
      </c>
      <c r="R4021" s="1">
        <f>_xlfn.XLOOKUP(C4021,Contract!$A$2:$A$9,Contract!$B$2:$B$9)</f>
        <v>0.45</v>
      </c>
      <c r="S4021" s="1">
        <f t="shared" si="248"/>
        <v>65.25</v>
      </c>
      <c r="T4021" s="1">
        <f t="shared" si="249"/>
        <v>-2.0600000000000023</v>
      </c>
      <c r="U4021" s="1" t="str">
        <f t="shared" si="250"/>
        <v>OK</v>
      </c>
      <c r="V4021" s="1" t="str">
        <f>_xlfn.XLOOKUP(C4021,Payers!$A$2:$A$9,Payers!$B$2:$B$9)</f>
        <v>Blue Horizon Commercial</v>
      </c>
      <c r="W4021" s="1" t="str">
        <f t="shared" si="251"/>
        <v>2025-12</v>
      </c>
    </row>
    <row r="4022" spans="1:23">
      <c r="A4022" s="1" t="s">
        <v>6447</v>
      </c>
      <c r="B4022" s="1" t="s">
        <v>6448</v>
      </c>
      <c r="C4022" s="1" t="s">
        <v>18</v>
      </c>
      <c r="D4022" s="1" t="s">
        <v>26</v>
      </c>
      <c r="E4022" s="1" t="s">
        <v>88</v>
      </c>
      <c r="F4022">
        <v>1</v>
      </c>
      <c r="G4022" s="2">
        <v>45962</v>
      </c>
      <c r="H4022" s="2">
        <v>45971</v>
      </c>
      <c r="I4022">
        <v>266.12</v>
      </c>
      <c r="J4022">
        <v>98.96</v>
      </c>
      <c r="K4022">
        <v>98.96</v>
      </c>
      <c r="L4022">
        <v>0</v>
      </c>
      <c r="M4022" s="1" t="s">
        <v>21</v>
      </c>
      <c r="N4022" s="1" t="s">
        <v>22</v>
      </c>
      <c r="O4022" s="2">
        <v>45998</v>
      </c>
      <c r="P4022" s="2">
        <v>45998</v>
      </c>
      <c r="Q4022">
        <f>_xlfn.XLOOKUP(E4022,CPT!$A$2:$A$13,CPT!$D$2:$D$13)</f>
        <v>260</v>
      </c>
      <c r="R4022" s="1">
        <f>_xlfn.XLOOKUP(C4022,Contract!$A$2:$A$9,Contract!$B$2:$B$9)</f>
        <v>0.38</v>
      </c>
      <c r="S4022" s="1">
        <f t="shared" si="248"/>
        <v>98.8</v>
      </c>
      <c r="T4022" s="1">
        <f t="shared" si="249"/>
        <v>-0.15999999999999659</v>
      </c>
      <c r="U4022" s="1" t="str">
        <f t="shared" si="250"/>
        <v>OK</v>
      </c>
      <c r="V4022" s="1" t="str">
        <f>_xlfn.XLOOKUP(C4022,Payers!$A$2:$A$9,Payers!$B$2:$B$9)</f>
        <v>Sunshine Medicare Advantage</v>
      </c>
      <c r="W4022" s="1" t="str">
        <f t="shared" si="251"/>
        <v>2025-11</v>
      </c>
    </row>
    <row r="4023" spans="1:23">
      <c r="A4023" s="1" t="s">
        <v>6449</v>
      </c>
      <c r="B4023" s="1" t="s">
        <v>6450</v>
      </c>
      <c r="C4023" s="1" t="s">
        <v>52</v>
      </c>
      <c r="D4023" s="1" t="s">
        <v>37</v>
      </c>
      <c r="E4023" s="1" t="s">
        <v>48</v>
      </c>
      <c r="F4023">
        <v>1</v>
      </c>
      <c r="G4023" s="2">
        <v>46261</v>
      </c>
      <c r="H4023" s="2">
        <v>46268</v>
      </c>
      <c r="I4023">
        <v>420.19</v>
      </c>
      <c r="J4023">
        <v>218.76</v>
      </c>
      <c r="K4023">
        <v>218.76</v>
      </c>
      <c r="L4023">
        <v>0</v>
      </c>
      <c r="M4023" s="1" t="s">
        <v>21</v>
      </c>
      <c r="N4023" s="1" t="s">
        <v>22</v>
      </c>
      <c r="O4023" s="2">
        <v>46282</v>
      </c>
      <c r="P4023" s="2">
        <v>46282</v>
      </c>
      <c r="Q4023">
        <f>_xlfn.XLOOKUP(E4023,CPT!$A$2:$A$13,CPT!$D$2:$D$13)</f>
        <v>420</v>
      </c>
      <c r="R4023" s="1">
        <f>_xlfn.XLOOKUP(C4023,Contract!$A$2:$A$9,Contract!$B$2:$B$9)</f>
        <v>0.47</v>
      </c>
      <c r="S4023" s="1">
        <f t="shared" si="248"/>
        <v>197.4</v>
      </c>
      <c r="T4023" s="1">
        <f t="shared" si="249"/>
        <v>-21.359999999999985</v>
      </c>
      <c r="U4023" s="1" t="str">
        <f t="shared" si="250"/>
        <v>OK</v>
      </c>
      <c r="V4023" s="1" t="str">
        <f>_xlfn.XLOOKUP(C4023,Payers!$A$2:$A$9,Payers!$B$2:$B$9)</f>
        <v>Keystone Commercial PPO</v>
      </c>
      <c r="W4023" s="1" t="str">
        <f t="shared" si="251"/>
        <v>2026-08</v>
      </c>
    </row>
    <row r="4024" spans="1:23">
      <c r="A4024" s="1" t="s">
        <v>6451</v>
      </c>
      <c r="B4024" s="1" t="s">
        <v>5440</v>
      </c>
      <c r="C4024" s="1" t="s">
        <v>76</v>
      </c>
      <c r="D4024" s="1" t="s">
        <v>26</v>
      </c>
      <c r="E4024" s="1" t="s">
        <v>113</v>
      </c>
      <c r="F4024">
        <v>1</v>
      </c>
      <c r="G4024" s="2">
        <v>45949</v>
      </c>
      <c r="H4024" s="2">
        <v>45952</v>
      </c>
      <c r="I4024">
        <v>1034.1500000000001</v>
      </c>
      <c r="J4024">
        <v>489.05</v>
      </c>
      <c r="K4024">
        <v>489.05</v>
      </c>
      <c r="L4024">
        <v>0</v>
      </c>
      <c r="M4024" s="1" t="s">
        <v>21</v>
      </c>
      <c r="N4024" s="1" t="s">
        <v>22</v>
      </c>
      <c r="O4024" s="2">
        <v>45988</v>
      </c>
      <c r="P4024" s="2">
        <v>45988</v>
      </c>
      <c r="Q4024">
        <f>_xlfn.XLOOKUP(E4024,CPT!$A$2:$A$13,CPT!$D$2:$D$13)</f>
        <v>1050</v>
      </c>
      <c r="R4024" s="1">
        <f>_xlfn.XLOOKUP(C4024,Contract!$A$2:$A$9,Contract!$B$2:$B$9)</f>
        <v>0.43</v>
      </c>
      <c r="S4024" s="1">
        <f t="shared" si="248"/>
        <v>451.5</v>
      </c>
      <c r="T4024" s="1">
        <f t="shared" si="249"/>
        <v>-37.550000000000011</v>
      </c>
      <c r="U4024" s="1" t="str">
        <f t="shared" si="250"/>
        <v>OK</v>
      </c>
      <c r="V4024" s="1" t="str">
        <f>_xlfn.XLOOKUP(C4024,Payers!$A$2:$A$9,Payers!$B$2:$B$9)</f>
        <v>Summit Health Commercial</v>
      </c>
      <c r="W4024" s="1" t="str">
        <f t="shared" si="251"/>
        <v>2025-10</v>
      </c>
    </row>
    <row r="4025" spans="1:23">
      <c r="A4025" s="1" t="s">
        <v>6452</v>
      </c>
      <c r="B4025" s="1" t="s">
        <v>4297</v>
      </c>
      <c r="C4025" s="1" t="s">
        <v>76</v>
      </c>
      <c r="D4025" s="1" t="s">
        <v>26</v>
      </c>
      <c r="E4025" s="1" t="s">
        <v>113</v>
      </c>
      <c r="F4025">
        <v>1</v>
      </c>
      <c r="G4025" s="2">
        <v>46046</v>
      </c>
      <c r="H4025" s="2">
        <v>46049</v>
      </c>
      <c r="I4025">
        <v>1027.33</v>
      </c>
      <c r="M4025" s="1" t="s">
        <v>32</v>
      </c>
      <c r="N4025" s="1" t="s">
        <v>124</v>
      </c>
      <c r="O4025" s="2">
        <v>46073</v>
      </c>
      <c r="P4025" s="2"/>
      <c r="Q4025">
        <f>_xlfn.XLOOKUP(E4025,CPT!$A$2:$A$13,CPT!$D$2:$D$13)</f>
        <v>1050</v>
      </c>
      <c r="R4025" s="1">
        <f>_xlfn.XLOOKUP(C4025,Contract!$A$2:$A$9,Contract!$B$2:$B$9)</f>
        <v>0.43</v>
      </c>
      <c r="S4025" s="1">
        <f t="shared" si="248"/>
        <v>451.5</v>
      </c>
      <c r="T4025" s="1" t="str">
        <f t="shared" si="249"/>
        <v/>
      </c>
      <c r="U4025" s="1" t="str">
        <f t="shared" si="250"/>
        <v/>
      </c>
      <c r="V4025" s="1" t="str">
        <f>_xlfn.XLOOKUP(C4025,Payers!$A$2:$A$9,Payers!$B$2:$B$9)</f>
        <v>Summit Health Commercial</v>
      </c>
      <c r="W4025" s="1" t="str">
        <f t="shared" si="251"/>
        <v>2026-01</v>
      </c>
    </row>
    <row r="4026" spans="1:23">
      <c r="A4026" s="1" t="s">
        <v>6453</v>
      </c>
      <c r="B4026" s="1" t="s">
        <v>6333</v>
      </c>
      <c r="C4026" s="1" t="s">
        <v>52</v>
      </c>
      <c r="D4026" s="1" t="s">
        <v>30</v>
      </c>
      <c r="E4026" s="1" t="s">
        <v>31</v>
      </c>
      <c r="F4026">
        <v>1</v>
      </c>
      <c r="G4026" s="2">
        <v>46107</v>
      </c>
      <c r="H4026" s="2">
        <v>46112</v>
      </c>
      <c r="I4026">
        <v>63.45</v>
      </c>
      <c r="M4026" s="1" t="s">
        <v>32</v>
      </c>
      <c r="N4026" s="1" t="s">
        <v>98</v>
      </c>
      <c r="O4026" s="2">
        <v>46164</v>
      </c>
      <c r="P4026" s="2"/>
      <c r="Q4026">
        <f>_xlfn.XLOOKUP(E4026,CPT!$A$2:$A$13,CPT!$D$2:$D$13)</f>
        <v>62</v>
      </c>
      <c r="R4026" s="1">
        <f>_xlfn.XLOOKUP(C4026,Contract!$A$2:$A$9,Contract!$B$2:$B$9)</f>
        <v>0.47</v>
      </c>
      <c r="S4026" s="1">
        <f t="shared" si="248"/>
        <v>29.14</v>
      </c>
      <c r="T4026" s="1" t="str">
        <f t="shared" si="249"/>
        <v/>
      </c>
      <c r="U4026" s="1" t="str">
        <f t="shared" si="250"/>
        <v/>
      </c>
      <c r="V4026" s="1" t="str">
        <f>_xlfn.XLOOKUP(C4026,Payers!$A$2:$A$9,Payers!$B$2:$B$9)</f>
        <v>Keystone Commercial PPO</v>
      </c>
      <c r="W4026" s="1" t="str">
        <f t="shared" si="251"/>
        <v>2026-03</v>
      </c>
    </row>
    <row r="4027" spans="1:23">
      <c r="A4027" s="1" t="s">
        <v>6454</v>
      </c>
      <c r="B4027" s="1" t="s">
        <v>6455</v>
      </c>
      <c r="C4027" s="1" t="s">
        <v>76</v>
      </c>
      <c r="D4027" s="1" t="s">
        <v>26</v>
      </c>
      <c r="E4027" s="1" t="s">
        <v>41</v>
      </c>
      <c r="F4027">
        <v>1</v>
      </c>
      <c r="G4027" s="2">
        <v>45970</v>
      </c>
      <c r="H4027" s="2">
        <v>45971</v>
      </c>
      <c r="I4027">
        <v>38.56</v>
      </c>
      <c r="J4027">
        <v>14.76</v>
      </c>
      <c r="K4027">
        <v>11.81</v>
      </c>
      <c r="L4027">
        <v>2.95</v>
      </c>
      <c r="M4027" s="1" t="s">
        <v>21</v>
      </c>
      <c r="N4027" s="1" t="s">
        <v>22</v>
      </c>
      <c r="O4027" s="2">
        <v>45994</v>
      </c>
      <c r="P4027" s="2">
        <v>45994</v>
      </c>
      <c r="Q4027">
        <f>_xlfn.XLOOKUP(E4027,CPT!$A$2:$A$13,CPT!$D$2:$D$13)</f>
        <v>38</v>
      </c>
      <c r="R4027" s="1">
        <f>_xlfn.XLOOKUP(C4027,Contract!$A$2:$A$9,Contract!$B$2:$B$9)</f>
        <v>0.43</v>
      </c>
      <c r="S4027" s="1">
        <f t="shared" si="248"/>
        <v>16.34</v>
      </c>
      <c r="T4027" s="1">
        <f t="shared" si="249"/>
        <v>1.58</v>
      </c>
      <c r="U4027" s="1" t="str">
        <f t="shared" si="250"/>
        <v>Underpaid</v>
      </c>
      <c r="V4027" s="1" t="str">
        <f>_xlfn.XLOOKUP(C4027,Payers!$A$2:$A$9,Payers!$B$2:$B$9)</f>
        <v>Summit Health Commercial</v>
      </c>
      <c r="W4027" s="1" t="str">
        <f t="shared" si="251"/>
        <v>2025-11</v>
      </c>
    </row>
    <row r="4028" spans="1:23">
      <c r="A4028" s="1" t="s">
        <v>6456</v>
      </c>
      <c r="B4028" s="1" t="s">
        <v>2730</v>
      </c>
      <c r="C4028" s="1" t="s">
        <v>52</v>
      </c>
      <c r="D4028" s="1" t="s">
        <v>19</v>
      </c>
      <c r="E4028" s="1" t="s">
        <v>88</v>
      </c>
      <c r="F4028">
        <v>1</v>
      </c>
      <c r="G4028" s="2">
        <v>46168</v>
      </c>
      <c r="H4028" s="2">
        <v>46171</v>
      </c>
      <c r="I4028">
        <v>253.16</v>
      </c>
      <c r="J4028">
        <v>115.2</v>
      </c>
      <c r="K4028">
        <v>115.2</v>
      </c>
      <c r="L4028">
        <v>0</v>
      </c>
      <c r="M4028" s="1" t="s">
        <v>21</v>
      </c>
      <c r="N4028" s="1" t="s">
        <v>22</v>
      </c>
      <c r="O4028" s="2">
        <v>46212</v>
      </c>
      <c r="P4028" s="2">
        <v>46212</v>
      </c>
      <c r="Q4028">
        <f>_xlfn.XLOOKUP(E4028,CPT!$A$2:$A$13,CPT!$D$2:$D$13)</f>
        <v>260</v>
      </c>
      <c r="R4028" s="1">
        <f>_xlfn.XLOOKUP(C4028,Contract!$A$2:$A$9,Contract!$B$2:$B$9)</f>
        <v>0.47</v>
      </c>
      <c r="S4028" s="1">
        <f t="shared" si="248"/>
        <v>122.2</v>
      </c>
      <c r="T4028" s="1">
        <f t="shared" si="249"/>
        <v>7</v>
      </c>
      <c r="U4028" s="1" t="str">
        <f t="shared" si="250"/>
        <v>Underpaid</v>
      </c>
      <c r="V4028" s="1" t="str">
        <f>_xlfn.XLOOKUP(C4028,Payers!$A$2:$A$9,Payers!$B$2:$B$9)</f>
        <v>Keystone Commercial PPO</v>
      </c>
      <c r="W4028" s="1" t="str">
        <f t="shared" si="251"/>
        <v>2026-05</v>
      </c>
    </row>
    <row r="4029" spans="1:23">
      <c r="A4029" s="1" t="s">
        <v>6457</v>
      </c>
      <c r="B4029" s="1" t="s">
        <v>1774</v>
      </c>
      <c r="C4029" s="1" t="s">
        <v>52</v>
      </c>
      <c r="D4029" s="1" t="s">
        <v>19</v>
      </c>
      <c r="E4029" s="1" t="s">
        <v>20</v>
      </c>
      <c r="F4029">
        <v>1</v>
      </c>
      <c r="G4029" s="2">
        <v>45971</v>
      </c>
      <c r="H4029" s="2">
        <v>45977</v>
      </c>
      <c r="I4029">
        <v>147.04</v>
      </c>
      <c r="J4029">
        <v>61.03</v>
      </c>
      <c r="K4029">
        <v>54.93</v>
      </c>
      <c r="L4029">
        <v>6.1</v>
      </c>
      <c r="M4029" s="1" t="s">
        <v>21</v>
      </c>
      <c r="N4029" s="1" t="s">
        <v>22</v>
      </c>
      <c r="O4029" s="2">
        <v>46037</v>
      </c>
      <c r="P4029" s="2">
        <v>46037</v>
      </c>
      <c r="Q4029">
        <f>_xlfn.XLOOKUP(E4029,CPT!$A$2:$A$13,CPT!$D$2:$D$13)</f>
        <v>145</v>
      </c>
      <c r="R4029" s="1">
        <f>_xlfn.XLOOKUP(C4029,Contract!$A$2:$A$9,Contract!$B$2:$B$9)</f>
        <v>0.47</v>
      </c>
      <c r="S4029" s="1">
        <f t="shared" si="248"/>
        <v>68.150000000000006</v>
      </c>
      <c r="T4029" s="1">
        <f t="shared" si="249"/>
        <v>7.1200000000000045</v>
      </c>
      <c r="U4029" s="1" t="str">
        <f t="shared" si="250"/>
        <v>Underpaid</v>
      </c>
      <c r="V4029" s="1" t="str">
        <f>_xlfn.XLOOKUP(C4029,Payers!$A$2:$A$9,Payers!$B$2:$B$9)</f>
        <v>Keystone Commercial PPO</v>
      </c>
      <c r="W4029" s="1" t="str">
        <f t="shared" si="251"/>
        <v>2025-11</v>
      </c>
    </row>
    <row r="4030" spans="1:23">
      <c r="A4030" s="1" t="s">
        <v>6458</v>
      </c>
      <c r="B4030" s="1" t="s">
        <v>6459</v>
      </c>
      <c r="C4030" s="1" t="s">
        <v>18</v>
      </c>
      <c r="D4030" s="1" t="s">
        <v>30</v>
      </c>
      <c r="E4030" s="1" t="s">
        <v>20</v>
      </c>
      <c r="F4030">
        <v>1</v>
      </c>
      <c r="G4030" s="2">
        <v>46121</v>
      </c>
      <c r="H4030" s="2">
        <v>46126</v>
      </c>
      <c r="I4030">
        <v>144.06</v>
      </c>
      <c r="M4030" s="1" t="s">
        <v>32</v>
      </c>
      <c r="N4030" s="1" t="s">
        <v>168</v>
      </c>
      <c r="O4030" s="2">
        <v>46173</v>
      </c>
      <c r="P4030" s="2"/>
      <c r="Q4030">
        <f>_xlfn.XLOOKUP(E4030,CPT!$A$2:$A$13,CPT!$D$2:$D$13)</f>
        <v>145</v>
      </c>
      <c r="R4030" s="1">
        <f>_xlfn.XLOOKUP(C4030,Contract!$A$2:$A$9,Contract!$B$2:$B$9)</f>
        <v>0.38</v>
      </c>
      <c r="S4030" s="1">
        <f t="shared" si="248"/>
        <v>55.1</v>
      </c>
      <c r="T4030" s="1" t="str">
        <f t="shared" si="249"/>
        <v/>
      </c>
      <c r="U4030" s="1" t="str">
        <f t="shared" si="250"/>
        <v/>
      </c>
      <c r="V4030" s="1" t="str">
        <f>_xlfn.XLOOKUP(C4030,Payers!$A$2:$A$9,Payers!$B$2:$B$9)</f>
        <v>Sunshine Medicare Advantage</v>
      </c>
      <c r="W4030" s="1" t="str">
        <f t="shared" si="251"/>
        <v>2026-04</v>
      </c>
    </row>
    <row r="4031" spans="1:23">
      <c r="A4031" s="1" t="s">
        <v>6460</v>
      </c>
      <c r="B4031" s="1" t="s">
        <v>620</v>
      </c>
      <c r="C4031" s="1" t="s">
        <v>52</v>
      </c>
      <c r="D4031" s="1" t="s">
        <v>37</v>
      </c>
      <c r="E4031" s="1" t="s">
        <v>38</v>
      </c>
      <c r="F4031">
        <v>10</v>
      </c>
      <c r="G4031" s="2">
        <v>46288</v>
      </c>
      <c r="H4031" s="2">
        <v>46294</v>
      </c>
      <c r="I4031">
        <v>14663.31</v>
      </c>
      <c r="M4031" s="1" t="s">
        <v>69</v>
      </c>
      <c r="N4031" s="1" t="s">
        <v>22</v>
      </c>
      <c r="O4031" s="2"/>
      <c r="P4031" s="2"/>
      <c r="Q4031">
        <f>_xlfn.XLOOKUP(E4031,CPT!$A$2:$A$13,CPT!$D$2:$D$13)</f>
        <v>1450</v>
      </c>
      <c r="R4031" s="1">
        <f>_xlfn.XLOOKUP(C4031,Contract!$A$2:$A$9,Contract!$B$2:$B$9)</f>
        <v>0.47</v>
      </c>
      <c r="S4031" s="1">
        <f t="shared" si="248"/>
        <v>6815</v>
      </c>
      <c r="T4031" s="1" t="str">
        <f t="shared" si="249"/>
        <v/>
      </c>
      <c r="U4031" s="1" t="str">
        <f t="shared" si="250"/>
        <v/>
      </c>
      <c r="V4031" s="1" t="str">
        <f>_xlfn.XLOOKUP(C4031,Payers!$A$2:$A$9,Payers!$B$2:$B$9)</f>
        <v>Keystone Commercial PPO</v>
      </c>
      <c r="W4031" s="1" t="str">
        <f t="shared" si="251"/>
        <v>2026-09</v>
      </c>
    </row>
    <row r="4032" spans="1:23">
      <c r="A4032" s="1" t="s">
        <v>6461</v>
      </c>
      <c r="B4032" s="1" t="s">
        <v>327</v>
      </c>
      <c r="C4032" s="1" t="s">
        <v>25</v>
      </c>
      <c r="D4032" s="1" t="s">
        <v>30</v>
      </c>
      <c r="E4032" s="1" t="s">
        <v>91</v>
      </c>
      <c r="F4032">
        <v>1</v>
      </c>
      <c r="G4032" s="2">
        <v>46037</v>
      </c>
      <c r="H4032" s="2">
        <v>46148</v>
      </c>
      <c r="I4032">
        <v>58.74</v>
      </c>
      <c r="M4032" s="1" t="s">
        <v>32</v>
      </c>
      <c r="N4032" s="1" t="s">
        <v>137</v>
      </c>
      <c r="O4032" s="2">
        <v>46158</v>
      </c>
      <c r="P4032" s="2"/>
      <c r="Q4032">
        <f>_xlfn.XLOOKUP(E4032,CPT!$A$2:$A$13,CPT!$D$2:$D$13)</f>
        <v>58</v>
      </c>
      <c r="R4032" s="1">
        <f>_xlfn.XLOOKUP(C4032,Contract!$A$2:$A$9,Contract!$B$2:$B$9)</f>
        <v>0.36</v>
      </c>
      <c r="S4032" s="1">
        <f t="shared" si="248"/>
        <v>20.88</v>
      </c>
      <c r="T4032" s="1" t="str">
        <f t="shared" si="249"/>
        <v/>
      </c>
      <c r="U4032" s="1" t="str">
        <f t="shared" si="250"/>
        <v/>
      </c>
      <c r="V4032" s="1" t="str">
        <f>_xlfn.XLOOKUP(C4032,Payers!$A$2:$A$9,Payers!$B$2:$B$9)</f>
        <v>Medicare Part B</v>
      </c>
      <c r="W4032" s="1" t="str">
        <f t="shared" si="251"/>
        <v>2026-01</v>
      </c>
    </row>
    <row r="4033" spans="1:23">
      <c r="A4033" s="1" t="s">
        <v>6462</v>
      </c>
      <c r="B4033" s="1" t="s">
        <v>2739</v>
      </c>
      <c r="C4033" s="1" t="s">
        <v>60</v>
      </c>
      <c r="D4033" s="1" t="s">
        <v>37</v>
      </c>
      <c r="E4033" s="1" t="s">
        <v>38</v>
      </c>
      <c r="F4033">
        <v>20</v>
      </c>
      <c r="G4033" s="2">
        <v>46109</v>
      </c>
      <c r="H4033" s="2">
        <v>46110</v>
      </c>
      <c r="I4033">
        <v>29497.37</v>
      </c>
      <c r="J4033">
        <v>13365.47</v>
      </c>
      <c r="K4033">
        <v>10692.38</v>
      </c>
      <c r="L4033">
        <v>2673.09</v>
      </c>
      <c r="M4033" s="1" t="s">
        <v>21</v>
      </c>
      <c r="N4033" s="1" t="s">
        <v>22</v>
      </c>
      <c r="O4033" s="2">
        <v>46141</v>
      </c>
      <c r="P4033" s="2">
        <v>46141</v>
      </c>
      <c r="Q4033">
        <f>_xlfn.XLOOKUP(E4033,CPT!$A$2:$A$13,CPT!$D$2:$D$13)</f>
        <v>1450</v>
      </c>
      <c r="R4033" s="1">
        <f>_xlfn.XLOOKUP(C4033,Contract!$A$2:$A$9,Contract!$B$2:$B$9)</f>
        <v>0.45</v>
      </c>
      <c r="S4033" s="1">
        <f t="shared" si="248"/>
        <v>13050</v>
      </c>
      <c r="T4033" s="1">
        <f t="shared" si="249"/>
        <v>-315.46999999999935</v>
      </c>
      <c r="U4033" s="1" t="str">
        <f t="shared" si="250"/>
        <v>OK</v>
      </c>
      <c r="V4033" s="1" t="str">
        <f>_xlfn.XLOOKUP(C4033,Payers!$A$2:$A$9,Payers!$B$2:$B$9)</f>
        <v>Blue Horizon Commercial</v>
      </c>
      <c r="W4033" s="1" t="str">
        <f t="shared" si="251"/>
        <v>2026-03</v>
      </c>
    </row>
    <row r="4034" spans="1:23">
      <c r="A4034" s="1" t="s">
        <v>6463</v>
      </c>
      <c r="B4034" s="1" t="s">
        <v>5657</v>
      </c>
      <c r="C4034" s="1" t="s">
        <v>52</v>
      </c>
      <c r="D4034" s="1" t="s">
        <v>26</v>
      </c>
      <c r="E4034" s="1" t="s">
        <v>113</v>
      </c>
      <c r="F4034">
        <v>1</v>
      </c>
      <c r="G4034" s="2">
        <v>46151</v>
      </c>
      <c r="H4034" s="2">
        <v>46158</v>
      </c>
      <c r="I4034">
        <v>1046.53</v>
      </c>
      <c r="J4034">
        <v>458.68</v>
      </c>
      <c r="K4034">
        <v>458.68</v>
      </c>
      <c r="L4034">
        <v>0</v>
      </c>
      <c r="M4034" s="1" t="s">
        <v>21</v>
      </c>
      <c r="N4034" s="1" t="s">
        <v>22</v>
      </c>
      <c r="O4034" s="2">
        <v>46202</v>
      </c>
      <c r="P4034" s="2">
        <v>46202</v>
      </c>
      <c r="Q4034">
        <f>_xlfn.XLOOKUP(E4034,CPT!$A$2:$A$13,CPT!$D$2:$D$13)</f>
        <v>1050</v>
      </c>
      <c r="R4034" s="1">
        <f>_xlfn.XLOOKUP(C4034,Contract!$A$2:$A$9,Contract!$B$2:$B$9)</f>
        <v>0.47</v>
      </c>
      <c r="S4034" s="1">
        <f t="shared" ref="S4034:S4097" si="252">ROUND(Q4034*F4034*R4034,2)</f>
        <v>493.5</v>
      </c>
      <c r="T4034" s="1">
        <f t="shared" ref="T4034:T4097" si="253">IF(M4034="Paid",S4034-J4034,"")</f>
        <v>34.819999999999993</v>
      </c>
      <c r="U4034" s="1" t="str">
        <f t="shared" ref="U4034:U4097" si="254">IF(M4034&lt;&gt;"Paid","",IF(T4034&gt;S4034*0.05,"Underpaid","OK"))</f>
        <v>Underpaid</v>
      </c>
      <c r="V4034" s="1" t="str">
        <f>_xlfn.XLOOKUP(C4034,Payers!$A$2:$A$9,Payers!$B$2:$B$9)</f>
        <v>Keystone Commercial PPO</v>
      </c>
      <c r="W4034" s="1" t="str">
        <f t="shared" ref="W4034:W4097" si="255">TEXT(G4034,"yyyy-mm")</f>
        <v>2026-05</v>
      </c>
    </row>
    <row r="4035" spans="1:23">
      <c r="A4035" s="1" t="s">
        <v>6464</v>
      </c>
      <c r="B4035" s="1" t="s">
        <v>1873</v>
      </c>
      <c r="C4035" s="1" t="s">
        <v>60</v>
      </c>
      <c r="D4035" s="1" t="s">
        <v>19</v>
      </c>
      <c r="E4035" s="1" t="s">
        <v>88</v>
      </c>
      <c r="F4035">
        <v>1</v>
      </c>
      <c r="G4035" s="2">
        <v>45998</v>
      </c>
      <c r="H4035" s="2">
        <v>46001</v>
      </c>
      <c r="I4035">
        <v>266.73</v>
      </c>
      <c r="J4035">
        <v>103.79</v>
      </c>
      <c r="K4035">
        <v>103.79</v>
      </c>
      <c r="L4035">
        <v>0</v>
      </c>
      <c r="M4035" s="1" t="s">
        <v>21</v>
      </c>
      <c r="N4035" s="1" t="s">
        <v>22</v>
      </c>
      <c r="O4035" s="2">
        <v>46035</v>
      </c>
      <c r="P4035" s="2">
        <v>46035</v>
      </c>
      <c r="Q4035">
        <f>_xlfn.XLOOKUP(E4035,CPT!$A$2:$A$13,CPT!$D$2:$D$13)</f>
        <v>260</v>
      </c>
      <c r="R4035" s="1">
        <f>_xlfn.XLOOKUP(C4035,Contract!$A$2:$A$9,Contract!$B$2:$B$9)</f>
        <v>0.45</v>
      </c>
      <c r="S4035" s="1">
        <f t="shared" si="252"/>
        <v>117</v>
      </c>
      <c r="T4035" s="1">
        <f t="shared" si="253"/>
        <v>13.209999999999994</v>
      </c>
      <c r="U4035" s="1" t="str">
        <f t="shared" si="254"/>
        <v>Underpaid</v>
      </c>
      <c r="V4035" s="1" t="str">
        <f>_xlfn.XLOOKUP(C4035,Payers!$A$2:$A$9,Payers!$B$2:$B$9)</f>
        <v>Blue Horizon Commercial</v>
      </c>
      <c r="W4035" s="1" t="str">
        <f t="shared" si="255"/>
        <v>2025-12</v>
      </c>
    </row>
    <row r="4036" spans="1:23">
      <c r="A4036" s="1" t="s">
        <v>6465</v>
      </c>
      <c r="B4036" s="1" t="s">
        <v>2956</v>
      </c>
      <c r="C4036" s="1" t="s">
        <v>79</v>
      </c>
      <c r="D4036" s="1" t="s">
        <v>19</v>
      </c>
      <c r="E4036" s="1" t="s">
        <v>20</v>
      </c>
      <c r="F4036">
        <v>1</v>
      </c>
      <c r="G4036" s="2">
        <v>45993</v>
      </c>
      <c r="H4036" s="2">
        <v>46003</v>
      </c>
      <c r="I4036">
        <v>141.66999999999999</v>
      </c>
      <c r="M4036" s="1" t="s">
        <v>69</v>
      </c>
      <c r="N4036" s="1" t="s">
        <v>22</v>
      </c>
      <c r="O4036" s="2"/>
      <c r="P4036" s="2"/>
      <c r="Q4036">
        <f>_xlfn.XLOOKUP(E4036,CPT!$A$2:$A$13,CPT!$D$2:$D$13)</f>
        <v>145</v>
      </c>
      <c r="R4036" s="1">
        <f>_xlfn.XLOOKUP(C4036,Contract!$A$2:$A$9,Contract!$B$2:$B$9)</f>
        <v>1</v>
      </c>
      <c r="S4036" s="1">
        <f t="shared" si="252"/>
        <v>145</v>
      </c>
      <c r="T4036" s="1" t="str">
        <f t="shared" si="253"/>
        <v/>
      </c>
      <c r="U4036" s="1" t="str">
        <f t="shared" si="254"/>
        <v/>
      </c>
      <c r="V4036" s="1" t="str">
        <f>_xlfn.XLOOKUP(C4036,Payers!$A$2:$A$9,Payers!$B$2:$B$9)</f>
        <v>Self-Pay</v>
      </c>
      <c r="W4036" s="1" t="str">
        <f t="shared" si="255"/>
        <v>2025-12</v>
      </c>
    </row>
    <row r="4037" spans="1:23">
      <c r="A4037" s="1" t="s">
        <v>6466</v>
      </c>
      <c r="B4037" s="1" t="s">
        <v>317</v>
      </c>
      <c r="C4037" s="1" t="s">
        <v>60</v>
      </c>
      <c r="D4037" s="1" t="s">
        <v>37</v>
      </c>
      <c r="E4037" s="1" t="s">
        <v>57</v>
      </c>
      <c r="F4037">
        <v>1</v>
      </c>
      <c r="G4037" s="2">
        <v>45988</v>
      </c>
      <c r="H4037" s="2">
        <v>45989</v>
      </c>
      <c r="I4037">
        <v>204.15</v>
      </c>
      <c r="J4037">
        <v>105.11</v>
      </c>
      <c r="K4037">
        <v>105.11</v>
      </c>
      <c r="L4037">
        <v>0</v>
      </c>
      <c r="M4037" s="1" t="s">
        <v>21</v>
      </c>
      <c r="N4037" s="1" t="s">
        <v>22</v>
      </c>
      <c r="O4037" s="2">
        <v>46009</v>
      </c>
      <c r="P4037" s="2">
        <v>46009</v>
      </c>
      <c r="Q4037">
        <f>_xlfn.XLOOKUP(E4037,CPT!$A$2:$A$13,CPT!$D$2:$D$13)</f>
        <v>210</v>
      </c>
      <c r="R4037" s="1">
        <f>_xlfn.XLOOKUP(C4037,Contract!$A$2:$A$9,Contract!$B$2:$B$9)</f>
        <v>0.45</v>
      </c>
      <c r="S4037" s="1">
        <f t="shared" si="252"/>
        <v>94.5</v>
      </c>
      <c r="T4037" s="1">
        <f t="shared" si="253"/>
        <v>-10.61</v>
      </c>
      <c r="U4037" s="1" t="str">
        <f t="shared" si="254"/>
        <v>OK</v>
      </c>
      <c r="V4037" s="1" t="str">
        <f>_xlfn.XLOOKUP(C4037,Payers!$A$2:$A$9,Payers!$B$2:$B$9)</f>
        <v>Blue Horizon Commercial</v>
      </c>
      <c r="W4037" s="1" t="str">
        <f t="shared" si="255"/>
        <v>2025-11</v>
      </c>
    </row>
    <row r="4038" spans="1:23">
      <c r="A4038" s="1" t="s">
        <v>6467</v>
      </c>
      <c r="B4038" s="1" t="s">
        <v>6468</v>
      </c>
      <c r="C4038" s="1" t="s">
        <v>47</v>
      </c>
      <c r="D4038" s="1" t="s">
        <v>26</v>
      </c>
      <c r="E4038" s="1" t="s">
        <v>41</v>
      </c>
      <c r="F4038">
        <v>1</v>
      </c>
      <c r="G4038" s="2">
        <v>46026</v>
      </c>
      <c r="H4038" s="2">
        <v>46028</v>
      </c>
      <c r="I4038">
        <v>39.020000000000003</v>
      </c>
      <c r="M4038" s="1" t="s">
        <v>32</v>
      </c>
      <c r="N4038" s="1" t="s">
        <v>168</v>
      </c>
      <c r="O4038" s="2">
        <v>46081</v>
      </c>
      <c r="P4038" s="2"/>
      <c r="Q4038">
        <f>_xlfn.XLOOKUP(E4038,CPT!$A$2:$A$13,CPT!$D$2:$D$13)</f>
        <v>38</v>
      </c>
      <c r="R4038" s="1">
        <f>_xlfn.XLOOKUP(C4038,Contract!$A$2:$A$9,Contract!$B$2:$B$9)</f>
        <v>0.28000000000000003</v>
      </c>
      <c r="S4038" s="1">
        <f t="shared" si="252"/>
        <v>10.64</v>
      </c>
      <c r="T4038" s="1" t="str">
        <f t="shared" si="253"/>
        <v/>
      </c>
      <c r="U4038" s="1" t="str">
        <f t="shared" si="254"/>
        <v/>
      </c>
      <c r="V4038" s="1" t="str">
        <f>_xlfn.XLOOKUP(C4038,Payers!$A$2:$A$9,Payers!$B$2:$B$9)</f>
        <v>Coastal Medicaid MCO</v>
      </c>
      <c r="W4038" s="1" t="str">
        <f t="shared" si="255"/>
        <v>2026-01</v>
      </c>
    </row>
    <row r="4039" spans="1:23">
      <c r="A4039" s="1" t="s">
        <v>6469</v>
      </c>
      <c r="B4039" s="1" t="s">
        <v>5386</v>
      </c>
      <c r="C4039" s="1" t="s">
        <v>76</v>
      </c>
      <c r="D4039" s="1" t="s">
        <v>19</v>
      </c>
      <c r="E4039" s="1" t="s">
        <v>88</v>
      </c>
      <c r="F4039">
        <v>1</v>
      </c>
      <c r="G4039" s="2">
        <v>46021</v>
      </c>
      <c r="H4039" s="2">
        <v>46022</v>
      </c>
      <c r="I4039">
        <v>256.89</v>
      </c>
      <c r="J4039">
        <v>117.31</v>
      </c>
      <c r="K4039">
        <v>117.31</v>
      </c>
      <c r="L4039">
        <v>0</v>
      </c>
      <c r="M4039" s="1" t="s">
        <v>21</v>
      </c>
      <c r="N4039" s="1" t="s">
        <v>22</v>
      </c>
      <c r="O4039" s="2">
        <v>46054</v>
      </c>
      <c r="P4039" s="2">
        <v>46054</v>
      </c>
      <c r="Q4039">
        <f>_xlfn.XLOOKUP(E4039,CPT!$A$2:$A$13,CPT!$D$2:$D$13)</f>
        <v>260</v>
      </c>
      <c r="R4039" s="1">
        <f>_xlfn.XLOOKUP(C4039,Contract!$A$2:$A$9,Contract!$B$2:$B$9)</f>
        <v>0.43</v>
      </c>
      <c r="S4039" s="1">
        <f t="shared" si="252"/>
        <v>111.8</v>
      </c>
      <c r="T4039" s="1">
        <f t="shared" si="253"/>
        <v>-5.5100000000000051</v>
      </c>
      <c r="U4039" s="1" t="str">
        <f t="shared" si="254"/>
        <v>OK</v>
      </c>
      <c r="V4039" s="1" t="str">
        <f>_xlfn.XLOOKUP(C4039,Payers!$A$2:$A$9,Payers!$B$2:$B$9)</f>
        <v>Summit Health Commercial</v>
      </c>
      <c r="W4039" s="1" t="str">
        <f t="shared" si="255"/>
        <v>2025-12</v>
      </c>
    </row>
    <row r="4040" spans="1:23">
      <c r="A4040" s="1" t="s">
        <v>6470</v>
      </c>
      <c r="B4040" s="1" t="s">
        <v>4153</v>
      </c>
      <c r="C4040" s="1" t="s">
        <v>76</v>
      </c>
      <c r="D4040" s="1" t="s">
        <v>19</v>
      </c>
      <c r="E4040" s="1" t="s">
        <v>57</v>
      </c>
      <c r="F4040">
        <v>1</v>
      </c>
      <c r="G4040" s="2">
        <v>46048</v>
      </c>
      <c r="H4040" s="2">
        <v>46051</v>
      </c>
      <c r="I4040">
        <v>213.94</v>
      </c>
      <c r="M4040" s="1" t="s">
        <v>32</v>
      </c>
      <c r="N4040" s="1" t="s">
        <v>33</v>
      </c>
      <c r="O4040" s="2">
        <v>46081</v>
      </c>
      <c r="P4040" s="2"/>
      <c r="Q4040">
        <f>_xlfn.XLOOKUP(E4040,CPT!$A$2:$A$13,CPT!$D$2:$D$13)</f>
        <v>210</v>
      </c>
      <c r="R4040" s="1">
        <f>_xlfn.XLOOKUP(C4040,Contract!$A$2:$A$9,Contract!$B$2:$B$9)</f>
        <v>0.43</v>
      </c>
      <c r="S4040" s="1">
        <f t="shared" si="252"/>
        <v>90.3</v>
      </c>
      <c r="T4040" s="1" t="str">
        <f t="shared" si="253"/>
        <v/>
      </c>
      <c r="U4040" s="1" t="str">
        <f t="shared" si="254"/>
        <v/>
      </c>
      <c r="V4040" s="1" t="str">
        <f>_xlfn.XLOOKUP(C4040,Payers!$A$2:$A$9,Payers!$B$2:$B$9)</f>
        <v>Summit Health Commercial</v>
      </c>
      <c r="W4040" s="1" t="str">
        <f t="shared" si="255"/>
        <v>2026-01</v>
      </c>
    </row>
    <row r="4041" spans="1:23">
      <c r="A4041" s="1" t="s">
        <v>6471</v>
      </c>
      <c r="B4041" s="1" t="s">
        <v>3586</v>
      </c>
      <c r="C4041" s="1" t="s">
        <v>60</v>
      </c>
      <c r="D4041" s="1" t="s">
        <v>19</v>
      </c>
      <c r="E4041" s="1" t="s">
        <v>20</v>
      </c>
      <c r="F4041">
        <v>1</v>
      </c>
      <c r="G4041" s="2">
        <v>46250</v>
      </c>
      <c r="H4041" s="2">
        <v>46255</v>
      </c>
      <c r="I4041">
        <v>144.58000000000001</v>
      </c>
      <c r="J4041">
        <v>66.83</v>
      </c>
      <c r="K4041">
        <v>66.83</v>
      </c>
      <c r="L4041">
        <v>0</v>
      </c>
      <c r="M4041" s="1" t="s">
        <v>21</v>
      </c>
      <c r="N4041" s="1" t="s">
        <v>22</v>
      </c>
      <c r="O4041" s="2">
        <v>46271</v>
      </c>
      <c r="P4041" s="2">
        <v>46271</v>
      </c>
      <c r="Q4041">
        <f>_xlfn.XLOOKUP(E4041,CPT!$A$2:$A$13,CPT!$D$2:$D$13)</f>
        <v>145</v>
      </c>
      <c r="R4041" s="1">
        <f>_xlfn.XLOOKUP(C4041,Contract!$A$2:$A$9,Contract!$B$2:$B$9)</f>
        <v>0.45</v>
      </c>
      <c r="S4041" s="1">
        <f t="shared" si="252"/>
        <v>65.25</v>
      </c>
      <c r="T4041" s="1">
        <f t="shared" si="253"/>
        <v>-1.5799999999999983</v>
      </c>
      <c r="U4041" s="1" t="str">
        <f t="shared" si="254"/>
        <v>OK</v>
      </c>
      <c r="V4041" s="1" t="str">
        <f>_xlfn.XLOOKUP(C4041,Payers!$A$2:$A$9,Payers!$B$2:$B$9)</f>
        <v>Blue Horizon Commercial</v>
      </c>
      <c r="W4041" s="1" t="str">
        <f t="shared" si="255"/>
        <v>2026-08</v>
      </c>
    </row>
    <row r="4042" spans="1:23">
      <c r="A4042" s="1" t="s">
        <v>6472</v>
      </c>
      <c r="B4042" s="1" t="s">
        <v>2695</v>
      </c>
      <c r="C4042" s="1" t="s">
        <v>18</v>
      </c>
      <c r="D4042" s="1" t="s">
        <v>19</v>
      </c>
      <c r="E4042" s="1" t="s">
        <v>88</v>
      </c>
      <c r="F4042">
        <v>1</v>
      </c>
      <c r="G4042" s="2">
        <v>46102</v>
      </c>
      <c r="H4042" s="2">
        <v>46110</v>
      </c>
      <c r="I4042">
        <v>263.27999999999997</v>
      </c>
      <c r="J4042">
        <v>89.74</v>
      </c>
      <c r="K4042">
        <v>80.77</v>
      </c>
      <c r="L4042">
        <v>8.9700000000000006</v>
      </c>
      <c r="M4042" s="1" t="s">
        <v>21</v>
      </c>
      <c r="N4042" s="1" t="s">
        <v>22</v>
      </c>
      <c r="O4042" s="2">
        <v>46148</v>
      </c>
      <c r="P4042" s="2">
        <v>46148</v>
      </c>
      <c r="Q4042">
        <f>_xlfn.XLOOKUP(E4042,CPT!$A$2:$A$13,CPT!$D$2:$D$13)</f>
        <v>260</v>
      </c>
      <c r="R4042" s="1">
        <f>_xlfn.XLOOKUP(C4042,Contract!$A$2:$A$9,Contract!$B$2:$B$9)</f>
        <v>0.38</v>
      </c>
      <c r="S4042" s="1">
        <f t="shared" si="252"/>
        <v>98.8</v>
      </c>
      <c r="T4042" s="1">
        <f t="shared" si="253"/>
        <v>9.0600000000000023</v>
      </c>
      <c r="U4042" s="1" t="str">
        <f t="shared" si="254"/>
        <v>Underpaid</v>
      </c>
      <c r="V4042" s="1" t="str">
        <f>_xlfn.XLOOKUP(C4042,Payers!$A$2:$A$9,Payers!$B$2:$B$9)</f>
        <v>Sunshine Medicare Advantage</v>
      </c>
      <c r="W4042" s="1" t="str">
        <f t="shared" si="255"/>
        <v>2026-03</v>
      </c>
    </row>
    <row r="4043" spans="1:23">
      <c r="A4043" s="1" t="s">
        <v>6473</v>
      </c>
      <c r="B4043" s="1" t="s">
        <v>6474</v>
      </c>
      <c r="C4043" s="1" t="s">
        <v>60</v>
      </c>
      <c r="D4043" s="1" t="s">
        <v>26</v>
      </c>
      <c r="E4043" s="1" t="s">
        <v>88</v>
      </c>
      <c r="F4043">
        <v>1</v>
      </c>
      <c r="G4043" s="2">
        <v>46149</v>
      </c>
      <c r="H4043" s="2">
        <v>46150</v>
      </c>
      <c r="I4043">
        <v>256.27</v>
      </c>
      <c r="J4043">
        <v>130.99</v>
      </c>
      <c r="K4043">
        <v>104.79</v>
      </c>
      <c r="L4043">
        <v>26.2</v>
      </c>
      <c r="M4043" s="1" t="s">
        <v>21</v>
      </c>
      <c r="N4043" s="1" t="s">
        <v>22</v>
      </c>
      <c r="O4043" s="2">
        <v>46187</v>
      </c>
      <c r="P4043" s="2">
        <v>46187</v>
      </c>
      <c r="Q4043">
        <f>_xlfn.XLOOKUP(E4043,CPT!$A$2:$A$13,CPT!$D$2:$D$13)</f>
        <v>260</v>
      </c>
      <c r="R4043" s="1">
        <f>_xlfn.XLOOKUP(C4043,Contract!$A$2:$A$9,Contract!$B$2:$B$9)</f>
        <v>0.45</v>
      </c>
      <c r="S4043" s="1">
        <f t="shared" si="252"/>
        <v>117</v>
      </c>
      <c r="T4043" s="1">
        <f t="shared" si="253"/>
        <v>-13.990000000000009</v>
      </c>
      <c r="U4043" s="1" t="str">
        <f t="shared" si="254"/>
        <v>OK</v>
      </c>
      <c r="V4043" s="1" t="str">
        <f>_xlfn.XLOOKUP(C4043,Payers!$A$2:$A$9,Payers!$B$2:$B$9)</f>
        <v>Blue Horizon Commercial</v>
      </c>
      <c r="W4043" s="1" t="str">
        <f t="shared" si="255"/>
        <v>2026-05</v>
      </c>
    </row>
    <row r="4044" spans="1:23">
      <c r="A4044" s="1" t="s">
        <v>6475</v>
      </c>
      <c r="B4044" s="1" t="s">
        <v>6267</v>
      </c>
      <c r="C4044" s="1" t="s">
        <v>36</v>
      </c>
      <c r="D4044" s="1" t="s">
        <v>19</v>
      </c>
      <c r="E4044" s="1" t="s">
        <v>41</v>
      </c>
      <c r="F4044">
        <v>1</v>
      </c>
      <c r="G4044" s="2">
        <v>46073</v>
      </c>
      <c r="H4044" s="2">
        <v>46082</v>
      </c>
      <c r="I4044">
        <v>38.11</v>
      </c>
      <c r="M4044" s="1" t="s">
        <v>32</v>
      </c>
      <c r="N4044" s="1" t="s">
        <v>33</v>
      </c>
      <c r="O4044" s="2">
        <v>46104</v>
      </c>
      <c r="P4044" s="2"/>
      <c r="Q4044">
        <f>_xlfn.XLOOKUP(E4044,CPT!$A$2:$A$13,CPT!$D$2:$D$13)</f>
        <v>38</v>
      </c>
      <c r="R4044" s="1">
        <f>_xlfn.XLOOKUP(C4044,Contract!$A$2:$A$9,Contract!$B$2:$B$9)</f>
        <v>0.27</v>
      </c>
      <c r="S4044" s="1">
        <f t="shared" si="252"/>
        <v>10.26</v>
      </c>
      <c r="T4044" s="1" t="str">
        <f t="shared" si="253"/>
        <v/>
      </c>
      <c r="U4044" s="1" t="str">
        <f t="shared" si="254"/>
        <v/>
      </c>
      <c r="V4044" s="1" t="str">
        <f>_xlfn.XLOOKUP(C4044,Payers!$A$2:$A$9,Payers!$B$2:$B$9)</f>
        <v>Florida Medicaid</v>
      </c>
      <c r="W4044" s="1" t="str">
        <f t="shared" si="255"/>
        <v>2026-02</v>
      </c>
    </row>
    <row r="4045" spans="1:23">
      <c r="A4045" s="1" t="s">
        <v>6476</v>
      </c>
      <c r="B4045" s="1" t="s">
        <v>5495</v>
      </c>
      <c r="C4045" s="1" t="s">
        <v>60</v>
      </c>
      <c r="D4045" s="1" t="s">
        <v>26</v>
      </c>
      <c r="E4045" s="1" t="s">
        <v>185</v>
      </c>
      <c r="F4045">
        <v>1</v>
      </c>
      <c r="G4045" s="2">
        <v>46149</v>
      </c>
      <c r="H4045" s="2">
        <v>46152</v>
      </c>
      <c r="I4045">
        <v>1149.5</v>
      </c>
      <c r="J4045">
        <v>543.54</v>
      </c>
      <c r="K4045">
        <v>434.83</v>
      </c>
      <c r="L4045">
        <v>108.71</v>
      </c>
      <c r="M4045" s="1" t="s">
        <v>21</v>
      </c>
      <c r="N4045" s="1" t="s">
        <v>22</v>
      </c>
      <c r="O4045" s="2">
        <v>46174</v>
      </c>
      <c r="P4045" s="2">
        <v>46174</v>
      </c>
      <c r="Q4045">
        <f>_xlfn.XLOOKUP(E4045,CPT!$A$2:$A$13,CPT!$D$2:$D$13)</f>
        <v>1150</v>
      </c>
      <c r="R4045" s="1">
        <f>_xlfn.XLOOKUP(C4045,Contract!$A$2:$A$9,Contract!$B$2:$B$9)</f>
        <v>0.45</v>
      </c>
      <c r="S4045" s="1">
        <f t="shared" si="252"/>
        <v>517.5</v>
      </c>
      <c r="T4045" s="1">
        <f t="shared" si="253"/>
        <v>-26.039999999999964</v>
      </c>
      <c r="U4045" s="1" t="str">
        <f t="shared" si="254"/>
        <v>OK</v>
      </c>
      <c r="V4045" s="1" t="str">
        <f>_xlfn.XLOOKUP(C4045,Payers!$A$2:$A$9,Payers!$B$2:$B$9)</f>
        <v>Blue Horizon Commercial</v>
      </c>
      <c r="W4045" s="1" t="str">
        <f t="shared" si="255"/>
        <v>2026-05</v>
      </c>
    </row>
    <row r="4046" spans="1:23">
      <c r="A4046" s="1" t="s">
        <v>6477</v>
      </c>
      <c r="B4046" s="1" t="s">
        <v>700</v>
      </c>
      <c r="C4046" s="1" t="s">
        <v>52</v>
      </c>
      <c r="D4046" s="1" t="s">
        <v>19</v>
      </c>
      <c r="E4046" s="1" t="s">
        <v>20</v>
      </c>
      <c r="F4046">
        <v>1</v>
      </c>
      <c r="G4046" s="2">
        <v>46192</v>
      </c>
      <c r="H4046" s="2">
        <v>46193</v>
      </c>
      <c r="I4046">
        <v>146.66</v>
      </c>
      <c r="J4046">
        <v>69.37</v>
      </c>
      <c r="K4046">
        <v>69.37</v>
      </c>
      <c r="L4046">
        <v>0</v>
      </c>
      <c r="M4046" s="1" t="s">
        <v>21</v>
      </c>
      <c r="N4046" s="1" t="s">
        <v>22</v>
      </c>
      <c r="O4046" s="2">
        <v>46243</v>
      </c>
      <c r="P4046" s="2">
        <v>46243</v>
      </c>
      <c r="Q4046">
        <f>_xlfn.XLOOKUP(E4046,CPT!$A$2:$A$13,CPT!$D$2:$D$13)</f>
        <v>145</v>
      </c>
      <c r="R4046" s="1">
        <f>_xlfn.XLOOKUP(C4046,Contract!$A$2:$A$9,Contract!$B$2:$B$9)</f>
        <v>0.47</v>
      </c>
      <c r="S4046" s="1">
        <f t="shared" si="252"/>
        <v>68.150000000000006</v>
      </c>
      <c r="T4046" s="1">
        <f t="shared" si="253"/>
        <v>-1.2199999999999989</v>
      </c>
      <c r="U4046" s="1" t="str">
        <f t="shared" si="254"/>
        <v>OK</v>
      </c>
      <c r="V4046" s="1" t="str">
        <f>_xlfn.XLOOKUP(C4046,Payers!$A$2:$A$9,Payers!$B$2:$B$9)</f>
        <v>Keystone Commercial PPO</v>
      </c>
      <c r="W4046" s="1" t="str">
        <f t="shared" si="255"/>
        <v>2026-06</v>
      </c>
    </row>
    <row r="4047" spans="1:23">
      <c r="A4047" s="1" t="s">
        <v>6478</v>
      </c>
      <c r="B4047" s="1" t="s">
        <v>6246</v>
      </c>
      <c r="C4047" s="1" t="s">
        <v>60</v>
      </c>
      <c r="D4047" s="1" t="s">
        <v>37</v>
      </c>
      <c r="E4047" s="1" t="s">
        <v>38</v>
      </c>
      <c r="F4047">
        <v>20</v>
      </c>
      <c r="G4047" s="2">
        <v>45980</v>
      </c>
      <c r="H4047" s="2">
        <v>45981</v>
      </c>
      <c r="I4047">
        <v>28920.67</v>
      </c>
      <c r="J4047">
        <v>13710.04</v>
      </c>
      <c r="K4047">
        <v>10968.03</v>
      </c>
      <c r="L4047">
        <v>2742.01</v>
      </c>
      <c r="M4047" s="1" t="s">
        <v>21</v>
      </c>
      <c r="N4047" s="1" t="s">
        <v>22</v>
      </c>
      <c r="O4047" s="2">
        <v>45997</v>
      </c>
      <c r="P4047" s="2">
        <v>45997</v>
      </c>
      <c r="Q4047">
        <f>_xlfn.XLOOKUP(E4047,CPT!$A$2:$A$13,CPT!$D$2:$D$13)</f>
        <v>1450</v>
      </c>
      <c r="R4047" s="1">
        <f>_xlfn.XLOOKUP(C4047,Contract!$A$2:$A$9,Contract!$B$2:$B$9)</f>
        <v>0.45</v>
      </c>
      <c r="S4047" s="1">
        <f t="shared" si="252"/>
        <v>13050</v>
      </c>
      <c r="T4047" s="1">
        <f t="shared" si="253"/>
        <v>-660.04000000000087</v>
      </c>
      <c r="U4047" s="1" t="str">
        <f t="shared" si="254"/>
        <v>OK</v>
      </c>
      <c r="V4047" s="1" t="str">
        <f>_xlfn.XLOOKUP(C4047,Payers!$A$2:$A$9,Payers!$B$2:$B$9)</f>
        <v>Blue Horizon Commercial</v>
      </c>
      <c r="W4047" s="1" t="str">
        <f t="shared" si="255"/>
        <v>2025-11</v>
      </c>
    </row>
    <row r="4048" spans="1:23">
      <c r="A4048" s="1" t="s">
        <v>6479</v>
      </c>
      <c r="B4048" s="1" t="s">
        <v>6480</v>
      </c>
      <c r="C4048" s="1" t="s">
        <v>76</v>
      </c>
      <c r="D4048" s="1" t="s">
        <v>26</v>
      </c>
      <c r="E4048" s="1" t="s">
        <v>41</v>
      </c>
      <c r="F4048">
        <v>1</v>
      </c>
      <c r="G4048" s="2">
        <v>46014</v>
      </c>
      <c r="H4048" s="2">
        <v>46017</v>
      </c>
      <c r="I4048">
        <v>36.9</v>
      </c>
      <c r="J4048">
        <v>14.06</v>
      </c>
      <c r="K4048">
        <v>14.06</v>
      </c>
      <c r="L4048">
        <v>0</v>
      </c>
      <c r="M4048" s="1" t="s">
        <v>21</v>
      </c>
      <c r="N4048" s="1" t="s">
        <v>22</v>
      </c>
      <c r="O4048" s="2">
        <v>46052</v>
      </c>
      <c r="P4048" s="2">
        <v>46052</v>
      </c>
      <c r="Q4048">
        <f>_xlfn.XLOOKUP(E4048,CPT!$A$2:$A$13,CPT!$D$2:$D$13)</f>
        <v>38</v>
      </c>
      <c r="R4048" s="1">
        <f>_xlfn.XLOOKUP(C4048,Contract!$A$2:$A$9,Contract!$B$2:$B$9)</f>
        <v>0.43</v>
      </c>
      <c r="S4048" s="1">
        <f t="shared" si="252"/>
        <v>16.34</v>
      </c>
      <c r="T4048" s="1">
        <f t="shared" si="253"/>
        <v>2.2799999999999994</v>
      </c>
      <c r="U4048" s="1" t="str">
        <f t="shared" si="254"/>
        <v>Underpaid</v>
      </c>
      <c r="V4048" s="1" t="str">
        <f>_xlfn.XLOOKUP(C4048,Payers!$A$2:$A$9,Payers!$B$2:$B$9)</f>
        <v>Summit Health Commercial</v>
      </c>
      <c r="W4048" s="1" t="str">
        <f t="shared" si="255"/>
        <v>2025-12</v>
      </c>
    </row>
    <row r="4049" spans="1:23">
      <c r="A4049" s="1" t="s">
        <v>6481</v>
      </c>
      <c r="B4049" s="1" t="s">
        <v>873</v>
      </c>
      <c r="C4049" s="1" t="s">
        <v>36</v>
      </c>
      <c r="D4049" s="1" t="s">
        <v>26</v>
      </c>
      <c r="E4049" s="1" t="s">
        <v>41</v>
      </c>
      <c r="F4049">
        <v>1</v>
      </c>
      <c r="G4049" s="2">
        <v>46136</v>
      </c>
      <c r="H4049" s="2">
        <v>46141</v>
      </c>
      <c r="I4049">
        <v>36.99</v>
      </c>
      <c r="J4049">
        <v>9.73</v>
      </c>
      <c r="K4049">
        <v>7.78</v>
      </c>
      <c r="L4049">
        <v>1.95</v>
      </c>
      <c r="M4049" s="1" t="s">
        <v>21</v>
      </c>
      <c r="N4049" s="1" t="s">
        <v>22</v>
      </c>
      <c r="O4049" s="2">
        <v>46171</v>
      </c>
      <c r="P4049" s="2">
        <v>46171</v>
      </c>
      <c r="Q4049">
        <f>_xlfn.XLOOKUP(E4049,CPT!$A$2:$A$13,CPT!$D$2:$D$13)</f>
        <v>38</v>
      </c>
      <c r="R4049" s="1">
        <f>_xlfn.XLOOKUP(C4049,Contract!$A$2:$A$9,Contract!$B$2:$B$9)</f>
        <v>0.27</v>
      </c>
      <c r="S4049" s="1">
        <f t="shared" si="252"/>
        <v>10.26</v>
      </c>
      <c r="T4049" s="1">
        <f t="shared" si="253"/>
        <v>0.52999999999999936</v>
      </c>
      <c r="U4049" s="1" t="str">
        <f t="shared" si="254"/>
        <v>Underpaid</v>
      </c>
      <c r="V4049" s="1" t="str">
        <f>_xlfn.XLOOKUP(C4049,Payers!$A$2:$A$9,Payers!$B$2:$B$9)</f>
        <v>Florida Medicaid</v>
      </c>
      <c r="W4049" s="1" t="str">
        <f t="shared" si="255"/>
        <v>2026-04</v>
      </c>
    </row>
    <row r="4050" spans="1:23">
      <c r="A4050" s="1" t="s">
        <v>6482</v>
      </c>
      <c r="B4050" s="1" t="s">
        <v>6483</v>
      </c>
      <c r="C4050" s="1" t="s">
        <v>36</v>
      </c>
      <c r="D4050" s="1" t="s">
        <v>26</v>
      </c>
      <c r="E4050" s="1" t="s">
        <v>88</v>
      </c>
      <c r="F4050">
        <v>1</v>
      </c>
      <c r="G4050" s="2">
        <v>45941</v>
      </c>
      <c r="H4050" s="2">
        <v>45942</v>
      </c>
      <c r="I4050">
        <v>260.85000000000002</v>
      </c>
      <c r="J4050">
        <v>60.06</v>
      </c>
      <c r="K4050">
        <v>48.05</v>
      </c>
      <c r="L4050">
        <v>12.01</v>
      </c>
      <c r="M4050" s="1" t="s">
        <v>21</v>
      </c>
      <c r="N4050" s="1" t="s">
        <v>22</v>
      </c>
      <c r="O4050" s="2">
        <v>45965</v>
      </c>
      <c r="P4050" s="2">
        <v>45965</v>
      </c>
      <c r="Q4050">
        <f>_xlfn.XLOOKUP(E4050,CPT!$A$2:$A$13,CPT!$D$2:$D$13)</f>
        <v>260</v>
      </c>
      <c r="R4050" s="1">
        <f>_xlfn.XLOOKUP(C4050,Contract!$A$2:$A$9,Contract!$B$2:$B$9)</f>
        <v>0.27</v>
      </c>
      <c r="S4050" s="1">
        <f t="shared" si="252"/>
        <v>70.2</v>
      </c>
      <c r="T4050" s="1">
        <f t="shared" si="253"/>
        <v>10.14</v>
      </c>
      <c r="U4050" s="1" t="str">
        <f t="shared" si="254"/>
        <v>Underpaid</v>
      </c>
      <c r="V4050" s="1" t="str">
        <f>_xlfn.XLOOKUP(C4050,Payers!$A$2:$A$9,Payers!$B$2:$B$9)</f>
        <v>Florida Medicaid</v>
      </c>
      <c r="W4050" s="1" t="str">
        <f t="shared" si="255"/>
        <v>2025-10</v>
      </c>
    </row>
    <row r="4051" spans="1:23">
      <c r="A4051" s="1" t="s">
        <v>6484</v>
      </c>
      <c r="B4051" s="1" t="s">
        <v>2527</v>
      </c>
      <c r="C4051" s="1" t="s">
        <v>18</v>
      </c>
      <c r="D4051" s="1" t="s">
        <v>30</v>
      </c>
      <c r="E4051" s="1" t="s">
        <v>31</v>
      </c>
      <c r="F4051">
        <v>3</v>
      </c>
      <c r="G4051" s="2">
        <v>45941</v>
      </c>
      <c r="H4051" s="2">
        <v>45950</v>
      </c>
      <c r="I4051">
        <v>185.08</v>
      </c>
      <c r="J4051">
        <v>72.900000000000006</v>
      </c>
      <c r="K4051">
        <v>65.61</v>
      </c>
      <c r="L4051">
        <v>7.29</v>
      </c>
      <c r="M4051" s="1" t="s">
        <v>21</v>
      </c>
      <c r="N4051" s="1" t="s">
        <v>22</v>
      </c>
      <c r="O4051" s="2">
        <v>45992</v>
      </c>
      <c r="P4051" s="2">
        <v>45992</v>
      </c>
      <c r="Q4051">
        <f>_xlfn.XLOOKUP(E4051,CPT!$A$2:$A$13,CPT!$D$2:$D$13)</f>
        <v>62</v>
      </c>
      <c r="R4051" s="1">
        <f>_xlfn.XLOOKUP(C4051,Contract!$A$2:$A$9,Contract!$B$2:$B$9)</f>
        <v>0.38</v>
      </c>
      <c r="S4051" s="1">
        <f t="shared" si="252"/>
        <v>70.680000000000007</v>
      </c>
      <c r="T4051" s="1">
        <f t="shared" si="253"/>
        <v>-2.2199999999999989</v>
      </c>
      <c r="U4051" s="1" t="str">
        <f t="shared" si="254"/>
        <v>OK</v>
      </c>
      <c r="V4051" s="1" t="str">
        <f>_xlfn.XLOOKUP(C4051,Payers!$A$2:$A$9,Payers!$B$2:$B$9)</f>
        <v>Sunshine Medicare Advantage</v>
      </c>
      <c r="W4051" s="1" t="str">
        <f t="shared" si="255"/>
        <v>2025-10</v>
      </c>
    </row>
    <row r="4052" spans="1:23">
      <c r="A4052" s="1" t="s">
        <v>6485</v>
      </c>
      <c r="B4052" s="1" t="s">
        <v>345</v>
      </c>
      <c r="C4052" s="1" t="s">
        <v>25</v>
      </c>
      <c r="D4052" s="1" t="s">
        <v>19</v>
      </c>
      <c r="E4052" s="1" t="s">
        <v>41</v>
      </c>
      <c r="F4052">
        <v>1</v>
      </c>
      <c r="G4052" s="2">
        <v>46183</v>
      </c>
      <c r="H4052" s="2">
        <v>46190</v>
      </c>
      <c r="I4052">
        <v>37.840000000000003</v>
      </c>
      <c r="J4052">
        <v>11.59</v>
      </c>
      <c r="K4052">
        <v>10.43</v>
      </c>
      <c r="L4052">
        <v>1.1599999999999999</v>
      </c>
      <c r="M4052" s="1" t="s">
        <v>21</v>
      </c>
      <c r="N4052" s="1" t="s">
        <v>22</v>
      </c>
      <c r="O4052" s="2">
        <v>46203</v>
      </c>
      <c r="P4052" s="2">
        <v>46203</v>
      </c>
      <c r="Q4052">
        <f>_xlfn.XLOOKUP(E4052,CPT!$A$2:$A$13,CPT!$D$2:$D$13)</f>
        <v>38</v>
      </c>
      <c r="R4052" s="1">
        <f>_xlfn.XLOOKUP(C4052,Contract!$A$2:$A$9,Contract!$B$2:$B$9)</f>
        <v>0.36</v>
      </c>
      <c r="S4052" s="1">
        <f t="shared" si="252"/>
        <v>13.68</v>
      </c>
      <c r="T4052" s="1">
        <f t="shared" si="253"/>
        <v>2.09</v>
      </c>
      <c r="U4052" s="1" t="str">
        <f t="shared" si="254"/>
        <v>Underpaid</v>
      </c>
      <c r="V4052" s="1" t="str">
        <f>_xlfn.XLOOKUP(C4052,Payers!$A$2:$A$9,Payers!$B$2:$B$9)</f>
        <v>Medicare Part B</v>
      </c>
      <c r="W4052" s="1" t="str">
        <f t="shared" si="255"/>
        <v>2026-06</v>
      </c>
    </row>
    <row r="4053" spans="1:23">
      <c r="A4053" s="1" t="s">
        <v>6486</v>
      </c>
      <c r="B4053" s="1" t="s">
        <v>528</v>
      </c>
      <c r="C4053" s="1" t="s">
        <v>25</v>
      </c>
      <c r="D4053" s="1" t="s">
        <v>30</v>
      </c>
      <c r="E4053" s="1" t="s">
        <v>20</v>
      </c>
      <c r="F4053">
        <v>1</v>
      </c>
      <c r="G4053" s="2">
        <v>46211</v>
      </c>
      <c r="H4053" s="2">
        <v>46214</v>
      </c>
      <c r="I4053">
        <v>142.55000000000001</v>
      </c>
      <c r="J4053">
        <v>54.38</v>
      </c>
      <c r="K4053">
        <v>54.38</v>
      </c>
      <c r="L4053">
        <v>0</v>
      </c>
      <c r="M4053" s="1" t="s">
        <v>21</v>
      </c>
      <c r="N4053" s="1" t="s">
        <v>22</v>
      </c>
      <c r="O4053" s="2">
        <v>46225</v>
      </c>
      <c r="P4053" s="2">
        <v>46225</v>
      </c>
      <c r="Q4053">
        <f>_xlfn.XLOOKUP(E4053,CPT!$A$2:$A$13,CPT!$D$2:$D$13)</f>
        <v>145</v>
      </c>
      <c r="R4053" s="1">
        <f>_xlfn.XLOOKUP(C4053,Contract!$A$2:$A$9,Contract!$B$2:$B$9)</f>
        <v>0.36</v>
      </c>
      <c r="S4053" s="1">
        <f t="shared" si="252"/>
        <v>52.2</v>
      </c>
      <c r="T4053" s="1">
        <f t="shared" si="253"/>
        <v>-2.1799999999999997</v>
      </c>
      <c r="U4053" s="1" t="str">
        <f t="shared" si="254"/>
        <v>OK</v>
      </c>
      <c r="V4053" s="1" t="str">
        <f>_xlfn.XLOOKUP(C4053,Payers!$A$2:$A$9,Payers!$B$2:$B$9)</f>
        <v>Medicare Part B</v>
      </c>
      <c r="W4053" s="1" t="str">
        <f t="shared" si="255"/>
        <v>2026-07</v>
      </c>
    </row>
    <row r="4054" spans="1:23">
      <c r="A4054" s="1" t="s">
        <v>6487</v>
      </c>
      <c r="B4054" s="1" t="s">
        <v>6488</v>
      </c>
      <c r="C4054" s="1" t="s">
        <v>47</v>
      </c>
      <c r="D4054" s="1" t="s">
        <v>30</v>
      </c>
      <c r="E4054" s="1" t="s">
        <v>91</v>
      </c>
      <c r="F4054">
        <v>1</v>
      </c>
      <c r="G4054" s="2">
        <v>46082</v>
      </c>
      <c r="H4054" s="2">
        <v>46086</v>
      </c>
      <c r="I4054">
        <v>59.04</v>
      </c>
      <c r="J4054">
        <v>18.239999999999998</v>
      </c>
      <c r="K4054">
        <v>14.59</v>
      </c>
      <c r="L4054">
        <v>3.65</v>
      </c>
      <c r="M4054" s="1" t="s">
        <v>21</v>
      </c>
      <c r="N4054" s="1" t="s">
        <v>22</v>
      </c>
      <c r="O4054" s="2">
        <v>46145</v>
      </c>
      <c r="P4054" s="2">
        <v>46145</v>
      </c>
      <c r="Q4054">
        <f>_xlfn.XLOOKUP(E4054,CPT!$A$2:$A$13,CPT!$D$2:$D$13)</f>
        <v>58</v>
      </c>
      <c r="R4054" s="1">
        <f>_xlfn.XLOOKUP(C4054,Contract!$A$2:$A$9,Contract!$B$2:$B$9)</f>
        <v>0.28000000000000003</v>
      </c>
      <c r="S4054" s="1">
        <f t="shared" si="252"/>
        <v>16.239999999999998</v>
      </c>
      <c r="T4054" s="1">
        <f t="shared" si="253"/>
        <v>-2</v>
      </c>
      <c r="U4054" s="1" t="str">
        <f t="shared" si="254"/>
        <v>OK</v>
      </c>
      <c r="V4054" s="1" t="str">
        <f>_xlfn.XLOOKUP(C4054,Payers!$A$2:$A$9,Payers!$B$2:$B$9)</f>
        <v>Coastal Medicaid MCO</v>
      </c>
      <c r="W4054" s="1" t="str">
        <f t="shared" si="255"/>
        <v>2026-03</v>
      </c>
    </row>
    <row r="4055" spans="1:23">
      <c r="A4055" s="1" t="s">
        <v>6489</v>
      </c>
      <c r="B4055" s="1" t="s">
        <v>6078</v>
      </c>
      <c r="C4055" s="1" t="s">
        <v>25</v>
      </c>
      <c r="D4055" s="1" t="s">
        <v>19</v>
      </c>
      <c r="E4055" s="1" t="s">
        <v>57</v>
      </c>
      <c r="F4055">
        <v>1</v>
      </c>
      <c r="G4055" s="2">
        <v>46230</v>
      </c>
      <c r="H4055" s="2">
        <v>46231</v>
      </c>
      <c r="I4055">
        <v>211.39</v>
      </c>
      <c r="J4055">
        <v>78.02</v>
      </c>
      <c r="K4055">
        <v>78.02</v>
      </c>
      <c r="L4055">
        <v>0</v>
      </c>
      <c r="M4055" s="1" t="s">
        <v>21</v>
      </c>
      <c r="N4055" s="1" t="s">
        <v>22</v>
      </c>
      <c r="O4055" s="2">
        <v>46254</v>
      </c>
      <c r="P4055" s="2">
        <v>46254</v>
      </c>
      <c r="Q4055">
        <f>_xlfn.XLOOKUP(E4055,CPT!$A$2:$A$13,CPT!$D$2:$D$13)</f>
        <v>210</v>
      </c>
      <c r="R4055" s="1">
        <f>_xlfn.XLOOKUP(C4055,Contract!$A$2:$A$9,Contract!$B$2:$B$9)</f>
        <v>0.36</v>
      </c>
      <c r="S4055" s="1">
        <f t="shared" si="252"/>
        <v>75.599999999999994</v>
      </c>
      <c r="T4055" s="1">
        <f t="shared" si="253"/>
        <v>-2.4200000000000017</v>
      </c>
      <c r="U4055" s="1" t="str">
        <f t="shared" si="254"/>
        <v>OK</v>
      </c>
      <c r="V4055" s="1" t="str">
        <f>_xlfn.XLOOKUP(C4055,Payers!$A$2:$A$9,Payers!$B$2:$B$9)</f>
        <v>Medicare Part B</v>
      </c>
      <c r="W4055" s="1" t="str">
        <f t="shared" si="255"/>
        <v>2026-07</v>
      </c>
    </row>
    <row r="4056" spans="1:23">
      <c r="A4056" s="1" t="s">
        <v>6490</v>
      </c>
      <c r="B4056" s="1" t="s">
        <v>2337</v>
      </c>
      <c r="C4056" s="1" t="s">
        <v>25</v>
      </c>
      <c r="D4056" s="1" t="s">
        <v>30</v>
      </c>
      <c r="E4056" s="1" t="s">
        <v>91</v>
      </c>
      <c r="F4056">
        <v>1</v>
      </c>
      <c r="G4056" s="2">
        <v>46205</v>
      </c>
      <c r="H4056" s="2">
        <v>46208</v>
      </c>
      <c r="I4056">
        <v>57.7</v>
      </c>
      <c r="J4056">
        <v>22.95</v>
      </c>
      <c r="K4056">
        <v>22.95</v>
      </c>
      <c r="L4056">
        <v>0</v>
      </c>
      <c r="M4056" s="1" t="s">
        <v>21</v>
      </c>
      <c r="N4056" s="1" t="s">
        <v>22</v>
      </c>
      <c r="O4056" s="2">
        <v>46230</v>
      </c>
      <c r="P4056" s="2">
        <v>46230</v>
      </c>
      <c r="Q4056">
        <f>_xlfn.XLOOKUP(E4056,CPT!$A$2:$A$13,CPT!$D$2:$D$13)</f>
        <v>58</v>
      </c>
      <c r="R4056" s="1">
        <f>_xlfn.XLOOKUP(C4056,Contract!$A$2:$A$9,Contract!$B$2:$B$9)</f>
        <v>0.36</v>
      </c>
      <c r="S4056" s="1">
        <f t="shared" si="252"/>
        <v>20.88</v>
      </c>
      <c r="T4056" s="1">
        <f t="shared" si="253"/>
        <v>-2.0700000000000003</v>
      </c>
      <c r="U4056" s="1" t="str">
        <f t="shared" si="254"/>
        <v>OK</v>
      </c>
      <c r="V4056" s="1" t="str">
        <f>_xlfn.XLOOKUP(C4056,Payers!$A$2:$A$9,Payers!$B$2:$B$9)</f>
        <v>Medicare Part B</v>
      </c>
      <c r="W4056" s="1" t="str">
        <f t="shared" si="255"/>
        <v>2026-07</v>
      </c>
    </row>
    <row r="4057" spans="1:23">
      <c r="A4057" s="1" t="s">
        <v>6491</v>
      </c>
      <c r="B4057" s="1" t="s">
        <v>6492</v>
      </c>
      <c r="C4057" s="1" t="s">
        <v>52</v>
      </c>
      <c r="D4057" s="1" t="s">
        <v>37</v>
      </c>
      <c r="E4057" s="1" t="s">
        <v>48</v>
      </c>
      <c r="F4057">
        <v>1</v>
      </c>
      <c r="G4057" s="2">
        <v>46121</v>
      </c>
      <c r="H4057" s="2">
        <v>46126</v>
      </c>
      <c r="I4057">
        <v>407.99</v>
      </c>
      <c r="J4057">
        <v>165.23</v>
      </c>
      <c r="K4057">
        <v>165.23</v>
      </c>
      <c r="L4057">
        <v>0</v>
      </c>
      <c r="M4057" s="1" t="s">
        <v>21</v>
      </c>
      <c r="N4057" s="1" t="s">
        <v>22</v>
      </c>
      <c r="O4057" s="2">
        <v>46179</v>
      </c>
      <c r="P4057" s="2">
        <v>46179</v>
      </c>
      <c r="Q4057">
        <f>_xlfn.XLOOKUP(E4057,CPT!$A$2:$A$13,CPT!$D$2:$D$13)</f>
        <v>420</v>
      </c>
      <c r="R4057" s="1">
        <f>_xlfn.XLOOKUP(C4057,Contract!$A$2:$A$9,Contract!$B$2:$B$9)</f>
        <v>0.47</v>
      </c>
      <c r="S4057" s="1">
        <f t="shared" si="252"/>
        <v>197.4</v>
      </c>
      <c r="T4057" s="1">
        <f t="shared" si="253"/>
        <v>32.170000000000016</v>
      </c>
      <c r="U4057" s="1" t="str">
        <f t="shared" si="254"/>
        <v>Underpaid</v>
      </c>
      <c r="V4057" s="1" t="str">
        <f>_xlfn.XLOOKUP(C4057,Payers!$A$2:$A$9,Payers!$B$2:$B$9)</f>
        <v>Keystone Commercial PPO</v>
      </c>
      <c r="W4057" s="1" t="str">
        <f t="shared" si="255"/>
        <v>2026-04</v>
      </c>
    </row>
    <row r="4058" spans="1:23">
      <c r="A4058" s="1" t="s">
        <v>6493</v>
      </c>
      <c r="B4058" s="1" t="s">
        <v>6494</v>
      </c>
      <c r="C4058" s="1" t="s">
        <v>18</v>
      </c>
      <c r="D4058" s="1" t="s">
        <v>19</v>
      </c>
      <c r="E4058" s="1" t="s">
        <v>57</v>
      </c>
      <c r="F4058">
        <v>1</v>
      </c>
      <c r="G4058" s="2">
        <v>45984</v>
      </c>
      <c r="H4058" s="2">
        <v>45987</v>
      </c>
      <c r="I4058">
        <v>207.89</v>
      </c>
      <c r="J4058">
        <v>83.6</v>
      </c>
      <c r="K4058">
        <v>75.239999999999995</v>
      </c>
      <c r="L4058">
        <v>8.36</v>
      </c>
      <c r="M4058" s="1" t="s">
        <v>21</v>
      </c>
      <c r="N4058" s="1" t="s">
        <v>22</v>
      </c>
      <c r="O4058" s="2">
        <v>46045</v>
      </c>
      <c r="P4058" s="2">
        <v>46045</v>
      </c>
      <c r="Q4058">
        <f>_xlfn.XLOOKUP(E4058,CPT!$A$2:$A$13,CPT!$D$2:$D$13)</f>
        <v>210</v>
      </c>
      <c r="R4058" s="1">
        <f>_xlfn.XLOOKUP(C4058,Contract!$A$2:$A$9,Contract!$B$2:$B$9)</f>
        <v>0.38</v>
      </c>
      <c r="S4058" s="1">
        <f t="shared" si="252"/>
        <v>79.8</v>
      </c>
      <c r="T4058" s="1">
        <f t="shared" si="253"/>
        <v>-3.7999999999999972</v>
      </c>
      <c r="U4058" s="1" t="str">
        <f t="shared" si="254"/>
        <v>OK</v>
      </c>
      <c r="V4058" s="1" t="str">
        <f>_xlfn.XLOOKUP(C4058,Payers!$A$2:$A$9,Payers!$B$2:$B$9)</f>
        <v>Sunshine Medicare Advantage</v>
      </c>
      <c r="W4058" s="1" t="str">
        <f t="shared" si="255"/>
        <v>2025-11</v>
      </c>
    </row>
    <row r="4059" spans="1:23">
      <c r="A4059" s="1" t="s">
        <v>6495</v>
      </c>
      <c r="B4059" s="1" t="s">
        <v>3638</v>
      </c>
      <c r="C4059" s="1" t="s">
        <v>36</v>
      </c>
      <c r="D4059" s="1" t="s">
        <v>37</v>
      </c>
      <c r="E4059" s="1" t="s">
        <v>38</v>
      </c>
      <c r="F4059">
        <v>5</v>
      </c>
      <c r="G4059" s="2">
        <v>46132</v>
      </c>
      <c r="H4059" s="2">
        <v>46144</v>
      </c>
      <c r="I4059">
        <v>7427.13</v>
      </c>
      <c r="M4059" s="1" t="s">
        <v>32</v>
      </c>
      <c r="N4059" s="1" t="s">
        <v>49</v>
      </c>
      <c r="O4059" s="2">
        <v>46189</v>
      </c>
      <c r="P4059" s="2"/>
      <c r="Q4059">
        <f>_xlfn.XLOOKUP(E4059,CPT!$A$2:$A$13,CPT!$D$2:$D$13)</f>
        <v>1450</v>
      </c>
      <c r="R4059" s="1">
        <f>_xlfn.XLOOKUP(C4059,Contract!$A$2:$A$9,Contract!$B$2:$B$9)</f>
        <v>0.27</v>
      </c>
      <c r="S4059" s="1">
        <f t="shared" si="252"/>
        <v>1957.5</v>
      </c>
      <c r="T4059" s="1" t="str">
        <f t="shared" si="253"/>
        <v/>
      </c>
      <c r="U4059" s="1" t="str">
        <f t="shared" si="254"/>
        <v/>
      </c>
      <c r="V4059" s="1" t="str">
        <f>_xlfn.XLOOKUP(C4059,Payers!$A$2:$A$9,Payers!$B$2:$B$9)</f>
        <v>Florida Medicaid</v>
      </c>
      <c r="W4059" s="1" t="str">
        <f t="shared" si="255"/>
        <v>2026-04</v>
      </c>
    </row>
    <row r="4060" spans="1:23">
      <c r="A4060" s="1" t="s">
        <v>6496</v>
      </c>
      <c r="B4060" s="1" t="s">
        <v>6497</v>
      </c>
      <c r="C4060" s="1" t="s">
        <v>18</v>
      </c>
      <c r="D4060" s="1" t="s">
        <v>19</v>
      </c>
      <c r="E4060" s="1" t="s">
        <v>57</v>
      </c>
      <c r="F4060">
        <v>1</v>
      </c>
      <c r="G4060" s="2">
        <v>46097</v>
      </c>
      <c r="H4060" s="2">
        <v>46106</v>
      </c>
      <c r="I4060">
        <v>215.58</v>
      </c>
      <c r="J4060">
        <v>86.6</v>
      </c>
      <c r="K4060">
        <v>86.6</v>
      </c>
      <c r="L4060">
        <v>0</v>
      </c>
      <c r="M4060" s="1" t="s">
        <v>21</v>
      </c>
      <c r="N4060" s="1" t="s">
        <v>22</v>
      </c>
      <c r="O4060" s="2">
        <v>46176</v>
      </c>
      <c r="P4060" s="2">
        <v>46176</v>
      </c>
      <c r="Q4060">
        <f>_xlfn.XLOOKUP(E4060,CPT!$A$2:$A$13,CPT!$D$2:$D$13)</f>
        <v>210</v>
      </c>
      <c r="R4060" s="1">
        <f>_xlfn.XLOOKUP(C4060,Contract!$A$2:$A$9,Contract!$B$2:$B$9)</f>
        <v>0.38</v>
      </c>
      <c r="S4060" s="1">
        <f t="shared" si="252"/>
        <v>79.8</v>
      </c>
      <c r="T4060" s="1">
        <f t="shared" si="253"/>
        <v>-6.7999999999999972</v>
      </c>
      <c r="U4060" s="1" t="str">
        <f t="shared" si="254"/>
        <v>OK</v>
      </c>
      <c r="V4060" s="1" t="str">
        <f>_xlfn.XLOOKUP(C4060,Payers!$A$2:$A$9,Payers!$B$2:$B$9)</f>
        <v>Sunshine Medicare Advantage</v>
      </c>
      <c r="W4060" s="1" t="str">
        <f t="shared" si="255"/>
        <v>2026-03</v>
      </c>
    </row>
    <row r="4061" spans="1:23">
      <c r="A4061" s="1" t="s">
        <v>6498</v>
      </c>
      <c r="B4061" s="1" t="s">
        <v>2444</v>
      </c>
      <c r="C4061" s="1" t="s">
        <v>60</v>
      </c>
      <c r="D4061" s="1" t="s">
        <v>30</v>
      </c>
      <c r="E4061" s="1" t="s">
        <v>91</v>
      </c>
      <c r="F4061">
        <v>1</v>
      </c>
      <c r="G4061" s="2">
        <v>45984</v>
      </c>
      <c r="H4061" s="2">
        <v>45988</v>
      </c>
      <c r="I4061">
        <v>56.46</v>
      </c>
      <c r="J4061">
        <v>23.09</v>
      </c>
      <c r="K4061">
        <v>23.09</v>
      </c>
      <c r="L4061">
        <v>0</v>
      </c>
      <c r="M4061" s="1" t="s">
        <v>21</v>
      </c>
      <c r="N4061" s="1" t="s">
        <v>22</v>
      </c>
      <c r="O4061" s="2">
        <v>46014</v>
      </c>
      <c r="P4061" s="2">
        <v>46014</v>
      </c>
      <c r="Q4061">
        <f>_xlfn.XLOOKUP(E4061,CPT!$A$2:$A$13,CPT!$D$2:$D$13)</f>
        <v>58</v>
      </c>
      <c r="R4061" s="1">
        <f>_xlfn.XLOOKUP(C4061,Contract!$A$2:$A$9,Contract!$B$2:$B$9)</f>
        <v>0.45</v>
      </c>
      <c r="S4061" s="1">
        <f t="shared" si="252"/>
        <v>26.1</v>
      </c>
      <c r="T4061" s="1">
        <f t="shared" si="253"/>
        <v>3.0100000000000016</v>
      </c>
      <c r="U4061" s="1" t="str">
        <f t="shared" si="254"/>
        <v>Underpaid</v>
      </c>
      <c r="V4061" s="1" t="str">
        <f>_xlfn.XLOOKUP(C4061,Payers!$A$2:$A$9,Payers!$B$2:$B$9)</f>
        <v>Blue Horizon Commercial</v>
      </c>
      <c r="W4061" s="1" t="str">
        <f t="shared" si="255"/>
        <v>2025-11</v>
      </c>
    </row>
    <row r="4062" spans="1:23">
      <c r="A4062" s="1" t="s">
        <v>6499</v>
      </c>
      <c r="B4062" s="1" t="s">
        <v>829</v>
      </c>
      <c r="C4062" s="1" t="s">
        <v>25</v>
      </c>
      <c r="D4062" s="1" t="s">
        <v>26</v>
      </c>
      <c r="E4062" s="1" t="s">
        <v>57</v>
      </c>
      <c r="F4062">
        <v>1</v>
      </c>
      <c r="G4062" s="2">
        <v>45933</v>
      </c>
      <c r="H4062" s="2">
        <v>45941</v>
      </c>
      <c r="I4062">
        <v>210.04</v>
      </c>
      <c r="J4062">
        <v>66.13</v>
      </c>
      <c r="K4062">
        <v>66.13</v>
      </c>
      <c r="L4062">
        <v>0</v>
      </c>
      <c r="M4062" s="1" t="s">
        <v>21</v>
      </c>
      <c r="N4062" s="1" t="s">
        <v>22</v>
      </c>
      <c r="O4062" s="2">
        <v>45959</v>
      </c>
      <c r="P4062" s="2">
        <v>45959</v>
      </c>
      <c r="Q4062">
        <f>_xlfn.XLOOKUP(E4062,CPT!$A$2:$A$13,CPT!$D$2:$D$13)</f>
        <v>210</v>
      </c>
      <c r="R4062" s="1">
        <f>_xlfn.XLOOKUP(C4062,Contract!$A$2:$A$9,Contract!$B$2:$B$9)</f>
        <v>0.36</v>
      </c>
      <c r="S4062" s="1">
        <f t="shared" si="252"/>
        <v>75.599999999999994</v>
      </c>
      <c r="T4062" s="1">
        <f t="shared" si="253"/>
        <v>9.4699999999999989</v>
      </c>
      <c r="U4062" s="1" t="str">
        <f t="shared" si="254"/>
        <v>Underpaid</v>
      </c>
      <c r="V4062" s="1" t="str">
        <f>_xlfn.XLOOKUP(C4062,Payers!$A$2:$A$9,Payers!$B$2:$B$9)</f>
        <v>Medicare Part B</v>
      </c>
      <c r="W4062" s="1" t="str">
        <f t="shared" si="255"/>
        <v>2025-10</v>
      </c>
    </row>
    <row r="4063" spans="1:23">
      <c r="A4063" s="1" t="s">
        <v>6500</v>
      </c>
      <c r="B4063" s="1" t="s">
        <v>5071</v>
      </c>
      <c r="C4063" s="1" t="s">
        <v>18</v>
      </c>
      <c r="D4063" s="1" t="s">
        <v>19</v>
      </c>
      <c r="E4063" s="1" t="s">
        <v>41</v>
      </c>
      <c r="F4063">
        <v>1</v>
      </c>
      <c r="G4063" s="2">
        <v>46204</v>
      </c>
      <c r="H4063" s="2">
        <v>46206</v>
      </c>
      <c r="I4063">
        <v>38.700000000000003</v>
      </c>
      <c r="J4063">
        <v>14.34</v>
      </c>
      <c r="K4063">
        <v>14.34</v>
      </c>
      <c r="L4063">
        <v>0</v>
      </c>
      <c r="M4063" s="1" t="s">
        <v>21</v>
      </c>
      <c r="N4063" s="1" t="s">
        <v>22</v>
      </c>
      <c r="O4063" s="2">
        <v>46255</v>
      </c>
      <c r="P4063" s="2">
        <v>46255</v>
      </c>
      <c r="Q4063">
        <f>_xlfn.XLOOKUP(E4063,CPT!$A$2:$A$13,CPT!$D$2:$D$13)</f>
        <v>38</v>
      </c>
      <c r="R4063" s="1">
        <f>_xlfn.XLOOKUP(C4063,Contract!$A$2:$A$9,Contract!$B$2:$B$9)</f>
        <v>0.38</v>
      </c>
      <c r="S4063" s="1">
        <f t="shared" si="252"/>
        <v>14.44</v>
      </c>
      <c r="T4063" s="1">
        <f t="shared" si="253"/>
        <v>9.9999999999999645E-2</v>
      </c>
      <c r="U4063" s="1" t="str">
        <f t="shared" si="254"/>
        <v>OK</v>
      </c>
      <c r="V4063" s="1" t="str">
        <f>_xlfn.XLOOKUP(C4063,Payers!$A$2:$A$9,Payers!$B$2:$B$9)</f>
        <v>Sunshine Medicare Advantage</v>
      </c>
      <c r="W4063" s="1" t="str">
        <f t="shared" si="255"/>
        <v>2026-07</v>
      </c>
    </row>
    <row r="4064" spans="1:23">
      <c r="A4064" s="1" t="s">
        <v>6501</v>
      </c>
      <c r="B4064" s="1" t="s">
        <v>6502</v>
      </c>
      <c r="C4064" s="1" t="s">
        <v>76</v>
      </c>
      <c r="D4064" s="1" t="s">
        <v>30</v>
      </c>
      <c r="E4064" s="1" t="s">
        <v>91</v>
      </c>
      <c r="F4064">
        <v>1</v>
      </c>
      <c r="G4064" s="2">
        <v>46237</v>
      </c>
      <c r="H4064" s="2">
        <v>46244</v>
      </c>
      <c r="I4064">
        <v>57.24</v>
      </c>
      <c r="J4064">
        <v>27.45</v>
      </c>
      <c r="K4064">
        <v>27.45</v>
      </c>
      <c r="L4064">
        <v>0</v>
      </c>
      <c r="M4064" s="1" t="s">
        <v>21</v>
      </c>
      <c r="N4064" s="1" t="s">
        <v>22</v>
      </c>
      <c r="O4064" s="2">
        <v>46272</v>
      </c>
      <c r="P4064" s="2">
        <v>46272</v>
      </c>
      <c r="Q4064">
        <f>_xlfn.XLOOKUP(E4064,CPT!$A$2:$A$13,CPT!$D$2:$D$13)</f>
        <v>58</v>
      </c>
      <c r="R4064" s="1">
        <f>_xlfn.XLOOKUP(C4064,Contract!$A$2:$A$9,Contract!$B$2:$B$9)</f>
        <v>0.43</v>
      </c>
      <c r="S4064" s="1">
        <f t="shared" si="252"/>
        <v>24.94</v>
      </c>
      <c r="T4064" s="1">
        <f t="shared" si="253"/>
        <v>-2.509999999999998</v>
      </c>
      <c r="U4064" s="1" t="str">
        <f t="shared" si="254"/>
        <v>OK</v>
      </c>
      <c r="V4064" s="1" t="str">
        <f>_xlfn.XLOOKUP(C4064,Payers!$A$2:$A$9,Payers!$B$2:$B$9)</f>
        <v>Summit Health Commercial</v>
      </c>
      <c r="W4064" s="1" t="str">
        <f t="shared" si="255"/>
        <v>2026-08</v>
      </c>
    </row>
    <row r="4065" spans="1:23">
      <c r="A4065" s="1" t="s">
        <v>6503</v>
      </c>
      <c r="B4065" s="1" t="s">
        <v>6504</v>
      </c>
      <c r="C4065" s="1" t="s">
        <v>18</v>
      </c>
      <c r="D4065" s="1" t="s">
        <v>37</v>
      </c>
      <c r="E4065" s="1" t="s">
        <v>48</v>
      </c>
      <c r="F4065">
        <v>1</v>
      </c>
      <c r="G4065" s="2">
        <v>46158</v>
      </c>
      <c r="H4065" s="2">
        <v>46159</v>
      </c>
      <c r="I4065">
        <v>410.73</v>
      </c>
      <c r="J4065">
        <v>170.82</v>
      </c>
      <c r="K4065">
        <v>170.82</v>
      </c>
      <c r="L4065">
        <v>0</v>
      </c>
      <c r="M4065" s="1" t="s">
        <v>21</v>
      </c>
      <c r="N4065" s="1" t="s">
        <v>22</v>
      </c>
      <c r="O4065" s="2">
        <v>46214</v>
      </c>
      <c r="P4065" s="2">
        <v>46214</v>
      </c>
      <c r="Q4065">
        <f>_xlfn.XLOOKUP(E4065,CPT!$A$2:$A$13,CPT!$D$2:$D$13)</f>
        <v>420</v>
      </c>
      <c r="R4065" s="1">
        <f>_xlfn.XLOOKUP(C4065,Contract!$A$2:$A$9,Contract!$B$2:$B$9)</f>
        <v>0.38</v>
      </c>
      <c r="S4065" s="1">
        <f t="shared" si="252"/>
        <v>159.6</v>
      </c>
      <c r="T4065" s="1">
        <f t="shared" si="253"/>
        <v>-11.219999999999999</v>
      </c>
      <c r="U4065" s="1" t="str">
        <f t="shared" si="254"/>
        <v>OK</v>
      </c>
      <c r="V4065" s="1" t="str">
        <f>_xlfn.XLOOKUP(C4065,Payers!$A$2:$A$9,Payers!$B$2:$B$9)</f>
        <v>Sunshine Medicare Advantage</v>
      </c>
      <c r="W4065" s="1" t="str">
        <f t="shared" si="255"/>
        <v>2026-05</v>
      </c>
    </row>
    <row r="4066" spans="1:23">
      <c r="A4066" s="1" t="s">
        <v>6505</v>
      </c>
      <c r="B4066" s="1" t="s">
        <v>2968</v>
      </c>
      <c r="C4066" s="1" t="s">
        <v>18</v>
      </c>
      <c r="D4066" s="1" t="s">
        <v>37</v>
      </c>
      <c r="E4066" s="1" t="s">
        <v>38</v>
      </c>
      <c r="F4066">
        <v>20</v>
      </c>
      <c r="G4066" s="2">
        <v>46023</v>
      </c>
      <c r="H4066" s="2">
        <v>46026</v>
      </c>
      <c r="I4066">
        <v>29611.48</v>
      </c>
      <c r="J4066">
        <v>11624.94</v>
      </c>
      <c r="K4066">
        <v>10462.450000000001</v>
      </c>
      <c r="L4066">
        <v>1162.49</v>
      </c>
      <c r="M4066" s="1" t="s">
        <v>21</v>
      </c>
      <c r="N4066" s="1" t="s">
        <v>22</v>
      </c>
      <c r="O4066" s="2">
        <v>46098</v>
      </c>
      <c r="P4066" s="2">
        <v>46098</v>
      </c>
      <c r="Q4066">
        <f>_xlfn.XLOOKUP(E4066,CPT!$A$2:$A$13,CPT!$D$2:$D$13)</f>
        <v>1450</v>
      </c>
      <c r="R4066" s="1">
        <f>_xlfn.XLOOKUP(C4066,Contract!$A$2:$A$9,Contract!$B$2:$B$9)</f>
        <v>0.38</v>
      </c>
      <c r="S4066" s="1">
        <f t="shared" si="252"/>
        <v>11020</v>
      </c>
      <c r="T4066" s="1">
        <f t="shared" si="253"/>
        <v>-604.94000000000051</v>
      </c>
      <c r="U4066" s="1" t="str">
        <f t="shared" si="254"/>
        <v>OK</v>
      </c>
      <c r="V4066" s="1" t="str">
        <f>_xlfn.XLOOKUP(C4066,Payers!$A$2:$A$9,Payers!$B$2:$B$9)</f>
        <v>Sunshine Medicare Advantage</v>
      </c>
      <c r="W4066" s="1" t="str">
        <f t="shared" si="255"/>
        <v>2026-01</v>
      </c>
    </row>
    <row r="4067" spans="1:23">
      <c r="A4067" s="1" t="s">
        <v>6506</v>
      </c>
      <c r="B4067" s="1" t="s">
        <v>6507</v>
      </c>
      <c r="C4067" s="1" t="s">
        <v>47</v>
      </c>
      <c r="D4067" s="1" t="s">
        <v>19</v>
      </c>
      <c r="E4067" s="1" t="s">
        <v>41</v>
      </c>
      <c r="F4067">
        <v>1</v>
      </c>
      <c r="G4067" s="2">
        <v>46250</v>
      </c>
      <c r="H4067" s="2">
        <v>46251</v>
      </c>
      <c r="I4067">
        <v>38.17</v>
      </c>
      <c r="M4067" s="1" t="s">
        <v>32</v>
      </c>
      <c r="N4067" s="1" t="s">
        <v>98</v>
      </c>
      <c r="O4067" s="2">
        <v>46295</v>
      </c>
      <c r="P4067" s="2"/>
      <c r="Q4067">
        <f>_xlfn.XLOOKUP(E4067,CPT!$A$2:$A$13,CPT!$D$2:$D$13)</f>
        <v>38</v>
      </c>
      <c r="R4067" s="1">
        <f>_xlfn.XLOOKUP(C4067,Contract!$A$2:$A$9,Contract!$B$2:$B$9)</f>
        <v>0.28000000000000003</v>
      </c>
      <c r="S4067" s="1">
        <f t="shared" si="252"/>
        <v>10.64</v>
      </c>
      <c r="T4067" s="1" t="str">
        <f t="shared" si="253"/>
        <v/>
      </c>
      <c r="U4067" s="1" t="str">
        <f t="shared" si="254"/>
        <v/>
      </c>
      <c r="V4067" s="1" t="str">
        <f>_xlfn.XLOOKUP(C4067,Payers!$A$2:$A$9,Payers!$B$2:$B$9)</f>
        <v>Coastal Medicaid MCO</v>
      </c>
      <c r="W4067" s="1" t="str">
        <f t="shared" si="255"/>
        <v>2026-08</v>
      </c>
    </row>
    <row r="4068" spans="1:23">
      <c r="A4068" s="1" t="s">
        <v>6508</v>
      </c>
      <c r="B4068" s="1" t="s">
        <v>6509</v>
      </c>
      <c r="C4068" s="1" t="s">
        <v>25</v>
      </c>
      <c r="D4068" s="1" t="s">
        <v>19</v>
      </c>
      <c r="E4068" s="1" t="s">
        <v>20</v>
      </c>
      <c r="F4068">
        <v>1</v>
      </c>
      <c r="G4068" s="2">
        <v>46021</v>
      </c>
      <c r="H4068" s="2">
        <v>46023</v>
      </c>
      <c r="I4068">
        <v>142.68</v>
      </c>
      <c r="J4068">
        <v>44.72</v>
      </c>
      <c r="K4068">
        <v>44.72</v>
      </c>
      <c r="L4068">
        <v>0</v>
      </c>
      <c r="M4068" s="1" t="s">
        <v>21</v>
      </c>
      <c r="N4068" s="1" t="s">
        <v>22</v>
      </c>
      <c r="O4068" s="2">
        <v>46038</v>
      </c>
      <c r="P4068" s="2">
        <v>46038</v>
      </c>
      <c r="Q4068">
        <f>_xlfn.XLOOKUP(E4068,CPT!$A$2:$A$13,CPT!$D$2:$D$13)</f>
        <v>145</v>
      </c>
      <c r="R4068" s="1">
        <f>_xlfn.XLOOKUP(C4068,Contract!$A$2:$A$9,Contract!$B$2:$B$9)</f>
        <v>0.36</v>
      </c>
      <c r="S4068" s="1">
        <f t="shared" si="252"/>
        <v>52.2</v>
      </c>
      <c r="T4068" s="1">
        <f t="shared" si="253"/>
        <v>7.480000000000004</v>
      </c>
      <c r="U4068" s="1" t="str">
        <f t="shared" si="254"/>
        <v>Underpaid</v>
      </c>
      <c r="V4068" s="1" t="str">
        <f>_xlfn.XLOOKUP(C4068,Payers!$A$2:$A$9,Payers!$B$2:$B$9)</f>
        <v>Medicare Part B</v>
      </c>
      <c r="W4068" s="1" t="str">
        <f t="shared" si="255"/>
        <v>2025-12</v>
      </c>
    </row>
    <row r="4069" spans="1:23">
      <c r="A4069" s="1" t="s">
        <v>6510</v>
      </c>
      <c r="B4069" s="1" t="s">
        <v>957</v>
      </c>
      <c r="C4069" s="1" t="s">
        <v>18</v>
      </c>
      <c r="D4069" s="1" t="s">
        <v>37</v>
      </c>
      <c r="E4069" s="1" t="s">
        <v>38</v>
      </c>
      <c r="F4069">
        <v>10</v>
      </c>
      <c r="G4069" s="2">
        <v>46156</v>
      </c>
      <c r="H4069" s="2">
        <v>46161</v>
      </c>
      <c r="I4069">
        <v>14393.64</v>
      </c>
      <c r="M4069" s="1" t="s">
        <v>32</v>
      </c>
      <c r="N4069" s="1" t="s">
        <v>124</v>
      </c>
      <c r="O4069" s="2">
        <v>46202</v>
      </c>
      <c r="P4069" s="2"/>
      <c r="Q4069">
        <f>_xlfn.XLOOKUP(E4069,CPT!$A$2:$A$13,CPT!$D$2:$D$13)</f>
        <v>1450</v>
      </c>
      <c r="R4069" s="1">
        <f>_xlfn.XLOOKUP(C4069,Contract!$A$2:$A$9,Contract!$B$2:$B$9)</f>
        <v>0.38</v>
      </c>
      <c r="S4069" s="1">
        <f t="shared" si="252"/>
        <v>5510</v>
      </c>
      <c r="T4069" s="1" t="str">
        <f t="shared" si="253"/>
        <v/>
      </c>
      <c r="U4069" s="1" t="str">
        <f t="shared" si="254"/>
        <v/>
      </c>
      <c r="V4069" s="1" t="str">
        <f>_xlfn.XLOOKUP(C4069,Payers!$A$2:$A$9,Payers!$B$2:$B$9)</f>
        <v>Sunshine Medicare Advantage</v>
      </c>
      <c r="W4069" s="1" t="str">
        <f t="shared" si="255"/>
        <v>2026-05</v>
      </c>
    </row>
    <row r="4070" spans="1:23">
      <c r="A4070" s="1" t="s">
        <v>6511</v>
      </c>
      <c r="B4070" s="1" t="s">
        <v>1151</v>
      </c>
      <c r="C4070" s="1" t="s">
        <v>60</v>
      </c>
      <c r="D4070" s="1" t="s">
        <v>19</v>
      </c>
      <c r="E4070" s="1" t="s">
        <v>57</v>
      </c>
      <c r="F4070">
        <v>1</v>
      </c>
      <c r="G4070" s="2">
        <v>46042</v>
      </c>
      <c r="H4070" s="2">
        <v>46043</v>
      </c>
      <c r="I4070">
        <v>211.94</v>
      </c>
      <c r="J4070">
        <v>80.92</v>
      </c>
      <c r="K4070">
        <v>64.739999999999995</v>
      </c>
      <c r="L4070">
        <v>16.18</v>
      </c>
      <c r="M4070" s="1" t="s">
        <v>21</v>
      </c>
      <c r="N4070" s="1" t="s">
        <v>22</v>
      </c>
      <c r="O4070" s="2">
        <v>46068</v>
      </c>
      <c r="P4070" s="2">
        <v>46068</v>
      </c>
      <c r="Q4070">
        <f>_xlfn.XLOOKUP(E4070,CPT!$A$2:$A$13,CPT!$D$2:$D$13)</f>
        <v>210</v>
      </c>
      <c r="R4070" s="1">
        <f>_xlfn.XLOOKUP(C4070,Contract!$A$2:$A$9,Contract!$B$2:$B$9)</f>
        <v>0.45</v>
      </c>
      <c r="S4070" s="1">
        <f t="shared" si="252"/>
        <v>94.5</v>
      </c>
      <c r="T4070" s="1">
        <f t="shared" si="253"/>
        <v>13.579999999999998</v>
      </c>
      <c r="U4070" s="1" t="str">
        <f t="shared" si="254"/>
        <v>Underpaid</v>
      </c>
      <c r="V4070" s="1" t="str">
        <f>_xlfn.XLOOKUP(C4070,Payers!$A$2:$A$9,Payers!$B$2:$B$9)</f>
        <v>Blue Horizon Commercial</v>
      </c>
      <c r="W4070" s="1" t="str">
        <f t="shared" si="255"/>
        <v>2026-01</v>
      </c>
    </row>
    <row r="4071" spans="1:23">
      <c r="A4071" s="1" t="s">
        <v>6512</v>
      </c>
      <c r="B4071" s="1" t="s">
        <v>4266</v>
      </c>
      <c r="C4071" s="1" t="s">
        <v>60</v>
      </c>
      <c r="D4071" s="1" t="s">
        <v>30</v>
      </c>
      <c r="E4071" s="1" t="s">
        <v>91</v>
      </c>
      <c r="F4071">
        <v>1</v>
      </c>
      <c r="G4071" s="2">
        <v>46034</v>
      </c>
      <c r="H4071" s="2">
        <v>46133</v>
      </c>
      <c r="I4071">
        <v>57.65</v>
      </c>
      <c r="M4071" s="1" t="s">
        <v>32</v>
      </c>
      <c r="N4071" s="1" t="s">
        <v>137</v>
      </c>
      <c r="O4071" s="2">
        <v>46171</v>
      </c>
      <c r="P4071" s="2"/>
      <c r="Q4071">
        <f>_xlfn.XLOOKUP(E4071,CPT!$A$2:$A$13,CPT!$D$2:$D$13)</f>
        <v>58</v>
      </c>
      <c r="R4071" s="1">
        <f>_xlfn.XLOOKUP(C4071,Contract!$A$2:$A$9,Contract!$B$2:$B$9)</f>
        <v>0.45</v>
      </c>
      <c r="S4071" s="1">
        <f t="shared" si="252"/>
        <v>26.1</v>
      </c>
      <c r="T4071" s="1" t="str">
        <f t="shared" si="253"/>
        <v/>
      </c>
      <c r="U4071" s="1" t="str">
        <f t="shared" si="254"/>
        <v/>
      </c>
      <c r="V4071" s="1" t="str">
        <f>_xlfn.XLOOKUP(C4071,Payers!$A$2:$A$9,Payers!$B$2:$B$9)</f>
        <v>Blue Horizon Commercial</v>
      </c>
      <c r="W4071" s="1" t="str">
        <f t="shared" si="255"/>
        <v>2026-01</v>
      </c>
    </row>
    <row r="4072" spans="1:23">
      <c r="A4072" s="1" t="s">
        <v>6513</v>
      </c>
      <c r="B4072" s="1" t="s">
        <v>5591</v>
      </c>
      <c r="C4072" s="1" t="s">
        <v>52</v>
      </c>
      <c r="D4072" s="1" t="s">
        <v>26</v>
      </c>
      <c r="E4072" s="1" t="s">
        <v>44</v>
      </c>
      <c r="F4072">
        <v>1</v>
      </c>
      <c r="G4072" s="2">
        <v>46137</v>
      </c>
      <c r="H4072" s="2">
        <v>46144</v>
      </c>
      <c r="I4072">
        <v>4867.72</v>
      </c>
      <c r="J4072">
        <v>2234.81</v>
      </c>
      <c r="K4072">
        <v>1787.85</v>
      </c>
      <c r="L4072">
        <v>446.96</v>
      </c>
      <c r="M4072" s="1" t="s">
        <v>21</v>
      </c>
      <c r="N4072" s="1" t="s">
        <v>22</v>
      </c>
      <c r="O4072" s="2">
        <v>46200</v>
      </c>
      <c r="P4072" s="2">
        <v>46200</v>
      </c>
      <c r="Q4072">
        <f>_xlfn.XLOOKUP(E4072,CPT!$A$2:$A$13,CPT!$D$2:$D$13)</f>
        <v>4800</v>
      </c>
      <c r="R4072" s="1">
        <f>_xlfn.XLOOKUP(C4072,Contract!$A$2:$A$9,Contract!$B$2:$B$9)</f>
        <v>0.47</v>
      </c>
      <c r="S4072" s="1">
        <f t="shared" si="252"/>
        <v>2256</v>
      </c>
      <c r="T4072" s="1">
        <f t="shared" si="253"/>
        <v>21.190000000000055</v>
      </c>
      <c r="U4072" s="1" t="str">
        <f t="shared" si="254"/>
        <v>OK</v>
      </c>
      <c r="V4072" s="1" t="str">
        <f>_xlfn.XLOOKUP(C4072,Payers!$A$2:$A$9,Payers!$B$2:$B$9)</f>
        <v>Keystone Commercial PPO</v>
      </c>
      <c r="W4072" s="1" t="str">
        <f t="shared" si="255"/>
        <v>2026-04</v>
      </c>
    </row>
    <row r="4073" spans="1:23">
      <c r="A4073" s="1" t="s">
        <v>6514</v>
      </c>
      <c r="B4073" s="1" t="s">
        <v>6515</v>
      </c>
      <c r="C4073" s="1" t="s">
        <v>52</v>
      </c>
      <c r="D4073" s="1" t="s">
        <v>19</v>
      </c>
      <c r="E4073" s="1" t="s">
        <v>41</v>
      </c>
      <c r="F4073">
        <v>1</v>
      </c>
      <c r="G4073" s="2">
        <v>46012</v>
      </c>
      <c r="H4073" s="2">
        <v>46013</v>
      </c>
      <c r="I4073">
        <v>38.47</v>
      </c>
      <c r="J4073">
        <v>17.73</v>
      </c>
      <c r="K4073">
        <v>17.73</v>
      </c>
      <c r="L4073">
        <v>0</v>
      </c>
      <c r="M4073" s="1" t="s">
        <v>21</v>
      </c>
      <c r="N4073" s="1" t="s">
        <v>22</v>
      </c>
      <c r="O4073" s="2">
        <v>46064</v>
      </c>
      <c r="P4073" s="2">
        <v>46064</v>
      </c>
      <c r="Q4073">
        <f>_xlfn.XLOOKUP(E4073,CPT!$A$2:$A$13,CPT!$D$2:$D$13)</f>
        <v>38</v>
      </c>
      <c r="R4073" s="1">
        <f>_xlfn.XLOOKUP(C4073,Contract!$A$2:$A$9,Contract!$B$2:$B$9)</f>
        <v>0.47</v>
      </c>
      <c r="S4073" s="1">
        <f t="shared" si="252"/>
        <v>17.86</v>
      </c>
      <c r="T4073" s="1">
        <f t="shared" si="253"/>
        <v>0.12999999999999901</v>
      </c>
      <c r="U4073" s="1" t="str">
        <f t="shared" si="254"/>
        <v>OK</v>
      </c>
      <c r="V4073" s="1" t="str">
        <f>_xlfn.XLOOKUP(C4073,Payers!$A$2:$A$9,Payers!$B$2:$B$9)</f>
        <v>Keystone Commercial PPO</v>
      </c>
      <c r="W4073" s="1" t="str">
        <f t="shared" si="255"/>
        <v>2025-12</v>
      </c>
    </row>
    <row r="4074" spans="1:23">
      <c r="A4074" s="1" t="s">
        <v>6516</v>
      </c>
      <c r="B4074" s="1" t="s">
        <v>2736</v>
      </c>
      <c r="C4074" s="1" t="s">
        <v>76</v>
      </c>
      <c r="D4074" s="1" t="s">
        <v>19</v>
      </c>
      <c r="E4074" s="1" t="s">
        <v>88</v>
      </c>
      <c r="F4074">
        <v>1</v>
      </c>
      <c r="G4074" s="2">
        <v>46257</v>
      </c>
      <c r="H4074" s="2">
        <v>46261</v>
      </c>
      <c r="I4074">
        <v>266.5</v>
      </c>
      <c r="J4074">
        <v>106.65</v>
      </c>
      <c r="K4074">
        <v>85.32</v>
      </c>
      <c r="L4074">
        <v>21.33</v>
      </c>
      <c r="M4074" s="1" t="s">
        <v>21</v>
      </c>
      <c r="N4074" s="1" t="s">
        <v>22</v>
      </c>
      <c r="O4074" s="2">
        <v>46285</v>
      </c>
      <c r="P4074" s="2">
        <v>46285</v>
      </c>
      <c r="Q4074">
        <f>_xlfn.XLOOKUP(E4074,CPT!$A$2:$A$13,CPT!$D$2:$D$13)</f>
        <v>260</v>
      </c>
      <c r="R4074" s="1">
        <f>_xlfn.XLOOKUP(C4074,Contract!$A$2:$A$9,Contract!$B$2:$B$9)</f>
        <v>0.43</v>
      </c>
      <c r="S4074" s="1">
        <f t="shared" si="252"/>
        <v>111.8</v>
      </c>
      <c r="T4074" s="1">
        <f t="shared" si="253"/>
        <v>5.1499999999999915</v>
      </c>
      <c r="U4074" s="1" t="str">
        <f t="shared" si="254"/>
        <v>OK</v>
      </c>
      <c r="V4074" s="1" t="str">
        <f>_xlfn.XLOOKUP(C4074,Payers!$A$2:$A$9,Payers!$B$2:$B$9)</f>
        <v>Summit Health Commercial</v>
      </c>
      <c r="W4074" s="1" t="str">
        <f t="shared" si="255"/>
        <v>2026-08</v>
      </c>
    </row>
    <row r="4075" spans="1:23">
      <c r="A4075" s="1" t="s">
        <v>6517</v>
      </c>
      <c r="B4075" s="1" t="s">
        <v>439</v>
      </c>
      <c r="C4075" s="1" t="s">
        <v>18</v>
      </c>
      <c r="D4075" s="1" t="s">
        <v>19</v>
      </c>
      <c r="E4075" s="1" t="s">
        <v>57</v>
      </c>
      <c r="F4075">
        <v>1</v>
      </c>
      <c r="G4075" s="2">
        <v>46124</v>
      </c>
      <c r="H4075" s="2">
        <v>46143</v>
      </c>
      <c r="I4075">
        <v>216.05</v>
      </c>
      <c r="J4075">
        <v>70.37</v>
      </c>
      <c r="K4075">
        <v>70.37</v>
      </c>
      <c r="L4075">
        <v>0</v>
      </c>
      <c r="M4075" s="1" t="s">
        <v>21</v>
      </c>
      <c r="N4075" s="1" t="s">
        <v>22</v>
      </c>
      <c r="O4075" s="2">
        <v>46215</v>
      </c>
      <c r="P4075" s="2">
        <v>46215</v>
      </c>
      <c r="Q4075">
        <f>_xlfn.XLOOKUP(E4075,CPT!$A$2:$A$13,CPT!$D$2:$D$13)</f>
        <v>210</v>
      </c>
      <c r="R4075" s="1">
        <f>_xlfn.XLOOKUP(C4075,Contract!$A$2:$A$9,Contract!$B$2:$B$9)</f>
        <v>0.38</v>
      </c>
      <c r="S4075" s="1">
        <f t="shared" si="252"/>
        <v>79.8</v>
      </c>
      <c r="T4075" s="1">
        <f t="shared" si="253"/>
        <v>9.4299999999999926</v>
      </c>
      <c r="U4075" s="1" t="str">
        <f t="shared" si="254"/>
        <v>Underpaid</v>
      </c>
      <c r="V4075" s="1" t="str">
        <f>_xlfn.XLOOKUP(C4075,Payers!$A$2:$A$9,Payers!$B$2:$B$9)</f>
        <v>Sunshine Medicare Advantage</v>
      </c>
      <c r="W4075" s="1" t="str">
        <f t="shared" si="255"/>
        <v>2026-04</v>
      </c>
    </row>
    <row r="4076" spans="1:23">
      <c r="A4076" s="1" t="s">
        <v>6518</v>
      </c>
      <c r="B4076" s="1" t="s">
        <v>2834</v>
      </c>
      <c r="C4076" s="1" t="s">
        <v>76</v>
      </c>
      <c r="D4076" s="1" t="s">
        <v>26</v>
      </c>
      <c r="E4076" s="1" t="s">
        <v>27</v>
      </c>
      <c r="F4076">
        <v>1</v>
      </c>
      <c r="G4076" s="2">
        <v>45953</v>
      </c>
      <c r="H4076" s="2">
        <v>45958</v>
      </c>
      <c r="I4076">
        <v>234.78</v>
      </c>
      <c r="J4076">
        <v>115.61</v>
      </c>
      <c r="K4076">
        <v>115.61</v>
      </c>
      <c r="L4076">
        <v>0</v>
      </c>
      <c r="M4076" s="1" t="s">
        <v>21</v>
      </c>
      <c r="N4076" s="1" t="s">
        <v>22</v>
      </c>
      <c r="O4076" s="2">
        <v>45994</v>
      </c>
      <c r="P4076" s="2">
        <v>45994</v>
      </c>
      <c r="Q4076">
        <f>_xlfn.XLOOKUP(E4076,CPT!$A$2:$A$13,CPT!$D$2:$D$13)</f>
        <v>240</v>
      </c>
      <c r="R4076" s="1">
        <f>_xlfn.XLOOKUP(C4076,Contract!$A$2:$A$9,Contract!$B$2:$B$9)</f>
        <v>0.43</v>
      </c>
      <c r="S4076" s="1">
        <f t="shared" si="252"/>
        <v>103.2</v>
      </c>
      <c r="T4076" s="1">
        <f t="shared" si="253"/>
        <v>-12.409999999999997</v>
      </c>
      <c r="U4076" s="1" t="str">
        <f t="shared" si="254"/>
        <v>OK</v>
      </c>
      <c r="V4076" s="1" t="str">
        <f>_xlfn.XLOOKUP(C4076,Payers!$A$2:$A$9,Payers!$B$2:$B$9)</f>
        <v>Summit Health Commercial</v>
      </c>
      <c r="W4076" s="1" t="str">
        <f t="shared" si="255"/>
        <v>2025-10</v>
      </c>
    </row>
    <row r="4077" spans="1:23">
      <c r="A4077" s="1" t="s">
        <v>6519</v>
      </c>
      <c r="B4077" s="1" t="s">
        <v>1596</v>
      </c>
      <c r="C4077" s="1" t="s">
        <v>60</v>
      </c>
      <c r="D4077" s="1" t="s">
        <v>19</v>
      </c>
      <c r="E4077" s="1" t="s">
        <v>57</v>
      </c>
      <c r="F4077">
        <v>1</v>
      </c>
      <c r="G4077" s="2">
        <v>45939</v>
      </c>
      <c r="H4077" s="2">
        <v>45943</v>
      </c>
      <c r="I4077">
        <v>209.58</v>
      </c>
      <c r="J4077">
        <v>97.77</v>
      </c>
      <c r="K4077">
        <v>87.99</v>
      </c>
      <c r="L4077">
        <v>9.7799999999999994</v>
      </c>
      <c r="M4077" s="1" t="s">
        <v>21</v>
      </c>
      <c r="N4077" s="1" t="s">
        <v>22</v>
      </c>
      <c r="O4077" s="2">
        <v>45980</v>
      </c>
      <c r="P4077" s="2">
        <v>45980</v>
      </c>
      <c r="Q4077">
        <f>_xlfn.XLOOKUP(E4077,CPT!$A$2:$A$13,CPT!$D$2:$D$13)</f>
        <v>210</v>
      </c>
      <c r="R4077" s="1">
        <f>_xlfn.XLOOKUP(C4077,Contract!$A$2:$A$9,Contract!$B$2:$B$9)</f>
        <v>0.45</v>
      </c>
      <c r="S4077" s="1">
        <f t="shared" si="252"/>
        <v>94.5</v>
      </c>
      <c r="T4077" s="1">
        <f t="shared" si="253"/>
        <v>-3.269999999999996</v>
      </c>
      <c r="U4077" s="1" t="str">
        <f t="shared" si="254"/>
        <v>OK</v>
      </c>
      <c r="V4077" s="1" t="str">
        <f>_xlfn.XLOOKUP(C4077,Payers!$A$2:$A$9,Payers!$B$2:$B$9)</f>
        <v>Blue Horizon Commercial</v>
      </c>
      <c r="W4077" s="1" t="str">
        <f t="shared" si="255"/>
        <v>2025-10</v>
      </c>
    </row>
    <row r="4078" spans="1:23">
      <c r="A4078" s="1" t="s">
        <v>6520</v>
      </c>
      <c r="B4078" s="1" t="s">
        <v>24</v>
      </c>
      <c r="C4078" s="1" t="s">
        <v>52</v>
      </c>
      <c r="D4078" s="1" t="s">
        <v>19</v>
      </c>
      <c r="E4078" s="1" t="s">
        <v>41</v>
      </c>
      <c r="F4078">
        <v>1</v>
      </c>
      <c r="G4078" s="2">
        <v>45942</v>
      </c>
      <c r="H4078" s="2">
        <v>45943</v>
      </c>
      <c r="I4078">
        <v>37.03</v>
      </c>
      <c r="J4078">
        <v>18.239999999999998</v>
      </c>
      <c r="K4078">
        <v>16.420000000000002</v>
      </c>
      <c r="L4078">
        <v>1.82</v>
      </c>
      <c r="M4078" s="1" t="s">
        <v>21</v>
      </c>
      <c r="N4078" s="1" t="s">
        <v>22</v>
      </c>
      <c r="O4078" s="2">
        <v>45993</v>
      </c>
      <c r="P4078" s="2">
        <v>45993</v>
      </c>
      <c r="Q4078">
        <f>_xlfn.XLOOKUP(E4078,CPT!$A$2:$A$13,CPT!$D$2:$D$13)</f>
        <v>38</v>
      </c>
      <c r="R4078" s="1">
        <f>_xlfn.XLOOKUP(C4078,Contract!$A$2:$A$9,Contract!$B$2:$B$9)</f>
        <v>0.47</v>
      </c>
      <c r="S4078" s="1">
        <f t="shared" si="252"/>
        <v>17.86</v>
      </c>
      <c r="T4078" s="1">
        <f t="shared" si="253"/>
        <v>-0.37999999999999901</v>
      </c>
      <c r="U4078" s="1" t="str">
        <f t="shared" si="254"/>
        <v>OK</v>
      </c>
      <c r="V4078" s="1" t="str">
        <f>_xlfn.XLOOKUP(C4078,Payers!$A$2:$A$9,Payers!$B$2:$B$9)</f>
        <v>Keystone Commercial PPO</v>
      </c>
      <c r="W4078" s="1" t="str">
        <f t="shared" si="255"/>
        <v>2025-10</v>
      </c>
    </row>
    <row r="4079" spans="1:23">
      <c r="A4079" s="1" t="s">
        <v>6521</v>
      </c>
      <c r="B4079" s="1" t="s">
        <v>6522</v>
      </c>
      <c r="C4079" s="1" t="s">
        <v>25</v>
      </c>
      <c r="D4079" s="1" t="s">
        <v>26</v>
      </c>
      <c r="E4079" s="1" t="s">
        <v>57</v>
      </c>
      <c r="F4079">
        <v>1</v>
      </c>
      <c r="G4079" s="2">
        <v>46007</v>
      </c>
      <c r="H4079" s="2">
        <v>46012</v>
      </c>
      <c r="I4079">
        <v>211.3</v>
      </c>
      <c r="J4079">
        <v>70.7</v>
      </c>
      <c r="K4079">
        <v>70.7</v>
      </c>
      <c r="L4079">
        <v>0</v>
      </c>
      <c r="M4079" s="1" t="s">
        <v>21</v>
      </c>
      <c r="N4079" s="1" t="s">
        <v>22</v>
      </c>
      <c r="O4079" s="2">
        <v>46043</v>
      </c>
      <c r="P4079" s="2">
        <v>46043</v>
      </c>
      <c r="Q4079">
        <f>_xlfn.XLOOKUP(E4079,CPT!$A$2:$A$13,CPT!$D$2:$D$13)</f>
        <v>210</v>
      </c>
      <c r="R4079" s="1">
        <f>_xlfn.XLOOKUP(C4079,Contract!$A$2:$A$9,Contract!$B$2:$B$9)</f>
        <v>0.36</v>
      </c>
      <c r="S4079" s="1">
        <f t="shared" si="252"/>
        <v>75.599999999999994</v>
      </c>
      <c r="T4079" s="1">
        <f t="shared" si="253"/>
        <v>4.8999999999999915</v>
      </c>
      <c r="U4079" s="1" t="str">
        <f t="shared" si="254"/>
        <v>Underpaid</v>
      </c>
      <c r="V4079" s="1" t="str">
        <f>_xlfn.XLOOKUP(C4079,Payers!$A$2:$A$9,Payers!$B$2:$B$9)</f>
        <v>Medicare Part B</v>
      </c>
      <c r="W4079" s="1" t="str">
        <f t="shared" si="255"/>
        <v>2025-12</v>
      </c>
    </row>
    <row r="4080" spans="1:23">
      <c r="A4080" s="1" t="s">
        <v>6523</v>
      </c>
      <c r="B4080" s="1" t="s">
        <v>6524</v>
      </c>
      <c r="C4080" s="1" t="s">
        <v>52</v>
      </c>
      <c r="D4080" s="1" t="s">
        <v>26</v>
      </c>
      <c r="E4080" s="1" t="s">
        <v>44</v>
      </c>
      <c r="F4080">
        <v>1</v>
      </c>
      <c r="G4080" s="2">
        <v>46197</v>
      </c>
      <c r="H4080" s="2">
        <v>46202</v>
      </c>
      <c r="I4080">
        <v>4687.12</v>
      </c>
      <c r="J4080">
        <v>2358.31</v>
      </c>
      <c r="K4080">
        <v>1886.65</v>
      </c>
      <c r="L4080">
        <v>471.66</v>
      </c>
      <c r="M4080" s="1" t="s">
        <v>21</v>
      </c>
      <c r="N4080" s="1" t="s">
        <v>22</v>
      </c>
      <c r="O4080" s="2">
        <v>46254</v>
      </c>
      <c r="P4080" s="2">
        <v>46254</v>
      </c>
      <c r="Q4080">
        <f>_xlfn.XLOOKUP(E4080,CPT!$A$2:$A$13,CPT!$D$2:$D$13)</f>
        <v>4800</v>
      </c>
      <c r="R4080" s="1">
        <f>_xlfn.XLOOKUP(C4080,Contract!$A$2:$A$9,Contract!$B$2:$B$9)</f>
        <v>0.47</v>
      </c>
      <c r="S4080" s="1">
        <f t="shared" si="252"/>
        <v>2256</v>
      </c>
      <c r="T4080" s="1">
        <f t="shared" si="253"/>
        <v>-102.30999999999995</v>
      </c>
      <c r="U4080" s="1" t="str">
        <f t="shared" si="254"/>
        <v>OK</v>
      </c>
      <c r="V4080" s="1" t="str">
        <f>_xlfn.XLOOKUP(C4080,Payers!$A$2:$A$9,Payers!$B$2:$B$9)</f>
        <v>Keystone Commercial PPO</v>
      </c>
      <c r="W4080" s="1" t="str">
        <f t="shared" si="255"/>
        <v>2026-06</v>
      </c>
    </row>
    <row r="4081" spans="1:23">
      <c r="A4081" s="1" t="s">
        <v>6525</v>
      </c>
      <c r="B4081" s="1" t="s">
        <v>6526</v>
      </c>
      <c r="C4081" s="1" t="s">
        <v>25</v>
      </c>
      <c r="D4081" s="1" t="s">
        <v>30</v>
      </c>
      <c r="E4081" s="1" t="s">
        <v>31</v>
      </c>
      <c r="F4081">
        <v>1</v>
      </c>
      <c r="G4081" s="2">
        <v>45999</v>
      </c>
      <c r="H4081" s="2">
        <v>46003</v>
      </c>
      <c r="I4081">
        <v>63.19</v>
      </c>
      <c r="M4081" s="1" t="s">
        <v>32</v>
      </c>
      <c r="N4081" s="1" t="s">
        <v>168</v>
      </c>
      <c r="O4081" s="2">
        <v>46024</v>
      </c>
      <c r="P4081" s="2"/>
      <c r="Q4081">
        <f>_xlfn.XLOOKUP(E4081,CPT!$A$2:$A$13,CPT!$D$2:$D$13)</f>
        <v>62</v>
      </c>
      <c r="R4081" s="1">
        <f>_xlfn.XLOOKUP(C4081,Contract!$A$2:$A$9,Contract!$B$2:$B$9)</f>
        <v>0.36</v>
      </c>
      <c r="S4081" s="1">
        <f t="shared" si="252"/>
        <v>22.32</v>
      </c>
      <c r="T4081" s="1" t="str">
        <f t="shared" si="253"/>
        <v/>
      </c>
      <c r="U4081" s="1" t="str">
        <f t="shared" si="254"/>
        <v/>
      </c>
      <c r="V4081" s="1" t="str">
        <f>_xlfn.XLOOKUP(C4081,Payers!$A$2:$A$9,Payers!$B$2:$B$9)</f>
        <v>Medicare Part B</v>
      </c>
      <c r="W4081" s="1" t="str">
        <f t="shared" si="255"/>
        <v>2025-12</v>
      </c>
    </row>
    <row r="4082" spans="1:23">
      <c r="A4082" s="1" t="s">
        <v>6527</v>
      </c>
      <c r="B4082" s="1" t="s">
        <v>859</v>
      </c>
      <c r="C4082" s="1" t="s">
        <v>76</v>
      </c>
      <c r="D4082" s="1" t="s">
        <v>26</v>
      </c>
      <c r="E4082" s="1" t="s">
        <v>41</v>
      </c>
      <c r="F4082">
        <v>1</v>
      </c>
      <c r="G4082" s="2">
        <v>46257</v>
      </c>
      <c r="H4082" s="2">
        <v>46264</v>
      </c>
      <c r="I4082">
        <v>38.299999999999997</v>
      </c>
      <c r="J4082">
        <v>17.149999999999999</v>
      </c>
      <c r="K4082">
        <v>17.149999999999999</v>
      </c>
      <c r="L4082">
        <v>0</v>
      </c>
      <c r="M4082" s="1" t="s">
        <v>21</v>
      </c>
      <c r="N4082" s="1" t="s">
        <v>22</v>
      </c>
      <c r="O4082" s="2">
        <v>46287</v>
      </c>
      <c r="P4082" s="2">
        <v>46287</v>
      </c>
      <c r="Q4082">
        <f>_xlfn.XLOOKUP(E4082,CPT!$A$2:$A$13,CPT!$D$2:$D$13)</f>
        <v>38</v>
      </c>
      <c r="R4082" s="1">
        <f>_xlfn.XLOOKUP(C4082,Contract!$A$2:$A$9,Contract!$B$2:$B$9)</f>
        <v>0.43</v>
      </c>
      <c r="S4082" s="1">
        <f t="shared" si="252"/>
        <v>16.34</v>
      </c>
      <c r="T4082" s="1">
        <f t="shared" si="253"/>
        <v>-0.80999999999999872</v>
      </c>
      <c r="U4082" s="1" t="str">
        <f t="shared" si="254"/>
        <v>OK</v>
      </c>
      <c r="V4082" s="1" t="str">
        <f>_xlfn.XLOOKUP(C4082,Payers!$A$2:$A$9,Payers!$B$2:$B$9)</f>
        <v>Summit Health Commercial</v>
      </c>
      <c r="W4082" s="1" t="str">
        <f t="shared" si="255"/>
        <v>2026-08</v>
      </c>
    </row>
    <row r="4083" spans="1:23">
      <c r="A4083" s="1" t="s">
        <v>6528</v>
      </c>
      <c r="B4083" s="1" t="s">
        <v>1569</v>
      </c>
      <c r="C4083" s="1" t="s">
        <v>79</v>
      </c>
      <c r="D4083" s="1" t="s">
        <v>26</v>
      </c>
      <c r="E4083" s="1" t="s">
        <v>57</v>
      </c>
      <c r="F4083">
        <v>1</v>
      </c>
      <c r="G4083" s="2">
        <v>46172</v>
      </c>
      <c r="H4083" s="2">
        <v>46194</v>
      </c>
      <c r="I4083">
        <v>207.24</v>
      </c>
      <c r="M4083" s="1" t="s">
        <v>69</v>
      </c>
      <c r="N4083" s="1" t="s">
        <v>22</v>
      </c>
      <c r="O4083" s="2"/>
      <c r="P4083" s="2"/>
      <c r="Q4083">
        <f>_xlfn.XLOOKUP(E4083,CPT!$A$2:$A$13,CPT!$D$2:$D$13)</f>
        <v>210</v>
      </c>
      <c r="R4083" s="1">
        <f>_xlfn.XLOOKUP(C4083,Contract!$A$2:$A$9,Contract!$B$2:$B$9)</f>
        <v>1</v>
      </c>
      <c r="S4083" s="1">
        <f t="shared" si="252"/>
        <v>210</v>
      </c>
      <c r="T4083" s="1" t="str">
        <f t="shared" si="253"/>
        <v/>
      </c>
      <c r="U4083" s="1" t="str">
        <f t="shared" si="254"/>
        <v/>
      </c>
      <c r="V4083" s="1" t="str">
        <f>_xlfn.XLOOKUP(C4083,Payers!$A$2:$A$9,Payers!$B$2:$B$9)</f>
        <v>Self-Pay</v>
      </c>
      <c r="W4083" s="1" t="str">
        <f t="shared" si="255"/>
        <v>2026-05</v>
      </c>
    </row>
    <row r="4084" spans="1:23">
      <c r="A4084" s="1" t="s">
        <v>6529</v>
      </c>
      <c r="B4084" s="1" t="s">
        <v>4509</v>
      </c>
      <c r="C4084" s="1" t="s">
        <v>25</v>
      </c>
      <c r="D4084" s="1" t="s">
        <v>37</v>
      </c>
      <c r="E4084" s="1" t="s">
        <v>38</v>
      </c>
      <c r="F4084">
        <v>30</v>
      </c>
      <c r="G4084" s="2">
        <v>46154</v>
      </c>
      <c r="H4084" s="2">
        <v>46159</v>
      </c>
      <c r="I4084">
        <v>44044.92</v>
      </c>
      <c r="J4084">
        <v>17184.849999999999</v>
      </c>
      <c r="K4084">
        <v>15466.37</v>
      </c>
      <c r="L4084">
        <v>1718.48</v>
      </c>
      <c r="M4084" s="1" t="s">
        <v>21</v>
      </c>
      <c r="N4084" s="1" t="s">
        <v>22</v>
      </c>
      <c r="O4084" s="2">
        <v>46177</v>
      </c>
      <c r="P4084" s="2">
        <v>46177</v>
      </c>
      <c r="Q4084">
        <f>_xlfn.XLOOKUP(E4084,CPT!$A$2:$A$13,CPT!$D$2:$D$13)</f>
        <v>1450</v>
      </c>
      <c r="R4084" s="1">
        <f>_xlfn.XLOOKUP(C4084,Contract!$A$2:$A$9,Contract!$B$2:$B$9)</f>
        <v>0.36</v>
      </c>
      <c r="S4084" s="1">
        <f t="shared" si="252"/>
        <v>15660</v>
      </c>
      <c r="T4084" s="1">
        <f t="shared" si="253"/>
        <v>-1524.8499999999985</v>
      </c>
      <c r="U4084" s="1" t="str">
        <f t="shared" si="254"/>
        <v>OK</v>
      </c>
      <c r="V4084" s="1" t="str">
        <f>_xlfn.XLOOKUP(C4084,Payers!$A$2:$A$9,Payers!$B$2:$B$9)</f>
        <v>Medicare Part B</v>
      </c>
      <c r="W4084" s="1" t="str">
        <f t="shared" si="255"/>
        <v>2026-05</v>
      </c>
    </row>
    <row r="4085" spans="1:23">
      <c r="A4085" s="1" t="s">
        <v>6530</v>
      </c>
      <c r="B4085" s="1" t="s">
        <v>3432</v>
      </c>
      <c r="C4085" s="1" t="s">
        <v>25</v>
      </c>
      <c r="D4085" s="1" t="s">
        <v>26</v>
      </c>
      <c r="E4085" s="1" t="s">
        <v>185</v>
      </c>
      <c r="F4085">
        <v>1</v>
      </c>
      <c r="G4085" s="2">
        <v>45969</v>
      </c>
      <c r="H4085" s="2">
        <v>45970</v>
      </c>
      <c r="I4085">
        <v>1146.1099999999999</v>
      </c>
      <c r="J4085">
        <v>394.84</v>
      </c>
      <c r="K4085">
        <v>315.87</v>
      </c>
      <c r="L4085">
        <v>78.97</v>
      </c>
      <c r="M4085" s="1" t="s">
        <v>21</v>
      </c>
      <c r="N4085" s="1" t="s">
        <v>22</v>
      </c>
      <c r="O4085" s="2">
        <v>45984</v>
      </c>
      <c r="P4085" s="2">
        <v>45984</v>
      </c>
      <c r="Q4085">
        <f>_xlfn.XLOOKUP(E4085,CPT!$A$2:$A$13,CPT!$D$2:$D$13)</f>
        <v>1150</v>
      </c>
      <c r="R4085" s="1">
        <f>_xlfn.XLOOKUP(C4085,Contract!$A$2:$A$9,Contract!$B$2:$B$9)</f>
        <v>0.36</v>
      </c>
      <c r="S4085" s="1">
        <f t="shared" si="252"/>
        <v>414</v>
      </c>
      <c r="T4085" s="1">
        <f t="shared" si="253"/>
        <v>19.160000000000025</v>
      </c>
      <c r="U4085" s="1" t="str">
        <f t="shared" si="254"/>
        <v>OK</v>
      </c>
      <c r="V4085" s="1" t="str">
        <f>_xlfn.XLOOKUP(C4085,Payers!$A$2:$A$9,Payers!$B$2:$B$9)</f>
        <v>Medicare Part B</v>
      </c>
      <c r="W4085" s="1" t="str">
        <f t="shared" si="255"/>
        <v>2025-11</v>
      </c>
    </row>
    <row r="4086" spans="1:23">
      <c r="A4086" s="1" t="s">
        <v>6531</v>
      </c>
      <c r="B4086" s="1" t="s">
        <v>6532</v>
      </c>
      <c r="C4086" s="1" t="s">
        <v>76</v>
      </c>
      <c r="D4086" s="1" t="s">
        <v>26</v>
      </c>
      <c r="E4086" s="1" t="s">
        <v>44</v>
      </c>
      <c r="F4086">
        <v>1</v>
      </c>
      <c r="G4086" s="2">
        <v>46064</v>
      </c>
      <c r="H4086" s="2">
        <v>46066</v>
      </c>
      <c r="I4086">
        <v>4906.68</v>
      </c>
      <c r="M4086" s="1" t="s">
        <v>32</v>
      </c>
      <c r="N4086" s="1" t="s">
        <v>33</v>
      </c>
      <c r="O4086" s="2">
        <v>46091</v>
      </c>
      <c r="P4086" s="2"/>
      <c r="Q4086">
        <f>_xlfn.XLOOKUP(E4086,CPT!$A$2:$A$13,CPT!$D$2:$D$13)</f>
        <v>4800</v>
      </c>
      <c r="R4086" s="1">
        <f>_xlfn.XLOOKUP(C4086,Contract!$A$2:$A$9,Contract!$B$2:$B$9)</f>
        <v>0.43</v>
      </c>
      <c r="S4086" s="1">
        <f t="shared" si="252"/>
        <v>2064</v>
      </c>
      <c r="T4086" s="1" t="str">
        <f t="shared" si="253"/>
        <v/>
      </c>
      <c r="U4086" s="1" t="str">
        <f t="shared" si="254"/>
        <v/>
      </c>
      <c r="V4086" s="1" t="str">
        <f>_xlfn.XLOOKUP(C4086,Payers!$A$2:$A$9,Payers!$B$2:$B$9)</f>
        <v>Summit Health Commercial</v>
      </c>
      <c r="W4086" s="1" t="str">
        <f t="shared" si="255"/>
        <v>2026-02</v>
      </c>
    </row>
    <row r="4087" spans="1:23">
      <c r="A4087" s="1" t="s">
        <v>6533</v>
      </c>
      <c r="B4087" s="1" t="s">
        <v>2067</v>
      </c>
      <c r="C4087" s="1" t="s">
        <v>18</v>
      </c>
      <c r="D4087" s="1" t="s">
        <v>26</v>
      </c>
      <c r="E4087" s="1" t="s">
        <v>44</v>
      </c>
      <c r="F4087">
        <v>1</v>
      </c>
      <c r="G4087" s="2">
        <v>46238</v>
      </c>
      <c r="H4087" s="2">
        <v>46241</v>
      </c>
      <c r="I4087">
        <v>4844.58</v>
      </c>
      <c r="M4087" s="1" t="s">
        <v>32</v>
      </c>
      <c r="N4087" s="1" t="s">
        <v>49</v>
      </c>
      <c r="O4087" s="2">
        <v>46285</v>
      </c>
      <c r="P4087" s="2"/>
      <c r="Q4087">
        <f>_xlfn.XLOOKUP(E4087,CPT!$A$2:$A$13,CPT!$D$2:$D$13)</f>
        <v>4800</v>
      </c>
      <c r="R4087" s="1">
        <f>_xlfn.XLOOKUP(C4087,Contract!$A$2:$A$9,Contract!$B$2:$B$9)</f>
        <v>0.38</v>
      </c>
      <c r="S4087" s="1">
        <f t="shared" si="252"/>
        <v>1824</v>
      </c>
      <c r="T4087" s="1" t="str">
        <f t="shared" si="253"/>
        <v/>
      </c>
      <c r="U4087" s="1" t="str">
        <f t="shared" si="254"/>
        <v/>
      </c>
      <c r="V4087" s="1" t="str">
        <f>_xlfn.XLOOKUP(C4087,Payers!$A$2:$A$9,Payers!$B$2:$B$9)</f>
        <v>Sunshine Medicare Advantage</v>
      </c>
      <c r="W4087" s="1" t="str">
        <f t="shared" si="255"/>
        <v>2026-08</v>
      </c>
    </row>
    <row r="4088" spans="1:23">
      <c r="A4088" s="1" t="s">
        <v>6534</v>
      </c>
      <c r="B4088" s="1" t="s">
        <v>115</v>
      </c>
      <c r="C4088" s="1" t="s">
        <v>60</v>
      </c>
      <c r="D4088" s="1" t="s">
        <v>19</v>
      </c>
      <c r="E4088" s="1" t="s">
        <v>88</v>
      </c>
      <c r="F4088">
        <v>1</v>
      </c>
      <c r="G4088" s="2">
        <v>46045</v>
      </c>
      <c r="H4088" s="2">
        <v>46069</v>
      </c>
      <c r="I4088">
        <v>256.83999999999997</v>
      </c>
      <c r="J4088">
        <v>107.78</v>
      </c>
      <c r="K4088">
        <v>97</v>
      </c>
      <c r="L4088">
        <v>10.78</v>
      </c>
      <c r="M4088" s="1" t="s">
        <v>21</v>
      </c>
      <c r="N4088" s="1" t="s">
        <v>22</v>
      </c>
      <c r="O4088" s="2">
        <v>46101</v>
      </c>
      <c r="P4088" s="2">
        <v>46101</v>
      </c>
      <c r="Q4088">
        <f>_xlfn.XLOOKUP(E4088,CPT!$A$2:$A$13,CPT!$D$2:$D$13)</f>
        <v>260</v>
      </c>
      <c r="R4088" s="1">
        <f>_xlfn.XLOOKUP(C4088,Contract!$A$2:$A$9,Contract!$B$2:$B$9)</f>
        <v>0.45</v>
      </c>
      <c r="S4088" s="1">
        <f t="shared" si="252"/>
        <v>117</v>
      </c>
      <c r="T4088" s="1">
        <f t="shared" si="253"/>
        <v>9.2199999999999989</v>
      </c>
      <c r="U4088" s="1" t="str">
        <f t="shared" si="254"/>
        <v>Underpaid</v>
      </c>
      <c r="V4088" s="1" t="str">
        <f>_xlfn.XLOOKUP(C4088,Payers!$A$2:$A$9,Payers!$B$2:$B$9)</f>
        <v>Blue Horizon Commercial</v>
      </c>
      <c r="W4088" s="1" t="str">
        <f t="shared" si="255"/>
        <v>2026-01</v>
      </c>
    </row>
    <row r="4089" spans="1:23">
      <c r="A4089" s="1" t="s">
        <v>6535</v>
      </c>
      <c r="B4089" s="1" t="s">
        <v>1035</v>
      </c>
      <c r="C4089" s="1" t="s">
        <v>25</v>
      </c>
      <c r="D4089" s="1" t="s">
        <v>30</v>
      </c>
      <c r="E4089" s="1" t="s">
        <v>31</v>
      </c>
      <c r="F4089">
        <v>2</v>
      </c>
      <c r="G4089" s="2">
        <v>46014</v>
      </c>
      <c r="H4089" s="2">
        <v>46021</v>
      </c>
      <c r="I4089">
        <v>126.37</v>
      </c>
      <c r="J4089">
        <v>43.25</v>
      </c>
      <c r="K4089">
        <v>43.25</v>
      </c>
      <c r="L4089">
        <v>0</v>
      </c>
      <c r="M4089" s="1" t="s">
        <v>21</v>
      </c>
      <c r="N4089" s="1" t="s">
        <v>22</v>
      </c>
      <c r="O4089" s="2">
        <v>46041</v>
      </c>
      <c r="P4089" s="2">
        <v>46041</v>
      </c>
      <c r="Q4089">
        <f>_xlfn.XLOOKUP(E4089,CPT!$A$2:$A$13,CPT!$D$2:$D$13)</f>
        <v>62</v>
      </c>
      <c r="R4089" s="1">
        <f>_xlfn.XLOOKUP(C4089,Contract!$A$2:$A$9,Contract!$B$2:$B$9)</f>
        <v>0.36</v>
      </c>
      <c r="S4089" s="1">
        <f t="shared" si="252"/>
        <v>44.64</v>
      </c>
      <c r="T4089" s="1">
        <f t="shared" si="253"/>
        <v>1.3900000000000006</v>
      </c>
      <c r="U4089" s="1" t="str">
        <f t="shared" si="254"/>
        <v>OK</v>
      </c>
      <c r="V4089" s="1" t="str">
        <f>_xlfn.XLOOKUP(C4089,Payers!$A$2:$A$9,Payers!$B$2:$B$9)</f>
        <v>Medicare Part B</v>
      </c>
      <c r="W4089" s="1" t="str">
        <f t="shared" si="255"/>
        <v>2025-12</v>
      </c>
    </row>
    <row r="4090" spans="1:23">
      <c r="A4090" s="1" t="s">
        <v>6536</v>
      </c>
      <c r="B4090" s="1" t="s">
        <v>3807</v>
      </c>
      <c r="C4090" s="1" t="s">
        <v>76</v>
      </c>
      <c r="D4090" s="1" t="s">
        <v>19</v>
      </c>
      <c r="E4090" s="1" t="s">
        <v>88</v>
      </c>
      <c r="F4090">
        <v>1</v>
      </c>
      <c r="G4090" s="2">
        <v>46163</v>
      </c>
      <c r="H4090" s="2">
        <v>46165</v>
      </c>
      <c r="I4090">
        <v>257.97000000000003</v>
      </c>
      <c r="J4090">
        <v>101.99</v>
      </c>
      <c r="K4090">
        <v>101.99</v>
      </c>
      <c r="L4090">
        <v>0</v>
      </c>
      <c r="M4090" s="1" t="s">
        <v>21</v>
      </c>
      <c r="N4090" s="1" t="s">
        <v>22</v>
      </c>
      <c r="O4090" s="2">
        <v>46197</v>
      </c>
      <c r="P4090" s="2">
        <v>46197</v>
      </c>
      <c r="Q4090">
        <f>_xlfn.XLOOKUP(E4090,CPT!$A$2:$A$13,CPT!$D$2:$D$13)</f>
        <v>260</v>
      </c>
      <c r="R4090" s="1">
        <f>_xlfn.XLOOKUP(C4090,Contract!$A$2:$A$9,Contract!$B$2:$B$9)</f>
        <v>0.43</v>
      </c>
      <c r="S4090" s="1">
        <f t="shared" si="252"/>
        <v>111.8</v>
      </c>
      <c r="T4090" s="1">
        <f t="shared" si="253"/>
        <v>9.8100000000000023</v>
      </c>
      <c r="U4090" s="1" t="str">
        <f t="shared" si="254"/>
        <v>Underpaid</v>
      </c>
      <c r="V4090" s="1" t="str">
        <f>_xlfn.XLOOKUP(C4090,Payers!$A$2:$A$9,Payers!$B$2:$B$9)</f>
        <v>Summit Health Commercial</v>
      </c>
      <c r="W4090" s="1" t="str">
        <f t="shared" si="255"/>
        <v>2026-05</v>
      </c>
    </row>
    <row r="4091" spans="1:23">
      <c r="A4091" s="1" t="s">
        <v>6537</v>
      </c>
      <c r="B4091" s="1" t="s">
        <v>2351</v>
      </c>
      <c r="C4091" s="1" t="s">
        <v>76</v>
      </c>
      <c r="D4091" s="1" t="s">
        <v>19</v>
      </c>
      <c r="E4091" s="1" t="s">
        <v>88</v>
      </c>
      <c r="F4091">
        <v>1</v>
      </c>
      <c r="G4091" s="2">
        <v>46135</v>
      </c>
      <c r="H4091" s="2">
        <v>46139</v>
      </c>
      <c r="I4091">
        <v>262.44</v>
      </c>
      <c r="J4091">
        <v>118.68</v>
      </c>
      <c r="K4091">
        <v>106.81</v>
      </c>
      <c r="L4091">
        <v>11.87</v>
      </c>
      <c r="M4091" s="1" t="s">
        <v>21</v>
      </c>
      <c r="N4091" s="1" t="s">
        <v>22</v>
      </c>
      <c r="O4091" s="2">
        <v>46179</v>
      </c>
      <c r="P4091" s="2">
        <v>46179</v>
      </c>
      <c r="Q4091">
        <f>_xlfn.XLOOKUP(E4091,CPT!$A$2:$A$13,CPT!$D$2:$D$13)</f>
        <v>260</v>
      </c>
      <c r="R4091" s="1">
        <f>_xlfn.XLOOKUP(C4091,Contract!$A$2:$A$9,Contract!$B$2:$B$9)</f>
        <v>0.43</v>
      </c>
      <c r="S4091" s="1">
        <f t="shared" si="252"/>
        <v>111.8</v>
      </c>
      <c r="T4091" s="1">
        <f t="shared" si="253"/>
        <v>-6.8800000000000097</v>
      </c>
      <c r="U4091" s="1" t="str">
        <f t="shared" si="254"/>
        <v>OK</v>
      </c>
      <c r="V4091" s="1" t="str">
        <f>_xlfn.XLOOKUP(C4091,Payers!$A$2:$A$9,Payers!$B$2:$B$9)</f>
        <v>Summit Health Commercial</v>
      </c>
      <c r="W4091" s="1" t="str">
        <f t="shared" si="255"/>
        <v>2026-04</v>
      </c>
    </row>
    <row r="4092" spans="1:23">
      <c r="A4092" s="1" t="s">
        <v>6538</v>
      </c>
      <c r="B4092" s="1" t="s">
        <v>6539</v>
      </c>
      <c r="C4092" s="1" t="s">
        <v>47</v>
      </c>
      <c r="D4092" s="1" t="s">
        <v>26</v>
      </c>
      <c r="E4092" s="1" t="s">
        <v>185</v>
      </c>
      <c r="F4092">
        <v>1</v>
      </c>
      <c r="G4092" s="2">
        <v>46184</v>
      </c>
      <c r="H4092" s="2">
        <v>46186</v>
      </c>
      <c r="I4092">
        <v>1175.23</v>
      </c>
      <c r="J4092">
        <v>348.12</v>
      </c>
      <c r="K4092">
        <v>348.12</v>
      </c>
      <c r="L4092">
        <v>0</v>
      </c>
      <c r="M4092" s="1" t="s">
        <v>21</v>
      </c>
      <c r="N4092" s="1" t="s">
        <v>22</v>
      </c>
      <c r="O4092" s="2">
        <v>46208</v>
      </c>
      <c r="P4092" s="2">
        <v>46208</v>
      </c>
      <c r="Q4092">
        <f>_xlfn.XLOOKUP(E4092,CPT!$A$2:$A$13,CPT!$D$2:$D$13)</f>
        <v>1150</v>
      </c>
      <c r="R4092" s="1">
        <f>_xlfn.XLOOKUP(C4092,Contract!$A$2:$A$9,Contract!$B$2:$B$9)</f>
        <v>0.28000000000000003</v>
      </c>
      <c r="S4092" s="1">
        <f t="shared" si="252"/>
        <v>322</v>
      </c>
      <c r="T4092" s="1">
        <f t="shared" si="253"/>
        <v>-26.120000000000005</v>
      </c>
      <c r="U4092" s="1" t="str">
        <f t="shared" si="254"/>
        <v>OK</v>
      </c>
      <c r="V4092" s="1" t="str">
        <f>_xlfn.XLOOKUP(C4092,Payers!$A$2:$A$9,Payers!$B$2:$B$9)</f>
        <v>Coastal Medicaid MCO</v>
      </c>
      <c r="W4092" s="1" t="str">
        <f t="shared" si="255"/>
        <v>2026-06</v>
      </c>
    </row>
    <row r="4093" spans="1:23">
      <c r="A4093" s="1" t="s">
        <v>6540</v>
      </c>
      <c r="B4093" s="1" t="s">
        <v>3837</v>
      </c>
      <c r="C4093" s="1" t="s">
        <v>25</v>
      </c>
      <c r="D4093" s="1" t="s">
        <v>30</v>
      </c>
      <c r="E4093" s="1" t="s">
        <v>20</v>
      </c>
      <c r="F4093">
        <v>1</v>
      </c>
      <c r="G4093" s="2">
        <v>46128</v>
      </c>
      <c r="H4093" s="2">
        <v>46137</v>
      </c>
      <c r="I4093">
        <v>147.37</v>
      </c>
      <c r="J4093">
        <v>49.3</v>
      </c>
      <c r="K4093">
        <v>49.3</v>
      </c>
      <c r="L4093">
        <v>0</v>
      </c>
      <c r="M4093" s="1" t="s">
        <v>21</v>
      </c>
      <c r="N4093" s="1" t="s">
        <v>22</v>
      </c>
      <c r="O4093" s="2">
        <v>46145</v>
      </c>
      <c r="P4093" s="2">
        <v>46145</v>
      </c>
      <c r="Q4093">
        <f>_xlfn.XLOOKUP(E4093,CPT!$A$2:$A$13,CPT!$D$2:$D$13)</f>
        <v>145</v>
      </c>
      <c r="R4093" s="1">
        <f>_xlfn.XLOOKUP(C4093,Contract!$A$2:$A$9,Contract!$B$2:$B$9)</f>
        <v>0.36</v>
      </c>
      <c r="S4093" s="1">
        <f t="shared" si="252"/>
        <v>52.2</v>
      </c>
      <c r="T4093" s="1">
        <f t="shared" si="253"/>
        <v>2.9000000000000057</v>
      </c>
      <c r="U4093" s="1" t="str">
        <f t="shared" si="254"/>
        <v>Underpaid</v>
      </c>
      <c r="V4093" s="1" t="str">
        <f>_xlfn.XLOOKUP(C4093,Payers!$A$2:$A$9,Payers!$B$2:$B$9)</f>
        <v>Medicare Part B</v>
      </c>
      <c r="W4093" s="1" t="str">
        <f t="shared" si="255"/>
        <v>2026-04</v>
      </c>
    </row>
    <row r="4094" spans="1:23">
      <c r="A4094" s="1" t="s">
        <v>6541</v>
      </c>
      <c r="B4094" s="1" t="s">
        <v>172</v>
      </c>
      <c r="C4094" s="1" t="s">
        <v>47</v>
      </c>
      <c r="D4094" s="1" t="s">
        <v>19</v>
      </c>
      <c r="E4094" s="1" t="s">
        <v>57</v>
      </c>
      <c r="F4094">
        <v>1</v>
      </c>
      <c r="G4094" s="2">
        <v>46196</v>
      </c>
      <c r="H4094" s="2">
        <v>46204</v>
      </c>
      <c r="I4094">
        <v>209.38</v>
      </c>
      <c r="J4094">
        <v>61.86</v>
      </c>
      <c r="K4094">
        <v>55.67</v>
      </c>
      <c r="L4094">
        <v>6.19</v>
      </c>
      <c r="M4094" s="1" t="s">
        <v>21</v>
      </c>
      <c r="N4094" s="1" t="s">
        <v>22</v>
      </c>
      <c r="O4094" s="2">
        <v>46267</v>
      </c>
      <c r="P4094" s="2">
        <v>46267</v>
      </c>
      <c r="Q4094">
        <f>_xlfn.XLOOKUP(E4094,CPT!$A$2:$A$13,CPT!$D$2:$D$13)</f>
        <v>210</v>
      </c>
      <c r="R4094" s="1">
        <f>_xlfn.XLOOKUP(C4094,Contract!$A$2:$A$9,Contract!$B$2:$B$9)</f>
        <v>0.28000000000000003</v>
      </c>
      <c r="S4094" s="1">
        <f t="shared" si="252"/>
        <v>58.8</v>
      </c>
      <c r="T4094" s="1">
        <f t="shared" si="253"/>
        <v>-3.0600000000000023</v>
      </c>
      <c r="U4094" s="1" t="str">
        <f t="shared" si="254"/>
        <v>OK</v>
      </c>
      <c r="V4094" s="1" t="str">
        <f>_xlfn.XLOOKUP(C4094,Payers!$A$2:$A$9,Payers!$B$2:$B$9)</f>
        <v>Coastal Medicaid MCO</v>
      </c>
      <c r="W4094" s="1" t="str">
        <f t="shared" si="255"/>
        <v>2026-06</v>
      </c>
    </row>
    <row r="4095" spans="1:23">
      <c r="A4095" s="1" t="s">
        <v>6542</v>
      </c>
      <c r="B4095" s="1" t="s">
        <v>3407</v>
      </c>
      <c r="C4095" s="1" t="s">
        <v>25</v>
      </c>
      <c r="D4095" s="1" t="s">
        <v>26</v>
      </c>
      <c r="E4095" s="1" t="s">
        <v>44</v>
      </c>
      <c r="F4095">
        <v>1</v>
      </c>
      <c r="G4095" s="2">
        <v>46283</v>
      </c>
      <c r="H4095" s="2">
        <v>46293</v>
      </c>
      <c r="I4095">
        <v>4846.7299999999996</v>
      </c>
      <c r="M4095" s="1" t="s">
        <v>69</v>
      </c>
      <c r="N4095" s="1" t="s">
        <v>22</v>
      </c>
      <c r="O4095" s="2"/>
      <c r="P4095" s="2"/>
      <c r="Q4095">
        <f>_xlfn.XLOOKUP(E4095,CPT!$A$2:$A$13,CPT!$D$2:$D$13)</f>
        <v>4800</v>
      </c>
      <c r="R4095" s="1">
        <f>_xlfn.XLOOKUP(C4095,Contract!$A$2:$A$9,Contract!$B$2:$B$9)</f>
        <v>0.36</v>
      </c>
      <c r="S4095" s="1">
        <f t="shared" si="252"/>
        <v>1728</v>
      </c>
      <c r="T4095" s="1" t="str">
        <f t="shared" si="253"/>
        <v/>
      </c>
      <c r="U4095" s="1" t="str">
        <f t="shared" si="254"/>
        <v/>
      </c>
      <c r="V4095" s="1" t="str">
        <f>_xlfn.XLOOKUP(C4095,Payers!$A$2:$A$9,Payers!$B$2:$B$9)</f>
        <v>Medicare Part B</v>
      </c>
      <c r="W4095" s="1" t="str">
        <f t="shared" si="255"/>
        <v>2026-09</v>
      </c>
    </row>
    <row r="4096" spans="1:23">
      <c r="A4096" s="1" t="s">
        <v>6543</v>
      </c>
      <c r="B4096" s="1" t="s">
        <v>2709</v>
      </c>
      <c r="C4096" s="1" t="s">
        <v>36</v>
      </c>
      <c r="D4096" s="1" t="s">
        <v>30</v>
      </c>
      <c r="E4096" s="1" t="s">
        <v>31</v>
      </c>
      <c r="F4096">
        <v>1</v>
      </c>
      <c r="G4096" s="2">
        <v>45962</v>
      </c>
      <c r="H4096" s="2">
        <v>45984</v>
      </c>
      <c r="I4096">
        <v>62.43</v>
      </c>
      <c r="J4096">
        <v>18.239999999999998</v>
      </c>
      <c r="K4096">
        <v>14.59</v>
      </c>
      <c r="L4096">
        <v>3.65</v>
      </c>
      <c r="M4096" s="1" t="s">
        <v>21</v>
      </c>
      <c r="N4096" s="1" t="s">
        <v>22</v>
      </c>
      <c r="O4096" s="2">
        <v>46019</v>
      </c>
      <c r="P4096" s="2">
        <v>46019</v>
      </c>
      <c r="Q4096">
        <f>_xlfn.XLOOKUP(E4096,CPT!$A$2:$A$13,CPT!$D$2:$D$13)</f>
        <v>62</v>
      </c>
      <c r="R4096" s="1">
        <f>_xlfn.XLOOKUP(C4096,Contract!$A$2:$A$9,Contract!$B$2:$B$9)</f>
        <v>0.27</v>
      </c>
      <c r="S4096" s="1">
        <f t="shared" si="252"/>
        <v>16.739999999999998</v>
      </c>
      <c r="T4096" s="1">
        <f t="shared" si="253"/>
        <v>-1.5</v>
      </c>
      <c r="U4096" s="1" t="str">
        <f t="shared" si="254"/>
        <v>OK</v>
      </c>
      <c r="V4096" s="1" t="str">
        <f>_xlfn.XLOOKUP(C4096,Payers!$A$2:$A$9,Payers!$B$2:$B$9)</f>
        <v>Florida Medicaid</v>
      </c>
      <c r="W4096" s="1" t="str">
        <f t="shared" si="255"/>
        <v>2025-11</v>
      </c>
    </row>
    <row r="4097" spans="1:23">
      <c r="A4097" s="1" t="s">
        <v>6544</v>
      </c>
      <c r="B4097" s="1" t="s">
        <v>4745</v>
      </c>
      <c r="C4097" s="1" t="s">
        <v>25</v>
      </c>
      <c r="D4097" s="1" t="s">
        <v>37</v>
      </c>
      <c r="E4097" s="1" t="s">
        <v>57</v>
      </c>
      <c r="F4097">
        <v>1</v>
      </c>
      <c r="G4097" s="2">
        <v>46216</v>
      </c>
      <c r="H4097" s="2">
        <v>46217</v>
      </c>
      <c r="I4097">
        <v>211.72</v>
      </c>
      <c r="J4097">
        <v>73.86</v>
      </c>
      <c r="K4097">
        <v>66.47</v>
      </c>
      <c r="L4097">
        <v>7.39</v>
      </c>
      <c r="M4097" s="1" t="s">
        <v>21</v>
      </c>
      <c r="N4097" s="1" t="s">
        <v>22</v>
      </c>
      <c r="O4097" s="2">
        <v>46240</v>
      </c>
      <c r="P4097" s="2">
        <v>46240</v>
      </c>
      <c r="Q4097">
        <f>_xlfn.XLOOKUP(E4097,CPT!$A$2:$A$13,CPT!$D$2:$D$13)</f>
        <v>210</v>
      </c>
      <c r="R4097" s="1">
        <f>_xlfn.XLOOKUP(C4097,Contract!$A$2:$A$9,Contract!$B$2:$B$9)</f>
        <v>0.36</v>
      </c>
      <c r="S4097" s="1">
        <f t="shared" si="252"/>
        <v>75.599999999999994</v>
      </c>
      <c r="T4097" s="1">
        <f t="shared" si="253"/>
        <v>1.7399999999999949</v>
      </c>
      <c r="U4097" s="1" t="str">
        <f t="shared" si="254"/>
        <v>OK</v>
      </c>
      <c r="V4097" s="1" t="str">
        <f>_xlfn.XLOOKUP(C4097,Payers!$A$2:$A$9,Payers!$B$2:$B$9)</f>
        <v>Medicare Part B</v>
      </c>
      <c r="W4097" s="1" t="str">
        <f t="shared" si="255"/>
        <v>2026-07</v>
      </c>
    </row>
    <row r="4098" spans="1:23">
      <c r="A4098" s="1" t="s">
        <v>6545</v>
      </c>
      <c r="B4098" s="1" t="s">
        <v>6546</v>
      </c>
      <c r="C4098" s="1" t="s">
        <v>76</v>
      </c>
      <c r="D4098" s="1" t="s">
        <v>26</v>
      </c>
      <c r="E4098" s="1" t="s">
        <v>57</v>
      </c>
      <c r="F4098">
        <v>1</v>
      </c>
      <c r="G4098" s="2">
        <v>46169</v>
      </c>
      <c r="H4098" s="2">
        <v>46171</v>
      </c>
      <c r="I4098">
        <v>205.01</v>
      </c>
      <c r="J4098">
        <v>79.290000000000006</v>
      </c>
      <c r="K4098">
        <v>71.36</v>
      </c>
      <c r="L4098">
        <v>7.93</v>
      </c>
      <c r="M4098" s="1" t="s">
        <v>21</v>
      </c>
      <c r="N4098" s="1" t="s">
        <v>22</v>
      </c>
      <c r="O4098" s="2">
        <v>46205</v>
      </c>
      <c r="P4098" s="2">
        <v>46205</v>
      </c>
      <c r="Q4098">
        <f>_xlfn.XLOOKUP(E4098,CPT!$A$2:$A$13,CPT!$D$2:$D$13)</f>
        <v>210</v>
      </c>
      <c r="R4098" s="1">
        <f>_xlfn.XLOOKUP(C4098,Contract!$A$2:$A$9,Contract!$B$2:$B$9)</f>
        <v>0.43</v>
      </c>
      <c r="S4098" s="1">
        <f t="shared" ref="S4098:S4161" si="256">ROUND(Q4098*F4098*R4098,2)</f>
        <v>90.3</v>
      </c>
      <c r="T4098" s="1">
        <f t="shared" ref="T4098:T4161" si="257">IF(M4098="Paid",S4098-J4098,"")</f>
        <v>11.009999999999991</v>
      </c>
      <c r="U4098" s="1" t="str">
        <f t="shared" ref="U4098:U4161" si="258">IF(M4098&lt;&gt;"Paid","",IF(T4098&gt;S4098*0.05,"Underpaid","OK"))</f>
        <v>Underpaid</v>
      </c>
      <c r="V4098" s="1" t="str">
        <f>_xlfn.XLOOKUP(C4098,Payers!$A$2:$A$9,Payers!$B$2:$B$9)</f>
        <v>Summit Health Commercial</v>
      </c>
      <c r="W4098" s="1" t="str">
        <f t="shared" ref="W4098:W4161" si="259">TEXT(G4098,"yyyy-mm")</f>
        <v>2026-05</v>
      </c>
    </row>
    <row r="4099" spans="1:23">
      <c r="A4099" s="1" t="s">
        <v>6547</v>
      </c>
      <c r="B4099" s="1" t="s">
        <v>1299</v>
      </c>
      <c r="C4099" s="1" t="s">
        <v>60</v>
      </c>
      <c r="D4099" s="1" t="s">
        <v>26</v>
      </c>
      <c r="E4099" s="1" t="s">
        <v>113</v>
      </c>
      <c r="F4099">
        <v>1</v>
      </c>
      <c r="G4099" s="2">
        <v>46181</v>
      </c>
      <c r="H4099" s="2">
        <v>46192</v>
      </c>
      <c r="I4099">
        <v>1031.83</v>
      </c>
      <c r="J4099">
        <v>425.98</v>
      </c>
      <c r="K4099">
        <v>340.78</v>
      </c>
      <c r="L4099">
        <v>85.2</v>
      </c>
      <c r="M4099" s="1" t="s">
        <v>21</v>
      </c>
      <c r="N4099" s="1" t="s">
        <v>22</v>
      </c>
      <c r="O4099" s="2">
        <v>46209</v>
      </c>
      <c r="P4099" s="2">
        <v>46209</v>
      </c>
      <c r="Q4099">
        <f>_xlfn.XLOOKUP(E4099,CPT!$A$2:$A$13,CPT!$D$2:$D$13)</f>
        <v>1050</v>
      </c>
      <c r="R4099" s="1">
        <f>_xlfn.XLOOKUP(C4099,Contract!$A$2:$A$9,Contract!$B$2:$B$9)</f>
        <v>0.45</v>
      </c>
      <c r="S4099" s="1">
        <f t="shared" si="256"/>
        <v>472.5</v>
      </c>
      <c r="T4099" s="1">
        <f t="shared" si="257"/>
        <v>46.519999999999982</v>
      </c>
      <c r="U4099" s="1" t="str">
        <f t="shared" si="258"/>
        <v>Underpaid</v>
      </c>
      <c r="V4099" s="1" t="str">
        <f>_xlfn.XLOOKUP(C4099,Payers!$A$2:$A$9,Payers!$B$2:$B$9)</f>
        <v>Blue Horizon Commercial</v>
      </c>
      <c r="W4099" s="1" t="str">
        <f t="shared" si="259"/>
        <v>2026-06</v>
      </c>
    </row>
    <row r="4100" spans="1:23">
      <c r="A4100" s="1" t="s">
        <v>6548</v>
      </c>
      <c r="B4100" s="1" t="s">
        <v>4850</v>
      </c>
      <c r="C4100" s="1" t="s">
        <v>18</v>
      </c>
      <c r="D4100" s="1" t="s">
        <v>26</v>
      </c>
      <c r="E4100" s="1" t="s">
        <v>88</v>
      </c>
      <c r="F4100">
        <v>1</v>
      </c>
      <c r="G4100" s="2">
        <v>46041</v>
      </c>
      <c r="H4100" s="2">
        <v>46045</v>
      </c>
      <c r="I4100">
        <v>266.33</v>
      </c>
      <c r="J4100">
        <v>98.63</v>
      </c>
      <c r="K4100">
        <v>98.63</v>
      </c>
      <c r="L4100">
        <v>0</v>
      </c>
      <c r="M4100" s="1" t="s">
        <v>21</v>
      </c>
      <c r="N4100" s="1" t="s">
        <v>22</v>
      </c>
      <c r="O4100" s="2">
        <v>46073</v>
      </c>
      <c r="P4100" s="2">
        <v>46073</v>
      </c>
      <c r="Q4100">
        <f>_xlfn.XLOOKUP(E4100,CPT!$A$2:$A$13,CPT!$D$2:$D$13)</f>
        <v>260</v>
      </c>
      <c r="R4100" s="1">
        <f>_xlfn.XLOOKUP(C4100,Contract!$A$2:$A$9,Contract!$B$2:$B$9)</f>
        <v>0.38</v>
      </c>
      <c r="S4100" s="1">
        <f t="shared" si="256"/>
        <v>98.8</v>
      </c>
      <c r="T4100" s="1">
        <f t="shared" si="257"/>
        <v>0.17000000000000171</v>
      </c>
      <c r="U4100" s="1" t="str">
        <f t="shared" si="258"/>
        <v>OK</v>
      </c>
      <c r="V4100" s="1" t="str">
        <f>_xlfn.XLOOKUP(C4100,Payers!$A$2:$A$9,Payers!$B$2:$B$9)</f>
        <v>Sunshine Medicare Advantage</v>
      </c>
      <c r="W4100" s="1" t="str">
        <f t="shared" si="259"/>
        <v>2026-01</v>
      </c>
    </row>
    <row r="4101" spans="1:23">
      <c r="A4101" s="1" t="s">
        <v>6549</v>
      </c>
      <c r="B4101" s="1" t="s">
        <v>1550</v>
      </c>
      <c r="C4101" s="1" t="s">
        <v>18</v>
      </c>
      <c r="D4101" s="1" t="s">
        <v>26</v>
      </c>
      <c r="E4101" s="1" t="s">
        <v>41</v>
      </c>
      <c r="F4101">
        <v>1</v>
      </c>
      <c r="G4101" s="2">
        <v>46134</v>
      </c>
      <c r="H4101" s="2">
        <v>46138</v>
      </c>
      <c r="I4101">
        <v>38.270000000000003</v>
      </c>
      <c r="J4101">
        <v>15.29</v>
      </c>
      <c r="K4101">
        <v>12.23</v>
      </c>
      <c r="L4101">
        <v>3.06</v>
      </c>
      <c r="M4101" s="1" t="s">
        <v>21</v>
      </c>
      <c r="N4101" s="1" t="s">
        <v>22</v>
      </c>
      <c r="O4101" s="2">
        <v>46203</v>
      </c>
      <c r="P4101" s="2">
        <v>46203</v>
      </c>
      <c r="Q4101">
        <f>_xlfn.XLOOKUP(E4101,CPT!$A$2:$A$13,CPT!$D$2:$D$13)</f>
        <v>38</v>
      </c>
      <c r="R4101" s="1">
        <f>_xlfn.XLOOKUP(C4101,Contract!$A$2:$A$9,Contract!$B$2:$B$9)</f>
        <v>0.38</v>
      </c>
      <c r="S4101" s="1">
        <f t="shared" si="256"/>
        <v>14.44</v>
      </c>
      <c r="T4101" s="1">
        <f t="shared" si="257"/>
        <v>-0.84999999999999964</v>
      </c>
      <c r="U4101" s="1" t="str">
        <f t="shared" si="258"/>
        <v>OK</v>
      </c>
      <c r="V4101" s="1" t="str">
        <f>_xlfn.XLOOKUP(C4101,Payers!$A$2:$A$9,Payers!$B$2:$B$9)</f>
        <v>Sunshine Medicare Advantage</v>
      </c>
      <c r="W4101" s="1" t="str">
        <f t="shared" si="259"/>
        <v>2026-04</v>
      </c>
    </row>
    <row r="4102" spans="1:23">
      <c r="A4102" s="1" t="s">
        <v>6550</v>
      </c>
      <c r="B4102" s="1" t="s">
        <v>6551</v>
      </c>
      <c r="C4102" s="1" t="s">
        <v>60</v>
      </c>
      <c r="D4102" s="1" t="s">
        <v>30</v>
      </c>
      <c r="E4102" s="1" t="s">
        <v>91</v>
      </c>
      <c r="F4102">
        <v>3</v>
      </c>
      <c r="G4102" s="2">
        <v>45969</v>
      </c>
      <c r="H4102" s="2">
        <v>45971</v>
      </c>
      <c r="I4102">
        <v>170.23</v>
      </c>
      <c r="J4102">
        <v>69.010000000000005</v>
      </c>
      <c r="K4102">
        <v>55.21</v>
      </c>
      <c r="L4102">
        <v>13.8</v>
      </c>
      <c r="M4102" s="1" t="s">
        <v>21</v>
      </c>
      <c r="N4102" s="1" t="s">
        <v>22</v>
      </c>
      <c r="O4102" s="2">
        <v>45998</v>
      </c>
      <c r="P4102" s="2">
        <v>45998</v>
      </c>
      <c r="Q4102">
        <f>_xlfn.XLOOKUP(E4102,CPT!$A$2:$A$13,CPT!$D$2:$D$13)</f>
        <v>58</v>
      </c>
      <c r="R4102" s="1">
        <f>_xlfn.XLOOKUP(C4102,Contract!$A$2:$A$9,Contract!$B$2:$B$9)</f>
        <v>0.45</v>
      </c>
      <c r="S4102" s="1">
        <f t="shared" si="256"/>
        <v>78.3</v>
      </c>
      <c r="T4102" s="1">
        <f t="shared" si="257"/>
        <v>9.289999999999992</v>
      </c>
      <c r="U4102" s="1" t="str">
        <f t="shared" si="258"/>
        <v>Underpaid</v>
      </c>
      <c r="V4102" s="1" t="str">
        <f>_xlfn.XLOOKUP(C4102,Payers!$A$2:$A$9,Payers!$B$2:$B$9)</f>
        <v>Blue Horizon Commercial</v>
      </c>
      <c r="W4102" s="1" t="str">
        <f t="shared" si="259"/>
        <v>2025-11</v>
      </c>
    </row>
    <row r="4103" spans="1:23">
      <c r="A4103" s="1" t="s">
        <v>6552</v>
      </c>
      <c r="B4103" s="1" t="s">
        <v>1982</v>
      </c>
      <c r="C4103" s="1" t="s">
        <v>52</v>
      </c>
      <c r="D4103" s="1" t="s">
        <v>26</v>
      </c>
      <c r="E4103" s="1" t="s">
        <v>41</v>
      </c>
      <c r="F4103">
        <v>1</v>
      </c>
      <c r="G4103" s="2">
        <v>46131</v>
      </c>
      <c r="H4103" s="2">
        <v>46132</v>
      </c>
      <c r="I4103">
        <v>38.78</v>
      </c>
      <c r="J4103">
        <v>19.27</v>
      </c>
      <c r="K4103">
        <v>17.34</v>
      </c>
      <c r="L4103">
        <v>1.93</v>
      </c>
      <c r="M4103" s="1" t="s">
        <v>21</v>
      </c>
      <c r="N4103" s="1" t="s">
        <v>22</v>
      </c>
      <c r="O4103" s="2">
        <v>46190</v>
      </c>
      <c r="P4103" s="2">
        <v>46190</v>
      </c>
      <c r="Q4103">
        <f>_xlfn.XLOOKUP(E4103,CPT!$A$2:$A$13,CPT!$D$2:$D$13)</f>
        <v>38</v>
      </c>
      <c r="R4103" s="1">
        <f>_xlfn.XLOOKUP(C4103,Contract!$A$2:$A$9,Contract!$B$2:$B$9)</f>
        <v>0.47</v>
      </c>
      <c r="S4103" s="1">
        <f t="shared" si="256"/>
        <v>17.86</v>
      </c>
      <c r="T4103" s="1">
        <f t="shared" si="257"/>
        <v>-1.4100000000000001</v>
      </c>
      <c r="U4103" s="1" t="str">
        <f t="shared" si="258"/>
        <v>OK</v>
      </c>
      <c r="V4103" s="1" t="str">
        <f>_xlfn.XLOOKUP(C4103,Payers!$A$2:$A$9,Payers!$B$2:$B$9)</f>
        <v>Keystone Commercial PPO</v>
      </c>
      <c r="W4103" s="1" t="str">
        <f t="shared" si="259"/>
        <v>2026-04</v>
      </c>
    </row>
    <row r="4104" spans="1:23">
      <c r="A4104" s="1" t="s">
        <v>6553</v>
      </c>
      <c r="B4104" s="1" t="s">
        <v>5316</v>
      </c>
      <c r="C4104" s="1" t="s">
        <v>52</v>
      </c>
      <c r="D4104" s="1" t="s">
        <v>19</v>
      </c>
      <c r="E4104" s="1" t="s">
        <v>88</v>
      </c>
      <c r="F4104">
        <v>1</v>
      </c>
      <c r="G4104" s="2">
        <v>46120</v>
      </c>
      <c r="H4104" s="2">
        <v>46121</v>
      </c>
      <c r="I4104">
        <v>262.99</v>
      </c>
      <c r="J4104">
        <v>110.78</v>
      </c>
      <c r="K4104">
        <v>110.78</v>
      </c>
      <c r="L4104">
        <v>0</v>
      </c>
      <c r="M4104" s="1" t="s">
        <v>21</v>
      </c>
      <c r="N4104" s="1" t="s">
        <v>22</v>
      </c>
      <c r="O4104" s="2">
        <v>46127</v>
      </c>
      <c r="P4104" s="2">
        <v>46127</v>
      </c>
      <c r="Q4104">
        <f>_xlfn.XLOOKUP(E4104,CPT!$A$2:$A$13,CPT!$D$2:$D$13)</f>
        <v>260</v>
      </c>
      <c r="R4104" s="1">
        <f>_xlfn.XLOOKUP(C4104,Contract!$A$2:$A$9,Contract!$B$2:$B$9)</f>
        <v>0.47</v>
      </c>
      <c r="S4104" s="1">
        <f t="shared" si="256"/>
        <v>122.2</v>
      </c>
      <c r="T4104" s="1">
        <f t="shared" si="257"/>
        <v>11.420000000000002</v>
      </c>
      <c r="U4104" s="1" t="str">
        <f t="shared" si="258"/>
        <v>Underpaid</v>
      </c>
      <c r="V4104" s="1" t="str">
        <f>_xlfn.XLOOKUP(C4104,Payers!$A$2:$A$9,Payers!$B$2:$B$9)</f>
        <v>Keystone Commercial PPO</v>
      </c>
      <c r="W4104" s="1" t="str">
        <f t="shared" si="259"/>
        <v>2026-04</v>
      </c>
    </row>
    <row r="4105" spans="1:23">
      <c r="A4105" s="1" t="s">
        <v>6554</v>
      </c>
      <c r="B4105" s="1" t="s">
        <v>3016</v>
      </c>
      <c r="C4105" s="1" t="s">
        <v>18</v>
      </c>
      <c r="D4105" s="1" t="s">
        <v>19</v>
      </c>
      <c r="E4105" s="1" t="s">
        <v>88</v>
      </c>
      <c r="F4105">
        <v>1</v>
      </c>
      <c r="G4105" s="2">
        <v>46045</v>
      </c>
      <c r="H4105" s="2">
        <v>46047</v>
      </c>
      <c r="I4105">
        <v>264.33</v>
      </c>
      <c r="J4105">
        <v>89.42</v>
      </c>
      <c r="K4105">
        <v>80.48</v>
      </c>
      <c r="L4105">
        <v>8.94</v>
      </c>
      <c r="M4105" s="1" t="s">
        <v>21</v>
      </c>
      <c r="N4105" s="1" t="s">
        <v>22</v>
      </c>
      <c r="O4105" s="2">
        <v>46098</v>
      </c>
      <c r="P4105" s="2">
        <v>46098</v>
      </c>
      <c r="Q4105">
        <f>_xlfn.XLOOKUP(E4105,CPT!$A$2:$A$13,CPT!$D$2:$D$13)</f>
        <v>260</v>
      </c>
      <c r="R4105" s="1">
        <f>_xlfn.XLOOKUP(C4105,Contract!$A$2:$A$9,Contract!$B$2:$B$9)</f>
        <v>0.38</v>
      </c>
      <c r="S4105" s="1">
        <f t="shared" si="256"/>
        <v>98.8</v>
      </c>
      <c r="T4105" s="1">
        <f t="shared" si="257"/>
        <v>9.3799999999999955</v>
      </c>
      <c r="U4105" s="1" t="str">
        <f t="shared" si="258"/>
        <v>Underpaid</v>
      </c>
      <c r="V4105" s="1" t="str">
        <f>_xlfn.XLOOKUP(C4105,Payers!$A$2:$A$9,Payers!$B$2:$B$9)</f>
        <v>Sunshine Medicare Advantage</v>
      </c>
      <c r="W4105" s="1" t="str">
        <f t="shared" si="259"/>
        <v>2026-01</v>
      </c>
    </row>
    <row r="4106" spans="1:23">
      <c r="A4106" s="1" t="s">
        <v>6555</v>
      </c>
      <c r="B4106" s="1" t="s">
        <v>6556</v>
      </c>
      <c r="C4106" s="1" t="s">
        <v>79</v>
      </c>
      <c r="D4106" s="1" t="s">
        <v>30</v>
      </c>
      <c r="E4106" s="1" t="s">
        <v>31</v>
      </c>
      <c r="F4106">
        <v>1</v>
      </c>
      <c r="G4106" s="2">
        <v>46108</v>
      </c>
      <c r="H4106" s="2">
        <v>46109</v>
      </c>
      <c r="I4106">
        <v>62.07</v>
      </c>
      <c r="M4106" s="1" t="s">
        <v>69</v>
      </c>
      <c r="N4106" s="1" t="s">
        <v>22</v>
      </c>
      <c r="O4106" s="2"/>
      <c r="P4106" s="2"/>
      <c r="Q4106">
        <f>_xlfn.XLOOKUP(E4106,CPT!$A$2:$A$13,CPT!$D$2:$D$13)</f>
        <v>62</v>
      </c>
      <c r="R4106" s="1">
        <f>_xlfn.XLOOKUP(C4106,Contract!$A$2:$A$9,Contract!$B$2:$B$9)</f>
        <v>1</v>
      </c>
      <c r="S4106" s="1">
        <f t="shared" si="256"/>
        <v>62</v>
      </c>
      <c r="T4106" s="1" t="str">
        <f t="shared" si="257"/>
        <v/>
      </c>
      <c r="U4106" s="1" t="str">
        <f t="shared" si="258"/>
        <v/>
      </c>
      <c r="V4106" s="1" t="str">
        <f>_xlfn.XLOOKUP(C4106,Payers!$A$2:$A$9,Payers!$B$2:$B$9)</f>
        <v>Self-Pay</v>
      </c>
      <c r="W4106" s="1" t="str">
        <f t="shared" si="259"/>
        <v>2026-03</v>
      </c>
    </row>
    <row r="4107" spans="1:23">
      <c r="A4107" s="1" t="s">
        <v>6557</v>
      </c>
      <c r="B4107" s="1" t="s">
        <v>4346</v>
      </c>
      <c r="C4107" s="1" t="s">
        <v>52</v>
      </c>
      <c r="D4107" s="1" t="s">
        <v>37</v>
      </c>
      <c r="E4107" s="1" t="s">
        <v>38</v>
      </c>
      <c r="F4107">
        <v>30</v>
      </c>
      <c r="G4107" s="2">
        <v>45944</v>
      </c>
      <c r="H4107" s="2">
        <v>45949</v>
      </c>
      <c r="I4107">
        <v>43385.71</v>
      </c>
      <c r="J4107">
        <v>21174.01</v>
      </c>
      <c r="K4107">
        <v>21174.01</v>
      </c>
      <c r="L4107">
        <v>0</v>
      </c>
      <c r="M4107" s="1" t="s">
        <v>21</v>
      </c>
      <c r="N4107" s="1" t="s">
        <v>22</v>
      </c>
      <c r="O4107" s="2">
        <v>46005</v>
      </c>
      <c r="P4107" s="2">
        <v>46005</v>
      </c>
      <c r="Q4107">
        <f>_xlfn.XLOOKUP(E4107,CPT!$A$2:$A$13,CPT!$D$2:$D$13)</f>
        <v>1450</v>
      </c>
      <c r="R4107" s="1">
        <f>_xlfn.XLOOKUP(C4107,Contract!$A$2:$A$9,Contract!$B$2:$B$9)</f>
        <v>0.47</v>
      </c>
      <c r="S4107" s="1">
        <f t="shared" si="256"/>
        <v>20445</v>
      </c>
      <c r="T4107" s="1">
        <f t="shared" si="257"/>
        <v>-729.0099999999984</v>
      </c>
      <c r="U4107" s="1" t="str">
        <f t="shared" si="258"/>
        <v>OK</v>
      </c>
      <c r="V4107" s="1" t="str">
        <f>_xlfn.XLOOKUP(C4107,Payers!$A$2:$A$9,Payers!$B$2:$B$9)</f>
        <v>Keystone Commercial PPO</v>
      </c>
      <c r="W4107" s="1" t="str">
        <f t="shared" si="259"/>
        <v>2025-10</v>
      </c>
    </row>
    <row r="4108" spans="1:23">
      <c r="A4108" s="1" t="s">
        <v>6558</v>
      </c>
      <c r="B4108" s="1" t="s">
        <v>102</v>
      </c>
      <c r="C4108" s="1" t="s">
        <v>76</v>
      </c>
      <c r="D4108" s="1" t="s">
        <v>26</v>
      </c>
      <c r="E4108" s="1" t="s">
        <v>44</v>
      </c>
      <c r="F4108">
        <v>1</v>
      </c>
      <c r="G4108" s="2">
        <v>46083</v>
      </c>
      <c r="H4108" s="2">
        <v>46087</v>
      </c>
      <c r="I4108">
        <v>4746.0600000000004</v>
      </c>
      <c r="M4108" s="1" t="s">
        <v>32</v>
      </c>
      <c r="N4108" s="1" t="s">
        <v>168</v>
      </c>
      <c r="O4108" s="2">
        <v>46118</v>
      </c>
      <c r="P4108" s="2"/>
      <c r="Q4108">
        <f>_xlfn.XLOOKUP(E4108,CPT!$A$2:$A$13,CPT!$D$2:$D$13)</f>
        <v>4800</v>
      </c>
      <c r="R4108" s="1">
        <f>_xlfn.XLOOKUP(C4108,Contract!$A$2:$A$9,Contract!$B$2:$B$9)</f>
        <v>0.43</v>
      </c>
      <c r="S4108" s="1">
        <f t="shared" si="256"/>
        <v>2064</v>
      </c>
      <c r="T4108" s="1" t="str">
        <f t="shared" si="257"/>
        <v/>
      </c>
      <c r="U4108" s="1" t="str">
        <f t="shared" si="258"/>
        <v/>
      </c>
      <c r="V4108" s="1" t="str">
        <f>_xlfn.XLOOKUP(C4108,Payers!$A$2:$A$9,Payers!$B$2:$B$9)</f>
        <v>Summit Health Commercial</v>
      </c>
      <c r="W4108" s="1" t="str">
        <f t="shared" si="259"/>
        <v>2026-03</v>
      </c>
    </row>
    <row r="4109" spans="1:23">
      <c r="A4109" s="1" t="s">
        <v>6559</v>
      </c>
      <c r="B4109" s="1" t="s">
        <v>6560</v>
      </c>
      <c r="C4109" s="1" t="s">
        <v>47</v>
      </c>
      <c r="D4109" s="1" t="s">
        <v>26</v>
      </c>
      <c r="E4109" s="1" t="s">
        <v>41</v>
      </c>
      <c r="F4109">
        <v>1</v>
      </c>
      <c r="G4109" s="2">
        <v>46020</v>
      </c>
      <c r="H4109" s="2">
        <v>46021</v>
      </c>
      <c r="I4109">
        <v>38.72</v>
      </c>
      <c r="M4109" s="1" t="s">
        <v>32</v>
      </c>
      <c r="N4109" s="1" t="s">
        <v>124</v>
      </c>
      <c r="O4109" s="2">
        <v>46084</v>
      </c>
      <c r="P4109" s="2"/>
      <c r="Q4109">
        <f>_xlfn.XLOOKUP(E4109,CPT!$A$2:$A$13,CPT!$D$2:$D$13)</f>
        <v>38</v>
      </c>
      <c r="R4109" s="1">
        <f>_xlfn.XLOOKUP(C4109,Contract!$A$2:$A$9,Contract!$B$2:$B$9)</f>
        <v>0.28000000000000003</v>
      </c>
      <c r="S4109" s="1">
        <f t="shared" si="256"/>
        <v>10.64</v>
      </c>
      <c r="T4109" s="1" t="str">
        <f t="shared" si="257"/>
        <v/>
      </c>
      <c r="U4109" s="1" t="str">
        <f t="shared" si="258"/>
        <v/>
      </c>
      <c r="V4109" s="1" t="str">
        <f>_xlfn.XLOOKUP(C4109,Payers!$A$2:$A$9,Payers!$B$2:$B$9)</f>
        <v>Coastal Medicaid MCO</v>
      </c>
      <c r="W4109" s="1" t="str">
        <f t="shared" si="259"/>
        <v>2025-12</v>
      </c>
    </row>
    <row r="4110" spans="1:23">
      <c r="A4110" s="1" t="s">
        <v>6561</v>
      </c>
      <c r="B4110" s="1" t="s">
        <v>2981</v>
      </c>
      <c r="C4110" s="1" t="s">
        <v>36</v>
      </c>
      <c r="D4110" s="1" t="s">
        <v>37</v>
      </c>
      <c r="E4110" s="1" t="s">
        <v>48</v>
      </c>
      <c r="F4110">
        <v>1</v>
      </c>
      <c r="G4110" s="2">
        <v>46160</v>
      </c>
      <c r="H4110" s="2">
        <v>46162</v>
      </c>
      <c r="I4110">
        <v>419.27</v>
      </c>
      <c r="J4110">
        <v>112.5</v>
      </c>
      <c r="K4110">
        <v>112.5</v>
      </c>
      <c r="L4110">
        <v>0</v>
      </c>
      <c r="M4110" s="1" t="s">
        <v>21</v>
      </c>
      <c r="N4110" s="1" t="s">
        <v>22</v>
      </c>
      <c r="O4110" s="2">
        <v>46192</v>
      </c>
      <c r="P4110" s="2">
        <v>46192</v>
      </c>
      <c r="Q4110">
        <f>_xlfn.XLOOKUP(E4110,CPT!$A$2:$A$13,CPT!$D$2:$D$13)</f>
        <v>420</v>
      </c>
      <c r="R4110" s="1">
        <f>_xlfn.XLOOKUP(C4110,Contract!$A$2:$A$9,Contract!$B$2:$B$9)</f>
        <v>0.27</v>
      </c>
      <c r="S4110" s="1">
        <f t="shared" si="256"/>
        <v>113.4</v>
      </c>
      <c r="T4110" s="1">
        <f t="shared" si="257"/>
        <v>0.90000000000000568</v>
      </c>
      <c r="U4110" s="1" t="str">
        <f t="shared" si="258"/>
        <v>OK</v>
      </c>
      <c r="V4110" s="1" t="str">
        <f>_xlfn.XLOOKUP(C4110,Payers!$A$2:$A$9,Payers!$B$2:$B$9)</f>
        <v>Florida Medicaid</v>
      </c>
      <c r="W4110" s="1" t="str">
        <f t="shared" si="259"/>
        <v>2026-05</v>
      </c>
    </row>
    <row r="4111" spans="1:23">
      <c r="A4111" s="1" t="s">
        <v>6562</v>
      </c>
      <c r="B4111" s="1" t="s">
        <v>6563</v>
      </c>
      <c r="C4111" s="1" t="s">
        <v>60</v>
      </c>
      <c r="D4111" s="1" t="s">
        <v>19</v>
      </c>
      <c r="E4111" s="1" t="s">
        <v>57</v>
      </c>
      <c r="F4111">
        <v>1</v>
      </c>
      <c r="G4111" s="2">
        <v>46067</v>
      </c>
      <c r="H4111" s="2">
        <v>46068</v>
      </c>
      <c r="I4111">
        <v>213.8</v>
      </c>
      <c r="J4111">
        <v>92.87</v>
      </c>
      <c r="K4111">
        <v>92.87</v>
      </c>
      <c r="L4111">
        <v>0</v>
      </c>
      <c r="M4111" s="1" t="s">
        <v>21</v>
      </c>
      <c r="N4111" s="1" t="s">
        <v>22</v>
      </c>
      <c r="O4111" s="2">
        <v>46103</v>
      </c>
      <c r="P4111" s="2">
        <v>46103</v>
      </c>
      <c r="Q4111">
        <f>_xlfn.XLOOKUP(E4111,CPT!$A$2:$A$13,CPT!$D$2:$D$13)</f>
        <v>210</v>
      </c>
      <c r="R4111" s="1">
        <f>_xlfn.XLOOKUP(C4111,Contract!$A$2:$A$9,Contract!$B$2:$B$9)</f>
        <v>0.45</v>
      </c>
      <c r="S4111" s="1">
        <f t="shared" si="256"/>
        <v>94.5</v>
      </c>
      <c r="T4111" s="1">
        <f t="shared" si="257"/>
        <v>1.6299999999999955</v>
      </c>
      <c r="U4111" s="1" t="str">
        <f t="shared" si="258"/>
        <v>OK</v>
      </c>
      <c r="V4111" s="1" t="str">
        <f>_xlfn.XLOOKUP(C4111,Payers!$A$2:$A$9,Payers!$B$2:$B$9)</f>
        <v>Blue Horizon Commercial</v>
      </c>
      <c r="W4111" s="1" t="str">
        <f t="shared" si="259"/>
        <v>2026-02</v>
      </c>
    </row>
    <row r="4112" spans="1:23">
      <c r="A4112" s="1" t="s">
        <v>6564</v>
      </c>
      <c r="B4112" s="1" t="s">
        <v>6565</v>
      </c>
      <c r="C4112" s="1" t="s">
        <v>25</v>
      </c>
      <c r="D4112" s="1" t="s">
        <v>19</v>
      </c>
      <c r="E4112" s="1" t="s">
        <v>41</v>
      </c>
      <c r="F4112">
        <v>1</v>
      </c>
      <c r="G4112" s="2">
        <v>46194</v>
      </c>
      <c r="H4112" s="2">
        <v>46211</v>
      </c>
      <c r="I4112">
        <v>38.43</v>
      </c>
      <c r="J4112">
        <v>13.84</v>
      </c>
      <c r="K4112">
        <v>12.46</v>
      </c>
      <c r="L4112">
        <v>1.38</v>
      </c>
      <c r="M4112" s="1" t="s">
        <v>21</v>
      </c>
      <c r="N4112" s="1" t="s">
        <v>22</v>
      </c>
      <c r="O4112" s="2">
        <v>46229</v>
      </c>
      <c r="P4112" s="2">
        <v>46229</v>
      </c>
      <c r="Q4112">
        <f>_xlfn.XLOOKUP(E4112,CPT!$A$2:$A$13,CPT!$D$2:$D$13)</f>
        <v>38</v>
      </c>
      <c r="R4112" s="1">
        <f>_xlfn.XLOOKUP(C4112,Contract!$A$2:$A$9,Contract!$B$2:$B$9)</f>
        <v>0.36</v>
      </c>
      <c r="S4112" s="1">
        <f t="shared" si="256"/>
        <v>13.68</v>
      </c>
      <c r="T4112" s="1">
        <f t="shared" si="257"/>
        <v>-0.16000000000000014</v>
      </c>
      <c r="U4112" s="1" t="str">
        <f t="shared" si="258"/>
        <v>OK</v>
      </c>
      <c r="V4112" s="1" t="str">
        <f>_xlfn.XLOOKUP(C4112,Payers!$A$2:$A$9,Payers!$B$2:$B$9)</f>
        <v>Medicare Part B</v>
      </c>
      <c r="W4112" s="1" t="str">
        <f t="shared" si="259"/>
        <v>2026-06</v>
      </c>
    </row>
    <row r="4113" spans="1:23">
      <c r="A4113" s="1" t="s">
        <v>6566</v>
      </c>
      <c r="B4113" s="1" t="s">
        <v>2882</v>
      </c>
      <c r="C4113" s="1" t="s">
        <v>47</v>
      </c>
      <c r="D4113" s="1" t="s">
        <v>26</v>
      </c>
      <c r="E4113" s="1" t="s">
        <v>185</v>
      </c>
      <c r="F4113">
        <v>1</v>
      </c>
      <c r="G4113" s="2">
        <v>46190</v>
      </c>
      <c r="H4113" s="2">
        <v>46191</v>
      </c>
      <c r="I4113">
        <v>1175.97</v>
      </c>
      <c r="J4113">
        <v>374.5</v>
      </c>
      <c r="K4113">
        <v>374.5</v>
      </c>
      <c r="L4113">
        <v>0</v>
      </c>
      <c r="M4113" s="1" t="s">
        <v>21</v>
      </c>
      <c r="N4113" s="1" t="s">
        <v>22</v>
      </c>
      <c r="O4113" s="2">
        <v>46277</v>
      </c>
      <c r="P4113" s="2">
        <v>46277</v>
      </c>
      <c r="Q4113">
        <f>_xlfn.XLOOKUP(E4113,CPT!$A$2:$A$13,CPT!$D$2:$D$13)</f>
        <v>1150</v>
      </c>
      <c r="R4113" s="1">
        <f>_xlfn.XLOOKUP(C4113,Contract!$A$2:$A$9,Contract!$B$2:$B$9)</f>
        <v>0.28000000000000003</v>
      </c>
      <c r="S4113" s="1">
        <f t="shared" si="256"/>
        <v>322</v>
      </c>
      <c r="T4113" s="1">
        <f t="shared" si="257"/>
        <v>-52.5</v>
      </c>
      <c r="U4113" s="1" t="str">
        <f t="shared" si="258"/>
        <v>OK</v>
      </c>
      <c r="V4113" s="1" t="str">
        <f>_xlfn.XLOOKUP(C4113,Payers!$A$2:$A$9,Payers!$B$2:$B$9)</f>
        <v>Coastal Medicaid MCO</v>
      </c>
      <c r="W4113" s="1" t="str">
        <f t="shared" si="259"/>
        <v>2026-06</v>
      </c>
    </row>
    <row r="4114" spans="1:23">
      <c r="A4114" s="1" t="s">
        <v>6567</v>
      </c>
      <c r="B4114" s="1" t="s">
        <v>1841</v>
      </c>
      <c r="C4114" s="1" t="s">
        <v>18</v>
      </c>
      <c r="D4114" s="1" t="s">
        <v>19</v>
      </c>
      <c r="E4114" s="1" t="s">
        <v>41</v>
      </c>
      <c r="F4114">
        <v>1</v>
      </c>
      <c r="G4114" s="2">
        <v>46220</v>
      </c>
      <c r="H4114" s="2">
        <v>46221</v>
      </c>
      <c r="I4114">
        <v>37.18</v>
      </c>
      <c r="J4114">
        <v>15.48</v>
      </c>
      <c r="K4114">
        <v>13.93</v>
      </c>
      <c r="L4114">
        <v>1.55</v>
      </c>
      <c r="M4114" s="1" t="s">
        <v>21</v>
      </c>
      <c r="N4114" s="1" t="s">
        <v>22</v>
      </c>
      <c r="O4114" s="2">
        <v>46268</v>
      </c>
      <c r="P4114" s="2">
        <v>46268</v>
      </c>
      <c r="Q4114">
        <f>_xlfn.XLOOKUP(E4114,CPT!$A$2:$A$13,CPT!$D$2:$D$13)</f>
        <v>38</v>
      </c>
      <c r="R4114" s="1">
        <f>_xlfn.XLOOKUP(C4114,Contract!$A$2:$A$9,Contract!$B$2:$B$9)</f>
        <v>0.38</v>
      </c>
      <c r="S4114" s="1">
        <f t="shared" si="256"/>
        <v>14.44</v>
      </c>
      <c r="T4114" s="1">
        <f t="shared" si="257"/>
        <v>-1.0400000000000009</v>
      </c>
      <c r="U4114" s="1" t="str">
        <f t="shared" si="258"/>
        <v>OK</v>
      </c>
      <c r="V4114" s="1" t="str">
        <f>_xlfn.XLOOKUP(C4114,Payers!$A$2:$A$9,Payers!$B$2:$B$9)</f>
        <v>Sunshine Medicare Advantage</v>
      </c>
      <c r="W4114" s="1" t="str">
        <f t="shared" si="259"/>
        <v>2026-07</v>
      </c>
    </row>
    <row r="4115" spans="1:23">
      <c r="A4115" s="1" t="s">
        <v>6568</v>
      </c>
      <c r="B4115" s="1" t="s">
        <v>6569</v>
      </c>
      <c r="C4115" s="1" t="s">
        <v>18</v>
      </c>
      <c r="D4115" s="1" t="s">
        <v>19</v>
      </c>
      <c r="E4115" s="1" t="s">
        <v>57</v>
      </c>
      <c r="F4115">
        <v>1</v>
      </c>
      <c r="G4115" s="2">
        <v>45976</v>
      </c>
      <c r="H4115" s="2">
        <v>45977</v>
      </c>
      <c r="I4115">
        <v>211.44</v>
      </c>
      <c r="J4115">
        <v>92.37</v>
      </c>
      <c r="K4115">
        <v>83.13</v>
      </c>
      <c r="L4115">
        <v>9.24</v>
      </c>
      <c r="M4115" s="1" t="s">
        <v>21</v>
      </c>
      <c r="N4115" s="1" t="s">
        <v>22</v>
      </c>
      <c r="O4115" s="2">
        <v>46059</v>
      </c>
      <c r="P4115" s="2">
        <v>46059</v>
      </c>
      <c r="Q4115">
        <f>_xlfn.XLOOKUP(E4115,CPT!$A$2:$A$13,CPT!$D$2:$D$13)</f>
        <v>210</v>
      </c>
      <c r="R4115" s="1">
        <f>_xlfn.XLOOKUP(C4115,Contract!$A$2:$A$9,Contract!$B$2:$B$9)</f>
        <v>0.38</v>
      </c>
      <c r="S4115" s="1">
        <f t="shared" si="256"/>
        <v>79.8</v>
      </c>
      <c r="T4115" s="1">
        <f t="shared" si="257"/>
        <v>-12.570000000000007</v>
      </c>
      <c r="U4115" s="1" t="str">
        <f t="shared" si="258"/>
        <v>OK</v>
      </c>
      <c r="V4115" s="1" t="str">
        <f>_xlfn.XLOOKUP(C4115,Payers!$A$2:$A$9,Payers!$B$2:$B$9)</f>
        <v>Sunshine Medicare Advantage</v>
      </c>
      <c r="W4115" s="1" t="str">
        <f t="shared" si="259"/>
        <v>2025-11</v>
      </c>
    </row>
    <row r="4116" spans="1:23">
      <c r="A4116" s="1" t="s">
        <v>6570</v>
      </c>
      <c r="B4116" s="1" t="s">
        <v>2413</v>
      </c>
      <c r="C4116" s="1" t="s">
        <v>25</v>
      </c>
      <c r="D4116" s="1" t="s">
        <v>19</v>
      </c>
      <c r="E4116" s="1" t="s">
        <v>41</v>
      </c>
      <c r="F4116">
        <v>1</v>
      </c>
      <c r="G4116" s="2">
        <v>46017</v>
      </c>
      <c r="H4116" s="2">
        <v>46021</v>
      </c>
      <c r="I4116">
        <v>37</v>
      </c>
      <c r="J4116">
        <v>13.24</v>
      </c>
      <c r="K4116">
        <v>13.24</v>
      </c>
      <c r="L4116">
        <v>0</v>
      </c>
      <c r="M4116" s="1" t="s">
        <v>21</v>
      </c>
      <c r="N4116" s="1" t="s">
        <v>22</v>
      </c>
      <c r="O4116" s="2">
        <v>46040</v>
      </c>
      <c r="P4116" s="2">
        <v>46040</v>
      </c>
      <c r="Q4116">
        <f>_xlfn.XLOOKUP(E4116,CPT!$A$2:$A$13,CPT!$D$2:$D$13)</f>
        <v>38</v>
      </c>
      <c r="R4116" s="1">
        <f>_xlfn.XLOOKUP(C4116,Contract!$A$2:$A$9,Contract!$B$2:$B$9)</f>
        <v>0.36</v>
      </c>
      <c r="S4116" s="1">
        <f t="shared" si="256"/>
        <v>13.68</v>
      </c>
      <c r="T4116" s="1">
        <f t="shared" si="257"/>
        <v>0.4399999999999995</v>
      </c>
      <c r="U4116" s="1" t="str">
        <f t="shared" si="258"/>
        <v>OK</v>
      </c>
      <c r="V4116" s="1" t="str">
        <f>_xlfn.XLOOKUP(C4116,Payers!$A$2:$A$9,Payers!$B$2:$B$9)</f>
        <v>Medicare Part B</v>
      </c>
      <c r="W4116" s="1" t="str">
        <f t="shared" si="259"/>
        <v>2025-12</v>
      </c>
    </row>
    <row r="4117" spans="1:23">
      <c r="A4117" s="1" t="s">
        <v>6571</v>
      </c>
      <c r="B4117" s="1" t="s">
        <v>6018</v>
      </c>
      <c r="C4117" s="1" t="s">
        <v>25</v>
      </c>
      <c r="D4117" s="1" t="s">
        <v>19</v>
      </c>
      <c r="E4117" s="1" t="s">
        <v>57</v>
      </c>
      <c r="F4117">
        <v>1</v>
      </c>
      <c r="G4117" s="2">
        <v>46236</v>
      </c>
      <c r="H4117" s="2">
        <v>46246</v>
      </c>
      <c r="I4117">
        <v>214.79</v>
      </c>
      <c r="J4117">
        <v>86.68</v>
      </c>
      <c r="K4117">
        <v>78.010000000000005</v>
      </c>
      <c r="L4117">
        <v>8.67</v>
      </c>
      <c r="M4117" s="1" t="s">
        <v>21</v>
      </c>
      <c r="N4117" s="1" t="s">
        <v>22</v>
      </c>
      <c r="O4117" s="2">
        <v>46262</v>
      </c>
      <c r="P4117" s="2">
        <v>46262</v>
      </c>
      <c r="Q4117">
        <f>_xlfn.XLOOKUP(E4117,CPT!$A$2:$A$13,CPT!$D$2:$D$13)</f>
        <v>210</v>
      </c>
      <c r="R4117" s="1">
        <f>_xlfn.XLOOKUP(C4117,Contract!$A$2:$A$9,Contract!$B$2:$B$9)</f>
        <v>0.36</v>
      </c>
      <c r="S4117" s="1">
        <f t="shared" si="256"/>
        <v>75.599999999999994</v>
      </c>
      <c r="T4117" s="1">
        <f t="shared" si="257"/>
        <v>-11.080000000000013</v>
      </c>
      <c r="U4117" s="1" t="str">
        <f t="shared" si="258"/>
        <v>OK</v>
      </c>
      <c r="V4117" s="1" t="str">
        <f>_xlfn.XLOOKUP(C4117,Payers!$A$2:$A$9,Payers!$B$2:$B$9)</f>
        <v>Medicare Part B</v>
      </c>
      <c r="W4117" s="1" t="str">
        <f t="shared" si="259"/>
        <v>2026-08</v>
      </c>
    </row>
    <row r="4118" spans="1:23">
      <c r="A4118" s="1" t="s">
        <v>6572</v>
      </c>
      <c r="B4118" s="1" t="s">
        <v>1938</v>
      </c>
      <c r="C4118" s="1" t="s">
        <v>52</v>
      </c>
      <c r="D4118" s="1" t="s">
        <v>19</v>
      </c>
      <c r="E4118" s="1" t="s">
        <v>88</v>
      </c>
      <c r="F4118">
        <v>1</v>
      </c>
      <c r="G4118" s="2">
        <v>46149</v>
      </c>
      <c r="H4118" s="2">
        <v>46153</v>
      </c>
      <c r="I4118">
        <v>253.43</v>
      </c>
      <c r="J4118">
        <v>128.06</v>
      </c>
      <c r="K4118">
        <v>128.06</v>
      </c>
      <c r="L4118">
        <v>0</v>
      </c>
      <c r="M4118" s="1" t="s">
        <v>21</v>
      </c>
      <c r="N4118" s="1" t="s">
        <v>22</v>
      </c>
      <c r="O4118" s="2">
        <v>46214</v>
      </c>
      <c r="P4118" s="2">
        <v>46214</v>
      </c>
      <c r="Q4118">
        <f>_xlfn.XLOOKUP(E4118,CPT!$A$2:$A$13,CPT!$D$2:$D$13)</f>
        <v>260</v>
      </c>
      <c r="R4118" s="1">
        <f>_xlfn.XLOOKUP(C4118,Contract!$A$2:$A$9,Contract!$B$2:$B$9)</f>
        <v>0.47</v>
      </c>
      <c r="S4118" s="1">
        <f t="shared" si="256"/>
        <v>122.2</v>
      </c>
      <c r="T4118" s="1">
        <f t="shared" si="257"/>
        <v>-5.8599999999999994</v>
      </c>
      <c r="U4118" s="1" t="str">
        <f t="shared" si="258"/>
        <v>OK</v>
      </c>
      <c r="V4118" s="1" t="str">
        <f>_xlfn.XLOOKUP(C4118,Payers!$A$2:$A$9,Payers!$B$2:$B$9)</f>
        <v>Keystone Commercial PPO</v>
      </c>
      <c r="W4118" s="1" t="str">
        <f t="shared" si="259"/>
        <v>2026-05</v>
      </c>
    </row>
    <row r="4119" spans="1:23">
      <c r="A4119" s="1" t="s">
        <v>6573</v>
      </c>
      <c r="B4119" s="1" t="s">
        <v>3554</v>
      </c>
      <c r="C4119" s="1" t="s">
        <v>60</v>
      </c>
      <c r="D4119" s="1" t="s">
        <v>26</v>
      </c>
      <c r="E4119" s="1" t="s">
        <v>44</v>
      </c>
      <c r="F4119">
        <v>1</v>
      </c>
      <c r="G4119" s="2">
        <v>46098</v>
      </c>
      <c r="H4119" s="2">
        <v>46103</v>
      </c>
      <c r="I4119">
        <v>4852.46</v>
      </c>
      <c r="J4119">
        <v>2197.7399999999998</v>
      </c>
      <c r="K4119">
        <v>2197.7399999999998</v>
      </c>
      <c r="L4119">
        <v>0</v>
      </c>
      <c r="M4119" s="1" t="s">
        <v>21</v>
      </c>
      <c r="N4119" s="1" t="s">
        <v>22</v>
      </c>
      <c r="O4119" s="2">
        <v>46129</v>
      </c>
      <c r="P4119" s="2">
        <v>46129</v>
      </c>
      <c r="Q4119">
        <f>_xlfn.XLOOKUP(E4119,CPT!$A$2:$A$13,CPT!$D$2:$D$13)</f>
        <v>4800</v>
      </c>
      <c r="R4119" s="1">
        <f>_xlfn.XLOOKUP(C4119,Contract!$A$2:$A$9,Contract!$B$2:$B$9)</f>
        <v>0.45</v>
      </c>
      <c r="S4119" s="1">
        <f t="shared" si="256"/>
        <v>2160</v>
      </c>
      <c r="T4119" s="1">
        <f t="shared" si="257"/>
        <v>-37.739999999999782</v>
      </c>
      <c r="U4119" s="1" t="str">
        <f t="shared" si="258"/>
        <v>OK</v>
      </c>
      <c r="V4119" s="1" t="str">
        <f>_xlfn.XLOOKUP(C4119,Payers!$A$2:$A$9,Payers!$B$2:$B$9)</f>
        <v>Blue Horizon Commercial</v>
      </c>
      <c r="W4119" s="1" t="str">
        <f t="shared" si="259"/>
        <v>2026-03</v>
      </c>
    </row>
    <row r="4120" spans="1:23">
      <c r="A4120" s="1" t="s">
        <v>6574</v>
      </c>
      <c r="B4120" s="1" t="s">
        <v>2483</v>
      </c>
      <c r="C4120" s="1" t="s">
        <v>60</v>
      </c>
      <c r="D4120" s="1" t="s">
        <v>37</v>
      </c>
      <c r="E4120" s="1" t="s">
        <v>38</v>
      </c>
      <c r="F4120">
        <v>10</v>
      </c>
      <c r="G4120" s="2">
        <v>46071</v>
      </c>
      <c r="H4120" s="2">
        <v>46074</v>
      </c>
      <c r="I4120">
        <v>14863.36</v>
      </c>
      <c r="J4120">
        <v>6675.2</v>
      </c>
      <c r="K4120">
        <v>6675.2</v>
      </c>
      <c r="L4120">
        <v>0</v>
      </c>
      <c r="M4120" s="1" t="s">
        <v>21</v>
      </c>
      <c r="N4120" s="1" t="s">
        <v>22</v>
      </c>
      <c r="O4120" s="2">
        <v>46103</v>
      </c>
      <c r="P4120" s="2">
        <v>46103</v>
      </c>
      <c r="Q4120">
        <f>_xlfn.XLOOKUP(E4120,CPT!$A$2:$A$13,CPT!$D$2:$D$13)</f>
        <v>1450</v>
      </c>
      <c r="R4120" s="1">
        <f>_xlfn.XLOOKUP(C4120,Contract!$A$2:$A$9,Contract!$B$2:$B$9)</f>
        <v>0.45</v>
      </c>
      <c r="S4120" s="1">
        <f t="shared" si="256"/>
        <v>6525</v>
      </c>
      <c r="T4120" s="1">
        <f t="shared" si="257"/>
        <v>-150.19999999999982</v>
      </c>
      <c r="U4120" s="1" t="str">
        <f t="shared" si="258"/>
        <v>OK</v>
      </c>
      <c r="V4120" s="1" t="str">
        <f>_xlfn.XLOOKUP(C4120,Payers!$A$2:$A$9,Payers!$B$2:$B$9)</f>
        <v>Blue Horizon Commercial</v>
      </c>
      <c r="W4120" s="1" t="str">
        <f t="shared" si="259"/>
        <v>2026-02</v>
      </c>
    </row>
    <row r="4121" spans="1:23">
      <c r="A4121" s="1" t="s">
        <v>6575</v>
      </c>
      <c r="B4121" s="1" t="s">
        <v>894</v>
      </c>
      <c r="C4121" s="1" t="s">
        <v>76</v>
      </c>
      <c r="D4121" s="1" t="s">
        <v>30</v>
      </c>
      <c r="E4121" s="1" t="s">
        <v>91</v>
      </c>
      <c r="F4121">
        <v>3</v>
      </c>
      <c r="G4121" s="2">
        <v>46101</v>
      </c>
      <c r="H4121" s="2">
        <v>46106</v>
      </c>
      <c r="I4121">
        <v>175.37</v>
      </c>
      <c r="J4121">
        <v>81</v>
      </c>
      <c r="K4121">
        <v>64.8</v>
      </c>
      <c r="L4121">
        <v>16.2</v>
      </c>
      <c r="M4121" s="1" t="s">
        <v>21</v>
      </c>
      <c r="N4121" s="1" t="s">
        <v>22</v>
      </c>
      <c r="O4121" s="2">
        <v>46142</v>
      </c>
      <c r="P4121" s="2">
        <v>46142</v>
      </c>
      <c r="Q4121">
        <f>_xlfn.XLOOKUP(E4121,CPT!$A$2:$A$13,CPT!$D$2:$D$13)</f>
        <v>58</v>
      </c>
      <c r="R4121" s="1">
        <f>_xlfn.XLOOKUP(C4121,Contract!$A$2:$A$9,Contract!$B$2:$B$9)</f>
        <v>0.43</v>
      </c>
      <c r="S4121" s="1">
        <f t="shared" si="256"/>
        <v>74.819999999999993</v>
      </c>
      <c r="T4121" s="1">
        <f t="shared" si="257"/>
        <v>-6.1800000000000068</v>
      </c>
      <c r="U4121" s="1" t="str">
        <f t="shared" si="258"/>
        <v>OK</v>
      </c>
      <c r="V4121" s="1" t="str">
        <f>_xlfn.XLOOKUP(C4121,Payers!$A$2:$A$9,Payers!$B$2:$B$9)</f>
        <v>Summit Health Commercial</v>
      </c>
      <c r="W4121" s="1" t="str">
        <f t="shared" si="259"/>
        <v>2026-03</v>
      </c>
    </row>
    <row r="4122" spans="1:23">
      <c r="A4122" s="1" t="s">
        <v>6576</v>
      </c>
      <c r="B4122" s="1" t="s">
        <v>3155</v>
      </c>
      <c r="C4122" s="1" t="s">
        <v>25</v>
      </c>
      <c r="D4122" s="1" t="s">
        <v>37</v>
      </c>
      <c r="E4122" s="1" t="s">
        <v>38</v>
      </c>
      <c r="F4122">
        <v>5</v>
      </c>
      <c r="G4122" s="2">
        <v>46249</v>
      </c>
      <c r="H4122" s="2">
        <v>46250</v>
      </c>
      <c r="I4122">
        <v>7294.49</v>
      </c>
      <c r="J4122">
        <v>2271.25</v>
      </c>
      <c r="K4122">
        <v>2271.25</v>
      </c>
      <c r="L4122">
        <v>0</v>
      </c>
      <c r="M4122" s="1" t="s">
        <v>21</v>
      </c>
      <c r="N4122" s="1" t="s">
        <v>22</v>
      </c>
      <c r="O4122" s="2">
        <v>46265</v>
      </c>
      <c r="P4122" s="2">
        <v>46265</v>
      </c>
      <c r="Q4122">
        <f>_xlfn.XLOOKUP(E4122,CPT!$A$2:$A$13,CPT!$D$2:$D$13)</f>
        <v>1450</v>
      </c>
      <c r="R4122" s="1">
        <f>_xlfn.XLOOKUP(C4122,Contract!$A$2:$A$9,Contract!$B$2:$B$9)</f>
        <v>0.36</v>
      </c>
      <c r="S4122" s="1">
        <f t="shared" si="256"/>
        <v>2610</v>
      </c>
      <c r="T4122" s="1">
        <f t="shared" si="257"/>
        <v>338.75</v>
      </c>
      <c r="U4122" s="1" t="str">
        <f t="shared" si="258"/>
        <v>Underpaid</v>
      </c>
      <c r="V4122" s="1" t="str">
        <f>_xlfn.XLOOKUP(C4122,Payers!$A$2:$A$9,Payers!$B$2:$B$9)</f>
        <v>Medicare Part B</v>
      </c>
      <c r="W4122" s="1" t="str">
        <f t="shared" si="259"/>
        <v>2026-08</v>
      </c>
    </row>
    <row r="4123" spans="1:23">
      <c r="A4123" s="1" t="s">
        <v>6577</v>
      </c>
      <c r="B4123" s="1" t="s">
        <v>6578</v>
      </c>
      <c r="C4123" s="1" t="s">
        <v>79</v>
      </c>
      <c r="D4123" s="1" t="s">
        <v>30</v>
      </c>
      <c r="E4123" s="1" t="s">
        <v>91</v>
      </c>
      <c r="F4123">
        <v>3</v>
      </c>
      <c r="G4123" s="2">
        <v>46085</v>
      </c>
      <c r="H4123" s="2">
        <v>46216</v>
      </c>
      <c r="I4123">
        <v>175.4</v>
      </c>
      <c r="J4123">
        <v>175.4</v>
      </c>
      <c r="K4123">
        <v>175.4</v>
      </c>
      <c r="L4123">
        <v>0</v>
      </c>
      <c r="M4123" s="1" t="s">
        <v>21</v>
      </c>
      <c r="N4123" s="1" t="s">
        <v>22</v>
      </c>
      <c r="O4123" s="2">
        <v>46275</v>
      </c>
      <c r="P4123" s="2">
        <v>46275</v>
      </c>
      <c r="Q4123">
        <f>_xlfn.XLOOKUP(E4123,CPT!$A$2:$A$13,CPT!$D$2:$D$13)</f>
        <v>58</v>
      </c>
      <c r="R4123" s="1">
        <f>_xlfn.XLOOKUP(C4123,Contract!$A$2:$A$9,Contract!$B$2:$B$9)</f>
        <v>1</v>
      </c>
      <c r="S4123" s="1">
        <f t="shared" si="256"/>
        <v>174</v>
      </c>
      <c r="T4123" s="1">
        <f t="shared" si="257"/>
        <v>-1.4000000000000057</v>
      </c>
      <c r="U4123" s="1" t="str">
        <f t="shared" si="258"/>
        <v>OK</v>
      </c>
      <c r="V4123" s="1" t="str">
        <f>_xlfn.XLOOKUP(C4123,Payers!$A$2:$A$9,Payers!$B$2:$B$9)</f>
        <v>Self-Pay</v>
      </c>
      <c r="W4123" s="1" t="str">
        <f t="shared" si="259"/>
        <v>2026-03</v>
      </c>
    </row>
    <row r="4124" spans="1:23">
      <c r="A4124" s="1" t="s">
        <v>6579</v>
      </c>
      <c r="B4124" s="1" t="s">
        <v>6580</v>
      </c>
      <c r="C4124" s="1" t="s">
        <v>60</v>
      </c>
      <c r="D4124" s="1" t="s">
        <v>19</v>
      </c>
      <c r="E4124" s="1" t="s">
        <v>20</v>
      </c>
      <c r="F4124">
        <v>1</v>
      </c>
      <c r="G4124" s="2">
        <v>45973</v>
      </c>
      <c r="H4124" s="2">
        <v>45990</v>
      </c>
      <c r="I4124">
        <v>143.61000000000001</v>
      </c>
      <c r="J4124">
        <v>74.48</v>
      </c>
      <c r="K4124">
        <v>67.03</v>
      </c>
      <c r="L4124">
        <v>7.45</v>
      </c>
      <c r="M4124" s="1" t="s">
        <v>21</v>
      </c>
      <c r="N4124" s="1" t="s">
        <v>22</v>
      </c>
      <c r="O4124" s="2">
        <v>46007</v>
      </c>
      <c r="P4124" s="2">
        <v>46007</v>
      </c>
      <c r="Q4124">
        <f>_xlfn.XLOOKUP(E4124,CPT!$A$2:$A$13,CPT!$D$2:$D$13)</f>
        <v>145</v>
      </c>
      <c r="R4124" s="1">
        <f>_xlfn.XLOOKUP(C4124,Contract!$A$2:$A$9,Contract!$B$2:$B$9)</f>
        <v>0.45</v>
      </c>
      <c r="S4124" s="1">
        <f t="shared" si="256"/>
        <v>65.25</v>
      </c>
      <c r="T4124" s="1">
        <f t="shared" si="257"/>
        <v>-9.230000000000004</v>
      </c>
      <c r="U4124" s="1" t="str">
        <f t="shared" si="258"/>
        <v>OK</v>
      </c>
      <c r="V4124" s="1" t="str">
        <f>_xlfn.XLOOKUP(C4124,Payers!$A$2:$A$9,Payers!$B$2:$B$9)</f>
        <v>Blue Horizon Commercial</v>
      </c>
      <c r="W4124" s="1" t="str">
        <f t="shared" si="259"/>
        <v>2025-11</v>
      </c>
    </row>
    <row r="4125" spans="1:23">
      <c r="A4125" s="1" t="s">
        <v>6581</v>
      </c>
      <c r="B4125" s="1" t="s">
        <v>6582</v>
      </c>
      <c r="C4125" s="1" t="s">
        <v>25</v>
      </c>
      <c r="D4125" s="1" t="s">
        <v>19</v>
      </c>
      <c r="E4125" s="1" t="s">
        <v>88</v>
      </c>
      <c r="F4125">
        <v>1</v>
      </c>
      <c r="G4125" s="2">
        <v>46031</v>
      </c>
      <c r="H4125" s="2">
        <v>46041</v>
      </c>
      <c r="I4125">
        <v>262.42</v>
      </c>
      <c r="J4125">
        <v>83.48</v>
      </c>
      <c r="K4125">
        <v>83.48</v>
      </c>
      <c r="L4125">
        <v>0</v>
      </c>
      <c r="M4125" s="1" t="s">
        <v>21</v>
      </c>
      <c r="N4125" s="1" t="s">
        <v>22</v>
      </c>
      <c r="O4125" s="2">
        <v>46062</v>
      </c>
      <c r="P4125" s="2">
        <v>46062</v>
      </c>
      <c r="Q4125">
        <f>_xlfn.XLOOKUP(E4125,CPT!$A$2:$A$13,CPT!$D$2:$D$13)</f>
        <v>260</v>
      </c>
      <c r="R4125" s="1">
        <f>_xlfn.XLOOKUP(C4125,Contract!$A$2:$A$9,Contract!$B$2:$B$9)</f>
        <v>0.36</v>
      </c>
      <c r="S4125" s="1">
        <f t="shared" si="256"/>
        <v>93.6</v>
      </c>
      <c r="T4125" s="1">
        <f t="shared" si="257"/>
        <v>10.11999999999999</v>
      </c>
      <c r="U4125" s="1" t="str">
        <f t="shared" si="258"/>
        <v>Underpaid</v>
      </c>
      <c r="V4125" s="1" t="str">
        <f>_xlfn.XLOOKUP(C4125,Payers!$A$2:$A$9,Payers!$B$2:$B$9)</f>
        <v>Medicare Part B</v>
      </c>
      <c r="W4125" s="1" t="str">
        <f t="shared" si="259"/>
        <v>2026-01</v>
      </c>
    </row>
    <row r="4126" spans="1:23">
      <c r="A4126" s="1" t="s">
        <v>6583</v>
      </c>
      <c r="B4126" s="1" t="s">
        <v>6584</v>
      </c>
      <c r="C4126" s="1" t="s">
        <v>47</v>
      </c>
      <c r="D4126" s="1" t="s">
        <v>19</v>
      </c>
      <c r="E4126" s="1" t="s">
        <v>20</v>
      </c>
      <c r="F4126">
        <v>1</v>
      </c>
      <c r="G4126" s="2">
        <v>46121</v>
      </c>
      <c r="H4126" s="2">
        <v>46122</v>
      </c>
      <c r="I4126">
        <v>142.36000000000001</v>
      </c>
      <c r="J4126">
        <v>45.58</v>
      </c>
      <c r="K4126">
        <v>41.02</v>
      </c>
      <c r="L4126">
        <v>4.5599999999999996</v>
      </c>
      <c r="M4126" s="1" t="s">
        <v>21</v>
      </c>
      <c r="N4126" s="1" t="s">
        <v>22</v>
      </c>
      <c r="O4126" s="2">
        <v>46195</v>
      </c>
      <c r="P4126" s="2">
        <v>46195</v>
      </c>
      <c r="Q4126">
        <f>_xlfn.XLOOKUP(E4126,CPT!$A$2:$A$13,CPT!$D$2:$D$13)</f>
        <v>145</v>
      </c>
      <c r="R4126" s="1">
        <f>_xlfn.XLOOKUP(C4126,Contract!$A$2:$A$9,Contract!$B$2:$B$9)</f>
        <v>0.28000000000000003</v>
      </c>
      <c r="S4126" s="1">
        <f t="shared" si="256"/>
        <v>40.6</v>
      </c>
      <c r="T4126" s="1">
        <f t="shared" si="257"/>
        <v>-4.9799999999999969</v>
      </c>
      <c r="U4126" s="1" t="str">
        <f t="shared" si="258"/>
        <v>OK</v>
      </c>
      <c r="V4126" s="1" t="str">
        <f>_xlfn.XLOOKUP(C4126,Payers!$A$2:$A$9,Payers!$B$2:$B$9)</f>
        <v>Coastal Medicaid MCO</v>
      </c>
      <c r="W4126" s="1" t="str">
        <f t="shared" si="259"/>
        <v>2026-04</v>
      </c>
    </row>
    <row r="4127" spans="1:23">
      <c r="A4127" s="1" t="s">
        <v>6585</v>
      </c>
      <c r="B4127" s="1" t="s">
        <v>971</v>
      </c>
      <c r="C4127" s="1" t="s">
        <v>18</v>
      </c>
      <c r="D4127" s="1" t="s">
        <v>37</v>
      </c>
      <c r="E4127" s="1" t="s">
        <v>48</v>
      </c>
      <c r="F4127">
        <v>1</v>
      </c>
      <c r="G4127" s="2">
        <v>46218</v>
      </c>
      <c r="H4127" s="2">
        <v>46226</v>
      </c>
      <c r="I4127">
        <v>421.18</v>
      </c>
      <c r="J4127">
        <v>170.55</v>
      </c>
      <c r="K4127">
        <v>170.55</v>
      </c>
      <c r="L4127">
        <v>0</v>
      </c>
      <c r="M4127" s="1" t="s">
        <v>21</v>
      </c>
      <c r="N4127" s="1" t="s">
        <v>22</v>
      </c>
      <c r="O4127" s="2">
        <v>46279</v>
      </c>
      <c r="P4127" s="2">
        <v>46279</v>
      </c>
      <c r="Q4127">
        <f>_xlfn.XLOOKUP(E4127,CPT!$A$2:$A$13,CPT!$D$2:$D$13)</f>
        <v>420</v>
      </c>
      <c r="R4127" s="1">
        <f>_xlfn.XLOOKUP(C4127,Contract!$A$2:$A$9,Contract!$B$2:$B$9)</f>
        <v>0.38</v>
      </c>
      <c r="S4127" s="1">
        <f t="shared" si="256"/>
        <v>159.6</v>
      </c>
      <c r="T4127" s="1">
        <f t="shared" si="257"/>
        <v>-10.950000000000017</v>
      </c>
      <c r="U4127" s="1" t="str">
        <f t="shared" si="258"/>
        <v>OK</v>
      </c>
      <c r="V4127" s="1" t="str">
        <f>_xlfn.XLOOKUP(C4127,Payers!$A$2:$A$9,Payers!$B$2:$B$9)</f>
        <v>Sunshine Medicare Advantage</v>
      </c>
      <c r="W4127" s="1" t="str">
        <f t="shared" si="259"/>
        <v>2026-07</v>
      </c>
    </row>
    <row r="4128" spans="1:23">
      <c r="A4128" s="1" t="s">
        <v>6586</v>
      </c>
      <c r="B4128" s="1" t="s">
        <v>6587</v>
      </c>
      <c r="C4128" s="1" t="s">
        <v>52</v>
      </c>
      <c r="D4128" s="1" t="s">
        <v>26</v>
      </c>
      <c r="E4128" s="1" t="s">
        <v>27</v>
      </c>
      <c r="F4128">
        <v>1</v>
      </c>
      <c r="G4128" s="2">
        <v>46066</v>
      </c>
      <c r="H4128" s="2">
        <v>46070</v>
      </c>
      <c r="I4128">
        <v>238.73</v>
      </c>
      <c r="J4128">
        <v>106.58</v>
      </c>
      <c r="K4128">
        <v>85.26</v>
      </c>
      <c r="L4128">
        <v>21.32</v>
      </c>
      <c r="M4128" s="1" t="s">
        <v>21</v>
      </c>
      <c r="N4128" s="1" t="s">
        <v>22</v>
      </c>
      <c r="O4128" s="2">
        <v>46121</v>
      </c>
      <c r="P4128" s="2">
        <v>46121</v>
      </c>
      <c r="Q4128">
        <f>_xlfn.XLOOKUP(E4128,CPT!$A$2:$A$13,CPT!$D$2:$D$13)</f>
        <v>240</v>
      </c>
      <c r="R4128" s="1">
        <f>_xlfn.XLOOKUP(C4128,Contract!$A$2:$A$9,Contract!$B$2:$B$9)</f>
        <v>0.47</v>
      </c>
      <c r="S4128" s="1">
        <f t="shared" si="256"/>
        <v>112.8</v>
      </c>
      <c r="T4128" s="1">
        <f t="shared" si="257"/>
        <v>6.2199999999999989</v>
      </c>
      <c r="U4128" s="1" t="str">
        <f t="shared" si="258"/>
        <v>Underpaid</v>
      </c>
      <c r="V4128" s="1" t="str">
        <f>_xlfn.XLOOKUP(C4128,Payers!$A$2:$A$9,Payers!$B$2:$B$9)</f>
        <v>Keystone Commercial PPO</v>
      </c>
      <c r="W4128" s="1" t="str">
        <f t="shared" si="259"/>
        <v>2026-02</v>
      </c>
    </row>
    <row r="4129" spans="1:23">
      <c r="A4129" s="1" t="s">
        <v>6588</v>
      </c>
      <c r="B4129" s="1" t="s">
        <v>199</v>
      </c>
      <c r="C4129" s="1" t="s">
        <v>18</v>
      </c>
      <c r="D4129" s="1" t="s">
        <v>37</v>
      </c>
      <c r="E4129" s="1" t="s">
        <v>38</v>
      </c>
      <c r="F4129">
        <v>20</v>
      </c>
      <c r="G4129" s="2">
        <v>45947</v>
      </c>
      <c r="H4129" s="2">
        <v>45952</v>
      </c>
      <c r="I4129">
        <v>29682.53</v>
      </c>
      <c r="J4129">
        <v>12387.91</v>
      </c>
      <c r="K4129">
        <v>11149.12</v>
      </c>
      <c r="L4129">
        <v>1238.79</v>
      </c>
      <c r="M4129" s="1" t="s">
        <v>21</v>
      </c>
      <c r="N4129" s="1" t="s">
        <v>22</v>
      </c>
      <c r="O4129" s="2">
        <v>46003</v>
      </c>
      <c r="P4129" s="2">
        <v>46003</v>
      </c>
      <c r="Q4129">
        <f>_xlfn.XLOOKUP(E4129,CPT!$A$2:$A$13,CPT!$D$2:$D$13)</f>
        <v>1450</v>
      </c>
      <c r="R4129" s="1">
        <f>_xlfn.XLOOKUP(C4129,Contract!$A$2:$A$9,Contract!$B$2:$B$9)</f>
        <v>0.38</v>
      </c>
      <c r="S4129" s="1">
        <f t="shared" si="256"/>
        <v>11020</v>
      </c>
      <c r="T4129" s="1">
        <f t="shared" si="257"/>
        <v>-1367.9099999999999</v>
      </c>
      <c r="U4129" s="1" t="str">
        <f t="shared" si="258"/>
        <v>OK</v>
      </c>
      <c r="V4129" s="1" t="str">
        <f>_xlfn.XLOOKUP(C4129,Payers!$A$2:$A$9,Payers!$B$2:$B$9)</f>
        <v>Sunshine Medicare Advantage</v>
      </c>
      <c r="W4129" s="1" t="str">
        <f t="shared" si="259"/>
        <v>2025-10</v>
      </c>
    </row>
    <row r="4130" spans="1:23">
      <c r="A4130" s="1" t="s">
        <v>6589</v>
      </c>
      <c r="B4130" s="1" t="s">
        <v>2631</v>
      </c>
      <c r="C4130" s="1" t="s">
        <v>25</v>
      </c>
      <c r="D4130" s="1" t="s">
        <v>26</v>
      </c>
      <c r="E4130" s="1" t="s">
        <v>41</v>
      </c>
      <c r="F4130">
        <v>1</v>
      </c>
      <c r="G4130" s="2">
        <v>46120</v>
      </c>
      <c r="H4130" s="2">
        <v>46121</v>
      </c>
      <c r="I4130">
        <v>37.31</v>
      </c>
      <c r="M4130" s="1" t="s">
        <v>32</v>
      </c>
      <c r="N4130" s="1" t="s">
        <v>124</v>
      </c>
      <c r="O4130" s="2">
        <v>46143</v>
      </c>
      <c r="P4130" s="2"/>
      <c r="Q4130">
        <f>_xlfn.XLOOKUP(E4130,CPT!$A$2:$A$13,CPT!$D$2:$D$13)</f>
        <v>38</v>
      </c>
      <c r="R4130" s="1">
        <f>_xlfn.XLOOKUP(C4130,Contract!$A$2:$A$9,Contract!$B$2:$B$9)</f>
        <v>0.36</v>
      </c>
      <c r="S4130" s="1">
        <f t="shared" si="256"/>
        <v>13.68</v>
      </c>
      <c r="T4130" s="1" t="str">
        <f t="shared" si="257"/>
        <v/>
      </c>
      <c r="U4130" s="1" t="str">
        <f t="shared" si="258"/>
        <v/>
      </c>
      <c r="V4130" s="1" t="str">
        <f>_xlfn.XLOOKUP(C4130,Payers!$A$2:$A$9,Payers!$B$2:$B$9)</f>
        <v>Medicare Part B</v>
      </c>
      <c r="W4130" s="1" t="str">
        <f t="shared" si="259"/>
        <v>2026-04</v>
      </c>
    </row>
    <row r="4131" spans="1:23">
      <c r="A4131" s="1" t="s">
        <v>6590</v>
      </c>
      <c r="B4131" s="1" t="s">
        <v>1973</v>
      </c>
      <c r="C4131" s="1" t="s">
        <v>60</v>
      </c>
      <c r="D4131" s="1" t="s">
        <v>37</v>
      </c>
      <c r="E4131" s="1" t="s">
        <v>48</v>
      </c>
      <c r="F4131">
        <v>1</v>
      </c>
      <c r="G4131" s="2">
        <v>46190</v>
      </c>
      <c r="H4131" s="2">
        <v>46192</v>
      </c>
      <c r="I4131">
        <v>430.43</v>
      </c>
      <c r="J4131">
        <v>222.39</v>
      </c>
      <c r="K4131">
        <v>222.39</v>
      </c>
      <c r="L4131">
        <v>0</v>
      </c>
      <c r="M4131" s="1" t="s">
        <v>21</v>
      </c>
      <c r="N4131" s="1" t="s">
        <v>22</v>
      </c>
      <c r="O4131" s="2">
        <v>46223</v>
      </c>
      <c r="P4131" s="2">
        <v>46223</v>
      </c>
      <c r="Q4131">
        <f>_xlfn.XLOOKUP(E4131,CPT!$A$2:$A$13,CPT!$D$2:$D$13)</f>
        <v>420</v>
      </c>
      <c r="R4131" s="1">
        <f>_xlfn.XLOOKUP(C4131,Contract!$A$2:$A$9,Contract!$B$2:$B$9)</f>
        <v>0.45</v>
      </c>
      <c r="S4131" s="1">
        <f t="shared" si="256"/>
        <v>189</v>
      </c>
      <c r="T4131" s="1">
        <f t="shared" si="257"/>
        <v>-33.389999999999986</v>
      </c>
      <c r="U4131" s="1" t="str">
        <f t="shared" si="258"/>
        <v>OK</v>
      </c>
      <c r="V4131" s="1" t="str">
        <f>_xlfn.XLOOKUP(C4131,Payers!$A$2:$A$9,Payers!$B$2:$B$9)</f>
        <v>Blue Horizon Commercial</v>
      </c>
      <c r="W4131" s="1" t="str">
        <f t="shared" si="259"/>
        <v>2026-06</v>
      </c>
    </row>
    <row r="4132" spans="1:23">
      <c r="A4132" s="1" t="s">
        <v>6591</v>
      </c>
      <c r="B4132" s="1" t="s">
        <v>6592</v>
      </c>
      <c r="C4132" s="1" t="s">
        <v>25</v>
      </c>
      <c r="D4132" s="1" t="s">
        <v>37</v>
      </c>
      <c r="E4132" s="1" t="s">
        <v>38</v>
      </c>
      <c r="F4132">
        <v>5</v>
      </c>
      <c r="G4132" s="2">
        <v>46004</v>
      </c>
      <c r="H4132" s="2">
        <v>46011</v>
      </c>
      <c r="I4132">
        <v>7046.73</v>
      </c>
      <c r="J4132">
        <v>2561.36</v>
      </c>
      <c r="K4132">
        <v>2305.2199999999998</v>
      </c>
      <c r="L4132">
        <v>256.14</v>
      </c>
      <c r="M4132" s="1" t="s">
        <v>21</v>
      </c>
      <c r="N4132" s="1" t="s">
        <v>22</v>
      </c>
      <c r="O4132" s="2">
        <v>46033</v>
      </c>
      <c r="P4132" s="2">
        <v>46033</v>
      </c>
      <c r="Q4132">
        <f>_xlfn.XLOOKUP(E4132,CPT!$A$2:$A$13,CPT!$D$2:$D$13)</f>
        <v>1450</v>
      </c>
      <c r="R4132" s="1">
        <f>_xlfn.XLOOKUP(C4132,Contract!$A$2:$A$9,Contract!$B$2:$B$9)</f>
        <v>0.36</v>
      </c>
      <c r="S4132" s="1">
        <f t="shared" si="256"/>
        <v>2610</v>
      </c>
      <c r="T4132" s="1">
        <f t="shared" si="257"/>
        <v>48.639999999999873</v>
      </c>
      <c r="U4132" s="1" t="str">
        <f t="shared" si="258"/>
        <v>OK</v>
      </c>
      <c r="V4132" s="1" t="str">
        <f>_xlfn.XLOOKUP(C4132,Payers!$A$2:$A$9,Payers!$B$2:$B$9)</f>
        <v>Medicare Part B</v>
      </c>
      <c r="W4132" s="1" t="str">
        <f t="shared" si="259"/>
        <v>2025-12</v>
      </c>
    </row>
    <row r="4133" spans="1:23">
      <c r="A4133" s="1" t="s">
        <v>6593</v>
      </c>
      <c r="B4133" s="1" t="s">
        <v>4447</v>
      </c>
      <c r="C4133" s="1" t="s">
        <v>25</v>
      </c>
      <c r="D4133" s="1" t="s">
        <v>19</v>
      </c>
      <c r="E4133" s="1" t="s">
        <v>57</v>
      </c>
      <c r="F4133">
        <v>1</v>
      </c>
      <c r="G4133" s="2">
        <v>46209</v>
      </c>
      <c r="H4133" s="2">
        <v>46212</v>
      </c>
      <c r="I4133">
        <v>204.27</v>
      </c>
      <c r="J4133">
        <v>72.88</v>
      </c>
      <c r="K4133">
        <v>72.88</v>
      </c>
      <c r="L4133">
        <v>0</v>
      </c>
      <c r="M4133" s="1" t="s">
        <v>21</v>
      </c>
      <c r="N4133" s="1" t="s">
        <v>22</v>
      </c>
      <c r="O4133" s="2">
        <v>46229</v>
      </c>
      <c r="P4133" s="2">
        <v>46229</v>
      </c>
      <c r="Q4133">
        <f>_xlfn.XLOOKUP(E4133,CPT!$A$2:$A$13,CPT!$D$2:$D$13)</f>
        <v>210</v>
      </c>
      <c r="R4133" s="1">
        <f>_xlfn.XLOOKUP(C4133,Contract!$A$2:$A$9,Contract!$B$2:$B$9)</f>
        <v>0.36</v>
      </c>
      <c r="S4133" s="1">
        <f t="shared" si="256"/>
        <v>75.599999999999994</v>
      </c>
      <c r="T4133" s="1">
        <f t="shared" si="257"/>
        <v>2.7199999999999989</v>
      </c>
      <c r="U4133" s="1" t="str">
        <f t="shared" si="258"/>
        <v>OK</v>
      </c>
      <c r="V4133" s="1" t="str">
        <f>_xlfn.XLOOKUP(C4133,Payers!$A$2:$A$9,Payers!$B$2:$B$9)</f>
        <v>Medicare Part B</v>
      </c>
      <c r="W4133" s="1" t="str">
        <f t="shared" si="259"/>
        <v>2026-07</v>
      </c>
    </row>
    <row r="4134" spans="1:23">
      <c r="A4134" s="1" t="s">
        <v>6594</v>
      </c>
      <c r="B4134" s="1" t="s">
        <v>3012</v>
      </c>
      <c r="C4134" s="1" t="s">
        <v>36</v>
      </c>
      <c r="D4134" s="1" t="s">
        <v>26</v>
      </c>
      <c r="E4134" s="1" t="s">
        <v>27</v>
      </c>
      <c r="F4134">
        <v>1</v>
      </c>
      <c r="G4134" s="2">
        <v>46140</v>
      </c>
      <c r="H4134" s="2">
        <v>46145</v>
      </c>
      <c r="I4134">
        <v>240.96</v>
      </c>
      <c r="J4134">
        <v>59.09</v>
      </c>
      <c r="K4134">
        <v>47.27</v>
      </c>
      <c r="L4134">
        <v>11.82</v>
      </c>
      <c r="M4134" s="1" t="s">
        <v>21</v>
      </c>
      <c r="N4134" s="1" t="s">
        <v>22</v>
      </c>
      <c r="O4134" s="2">
        <v>46193</v>
      </c>
      <c r="P4134" s="2">
        <v>46193</v>
      </c>
      <c r="Q4134">
        <f>_xlfn.XLOOKUP(E4134,CPT!$A$2:$A$13,CPT!$D$2:$D$13)</f>
        <v>240</v>
      </c>
      <c r="R4134" s="1">
        <f>_xlfn.XLOOKUP(C4134,Contract!$A$2:$A$9,Contract!$B$2:$B$9)</f>
        <v>0.27</v>
      </c>
      <c r="S4134" s="1">
        <f t="shared" si="256"/>
        <v>64.8</v>
      </c>
      <c r="T4134" s="1">
        <f t="shared" si="257"/>
        <v>5.7099999999999937</v>
      </c>
      <c r="U4134" s="1" t="str">
        <f t="shared" si="258"/>
        <v>Underpaid</v>
      </c>
      <c r="V4134" s="1" t="str">
        <f>_xlfn.XLOOKUP(C4134,Payers!$A$2:$A$9,Payers!$B$2:$B$9)</f>
        <v>Florida Medicaid</v>
      </c>
      <c r="W4134" s="1" t="str">
        <f t="shared" si="259"/>
        <v>2026-04</v>
      </c>
    </row>
    <row r="4135" spans="1:23">
      <c r="A4135" s="1" t="s">
        <v>6595</v>
      </c>
      <c r="B4135" s="1" t="s">
        <v>4939</v>
      </c>
      <c r="C4135" s="1" t="s">
        <v>76</v>
      </c>
      <c r="D4135" s="1" t="s">
        <v>26</v>
      </c>
      <c r="E4135" s="1" t="s">
        <v>57</v>
      </c>
      <c r="F4135">
        <v>1</v>
      </c>
      <c r="G4135" s="2">
        <v>45942</v>
      </c>
      <c r="H4135" s="2">
        <v>45944</v>
      </c>
      <c r="I4135">
        <v>212.81</v>
      </c>
      <c r="J4135">
        <v>102.98</v>
      </c>
      <c r="K4135">
        <v>102.98</v>
      </c>
      <c r="L4135">
        <v>0</v>
      </c>
      <c r="M4135" s="1" t="s">
        <v>21</v>
      </c>
      <c r="N4135" s="1" t="s">
        <v>22</v>
      </c>
      <c r="O4135" s="2">
        <v>45978</v>
      </c>
      <c r="P4135" s="2">
        <v>45978</v>
      </c>
      <c r="Q4135">
        <f>_xlfn.XLOOKUP(E4135,CPT!$A$2:$A$13,CPT!$D$2:$D$13)</f>
        <v>210</v>
      </c>
      <c r="R4135" s="1">
        <f>_xlfn.XLOOKUP(C4135,Contract!$A$2:$A$9,Contract!$B$2:$B$9)</f>
        <v>0.43</v>
      </c>
      <c r="S4135" s="1">
        <f t="shared" si="256"/>
        <v>90.3</v>
      </c>
      <c r="T4135" s="1">
        <f t="shared" si="257"/>
        <v>-12.680000000000007</v>
      </c>
      <c r="U4135" s="1" t="str">
        <f t="shared" si="258"/>
        <v>OK</v>
      </c>
      <c r="V4135" s="1" t="str">
        <f>_xlfn.XLOOKUP(C4135,Payers!$A$2:$A$9,Payers!$B$2:$B$9)</f>
        <v>Summit Health Commercial</v>
      </c>
      <c r="W4135" s="1" t="str">
        <f t="shared" si="259"/>
        <v>2025-10</v>
      </c>
    </row>
    <row r="4136" spans="1:23">
      <c r="A4136" s="1" t="s">
        <v>6596</v>
      </c>
      <c r="B4136" s="1" t="s">
        <v>1788</v>
      </c>
      <c r="C4136" s="1" t="s">
        <v>25</v>
      </c>
      <c r="D4136" s="1" t="s">
        <v>26</v>
      </c>
      <c r="E4136" s="1" t="s">
        <v>88</v>
      </c>
      <c r="F4136">
        <v>1</v>
      </c>
      <c r="G4136" s="2">
        <v>46055</v>
      </c>
      <c r="H4136" s="2">
        <v>46060</v>
      </c>
      <c r="I4136">
        <v>263.27999999999997</v>
      </c>
      <c r="M4136" s="1" t="s">
        <v>32</v>
      </c>
      <c r="N4136" s="1" t="s">
        <v>281</v>
      </c>
      <c r="O4136" s="2">
        <v>46084</v>
      </c>
      <c r="P4136" s="2"/>
      <c r="Q4136">
        <f>_xlfn.XLOOKUP(E4136,CPT!$A$2:$A$13,CPT!$D$2:$D$13)</f>
        <v>260</v>
      </c>
      <c r="R4136" s="1">
        <f>_xlfn.XLOOKUP(C4136,Contract!$A$2:$A$9,Contract!$B$2:$B$9)</f>
        <v>0.36</v>
      </c>
      <c r="S4136" s="1">
        <f t="shared" si="256"/>
        <v>93.6</v>
      </c>
      <c r="T4136" s="1" t="str">
        <f t="shared" si="257"/>
        <v/>
      </c>
      <c r="U4136" s="1" t="str">
        <f t="shared" si="258"/>
        <v/>
      </c>
      <c r="V4136" s="1" t="str">
        <f>_xlfn.XLOOKUP(C4136,Payers!$A$2:$A$9,Payers!$B$2:$B$9)</f>
        <v>Medicare Part B</v>
      </c>
      <c r="W4136" s="1" t="str">
        <f t="shared" si="259"/>
        <v>2026-02</v>
      </c>
    </row>
    <row r="4137" spans="1:23">
      <c r="A4137" s="1" t="s">
        <v>6597</v>
      </c>
      <c r="B4137" s="1" t="s">
        <v>6598</v>
      </c>
      <c r="C4137" s="1" t="s">
        <v>47</v>
      </c>
      <c r="D4137" s="1" t="s">
        <v>37</v>
      </c>
      <c r="E4137" s="1" t="s">
        <v>57</v>
      </c>
      <c r="F4137">
        <v>1</v>
      </c>
      <c r="G4137" s="2">
        <v>45935</v>
      </c>
      <c r="H4137" s="2">
        <v>45939</v>
      </c>
      <c r="I4137">
        <v>214.72</v>
      </c>
      <c r="J4137">
        <v>53.67</v>
      </c>
      <c r="K4137">
        <v>48.3</v>
      </c>
      <c r="L4137">
        <v>5.37</v>
      </c>
      <c r="M4137" s="1" t="s">
        <v>21</v>
      </c>
      <c r="N4137" s="1" t="s">
        <v>22</v>
      </c>
      <c r="O4137" s="2">
        <v>45995</v>
      </c>
      <c r="P4137" s="2">
        <v>45995</v>
      </c>
      <c r="Q4137">
        <f>_xlfn.XLOOKUP(E4137,CPT!$A$2:$A$13,CPT!$D$2:$D$13)</f>
        <v>210</v>
      </c>
      <c r="R4137" s="1">
        <f>_xlfn.XLOOKUP(C4137,Contract!$A$2:$A$9,Contract!$B$2:$B$9)</f>
        <v>0.28000000000000003</v>
      </c>
      <c r="S4137" s="1">
        <f t="shared" si="256"/>
        <v>58.8</v>
      </c>
      <c r="T4137" s="1">
        <f t="shared" si="257"/>
        <v>5.1299999999999955</v>
      </c>
      <c r="U4137" s="1" t="str">
        <f t="shared" si="258"/>
        <v>Underpaid</v>
      </c>
      <c r="V4137" s="1" t="str">
        <f>_xlfn.XLOOKUP(C4137,Payers!$A$2:$A$9,Payers!$B$2:$B$9)</f>
        <v>Coastal Medicaid MCO</v>
      </c>
      <c r="W4137" s="1" t="str">
        <f t="shared" si="259"/>
        <v>2025-10</v>
      </c>
    </row>
    <row r="4138" spans="1:23">
      <c r="A4138" s="1" t="s">
        <v>6599</v>
      </c>
      <c r="B4138" s="1" t="s">
        <v>6600</v>
      </c>
      <c r="C4138" s="1" t="s">
        <v>60</v>
      </c>
      <c r="D4138" s="1" t="s">
        <v>37</v>
      </c>
      <c r="E4138" s="1" t="s">
        <v>48</v>
      </c>
      <c r="F4138">
        <v>1</v>
      </c>
      <c r="G4138" s="2">
        <v>46115</v>
      </c>
      <c r="H4138" s="2">
        <v>46117</v>
      </c>
      <c r="I4138">
        <v>418.27</v>
      </c>
      <c r="M4138" s="1" t="s">
        <v>32</v>
      </c>
      <c r="N4138" s="1" t="s">
        <v>315</v>
      </c>
      <c r="O4138" s="2">
        <v>46146</v>
      </c>
      <c r="P4138" s="2"/>
      <c r="Q4138">
        <f>_xlfn.XLOOKUP(E4138,CPT!$A$2:$A$13,CPT!$D$2:$D$13)</f>
        <v>420</v>
      </c>
      <c r="R4138" s="1">
        <f>_xlfn.XLOOKUP(C4138,Contract!$A$2:$A$9,Contract!$B$2:$B$9)</f>
        <v>0.45</v>
      </c>
      <c r="S4138" s="1">
        <f t="shared" si="256"/>
        <v>189</v>
      </c>
      <c r="T4138" s="1" t="str">
        <f t="shared" si="257"/>
        <v/>
      </c>
      <c r="U4138" s="1" t="str">
        <f t="shared" si="258"/>
        <v/>
      </c>
      <c r="V4138" s="1" t="str">
        <f>_xlfn.XLOOKUP(C4138,Payers!$A$2:$A$9,Payers!$B$2:$B$9)</f>
        <v>Blue Horizon Commercial</v>
      </c>
      <c r="W4138" s="1" t="str">
        <f t="shared" si="259"/>
        <v>2026-04</v>
      </c>
    </row>
    <row r="4139" spans="1:23">
      <c r="A4139" s="1" t="s">
        <v>6601</v>
      </c>
      <c r="B4139" s="1" t="s">
        <v>5924</v>
      </c>
      <c r="C4139" s="1" t="s">
        <v>25</v>
      </c>
      <c r="D4139" s="1" t="s">
        <v>26</v>
      </c>
      <c r="E4139" s="1" t="s">
        <v>57</v>
      </c>
      <c r="F4139">
        <v>1</v>
      </c>
      <c r="G4139" s="2">
        <v>45993</v>
      </c>
      <c r="H4139" s="2">
        <v>45997</v>
      </c>
      <c r="I4139">
        <v>207.9</v>
      </c>
      <c r="J4139">
        <v>81.98</v>
      </c>
      <c r="K4139">
        <v>81.98</v>
      </c>
      <c r="L4139">
        <v>0</v>
      </c>
      <c r="M4139" s="1" t="s">
        <v>21</v>
      </c>
      <c r="N4139" s="1" t="s">
        <v>22</v>
      </c>
      <c r="O4139" s="2">
        <v>46005</v>
      </c>
      <c r="P4139" s="2">
        <v>46005</v>
      </c>
      <c r="Q4139">
        <f>_xlfn.XLOOKUP(E4139,CPT!$A$2:$A$13,CPT!$D$2:$D$13)</f>
        <v>210</v>
      </c>
      <c r="R4139" s="1">
        <f>_xlfn.XLOOKUP(C4139,Contract!$A$2:$A$9,Contract!$B$2:$B$9)</f>
        <v>0.36</v>
      </c>
      <c r="S4139" s="1">
        <f t="shared" si="256"/>
        <v>75.599999999999994</v>
      </c>
      <c r="T4139" s="1">
        <f t="shared" si="257"/>
        <v>-6.3800000000000097</v>
      </c>
      <c r="U4139" s="1" t="str">
        <f t="shared" si="258"/>
        <v>OK</v>
      </c>
      <c r="V4139" s="1" t="str">
        <f>_xlfn.XLOOKUP(C4139,Payers!$A$2:$A$9,Payers!$B$2:$B$9)</f>
        <v>Medicare Part B</v>
      </c>
      <c r="W4139" s="1" t="str">
        <f t="shared" si="259"/>
        <v>2025-12</v>
      </c>
    </row>
    <row r="4140" spans="1:23">
      <c r="A4140" s="1" t="s">
        <v>6602</v>
      </c>
      <c r="B4140" s="1" t="s">
        <v>4874</v>
      </c>
      <c r="C4140" s="1" t="s">
        <v>76</v>
      </c>
      <c r="D4140" s="1" t="s">
        <v>26</v>
      </c>
      <c r="E4140" s="1" t="s">
        <v>44</v>
      </c>
      <c r="F4140">
        <v>1</v>
      </c>
      <c r="G4140" s="2">
        <v>46050</v>
      </c>
      <c r="H4140" s="2">
        <v>46056</v>
      </c>
      <c r="I4140">
        <v>4701.37</v>
      </c>
      <c r="M4140" s="1" t="s">
        <v>32</v>
      </c>
      <c r="N4140" s="1" t="s">
        <v>49</v>
      </c>
      <c r="O4140" s="2">
        <v>46088</v>
      </c>
      <c r="P4140" s="2"/>
      <c r="Q4140">
        <f>_xlfn.XLOOKUP(E4140,CPT!$A$2:$A$13,CPT!$D$2:$D$13)</f>
        <v>4800</v>
      </c>
      <c r="R4140" s="1">
        <f>_xlfn.XLOOKUP(C4140,Contract!$A$2:$A$9,Contract!$B$2:$B$9)</f>
        <v>0.43</v>
      </c>
      <c r="S4140" s="1">
        <f t="shared" si="256"/>
        <v>2064</v>
      </c>
      <c r="T4140" s="1" t="str">
        <f t="shared" si="257"/>
        <v/>
      </c>
      <c r="U4140" s="1" t="str">
        <f t="shared" si="258"/>
        <v/>
      </c>
      <c r="V4140" s="1" t="str">
        <f>_xlfn.XLOOKUP(C4140,Payers!$A$2:$A$9,Payers!$B$2:$B$9)</f>
        <v>Summit Health Commercial</v>
      </c>
      <c r="W4140" s="1" t="str">
        <f t="shared" si="259"/>
        <v>2026-01</v>
      </c>
    </row>
    <row r="4141" spans="1:23">
      <c r="A4141" s="1" t="s">
        <v>6603</v>
      </c>
      <c r="B4141" s="1" t="s">
        <v>6604</v>
      </c>
      <c r="C4141" s="1" t="s">
        <v>36</v>
      </c>
      <c r="D4141" s="1" t="s">
        <v>26</v>
      </c>
      <c r="E4141" s="1" t="s">
        <v>113</v>
      </c>
      <c r="F4141">
        <v>1</v>
      </c>
      <c r="G4141" s="2">
        <v>46142</v>
      </c>
      <c r="H4141" s="2">
        <v>46146</v>
      </c>
      <c r="I4141">
        <v>1081.26</v>
      </c>
      <c r="J4141">
        <v>329.8</v>
      </c>
      <c r="K4141">
        <v>329.8</v>
      </c>
      <c r="L4141">
        <v>0</v>
      </c>
      <c r="M4141" s="1" t="s">
        <v>21</v>
      </c>
      <c r="N4141" s="1" t="s">
        <v>22</v>
      </c>
      <c r="O4141" s="2">
        <v>46158</v>
      </c>
      <c r="P4141" s="2">
        <v>46158</v>
      </c>
      <c r="Q4141">
        <f>_xlfn.XLOOKUP(E4141,CPT!$A$2:$A$13,CPT!$D$2:$D$13)</f>
        <v>1050</v>
      </c>
      <c r="R4141" s="1">
        <f>_xlfn.XLOOKUP(C4141,Contract!$A$2:$A$9,Contract!$B$2:$B$9)</f>
        <v>0.27</v>
      </c>
      <c r="S4141" s="1">
        <f t="shared" si="256"/>
        <v>283.5</v>
      </c>
      <c r="T4141" s="1">
        <f t="shared" si="257"/>
        <v>-46.300000000000011</v>
      </c>
      <c r="U4141" s="1" t="str">
        <f t="shared" si="258"/>
        <v>OK</v>
      </c>
      <c r="V4141" s="1" t="str">
        <f>_xlfn.XLOOKUP(C4141,Payers!$A$2:$A$9,Payers!$B$2:$B$9)</f>
        <v>Florida Medicaid</v>
      </c>
      <c r="W4141" s="1" t="str">
        <f t="shared" si="259"/>
        <v>2026-04</v>
      </c>
    </row>
    <row r="4142" spans="1:23">
      <c r="A4142" s="1" t="s">
        <v>6605</v>
      </c>
      <c r="B4142" s="1" t="s">
        <v>2074</v>
      </c>
      <c r="C4142" s="1" t="s">
        <v>18</v>
      </c>
      <c r="D4142" s="1" t="s">
        <v>26</v>
      </c>
      <c r="E4142" s="1" t="s">
        <v>57</v>
      </c>
      <c r="F4142">
        <v>1</v>
      </c>
      <c r="G4142" s="2">
        <v>46043</v>
      </c>
      <c r="H4142" s="2">
        <v>46044</v>
      </c>
      <c r="I4142">
        <v>216.01</v>
      </c>
      <c r="J4142">
        <v>84.67</v>
      </c>
      <c r="K4142">
        <v>67.739999999999995</v>
      </c>
      <c r="L4142">
        <v>16.93</v>
      </c>
      <c r="M4142" s="1" t="s">
        <v>21</v>
      </c>
      <c r="N4142" s="1" t="s">
        <v>22</v>
      </c>
      <c r="O4142" s="2">
        <v>46063</v>
      </c>
      <c r="P4142" s="2">
        <v>46063</v>
      </c>
      <c r="Q4142">
        <f>_xlfn.XLOOKUP(E4142,CPT!$A$2:$A$13,CPT!$D$2:$D$13)</f>
        <v>210</v>
      </c>
      <c r="R4142" s="1">
        <f>_xlfn.XLOOKUP(C4142,Contract!$A$2:$A$9,Contract!$B$2:$B$9)</f>
        <v>0.38</v>
      </c>
      <c r="S4142" s="1">
        <f t="shared" si="256"/>
        <v>79.8</v>
      </c>
      <c r="T4142" s="1">
        <f t="shared" si="257"/>
        <v>-4.8700000000000045</v>
      </c>
      <c r="U4142" s="1" t="str">
        <f t="shared" si="258"/>
        <v>OK</v>
      </c>
      <c r="V4142" s="1" t="str">
        <f>_xlfn.XLOOKUP(C4142,Payers!$A$2:$A$9,Payers!$B$2:$B$9)</f>
        <v>Sunshine Medicare Advantage</v>
      </c>
      <c r="W4142" s="1" t="str">
        <f t="shared" si="259"/>
        <v>2026-01</v>
      </c>
    </row>
    <row r="4143" spans="1:23">
      <c r="A4143" s="1" t="s">
        <v>6606</v>
      </c>
      <c r="B4143" s="1" t="s">
        <v>2768</v>
      </c>
      <c r="C4143" s="1" t="s">
        <v>60</v>
      </c>
      <c r="D4143" s="1" t="s">
        <v>19</v>
      </c>
      <c r="E4143" s="1" t="s">
        <v>57</v>
      </c>
      <c r="F4143">
        <v>1</v>
      </c>
      <c r="G4143" s="2">
        <v>46211</v>
      </c>
      <c r="H4143" s="2">
        <v>46218</v>
      </c>
      <c r="I4143">
        <v>212.86</v>
      </c>
      <c r="J4143">
        <v>92.46</v>
      </c>
      <c r="K4143">
        <v>83.21</v>
      </c>
      <c r="L4143">
        <v>9.25</v>
      </c>
      <c r="M4143" s="1" t="s">
        <v>21</v>
      </c>
      <c r="N4143" s="1" t="s">
        <v>22</v>
      </c>
      <c r="O4143" s="2">
        <v>46262</v>
      </c>
      <c r="P4143" s="2">
        <v>46262</v>
      </c>
      <c r="Q4143">
        <f>_xlfn.XLOOKUP(E4143,CPT!$A$2:$A$13,CPT!$D$2:$D$13)</f>
        <v>210</v>
      </c>
      <c r="R4143" s="1">
        <f>_xlfn.XLOOKUP(C4143,Contract!$A$2:$A$9,Contract!$B$2:$B$9)</f>
        <v>0.45</v>
      </c>
      <c r="S4143" s="1">
        <f t="shared" si="256"/>
        <v>94.5</v>
      </c>
      <c r="T4143" s="1">
        <f t="shared" si="257"/>
        <v>2.0400000000000063</v>
      </c>
      <c r="U4143" s="1" t="str">
        <f t="shared" si="258"/>
        <v>OK</v>
      </c>
      <c r="V4143" s="1" t="str">
        <f>_xlfn.XLOOKUP(C4143,Payers!$A$2:$A$9,Payers!$B$2:$B$9)</f>
        <v>Blue Horizon Commercial</v>
      </c>
      <c r="W4143" s="1" t="str">
        <f t="shared" si="259"/>
        <v>2026-07</v>
      </c>
    </row>
    <row r="4144" spans="1:23">
      <c r="A4144" s="1" t="s">
        <v>6607</v>
      </c>
      <c r="B4144" s="1" t="s">
        <v>6608</v>
      </c>
      <c r="C4144" s="1" t="s">
        <v>76</v>
      </c>
      <c r="D4144" s="1" t="s">
        <v>26</v>
      </c>
      <c r="E4144" s="1" t="s">
        <v>185</v>
      </c>
      <c r="F4144">
        <v>1</v>
      </c>
      <c r="G4144" s="2">
        <v>46017</v>
      </c>
      <c r="H4144" s="2">
        <v>46020</v>
      </c>
      <c r="I4144">
        <v>1127.5899999999999</v>
      </c>
      <c r="J4144">
        <v>446.63</v>
      </c>
      <c r="K4144">
        <v>446.63</v>
      </c>
      <c r="L4144">
        <v>0</v>
      </c>
      <c r="M4144" s="1" t="s">
        <v>21</v>
      </c>
      <c r="N4144" s="1" t="s">
        <v>22</v>
      </c>
      <c r="O4144" s="2">
        <v>46049</v>
      </c>
      <c r="P4144" s="2">
        <v>46049</v>
      </c>
      <c r="Q4144">
        <f>_xlfn.XLOOKUP(E4144,CPT!$A$2:$A$13,CPT!$D$2:$D$13)</f>
        <v>1150</v>
      </c>
      <c r="R4144" s="1">
        <f>_xlfn.XLOOKUP(C4144,Contract!$A$2:$A$9,Contract!$B$2:$B$9)</f>
        <v>0.43</v>
      </c>
      <c r="S4144" s="1">
        <f t="shared" si="256"/>
        <v>494.5</v>
      </c>
      <c r="T4144" s="1">
        <f t="shared" si="257"/>
        <v>47.870000000000005</v>
      </c>
      <c r="U4144" s="1" t="str">
        <f t="shared" si="258"/>
        <v>Underpaid</v>
      </c>
      <c r="V4144" s="1" t="str">
        <f>_xlfn.XLOOKUP(C4144,Payers!$A$2:$A$9,Payers!$B$2:$B$9)</f>
        <v>Summit Health Commercial</v>
      </c>
      <c r="W4144" s="1" t="str">
        <f t="shared" si="259"/>
        <v>2025-12</v>
      </c>
    </row>
    <row r="4145" spans="1:23">
      <c r="A4145" s="1" t="s">
        <v>6609</v>
      </c>
      <c r="B4145" s="1" t="s">
        <v>1563</v>
      </c>
      <c r="C4145" s="1" t="s">
        <v>25</v>
      </c>
      <c r="D4145" s="1" t="s">
        <v>37</v>
      </c>
      <c r="E4145" s="1" t="s">
        <v>57</v>
      </c>
      <c r="F4145">
        <v>1</v>
      </c>
      <c r="G4145" s="2">
        <v>46259</v>
      </c>
      <c r="H4145" s="2">
        <v>46265</v>
      </c>
      <c r="I4145">
        <v>203.87</v>
      </c>
      <c r="J4145">
        <v>76.010000000000005</v>
      </c>
      <c r="K4145">
        <v>68.41</v>
      </c>
      <c r="L4145">
        <v>7.6</v>
      </c>
      <c r="M4145" s="1" t="s">
        <v>21</v>
      </c>
      <c r="N4145" s="1" t="s">
        <v>22</v>
      </c>
      <c r="O4145" s="2">
        <v>46281</v>
      </c>
      <c r="P4145" s="2">
        <v>46281</v>
      </c>
      <c r="Q4145">
        <f>_xlfn.XLOOKUP(E4145,CPT!$A$2:$A$13,CPT!$D$2:$D$13)</f>
        <v>210</v>
      </c>
      <c r="R4145" s="1">
        <f>_xlfn.XLOOKUP(C4145,Contract!$A$2:$A$9,Contract!$B$2:$B$9)</f>
        <v>0.36</v>
      </c>
      <c r="S4145" s="1">
        <f t="shared" si="256"/>
        <v>75.599999999999994</v>
      </c>
      <c r="T4145" s="1">
        <f t="shared" si="257"/>
        <v>-0.4100000000000108</v>
      </c>
      <c r="U4145" s="1" t="str">
        <f t="shared" si="258"/>
        <v>OK</v>
      </c>
      <c r="V4145" s="1" t="str">
        <f>_xlfn.XLOOKUP(C4145,Payers!$A$2:$A$9,Payers!$B$2:$B$9)</f>
        <v>Medicare Part B</v>
      </c>
      <c r="W4145" s="1" t="str">
        <f t="shared" si="259"/>
        <v>2026-08</v>
      </c>
    </row>
    <row r="4146" spans="1:23">
      <c r="A4146" s="1" t="s">
        <v>6610</v>
      </c>
      <c r="B4146" s="1" t="s">
        <v>1491</v>
      </c>
      <c r="C4146" s="1" t="s">
        <v>52</v>
      </c>
      <c r="D4146" s="1" t="s">
        <v>19</v>
      </c>
      <c r="E4146" s="1" t="s">
        <v>20</v>
      </c>
      <c r="F4146">
        <v>1</v>
      </c>
      <c r="G4146" s="2">
        <v>46049</v>
      </c>
      <c r="H4146" s="2">
        <v>46051</v>
      </c>
      <c r="I4146">
        <v>144.11000000000001</v>
      </c>
      <c r="J4146">
        <v>61.29</v>
      </c>
      <c r="K4146">
        <v>61.29</v>
      </c>
      <c r="L4146">
        <v>0</v>
      </c>
      <c r="M4146" s="1" t="s">
        <v>21</v>
      </c>
      <c r="N4146" s="1" t="s">
        <v>22</v>
      </c>
      <c r="O4146" s="2">
        <v>46111</v>
      </c>
      <c r="P4146" s="2">
        <v>46111</v>
      </c>
      <c r="Q4146">
        <f>_xlfn.XLOOKUP(E4146,CPT!$A$2:$A$13,CPT!$D$2:$D$13)</f>
        <v>145</v>
      </c>
      <c r="R4146" s="1">
        <f>_xlfn.XLOOKUP(C4146,Contract!$A$2:$A$9,Contract!$B$2:$B$9)</f>
        <v>0.47</v>
      </c>
      <c r="S4146" s="1">
        <f t="shared" si="256"/>
        <v>68.150000000000006</v>
      </c>
      <c r="T4146" s="1">
        <f t="shared" si="257"/>
        <v>6.8600000000000065</v>
      </c>
      <c r="U4146" s="1" t="str">
        <f t="shared" si="258"/>
        <v>Underpaid</v>
      </c>
      <c r="V4146" s="1" t="str">
        <f>_xlfn.XLOOKUP(C4146,Payers!$A$2:$A$9,Payers!$B$2:$B$9)</f>
        <v>Keystone Commercial PPO</v>
      </c>
      <c r="W4146" s="1" t="str">
        <f t="shared" si="259"/>
        <v>2026-01</v>
      </c>
    </row>
    <row r="4147" spans="1:23">
      <c r="A4147" s="1" t="s">
        <v>6611</v>
      </c>
      <c r="B4147" s="1" t="s">
        <v>4885</v>
      </c>
      <c r="C4147" s="1" t="s">
        <v>79</v>
      </c>
      <c r="D4147" s="1" t="s">
        <v>26</v>
      </c>
      <c r="E4147" s="1" t="s">
        <v>88</v>
      </c>
      <c r="F4147">
        <v>1</v>
      </c>
      <c r="G4147" s="2">
        <v>46121</v>
      </c>
      <c r="H4147" s="2">
        <v>46131</v>
      </c>
      <c r="I4147">
        <v>261.29000000000002</v>
      </c>
      <c r="J4147">
        <v>261.29000000000002</v>
      </c>
      <c r="K4147">
        <v>261.29000000000002</v>
      </c>
      <c r="L4147">
        <v>0</v>
      </c>
      <c r="M4147" s="1" t="s">
        <v>21</v>
      </c>
      <c r="N4147" s="1" t="s">
        <v>22</v>
      </c>
      <c r="O4147" s="2">
        <v>46210</v>
      </c>
      <c r="P4147" s="2">
        <v>46210</v>
      </c>
      <c r="Q4147">
        <f>_xlfn.XLOOKUP(E4147,CPT!$A$2:$A$13,CPT!$D$2:$D$13)</f>
        <v>260</v>
      </c>
      <c r="R4147" s="1">
        <f>_xlfn.XLOOKUP(C4147,Contract!$A$2:$A$9,Contract!$B$2:$B$9)</f>
        <v>1</v>
      </c>
      <c r="S4147" s="1">
        <f t="shared" si="256"/>
        <v>260</v>
      </c>
      <c r="T4147" s="1">
        <f t="shared" si="257"/>
        <v>-1.2900000000000205</v>
      </c>
      <c r="U4147" s="1" t="str">
        <f t="shared" si="258"/>
        <v>OK</v>
      </c>
      <c r="V4147" s="1" t="str">
        <f>_xlfn.XLOOKUP(C4147,Payers!$A$2:$A$9,Payers!$B$2:$B$9)</f>
        <v>Self-Pay</v>
      </c>
      <c r="W4147" s="1" t="str">
        <f t="shared" si="259"/>
        <v>2026-04</v>
      </c>
    </row>
    <row r="4148" spans="1:23">
      <c r="A4148" s="1" t="s">
        <v>6612</v>
      </c>
      <c r="B4148" s="1" t="s">
        <v>4719</v>
      </c>
      <c r="C4148" s="1" t="s">
        <v>76</v>
      </c>
      <c r="D4148" s="1" t="s">
        <v>19</v>
      </c>
      <c r="E4148" s="1" t="s">
        <v>20</v>
      </c>
      <c r="F4148">
        <v>1</v>
      </c>
      <c r="G4148" s="2">
        <v>46103</v>
      </c>
      <c r="H4148" s="2">
        <v>46105</v>
      </c>
      <c r="I4148">
        <v>141.44</v>
      </c>
      <c r="J4148">
        <v>69.39</v>
      </c>
      <c r="K4148">
        <v>62.45</v>
      </c>
      <c r="L4148">
        <v>6.94</v>
      </c>
      <c r="M4148" s="1" t="s">
        <v>21</v>
      </c>
      <c r="N4148" s="1" t="s">
        <v>22</v>
      </c>
      <c r="O4148" s="2">
        <v>46127</v>
      </c>
      <c r="P4148" s="2">
        <v>46127</v>
      </c>
      <c r="Q4148">
        <f>_xlfn.XLOOKUP(E4148,CPT!$A$2:$A$13,CPT!$D$2:$D$13)</f>
        <v>145</v>
      </c>
      <c r="R4148" s="1">
        <f>_xlfn.XLOOKUP(C4148,Contract!$A$2:$A$9,Contract!$B$2:$B$9)</f>
        <v>0.43</v>
      </c>
      <c r="S4148" s="1">
        <f t="shared" si="256"/>
        <v>62.35</v>
      </c>
      <c r="T4148" s="1">
        <f t="shared" si="257"/>
        <v>-7.0399999999999991</v>
      </c>
      <c r="U4148" s="1" t="str">
        <f t="shared" si="258"/>
        <v>OK</v>
      </c>
      <c r="V4148" s="1" t="str">
        <f>_xlfn.XLOOKUP(C4148,Payers!$A$2:$A$9,Payers!$B$2:$B$9)</f>
        <v>Summit Health Commercial</v>
      </c>
      <c r="W4148" s="1" t="str">
        <f t="shared" si="259"/>
        <v>2026-03</v>
      </c>
    </row>
    <row r="4149" spans="1:23">
      <c r="A4149" s="1" t="s">
        <v>6613</v>
      </c>
      <c r="B4149" s="1" t="s">
        <v>5022</v>
      </c>
      <c r="C4149" s="1" t="s">
        <v>60</v>
      </c>
      <c r="D4149" s="1" t="s">
        <v>19</v>
      </c>
      <c r="E4149" s="1" t="s">
        <v>57</v>
      </c>
      <c r="F4149">
        <v>1</v>
      </c>
      <c r="G4149" s="2">
        <v>46178</v>
      </c>
      <c r="H4149" s="2">
        <v>46182</v>
      </c>
      <c r="I4149">
        <v>206.2</v>
      </c>
      <c r="J4149">
        <v>100.78</v>
      </c>
      <c r="K4149">
        <v>80.62</v>
      </c>
      <c r="L4149">
        <v>20.16</v>
      </c>
      <c r="M4149" s="1" t="s">
        <v>21</v>
      </c>
      <c r="N4149" s="1" t="s">
        <v>22</v>
      </c>
      <c r="O4149" s="2">
        <v>46218</v>
      </c>
      <c r="P4149" s="2">
        <v>46218</v>
      </c>
      <c r="Q4149">
        <f>_xlfn.XLOOKUP(E4149,CPT!$A$2:$A$13,CPT!$D$2:$D$13)</f>
        <v>210</v>
      </c>
      <c r="R4149" s="1">
        <f>_xlfn.XLOOKUP(C4149,Contract!$A$2:$A$9,Contract!$B$2:$B$9)</f>
        <v>0.45</v>
      </c>
      <c r="S4149" s="1">
        <f t="shared" si="256"/>
        <v>94.5</v>
      </c>
      <c r="T4149" s="1">
        <f t="shared" si="257"/>
        <v>-6.2800000000000011</v>
      </c>
      <c r="U4149" s="1" t="str">
        <f t="shared" si="258"/>
        <v>OK</v>
      </c>
      <c r="V4149" s="1" t="str">
        <f>_xlfn.XLOOKUP(C4149,Payers!$A$2:$A$9,Payers!$B$2:$B$9)</f>
        <v>Blue Horizon Commercial</v>
      </c>
      <c r="W4149" s="1" t="str">
        <f t="shared" si="259"/>
        <v>2026-06</v>
      </c>
    </row>
    <row r="4150" spans="1:23">
      <c r="A4150" s="1" t="s">
        <v>6614</v>
      </c>
      <c r="B4150" s="1" t="s">
        <v>2439</v>
      </c>
      <c r="C4150" s="1" t="s">
        <v>25</v>
      </c>
      <c r="D4150" s="1" t="s">
        <v>37</v>
      </c>
      <c r="E4150" s="1" t="s">
        <v>57</v>
      </c>
      <c r="F4150">
        <v>1</v>
      </c>
      <c r="G4150" s="2">
        <v>46270</v>
      </c>
      <c r="H4150" s="2">
        <v>46279</v>
      </c>
      <c r="I4150">
        <v>205.74</v>
      </c>
      <c r="J4150">
        <v>77.37</v>
      </c>
      <c r="K4150">
        <v>69.63</v>
      </c>
      <c r="L4150">
        <v>7.74</v>
      </c>
      <c r="M4150" s="1" t="s">
        <v>21</v>
      </c>
      <c r="N4150" s="1" t="s">
        <v>22</v>
      </c>
      <c r="O4150" s="2">
        <v>46293</v>
      </c>
      <c r="P4150" s="2">
        <v>46293</v>
      </c>
      <c r="Q4150">
        <f>_xlfn.XLOOKUP(E4150,CPT!$A$2:$A$13,CPT!$D$2:$D$13)</f>
        <v>210</v>
      </c>
      <c r="R4150" s="1">
        <f>_xlfn.XLOOKUP(C4150,Contract!$A$2:$A$9,Contract!$B$2:$B$9)</f>
        <v>0.36</v>
      </c>
      <c r="S4150" s="1">
        <f t="shared" si="256"/>
        <v>75.599999999999994</v>
      </c>
      <c r="T4150" s="1">
        <f t="shared" si="257"/>
        <v>-1.7700000000000102</v>
      </c>
      <c r="U4150" s="1" t="str">
        <f t="shared" si="258"/>
        <v>OK</v>
      </c>
      <c r="V4150" s="1" t="str">
        <f>_xlfn.XLOOKUP(C4150,Payers!$A$2:$A$9,Payers!$B$2:$B$9)</f>
        <v>Medicare Part B</v>
      </c>
      <c r="W4150" s="1" t="str">
        <f t="shared" si="259"/>
        <v>2026-09</v>
      </c>
    </row>
    <row r="4151" spans="1:23">
      <c r="A4151" s="1" t="s">
        <v>6615</v>
      </c>
      <c r="B4151" s="1" t="s">
        <v>2937</v>
      </c>
      <c r="C4151" s="1" t="s">
        <v>76</v>
      </c>
      <c r="D4151" s="1" t="s">
        <v>26</v>
      </c>
      <c r="E4151" s="1" t="s">
        <v>41</v>
      </c>
      <c r="F4151">
        <v>1</v>
      </c>
      <c r="G4151" s="2">
        <v>46065</v>
      </c>
      <c r="H4151" s="2">
        <v>46067</v>
      </c>
      <c r="I4151">
        <v>37.19</v>
      </c>
      <c r="J4151">
        <v>15.85</v>
      </c>
      <c r="K4151">
        <v>15.85</v>
      </c>
      <c r="L4151">
        <v>0</v>
      </c>
      <c r="M4151" s="1" t="s">
        <v>21</v>
      </c>
      <c r="N4151" s="1" t="s">
        <v>22</v>
      </c>
      <c r="O4151" s="2">
        <v>46100</v>
      </c>
      <c r="P4151" s="2">
        <v>46100</v>
      </c>
      <c r="Q4151">
        <f>_xlfn.XLOOKUP(E4151,CPT!$A$2:$A$13,CPT!$D$2:$D$13)</f>
        <v>38</v>
      </c>
      <c r="R4151" s="1">
        <f>_xlfn.XLOOKUP(C4151,Contract!$A$2:$A$9,Contract!$B$2:$B$9)</f>
        <v>0.43</v>
      </c>
      <c r="S4151" s="1">
        <f t="shared" si="256"/>
        <v>16.34</v>
      </c>
      <c r="T4151" s="1">
        <f t="shared" si="257"/>
        <v>0.49000000000000021</v>
      </c>
      <c r="U4151" s="1" t="str">
        <f t="shared" si="258"/>
        <v>OK</v>
      </c>
      <c r="V4151" s="1" t="str">
        <f>_xlfn.XLOOKUP(C4151,Payers!$A$2:$A$9,Payers!$B$2:$B$9)</f>
        <v>Summit Health Commercial</v>
      </c>
      <c r="W4151" s="1" t="str">
        <f t="shared" si="259"/>
        <v>2026-02</v>
      </c>
    </row>
    <row r="4152" spans="1:23">
      <c r="A4152" s="1" t="s">
        <v>6616</v>
      </c>
      <c r="B4152" s="1" t="s">
        <v>6617</v>
      </c>
      <c r="C4152" s="1" t="s">
        <v>79</v>
      </c>
      <c r="D4152" s="1" t="s">
        <v>26</v>
      </c>
      <c r="E4152" s="1" t="s">
        <v>185</v>
      </c>
      <c r="F4152">
        <v>1</v>
      </c>
      <c r="G4152" s="2">
        <v>46125</v>
      </c>
      <c r="H4152" s="2">
        <v>46127</v>
      </c>
      <c r="I4152">
        <v>1124.97</v>
      </c>
      <c r="M4152" s="1" t="s">
        <v>32</v>
      </c>
      <c r="N4152" s="1" t="s">
        <v>315</v>
      </c>
      <c r="O4152" s="2">
        <v>46230</v>
      </c>
      <c r="P4152" s="2"/>
      <c r="Q4152">
        <f>_xlfn.XLOOKUP(E4152,CPT!$A$2:$A$13,CPT!$D$2:$D$13)</f>
        <v>1150</v>
      </c>
      <c r="R4152" s="1">
        <f>_xlfn.XLOOKUP(C4152,Contract!$A$2:$A$9,Contract!$B$2:$B$9)</f>
        <v>1</v>
      </c>
      <c r="S4152" s="1">
        <f t="shared" si="256"/>
        <v>1150</v>
      </c>
      <c r="T4152" s="1" t="str">
        <f t="shared" si="257"/>
        <v/>
      </c>
      <c r="U4152" s="1" t="str">
        <f t="shared" si="258"/>
        <v/>
      </c>
      <c r="V4152" s="1" t="str">
        <f>_xlfn.XLOOKUP(C4152,Payers!$A$2:$A$9,Payers!$B$2:$B$9)</f>
        <v>Self-Pay</v>
      </c>
      <c r="W4152" s="1" t="str">
        <f t="shared" si="259"/>
        <v>2026-04</v>
      </c>
    </row>
    <row r="4153" spans="1:23">
      <c r="A4153" s="1" t="s">
        <v>6618</v>
      </c>
      <c r="B4153" s="1" t="s">
        <v>1271</v>
      </c>
      <c r="C4153" s="1" t="s">
        <v>60</v>
      </c>
      <c r="D4153" s="1" t="s">
        <v>26</v>
      </c>
      <c r="E4153" s="1" t="s">
        <v>185</v>
      </c>
      <c r="F4153">
        <v>1</v>
      </c>
      <c r="G4153" s="2">
        <v>46075</v>
      </c>
      <c r="H4153" s="2">
        <v>46080</v>
      </c>
      <c r="I4153">
        <v>1132.6400000000001</v>
      </c>
      <c r="J4153">
        <v>569.14</v>
      </c>
      <c r="K4153">
        <v>569.14</v>
      </c>
      <c r="L4153">
        <v>0</v>
      </c>
      <c r="M4153" s="1" t="s">
        <v>21</v>
      </c>
      <c r="N4153" s="1" t="s">
        <v>22</v>
      </c>
      <c r="O4153" s="2">
        <v>46120</v>
      </c>
      <c r="P4153" s="2">
        <v>46120</v>
      </c>
      <c r="Q4153">
        <f>_xlfn.XLOOKUP(E4153,CPT!$A$2:$A$13,CPT!$D$2:$D$13)</f>
        <v>1150</v>
      </c>
      <c r="R4153" s="1">
        <f>_xlfn.XLOOKUP(C4153,Contract!$A$2:$A$9,Contract!$B$2:$B$9)</f>
        <v>0.45</v>
      </c>
      <c r="S4153" s="1">
        <f t="shared" si="256"/>
        <v>517.5</v>
      </c>
      <c r="T4153" s="1">
        <f t="shared" si="257"/>
        <v>-51.639999999999986</v>
      </c>
      <c r="U4153" s="1" t="str">
        <f t="shared" si="258"/>
        <v>OK</v>
      </c>
      <c r="V4153" s="1" t="str">
        <f>_xlfn.XLOOKUP(C4153,Payers!$A$2:$A$9,Payers!$B$2:$B$9)</f>
        <v>Blue Horizon Commercial</v>
      </c>
      <c r="W4153" s="1" t="str">
        <f t="shared" si="259"/>
        <v>2026-02</v>
      </c>
    </row>
    <row r="4154" spans="1:23">
      <c r="A4154" s="1" t="s">
        <v>6619</v>
      </c>
      <c r="B4154" s="1" t="s">
        <v>6620</v>
      </c>
      <c r="C4154" s="1" t="s">
        <v>18</v>
      </c>
      <c r="D4154" s="1" t="s">
        <v>19</v>
      </c>
      <c r="E4154" s="1" t="s">
        <v>57</v>
      </c>
      <c r="F4154">
        <v>1</v>
      </c>
      <c r="G4154" s="2">
        <v>46175</v>
      </c>
      <c r="H4154" s="2">
        <v>46176</v>
      </c>
      <c r="I4154">
        <v>215.87</v>
      </c>
      <c r="J4154">
        <v>80.709999999999994</v>
      </c>
      <c r="K4154">
        <v>64.569999999999993</v>
      </c>
      <c r="L4154">
        <v>16.14</v>
      </c>
      <c r="M4154" s="1" t="s">
        <v>21</v>
      </c>
      <c r="N4154" s="1" t="s">
        <v>22</v>
      </c>
      <c r="O4154" s="2">
        <v>46226</v>
      </c>
      <c r="P4154" s="2">
        <v>46226</v>
      </c>
      <c r="Q4154">
        <f>_xlfn.XLOOKUP(E4154,CPT!$A$2:$A$13,CPT!$D$2:$D$13)</f>
        <v>210</v>
      </c>
      <c r="R4154" s="1">
        <f>_xlfn.XLOOKUP(C4154,Contract!$A$2:$A$9,Contract!$B$2:$B$9)</f>
        <v>0.38</v>
      </c>
      <c r="S4154" s="1">
        <f t="shared" si="256"/>
        <v>79.8</v>
      </c>
      <c r="T4154" s="1">
        <f t="shared" si="257"/>
        <v>-0.90999999999999659</v>
      </c>
      <c r="U4154" s="1" t="str">
        <f t="shared" si="258"/>
        <v>OK</v>
      </c>
      <c r="V4154" s="1" t="str">
        <f>_xlfn.XLOOKUP(C4154,Payers!$A$2:$A$9,Payers!$B$2:$B$9)</f>
        <v>Sunshine Medicare Advantage</v>
      </c>
      <c r="W4154" s="1" t="str">
        <f t="shared" si="259"/>
        <v>2026-06</v>
      </c>
    </row>
    <row r="4155" spans="1:23">
      <c r="A4155" s="1" t="s">
        <v>6621</v>
      </c>
      <c r="B4155" s="1" t="s">
        <v>5622</v>
      </c>
      <c r="C4155" s="1" t="s">
        <v>25</v>
      </c>
      <c r="D4155" s="1" t="s">
        <v>30</v>
      </c>
      <c r="E4155" s="1" t="s">
        <v>91</v>
      </c>
      <c r="F4155">
        <v>2</v>
      </c>
      <c r="G4155" s="2">
        <v>46196</v>
      </c>
      <c r="H4155" s="2">
        <v>46198</v>
      </c>
      <c r="I4155">
        <v>117.36</v>
      </c>
      <c r="J4155">
        <v>45.93</v>
      </c>
      <c r="K4155">
        <v>45.93</v>
      </c>
      <c r="L4155">
        <v>0</v>
      </c>
      <c r="M4155" s="1" t="s">
        <v>21</v>
      </c>
      <c r="N4155" s="1" t="s">
        <v>22</v>
      </c>
      <c r="O4155" s="2">
        <v>46209</v>
      </c>
      <c r="P4155" s="2">
        <v>46209</v>
      </c>
      <c r="Q4155">
        <f>_xlfn.XLOOKUP(E4155,CPT!$A$2:$A$13,CPT!$D$2:$D$13)</f>
        <v>58</v>
      </c>
      <c r="R4155" s="1">
        <f>_xlfn.XLOOKUP(C4155,Contract!$A$2:$A$9,Contract!$B$2:$B$9)</f>
        <v>0.36</v>
      </c>
      <c r="S4155" s="1">
        <f t="shared" si="256"/>
        <v>41.76</v>
      </c>
      <c r="T4155" s="1">
        <f t="shared" si="257"/>
        <v>-4.1700000000000017</v>
      </c>
      <c r="U4155" s="1" t="str">
        <f t="shared" si="258"/>
        <v>OK</v>
      </c>
      <c r="V4155" s="1" t="str">
        <f>_xlfn.XLOOKUP(C4155,Payers!$A$2:$A$9,Payers!$B$2:$B$9)</f>
        <v>Medicare Part B</v>
      </c>
      <c r="W4155" s="1" t="str">
        <f t="shared" si="259"/>
        <v>2026-06</v>
      </c>
    </row>
    <row r="4156" spans="1:23">
      <c r="A4156" s="1" t="s">
        <v>6622</v>
      </c>
      <c r="B4156" s="1" t="s">
        <v>1803</v>
      </c>
      <c r="C4156" s="1" t="s">
        <v>36</v>
      </c>
      <c r="D4156" s="1" t="s">
        <v>26</v>
      </c>
      <c r="E4156" s="1" t="s">
        <v>88</v>
      </c>
      <c r="F4156">
        <v>1</v>
      </c>
      <c r="G4156" s="2">
        <v>46284</v>
      </c>
      <c r="H4156" s="2">
        <v>46286</v>
      </c>
      <c r="I4156">
        <v>258.98</v>
      </c>
      <c r="M4156" s="1" t="s">
        <v>69</v>
      </c>
      <c r="N4156" s="1" t="s">
        <v>22</v>
      </c>
      <c r="O4156" s="2"/>
      <c r="P4156" s="2"/>
      <c r="Q4156">
        <f>_xlfn.XLOOKUP(E4156,CPT!$A$2:$A$13,CPT!$D$2:$D$13)</f>
        <v>260</v>
      </c>
      <c r="R4156" s="1">
        <f>_xlfn.XLOOKUP(C4156,Contract!$A$2:$A$9,Contract!$B$2:$B$9)</f>
        <v>0.27</v>
      </c>
      <c r="S4156" s="1">
        <f t="shared" si="256"/>
        <v>70.2</v>
      </c>
      <c r="T4156" s="1" t="str">
        <f t="shared" si="257"/>
        <v/>
      </c>
      <c r="U4156" s="1" t="str">
        <f t="shared" si="258"/>
        <v/>
      </c>
      <c r="V4156" s="1" t="str">
        <f>_xlfn.XLOOKUP(C4156,Payers!$A$2:$A$9,Payers!$B$2:$B$9)</f>
        <v>Florida Medicaid</v>
      </c>
      <c r="W4156" s="1" t="str">
        <f t="shared" si="259"/>
        <v>2026-09</v>
      </c>
    </row>
    <row r="4157" spans="1:23">
      <c r="A4157" s="1" t="s">
        <v>6623</v>
      </c>
      <c r="B4157" s="1" t="s">
        <v>6624</v>
      </c>
      <c r="C4157" s="1" t="s">
        <v>52</v>
      </c>
      <c r="D4157" s="1" t="s">
        <v>26</v>
      </c>
      <c r="E4157" s="1" t="s">
        <v>113</v>
      </c>
      <c r="F4157">
        <v>1</v>
      </c>
      <c r="G4157" s="2">
        <v>45951</v>
      </c>
      <c r="H4157" s="2">
        <v>45961</v>
      </c>
      <c r="I4157">
        <v>1046.4000000000001</v>
      </c>
      <c r="J4157">
        <v>461</v>
      </c>
      <c r="K4157">
        <v>414.9</v>
      </c>
      <c r="L4157">
        <v>46.1</v>
      </c>
      <c r="M4157" s="1" t="s">
        <v>21</v>
      </c>
      <c r="N4157" s="1" t="s">
        <v>22</v>
      </c>
      <c r="O4157" s="2">
        <v>45985</v>
      </c>
      <c r="P4157" s="2">
        <v>45985</v>
      </c>
      <c r="Q4157">
        <f>_xlfn.XLOOKUP(E4157,CPT!$A$2:$A$13,CPT!$D$2:$D$13)</f>
        <v>1050</v>
      </c>
      <c r="R4157" s="1">
        <f>_xlfn.XLOOKUP(C4157,Contract!$A$2:$A$9,Contract!$B$2:$B$9)</f>
        <v>0.47</v>
      </c>
      <c r="S4157" s="1">
        <f t="shared" si="256"/>
        <v>493.5</v>
      </c>
      <c r="T4157" s="1">
        <f t="shared" si="257"/>
        <v>32.5</v>
      </c>
      <c r="U4157" s="1" t="str">
        <f t="shared" si="258"/>
        <v>Underpaid</v>
      </c>
      <c r="V4157" s="1" t="str">
        <f>_xlfn.XLOOKUP(C4157,Payers!$A$2:$A$9,Payers!$B$2:$B$9)</f>
        <v>Keystone Commercial PPO</v>
      </c>
      <c r="W4157" s="1" t="str">
        <f t="shared" si="259"/>
        <v>2025-10</v>
      </c>
    </row>
    <row r="4158" spans="1:23">
      <c r="A4158" s="1" t="s">
        <v>6625</v>
      </c>
      <c r="B4158" s="1" t="s">
        <v>4104</v>
      </c>
      <c r="C4158" s="1" t="s">
        <v>25</v>
      </c>
      <c r="D4158" s="1" t="s">
        <v>37</v>
      </c>
      <c r="E4158" s="1" t="s">
        <v>48</v>
      </c>
      <c r="F4158">
        <v>1</v>
      </c>
      <c r="G4158" s="2">
        <v>45996</v>
      </c>
      <c r="H4158" s="2">
        <v>45997</v>
      </c>
      <c r="I4158">
        <v>408.55</v>
      </c>
      <c r="J4158">
        <v>160.27000000000001</v>
      </c>
      <c r="K4158">
        <v>160.27000000000001</v>
      </c>
      <c r="L4158">
        <v>0</v>
      </c>
      <c r="M4158" s="1" t="s">
        <v>21</v>
      </c>
      <c r="N4158" s="1" t="s">
        <v>22</v>
      </c>
      <c r="O4158" s="2">
        <v>46005</v>
      </c>
      <c r="P4158" s="2">
        <v>46005</v>
      </c>
      <c r="Q4158">
        <f>_xlfn.XLOOKUP(E4158,CPT!$A$2:$A$13,CPT!$D$2:$D$13)</f>
        <v>420</v>
      </c>
      <c r="R4158" s="1">
        <f>_xlfn.XLOOKUP(C4158,Contract!$A$2:$A$9,Contract!$B$2:$B$9)</f>
        <v>0.36</v>
      </c>
      <c r="S4158" s="1">
        <f t="shared" si="256"/>
        <v>151.19999999999999</v>
      </c>
      <c r="T4158" s="1">
        <f t="shared" si="257"/>
        <v>-9.0700000000000216</v>
      </c>
      <c r="U4158" s="1" t="str">
        <f t="shared" si="258"/>
        <v>OK</v>
      </c>
      <c r="V4158" s="1" t="str">
        <f>_xlfn.XLOOKUP(C4158,Payers!$A$2:$A$9,Payers!$B$2:$B$9)</f>
        <v>Medicare Part B</v>
      </c>
      <c r="W4158" s="1" t="str">
        <f t="shared" si="259"/>
        <v>2025-12</v>
      </c>
    </row>
    <row r="4159" spans="1:23">
      <c r="A4159" s="1" t="s">
        <v>6626</v>
      </c>
      <c r="B4159" s="1" t="s">
        <v>3850</v>
      </c>
      <c r="C4159" s="1" t="s">
        <v>79</v>
      </c>
      <c r="D4159" s="1" t="s">
        <v>26</v>
      </c>
      <c r="E4159" s="1" t="s">
        <v>57</v>
      </c>
      <c r="F4159">
        <v>1</v>
      </c>
      <c r="G4159" s="2">
        <v>46120</v>
      </c>
      <c r="H4159" s="2">
        <v>46126</v>
      </c>
      <c r="I4159">
        <v>215.44</v>
      </c>
      <c r="J4159">
        <v>215.44</v>
      </c>
      <c r="K4159">
        <v>215.44</v>
      </c>
      <c r="L4159">
        <v>0</v>
      </c>
      <c r="M4159" s="1" t="s">
        <v>21</v>
      </c>
      <c r="N4159" s="1" t="s">
        <v>22</v>
      </c>
      <c r="O4159" s="2">
        <v>46205</v>
      </c>
      <c r="P4159" s="2">
        <v>46205</v>
      </c>
      <c r="Q4159">
        <f>_xlfn.XLOOKUP(E4159,CPT!$A$2:$A$13,CPT!$D$2:$D$13)</f>
        <v>210</v>
      </c>
      <c r="R4159" s="1">
        <f>_xlfn.XLOOKUP(C4159,Contract!$A$2:$A$9,Contract!$B$2:$B$9)</f>
        <v>1</v>
      </c>
      <c r="S4159" s="1">
        <f t="shared" si="256"/>
        <v>210</v>
      </c>
      <c r="T4159" s="1">
        <f t="shared" si="257"/>
        <v>-5.4399999999999977</v>
      </c>
      <c r="U4159" s="1" t="str">
        <f t="shared" si="258"/>
        <v>OK</v>
      </c>
      <c r="V4159" s="1" t="str">
        <f>_xlfn.XLOOKUP(C4159,Payers!$A$2:$A$9,Payers!$B$2:$B$9)</f>
        <v>Self-Pay</v>
      </c>
      <c r="W4159" s="1" t="str">
        <f t="shared" si="259"/>
        <v>2026-04</v>
      </c>
    </row>
    <row r="4160" spans="1:23">
      <c r="A4160" s="1" t="s">
        <v>6627</v>
      </c>
      <c r="B4160" s="1" t="s">
        <v>3311</v>
      </c>
      <c r="C4160" s="1" t="s">
        <v>60</v>
      </c>
      <c r="D4160" s="1" t="s">
        <v>26</v>
      </c>
      <c r="E4160" s="1" t="s">
        <v>27</v>
      </c>
      <c r="F4160">
        <v>1</v>
      </c>
      <c r="G4160" s="2">
        <v>46086</v>
      </c>
      <c r="H4160" s="2">
        <v>46087</v>
      </c>
      <c r="I4160">
        <v>236.15</v>
      </c>
      <c r="J4160">
        <v>121.14</v>
      </c>
      <c r="K4160">
        <v>96.91</v>
      </c>
      <c r="L4160">
        <v>24.23</v>
      </c>
      <c r="M4160" s="1" t="s">
        <v>21</v>
      </c>
      <c r="N4160" s="1" t="s">
        <v>22</v>
      </c>
      <c r="O4160" s="2">
        <v>46107</v>
      </c>
      <c r="P4160" s="2">
        <v>46107</v>
      </c>
      <c r="Q4160">
        <f>_xlfn.XLOOKUP(E4160,CPT!$A$2:$A$13,CPT!$D$2:$D$13)</f>
        <v>240</v>
      </c>
      <c r="R4160" s="1">
        <f>_xlfn.XLOOKUP(C4160,Contract!$A$2:$A$9,Contract!$B$2:$B$9)</f>
        <v>0.45</v>
      </c>
      <c r="S4160" s="1">
        <f t="shared" si="256"/>
        <v>108</v>
      </c>
      <c r="T4160" s="1">
        <f t="shared" si="257"/>
        <v>-13.14</v>
      </c>
      <c r="U4160" s="1" t="str">
        <f t="shared" si="258"/>
        <v>OK</v>
      </c>
      <c r="V4160" s="1" t="str">
        <f>_xlfn.XLOOKUP(C4160,Payers!$A$2:$A$9,Payers!$B$2:$B$9)</f>
        <v>Blue Horizon Commercial</v>
      </c>
      <c r="W4160" s="1" t="str">
        <f t="shared" si="259"/>
        <v>2026-03</v>
      </c>
    </row>
    <row r="4161" spans="1:23">
      <c r="A4161" s="1" t="s">
        <v>6628</v>
      </c>
      <c r="B4161" s="1" t="s">
        <v>6539</v>
      </c>
      <c r="C4161" s="1" t="s">
        <v>25</v>
      </c>
      <c r="D4161" s="1" t="s">
        <v>37</v>
      </c>
      <c r="E4161" s="1" t="s">
        <v>48</v>
      </c>
      <c r="F4161">
        <v>1</v>
      </c>
      <c r="G4161" s="2">
        <v>45951</v>
      </c>
      <c r="H4161" s="2">
        <v>45952</v>
      </c>
      <c r="I4161">
        <v>419.69</v>
      </c>
      <c r="J4161">
        <v>165.52</v>
      </c>
      <c r="K4161">
        <v>148.97</v>
      </c>
      <c r="L4161">
        <v>16.55</v>
      </c>
      <c r="M4161" s="1" t="s">
        <v>21</v>
      </c>
      <c r="N4161" s="1" t="s">
        <v>22</v>
      </c>
      <c r="O4161" s="2">
        <v>45972</v>
      </c>
      <c r="P4161" s="2">
        <v>45972</v>
      </c>
      <c r="Q4161">
        <f>_xlfn.XLOOKUP(E4161,CPT!$A$2:$A$13,CPT!$D$2:$D$13)</f>
        <v>420</v>
      </c>
      <c r="R4161" s="1">
        <f>_xlfn.XLOOKUP(C4161,Contract!$A$2:$A$9,Contract!$B$2:$B$9)</f>
        <v>0.36</v>
      </c>
      <c r="S4161" s="1">
        <f t="shared" si="256"/>
        <v>151.19999999999999</v>
      </c>
      <c r="T4161" s="1">
        <f t="shared" si="257"/>
        <v>-14.320000000000022</v>
      </c>
      <c r="U4161" s="1" t="str">
        <f t="shared" si="258"/>
        <v>OK</v>
      </c>
      <c r="V4161" s="1" t="str">
        <f>_xlfn.XLOOKUP(C4161,Payers!$A$2:$A$9,Payers!$B$2:$B$9)</f>
        <v>Medicare Part B</v>
      </c>
      <c r="W4161" s="1" t="str">
        <f t="shared" si="259"/>
        <v>2025-10</v>
      </c>
    </row>
    <row r="4162" spans="1:23">
      <c r="A4162" s="1" t="s">
        <v>6629</v>
      </c>
      <c r="B4162" s="1" t="s">
        <v>6630</v>
      </c>
      <c r="C4162" s="1" t="s">
        <v>76</v>
      </c>
      <c r="D4162" s="1" t="s">
        <v>37</v>
      </c>
      <c r="E4162" s="1" t="s">
        <v>38</v>
      </c>
      <c r="F4162">
        <v>30</v>
      </c>
      <c r="G4162" s="2">
        <v>46210</v>
      </c>
      <c r="H4162" s="2">
        <v>46214</v>
      </c>
      <c r="I4162">
        <v>42530.080000000002</v>
      </c>
      <c r="J4162">
        <v>18151.740000000002</v>
      </c>
      <c r="K4162">
        <v>14521.39</v>
      </c>
      <c r="L4162">
        <v>3630.35</v>
      </c>
      <c r="M4162" s="1" t="s">
        <v>21</v>
      </c>
      <c r="N4162" s="1" t="s">
        <v>22</v>
      </c>
      <c r="O4162" s="2">
        <v>46241</v>
      </c>
      <c r="P4162" s="2">
        <v>46241</v>
      </c>
      <c r="Q4162">
        <f>_xlfn.XLOOKUP(E4162,CPT!$A$2:$A$13,CPT!$D$2:$D$13)</f>
        <v>1450</v>
      </c>
      <c r="R4162" s="1">
        <f>_xlfn.XLOOKUP(C4162,Contract!$A$2:$A$9,Contract!$B$2:$B$9)</f>
        <v>0.43</v>
      </c>
      <c r="S4162" s="1">
        <f t="shared" ref="S4162:S4225" si="260">ROUND(Q4162*F4162*R4162,2)</f>
        <v>18705</v>
      </c>
      <c r="T4162" s="1">
        <f t="shared" ref="T4162:T4225" si="261">IF(M4162="Paid",S4162-J4162,"")</f>
        <v>553.2599999999984</v>
      </c>
      <c r="U4162" s="1" t="str">
        <f t="shared" ref="U4162:U4225" si="262">IF(M4162&lt;&gt;"Paid","",IF(T4162&gt;S4162*0.05,"Underpaid","OK"))</f>
        <v>OK</v>
      </c>
      <c r="V4162" s="1" t="str">
        <f>_xlfn.XLOOKUP(C4162,Payers!$A$2:$A$9,Payers!$B$2:$B$9)</f>
        <v>Summit Health Commercial</v>
      </c>
      <c r="W4162" s="1" t="str">
        <f t="shared" ref="W4162:W4225" si="263">TEXT(G4162,"yyyy-mm")</f>
        <v>2026-07</v>
      </c>
    </row>
    <row r="4163" spans="1:23">
      <c r="A4163" s="1" t="s">
        <v>6631</v>
      </c>
      <c r="B4163" s="1" t="s">
        <v>2240</v>
      </c>
      <c r="C4163" s="1" t="s">
        <v>60</v>
      </c>
      <c r="D4163" s="1" t="s">
        <v>26</v>
      </c>
      <c r="E4163" s="1" t="s">
        <v>185</v>
      </c>
      <c r="F4163">
        <v>1</v>
      </c>
      <c r="G4163" s="2">
        <v>46137</v>
      </c>
      <c r="H4163" s="2">
        <v>46143</v>
      </c>
      <c r="I4163">
        <v>1175.54</v>
      </c>
      <c r="J4163">
        <v>577.87</v>
      </c>
      <c r="K4163">
        <v>520.08000000000004</v>
      </c>
      <c r="L4163">
        <v>57.79</v>
      </c>
      <c r="M4163" s="1" t="s">
        <v>21</v>
      </c>
      <c r="N4163" s="1" t="s">
        <v>22</v>
      </c>
      <c r="O4163" s="2">
        <v>46178</v>
      </c>
      <c r="P4163" s="2">
        <v>46178</v>
      </c>
      <c r="Q4163">
        <f>_xlfn.XLOOKUP(E4163,CPT!$A$2:$A$13,CPT!$D$2:$D$13)</f>
        <v>1150</v>
      </c>
      <c r="R4163" s="1">
        <f>_xlfn.XLOOKUP(C4163,Contract!$A$2:$A$9,Contract!$B$2:$B$9)</f>
        <v>0.45</v>
      </c>
      <c r="S4163" s="1">
        <f t="shared" si="260"/>
        <v>517.5</v>
      </c>
      <c r="T4163" s="1">
        <f t="shared" si="261"/>
        <v>-60.370000000000005</v>
      </c>
      <c r="U4163" s="1" t="str">
        <f t="shared" si="262"/>
        <v>OK</v>
      </c>
      <c r="V4163" s="1" t="str">
        <f>_xlfn.XLOOKUP(C4163,Payers!$A$2:$A$9,Payers!$B$2:$B$9)</f>
        <v>Blue Horizon Commercial</v>
      </c>
      <c r="W4163" s="1" t="str">
        <f t="shared" si="263"/>
        <v>2026-04</v>
      </c>
    </row>
    <row r="4164" spans="1:23">
      <c r="A4164" s="1" t="s">
        <v>6632</v>
      </c>
      <c r="B4164" s="1" t="s">
        <v>6633</v>
      </c>
      <c r="C4164" s="1" t="s">
        <v>52</v>
      </c>
      <c r="D4164" s="1" t="s">
        <v>19</v>
      </c>
      <c r="E4164" s="1" t="s">
        <v>57</v>
      </c>
      <c r="F4164">
        <v>1</v>
      </c>
      <c r="G4164" s="2">
        <v>46074</v>
      </c>
      <c r="H4164" s="2">
        <v>46078</v>
      </c>
      <c r="I4164">
        <v>209.52</v>
      </c>
      <c r="J4164">
        <v>84.39</v>
      </c>
      <c r="K4164">
        <v>67.510000000000005</v>
      </c>
      <c r="L4164">
        <v>16.88</v>
      </c>
      <c r="M4164" s="1" t="s">
        <v>21</v>
      </c>
      <c r="N4164" s="1" t="s">
        <v>22</v>
      </c>
      <c r="O4164" s="2">
        <v>46116</v>
      </c>
      <c r="P4164" s="2">
        <v>46116</v>
      </c>
      <c r="Q4164">
        <f>_xlfn.XLOOKUP(E4164,CPT!$A$2:$A$13,CPT!$D$2:$D$13)</f>
        <v>210</v>
      </c>
      <c r="R4164" s="1">
        <f>_xlfn.XLOOKUP(C4164,Contract!$A$2:$A$9,Contract!$B$2:$B$9)</f>
        <v>0.47</v>
      </c>
      <c r="S4164" s="1">
        <f t="shared" si="260"/>
        <v>98.7</v>
      </c>
      <c r="T4164" s="1">
        <f t="shared" si="261"/>
        <v>14.310000000000002</v>
      </c>
      <c r="U4164" s="1" t="str">
        <f t="shared" si="262"/>
        <v>Underpaid</v>
      </c>
      <c r="V4164" s="1" t="str">
        <f>_xlfn.XLOOKUP(C4164,Payers!$A$2:$A$9,Payers!$B$2:$B$9)</f>
        <v>Keystone Commercial PPO</v>
      </c>
      <c r="W4164" s="1" t="str">
        <f t="shared" si="263"/>
        <v>2026-02</v>
      </c>
    </row>
    <row r="4165" spans="1:23">
      <c r="A4165" s="1" t="s">
        <v>6634</v>
      </c>
      <c r="B4165" s="1" t="s">
        <v>1234</v>
      </c>
      <c r="C4165" s="1" t="s">
        <v>36</v>
      </c>
      <c r="D4165" s="1" t="s">
        <v>26</v>
      </c>
      <c r="E4165" s="1" t="s">
        <v>44</v>
      </c>
      <c r="F4165">
        <v>1</v>
      </c>
      <c r="G4165" s="2">
        <v>46201</v>
      </c>
      <c r="H4165" s="2">
        <v>46203</v>
      </c>
      <c r="I4165">
        <v>4730.3500000000004</v>
      </c>
      <c r="M4165" s="1" t="s">
        <v>32</v>
      </c>
      <c r="N4165" s="1" t="s">
        <v>315</v>
      </c>
      <c r="O4165" s="2">
        <v>46233</v>
      </c>
      <c r="P4165" s="2"/>
      <c r="Q4165">
        <f>_xlfn.XLOOKUP(E4165,CPT!$A$2:$A$13,CPT!$D$2:$D$13)</f>
        <v>4800</v>
      </c>
      <c r="R4165" s="1">
        <f>_xlfn.XLOOKUP(C4165,Contract!$A$2:$A$9,Contract!$B$2:$B$9)</f>
        <v>0.27</v>
      </c>
      <c r="S4165" s="1">
        <f t="shared" si="260"/>
        <v>1296</v>
      </c>
      <c r="T4165" s="1" t="str">
        <f t="shared" si="261"/>
        <v/>
      </c>
      <c r="U4165" s="1" t="str">
        <f t="shared" si="262"/>
        <v/>
      </c>
      <c r="V4165" s="1" t="str">
        <f>_xlfn.XLOOKUP(C4165,Payers!$A$2:$A$9,Payers!$B$2:$B$9)</f>
        <v>Florida Medicaid</v>
      </c>
      <c r="W4165" s="1" t="str">
        <f t="shared" si="263"/>
        <v>2026-06</v>
      </c>
    </row>
    <row r="4166" spans="1:23">
      <c r="A4166" s="1" t="s">
        <v>6635</v>
      </c>
      <c r="B4166" s="1" t="s">
        <v>6636</v>
      </c>
      <c r="C4166" s="1" t="s">
        <v>76</v>
      </c>
      <c r="D4166" s="1" t="s">
        <v>19</v>
      </c>
      <c r="E4166" s="1" t="s">
        <v>57</v>
      </c>
      <c r="F4166">
        <v>1</v>
      </c>
      <c r="G4166" s="2">
        <v>46049</v>
      </c>
      <c r="H4166" s="2">
        <v>46056</v>
      </c>
      <c r="I4166">
        <v>209.26</v>
      </c>
      <c r="J4166">
        <v>87.45</v>
      </c>
      <c r="K4166">
        <v>69.959999999999994</v>
      </c>
      <c r="L4166">
        <v>17.489999999999998</v>
      </c>
      <c r="M4166" s="1" t="s">
        <v>21</v>
      </c>
      <c r="N4166" s="1" t="s">
        <v>22</v>
      </c>
      <c r="O4166" s="2">
        <v>46095</v>
      </c>
      <c r="P4166" s="2">
        <v>46095</v>
      </c>
      <c r="Q4166">
        <f>_xlfn.XLOOKUP(E4166,CPT!$A$2:$A$13,CPT!$D$2:$D$13)</f>
        <v>210</v>
      </c>
      <c r="R4166" s="1">
        <f>_xlfn.XLOOKUP(C4166,Contract!$A$2:$A$9,Contract!$B$2:$B$9)</f>
        <v>0.43</v>
      </c>
      <c r="S4166" s="1">
        <f t="shared" si="260"/>
        <v>90.3</v>
      </c>
      <c r="T4166" s="1">
        <f t="shared" si="261"/>
        <v>2.8499999999999943</v>
      </c>
      <c r="U4166" s="1" t="str">
        <f t="shared" si="262"/>
        <v>OK</v>
      </c>
      <c r="V4166" s="1" t="str">
        <f>_xlfn.XLOOKUP(C4166,Payers!$A$2:$A$9,Payers!$B$2:$B$9)</f>
        <v>Summit Health Commercial</v>
      </c>
      <c r="W4166" s="1" t="str">
        <f t="shared" si="263"/>
        <v>2026-01</v>
      </c>
    </row>
    <row r="4167" spans="1:23">
      <c r="A4167" s="1" t="s">
        <v>6637</v>
      </c>
      <c r="B4167" s="1" t="s">
        <v>1295</v>
      </c>
      <c r="C4167" s="1" t="s">
        <v>60</v>
      </c>
      <c r="D4167" s="1" t="s">
        <v>30</v>
      </c>
      <c r="E4167" s="1" t="s">
        <v>91</v>
      </c>
      <c r="F4167">
        <v>3</v>
      </c>
      <c r="G4167" s="2">
        <v>46206</v>
      </c>
      <c r="H4167" s="2">
        <v>46207</v>
      </c>
      <c r="I4167">
        <v>169.57</v>
      </c>
      <c r="J4167">
        <v>74.89</v>
      </c>
      <c r="K4167">
        <v>74.89</v>
      </c>
      <c r="L4167">
        <v>0</v>
      </c>
      <c r="M4167" s="1" t="s">
        <v>21</v>
      </c>
      <c r="N4167" s="1" t="s">
        <v>22</v>
      </c>
      <c r="O4167" s="2">
        <v>46237</v>
      </c>
      <c r="P4167" s="2">
        <v>46237</v>
      </c>
      <c r="Q4167">
        <f>_xlfn.XLOOKUP(E4167,CPT!$A$2:$A$13,CPT!$D$2:$D$13)</f>
        <v>58</v>
      </c>
      <c r="R4167" s="1">
        <f>_xlfn.XLOOKUP(C4167,Contract!$A$2:$A$9,Contract!$B$2:$B$9)</f>
        <v>0.45</v>
      </c>
      <c r="S4167" s="1">
        <f t="shared" si="260"/>
        <v>78.3</v>
      </c>
      <c r="T4167" s="1">
        <f t="shared" si="261"/>
        <v>3.4099999999999966</v>
      </c>
      <c r="U4167" s="1" t="str">
        <f t="shared" si="262"/>
        <v>OK</v>
      </c>
      <c r="V4167" s="1" t="str">
        <f>_xlfn.XLOOKUP(C4167,Payers!$A$2:$A$9,Payers!$B$2:$B$9)</f>
        <v>Blue Horizon Commercial</v>
      </c>
      <c r="W4167" s="1" t="str">
        <f t="shared" si="263"/>
        <v>2026-07</v>
      </c>
    </row>
    <row r="4168" spans="1:23">
      <c r="A4168" s="1" t="s">
        <v>6638</v>
      </c>
      <c r="B4168" s="1" t="s">
        <v>1922</v>
      </c>
      <c r="C4168" s="1" t="s">
        <v>76</v>
      </c>
      <c r="D4168" s="1" t="s">
        <v>30</v>
      </c>
      <c r="E4168" s="1" t="s">
        <v>91</v>
      </c>
      <c r="F4168">
        <v>2</v>
      </c>
      <c r="G4168" s="2">
        <v>46144</v>
      </c>
      <c r="H4168" s="2">
        <v>46150</v>
      </c>
      <c r="I4168">
        <v>119.29</v>
      </c>
      <c r="M4168" s="1" t="s">
        <v>32</v>
      </c>
      <c r="N4168" s="1" t="s">
        <v>281</v>
      </c>
      <c r="O4168" s="2">
        <v>46182</v>
      </c>
      <c r="P4168" s="2"/>
      <c r="Q4168">
        <f>_xlfn.XLOOKUP(E4168,CPT!$A$2:$A$13,CPT!$D$2:$D$13)</f>
        <v>58</v>
      </c>
      <c r="R4168" s="1">
        <f>_xlfn.XLOOKUP(C4168,Contract!$A$2:$A$9,Contract!$B$2:$B$9)</f>
        <v>0.43</v>
      </c>
      <c r="S4168" s="1">
        <f t="shared" si="260"/>
        <v>49.88</v>
      </c>
      <c r="T4168" s="1" t="str">
        <f t="shared" si="261"/>
        <v/>
      </c>
      <c r="U4168" s="1" t="str">
        <f t="shared" si="262"/>
        <v/>
      </c>
      <c r="V4168" s="1" t="str">
        <f>_xlfn.XLOOKUP(C4168,Payers!$A$2:$A$9,Payers!$B$2:$B$9)</f>
        <v>Summit Health Commercial</v>
      </c>
      <c r="W4168" s="1" t="str">
        <f t="shared" si="263"/>
        <v>2026-05</v>
      </c>
    </row>
    <row r="4169" spans="1:23">
      <c r="A4169" s="1" t="s">
        <v>6639</v>
      </c>
      <c r="B4169" s="1" t="s">
        <v>5537</v>
      </c>
      <c r="C4169" s="1" t="s">
        <v>60</v>
      </c>
      <c r="D4169" s="1" t="s">
        <v>30</v>
      </c>
      <c r="E4169" s="1" t="s">
        <v>20</v>
      </c>
      <c r="F4169">
        <v>1</v>
      </c>
      <c r="G4169" s="2">
        <v>46143</v>
      </c>
      <c r="H4169" s="2">
        <v>46151</v>
      </c>
      <c r="I4169">
        <v>144.96</v>
      </c>
      <c r="J4169">
        <v>61.89</v>
      </c>
      <c r="K4169">
        <v>55.7</v>
      </c>
      <c r="L4169">
        <v>6.19</v>
      </c>
      <c r="M4169" s="1" t="s">
        <v>21</v>
      </c>
      <c r="N4169" s="1" t="s">
        <v>22</v>
      </c>
      <c r="O4169" s="2">
        <v>46190</v>
      </c>
      <c r="P4169" s="2">
        <v>46190</v>
      </c>
      <c r="Q4169">
        <f>_xlfn.XLOOKUP(E4169,CPT!$A$2:$A$13,CPT!$D$2:$D$13)</f>
        <v>145</v>
      </c>
      <c r="R4169" s="1">
        <f>_xlfn.XLOOKUP(C4169,Contract!$A$2:$A$9,Contract!$B$2:$B$9)</f>
        <v>0.45</v>
      </c>
      <c r="S4169" s="1">
        <f t="shared" si="260"/>
        <v>65.25</v>
      </c>
      <c r="T4169" s="1">
        <f t="shared" si="261"/>
        <v>3.3599999999999994</v>
      </c>
      <c r="U4169" s="1" t="str">
        <f t="shared" si="262"/>
        <v>Underpaid</v>
      </c>
      <c r="V4169" s="1" t="str">
        <f>_xlfn.XLOOKUP(C4169,Payers!$A$2:$A$9,Payers!$B$2:$B$9)</f>
        <v>Blue Horizon Commercial</v>
      </c>
      <c r="W4169" s="1" t="str">
        <f t="shared" si="263"/>
        <v>2026-05</v>
      </c>
    </row>
    <row r="4170" spans="1:23">
      <c r="A4170" s="1" t="s">
        <v>6640</v>
      </c>
      <c r="B4170" s="1" t="s">
        <v>661</v>
      </c>
      <c r="C4170" s="1" t="s">
        <v>52</v>
      </c>
      <c r="D4170" s="1" t="s">
        <v>37</v>
      </c>
      <c r="E4170" s="1" t="s">
        <v>57</v>
      </c>
      <c r="F4170">
        <v>1</v>
      </c>
      <c r="G4170" s="2">
        <v>45946</v>
      </c>
      <c r="H4170" s="2">
        <v>45950</v>
      </c>
      <c r="I4170">
        <v>212.82</v>
      </c>
      <c r="J4170">
        <v>99.81</v>
      </c>
      <c r="K4170">
        <v>89.83</v>
      </c>
      <c r="L4170">
        <v>9.98</v>
      </c>
      <c r="M4170" s="1" t="s">
        <v>21</v>
      </c>
      <c r="N4170" s="1" t="s">
        <v>22</v>
      </c>
      <c r="O4170" s="2">
        <v>45990</v>
      </c>
      <c r="P4170" s="2">
        <v>45990</v>
      </c>
      <c r="Q4170">
        <f>_xlfn.XLOOKUP(E4170,CPT!$A$2:$A$13,CPT!$D$2:$D$13)</f>
        <v>210</v>
      </c>
      <c r="R4170" s="1">
        <f>_xlfn.XLOOKUP(C4170,Contract!$A$2:$A$9,Contract!$B$2:$B$9)</f>
        <v>0.47</v>
      </c>
      <c r="S4170" s="1">
        <f t="shared" si="260"/>
        <v>98.7</v>
      </c>
      <c r="T4170" s="1">
        <f t="shared" si="261"/>
        <v>-1.1099999999999994</v>
      </c>
      <c r="U4170" s="1" t="str">
        <f t="shared" si="262"/>
        <v>OK</v>
      </c>
      <c r="V4170" s="1" t="str">
        <f>_xlfn.XLOOKUP(C4170,Payers!$A$2:$A$9,Payers!$B$2:$B$9)</f>
        <v>Keystone Commercial PPO</v>
      </c>
      <c r="W4170" s="1" t="str">
        <f t="shared" si="263"/>
        <v>2025-10</v>
      </c>
    </row>
    <row r="4171" spans="1:23">
      <c r="A4171" s="1" t="s">
        <v>6641</v>
      </c>
      <c r="B4171" s="1" t="s">
        <v>6642</v>
      </c>
      <c r="C4171" s="1" t="s">
        <v>79</v>
      </c>
      <c r="D4171" s="1" t="s">
        <v>19</v>
      </c>
      <c r="E4171" s="1" t="s">
        <v>88</v>
      </c>
      <c r="F4171">
        <v>1</v>
      </c>
      <c r="G4171" s="2">
        <v>45944</v>
      </c>
      <c r="H4171" s="2">
        <v>45945</v>
      </c>
      <c r="I4171">
        <v>267.66000000000003</v>
      </c>
      <c r="J4171">
        <v>267.66000000000003</v>
      </c>
      <c r="K4171">
        <v>267.66000000000003</v>
      </c>
      <c r="L4171">
        <v>0</v>
      </c>
      <c r="M4171" s="1" t="s">
        <v>21</v>
      </c>
      <c r="N4171" s="1" t="s">
        <v>22</v>
      </c>
      <c r="O4171" s="2">
        <v>46022</v>
      </c>
      <c r="P4171" s="2">
        <v>46022</v>
      </c>
      <c r="Q4171">
        <f>_xlfn.XLOOKUP(E4171,CPT!$A$2:$A$13,CPT!$D$2:$D$13)</f>
        <v>260</v>
      </c>
      <c r="R4171" s="1">
        <f>_xlfn.XLOOKUP(C4171,Contract!$A$2:$A$9,Contract!$B$2:$B$9)</f>
        <v>1</v>
      </c>
      <c r="S4171" s="1">
        <f t="shared" si="260"/>
        <v>260</v>
      </c>
      <c r="T4171" s="1">
        <f t="shared" si="261"/>
        <v>-7.660000000000025</v>
      </c>
      <c r="U4171" s="1" t="str">
        <f t="shared" si="262"/>
        <v>OK</v>
      </c>
      <c r="V4171" s="1" t="str">
        <f>_xlfn.XLOOKUP(C4171,Payers!$A$2:$A$9,Payers!$B$2:$B$9)</f>
        <v>Self-Pay</v>
      </c>
      <c r="W4171" s="1" t="str">
        <f t="shared" si="263"/>
        <v>2025-10</v>
      </c>
    </row>
    <row r="4172" spans="1:23">
      <c r="A4172" s="1" t="s">
        <v>6643</v>
      </c>
      <c r="B4172" s="1" t="s">
        <v>6494</v>
      </c>
      <c r="C4172" s="1" t="s">
        <v>60</v>
      </c>
      <c r="D4172" s="1" t="s">
        <v>26</v>
      </c>
      <c r="E4172" s="1" t="s">
        <v>113</v>
      </c>
      <c r="F4172">
        <v>1</v>
      </c>
      <c r="G4172" s="2">
        <v>46110</v>
      </c>
      <c r="H4172" s="2">
        <v>46111</v>
      </c>
      <c r="I4172">
        <v>1055.53</v>
      </c>
      <c r="M4172" s="1" t="s">
        <v>32</v>
      </c>
      <c r="N4172" s="1" t="s">
        <v>33</v>
      </c>
      <c r="O4172" s="2">
        <v>46134</v>
      </c>
      <c r="P4172" s="2"/>
      <c r="Q4172">
        <f>_xlfn.XLOOKUP(E4172,CPT!$A$2:$A$13,CPT!$D$2:$D$13)</f>
        <v>1050</v>
      </c>
      <c r="R4172" s="1">
        <f>_xlfn.XLOOKUP(C4172,Contract!$A$2:$A$9,Contract!$B$2:$B$9)</f>
        <v>0.45</v>
      </c>
      <c r="S4172" s="1">
        <f t="shared" si="260"/>
        <v>472.5</v>
      </c>
      <c r="T4172" s="1" t="str">
        <f t="shared" si="261"/>
        <v/>
      </c>
      <c r="U4172" s="1" t="str">
        <f t="shared" si="262"/>
        <v/>
      </c>
      <c r="V4172" s="1" t="str">
        <f>_xlfn.XLOOKUP(C4172,Payers!$A$2:$A$9,Payers!$B$2:$B$9)</f>
        <v>Blue Horizon Commercial</v>
      </c>
      <c r="W4172" s="1" t="str">
        <f t="shared" si="263"/>
        <v>2026-03</v>
      </c>
    </row>
    <row r="4173" spans="1:23">
      <c r="A4173" s="1" t="s">
        <v>6644</v>
      </c>
      <c r="B4173" s="1" t="s">
        <v>5077</v>
      </c>
      <c r="C4173" s="1" t="s">
        <v>76</v>
      </c>
      <c r="D4173" s="1" t="s">
        <v>26</v>
      </c>
      <c r="E4173" s="1" t="s">
        <v>113</v>
      </c>
      <c r="F4173">
        <v>1</v>
      </c>
      <c r="G4173" s="2">
        <v>46203</v>
      </c>
      <c r="H4173" s="2">
        <v>46205</v>
      </c>
      <c r="I4173">
        <v>1040.8800000000001</v>
      </c>
      <c r="J4173">
        <v>431.62</v>
      </c>
      <c r="K4173">
        <v>431.62</v>
      </c>
      <c r="L4173">
        <v>0</v>
      </c>
      <c r="M4173" s="1" t="s">
        <v>21</v>
      </c>
      <c r="N4173" s="1" t="s">
        <v>22</v>
      </c>
      <c r="O4173" s="2">
        <v>46238</v>
      </c>
      <c r="P4173" s="2">
        <v>46238</v>
      </c>
      <c r="Q4173">
        <f>_xlfn.XLOOKUP(E4173,CPT!$A$2:$A$13,CPT!$D$2:$D$13)</f>
        <v>1050</v>
      </c>
      <c r="R4173" s="1">
        <f>_xlfn.XLOOKUP(C4173,Contract!$A$2:$A$9,Contract!$B$2:$B$9)</f>
        <v>0.43</v>
      </c>
      <c r="S4173" s="1">
        <f t="shared" si="260"/>
        <v>451.5</v>
      </c>
      <c r="T4173" s="1">
        <f t="shared" si="261"/>
        <v>19.879999999999995</v>
      </c>
      <c r="U4173" s="1" t="str">
        <f t="shared" si="262"/>
        <v>OK</v>
      </c>
      <c r="V4173" s="1" t="str">
        <f>_xlfn.XLOOKUP(C4173,Payers!$A$2:$A$9,Payers!$B$2:$B$9)</f>
        <v>Summit Health Commercial</v>
      </c>
      <c r="W4173" s="1" t="str">
        <f t="shared" si="263"/>
        <v>2026-06</v>
      </c>
    </row>
    <row r="4174" spans="1:23">
      <c r="A4174" s="1" t="s">
        <v>6645</v>
      </c>
      <c r="B4174" s="1" t="s">
        <v>2196</v>
      </c>
      <c r="C4174" s="1" t="s">
        <v>60</v>
      </c>
      <c r="D4174" s="1" t="s">
        <v>30</v>
      </c>
      <c r="E4174" s="1" t="s">
        <v>91</v>
      </c>
      <c r="F4174">
        <v>1</v>
      </c>
      <c r="G4174" s="2">
        <v>46088</v>
      </c>
      <c r="H4174" s="2">
        <v>46089</v>
      </c>
      <c r="I4174">
        <v>58.02</v>
      </c>
      <c r="J4174">
        <v>22.46</v>
      </c>
      <c r="K4174">
        <v>17.97</v>
      </c>
      <c r="L4174">
        <v>4.49</v>
      </c>
      <c r="M4174" s="1" t="s">
        <v>21</v>
      </c>
      <c r="N4174" s="1" t="s">
        <v>22</v>
      </c>
      <c r="O4174" s="2">
        <v>46124</v>
      </c>
      <c r="P4174" s="2">
        <v>46124</v>
      </c>
      <c r="Q4174">
        <f>_xlfn.XLOOKUP(E4174,CPT!$A$2:$A$13,CPT!$D$2:$D$13)</f>
        <v>58</v>
      </c>
      <c r="R4174" s="1">
        <f>_xlfn.XLOOKUP(C4174,Contract!$A$2:$A$9,Contract!$B$2:$B$9)</f>
        <v>0.45</v>
      </c>
      <c r="S4174" s="1">
        <f t="shared" si="260"/>
        <v>26.1</v>
      </c>
      <c r="T4174" s="1">
        <f t="shared" si="261"/>
        <v>3.6400000000000006</v>
      </c>
      <c r="U4174" s="1" t="str">
        <f t="shared" si="262"/>
        <v>Underpaid</v>
      </c>
      <c r="V4174" s="1" t="str">
        <f>_xlfn.XLOOKUP(C4174,Payers!$A$2:$A$9,Payers!$B$2:$B$9)</f>
        <v>Blue Horizon Commercial</v>
      </c>
      <c r="W4174" s="1" t="str">
        <f t="shared" si="263"/>
        <v>2026-03</v>
      </c>
    </row>
    <row r="4175" spans="1:23">
      <c r="A4175" s="1" t="s">
        <v>6646</v>
      </c>
      <c r="B4175" s="1" t="s">
        <v>5990</v>
      </c>
      <c r="C4175" s="1" t="s">
        <v>76</v>
      </c>
      <c r="D4175" s="1" t="s">
        <v>19</v>
      </c>
      <c r="E4175" s="1" t="s">
        <v>41</v>
      </c>
      <c r="F4175">
        <v>1</v>
      </c>
      <c r="G4175" s="2">
        <v>45962</v>
      </c>
      <c r="H4175" s="2">
        <v>45971</v>
      </c>
      <c r="I4175">
        <v>39.04</v>
      </c>
      <c r="M4175" s="1" t="s">
        <v>32</v>
      </c>
      <c r="N4175" s="1" t="s">
        <v>33</v>
      </c>
      <c r="O4175" s="2">
        <v>46007</v>
      </c>
      <c r="P4175" s="2"/>
      <c r="Q4175">
        <f>_xlfn.XLOOKUP(E4175,CPT!$A$2:$A$13,CPT!$D$2:$D$13)</f>
        <v>38</v>
      </c>
      <c r="R4175" s="1">
        <f>_xlfn.XLOOKUP(C4175,Contract!$A$2:$A$9,Contract!$B$2:$B$9)</f>
        <v>0.43</v>
      </c>
      <c r="S4175" s="1">
        <f t="shared" si="260"/>
        <v>16.34</v>
      </c>
      <c r="T4175" s="1" t="str">
        <f t="shared" si="261"/>
        <v/>
      </c>
      <c r="U4175" s="1" t="str">
        <f t="shared" si="262"/>
        <v/>
      </c>
      <c r="V4175" s="1" t="str">
        <f>_xlfn.XLOOKUP(C4175,Payers!$A$2:$A$9,Payers!$B$2:$B$9)</f>
        <v>Summit Health Commercial</v>
      </c>
      <c r="W4175" s="1" t="str">
        <f t="shared" si="263"/>
        <v>2025-11</v>
      </c>
    </row>
    <row r="4176" spans="1:23">
      <c r="A4176" s="1" t="s">
        <v>6647</v>
      </c>
      <c r="B4176" s="1" t="s">
        <v>6648</v>
      </c>
      <c r="C4176" s="1" t="s">
        <v>52</v>
      </c>
      <c r="D4176" s="1" t="s">
        <v>19</v>
      </c>
      <c r="E4176" s="1" t="s">
        <v>57</v>
      </c>
      <c r="F4176">
        <v>1</v>
      </c>
      <c r="G4176" s="2">
        <v>46122</v>
      </c>
      <c r="H4176" s="2">
        <v>46126</v>
      </c>
      <c r="I4176">
        <v>204.12</v>
      </c>
      <c r="J4176">
        <v>110.68</v>
      </c>
      <c r="K4176">
        <v>110.68</v>
      </c>
      <c r="L4176">
        <v>0</v>
      </c>
      <c r="M4176" s="1" t="s">
        <v>21</v>
      </c>
      <c r="N4176" s="1" t="s">
        <v>22</v>
      </c>
      <c r="O4176" s="2">
        <v>46169</v>
      </c>
      <c r="P4176" s="2">
        <v>46169</v>
      </c>
      <c r="Q4176">
        <f>_xlfn.XLOOKUP(E4176,CPT!$A$2:$A$13,CPT!$D$2:$D$13)</f>
        <v>210</v>
      </c>
      <c r="R4176" s="1">
        <f>_xlfn.XLOOKUP(C4176,Contract!$A$2:$A$9,Contract!$B$2:$B$9)</f>
        <v>0.47</v>
      </c>
      <c r="S4176" s="1">
        <f t="shared" si="260"/>
        <v>98.7</v>
      </c>
      <c r="T4176" s="1">
        <f t="shared" si="261"/>
        <v>-11.980000000000004</v>
      </c>
      <c r="U4176" s="1" t="str">
        <f t="shared" si="262"/>
        <v>OK</v>
      </c>
      <c r="V4176" s="1" t="str">
        <f>_xlfn.XLOOKUP(C4176,Payers!$A$2:$A$9,Payers!$B$2:$B$9)</f>
        <v>Keystone Commercial PPO</v>
      </c>
      <c r="W4176" s="1" t="str">
        <f t="shared" si="263"/>
        <v>2026-04</v>
      </c>
    </row>
    <row r="4177" spans="1:23">
      <c r="A4177" s="1" t="s">
        <v>6649</v>
      </c>
      <c r="B4177" s="1" t="s">
        <v>2049</v>
      </c>
      <c r="C4177" s="1" t="s">
        <v>18</v>
      </c>
      <c r="D4177" s="1" t="s">
        <v>26</v>
      </c>
      <c r="E4177" s="1" t="s">
        <v>185</v>
      </c>
      <c r="F4177">
        <v>1</v>
      </c>
      <c r="G4177" s="2">
        <v>46147</v>
      </c>
      <c r="H4177" s="2">
        <v>46148</v>
      </c>
      <c r="I4177">
        <v>1165.75</v>
      </c>
      <c r="J4177">
        <v>430.4</v>
      </c>
      <c r="K4177">
        <v>430.4</v>
      </c>
      <c r="L4177">
        <v>0</v>
      </c>
      <c r="M4177" s="1" t="s">
        <v>21</v>
      </c>
      <c r="N4177" s="1" t="s">
        <v>22</v>
      </c>
      <c r="O4177" s="2">
        <v>46185</v>
      </c>
      <c r="P4177" s="2">
        <v>46185</v>
      </c>
      <c r="Q4177">
        <f>_xlfn.XLOOKUP(E4177,CPT!$A$2:$A$13,CPT!$D$2:$D$13)</f>
        <v>1150</v>
      </c>
      <c r="R4177" s="1">
        <f>_xlfn.XLOOKUP(C4177,Contract!$A$2:$A$9,Contract!$B$2:$B$9)</f>
        <v>0.38</v>
      </c>
      <c r="S4177" s="1">
        <f t="shared" si="260"/>
        <v>437</v>
      </c>
      <c r="T4177" s="1">
        <f t="shared" si="261"/>
        <v>6.6000000000000227</v>
      </c>
      <c r="U4177" s="1" t="str">
        <f t="shared" si="262"/>
        <v>OK</v>
      </c>
      <c r="V4177" s="1" t="str">
        <f>_xlfn.XLOOKUP(C4177,Payers!$A$2:$A$9,Payers!$B$2:$B$9)</f>
        <v>Sunshine Medicare Advantage</v>
      </c>
      <c r="W4177" s="1" t="str">
        <f t="shared" si="263"/>
        <v>2026-05</v>
      </c>
    </row>
    <row r="4178" spans="1:23">
      <c r="A4178" s="1" t="s">
        <v>6650</v>
      </c>
      <c r="B4178" s="1" t="s">
        <v>3817</v>
      </c>
      <c r="C4178" s="1" t="s">
        <v>47</v>
      </c>
      <c r="D4178" s="1" t="s">
        <v>37</v>
      </c>
      <c r="E4178" s="1" t="s">
        <v>48</v>
      </c>
      <c r="F4178">
        <v>1</v>
      </c>
      <c r="G4178" s="2">
        <v>46197</v>
      </c>
      <c r="H4178" s="2">
        <v>46202</v>
      </c>
      <c r="I4178">
        <v>413.79</v>
      </c>
      <c r="M4178" s="1" t="s">
        <v>32</v>
      </c>
      <c r="N4178" s="1" t="s">
        <v>49</v>
      </c>
      <c r="O4178" s="2">
        <v>46262</v>
      </c>
      <c r="P4178" s="2"/>
      <c r="Q4178">
        <f>_xlfn.XLOOKUP(E4178,CPT!$A$2:$A$13,CPT!$D$2:$D$13)</f>
        <v>420</v>
      </c>
      <c r="R4178" s="1">
        <f>_xlfn.XLOOKUP(C4178,Contract!$A$2:$A$9,Contract!$B$2:$B$9)</f>
        <v>0.28000000000000003</v>
      </c>
      <c r="S4178" s="1">
        <f t="shared" si="260"/>
        <v>117.6</v>
      </c>
      <c r="T4178" s="1" t="str">
        <f t="shared" si="261"/>
        <v/>
      </c>
      <c r="U4178" s="1" t="str">
        <f t="shared" si="262"/>
        <v/>
      </c>
      <c r="V4178" s="1" t="str">
        <f>_xlfn.XLOOKUP(C4178,Payers!$A$2:$A$9,Payers!$B$2:$B$9)</f>
        <v>Coastal Medicaid MCO</v>
      </c>
      <c r="W4178" s="1" t="str">
        <f t="shared" si="263"/>
        <v>2026-06</v>
      </c>
    </row>
    <row r="4179" spans="1:23">
      <c r="A4179" s="1" t="s">
        <v>6651</v>
      </c>
      <c r="B4179" s="1" t="s">
        <v>1476</v>
      </c>
      <c r="C4179" s="1" t="s">
        <v>76</v>
      </c>
      <c r="D4179" s="1" t="s">
        <v>26</v>
      </c>
      <c r="E4179" s="1" t="s">
        <v>27</v>
      </c>
      <c r="F4179">
        <v>1</v>
      </c>
      <c r="G4179" s="2">
        <v>46137</v>
      </c>
      <c r="H4179" s="2">
        <v>46139</v>
      </c>
      <c r="I4179">
        <v>243.55</v>
      </c>
      <c r="J4179">
        <v>101.26</v>
      </c>
      <c r="K4179">
        <v>101.26</v>
      </c>
      <c r="L4179">
        <v>0</v>
      </c>
      <c r="M4179" s="1" t="s">
        <v>21</v>
      </c>
      <c r="N4179" s="1" t="s">
        <v>22</v>
      </c>
      <c r="O4179" s="2">
        <v>46175</v>
      </c>
      <c r="P4179" s="2">
        <v>46175</v>
      </c>
      <c r="Q4179">
        <f>_xlfn.XLOOKUP(E4179,CPT!$A$2:$A$13,CPT!$D$2:$D$13)</f>
        <v>240</v>
      </c>
      <c r="R4179" s="1">
        <f>_xlfn.XLOOKUP(C4179,Contract!$A$2:$A$9,Contract!$B$2:$B$9)</f>
        <v>0.43</v>
      </c>
      <c r="S4179" s="1">
        <f t="shared" si="260"/>
        <v>103.2</v>
      </c>
      <c r="T4179" s="1">
        <f t="shared" si="261"/>
        <v>1.9399999999999977</v>
      </c>
      <c r="U4179" s="1" t="str">
        <f t="shared" si="262"/>
        <v>OK</v>
      </c>
      <c r="V4179" s="1" t="str">
        <f>_xlfn.XLOOKUP(C4179,Payers!$A$2:$A$9,Payers!$B$2:$B$9)</f>
        <v>Summit Health Commercial</v>
      </c>
      <c r="W4179" s="1" t="str">
        <f t="shared" si="263"/>
        <v>2026-04</v>
      </c>
    </row>
    <row r="4180" spans="1:23">
      <c r="A4180" s="1" t="s">
        <v>6652</v>
      </c>
      <c r="B4180" s="1" t="s">
        <v>6653</v>
      </c>
      <c r="C4180" s="1" t="s">
        <v>60</v>
      </c>
      <c r="D4180" s="1" t="s">
        <v>26</v>
      </c>
      <c r="E4180" s="1" t="s">
        <v>185</v>
      </c>
      <c r="F4180">
        <v>1</v>
      </c>
      <c r="G4180" s="2">
        <v>46169</v>
      </c>
      <c r="H4180" s="2">
        <v>46173</v>
      </c>
      <c r="I4180">
        <v>1137.24</v>
      </c>
      <c r="J4180">
        <v>558.36</v>
      </c>
      <c r="K4180">
        <v>502.52</v>
      </c>
      <c r="L4180">
        <v>55.84</v>
      </c>
      <c r="M4180" s="1" t="s">
        <v>21</v>
      </c>
      <c r="N4180" s="1" t="s">
        <v>22</v>
      </c>
      <c r="O4180" s="2">
        <v>46207</v>
      </c>
      <c r="P4180" s="2">
        <v>46207</v>
      </c>
      <c r="Q4180">
        <f>_xlfn.XLOOKUP(E4180,CPT!$A$2:$A$13,CPT!$D$2:$D$13)</f>
        <v>1150</v>
      </c>
      <c r="R4180" s="1">
        <f>_xlfn.XLOOKUP(C4180,Contract!$A$2:$A$9,Contract!$B$2:$B$9)</f>
        <v>0.45</v>
      </c>
      <c r="S4180" s="1">
        <f t="shared" si="260"/>
        <v>517.5</v>
      </c>
      <c r="T4180" s="1">
        <f t="shared" si="261"/>
        <v>-40.860000000000014</v>
      </c>
      <c r="U4180" s="1" t="str">
        <f t="shared" si="262"/>
        <v>OK</v>
      </c>
      <c r="V4180" s="1" t="str">
        <f>_xlfn.XLOOKUP(C4180,Payers!$A$2:$A$9,Payers!$B$2:$B$9)</f>
        <v>Blue Horizon Commercial</v>
      </c>
      <c r="W4180" s="1" t="str">
        <f t="shared" si="263"/>
        <v>2026-05</v>
      </c>
    </row>
    <row r="4181" spans="1:23">
      <c r="A4181" s="1" t="s">
        <v>6654</v>
      </c>
      <c r="B4181" s="1" t="s">
        <v>1135</v>
      </c>
      <c r="C4181" s="1" t="s">
        <v>60</v>
      </c>
      <c r="D4181" s="1" t="s">
        <v>19</v>
      </c>
      <c r="E4181" s="1" t="s">
        <v>57</v>
      </c>
      <c r="F4181">
        <v>1</v>
      </c>
      <c r="G4181" s="2">
        <v>46069</v>
      </c>
      <c r="H4181" s="2">
        <v>46070</v>
      </c>
      <c r="I4181">
        <v>212.25</v>
      </c>
      <c r="J4181">
        <v>85.99</v>
      </c>
      <c r="K4181">
        <v>68.790000000000006</v>
      </c>
      <c r="L4181">
        <v>17.2</v>
      </c>
      <c r="M4181" s="1" t="s">
        <v>21</v>
      </c>
      <c r="N4181" s="1" t="s">
        <v>22</v>
      </c>
      <c r="O4181" s="2">
        <v>46092</v>
      </c>
      <c r="P4181" s="2">
        <v>46092</v>
      </c>
      <c r="Q4181">
        <f>_xlfn.XLOOKUP(E4181,CPT!$A$2:$A$13,CPT!$D$2:$D$13)</f>
        <v>210</v>
      </c>
      <c r="R4181" s="1">
        <f>_xlfn.XLOOKUP(C4181,Contract!$A$2:$A$9,Contract!$B$2:$B$9)</f>
        <v>0.45</v>
      </c>
      <c r="S4181" s="1">
        <f t="shared" si="260"/>
        <v>94.5</v>
      </c>
      <c r="T4181" s="1">
        <f t="shared" si="261"/>
        <v>8.5100000000000051</v>
      </c>
      <c r="U4181" s="1" t="str">
        <f t="shared" si="262"/>
        <v>Underpaid</v>
      </c>
      <c r="V4181" s="1" t="str">
        <f>_xlfn.XLOOKUP(C4181,Payers!$A$2:$A$9,Payers!$B$2:$B$9)</f>
        <v>Blue Horizon Commercial</v>
      </c>
      <c r="W4181" s="1" t="str">
        <f t="shared" si="263"/>
        <v>2026-02</v>
      </c>
    </row>
    <row r="4182" spans="1:23">
      <c r="A4182" s="1" t="s">
        <v>6655</v>
      </c>
      <c r="B4182" s="1" t="s">
        <v>2686</v>
      </c>
      <c r="C4182" s="1" t="s">
        <v>60</v>
      </c>
      <c r="D4182" s="1" t="s">
        <v>26</v>
      </c>
      <c r="E4182" s="1" t="s">
        <v>185</v>
      </c>
      <c r="F4182">
        <v>1</v>
      </c>
      <c r="G4182" s="2">
        <v>46281</v>
      </c>
      <c r="H4182" s="2">
        <v>46284</v>
      </c>
      <c r="I4182">
        <v>1118.6199999999999</v>
      </c>
      <c r="M4182" s="1" t="s">
        <v>69</v>
      </c>
      <c r="N4182" s="1" t="s">
        <v>22</v>
      </c>
      <c r="O4182" s="2"/>
      <c r="P4182" s="2"/>
      <c r="Q4182">
        <f>_xlfn.XLOOKUP(E4182,CPT!$A$2:$A$13,CPT!$D$2:$D$13)</f>
        <v>1150</v>
      </c>
      <c r="R4182" s="1">
        <f>_xlfn.XLOOKUP(C4182,Contract!$A$2:$A$9,Contract!$B$2:$B$9)</f>
        <v>0.45</v>
      </c>
      <c r="S4182" s="1">
        <f t="shared" si="260"/>
        <v>517.5</v>
      </c>
      <c r="T4182" s="1" t="str">
        <f t="shared" si="261"/>
        <v/>
      </c>
      <c r="U4182" s="1" t="str">
        <f t="shared" si="262"/>
        <v/>
      </c>
      <c r="V4182" s="1" t="str">
        <f>_xlfn.XLOOKUP(C4182,Payers!$A$2:$A$9,Payers!$B$2:$B$9)</f>
        <v>Blue Horizon Commercial</v>
      </c>
      <c r="W4182" s="1" t="str">
        <f t="shared" si="263"/>
        <v>2026-09</v>
      </c>
    </row>
    <row r="4183" spans="1:23">
      <c r="A4183" s="1" t="s">
        <v>6656</v>
      </c>
      <c r="B4183" s="1" t="s">
        <v>6179</v>
      </c>
      <c r="C4183" s="1" t="s">
        <v>60</v>
      </c>
      <c r="D4183" s="1" t="s">
        <v>30</v>
      </c>
      <c r="E4183" s="1" t="s">
        <v>20</v>
      </c>
      <c r="F4183">
        <v>1</v>
      </c>
      <c r="G4183" s="2">
        <v>46135</v>
      </c>
      <c r="H4183" s="2">
        <v>46137</v>
      </c>
      <c r="I4183">
        <v>144.88</v>
      </c>
      <c r="J4183">
        <v>56.72</v>
      </c>
      <c r="K4183">
        <v>45.38</v>
      </c>
      <c r="L4183">
        <v>11.34</v>
      </c>
      <c r="M4183" s="1" t="s">
        <v>21</v>
      </c>
      <c r="N4183" s="1" t="s">
        <v>22</v>
      </c>
      <c r="O4183" s="2">
        <v>46151</v>
      </c>
      <c r="P4183" s="2">
        <v>46151</v>
      </c>
      <c r="Q4183">
        <f>_xlfn.XLOOKUP(E4183,CPT!$A$2:$A$13,CPT!$D$2:$D$13)</f>
        <v>145</v>
      </c>
      <c r="R4183" s="1">
        <f>_xlfn.XLOOKUP(C4183,Contract!$A$2:$A$9,Contract!$B$2:$B$9)</f>
        <v>0.45</v>
      </c>
      <c r="S4183" s="1">
        <f t="shared" si="260"/>
        <v>65.25</v>
      </c>
      <c r="T4183" s="1">
        <f t="shared" si="261"/>
        <v>8.5300000000000011</v>
      </c>
      <c r="U4183" s="1" t="str">
        <f t="shared" si="262"/>
        <v>Underpaid</v>
      </c>
      <c r="V4183" s="1" t="str">
        <f>_xlfn.XLOOKUP(C4183,Payers!$A$2:$A$9,Payers!$B$2:$B$9)</f>
        <v>Blue Horizon Commercial</v>
      </c>
      <c r="W4183" s="1" t="str">
        <f t="shared" si="263"/>
        <v>2026-04</v>
      </c>
    </row>
    <row r="4184" spans="1:23">
      <c r="A4184" s="1" t="s">
        <v>6657</v>
      </c>
      <c r="B4184" s="1" t="s">
        <v>4834</v>
      </c>
      <c r="C4184" s="1" t="s">
        <v>47</v>
      </c>
      <c r="D4184" s="1" t="s">
        <v>37</v>
      </c>
      <c r="E4184" s="1" t="s">
        <v>57</v>
      </c>
      <c r="F4184">
        <v>1</v>
      </c>
      <c r="G4184" s="2">
        <v>46161</v>
      </c>
      <c r="H4184" s="2">
        <v>46171</v>
      </c>
      <c r="I4184">
        <v>215.74</v>
      </c>
      <c r="J4184">
        <v>60.49</v>
      </c>
      <c r="K4184">
        <v>60.49</v>
      </c>
      <c r="L4184">
        <v>0</v>
      </c>
      <c r="M4184" s="1" t="s">
        <v>21</v>
      </c>
      <c r="N4184" s="1" t="s">
        <v>22</v>
      </c>
      <c r="O4184" s="2">
        <v>46236</v>
      </c>
      <c r="P4184" s="2">
        <v>46236</v>
      </c>
      <c r="Q4184">
        <f>_xlfn.XLOOKUP(E4184,CPT!$A$2:$A$13,CPT!$D$2:$D$13)</f>
        <v>210</v>
      </c>
      <c r="R4184" s="1">
        <f>_xlfn.XLOOKUP(C4184,Contract!$A$2:$A$9,Contract!$B$2:$B$9)</f>
        <v>0.28000000000000003</v>
      </c>
      <c r="S4184" s="1">
        <f t="shared" si="260"/>
        <v>58.8</v>
      </c>
      <c r="T4184" s="1">
        <f t="shared" si="261"/>
        <v>-1.6900000000000048</v>
      </c>
      <c r="U4184" s="1" t="str">
        <f t="shared" si="262"/>
        <v>OK</v>
      </c>
      <c r="V4184" s="1" t="str">
        <f>_xlfn.XLOOKUP(C4184,Payers!$A$2:$A$9,Payers!$B$2:$B$9)</f>
        <v>Coastal Medicaid MCO</v>
      </c>
      <c r="W4184" s="1" t="str">
        <f t="shared" si="263"/>
        <v>2026-05</v>
      </c>
    </row>
    <row r="4185" spans="1:23">
      <c r="A4185" s="1" t="s">
        <v>6658</v>
      </c>
      <c r="B4185" s="1" t="s">
        <v>6580</v>
      </c>
      <c r="C4185" s="1" t="s">
        <v>18</v>
      </c>
      <c r="D4185" s="1" t="s">
        <v>37</v>
      </c>
      <c r="E4185" s="1" t="s">
        <v>38</v>
      </c>
      <c r="F4185">
        <v>10</v>
      </c>
      <c r="G4185" s="2">
        <v>46228</v>
      </c>
      <c r="H4185" s="2">
        <v>46232</v>
      </c>
      <c r="I4185">
        <v>14887.13</v>
      </c>
      <c r="J4185">
        <v>6518.2</v>
      </c>
      <c r="K4185">
        <v>6518.2</v>
      </c>
      <c r="L4185">
        <v>0</v>
      </c>
      <c r="M4185" s="1" t="s">
        <v>21</v>
      </c>
      <c r="N4185" s="1" t="s">
        <v>22</v>
      </c>
      <c r="O4185" s="2">
        <v>46287</v>
      </c>
      <c r="P4185" s="2">
        <v>46287</v>
      </c>
      <c r="Q4185">
        <f>_xlfn.XLOOKUP(E4185,CPT!$A$2:$A$13,CPT!$D$2:$D$13)</f>
        <v>1450</v>
      </c>
      <c r="R4185" s="1">
        <f>_xlfn.XLOOKUP(C4185,Contract!$A$2:$A$9,Contract!$B$2:$B$9)</f>
        <v>0.38</v>
      </c>
      <c r="S4185" s="1">
        <f t="shared" si="260"/>
        <v>5510</v>
      </c>
      <c r="T4185" s="1">
        <f t="shared" si="261"/>
        <v>-1008.1999999999998</v>
      </c>
      <c r="U4185" s="1" t="str">
        <f t="shared" si="262"/>
        <v>OK</v>
      </c>
      <c r="V4185" s="1" t="str">
        <f>_xlfn.XLOOKUP(C4185,Payers!$A$2:$A$9,Payers!$B$2:$B$9)</f>
        <v>Sunshine Medicare Advantage</v>
      </c>
      <c r="W4185" s="1" t="str">
        <f t="shared" si="263"/>
        <v>2026-07</v>
      </c>
    </row>
    <row r="4186" spans="1:23">
      <c r="A4186" s="1" t="s">
        <v>6659</v>
      </c>
      <c r="B4186" s="1" t="s">
        <v>6660</v>
      </c>
      <c r="C4186" s="1" t="s">
        <v>60</v>
      </c>
      <c r="D4186" s="1" t="s">
        <v>19</v>
      </c>
      <c r="E4186" s="1" t="s">
        <v>88</v>
      </c>
      <c r="F4186">
        <v>1</v>
      </c>
      <c r="G4186" s="2">
        <v>46077</v>
      </c>
      <c r="H4186" s="2">
        <v>46084</v>
      </c>
      <c r="I4186">
        <v>264.61</v>
      </c>
      <c r="J4186">
        <v>109.52</v>
      </c>
      <c r="K4186">
        <v>87.62</v>
      </c>
      <c r="L4186">
        <v>21.9</v>
      </c>
      <c r="M4186" s="1" t="s">
        <v>21</v>
      </c>
      <c r="N4186" s="1" t="s">
        <v>22</v>
      </c>
      <c r="O4186" s="2">
        <v>46114</v>
      </c>
      <c r="P4186" s="2">
        <v>46114</v>
      </c>
      <c r="Q4186">
        <f>_xlfn.XLOOKUP(E4186,CPT!$A$2:$A$13,CPT!$D$2:$D$13)</f>
        <v>260</v>
      </c>
      <c r="R4186" s="1">
        <f>_xlfn.XLOOKUP(C4186,Contract!$A$2:$A$9,Contract!$B$2:$B$9)</f>
        <v>0.45</v>
      </c>
      <c r="S4186" s="1">
        <f t="shared" si="260"/>
        <v>117</v>
      </c>
      <c r="T4186" s="1">
        <f t="shared" si="261"/>
        <v>7.480000000000004</v>
      </c>
      <c r="U4186" s="1" t="str">
        <f t="shared" si="262"/>
        <v>Underpaid</v>
      </c>
      <c r="V4186" s="1" t="str">
        <f>_xlfn.XLOOKUP(C4186,Payers!$A$2:$A$9,Payers!$B$2:$B$9)</f>
        <v>Blue Horizon Commercial</v>
      </c>
      <c r="W4186" s="1" t="str">
        <f t="shared" si="263"/>
        <v>2026-02</v>
      </c>
    </row>
    <row r="4187" spans="1:23">
      <c r="A4187" s="1" t="s">
        <v>6661</v>
      </c>
      <c r="B4187" s="1" t="s">
        <v>6662</v>
      </c>
      <c r="C4187" s="1" t="s">
        <v>76</v>
      </c>
      <c r="D4187" s="1" t="s">
        <v>26</v>
      </c>
      <c r="E4187" s="1" t="s">
        <v>88</v>
      </c>
      <c r="F4187">
        <v>1</v>
      </c>
      <c r="G4187" s="2">
        <v>45987</v>
      </c>
      <c r="H4187" s="2">
        <v>45992</v>
      </c>
      <c r="I4187">
        <v>266.64999999999998</v>
      </c>
      <c r="J4187">
        <v>110.31</v>
      </c>
      <c r="K4187">
        <v>99.28</v>
      </c>
      <c r="L4187">
        <v>11.03</v>
      </c>
      <c r="M4187" s="1" t="s">
        <v>21</v>
      </c>
      <c r="N4187" s="1" t="s">
        <v>22</v>
      </c>
      <c r="O4187" s="2">
        <v>46031</v>
      </c>
      <c r="P4187" s="2">
        <v>46031</v>
      </c>
      <c r="Q4187">
        <f>_xlfn.XLOOKUP(E4187,CPT!$A$2:$A$13,CPT!$D$2:$D$13)</f>
        <v>260</v>
      </c>
      <c r="R4187" s="1">
        <f>_xlfn.XLOOKUP(C4187,Contract!$A$2:$A$9,Contract!$B$2:$B$9)</f>
        <v>0.43</v>
      </c>
      <c r="S4187" s="1">
        <f t="shared" si="260"/>
        <v>111.8</v>
      </c>
      <c r="T4187" s="1">
        <f t="shared" si="261"/>
        <v>1.4899999999999949</v>
      </c>
      <c r="U4187" s="1" t="str">
        <f t="shared" si="262"/>
        <v>OK</v>
      </c>
      <c r="V4187" s="1" t="str">
        <f>_xlfn.XLOOKUP(C4187,Payers!$A$2:$A$9,Payers!$B$2:$B$9)</f>
        <v>Summit Health Commercial</v>
      </c>
      <c r="W4187" s="1" t="str">
        <f t="shared" si="263"/>
        <v>2025-11</v>
      </c>
    </row>
    <row r="4188" spans="1:23">
      <c r="A4188" s="1" t="s">
        <v>6663</v>
      </c>
      <c r="B4188" s="1" t="s">
        <v>2979</v>
      </c>
      <c r="C4188" s="1" t="s">
        <v>52</v>
      </c>
      <c r="D4188" s="1" t="s">
        <v>19</v>
      </c>
      <c r="E4188" s="1" t="s">
        <v>57</v>
      </c>
      <c r="F4188">
        <v>1</v>
      </c>
      <c r="G4188" s="2">
        <v>46057</v>
      </c>
      <c r="H4188" s="2">
        <v>46061</v>
      </c>
      <c r="I4188">
        <v>206.17</v>
      </c>
      <c r="J4188">
        <v>86.27</v>
      </c>
      <c r="K4188">
        <v>69.02</v>
      </c>
      <c r="L4188">
        <v>17.25</v>
      </c>
      <c r="M4188" s="1" t="s">
        <v>21</v>
      </c>
      <c r="N4188" s="1" t="s">
        <v>22</v>
      </c>
      <c r="O4188" s="2">
        <v>46114</v>
      </c>
      <c r="P4188" s="2">
        <v>46114</v>
      </c>
      <c r="Q4188">
        <f>_xlfn.XLOOKUP(E4188,CPT!$A$2:$A$13,CPT!$D$2:$D$13)</f>
        <v>210</v>
      </c>
      <c r="R4188" s="1">
        <f>_xlfn.XLOOKUP(C4188,Contract!$A$2:$A$9,Contract!$B$2:$B$9)</f>
        <v>0.47</v>
      </c>
      <c r="S4188" s="1">
        <f t="shared" si="260"/>
        <v>98.7</v>
      </c>
      <c r="T4188" s="1">
        <f t="shared" si="261"/>
        <v>12.430000000000007</v>
      </c>
      <c r="U4188" s="1" t="str">
        <f t="shared" si="262"/>
        <v>Underpaid</v>
      </c>
      <c r="V4188" s="1" t="str">
        <f>_xlfn.XLOOKUP(C4188,Payers!$A$2:$A$9,Payers!$B$2:$B$9)</f>
        <v>Keystone Commercial PPO</v>
      </c>
      <c r="W4188" s="1" t="str">
        <f t="shared" si="263"/>
        <v>2026-02</v>
      </c>
    </row>
    <row r="4189" spans="1:23">
      <c r="A4189" s="1" t="s">
        <v>6664</v>
      </c>
      <c r="B4189" s="1" t="s">
        <v>4579</v>
      </c>
      <c r="C4189" s="1" t="s">
        <v>36</v>
      </c>
      <c r="D4189" s="1" t="s">
        <v>37</v>
      </c>
      <c r="E4189" s="1" t="s">
        <v>57</v>
      </c>
      <c r="F4189">
        <v>1</v>
      </c>
      <c r="G4189" s="2">
        <v>45948</v>
      </c>
      <c r="H4189" s="2">
        <v>45953</v>
      </c>
      <c r="I4189">
        <v>207.63</v>
      </c>
      <c r="M4189" s="1" t="s">
        <v>32</v>
      </c>
      <c r="N4189" s="1" t="s">
        <v>33</v>
      </c>
      <c r="O4189" s="2">
        <v>45986</v>
      </c>
      <c r="P4189" s="2"/>
      <c r="Q4189">
        <f>_xlfn.XLOOKUP(E4189,CPT!$A$2:$A$13,CPT!$D$2:$D$13)</f>
        <v>210</v>
      </c>
      <c r="R4189" s="1">
        <f>_xlfn.XLOOKUP(C4189,Contract!$A$2:$A$9,Contract!$B$2:$B$9)</f>
        <v>0.27</v>
      </c>
      <c r="S4189" s="1">
        <f t="shared" si="260"/>
        <v>56.7</v>
      </c>
      <c r="T4189" s="1" t="str">
        <f t="shared" si="261"/>
        <v/>
      </c>
      <c r="U4189" s="1" t="str">
        <f t="shared" si="262"/>
        <v/>
      </c>
      <c r="V4189" s="1" t="str">
        <f>_xlfn.XLOOKUP(C4189,Payers!$A$2:$A$9,Payers!$B$2:$B$9)</f>
        <v>Florida Medicaid</v>
      </c>
      <c r="W4189" s="1" t="str">
        <f t="shared" si="263"/>
        <v>2025-10</v>
      </c>
    </row>
    <row r="4190" spans="1:23">
      <c r="A4190" s="1" t="s">
        <v>6665</v>
      </c>
      <c r="B4190" s="1" t="s">
        <v>6666</v>
      </c>
      <c r="C4190" s="1" t="s">
        <v>76</v>
      </c>
      <c r="D4190" s="1" t="s">
        <v>37</v>
      </c>
      <c r="E4190" s="1" t="s">
        <v>48</v>
      </c>
      <c r="F4190">
        <v>1</v>
      </c>
      <c r="G4190" s="2">
        <v>45973</v>
      </c>
      <c r="H4190" s="2">
        <v>45974</v>
      </c>
      <c r="I4190">
        <v>422.19</v>
      </c>
      <c r="J4190">
        <v>163.55000000000001</v>
      </c>
      <c r="K4190">
        <v>130.84</v>
      </c>
      <c r="L4190">
        <v>32.71</v>
      </c>
      <c r="M4190" s="1" t="s">
        <v>21</v>
      </c>
      <c r="N4190" s="1" t="s">
        <v>22</v>
      </c>
      <c r="O4190" s="2">
        <v>46003</v>
      </c>
      <c r="P4190" s="2">
        <v>46003</v>
      </c>
      <c r="Q4190">
        <f>_xlfn.XLOOKUP(E4190,CPT!$A$2:$A$13,CPT!$D$2:$D$13)</f>
        <v>420</v>
      </c>
      <c r="R4190" s="1">
        <f>_xlfn.XLOOKUP(C4190,Contract!$A$2:$A$9,Contract!$B$2:$B$9)</f>
        <v>0.43</v>
      </c>
      <c r="S4190" s="1">
        <f t="shared" si="260"/>
        <v>180.6</v>
      </c>
      <c r="T4190" s="1">
        <f t="shared" si="261"/>
        <v>17.049999999999983</v>
      </c>
      <c r="U4190" s="1" t="str">
        <f t="shared" si="262"/>
        <v>Underpaid</v>
      </c>
      <c r="V4190" s="1" t="str">
        <f>_xlfn.XLOOKUP(C4190,Payers!$A$2:$A$9,Payers!$B$2:$B$9)</f>
        <v>Summit Health Commercial</v>
      </c>
      <c r="W4190" s="1" t="str">
        <f t="shared" si="263"/>
        <v>2025-11</v>
      </c>
    </row>
    <row r="4191" spans="1:23">
      <c r="A4191" s="1" t="s">
        <v>6667</v>
      </c>
      <c r="B4191" s="1" t="s">
        <v>6668</v>
      </c>
      <c r="C4191" s="1" t="s">
        <v>76</v>
      </c>
      <c r="D4191" s="1" t="s">
        <v>30</v>
      </c>
      <c r="E4191" s="1" t="s">
        <v>31</v>
      </c>
      <c r="F4191">
        <v>1</v>
      </c>
      <c r="G4191" s="2">
        <v>46036</v>
      </c>
      <c r="H4191" s="2">
        <v>46044</v>
      </c>
      <c r="I4191">
        <v>61.68</v>
      </c>
      <c r="J4191">
        <v>28.97</v>
      </c>
      <c r="K4191">
        <v>26.07</v>
      </c>
      <c r="L4191">
        <v>2.9</v>
      </c>
      <c r="M4191" s="1" t="s">
        <v>21</v>
      </c>
      <c r="N4191" s="1" t="s">
        <v>22</v>
      </c>
      <c r="O4191" s="2">
        <v>46076</v>
      </c>
      <c r="P4191" s="2">
        <v>46076</v>
      </c>
      <c r="Q4191">
        <f>_xlfn.XLOOKUP(E4191,CPT!$A$2:$A$13,CPT!$D$2:$D$13)</f>
        <v>62</v>
      </c>
      <c r="R4191" s="1">
        <f>_xlfn.XLOOKUP(C4191,Contract!$A$2:$A$9,Contract!$B$2:$B$9)</f>
        <v>0.43</v>
      </c>
      <c r="S4191" s="1">
        <f t="shared" si="260"/>
        <v>26.66</v>
      </c>
      <c r="T4191" s="1">
        <f t="shared" si="261"/>
        <v>-2.3099999999999987</v>
      </c>
      <c r="U4191" s="1" t="str">
        <f t="shared" si="262"/>
        <v>OK</v>
      </c>
      <c r="V4191" s="1" t="str">
        <f>_xlfn.XLOOKUP(C4191,Payers!$A$2:$A$9,Payers!$B$2:$B$9)</f>
        <v>Summit Health Commercial</v>
      </c>
      <c r="W4191" s="1" t="str">
        <f t="shared" si="263"/>
        <v>2026-01</v>
      </c>
    </row>
    <row r="4192" spans="1:23">
      <c r="A4192" s="1" t="s">
        <v>6669</v>
      </c>
      <c r="B4192" s="1" t="s">
        <v>6670</v>
      </c>
      <c r="C4192" s="1" t="s">
        <v>60</v>
      </c>
      <c r="D4192" s="1" t="s">
        <v>37</v>
      </c>
      <c r="E4192" s="1" t="s">
        <v>48</v>
      </c>
      <c r="F4192">
        <v>1</v>
      </c>
      <c r="G4192" s="2">
        <v>46134</v>
      </c>
      <c r="H4192" s="2">
        <v>46138</v>
      </c>
      <c r="I4192">
        <v>407.64</v>
      </c>
      <c r="J4192">
        <v>175.29</v>
      </c>
      <c r="K4192">
        <v>175.29</v>
      </c>
      <c r="L4192">
        <v>0</v>
      </c>
      <c r="M4192" s="1" t="s">
        <v>21</v>
      </c>
      <c r="N4192" s="1" t="s">
        <v>22</v>
      </c>
      <c r="O4192" s="2">
        <v>46175</v>
      </c>
      <c r="P4192" s="2">
        <v>46175</v>
      </c>
      <c r="Q4192">
        <f>_xlfn.XLOOKUP(E4192,CPT!$A$2:$A$13,CPT!$D$2:$D$13)</f>
        <v>420</v>
      </c>
      <c r="R4192" s="1">
        <f>_xlfn.XLOOKUP(C4192,Contract!$A$2:$A$9,Contract!$B$2:$B$9)</f>
        <v>0.45</v>
      </c>
      <c r="S4192" s="1">
        <f t="shared" si="260"/>
        <v>189</v>
      </c>
      <c r="T4192" s="1">
        <f t="shared" si="261"/>
        <v>13.710000000000008</v>
      </c>
      <c r="U4192" s="1" t="str">
        <f t="shared" si="262"/>
        <v>Underpaid</v>
      </c>
      <c r="V4192" s="1" t="str">
        <f>_xlfn.XLOOKUP(C4192,Payers!$A$2:$A$9,Payers!$B$2:$B$9)</f>
        <v>Blue Horizon Commercial</v>
      </c>
      <c r="W4192" s="1" t="str">
        <f t="shared" si="263"/>
        <v>2026-04</v>
      </c>
    </row>
    <row r="4193" spans="1:23">
      <c r="A4193" s="1" t="s">
        <v>6671</v>
      </c>
      <c r="B4193" s="1" t="s">
        <v>453</v>
      </c>
      <c r="C4193" s="1" t="s">
        <v>18</v>
      </c>
      <c r="D4193" s="1" t="s">
        <v>26</v>
      </c>
      <c r="E4193" s="1" t="s">
        <v>113</v>
      </c>
      <c r="F4193">
        <v>1</v>
      </c>
      <c r="G4193" s="2">
        <v>46021</v>
      </c>
      <c r="H4193" s="2">
        <v>46026</v>
      </c>
      <c r="I4193">
        <v>1072.77</v>
      </c>
      <c r="J4193">
        <v>355.6</v>
      </c>
      <c r="K4193">
        <v>355.6</v>
      </c>
      <c r="L4193">
        <v>0</v>
      </c>
      <c r="M4193" s="1" t="s">
        <v>21</v>
      </c>
      <c r="N4193" s="1" t="s">
        <v>22</v>
      </c>
      <c r="O4193" s="2">
        <v>46088</v>
      </c>
      <c r="P4193" s="2">
        <v>46088</v>
      </c>
      <c r="Q4193">
        <f>_xlfn.XLOOKUP(E4193,CPT!$A$2:$A$13,CPT!$D$2:$D$13)</f>
        <v>1050</v>
      </c>
      <c r="R4193" s="1">
        <f>_xlfn.XLOOKUP(C4193,Contract!$A$2:$A$9,Contract!$B$2:$B$9)</f>
        <v>0.38</v>
      </c>
      <c r="S4193" s="1">
        <f t="shared" si="260"/>
        <v>399</v>
      </c>
      <c r="T4193" s="1">
        <f t="shared" si="261"/>
        <v>43.399999999999977</v>
      </c>
      <c r="U4193" s="1" t="str">
        <f t="shared" si="262"/>
        <v>Underpaid</v>
      </c>
      <c r="V4193" s="1" t="str">
        <f>_xlfn.XLOOKUP(C4193,Payers!$A$2:$A$9,Payers!$B$2:$B$9)</f>
        <v>Sunshine Medicare Advantage</v>
      </c>
      <c r="W4193" s="1" t="str">
        <f t="shared" si="263"/>
        <v>2025-12</v>
      </c>
    </row>
    <row r="4194" spans="1:23">
      <c r="A4194" s="1" t="s">
        <v>6672</v>
      </c>
      <c r="B4194" s="1" t="s">
        <v>1414</v>
      </c>
      <c r="C4194" s="1" t="s">
        <v>76</v>
      </c>
      <c r="D4194" s="1" t="s">
        <v>30</v>
      </c>
      <c r="E4194" s="1" t="s">
        <v>20</v>
      </c>
      <c r="F4194">
        <v>1</v>
      </c>
      <c r="G4194" s="2">
        <v>46023</v>
      </c>
      <c r="H4194" s="2">
        <v>46028</v>
      </c>
      <c r="I4194">
        <v>143.66999999999999</v>
      </c>
      <c r="J4194">
        <v>70.349999999999994</v>
      </c>
      <c r="K4194">
        <v>70.349999999999994</v>
      </c>
      <c r="L4194">
        <v>0</v>
      </c>
      <c r="M4194" s="1" t="s">
        <v>21</v>
      </c>
      <c r="N4194" s="1" t="s">
        <v>22</v>
      </c>
      <c r="O4194" s="2">
        <v>46071</v>
      </c>
      <c r="P4194" s="2">
        <v>46071</v>
      </c>
      <c r="Q4194">
        <f>_xlfn.XLOOKUP(E4194,CPT!$A$2:$A$13,CPT!$D$2:$D$13)</f>
        <v>145</v>
      </c>
      <c r="R4194" s="1">
        <f>_xlfn.XLOOKUP(C4194,Contract!$A$2:$A$9,Contract!$B$2:$B$9)</f>
        <v>0.43</v>
      </c>
      <c r="S4194" s="1">
        <f t="shared" si="260"/>
        <v>62.35</v>
      </c>
      <c r="T4194" s="1">
        <f t="shared" si="261"/>
        <v>-7.9999999999999929</v>
      </c>
      <c r="U4194" s="1" t="str">
        <f t="shared" si="262"/>
        <v>OK</v>
      </c>
      <c r="V4194" s="1" t="str">
        <f>_xlfn.XLOOKUP(C4194,Payers!$A$2:$A$9,Payers!$B$2:$B$9)</f>
        <v>Summit Health Commercial</v>
      </c>
      <c r="W4194" s="1" t="str">
        <f t="shared" si="263"/>
        <v>2026-01</v>
      </c>
    </row>
    <row r="4195" spans="1:23">
      <c r="A4195" s="1" t="s">
        <v>6673</v>
      </c>
      <c r="B4195" s="1" t="s">
        <v>6674</v>
      </c>
      <c r="C4195" s="1" t="s">
        <v>25</v>
      </c>
      <c r="D4195" s="1" t="s">
        <v>26</v>
      </c>
      <c r="E4195" s="1" t="s">
        <v>44</v>
      </c>
      <c r="F4195">
        <v>1</v>
      </c>
      <c r="G4195" s="2">
        <v>46109</v>
      </c>
      <c r="H4195" s="2">
        <v>46111</v>
      </c>
      <c r="I4195">
        <v>4727.07</v>
      </c>
      <c r="J4195">
        <v>1611.93</v>
      </c>
      <c r="K4195">
        <v>1289.54</v>
      </c>
      <c r="L4195">
        <v>322.39</v>
      </c>
      <c r="M4195" s="1" t="s">
        <v>21</v>
      </c>
      <c r="N4195" s="1" t="s">
        <v>22</v>
      </c>
      <c r="O4195" s="2">
        <v>46132</v>
      </c>
      <c r="P4195" s="2">
        <v>46132</v>
      </c>
      <c r="Q4195">
        <f>_xlfn.XLOOKUP(E4195,CPT!$A$2:$A$13,CPT!$D$2:$D$13)</f>
        <v>4800</v>
      </c>
      <c r="R4195" s="1">
        <f>_xlfn.XLOOKUP(C4195,Contract!$A$2:$A$9,Contract!$B$2:$B$9)</f>
        <v>0.36</v>
      </c>
      <c r="S4195" s="1">
        <f t="shared" si="260"/>
        <v>1728</v>
      </c>
      <c r="T4195" s="1">
        <f t="shared" si="261"/>
        <v>116.06999999999994</v>
      </c>
      <c r="U4195" s="1" t="str">
        <f t="shared" si="262"/>
        <v>Underpaid</v>
      </c>
      <c r="V4195" s="1" t="str">
        <f>_xlfn.XLOOKUP(C4195,Payers!$A$2:$A$9,Payers!$B$2:$B$9)</f>
        <v>Medicare Part B</v>
      </c>
      <c r="W4195" s="1" t="str">
        <f t="shared" si="263"/>
        <v>2026-03</v>
      </c>
    </row>
    <row r="4196" spans="1:23">
      <c r="A4196" s="1" t="s">
        <v>6675</v>
      </c>
      <c r="B4196" s="1" t="s">
        <v>5026</v>
      </c>
      <c r="C4196" s="1" t="s">
        <v>76</v>
      </c>
      <c r="D4196" s="1" t="s">
        <v>26</v>
      </c>
      <c r="E4196" s="1" t="s">
        <v>113</v>
      </c>
      <c r="F4196">
        <v>1</v>
      </c>
      <c r="G4196" s="2">
        <v>46179</v>
      </c>
      <c r="H4196" s="2">
        <v>46184</v>
      </c>
      <c r="I4196">
        <v>1028.69</v>
      </c>
      <c r="J4196">
        <v>498.47</v>
      </c>
      <c r="K4196">
        <v>498.47</v>
      </c>
      <c r="L4196">
        <v>0</v>
      </c>
      <c r="M4196" s="1" t="s">
        <v>21</v>
      </c>
      <c r="N4196" s="1" t="s">
        <v>22</v>
      </c>
      <c r="O4196" s="2">
        <v>46227</v>
      </c>
      <c r="P4196" s="2">
        <v>46227</v>
      </c>
      <c r="Q4196">
        <f>_xlfn.XLOOKUP(E4196,CPT!$A$2:$A$13,CPT!$D$2:$D$13)</f>
        <v>1050</v>
      </c>
      <c r="R4196" s="1">
        <f>_xlfn.XLOOKUP(C4196,Contract!$A$2:$A$9,Contract!$B$2:$B$9)</f>
        <v>0.43</v>
      </c>
      <c r="S4196" s="1">
        <f t="shared" si="260"/>
        <v>451.5</v>
      </c>
      <c r="T4196" s="1">
        <f t="shared" si="261"/>
        <v>-46.970000000000027</v>
      </c>
      <c r="U4196" s="1" t="str">
        <f t="shared" si="262"/>
        <v>OK</v>
      </c>
      <c r="V4196" s="1" t="str">
        <f>_xlfn.XLOOKUP(C4196,Payers!$A$2:$A$9,Payers!$B$2:$B$9)</f>
        <v>Summit Health Commercial</v>
      </c>
      <c r="W4196" s="1" t="str">
        <f t="shared" si="263"/>
        <v>2026-06</v>
      </c>
    </row>
    <row r="4197" spans="1:23">
      <c r="A4197" s="1" t="s">
        <v>6676</v>
      </c>
      <c r="B4197" s="1" t="s">
        <v>6677</v>
      </c>
      <c r="C4197" s="1" t="s">
        <v>25</v>
      </c>
      <c r="D4197" s="1" t="s">
        <v>19</v>
      </c>
      <c r="E4197" s="1" t="s">
        <v>41</v>
      </c>
      <c r="F4197">
        <v>1</v>
      </c>
      <c r="G4197" s="2">
        <v>46041</v>
      </c>
      <c r="H4197" s="2">
        <v>46046</v>
      </c>
      <c r="I4197">
        <v>37.4</v>
      </c>
      <c r="M4197" s="1" t="s">
        <v>32</v>
      </c>
      <c r="N4197" s="1" t="s">
        <v>33</v>
      </c>
      <c r="O4197" s="2">
        <v>46054</v>
      </c>
      <c r="P4197" s="2"/>
      <c r="Q4197">
        <f>_xlfn.XLOOKUP(E4197,CPT!$A$2:$A$13,CPT!$D$2:$D$13)</f>
        <v>38</v>
      </c>
      <c r="R4197" s="1">
        <f>_xlfn.XLOOKUP(C4197,Contract!$A$2:$A$9,Contract!$B$2:$B$9)</f>
        <v>0.36</v>
      </c>
      <c r="S4197" s="1">
        <f t="shared" si="260"/>
        <v>13.68</v>
      </c>
      <c r="T4197" s="1" t="str">
        <f t="shared" si="261"/>
        <v/>
      </c>
      <c r="U4197" s="1" t="str">
        <f t="shared" si="262"/>
        <v/>
      </c>
      <c r="V4197" s="1" t="str">
        <f>_xlfn.XLOOKUP(C4197,Payers!$A$2:$A$9,Payers!$B$2:$B$9)</f>
        <v>Medicare Part B</v>
      </c>
      <c r="W4197" s="1" t="str">
        <f t="shared" si="263"/>
        <v>2026-01</v>
      </c>
    </row>
    <row r="4198" spans="1:23">
      <c r="A4198" s="1" t="s">
        <v>6678</v>
      </c>
      <c r="B4198" s="1" t="s">
        <v>6679</v>
      </c>
      <c r="C4198" s="1" t="s">
        <v>25</v>
      </c>
      <c r="D4198" s="1" t="s">
        <v>26</v>
      </c>
      <c r="E4198" s="1" t="s">
        <v>44</v>
      </c>
      <c r="F4198">
        <v>1</v>
      </c>
      <c r="G4198" s="2">
        <v>46024</v>
      </c>
      <c r="H4198" s="2">
        <v>46027</v>
      </c>
      <c r="I4198">
        <v>4901.3500000000004</v>
      </c>
      <c r="J4198">
        <v>1843.78</v>
      </c>
      <c r="K4198">
        <v>1475.02</v>
      </c>
      <c r="L4198">
        <v>368.76</v>
      </c>
      <c r="M4198" s="1" t="s">
        <v>21</v>
      </c>
      <c r="N4198" s="1" t="s">
        <v>22</v>
      </c>
      <c r="O4198" s="2">
        <v>46057</v>
      </c>
      <c r="P4198" s="2">
        <v>46057</v>
      </c>
      <c r="Q4198">
        <f>_xlfn.XLOOKUP(E4198,CPT!$A$2:$A$13,CPT!$D$2:$D$13)</f>
        <v>4800</v>
      </c>
      <c r="R4198" s="1">
        <f>_xlfn.XLOOKUP(C4198,Contract!$A$2:$A$9,Contract!$B$2:$B$9)</f>
        <v>0.36</v>
      </c>
      <c r="S4198" s="1">
        <f t="shared" si="260"/>
        <v>1728</v>
      </c>
      <c r="T4198" s="1">
        <f t="shared" si="261"/>
        <v>-115.77999999999997</v>
      </c>
      <c r="U4198" s="1" t="str">
        <f t="shared" si="262"/>
        <v>OK</v>
      </c>
      <c r="V4198" s="1" t="str">
        <f>_xlfn.XLOOKUP(C4198,Payers!$A$2:$A$9,Payers!$B$2:$B$9)</f>
        <v>Medicare Part B</v>
      </c>
      <c r="W4198" s="1" t="str">
        <f t="shared" si="263"/>
        <v>2026-01</v>
      </c>
    </row>
    <row r="4199" spans="1:23">
      <c r="A4199" s="1" t="s">
        <v>6680</v>
      </c>
      <c r="B4199" s="1" t="s">
        <v>6681</v>
      </c>
      <c r="C4199" s="1" t="s">
        <v>76</v>
      </c>
      <c r="D4199" s="1" t="s">
        <v>19</v>
      </c>
      <c r="E4199" s="1" t="s">
        <v>88</v>
      </c>
      <c r="F4199">
        <v>1</v>
      </c>
      <c r="G4199" s="2">
        <v>45943</v>
      </c>
      <c r="H4199" s="2">
        <v>45950</v>
      </c>
      <c r="I4199">
        <v>252.97</v>
      </c>
      <c r="J4199">
        <v>103.59</v>
      </c>
      <c r="K4199">
        <v>103.59</v>
      </c>
      <c r="L4199">
        <v>0</v>
      </c>
      <c r="M4199" s="1" t="s">
        <v>21</v>
      </c>
      <c r="N4199" s="1" t="s">
        <v>22</v>
      </c>
      <c r="O4199" s="2">
        <v>45985</v>
      </c>
      <c r="P4199" s="2">
        <v>45985</v>
      </c>
      <c r="Q4199">
        <f>_xlfn.XLOOKUP(E4199,CPT!$A$2:$A$13,CPT!$D$2:$D$13)</f>
        <v>260</v>
      </c>
      <c r="R4199" s="1">
        <f>_xlfn.XLOOKUP(C4199,Contract!$A$2:$A$9,Contract!$B$2:$B$9)</f>
        <v>0.43</v>
      </c>
      <c r="S4199" s="1">
        <f t="shared" si="260"/>
        <v>111.8</v>
      </c>
      <c r="T4199" s="1">
        <f t="shared" si="261"/>
        <v>8.2099999999999937</v>
      </c>
      <c r="U4199" s="1" t="str">
        <f t="shared" si="262"/>
        <v>Underpaid</v>
      </c>
      <c r="V4199" s="1" t="str">
        <f>_xlfn.XLOOKUP(C4199,Payers!$A$2:$A$9,Payers!$B$2:$B$9)</f>
        <v>Summit Health Commercial</v>
      </c>
      <c r="W4199" s="1" t="str">
        <f t="shared" si="263"/>
        <v>2025-10</v>
      </c>
    </row>
    <row r="4200" spans="1:23">
      <c r="A4200" s="1" t="s">
        <v>6682</v>
      </c>
      <c r="B4200" s="1" t="s">
        <v>6683</v>
      </c>
      <c r="C4200" s="1" t="s">
        <v>76</v>
      </c>
      <c r="D4200" s="1" t="s">
        <v>19</v>
      </c>
      <c r="E4200" s="1" t="s">
        <v>20</v>
      </c>
      <c r="F4200">
        <v>1</v>
      </c>
      <c r="G4200" s="2">
        <v>45933</v>
      </c>
      <c r="H4200" s="2">
        <v>45937</v>
      </c>
      <c r="I4200">
        <v>146.03</v>
      </c>
      <c r="J4200">
        <v>57.03</v>
      </c>
      <c r="K4200">
        <v>57.03</v>
      </c>
      <c r="L4200">
        <v>0</v>
      </c>
      <c r="M4200" s="1" t="s">
        <v>21</v>
      </c>
      <c r="N4200" s="1" t="s">
        <v>22</v>
      </c>
      <c r="O4200" s="2">
        <v>45971</v>
      </c>
      <c r="P4200" s="2">
        <v>45971</v>
      </c>
      <c r="Q4200">
        <f>_xlfn.XLOOKUP(E4200,CPT!$A$2:$A$13,CPT!$D$2:$D$13)</f>
        <v>145</v>
      </c>
      <c r="R4200" s="1">
        <f>_xlfn.XLOOKUP(C4200,Contract!$A$2:$A$9,Contract!$B$2:$B$9)</f>
        <v>0.43</v>
      </c>
      <c r="S4200" s="1">
        <f t="shared" si="260"/>
        <v>62.35</v>
      </c>
      <c r="T4200" s="1">
        <f t="shared" si="261"/>
        <v>5.32</v>
      </c>
      <c r="U4200" s="1" t="str">
        <f t="shared" si="262"/>
        <v>Underpaid</v>
      </c>
      <c r="V4200" s="1" t="str">
        <f>_xlfn.XLOOKUP(C4200,Payers!$A$2:$A$9,Payers!$B$2:$B$9)</f>
        <v>Summit Health Commercial</v>
      </c>
      <c r="W4200" s="1" t="str">
        <f t="shared" si="263"/>
        <v>2025-10</v>
      </c>
    </row>
    <row r="4201" spans="1:23">
      <c r="A4201" s="1" t="s">
        <v>6684</v>
      </c>
      <c r="B4201" s="1" t="s">
        <v>1632</v>
      </c>
      <c r="C4201" s="1" t="s">
        <v>52</v>
      </c>
      <c r="D4201" s="1" t="s">
        <v>30</v>
      </c>
      <c r="E4201" s="1" t="s">
        <v>91</v>
      </c>
      <c r="F4201">
        <v>2</v>
      </c>
      <c r="G4201" s="2">
        <v>46021</v>
      </c>
      <c r="H4201" s="2">
        <v>46023</v>
      </c>
      <c r="I4201">
        <v>118.28</v>
      </c>
      <c r="M4201" s="1" t="s">
        <v>32</v>
      </c>
      <c r="N4201" s="1" t="s">
        <v>124</v>
      </c>
      <c r="O4201" s="2">
        <v>46057</v>
      </c>
      <c r="P4201" s="2"/>
      <c r="Q4201">
        <f>_xlfn.XLOOKUP(E4201,CPT!$A$2:$A$13,CPT!$D$2:$D$13)</f>
        <v>58</v>
      </c>
      <c r="R4201" s="1">
        <f>_xlfn.XLOOKUP(C4201,Contract!$A$2:$A$9,Contract!$B$2:$B$9)</f>
        <v>0.47</v>
      </c>
      <c r="S4201" s="1">
        <f t="shared" si="260"/>
        <v>54.52</v>
      </c>
      <c r="T4201" s="1" t="str">
        <f t="shared" si="261"/>
        <v/>
      </c>
      <c r="U4201" s="1" t="str">
        <f t="shared" si="262"/>
        <v/>
      </c>
      <c r="V4201" s="1" t="str">
        <f>_xlfn.XLOOKUP(C4201,Payers!$A$2:$A$9,Payers!$B$2:$B$9)</f>
        <v>Keystone Commercial PPO</v>
      </c>
      <c r="W4201" s="1" t="str">
        <f t="shared" si="263"/>
        <v>2025-12</v>
      </c>
    </row>
    <row r="4202" spans="1:23">
      <c r="A4202" s="1" t="s">
        <v>6685</v>
      </c>
      <c r="B4202" s="1" t="s">
        <v>6686</v>
      </c>
      <c r="C4202" s="1" t="s">
        <v>76</v>
      </c>
      <c r="D4202" s="1" t="s">
        <v>30</v>
      </c>
      <c r="E4202" s="1" t="s">
        <v>91</v>
      </c>
      <c r="F4202">
        <v>2</v>
      </c>
      <c r="G4202" s="2">
        <v>46186</v>
      </c>
      <c r="H4202" s="2">
        <v>46187</v>
      </c>
      <c r="I4202">
        <v>117.68</v>
      </c>
      <c r="J4202">
        <v>46.34</v>
      </c>
      <c r="K4202">
        <v>46.34</v>
      </c>
      <c r="L4202">
        <v>0</v>
      </c>
      <c r="M4202" s="1" t="s">
        <v>21</v>
      </c>
      <c r="N4202" s="1" t="s">
        <v>22</v>
      </c>
      <c r="O4202" s="2">
        <v>46209</v>
      </c>
      <c r="P4202" s="2">
        <v>46209</v>
      </c>
      <c r="Q4202">
        <f>_xlfn.XLOOKUP(E4202,CPT!$A$2:$A$13,CPT!$D$2:$D$13)</f>
        <v>58</v>
      </c>
      <c r="R4202" s="1">
        <f>_xlfn.XLOOKUP(C4202,Contract!$A$2:$A$9,Contract!$B$2:$B$9)</f>
        <v>0.43</v>
      </c>
      <c r="S4202" s="1">
        <f t="shared" si="260"/>
        <v>49.88</v>
      </c>
      <c r="T4202" s="1">
        <f t="shared" si="261"/>
        <v>3.5399999999999991</v>
      </c>
      <c r="U4202" s="1" t="str">
        <f t="shared" si="262"/>
        <v>Underpaid</v>
      </c>
      <c r="V4202" s="1" t="str">
        <f>_xlfn.XLOOKUP(C4202,Payers!$A$2:$A$9,Payers!$B$2:$B$9)</f>
        <v>Summit Health Commercial</v>
      </c>
      <c r="W4202" s="1" t="str">
        <f t="shared" si="263"/>
        <v>2026-06</v>
      </c>
    </row>
    <row r="4203" spans="1:23">
      <c r="A4203" s="1" t="s">
        <v>6687</v>
      </c>
      <c r="B4203" s="1" t="s">
        <v>6688</v>
      </c>
      <c r="C4203" s="1" t="s">
        <v>18</v>
      </c>
      <c r="D4203" s="1" t="s">
        <v>37</v>
      </c>
      <c r="E4203" s="1" t="s">
        <v>38</v>
      </c>
      <c r="F4203">
        <v>5</v>
      </c>
      <c r="G4203" s="2">
        <v>46020</v>
      </c>
      <c r="H4203" s="2">
        <v>46024</v>
      </c>
      <c r="I4203">
        <v>7372.66</v>
      </c>
      <c r="J4203">
        <v>2822.1</v>
      </c>
      <c r="K4203">
        <v>2257.6799999999998</v>
      </c>
      <c r="L4203">
        <v>564.41999999999996</v>
      </c>
      <c r="M4203" s="1" t="s">
        <v>21</v>
      </c>
      <c r="N4203" s="1" t="s">
        <v>22</v>
      </c>
      <c r="O4203" s="2">
        <v>46088</v>
      </c>
      <c r="P4203" s="2">
        <v>46088</v>
      </c>
      <c r="Q4203">
        <f>_xlfn.XLOOKUP(E4203,CPT!$A$2:$A$13,CPT!$D$2:$D$13)</f>
        <v>1450</v>
      </c>
      <c r="R4203" s="1">
        <f>_xlfn.XLOOKUP(C4203,Contract!$A$2:$A$9,Contract!$B$2:$B$9)</f>
        <v>0.38</v>
      </c>
      <c r="S4203" s="1">
        <f t="shared" si="260"/>
        <v>2755</v>
      </c>
      <c r="T4203" s="1">
        <f t="shared" si="261"/>
        <v>-67.099999999999909</v>
      </c>
      <c r="U4203" s="1" t="str">
        <f t="shared" si="262"/>
        <v>OK</v>
      </c>
      <c r="V4203" s="1" t="str">
        <f>_xlfn.XLOOKUP(C4203,Payers!$A$2:$A$9,Payers!$B$2:$B$9)</f>
        <v>Sunshine Medicare Advantage</v>
      </c>
      <c r="W4203" s="1" t="str">
        <f t="shared" si="263"/>
        <v>2025-12</v>
      </c>
    </row>
    <row r="4204" spans="1:23">
      <c r="A4204" s="1" t="s">
        <v>6689</v>
      </c>
      <c r="B4204" s="1" t="s">
        <v>4507</v>
      </c>
      <c r="C4204" s="1" t="s">
        <v>25</v>
      </c>
      <c r="D4204" s="1" t="s">
        <v>37</v>
      </c>
      <c r="E4204" s="1" t="s">
        <v>38</v>
      </c>
      <c r="F4204">
        <v>5</v>
      </c>
      <c r="G4204" s="2">
        <v>46190</v>
      </c>
      <c r="H4204" s="2">
        <v>46194</v>
      </c>
      <c r="I4204">
        <v>7293.41</v>
      </c>
      <c r="M4204" s="1" t="s">
        <v>32</v>
      </c>
      <c r="N4204" s="1" t="s">
        <v>315</v>
      </c>
      <c r="O4204" s="2">
        <v>46209</v>
      </c>
      <c r="P4204" s="2"/>
      <c r="Q4204">
        <f>_xlfn.XLOOKUP(E4204,CPT!$A$2:$A$13,CPT!$D$2:$D$13)</f>
        <v>1450</v>
      </c>
      <c r="R4204" s="1">
        <f>_xlfn.XLOOKUP(C4204,Contract!$A$2:$A$9,Contract!$B$2:$B$9)</f>
        <v>0.36</v>
      </c>
      <c r="S4204" s="1">
        <f t="shared" si="260"/>
        <v>2610</v>
      </c>
      <c r="T4204" s="1" t="str">
        <f t="shared" si="261"/>
        <v/>
      </c>
      <c r="U4204" s="1" t="str">
        <f t="shared" si="262"/>
        <v/>
      </c>
      <c r="V4204" s="1" t="str">
        <f>_xlfn.XLOOKUP(C4204,Payers!$A$2:$A$9,Payers!$B$2:$B$9)</f>
        <v>Medicare Part B</v>
      </c>
      <c r="W4204" s="1" t="str">
        <f t="shared" si="263"/>
        <v>2026-06</v>
      </c>
    </row>
    <row r="4205" spans="1:23">
      <c r="A4205" s="1" t="s">
        <v>6690</v>
      </c>
      <c r="B4205" s="1" t="s">
        <v>3241</v>
      </c>
      <c r="C4205" s="1" t="s">
        <v>36</v>
      </c>
      <c r="D4205" s="1" t="s">
        <v>37</v>
      </c>
      <c r="E4205" s="1" t="s">
        <v>48</v>
      </c>
      <c r="F4205">
        <v>1</v>
      </c>
      <c r="G4205" s="2">
        <v>46026</v>
      </c>
      <c r="H4205" s="2">
        <v>46030</v>
      </c>
      <c r="I4205">
        <v>419.59</v>
      </c>
      <c r="M4205" s="1" t="s">
        <v>32</v>
      </c>
      <c r="N4205" s="1" t="s">
        <v>49</v>
      </c>
      <c r="O4205" s="2">
        <v>46074</v>
      </c>
      <c r="P4205" s="2"/>
      <c r="Q4205">
        <f>_xlfn.XLOOKUP(E4205,CPT!$A$2:$A$13,CPT!$D$2:$D$13)</f>
        <v>420</v>
      </c>
      <c r="R4205" s="1">
        <f>_xlfn.XLOOKUP(C4205,Contract!$A$2:$A$9,Contract!$B$2:$B$9)</f>
        <v>0.27</v>
      </c>
      <c r="S4205" s="1">
        <f t="shared" si="260"/>
        <v>113.4</v>
      </c>
      <c r="T4205" s="1" t="str">
        <f t="shared" si="261"/>
        <v/>
      </c>
      <c r="U4205" s="1" t="str">
        <f t="shared" si="262"/>
        <v/>
      </c>
      <c r="V4205" s="1" t="str">
        <f>_xlfn.XLOOKUP(C4205,Payers!$A$2:$A$9,Payers!$B$2:$B$9)</f>
        <v>Florida Medicaid</v>
      </c>
      <c r="W4205" s="1" t="str">
        <f t="shared" si="263"/>
        <v>2026-01</v>
      </c>
    </row>
    <row r="4206" spans="1:23">
      <c r="A4206" s="1" t="s">
        <v>6691</v>
      </c>
      <c r="B4206" s="1" t="s">
        <v>6692</v>
      </c>
      <c r="C4206" s="1" t="s">
        <v>60</v>
      </c>
      <c r="D4206" s="1" t="s">
        <v>37</v>
      </c>
      <c r="E4206" s="1" t="s">
        <v>38</v>
      </c>
      <c r="F4206">
        <v>5</v>
      </c>
      <c r="G4206" s="2">
        <v>46006</v>
      </c>
      <c r="H4206" s="2">
        <v>46029</v>
      </c>
      <c r="I4206">
        <v>7380.7</v>
      </c>
      <c r="J4206">
        <v>3135.41</v>
      </c>
      <c r="K4206">
        <v>3135.41</v>
      </c>
      <c r="L4206">
        <v>0</v>
      </c>
      <c r="M4206" s="1" t="s">
        <v>21</v>
      </c>
      <c r="N4206" s="1" t="s">
        <v>22</v>
      </c>
      <c r="O4206" s="2">
        <v>46058</v>
      </c>
      <c r="P4206" s="2">
        <v>46058</v>
      </c>
      <c r="Q4206">
        <f>_xlfn.XLOOKUP(E4206,CPT!$A$2:$A$13,CPT!$D$2:$D$13)</f>
        <v>1450</v>
      </c>
      <c r="R4206" s="1">
        <f>_xlfn.XLOOKUP(C4206,Contract!$A$2:$A$9,Contract!$B$2:$B$9)</f>
        <v>0.45</v>
      </c>
      <c r="S4206" s="1">
        <f t="shared" si="260"/>
        <v>3262.5</v>
      </c>
      <c r="T4206" s="1">
        <f t="shared" si="261"/>
        <v>127.09000000000015</v>
      </c>
      <c r="U4206" s="1" t="str">
        <f t="shared" si="262"/>
        <v>OK</v>
      </c>
      <c r="V4206" s="1" t="str">
        <f>_xlfn.XLOOKUP(C4206,Payers!$A$2:$A$9,Payers!$B$2:$B$9)</f>
        <v>Blue Horizon Commercial</v>
      </c>
      <c r="W4206" s="1" t="str">
        <f t="shared" si="263"/>
        <v>2025-12</v>
      </c>
    </row>
    <row r="4207" spans="1:23">
      <c r="A4207" s="1" t="s">
        <v>6693</v>
      </c>
      <c r="B4207" s="1" t="s">
        <v>6694</v>
      </c>
      <c r="C4207" s="1" t="s">
        <v>47</v>
      </c>
      <c r="D4207" s="1" t="s">
        <v>30</v>
      </c>
      <c r="E4207" s="1" t="s">
        <v>20</v>
      </c>
      <c r="F4207">
        <v>1</v>
      </c>
      <c r="G4207" s="2">
        <v>46157</v>
      </c>
      <c r="H4207" s="2">
        <v>46158</v>
      </c>
      <c r="I4207">
        <v>142.86000000000001</v>
      </c>
      <c r="J4207">
        <v>43.76</v>
      </c>
      <c r="K4207">
        <v>43.76</v>
      </c>
      <c r="L4207">
        <v>0</v>
      </c>
      <c r="M4207" s="1" t="s">
        <v>21</v>
      </c>
      <c r="N4207" s="1" t="s">
        <v>22</v>
      </c>
      <c r="O4207" s="2">
        <v>46200</v>
      </c>
      <c r="P4207" s="2">
        <v>46200</v>
      </c>
      <c r="Q4207">
        <f>_xlfn.XLOOKUP(E4207,CPT!$A$2:$A$13,CPT!$D$2:$D$13)</f>
        <v>145</v>
      </c>
      <c r="R4207" s="1">
        <f>_xlfn.XLOOKUP(C4207,Contract!$A$2:$A$9,Contract!$B$2:$B$9)</f>
        <v>0.28000000000000003</v>
      </c>
      <c r="S4207" s="1">
        <f t="shared" si="260"/>
        <v>40.6</v>
      </c>
      <c r="T4207" s="1">
        <f t="shared" si="261"/>
        <v>-3.1599999999999966</v>
      </c>
      <c r="U4207" s="1" t="str">
        <f t="shared" si="262"/>
        <v>OK</v>
      </c>
      <c r="V4207" s="1" t="str">
        <f>_xlfn.XLOOKUP(C4207,Payers!$A$2:$A$9,Payers!$B$2:$B$9)</f>
        <v>Coastal Medicaid MCO</v>
      </c>
      <c r="W4207" s="1" t="str">
        <f t="shared" si="263"/>
        <v>2026-05</v>
      </c>
    </row>
    <row r="4208" spans="1:23">
      <c r="A4208" s="1" t="s">
        <v>6695</v>
      </c>
      <c r="B4208" s="1" t="s">
        <v>6696</v>
      </c>
      <c r="C4208" s="1" t="s">
        <v>60</v>
      </c>
      <c r="D4208" s="1" t="s">
        <v>26</v>
      </c>
      <c r="E4208" s="1" t="s">
        <v>113</v>
      </c>
      <c r="F4208">
        <v>1</v>
      </c>
      <c r="G4208" s="2">
        <v>46082</v>
      </c>
      <c r="H4208" s="2">
        <v>46089</v>
      </c>
      <c r="I4208">
        <v>1070.99</v>
      </c>
      <c r="J4208">
        <v>440.67</v>
      </c>
      <c r="K4208">
        <v>440.67</v>
      </c>
      <c r="L4208">
        <v>0</v>
      </c>
      <c r="M4208" s="1" t="s">
        <v>21</v>
      </c>
      <c r="N4208" s="1" t="s">
        <v>22</v>
      </c>
      <c r="O4208" s="2">
        <v>46109</v>
      </c>
      <c r="P4208" s="2">
        <v>46109</v>
      </c>
      <c r="Q4208">
        <f>_xlfn.XLOOKUP(E4208,CPT!$A$2:$A$13,CPT!$D$2:$D$13)</f>
        <v>1050</v>
      </c>
      <c r="R4208" s="1">
        <f>_xlfn.XLOOKUP(C4208,Contract!$A$2:$A$9,Contract!$B$2:$B$9)</f>
        <v>0.45</v>
      </c>
      <c r="S4208" s="1">
        <f t="shared" si="260"/>
        <v>472.5</v>
      </c>
      <c r="T4208" s="1">
        <f t="shared" si="261"/>
        <v>31.829999999999984</v>
      </c>
      <c r="U4208" s="1" t="str">
        <f t="shared" si="262"/>
        <v>Underpaid</v>
      </c>
      <c r="V4208" s="1" t="str">
        <f>_xlfn.XLOOKUP(C4208,Payers!$A$2:$A$9,Payers!$B$2:$B$9)</f>
        <v>Blue Horizon Commercial</v>
      </c>
      <c r="W4208" s="1" t="str">
        <f t="shared" si="263"/>
        <v>2026-03</v>
      </c>
    </row>
    <row r="4209" spans="1:23">
      <c r="A4209" s="1" t="s">
        <v>6697</v>
      </c>
      <c r="B4209" s="1" t="s">
        <v>6698</v>
      </c>
      <c r="C4209" s="1" t="s">
        <v>76</v>
      </c>
      <c r="D4209" s="1" t="s">
        <v>30</v>
      </c>
      <c r="E4209" s="1" t="s">
        <v>91</v>
      </c>
      <c r="F4209">
        <v>4</v>
      </c>
      <c r="G4209" s="2">
        <v>46007</v>
      </c>
      <c r="H4209" s="2">
        <v>46010</v>
      </c>
      <c r="I4209">
        <v>233.04</v>
      </c>
      <c r="J4209">
        <v>86.16</v>
      </c>
      <c r="K4209">
        <v>86.16</v>
      </c>
      <c r="L4209">
        <v>0</v>
      </c>
      <c r="M4209" s="1" t="s">
        <v>21</v>
      </c>
      <c r="N4209" s="1" t="s">
        <v>22</v>
      </c>
      <c r="O4209" s="2">
        <v>46037</v>
      </c>
      <c r="P4209" s="2">
        <v>46037</v>
      </c>
      <c r="Q4209">
        <f>_xlfn.XLOOKUP(E4209,CPT!$A$2:$A$13,CPT!$D$2:$D$13)</f>
        <v>58</v>
      </c>
      <c r="R4209" s="1">
        <f>_xlfn.XLOOKUP(C4209,Contract!$A$2:$A$9,Contract!$B$2:$B$9)</f>
        <v>0.43</v>
      </c>
      <c r="S4209" s="1">
        <f t="shared" si="260"/>
        <v>99.76</v>
      </c>
      <c r="T4209" s="1">
        <f t="shared" si="261"/>
        <v>13.600000000000009</v>
      </c>
      <c r="U4209" s="1" t="str">
        <f t="shared" si="262"/>
        <v>Underpaid</v>
      </c>
      <c r="V4209" s="1" t="str">
        <f>_xlfn.XLOOKUP(C4209,Payers!$A$2:$A$9,Payers!$B$2:$B$9)</f>
        <v>Summit Health Commercial</v>
      </c>
      <c r="W4209" s="1" t="str">
        <f t="shared" si="263"/>
        <v>2025-12</v>
      </c>
    </row>
    <row r="4210" spans="1:23">
      <c r="A4210" s="1" t="s">
        <v>6699</v>
      </c>
      <c r="B4210" s="1" t="s">
        <v>1702</v>
      </c>
      <c r="C4210" s="1" t="s">
        <v>25</v>
      </c>
      <c r="D4210" s="1" t="s">
        <v>26</v>
      </c>
      <c r="E4210" s="1" t="s">
        <v>57</v>
      </c>
      <c r="F4210">
        <v>1</v>
      </c>
      <c r="G4210" s="2">
        <v>46163</v>
      </c>
      <c r="H4210" s="2">
        <v>46169</v>
      </c>
      <c r="I4210">
        <v>205.65</v>
      </c>
      <c r="J4210">
        <v>78.87</v>
      </c>
      <c r="K4210">
        <v>70.98</v>
      </c>
      <c r="L4210">
        <v>7.89</v>
      </c>
      <c r="M4210" s="1" t="s">
        <v>21</v>
      </c>
      <c r="N4210" s="1" t="s">
        <v>22</v>
      </c>
      <c r="O4210" s="2">
        <v>46174</v>
      </c>
      <c r="P4210" s="2">
        <v>46174</v>
      </c>
      <c r="Q4210">
        <f>_xlfn.XLOOKUP(E4210,CPT!$A$2:$A$13,CPT!$D$2:$D$13)</f>
        <v>210</v>
      </c>
      <c r="R4210" s="1">
        <f>_xlfn.XLOOKUP(C4210,Contract!$A$2:$A$9,Contract!$B$2:$B$9)</f>
        <v>0.36</v>
      </c>
      <c r="S4210" s="1">
        <f t="shared" si="260"/>
        <v>75.599999999999994</v>
      </c>
      <c r="T4210" s="1">
        <f t="shared" si="261"/>
        <v>-3.2700000000000102</v>
      </c>
      <c r="U4210" s="1" t="str">
        <f t="shared" si="262"/>
        <v>OK</v>
      </c>
      <c r="V4210" s="1" t="str">
        <f>_xlfn.XLOOKUP(C4210,Payers!$A$2:$A$9,Payers!$B$2:$B$9)</f>
        <v>Medicare Part B</v>
      </c>
      <c r="W4210" s="1" t="str">
        <f t="shared" si="263"/>
        <v>2026-05</v>
      </c>
    </row>
    <row r="4211" spans="1:23">
      <c r="A4211" s="1" t="s">
        <v>6700</v>
      </c>
      <c r="B4211" s="1" t="s">
        <v>4840</v>
      </c>
      <c r="C4211" s="1" t="s">
        <v>47</v>
      </c>
      <c r="D4211" s="1" t="s">
        <v>30</v>
      </c>
      <c r="E4211" s="1" t="s">
        <v>91</v>
      </c>
      <c r="F4211">
        <v>3</v>
      </c>
      <c r="G4211" s="2">
        <v>46152</v>
      </c>
      <c r="H4211" s="2">
        <v>46160</v>
      </c>
      <c r="I4211">
        <v>176.04</v>
      </c>
      <c r="J4211">
        <v>42.44</v>
      </c>
      <c r="K4211">
        <v>33.950000000000003</v>
      </c>
      <c r="L4211">
        <v>8.49</v>
      </c>
      <c r="M4211" s="1" t="s">
        <v>21</v>
      </c>
      <c r="N4211" s="1" t="s">
        <v>22</v>
      </c>
      <c r="O4211" s="2">
        <v>46209</v>
      </c>
      <c r="P4211" s="2">
        <v>46209</v>
      </c>
      <c r="Q4211">
        <f>_xlfn.XLOOKUP(E4211,CPT!$A$2:$A$13,CPT!$D$2:$D$13)</f>
        <v>58</v>
      </c>
      <c r="R4211" s="1">
        <f>_xlfn.XLOOKUP(C4211,Contract!$A$2:$A$9,Contract!$B$2:$B$9)</f>
        <v>0.28000000000000003</v>
      </c>
      <c r="S4211" s="1">
        <f t="shared" si="260"/>
        <v>48.72</v>
      </c>
      <c r="T4211" s="1">
        <f t="shared" si="261"/>
        <v>6.2800000000000011</v>
      </c>
      <c r="U4211" s="1" t="str">
        <f t="shared" si="262"/>
        <v>Underpaid</v>
      </c>
      <c r="V4211" s="1" t="str">
        <f>_xlfn.XLOOKUP(C4211,Payers!$A$2:$A$9,Payers!$B$2:$B$9)</f>
        <v>Coastal Medicaid MCO</v>
      </c>
      <c r="W4211" s="1" t="str">
        <f t="shared" si="263"/>
        <v>2026-05</v>
      </c>
    </row>
    <row r="4212" spans="1:23">
      <c r="A4212" s="1" t="s">
        <v>6701</v>
      </c>
      <c r="B4212" s="1" t="s">
        <v>2495</v>
      </c>
      <c r="C4212" s="1" t="s">
        <v>25</v>
      </c>
      <c r="D4212" s="1" t="s">
        <v>30</v>
      </c>
      <c r="E4212" s="1" t="s">
        <v>91</v>
      </c>
      <c r="F4212">
        <v>1</v>
      </c>
      <c r="G4212" s="2">
        <v>46115</v>
      </c>
      <c r="H4212" s="2">
        <v>46127</v>
      </c>
      <c r="I4212">
        <v>58.42</v>
      </c>
      <c r="J4212">
        <v>21.67</v>
      </c>
      <c r="K4212">
        <v>17.34</v>
      </c>
      <c r="L4212">
        <v>4.33</v>
      </c>
      <c r="M4212" s="1" t="s">
        <v>21</v>
      </c>
      <c r="N4212" s="1" t="s">
        <v>22</v>
      </c>
      <c r="O4212" s="2">
        <v>46150</v>
      </c>
      <c r="P4212" s="2">
        <v>46150</v>
      </c>
      <c r="Q4212">
        <f>_xlfn.XLOOKUP(E4212,CPT!$A$2:$A$13,CPT!$D$2:$D$13)</f>
        <v>58</v>
      </c>
      <c r="R4212" s="1">
        <f>_xlfn.XLOOKUP(C4212,Contract!$A$2:$A$9,Contract!$B$2:$B$9)</f>
        <v>0.36</v>
      </c>
      <c r="S4212" s="1">
        <f t="shared" si="260"/>
        <v>20.88</v>
      </c>
      <c r="T4212" s="1">
        <f t="shared" si="261"/>
        <v>-0.7900000000000027</v>
      </c>
      <c r="U4212" s="1" t="str">
        <f t="shared" si="262"/>
        <v>OK</v>
      </c>
      <c r="V4212" s="1" t="str">
        <f>_xlfn.XLOOKUP(C4212,Payers!$A$2:$A$9,Payers!$B$2:$B$9)</f>
        <v>Medicare Part B</v>
      </c>
      <c r="W4212" s="1" t="str">
        <f t="shared" si="263"/>
        <v>2026-04</v>
      </c>
    </row>
    <row r="4213" spans="1:23">
      <c r="A4213" s="1" t="s">
        <v>6702</v>
      </c>
      <c r="B4213" s="1" t="s">
        <v>4932</v>
      </c>
      <c r="C4213" s="1" t="s">
        <v>60</v>
      </c>
      <c r="D4213" s="1" t="s">
        <v>26</v>
      </c>
      <c r="E4213" s="1" t="s">
        <v>57</v>
      </c>
      <c r="F4213">
        <v>1</v>
      </c>
      <c r="G4213" s="2">
        <v>46124</v>
      </c>
      <c r="H4213" s="2">
        <v>46126</v>
      </c>
      <c r="I4213">
        <v>207.16</v>
      </c>
      <c r="J4213">
        <v>101.72</v>
      </c>
      <c r="K4213">
        <v>91.55</v>
      </c>
      <c r="L4213">
        <v>10.17</v>
      </c>
      <c r="M4213" s="1" t="s">
        <v>21</v>
      </c>
      <c r="N4213" s="1" t="s">
        <v>22</v>
      </c>
      <c r="O4213" s="2">
        <v>46153</v>
      </c>
      <c r="P4213" s="2">
        <v>46153</v>
      </c>
      <c r="Q4213">
        <f>_xlfn.XLOOKUP(E4213,CPT!$A$2:$A$13,CPT!$D$2:$D$13)</f>
        <v>210</v>
      </c>
      <c r="R4213" s="1">
        <f>_xlfn.XLOOKUP(C4213,Contract!$A$2:$A$9,Contract!$B$2:$B$9)</f>
        <v>0.45</v>
      </c>
      <c r="S4213" s="1">
        <f t="shared" si="260"/>
        <v>94.5</v>
      </c>
      <c r="T4213" s="1">
        <f t="shared" si="261"/>
        <v>-7.2199999999999989</v>
      </c>
      <c r="U4213" s="1" t="str">
        <f t="shared" si="262"/>
        <v>OK</v>
      </c>
      <c r="V4213" s="1" t="str">
        <f>_xlfn.XLOOKUP(C4213,Payers!$A$2:$A$9,Payers!$B$2:$B$9)</f>
        <v>Blue Horizon Commercial</v>
      </c>
      <c r="W4213" s="1" t="str">
        <f t="shared" si="263"/>
        <v>2026-04</v>
      </c>
    </row>
    <row r="4214" spans="1:23">
      <c r="A4214" s="1" t="s">
        <v>6703</v>
      </c>
      <c r="B4214" s="1" t="s">
        <v>5937</v>
      </c>
      <c r="C4214" s="1" t="s">
        <v>60</v>
      </c>
      <c r="D4214" s="1" t="s">
        <v>26</v>
      </c>
      <c r="E4214" s="1" t="s">
        <v>185</v>
      </c>
      <c r="F4214">
        <v>1</v>
      </c>
      <c r="G4214" s="2">
        <v>46272</v>
      </c>
      <c r="H4214" s="2">
        <v>46274</v>
      </c>
      <c r="I4214">
        <v>1115.81</v>
      </c>
      <c r="M4214" s="1" t="s">
        <v>69</v>
      </c>
      <c r="N4214" s="1" t="s">
        <v>22</v>
      </c>
      <c r="O4214" s="2"/>
      <c r="P4214" s="2"/>
      <c r="Q4214">
        <f>_xlfn.XLOOKUP(E4214,CPT!$A$2:$A$13,CPT!$D$2:$D$13)</f>
        <v>1150</v>
      </c>
      <c r="R4214" s="1">
        <f>_xlfn.XLOOKUP(C4214,Contract!$A$2:$A$9,Contract!$B$2:$B$9)</f>
        <v>0.45</v>
      </c>
      <c r="S4214" s="1">
        <f t="shared" si="260"/>
        <v>517.5</v>
      </c>
      <c r="T4214" s="1" t="str">
        <f t="shared" si="261"/>
        <v/>
      </c>
      <c r="U4214" s="1" t="str">
        <f t="shared" si="262"/>
        <v/>
      </c>
      <c r="V4214" s="1" t="str">
        <f>_xlfn.XLOOKUP(C4214,Payers!$A$2:$A$9,Payers!$B$2:$B$9)</f>
        <v>Blue Horizon Commercial</v>
      </c>
      <c r="W4214" s="1" t="str">
        <f t="shared" si="263"/>
        <v>2026-09</v>
      </c>
    </row>
    <row r="4215" spans="1:23">
      <c r="A4215" s="1" t="s">
        <v>6704</v>
      </c>
      <c r="B4215" s="1" t="s">
        <v>1711</v>
      </c>
      <c r="C4215" s="1" t="s">
        <v>60</v>
      </c>
      <c r="D4215" s="1" t="s">
        <v>19</v>
      </c>
      <c r="E4215" s="1" t="s">
        <v>41</v>
      </c>
      <c r="F4215">
        <v>1</v>
      </c>
      <c r="G4215" s="2">
        <v>46185</v>
      </c>
      <c r="H4215" s="2">
        <v>46191</v>
      </c>
      <c r="I4215">
        <v>37.93</v>
      </c>
      <c r="J4215">
        <v>15.87</v>
      </c>
      <c r="K4215">
        <v>15.87</v>
      </c>
      <c r="L4215">
        <v>0</v>
      </c>
      <c r="M4215" s="1" t="s">
        <v>21</v>
      </c>
      <c r="N4215" s="1" t="s">
        <v>22</v>
      </c>
      <c r="O4215" s="2">
        <v>46228</v>
      </c>
      <c r="P4215" s="2">
        <v>46228</v>
      </c>
      <c r="Q4215">
        <f>_xlfn.XLOOKUP(E4215,CPT!$A$2:$A$13,CPT!$D$2:$D$13)</f>
        <v>38</v>
      </c>
      <c r="R4215" s="1">
        <f>_xlfn.XLOOKUP(C4215,Contract!$A$2:$A$9,Contract!$B$2:$B$9)</f>
        <v>0.45</v>
      </c>
      <c r="S4215" s="1">
        <f t="shared" si="260"/>
        <v>17.100000000000001</v>
      </c>
      <c r="T4215" s="1">
        <f t="shared" si="261"/>
        <v>1.2300000000000022</v>
      </c>
      <c r="U4215" s="1" t="str">
        <f t="shared" si="262"/>
        <v>Underpaid</v>
      </c>
      <c r="V4215" s="1" t="str">
        <f>_xlfn.XLOOKUP(C4215,Payers!$A$2:$A$9,Payers!$B$2:$B$9)</f>
        <v>Blue Horizon Commercial</v>
      </c>
      <c r="W4215" s="1" t="str">
        <f t="shared" si="263"/>
        <v>2026-06</v>
      </c>
    </row>
    <row r="4216" spans="1:23">
      <c r="A4216" s="1" t="s">
        <v>6705</v>
      </c>
      <c r="B4216" s="1" t="s">
        <v>4762</v>
      </c>
      <c r="C4216" s="1" t="s">
        <v>18</v>
      </c>
      <c r="D4216" s="1" t="s">
        <v>26</v>
      </c>
      <c r="E4216" s="1" t="s">
        <v>57</v>
      </c>
      <c r="F4216">
        <v>1</v>
      </c>
      <c r="G4216" s="2">
        <v>45998</v>
      </c>
      <c r="H4216" s="2">
        <v>45999</v>
      </c>
      <c r="I4216">
        <v>215.88</v>
      </c>
      <c r="J4216">
        <v>84.9</v>
      </c>
      <c r="K4216">
        <v>84.9</v>
      </c>
      <c r="L4216">
        <v>0</v>
      </c>
      <c r="M4216" s="1" t="s">
        <v>21</v>
      </c>
      <c r="N4216" s="1" t="s">
        <v>22</v>
      </c>
      <c r="O4216" s="2">
        <v>46009</v>
      </c>
      <c r="P4216" s="2">
        <v>46009</v>
      </c>
      <c r="Q4216">
        <f>_xlfn.XLOOKUP(E4216,CPT!$A$2:$A$13,CPT!$D$2:$D$13)</f>
        <v>210</v>
      </c>
      <c r="R4216" s="1">
        <f>_xlfn.XLOOKUP(C4216,Contract!$A$2:$A$9,Contract!$B$2:$B$9)</f>
        <v>0.38</v>
      </c>
      <c r="S4216" s="1">
        <f t="shared" si="260"/>
        <v>79.8</v>
      </c>
      <c r="T4216" s="1">
        <f t="shared" si="261"/>
        <v>-5.1000000000000085</v>
      </c>
      <c r="U4216" s="1" t="str">
        <f t="shared" si="262"/>
        <v>OK</v>
      </c>
      <c r="V4216" s="1" t="str">
        <f>_xlfn.XLOOKUP(C4216,Payers!$A$2:$A$9,Payers!$B$2:$B$9)</f>
        <v>Sunshine Medicare Advantage</v>
      </c>
      <c r="W4216" s="1" t="str">
        <f t="shared" si="263"/>
        <v>2025-12</v>
      </c>
    </row>
    <row r="4217" spans="1:23">
      <c r="A4217" s="1" t="s">
        <v>6706</v>
      </c>
      <c r="B4217" s="1" t="s">
        <v>6707</v>
      </c>
      <c r="C4217" s="1" t="s">
        <v>25</v>
      </c>
      <c r="D4217" s="1" t="s">
        <v>37</v>
      </c>
      <c r="E4217" s="1" t="s">
        <v>57</v>
      </c>
      <c r="F4217">
        <v>1</v>
      </c>
      <c r="G4217" s="2">
        <v>46050</v>
      </c>
      <c r="H4217" s="2">
        <v>46051</v>
      </c>
      <c r="I4217">
        <v>206.94</v>
      </c>
      <c r="J4217">
        <v>65.25</v>
      </c>
      <c r="K4217">
        <v>65.25</v>
      </c>
      <c r="L4217">
        <v>0</v>
      </c>
      <c r="M4217" s="1" t="s">
        <v>21</v>
      </c>
      <c r="N4217" s="1" t="s">
        <v>22</v>
      </c>
      <c r="O4217" s="2">
        <v>46070</v>
      </c>
      <c r="P4217" s="2">
        <v>46070</v>
      </c>
      <c r="Q4217">
        <f>_xlfn.XLOOKUP(E4217,CPT!$A$2:$A$13,CPT!$D$2:$D$13)</f>
        <v>210</v>
      </c>
      <c r="R4217" s="1">
        <f>_xlfn.XLOOKUP(C4217,Contract!$A$2:$A$9,Contract!$B$2:$B$9)</f>
        <v>0.36</v>
      </c>
      <c r="S4217" s="1">
        <f t="shared" si="260"/>
        <v>75.599999999999994</v>
      </c>
      <c r="T4217" s="1">
        <f t="shared" si="261"/>
        <v>10.349999999999994</v>
      </c>
      <c r="U4217" s="1" t="str">
        <f t="shared" si="262"/>
        <v>Underpaid</v>
      </c>
      <c r="V4217" s="1" t="str">
        <f>_xlfn.XLOOKUP(C4217,Payers!$A$2:$A$9,Payers!$B$2:$B$9)</f>
        <v>Medicare Part B</v>
      </c>
      <c r="W4217" s="1" t="str">
        <f t="shared" si="263"/>
        <v>2026-01</v>
      </c>
    </row>
    <row r="4218" spans="1:23">
      <c r="A4218" s="1" t="s">
        <v>6708</v>
      </c>
      <c r="B4218" s="1" t="s">
        <v>6709</v>
      </c>
      <c r="C4218" s="1" t="s">
        <v>60</v>
      </c>
      <c r="D4218" s="1" t="s">
        <v>30</v>
      </c>
      <c r="E4218" s="1" t="s">
        <v>20</v>
      </c>
      <c r="F4218">
        <v>1</v>
      </c>
      <c r="G4218" s="2">
        <v>46217</v>
      </c>
      <c r="H4218" s="2">
        <v>46220</v>
      </c>
      <c r="I4218">
        <v>143.49</v>
      </c>
      <c r="J4218">
        <v>56.56</v>
      </c>
      <c r="K4218">
        <v>50.9</v>
      </c>
      <c r="L4218">
        <v>5.66</v>
      </c>
      <c r="M4218" s="1" t="s">
        <v>21</v>
      </c>
      <c r="N4218" s="1" t="s">
        <v>22</v>
      </c>
      <c r="O4218" s="2">
        <v>46246</v>
      </c>
      <c r="P4218" s="2">
        <v>46246</v>
      </c>
      <c r="Q4218">
        <f>_xlfn.XLOOKUP(E4218,CPT!$A$2:$A$13,CPT!$D$2:$D$13)</f>
        <v>145</v>
      </c>
      <c r="R4218" s="1">
        <f>_xlfn.XLOOKUP(C4218,Contract!$A$2:$A$9,Contract!$B$2:$B$9)</f>
        <v>0.45</v>
      </c>
      <c r="S4218" s="1">
        <f t="shared" si="260"/>
        <v>65.25</v>
      </c>
      <c r="T4218" s="1">
        <f t="shared" si="261"/>
        <v>8.6899999999999977</v>
      </c>
      <c r="U4218" s="1" t="str">
        <f t="shared" si="262"/>
        <v>Underpaid</v>
      </c>
      <c r="V4218" s="1" t="str">
        <f>_xlfn.XLOOKUP(C4218,Payers!$A$2:$A$9,Payers!$B$2:$B$9)</f>
        <v>Blue Horizon Commercial</v>
      </c>
      <c r="W4218" s="1" t="str">
        <f t="shared" si="263"/>
        <v>2026-07</v>
      </c>
    </row>
    <row r="4219" spans="1:23">
      <c r="A4219" s="1" t="s">
        <v>6710</v>
      </c>
      <c r="B4219" s="1" t="s">
        <v>3825</v>
      </c>
      <c r="C4219" s="1" t="s">
        <v>25</v>
      </c>
      <c r="D4219" s="1" t="s">
        <v>30</v>
      </c>
      <c r="E4219" s="1" t="s">
        <v>91</v>
      </c>
      <c r="F4219">
        <v>4</v>
      </c>
      <c r="G4219" s="2">
        <v>46034</v>
      </c>
      <c r="H4219" s="2">
        <v>46157</v>
      </c>
      <c r="I4219">
        <v>234.91</v>
      </c>
      <c r="M4219" s="1" t="s">
        <v>32</v>
      </c>
      <c r="N4219" s="1" t="s">
        <v>137</v>
      </c>
      <c r="O4219" s="2">
        <v>46178</v>
      </c>
      <c r="P4219" s="2"/>
      <c r="Q4219">
        <f>_xlfn.XLOOKUP(E4219,CPT!$A$2:$A$13,CPT!$D$2:$D$13)</f>
        <v>58</v>
      </c>
      <c r="R4219" s="1">
        <f>_xlfn.XLOOKUP(C4219,Contract!$A$2:$A$9,Contract!$B$2:$B$9)</f>
        <v>0.36</v>
      </c>
      <c r="S4219" s="1">
        <f t="shared" si="260"/>
        <v>83.52</v>
      </c>
      <c r="T4219" s="1" t="str">
        <f t="shared" si="261"/>
        <v/>
      </c>
      <c r="U4219" s="1" t="str">
        <f t="shared" si="262"/>
        <v/>
      </c>
      <c r="V4219" s="1" t="str">
        <f>_xlfn.XLOOKUP(C4219,Payers!$A$2:$A$9,Payers!$B$2:$B$9)</f>
        <v>Medicare Part B</v>
      </c>
      <c r="W4219" s="1" t="str">
        <f t="shared" si="263"/>
        <v>2026-01</v>
      </c>
    </row>
    <row r="4220" spans="1:23">
      <c r="A4220" s="1" t="s">
        <v>6711</v>
      </c>
      <c r="B4220" s="1" t="s">
        <v>4063</v>
      </c>
      <c r="C4220" s="1" t="s">
        <v>60</v>
      </c>
      <c r="D4220" s="1" t="s">
        <v>30</v>
      </c>
      <c r="E4220" s="1" t="s">
        <v>91</v>
      </c>
      <c r="F4220">
        <v>1</v>
      </c>
      <c r="G4220" s="2">
        <v>46031</v>
      </c>
      <c r="H4220" s="2">
        <v>46035</v>
      </c>
      <c r="I4220">
        <v>57.17</v>
      </c>
      <c r="J4220">
        <v>28.65</v>
      </c>
      <c r="K4220">
        <v>28.65</v>
      </c>
      <c r="L4220">
        <v>0</v>
      </c>
      <c r="M4220" s="1" t="s">
        <v>21</v>
      </c>
      <c r="N4220" s="1" t="s">
        <v>22</v>
      </c>
      <c r="O4220" s="2">
        <v>46067</v>
      </c>
      <c r="P4220" s="2">
        <v>46067</v>
      </c>
      <c r="Q4220">
        <f>_xlfn.XLOOKUP(E4220,CPT!$A$2:$A$13,CPT!$D$2:$D$13)</f>
        <v>58</v>
      </c>
      <c r="R4220" s="1">
        <f>_xlfn.XLOOKUP(C4220,Contract!$A$2:$A$9,Contract!$B$2:$B$9)</f>
        <v>0.45</v>
      </c>
      <c r="S4220" s="1">
        <f t="shared" si="260"/>
        <v>26.1</v>
      </c>
      <c r="T4220" s="1">
        <f t="shared" si="261"/>
        <v>-2.5499999999999972</v>
      </c>
      <c r="U4220" s="1" t="str">
        <f t="shared" si="262"/>
        <v>OK</v>
      </c>
      <c r="V4220" s="1" t="str">
        <f>_xlfn.XLOOKUP(C4220,Payers!$A$2:$A$9,Payers!$B$2:$B$9)</f>
        <v>Blue Horizon Commercial</v>
      </c>
      <c r="W4220" s="1" t="str">
        <f t="shared" si="263"/>
        <v>2026-01</v>
      </c>
    </row>
    <row r="4221" spans="1:23">
      <c r="A4221" s="1" t="s">
        <v>6712</v>
      </c>
      <c r="B4221" s="1" t="s">
        <v>3230</v>
      </c>
      <c r="C4221" s="1" t="s">
        <v>36</v>
      </c>
      <c r="D4221" s="1" t="s">
        <v>26</v>
      </c>
      <c r="E4221" s="1" t="s">
        <v>113</v>
      </c>
      <c r="F4221">
        <v>1</v>
      </c>
      <c r="G4221" s="2">
        <v>46209</v>
      </c>
      <c r="H4221" s="2">
        <v>46210</v>
      </c>
      <c r="I4221">
        <v>1054.5</v>
      </c>
      <c r="J4221">
        <v>243.31</v>
      </c>
      <c r="K4221">
        <v>243.31</v>
      </c>
      <c r="L4221">
        <v>0</v>
      </c>
      <c r="M4221" s="1" t="s">
        <v>21</v>
      </c>
      <c r="N4221" s="1" t="s">
        <v>22</v>
      </c>
      <c r="O4221" s="2">
        <v>46277</v>
      </c>
      <c r="P4221" s="2">
        <v>46277</v>
      </c>
      <c r="Q4221">
        <f>_xlfn.XLOOKUP(E4221,CPT!$A$2:$A$13,CPT!$D$2:$D$13)</f>
        <v>1050</v>
      </c>
      <c r="R4221" s="1">
        <f>_xlfn.XLOOKUP(C4221,Contract!$A$2:$A$9,Contract!$B$2:$B$9)</f>
        <v>0.27</v>
      </c>
      <c r="S4221" s="1">
        <f t="shared" si="260"/>
        <v>283.5</v>
      </c>
      <c r="T4221" s="1">
        <f t="shared" si="261"/>
        <v>40.19</v>
      </c>
      <c r="U4221" s="1" t="str">
        <f t="shared" si="262"/>
        <v>Underpaid</v>
      </c>
      <c r="V4221" s="1" t="str">
        <f>_xlfn.XLOOKUP(C4221,Payers!$A$2:$A$9,Payers!$B$2:$B$9)</f>
        <v>Florida Medicaid</v>
      </c>
      <c r="W4221" s="1" t="str">
        <f t="shared" si="263"/>
        <v>2026-07</v>
      </c>
    </row>
    <row r="4222" spans="1:23">
      <c r="A4222" s="1" t="s">
        <v>6713</v>
      </c>
      <c r="B4222" s="1" t="s">
        <v>6714</v>
      </c>
      <c r="C4222" s="1" t="s">
        <v>47</v>
      </c>
      <c r="D4222" s="1" t="s">
        <v>30</v>
      </c>
      <c r="E4222" s="1" t="s">
        <v>20</v>
      </c>
      <c r="F4222">
        <v>1</v>
      </c>
      <c r="G4222" s="2">
        <v>46061</v>
      </c>
      <c r="H4222" s="2">
        <v>46188</v>
      </c>
      <c r="I4222">
        <v>143.62</v>
      </c>
      <c r="M4222" s="1" t="s">
        <v>32</v>
      </c>
      <c r="N4222" s="1" t="s">
        <v>137</v>
      </c>
      <c r="O4222" s="2">
        <v>46266</v>
      </c>
      <c r="P4222" s="2"/>
      <c r="Q4222">
        <f>_xlfn.XLOOKUP(E4222,CPT!$A$2:$A$13,CPT!$D$2:$D$13)</f>
        <v>145</v>
      </c>
      <c r="R4222" s="1">
        <f>_xlfn.XLOOKUP(C4222,Contract!$A$2:$A$9,Contract!$B$2:$B$9)</f>
        <v>0.28000000000000003</v>
      </c>
      <c r="S4222" s="1">
        <f t="shared" si="260"/>
        <v>40.6</v>
      </c>
      <c r="T4222" s="1" t="str">
        <f t="shared" si="261"/>
        <v/>
      </c>
      <c r="U4222" s="1" t="str">
        <f t="shared" si="262"/>
        <v/>
      </c>
      <c r="V4222" s="1" t="str">
        <f>_xlfn.XLOOKUP(C4222,Payers!$A$2:$A$9,Payers!$B$2:$B$9)</f>
        <v>Coastal Medicaid MCO</v>
      </c>
      <c r="W4222" s="1" t="str">
        <f t="shared" si="263"/>
        <v>2026-02</v>
      </c>
    </row>
    <row r="4223" spans="1:23">
      <c r="A4223" s="1" t="s">
        <v>6715</v>
      </c>
      <c r="B4223" s="1" t="s">
        <v>3807</v>
      </c>
      <c r="C4223" s="1" t="s">
        <v>18</v>
      </c>
      <c r="D4223" s="1" t="s">
        <v>30</v>
      </c>
      <c r="E4223" s="1" t="s">
        <v>31</v>
      </c>
      <c r="F4223">
        <v>4</v>
      </c>
      <c r="G4223" s="2">
        <v>46270</v>
      </c>
      <c r="H4223" s="2">
        <v>46271</v>
      </c>
      <c r="I4223">
        <v>248.21</v>
      </c>
      <c r="M4223" s="1" t="s">
        <v>69</v>
      </c>
      <c r="N4223" s="1" t="s">
        <v>22</v>
      </c>
      <c r="O4223" s="2"/>
      <c r="P4223" s="2"/>
      <c r="Q4223">
        <f>_xlfn.XLOOKUP(E4223,CPT!$A$2:$A$13,CPT!$D$2:$D$13)</f>
        <v>62</v>
      </c>
      <c r="R4223" s="1">
        <f>_xlfn.XLOOKUP(C4223,Contract!$A$2:$A$9,Contract!$B$2:$B$9)</f>
        <v>0.38</v>
      </c>
      <c r="S4223" s="1">
        <f t="shared" si="260"/>
        <v>94.24</v>
      </c>
      <c r="T4223" s="1" t="str">
        <f t="shared" si="261"/>
        <v/>
      </c>
      <c r="U4223" s="1" t="str">
        <f t="shared" si="262"/>
        <v/>
      </c>
      <c r="V4223" s="1" t="str">
        <f>_xlfn.XLOOKUP(C4223,Payers!$A$2:$A$9,Payers!$B$2:$B$9)</f>
        <v>Sunshine Medicare Advantage</v>
      </c>
      <c r="W4223" s="1" t="str">
        <f t="shared" si="263"/>
        <v>2026-09</v>
      </c>
    </row>
    <row r="4224" spans="1:23">
      <c r="A4224" s="1" t="s">
        <v>6716</v>
      </c>
      <c r="B4224" s="1" t="s">
        <v>6717</v>
      </c>
      <c r="C4224" s="1" t="s">
        <v>76</v>
      </c>
      <c r="D4224" s="1" t="s">
        <v>26</v>
      </c>
      <c r="E4224" s="1" t="s">
        <v>185</v>
      </c>
      <c r="F4224">
        <v>1</v>
      </c>
      <c r="G4224" s="2">
        <v>46145</v>
      </c>
      <c r="H4224" s="2">
        <v>46146</v>
      </c>
      <c r="I4224">
        <v>1138.8699999999999</v>
      </c>
      <c r="J4224">
        <v>557.5</v>
      </c>
      <c r="K4224">
        <v>446</v>
      </c>
      <c r="L4224">
        <v>111.5</v>
      </c>
      <c r="M4224" s="1" t="s">
        <v>21</v>
      </c>
      <c r="N4224" s="1" t="s">
        <v>22</v>
      </c>
      <c r="O4224" s="2">
        <v>46183</v>
      </c>
      <c r="P4224" s="2">
        <v>46183</v>
      </c>
      <c r="Q4224">
        <f>_xlfn.XLOOKUP(E4224,CPT!$A$2:$A$13,CPT!$D$2:$D$13)</f>
        <v>1150</v>
      </c>
      <c r="R4224" s="1">
        <f>_xlfn.XLOOKUP(C4224,Contract!$A$2:$A$9,Contract!$B$2:$B$9)</f>
        <v>0.43</v>
      </c>
      <c r="S4224" s="1">
        <f t="shared" si="260"/>
        <v>494.5</v>
      </c>
      <c r="T4224" s="1">
        <f t="shared" si="261"/>
        <v>-63</v>
      </c>
      <c r="U4224" s="1" t="str">
        <f t="shared" si="262"/>
        <v>OK</v>
      </c>
      <c r="V4224" s="1" t="str">
        <f>_xlfn.XLOOKUP(C4224,Payers!$A$2:$A$9,Payers!$B$2:$B$9)</f>
        <v>Summit Health Commercial</v>
      </c>
      <c r="W4224" s="1" t="str">
        <f t="shared" si="263"/>
        <v>2026-05</v>
      </c>
    </row>
    <row r="4225" spans="1:23">
      <c r="A4225" s="1" t="s">
        <v>6718</v>
      </c>
      <c r="B4225" s="1" t="s">
        <v>6592</v>
      </c>
      <c r="C4225" s="1" t="s">
        <v>60</v>
      </c>
      <c r="D4225" s="1" t="s">
        <v>26</v>
      </c>
      <c r="E4225" s="1" t="s">
        <v>113</v>
      </c>
      <c r="F4225">
        <v>1</v>
      </c>
      <c r="G4225" s="2">
        <v>45982</v>
      </c>
      <c r="H4225" s="2">
        <v>45983</v>
      </c>
      <c r="I4225">
        <v>1045.55</v>
      </c>
      <c r="J4225">
        <v>430.47</v>
      </c>
      <c r="K4225">
        <v>430.47</v>
      </c>
      <c r="L4225">
        <v>0</v>
      </c>
      <c r="M4225" s="1" t="s">
        <v>21</v>
      </c>
      <c r="N4225" s="1" t="s">
        <v>22</v>
      </c>
      <c r="O4225" s="2">
        <v>46014</v>
      </c>
      <c r="P4225" s="2">
        <v>46014</v>
      </c>
      <c r="Q4225">
        <f>_xlfn.XLOOKUP(E4225,CPT!$A$2:$A$13,CPT!$D$2:$D$13)</f>
        <v>1050</v>
      </c>
      <c r="R4225" s="1">
        <f>_xlfn.XLOOKUP(C4225,Contract!$A$2:$A$9,Contract!$B$2:$B$9)</f>
        <v>0.45</v>
      </c>
      <c r="S4225" s="1">
        <f t="shared" si="260"/>
        <v>472.5</v>
      </c>
      <c r="T4225" s="1">
        <f t="shared" si="261"/>
        <v>42.029999999999973</v>
      </c>
      <c r="U4225" s="1" t="str">
        <f t="shared" si="262"/>
        <v>Underpaid</v>
      </c>
      <c r="V4225" s="1" t="str">
        <f>_xlfn.XLOOKUP(C4225,Payers!$A$2:$A$9,Payers!$B$2:$B$9)</f>
        <v>Blue Horizon Commercial</v>
      </c>
      <c r="W4225" s="1" t="str">
        <f t="shared" si="263"/>
        <v>2025-11</v>
      </c>
    </row>
    <row r="4226" spans="1:23">
      <c r="A4226" s="1" t="s">
        <v>6719</v>
      </c>
      <c r="B4226" s="1" t="s">
        <v>532</v>
      </c>
      <c r="C4226" s="1" t="s">
        <v>36</v>
      </c>
      <c r="D4226" s="1" t="s">
        <v>37</v>
      </c>
      <c r="E4226" s="1" t="s">
        <v>57</v>
      </c>
      <c r="F4226">
        <v>1</v>
      </c>
      <c r="G4226" s="2">
        <v>46126</v>
      </c>
      <c r="H4226" s="2">
        <v>46127</v>
      </c>
      <c r="I4226">
        <v>209.62</v>
      </c>
      <c r="J4226">
        <v>56.31</v>
      </c>
      <c r="K4226">
        <v>50.68</v>
      </c>
      <c r="L4226">
        <v>5.63</v>
      </c>
      <c r="M4226" s="1" t="s">
        <v>21</v>
      </c>
      <c r="N4226" s="1" t="s">
        <v>22</v>
      </c>
      <c r="O4226" s="2">
        <v>46149</v>
      </c>
      <c r="P4226" s="2">
        <v>46149</v>
      </c>
      <c r="Q4226">
        <f>_xlfn.XLOOKUP(E4226,CPT!$A$2:$A$13,CPT!$D$2:$D$13)</f>
        <v>210</v>
      </c>
      <c r="R4226" s="1">
        <f>_xlfn.XLOOKUP(C4226,Contract!$A$2:$A$9,Contract!$B$2:$B$9)</f>
        <v>0.27</v>
      </c>
      <c r="S4226" s="1">
        <f t="shared" ref="S4226:S4289" si="264">ROUND(Q4226*F4226*R4226,2)</f>
        <v>56.7</v>
      </c>
      <c r="T4226" s="1">
        <f t="shared" ref="T4226:T4289" si="265">IF(M4226="Paid",S4226-J4226,"")</f>
        <v>0.39000000000000057</v>
      </c>
      <c r="U4226" s="1" t="str">
        <f t="shared" ref="U4226:U4289" si="266">IF(M4226&lt;&gt;"Paid","",IF(T4226&gt;S4226*0.05,"Underpaid","OK"))</f>
        <v>OK</v>
      </c>
      <c r="V4226" s="1" t="str">
        <f>_xlfn.XLOOKUP(C4226,Payers!$A$2:$A$9,Payers!$B$2:$B$9)</f>
        <v>Florida Medicaid</v>
      </c>
      <c r="W4226" s="1" t="str">
        <f t="shared" ref="W4226:W4289" si="267">TEXT(G4226,"yyyy-mm")</f>
        <v>2026-04</v>
      </c>
    </row>
    <row r="4227" spans="1:23">
      <c r="A4227" s="1" t="s">
        <v>6720</v>
      </c>
      <c r="B4227" s="1" t="s">
        <v>6721</v>
      </c>
      <c r="C4227" s="1" t="s">
        <v>60</v>
      </c>
      <c r="D4227" s="1" t="s">
        <v>30</v>
      </c>
      <c r="E4227" s="1" t="s">
        <v>31</v>
      </c>
      <c r="F4227">
        <v>3</v>
      </c>
      <c r="G4227" s="2">
        <v>46201</v>
      </c>
      <c r="H4227" s="2">
        <v>46202</v>
      </c>
      <c r="I4227">
        <v>183.8</v>
      </c>
      <c r="J4227">
        <v>81.45</v>
      </c>
      <c r="K4227">
        <v>65.16</v>
      </c>
      <c r="L4227">
        <v>16.29</v>
      </c>
      <c r="M4227" s="1" t="s">
        <v>21</v>
      </c>
      <c r="N4227" s="1" t="s">
        <v>22</v>
      </c>
      <c r="O4227" s="2">
        <v>46236</v>
      </c>
      <c r="P4227" s="2">
        <v>46236</v>
      </c>
      <c r="Q4227">
        <f>_xlfn.XLOOKUP(E4227,CPT!$A$2:$A$13,CPT!$D$2:$D$13)</f>
        <v>62</v>
      </c>
      <c r="R4227" s="1">
        <f>_xlfn.XLOOKUP(C4227,Contract!$A$2:$A$9,Contract!$B$2:$B$9)</f>
        <v>0.45</v>
      </c>
      <c r="S4227" s="1">
        <f t="shared" si="264"/>
        <v>83.7</v>
      </c>
      <c r="T4227" s="1">
        <f t="shared" si="265"/>
        <v>2.25</v>
      </c>
      <c r="U4227" s="1" t="str">
        <f t="shared" si="266"/>
        <v>OK</v>
      </c>
      <c r="V4227" s="1" t="str">
        <f>_xlfn.XLOOKUP(C4227,Payers!$A$2:$A$9,Payers!$B$2:$B$9)</f>
        <v>Blue Horizon Commercial</v>
      </c>
      <c r="W4227" s="1" t="str">
        <f t="shared" si="267"/>
        <v>2026-06</v>
      </c>
    </row>
    <row r="4228" spans="1:23">
      <c r="A4228" s="1" t="s">
        <v>6722</v>
      </c>
      <c r="B4228" s="1" t="s">
        <v>5419</v>
      </c>
      <c r="C4228" s="1" t="s">
        <v>76</v>
      </c>
      <c r="D4228" s="1" t="s">
        <v>30</v>
      </c>
      <c r="E4228" s="1" t="s">
        <v>31</v>
      </c>
      <c r="F4228">
        <v>2</v>
      </c>
      <c r="G4228" s="2">
        <v>46214</v>
      </c>
      <c r="H4228" s="2">
        <v>46215</v>
      </c>
      <c r="I4228">
        <v>121.54</v>
      </c>
      <c r="J4228">
        <v>54.3</v>
      </c>
      <c r="K4228">
        <v>43.44</v>
      </c>
      <c r="L4228">
        <v>10.86</v>
      </c>
      <c r="M4228" s="1" t="s">
        <v>21</v>
      </c>
      <c r="N4228" s="1" t="s">
        <v>22</v>
      </c>
      <c r="O4228" s="2">
        <v>46256</v>
      </c>
      <c r="P4228" s="2">
        <v>46256</v>
      </c>
      <c r="Q4228">
        <f>_xlfn.XLOOKUP(E4228,CPT!$A$2:$A$13,CPT!$D$2:$D$13)</f>
        <v>62</v>
      </c>
      <c r="R4228" s="1">
        <f>_xlfn.XLOOKUP(C4228,Contract!$A$2:$A$9,Contract!$B$2:$B$9)</f>
        <v>0.43</v>
      </c>
      <c r="S4228" s="1">
        <f t="shared" si="264"/>
        <v>53.32</v>
      </c>
      <c r="T4228" s="1">
        <f t="shared" si="265"/>
        <v>-0.97999999999999687</v>
      </c>
      <c r="U4228" s="1" t="str">
        <f t="shared" si="266"/>
        <v>OK</v>
      </c>
      <c r="V4228" s="1" t="str">
        <f>_xlfn.XLOOKUP(C4228,Payers!$A$2:$A$9,Payers!$B$2:$B$9)</f>
        <v>Summit Health Commercial</v>
      </c>
      <c r="W4228" s="1" t="str">
        <f t="shared" si="267"/>
        <v>2026-07</v>
      </c>
    </row>
    <row r="4229" spans="1:23">
      <c r="A4229" s="1" t="s">
        <v>6723</v>
      </c>
      <c r="B4229" s="1" t="s">
        <v>5226</v>
      </c>
      <c r="C4229" s="1" t="s">
        <v>76</v>
      </c>
      <c r="D4229" s="1" t="s">
        <v>37</v>
      </c>
      <c r="E4229" s="1" t="s">
        <v>57</v>
      </c>
      <c r="F4229">
        <v>1</v>
      </c>
      <c r="G4229" s="2">
        <v>46063</v>
      </c>
      <c r="H4229" s="2">
        <v>46065</v>
      </c>
      <c r="I4229">
        <v>209.89</v>
      </c>
      <c r="J4229">
        <v>100.43</v>
      </c>
      <c r="K4229">
        <v>100.43</v>
      </c>
      <c r="L4229">
        <v>0</v>
      </c>
      <c r="M4229" s="1" t="s">
        <v>21</v>
      </c>
      <c r="N4229" s="1" t="s">
        <v>22</v>
      </c>
      <c r="O4229" s="2">
        <v>46089</v>
      </c>
      <c r="P4229" s="2">
        <v>46089</v>
      </c>
      <c r="Q4229">
        <f>_xlfn.XLOOKUP(E4229,CPT!$A$2:$A$13,CPT!$D$2:$D$13)</f>
        <v>210</v>
      </c>
      <c r="R4229" s="1">
        <f>_xlfn.XLOOKUP(C4229,Contract!$A$2:$A$9,Contract!$B$2:$B$9)</f>
        <v>0.43</v>
      </c>
      <c r="S4229" s="1">
        <f t="shared" si="264"/>
        <v>90.3</v>
      </c>
      <c r="T4229" s="1">
        <f t="shared" si="265"/>
        <v>-10.13000000000001</v>
      </c>
      <c r="U4229" s="1" t="str">
        <f t="shared" si="266"/>
        <v>OK</v>
      </c>
      <c r="V4229" s="1" t="str">
        <f>_xlfn.XLOOKUP(C4229,Payers!$A$2:$A$9,Payers!$B$2:$B$9)</f>
        <v>Summit Health Commercial</v>
      </c>
      <c r="W4229" s="1" t="str">
        <f t="shared" si="267"/>
        <v>2026-02</v>
      </c>
    </row>
    <row r="4230" spans="1:23">
      <c r="A4230" s="1" t="s">
        <v>6724</v>
      </c>
      <c r="B4230" s="1" t="s">
        <v>1997</v>
      </c>
      <c r="C4230" s="1" t="s">
        <v>47</v>
      </c>
      <c r="D4230" s="1" t="s">
        <v>19</v>
      </c>
      <c r="E4230" s="1" t="s">
        <v>57</v>
      </c>
      <c r="F4230">
        <v>1</v>
      </c>
      <c r="G4230" s="2">
        <v>46162</v>
      </c>
      <c r="H4230" s="2">
        <v>46164</v>
      </c>
      <c r="I4230">
        <v>215.98</v>
      </c>
      <c r="M4230" s="1" t="s">
        <v>32</v>
      </c>
      <c r="N4230" s="1" t="s">
        <v>124</v>
      </c>
      <c r="O4230" s="2">
        <v>46246</v>
      </c>
      <c r="P4230" s="2"/>
      <c r="Q4230">
        <f>_xlfn.XLOOKUP(E4230,CPT!$A$2:$A$13,CPT!$D$2:$D$13)</f>
        <v>210</v>
      </c>
      <c r="R4230" s="1">
        <f>_xlfn.XLOOKUP(C4230,Contract!$A$2:$A$9,Contract!$B$2:$B$9)</f>
        <v>0.28000000000000003</v>
      </c>
      <c r="S4230" s="1">
        <f t="shared" si="264"/>
        <v>58.8</v>
      </c>
      <c r="T4230" s="1" t="str">
        <f t="shared" si="265"/>
        <v/>
      </c>
      <c r="U4230" s="1" t="str">
        <f t="shared" si="266"/>
        <v/>
      </c>
      <c r="V4230" s="1" t="str">
        <f>_xlfn.XLOOKUP(C4230,Payers!$A$2:$A$9,Payers!$B$2:$B$9)</f>
        <v>Coastal Medicaid MCO</v>
      </c>
      <c r="W4230" s="1" t="str">
        <f t="shared" si="267"/>
        <v>2026-05</v>
      </c>
    </row>
    <row r="4231" spans="1:23">
      <c r="A4231" s="1" t="s">
        <v>6725</v>
      </c>
      <c r="B4231" s="1" t="s">
        <v>314</v>
      </c>
      <c r="C4231" s="1" t="s">
        <v>60</v>
      </c>
      <c r="D4231" s="1" t="s">
        <v>30</v>
      </c>
      <c r="E4231" s="1" t="s">
        <v>91</v>
      </c>
      <c r="F4231">
        <v>2</v>
      </c>
      <c r="G4231" s="2">
        <v>46239</v>
      </c>
      <c r="H4231" s="2">
        <v>46241</v>
      </c>
      <c r="I4231">
        <v>113.39</v>
      </c>
      <c r="J4231">
        <v>49.73</v>
      </c>
      <c r="K4231">
        <v>49.73</v>
      </c>
      <c r="L4231">
        <v>0</v>
      </c>
      <c r="M4231" s="1" t="s">
        <v>21</v>
      </c>
      <c r="N4231" s="1" t="s">
        <v>22</v>
      </c>
      <c r="O4231" s="2">
        <v>46277</v>
      </c>
      <c r="P4231" s="2">
        <v>46277</v>
      </c>
      <c r="Q4231">
        <f>_xlfn.XLOOKUP(E4231,CPT!$A$2:$A$13,CPT!$D$2:$D$13)</f>
        <v>58</v>
      </c>
      <c r="R4231" s="1">
        <f>_xlfn.XLOOKUP(C4231,Contract!$A$2:$A$9,Contract!$B$2:$B$9)</f>
        <v>0.45</v>
      </c>
      <c r="S4231" s="1">
        <f t="shared" si="264"/>
        <v>52.2</v>
      </c>
      <c r="T4231" s="1">
        <f t="shared" si="265"/>
        <v>2.470000000000006</v>
      </c>
      <c r="U4231" s="1" t="str">
        <f t="shared" si="266"/>
        <v>OK</v>
      </c>
      <c r="V4231" s="1" t="str">
        <f>_xlfn.XLOOKUP(C4231,Payers!$A$2:$A$9,Payers!$B$2:$B$9)</f>
        <v>Blue Horizon Commercial</v>
      </c>
      <c r="W4231" s="1" t="str">
        <f t="shared" si="267"/>
        <v>2026-08</v>
      </c>
    </row>
    <row r="4232" spans="1:23">
      <c r="A4232" s="1" t="s">
        <v>6726</v>
      </c>
      <c r="B4232" s="1" t="s">
        <v>2446</v>
      </c>
      <c r="C4232" s="1" t="s">
        <v>60</v>
      </c>
      <c r="D4232" s="1" t="s">
        <v>26</v>
      </c>
      <c r="E4232" s="1" t="s">
        <v>185</v>
      </c>
      <c r="F4232">
        <v>1</v>
      </c>
      <c r="G4232" s="2">
        <v>46268</v>
      </c>
      <c r="H4232" s="2">
        <v>46272</v>
      </c>
      <c r="I4232">
        <v>1167.42</v>
      </c>
      <c r="M4232" s="1" t="s">
        <v>69</v>
      </c>
      <c r="N4232" s="1" t="s">
        <v>22</v>
      </c>
      <c r="O4232" s="2"/>
      <c r="P4232" s="2"/>
      <c r="Q4232">
        <f>_xlfn.XLOOKUP(E4232,CPT!$A$2:$A$13,CPT!$D$2:$D$13)</f>
        <v>1150</v>
      </c>
      <c r="R4232" s="1">
        <f>_xlfn.XLOOKUP(C4232,Contract!$A$2:$A$9,Contract!$B$2:$B$9)</f>
        <v>0.45</v>
      </c>
      <c r="S4232" s="1">
        <f t="shared" si="264"/>
        <v>517.5</v>
      </c>
      <c r="T4232" s="1" t="str">
        <f t="shared" si="265"/>
        <v/>
      </c>
      <c r="U4232" s="1" t="str">
        <f t="shared" si="266"/>
        <v/>
      </c>
      <c r="V4232" s="1" t="str">
        <f>_xlfn.XLOOKUP(C4232,Payers!$A$2:$A$9,Payers!$B$2:$B$9)</f>
        <v>Blue Horizon Commercial</v>
      </c>
      <c r="W4232" s="1" t="str">
        <f t="shared" si="267"/>
        <v>2026-09</v>
      </c>
    </row>
    <row r="4233" spans="1:23">
      <c r="A4233" s="1" t="s">
        <v>6727</v>
      </c>
      <c r="B4233" s="1" t="s">
        <v>6728</v>
      </c>
      <c r="C4233" s="1" t="s">
        <v>52</v>
      </c>
      <c r="D4233" s="1" t="s">
        <v>37</v>
      </c>
      <c r="E4233" s="1" t="s">
        <v>38</v>
      </c>
      <c r="F4233">
        <v>10</v>
      </c>
      <c r="G4233" s="2">
        <v>46198</v>
      </c>
      <c r="H4233" s="2">
        <v>46210</v>
      </c>
      <c r="I4233">
        <v>14230.15</v>
      </c>
      <c r="M4233" s="1" t="s">
        <v>32</v>
      </c>
      <c r="N4233" s="1" t="s">
        <v>33</v>
      </c>
      <c r="O4233" s="2">
        <v>46245</v>
      </c>
      <c r="P4233" s="2"/>
      <c r="Q4233">
        <f>_xlfn.XLOOKUP(E4233,CPT!$A$2:$A$13,CPT!$D$2:$D$13)</f>
        <v>1450</v>
      </c>
      <c r="R4233" s="1">
        <f>_xlfn.XLOOKUP(C4233,Contract!$A$2:$A$9,Contract!$B$2:$B$9)</f>
        <v>0.47</v>
      </c>
      <c r="S4233" s="1">
        <f t="shared" si="264"/>
        <v>6815</v>
      </c>
      <c r="T4233" s="1" t="str">
        <f t="shared" si="265"/>
        <v/>
      </c>
      <c r="U4233" s="1" t="str">
        <f t="shared" si="266"/>
        <v/>
      </c>
      <c r="V4233" s="1" t="str">
        <f>_xlfn.XLOOKUP(C4233,Payers!$A$2:$A$9,Payers!$B$2:$B$9)</f>
        <v>Keystone Commercial PPO</v>
      </c>
      <c r="W4233" s="1" t="str">
        <f t="shared" si="267"/>
        <v>2026-06</v>
      </c>
    </row>
    <row r="4234" spans="1:23">
      <c r="A4234" s="1" t="s">
        <v>6729</v>
      </c>
      <c r="B4234" s="1" t="s">
        <v>6728</v>
      </c>
      <c r="C4234" s="1" t="s">
        <v>18</v>
      </c>
      <c r="D4234" s="1" t="s">
        <v>30</v>
      </c>
      <c r="E4234" s="1" t="s">
        <v>20</v>
      </c>
      <c r="F4234">
        <v>1</v>
      </c>
      <c r="G4234" s="2">
        <v>46274</v>
      </c>
      <c r="H4234" s="2">
        <v>46278</v>
      </c>
      <c r="I4234">
        <v>143.82</v>
      </c>
      <c r="M4234" s="1" t="s">
        <v>69</v>
      </c>
      <c r="N4234" s="1" t="s">
        <v>22</v>
      </c>
      <c r="O4234" s="2"/>
      <c r="P4234" s="2"/>
      <c r="Q4234">
        <f>_xlfn.XLOOKUP(E4234,CPT!$A$2:$A$13,CPT!$D$2:$D$13)</f>
        <v>145</v>
      </c>
      <c r="R4234" s="1">
        <f>_xlfn.XLOOKUP(C4234,Contract!$A$2:$A$9,Contract!$B$2:$B$9)</f>
        <v>0.38</v>
      </c>
      <c r="S4234" s="1">
        <f t="shared" si="264"/>
        <v>55.1</v>
      </c>
      <c r="T4234" s="1" t="str">
        <f t="shared" si="265"/>
        <v/>
      </c>
      <c r="U4234" s="1" t="str">
        <f t="shared" si="266"/>
        <v/>
      </c>
      <c r="V4234" s="1" t="str">
        <f>_xlfn.XLOOKUP(C4234,Payers!$A$2:$A$9,Payers!$B$2:$B$9)</f>
        <v>Sunshine Medicare Advantage</v>
      </c>
      <c r="W4234" s="1" t="str">
        <f t="shared" si="267"/>
        <v>2026-09</v>
      </c>
    </row>
    <row r="4235" spans="1:23">
      <c r="A4235" s="1" t="s">
        <v>6730</v>
      </c>
      <c r="B4235" s="1" t="s">
        <v>2541</v>
      </c>
      <c r="C4235" s="1" t="s">
        <v>36</v>
      </c>
      <c r="D4235" s="1" t="s">
        <v>30</v>
      </c>
      <c r="E4235" s="1" t="s">
        <v>20</v>
      </c>
      <c r="F4235">
        <v>1</v>
      </c>
      <c r="G4235" s="2">
        <v>46225</v>
      </c>
      <c r="H4235" s="2">
        <v>46227</v>
      </c>
      <c r="I4235">
        <v>141.94</v>
      </c>
      <c r="J4235">
        <v>35.06</v>
      </c>
      <c r="K4235">
        <v>28.05</v>
      </c>
      <c r="L4235">
        <v>7.01</v>
      </c>
      <c r="M4235" s="1" t="s">
        <v>21</v>
      </c>
      <c r="N4235" s="1" t="s">
        <v>22</v>
      </c>
      <c r="O4235" s="2">
        <v>46274</v>
      </c>
      <c r="P4235" s="2">
        <v>46274</v>
      </c>
      <c r="Q4235">
        <f>_xlfn.XLOOKUP(E4235,CPT!$A$2:$A$13,CPT!$D$2:$D$13)</f>
        <v>145</v>
      </c>
      <c r="R4235" s="1">
        <f>_xlfn.XLOOKUP(C4235,Contract!$A$2:$A$9,Contract!$B$2:$B$9)</f>
        <v>0.27</v>
      </c>
      <c r="S4235" s="1">
        <f t="shared" si="264"/>
        <v>39.15</v>
      </c>
      <c r="T4235" s="1">
        <f t="shared" si="265"/>
        <v>4.0899999999999963</v>
      </c>
      <c r="U4235" s="1" t="str">
        <f t="shared" si="266"/>
        <v>Underpaid</v>
      </c>
      <c r="V4235" s="1" t="str">
        <f>_xlfn.XLOOKUP(C4235,Payers!$A$2:$A$9,Payers!$B$2:$B$9)</f>
        <v>Florida Medicaid</v>
      </c>
      <c r="W4235" s="1" t="str">
        <f t="shared" si="267"/>
        <v>2026-07</v>
      </c>
    </row>
    <row r="4236" spans="1:23">
      <c r="A4236" s="1" t="s">
        <v>6731</v>
      </c>
      <c r="B4236" s="1" t="s">
        <v>492</v>
      </c>
      <c r="C4236" s="1" t="s">
        <v>52</v>
      </c>
      <c r="D4236" s="1" t="s">
        <v>19</v>
      </c>
      <c r="E4236" s="1" t="s">
        <v>57</v>
      </c>
      <c r="F4236">
        <v>1</v>
      </c>
      <c r="G4236" s="2">
        <v>45980</v>
      </c>
      <c r="H4236" s="2">
        <v>45987</v>
      </c>
      <c r="I4236">
        <v>204.67</v>
      </c>
      <c r="J4236">
        <v>94.82</v>
      </c>
      <c r="K4236">
        <v>85.34</v>
      </c>
      <c r="L4236">
        <v>9.48</v>
      </c>
      <c r="M4236" s="1" t="s">
        <v>21</v>
      </c>
      <c r="N4236" s="1" t="s">
        <v>22</v>
      </c>
      <c r="O4236" s="2">
        <v>46054</v>
      </c>
      <c r="P4236" s="2">
        <v>46054</v>
      </c>
      <c r="Q4236">
        <f>_xlfn.XLOOKUP(E4236,CPT!$A$2:$A$13,CPT!$D$2:$D$13)</f>
        <v>210</v>
      </c>
      <c r="R4236" s="1">
        <f>_xlfn.XLOOKUP(C4236,Contract!$A$2:$A$9,Contract!$B$2:$B$9)</f>
        <v>0.47</v>
      </c>
      <c r="S4236" s="1">
        <f t="shared" si="264"/>
        <v>98.7</v>
      </c>
      <c r="T4236" s="1">
        <f t="shared" si="265"/>
        <v>3.8800000000000097</v>
      </c>
      <c r="U4236" s="1" t="str">
        <f t="shared" si="266"/>
        <v>OK</v>
      </c>
      <c r="V4236" s="1" t="str">
        <f>_xlfn.XLOOKUP(C4236,Payers!$A$2:$A$9,Payers!$B$2:$B$9)</f>
        <v>Keystone Commercial PPO</v>
      </c>
      <c r="W4236" s="1" t="str">
        <f t="shared" si="267"/>
        <v>2025-11</v>
      </c>
    </row>
    <row r="4237" spans="1:23">
      <c r="A4237" s="1" t="s">
        <v>6732</v>
      </c>
      <c r="B4237" s="1" t="s">
        <v>4362</v>
      </c>
      <c r="C4237" s="1" t="s">
        <v>60</v>
      </c>
      <c r="D4237" s="1" t="s">
        <v>37</v>
      </c>
      <c r="E4237" s="1" t="s">
        <v>48</v>
      </c>
      <c r="F4237">
        <v>1</v>
      </c>
      <c r="G4237" s="2">
        <v>46241</v>
      </c>
      <c r="H4237" s="2">
        <v>46243</v>
      </c>
      <c r="I4237">
        <v>414.19</v>
      </c>
      <c r="M4237" s="1" t="s">
        <v>32</v>
      </c>
      <c r="N4237" s="1" t="s">
        <v>33</v>
      </c>
      <c r="O4237" s="2">
        <v>46254</v>
      </c>
      <c r="P4237" s="2"/>
      <c r="Q4237">
        <f>_xlfn.XLOOKUP(E4237,CPT!$A$2:$A$13,CPT!$D$2:$D$13)</f>
        <v>420</v>
      </c>
      <c r="R4237" s="1">
        <f>_xlfn.XLOOKUP(C4237,Contract!$A$2:$A$9,Contract!$B$2:$B$9)</f>
        <v>0.45</v>
      </c>
      <c r="S4237" s="1">
        <f t="shared" si="264"/>
        <v>189</v>
      </c>
      <c r="T4237" s="1" t="str">
        <f t="shared" si="265"/>
        <v/>
      </c>
      <c r="U4237" s="1" t="str">
        <f t="shared" si="266"/>
        <v/>
      </c>
      <c r="V4237" s="1" t="str">
        <f>_xlfn.XLOOKUP(C4237,Payers!$A$2:$A$9,Payers!$B$2:$B$9)</f>
        <v>Blue Horizon Commercial</v>
      </c>
      <c r="W4237" s="1" t="str">
        <f t="shared" si="267"/>
        <v>2026-08</v>
      </c>
    </row>
    <row r="4238" spans="1:23">
      <c r="A4238" s="1" t="s">
        <v>6733</v>
      </c>
      <c r="B4238" s="1" t="s">
        <v>599</v>
      </c>
      <c r="C4238" s="1" t="s">
        <v>60</v>
      </c>
      <c r="D4238" s="1" t="s">
        <v>26</v>
      </c>
      <c r="E4238" s="1" t="s">
        <v>113</v>
      </c>
      <c r="F4238">
        <v>1</v>
      </c>
      <c r="G4238" s="2">
        <v>45962</v>
      </c>
      <c r="H4238" s="2">
        <v>45968</v>
      </c>
      <c r="I4238">
        <v>1056.72</v>
      </c>
      <c r="J4238">
        <v>478.56</v>
      </c>
      <c r="K4238">
        <v>478.56</v>
      </c>
      <c r="L4238">
        <v>0</v>
      </c>
      <c r="M4238" s="1" t="s">
        <v>21</v>
      </c>
      <c r="N4238" s="1" t="s">
        <v>22</v>
      </c>
      <c r="O4238" s="2">
        <v>45990</v>
      </c>
      <c r="P4238" s="2">
        <v>45990</v>
      </c>
      <c r="Q4238">
        <f>_xlfn.XLOOKUP(E4238,CPT!$A$2:$A$13,CPT!$D$2:$D$13)</f>
        <v>1050</v>
      </c>
      <c r="R4238" s="1">
        <f>_xlfn.XLOOKUP(C4238,Contract!$A$2:$A$9,Contract!$B$2:$B$9)</f>
        <v>0.45</v>
      </c>
      <c r="S4238" s="1">
        <f t="shared" si="264"/>
        <v>472.5</v>
      </c>
      <c r="T4238" s="1">
        <f t="shared" si="265"/>
        <v>-6.0600000000000023</v>
      </c>
      <c r="U4238" s="1" t="str">
        <f t="shared" si="266"/>
        <v>OK</v>
      </c>
      <c r="V4238" s="1" t="str">
        <f>_xlfn.XLOOKUP(C4238,Payers!$A$2:$A$9,Payers!$B$2:$B$9)</f>
        <v>Blue Horizon Commercial</v>
      </c>
      <c r="W4238" s="1" t="str">
        <f t="shared" si="267"/>
        <v>2025-11</v>
      </c>
    </row>
    <row r="4239" spans="1:23">
      <c r="A4239" s="1" t="s">
        <v>6734</v>
      </c>
      <c r="B4239" s="1" t="s">
        <v>2762</v>
      </c>
      <c r="C4239" s="1" t="s">
        <v>47</v>
      </c>
      <c r="D4239" s="1" t="s">
        <v>19</v>
      </c>
      <c r="E4239" s="1" t="s">
        <v>88</v>
      </c>
      <c r="F4239">
        <v>1</v>
      </c>
      <c r="G4239" s="2">
        <v>45974</v>
      </c>
      <c r="H4239" s="2">
        <v>45978</v>
      </c>
      <c r="I4239">
        <v>257.07</v>
      </c>
      <c r="M4239" s="1" t="s">
        <v>32</v>
      </c>
      <c r="N4239" s="1" t="s">
        <v>33</v>
      </c>
      <c r="O4239" s="2">
        <v>46061</v>
      </c>
      <c r="P4239" s="2"/>
      <c r="Q4239">
        <f>_xlfn.XLOOKUP(E4239,CPT!$A$2:$A$13,CPT!$D$2:$D$13)</f>
        <v>260</v>
      </c>
      <c r="R4239" s="1">
        <f>_xlfn.XLOOKUP(C4239,Contract!$A$2:$A$9,Contract!$B$2:$B$9)</f>
        <v>0.28000000000000003</v>
      </c>
      <c r="S4239" s="1">
        <f t="shared" si="264"/>
        <v>72.8</v>
      </c>
      <c r="T4239" s="1" t="str">
        <f t="shared" si="265"/>
        <v/>
      </c>
      <c r="U4239" s="1" t="str">
        <f t="shared" si="266"/>
        <v/>
      </c>
      <c r="V4239" s="1" t="str">
        <f>_xlfn.XLOOKUP(C4239,Payers!$A$2:$A$9,Payers!$B$2:$B$9)</f>
        <v>Coastal Medicaid MCO</v>
      </c>
      <c r="W4239" s="1" t="str">
        <f t="shared" si="267"/>
        <v>2025-11</v>
      </c>
    </row>
    <row r="4240" spans="1:23">
      <c r="A4240" s="1" t="s">
        <v>6735</v>
      </c>
      <c r="B4240" s="1" t="s">
        <v>6736</v>
      </c>
      <c r="C4240" s="1" t="s">
        <v>25</v>
      </c>
      <c r="D4240" s="1" t="s">
        <v>26</v>
      </c>
      <c r="E4240" s="1" t="s">
        <v>57</v>
      </c>
      <c r="F4240">
        <v>1</v>
      </c>
      <c r="G4240" s="2">
        <v>46115</v>
      </c>
      <c r="H4240" s="2">
        <v>46116</v>
      </c>
      <c r="I4240">
        <v>209.93</v>
      </c>
      <c r="M4240" s="1" t="s">
        <v>32</v>
      </c>
      <c r="N4240" s="1" t="s">
        <v>168</v>
      </c>
      <c r="O4240" s="2">
        <v>46130</v>
      </c>
      <c r="P4240" s="2"/>
      <c r="Q4240">
        <f>_xlfn.XLOOKUP(E4240,CPT!$A$2:$A$13,CPT!$D$2:$D$13)</f>
        <v>210</v>
      </c>
      <c r="R4240" s="1">
        <f>_xlfn.XLOOKUP(C4240,Contract!$A$2:$A$9,Contract!$B$2:$B$9)</f>
        <v>0.36</v>
      </c>
      <c r="S4240" s="1">
        <f t="shared" si="264"/>
        <v>75.599999999999994</v>
      </c>
      <c r="T4240" s="1" t="str">
        <f t="shared" si="265"/>
        <v/>
      </c>
      <c r="U4240" s="1" t="str">
        <f t="shared" si="266"/>
        <v/>
      </c>
      <c r="V4240" s="1" t="str">
        <f>_xlfn.XLOOKUP(C4240,Payers!$A$2:$A$9,Payers!$B$2:$B$9)</f>
        <v>Medicare Part B</v>
      </c>
      <c r="W4240" s="1" t="str">
        <f t="shared" si="267"/>
        <v>2026-04</v>
      </c>
    </row>
    <row r="4241" spans="1:23">
      <c r="A4241" s="1" t="s">
        <v>6737</v>
      </c>
      <c r="B4241" s="1" t="s">
        <v>6738</v>
      </c>
      <c r="C4241" s="1" t="s">
        <v>60</v>
      </c>
      <c r="D4241" s="1" t="s">
        <v>19</v>
      </c>
      <c r="E4241" s="1" t="s">
        <v>57</v>
      </c>
      <c r="F4241">
        <v>1</v>
      </c>
      <c r="G4241" s="2">
        <v>46162</v>
      </c>
      <c r="H4241" s="2">
        <v>46167</v>
      </c>
      <c r="I4241">
        <v>213.65</v>
      </c>
      <c r="J4241">
        <v>105.47</v>
      </c>
      <c r="K4241">
        <v>84.38</v>
      </c>
      <c r="L4241">
        <v>21.09</v>
      </c>
      <c r="M4241" s="1" t="s">
        <v>21</v>
      </c>
      <c r="N4241" s="1" t="s">
        <v>22</v>
      </c>
      <c r="O4241" s="2">
        <v>46186</v>
      </c>
      <c r="P4241" s="2">
        <v>46186</v>
      </c>
      <c r="Q4241">
        <f>_xlfn.XLOOKUP(E4241,CPT!$A$2:$A$13,CPT!$D$2:$D$13)</f>
        <v>210</v>
      </c>
      <c r="R4241" s="1">
        <f>_xlfn.XLOOKUP(C4241,Contract!$A$2:$A$9,Contract!$B$2:$B$9)</f>
        <v>0.45</v>
      </c>
      <c r="S4241" s="1">
        <f t="shared" si="264"/>
        <v>94.5</v>
      </c>
      <c r="T4241" s="1">
        <f t="shared" si="265"/>
        <v>-10.969999999999999</v>
      </c>
      <c r="U4241" s="1" t="str">
        <f t="shared" si="266"/>
        <v>OK</v>
      </c>
      <c r="V4241" s="1" t="str">
        <f>_xlfn.XLOOKUP(C4241,Payers!$A$2:$A$9,Payers!$B$2:$B$9)</f>
        <v>Blue Horizon Commercial</v>
      </c>
      <c r="W4241" s="1" t="str">
        <f t="shared" si="267"/>
        <v>2026-05</v>
      </c>
    </row>
    <row r="4242" spans="1:23">
      <c r="A4242" s="1" t="s">
        <v>6739</v>
      </c>
      <c r="B4242" s="1" t="s">
        <v>6740</v>
      </c>
      <c r="C4242" s="1" t="s">
        <v>60</v>
      </c>
      <c r="D4242" s="1" t="s">
        <v>26</v>
      </c>
      <c r="E4242" s="1" t="s">
        <v>41</v>
      </c>
      <c r="F4242">
        <v>1</v>
      </c>
      <c r="G4242" s="2">
        <v>45945</v>
      </c>
      <c r="H4242" s="2">
        <v>45950</v>
      </c>
      <c r="I4242">
        <v>37.76</v>
      </c>
      <c r="J4242">
        <v>19.46</v>
      </c>
      <c r="K4242">
        <v>19.46</v>
      </c>
      <c r="L4242">
        <v>0</v>
      </c>
      <c r="M4242" s="1" t="s">
        <v>21</v>
      </c>
      <c r="N4242" s="1" t="s">
        <v>22</v>
      </c>
      <c r="O4242" s="2">
        <v>45991</v>
      </c>
      <c r="P4242" s="2">
        <v>45991</v>
      </c>
      <c r="Q4242">
        <f>_xlfn.XLOOKUP(E4242,CPT!$A$2:$A$13,CPT!$D$2:$D$13)</f>
        <v>38</v>
      </c>
      <c r="R4242" s="1">
        <f>_xlfn.XLOOKUP(C4242,Contract!$A$2:$A$9,Contract!$B$2:$B$9)</f>
        <v>0.45</v>
      </c>
      <c r="S4242" s="1">
        <f t="shared" si="264"/>
        <v>17.100000000000001</v>
      </c>
      <c r="T4242" s="1">
        <f t="shared" si="265"/>
        <v>-2.3599999999999994</v>
      </c>
      <c r="U4242" s="1" t="str">
        <f t="shared" si="266"/>
        <v>OK</v>
      </c>
      <c r="V4242" s="1" t="str">
        <f>_xlfn.XLOOKUP(C4242,Payers!$A$2:$A$9,Payers!$B$2:$B$9)</f>
        <v>Blue Horizon Commercial</v>
      </c>
      <c r="W4242" s="1" t="str">
        <f t="shared" si="267"/>
        <v>2025-10</v>
      </c>
    </row>
    <row r="4243" spans="1:23">
      <c r="A4243" s="1" t="s">
        <v>6741</v>
      </c>
      <c r="B4243" s="1" t="s">
        <v>6742</v>
      </c>
      <c r="C4243" s="1" t="s">
        <v>79</v>
      </c>
      <c r="D4243" s="1" t="s">
        <v>26</v>
      </c>
      <c r="E4243" s="1" t="s">
        <v>44</v>
      </c>
      <c r="F4243">
        <v>1</v>
      </c>
      <c r="G4243" s="2">
        <v>46074</v>
      </c>
      <c r="H4243" s="2">
        <v>46077</v>
      </c>
      <c r="I4243">
        <v>4929.78</v>
      </c>
      <c r="M4243" s="1" t="s">
        <v>69</v>
      </c>
      <c r="N4243" s="1" t="s">
        <v>22</v>
      </c>
      <c r="O4243" s="2"/>
      <c r="P4243" s="2"/>
      <c r="Q4243">
        <f>_xlfn.XLOOKUP(E4243,CPT!$A$2:$A$13,CPT!$D$2:$D$13)</f>
        <v>4800</v>
      </c>
      <c r="R4243" s="1">
        <f>_xlfn.XLOOKUP(C4243,Contract!$A$2:$A$9,Contract!$B$2:$B$9)</f>
        <v>1</v>
      </c>
      <c r="S4243" s="1">
        <f t="shared" si="264"/>
        <v>4800</v>
      </c>
      <c r="T4243" s="1" t="str">
        <f t="shared" si="265"/>
        <v/>
      </c>
      <c r="U4243" s="1" t="str">
        <f t="shared" si="266"/>
        <v/>
      </c>
      <c r="V4243" s="1" t="str">
        <f>_xlfn.XLOOKUP(C4243,Payers!$A$2:$A$9,Payers!$B$2:$B$9)</f>
        <v>Self-Pay</v>
      </c>
      <c r="W4243" s="1" t="str">
        <f t="shared" si="267"/>
        <v>2026-02</v>
      </c>
    </row>
    <row r="4244" spans="1:23">
      <c r="A4244" s="1" t="s">
        <v>6743</v>
      </c>
      <c r="B4244" s="1" t="s">
        <v>3843</v>
      </c>
      <c r="C4244" s="1" t="s">
        <v>52</v>
      </c>
      <c r="D4244" s="1" t="s">
        <v>37</v>
      </c>
      <c r="E4244" s="1" t="s">
        <v>38</v>
      </c>
      <c r="F4244">
        <v>10</v>
      </c>
      <c r="G4244" s="2">
        <v>46193</v>
      </c>
      <c r="H4244" s="2">
        <v>46194</v>
      </c>
      <c r="I4244">
        <v>14555.32</v>
      </c>
      <c r="J4244">
        <v>7568.33</v>
      </c>
      <c r="K4244">
        <v>7568.33</v>
      </c>
      <c r="L4244">
        <v>0</v>
      </c>
      <c r="M4244" s="1" t="s">
        <v>21</v>
      </c>
      <c r="N4244" s="1" t="s">
        <v>22</v>
      </c>
      <c r="O4244" s="2">
        <v>46256</v>
      </c>
      <c r="P4244" s="2">
        <v>46256</v>
      </c>
      <c r="Q4244">
        <f>_xlfn.XLOOKUP(E4244,CPT!$A$2:$A$13,CPT!$D$2:$D$13)</f>
        <v>1450</v>
      </c>
      <c r="R4244" s="1">
        <f>_xlfn.XLOOKUP(C4244,Contract!$A$2:$A$9,Contract!$B$2:$B$9)</f>
        <v>0.47</v>
      </c>
      <c r="S4244" s="1">
        <f t="shared" si="264"/>
        <v>6815</v>
      </c>
      <c r="T4244" s="1">
        <f t="shared" si="265"/>
        <v>-753.32999999999993</v>
      </c>
      <c r="U4244" s="1" t="str">
        <f t="shared" si="266"/>
        <v>OK</v>
      </c>
      <c r="V4244" s="1" t="str">
        <f>_xlfn.XLOOKUP(C4244,Payers!$A$2:$A$9,Payers!$B$2:$B$9)</f>
        <v>Keystone Commercial PPO</v>
      </c>
      <c r="W4244" s="1" t="str">
        <f t="shared" si="267"/>
        <v>2026-06</v>
      </c>
    </row>
    <row r="4245" spans="1:23">
      <c r="A4245" s="1" t="s">
        <v>6744</v>
      </c>
      <c r="B4245" s="1" t="s">
        <v>3363</v>
      </c>
      <c r="C4245" s="1" t="s">
        <v>76</v>
      </c>
      <c r="D4245" s="1" t="s">
        <v>26</v>
      </c>
      <c r="E4245" s="1" t="s">
        <v>41</v>
      </c>
      <c r="F4245">
        <v>1</v>
      </c>
      <c r="G4245" s="2">
        <v>45963</v>
      </c>
      <c r="H4245" s="2">
        <v>45964</v>
      </c>
      <c r="I4245">
        <v>38.65</v>
      </c>
      <c r="J4245">
        <v>18.59</v>
      </c>
      <c r="K4245">
        <v>14.87</v>
      </c>
      <c r="L4245">
        <v>3.72</v>
      </c>
      <c r="M4245" s="1" t="s">
        <v>21</v>
      </c>
      <c r="N4245" s="1" t="s">
        <v>22</v>
      </c>
      <c r="O4245" s="2">
        <v>46003</v>
      </c>
      <c r="P4245" s="2">
        <v>46003</v>
      </c>
      <c r="Q4245">
        <f>_xlfn.XLOOKUP(E4245,CPT!$A$2:$A$13,CPT!$D$2:$D$13)</f>
        <v>38</v>
      </c>
      <c r="R4245" s="1">
        <f>_xlfn.XLOOKUP(C4245,Contract!$A$2:$A$9,Contract!$B$2:$B$9)</f>
        <v>0.43</v>
      </c>
      <c r="S4245" s="1">
        <f t="shared" si="264"/>
        <v>16.34</v>
      </c>
      <c r="T4245" s="1">
        <f t="shared" si="265"/>
        <v>-2.25</v>
      </c>
      <c r="U4245" s="1" t="str">
        <f t="shared" si="266"/>
        <v>OK</v>
      </c>
      <c r="V4245" s="1" t="str">
        <f>_xlfn.XLOOKUP(C4245,Payers!$A$2:$A$9,Payers!$B$2:$B$9)</f>
        <v>Summit Health Commercial</v>
      </c>
      <c r="W4245" s="1" t="str">
        <f t="shared" si="267"/>
        <v>2025-11</v>
      </c>
    </row>
    <row r="4246" spans="1:23">
      <c r="A4246" s="1" t="s">
        <v>6745</v>
      </c>
      <c r="B4246" s="1" t="s">
        <v>2260</v>
      </c>
      <c r="C4246" s="1" t="s">
        <v>18</v>
      </c>
      <c r="D4246" s="1" t="s">
        <v>19</v>
      </c>
      <c r="E4246" s="1" t="s">
        <v>20</v>
      </c>
      <c r="F4246">
        <v>1</v>
      </c>
      <c r="G4246" s="2">
        <v>46120</v>
      </c>
      <c r="H4246" s="2">
        <v>46122</v>
      </c>
      <c r="I4246">
        <v>143.44999999999999</v>
      </c>
      <c r="J4246">
        <v>58.19</v>
      </c>
      <c r="K4246">
        <v>46.55</v>
      </c>
      <c r="L4246">
        <v>11.64</v>
      </c>
      <c r="M4246" s="1" t="s">
        <v>21</v>
      </c>
      <c r="N4246" s="1" t="s">
        <v>22</v>
      </c>
      <c r="O4246" s="2">
        <v>46195</v>
      </c>
      <c r="P4246" s="2">
        <v>46195</v>
      </c>
      <c r="Q4246">
        <f>_xlfn.XLOOKUP(E4246,CPT!$A$2:$A$13,CPT!$D$2:$D$13)</f>
        <v>145</v>
      </c>
      <c r="R4246" s="1">
        <f>_xlfn.XLOOKUP(C4246,Contract!$A$2:$A$9,Contract!$B$2:$B$9)</f>
        <v>0.38</v>
      </c>
      <c r="S4246" s="1">
        <f t="shared" si="264"/>
        <v>55.1</v>
      </c>
      <c r="T4246" s="1">
        <f t="shared" si="265"/>
        <v>-3.0899999999999963</v>
      </c>
      <c r="U4246" s="1" t="str">
        <f t="shared" si="266"/>
        <v>OK</v>
      </c>
      <c r="V4246" s="1" t="str">
        <f>_xlfn.XLOOKUP(C4246,Payers!$A$2:$A$9,Payers!$B$2:$B$9)</f>
        <v>Sunshine Medicare Advantage</v>
      </c>
      <c r="W4246" s="1" t="str">
        <f t="shared" si="267"/>
        <v>2026-04</v>
      </c>
    </row>
    <row r="4247" spans="1:23">
      <c r="A4247" s="1" t="s">
        <v>6746</v>
      </c>
      <c r="B4247" s="1" t="s">
        <v>6747</v>
      </c>
      <c r="C4247" s="1" t="s">
        <v>76</v>
      </c>
      <c r="D4247" s="1" t="s">
        <v>19</v>
      </c>
      <c r="E4247" s="1" t="s">
        <v>88</v>
      </c>
      <c r="F4247">
        <v>1</v>
      </c>
      <c r="G4247" s="2">
        <v>46209</v>
      </c>
      <c r="H4247" s="2">
        <v>46210</v>
      </c>
      <c r="I4247">
        <v>256.62</v>
      </c>
      <c r="J4247">
        <v>99.32</v>
      </c>
      <c r="K4247">
        <v>99.32</v>
      </c>
      <c r="L4247">
        <v>0</v>
      </c>
      <c r="M4247" s="1" t="s">
        <v>21</v>
      </c>
      <c r="N4247" s="1" t="s">
        <v>22</v>
      </c>
      <c r="O4247" s="2">
        <v>46244</v>
      </c>
      <c r="P4247" s="2">
        <v>46244</v>
      </c>
      <c r="Q4247">
        <f>_xlfn.XLOOKUP(E4247,CPT!$A$2:$A$13,CPT!$D$2:$D$13)</f>
        <v>260</v>
      </c>
      <c r="R4247" s="1">
        <f>_xlfn.XLOOKUP(C4247,Contract!$A$2:$A$9,Contract!$B$2:$B$9)</f>
        <v>0.43</v>
      </c>
      <c r="S4247" s="1">
        <f t="shared" si="264"/>
        <v>111.8</v>
      </c>
      <c r="T4247" s="1">
        <f t="shared" si="265"/>
        <v>12.480000000000004</v>
      </c>
      <c r="U4247" s="1" t="str">
        <f t="shared" si="266"/>
        <v>Underpaid</v>
      </c>
      <c r="V4247" s="1" t="str">
        <f>_xlfn.XLOOKUP(C4247,Payers!$A$2:$A$9,Payers!$B$2:$B$9)</f>
        <v>Summit Health Commercial</v>
      </c>
      <c r="W4247" s="1" t="str">
        <f t="shared" si="267"/>
        <v>2026-07</v>
      </c>
    </row>
    <row r="4248" spans="1:23">
      <c r="A4248" s="1" t="s">
        <v>6748</v>
      </c>
      <c r="B4248" s="1" t="s">
        <v>4855</v>
      </c>
      <c r="C4248" s="1" t="s">
        <v>25</v>
      </c>
      <c r="D4248" s="1" t="s">
        <v>30</v>
      </c>
      <c r="E4248" s="1" t="s">
        <v>20</v>
      </c>
      <c r="F4248">
        <v>1</v>
      </c>
      <c r="G4248" s="2">
        <v>46088</v>
      </c>
      <c r="H4248" s="2">
        <v>46097</v>
      </c>
      <c r="I4248">
        <v>148.34</v>
      </c>
      <c r="J4248">
        <v>45.79</v>
      </c>
      <c r="K4248">
        <v>45.79</v>
      </c>
      <c r="L4248">
        <v>0</v>
      </c>
      <c r="M4248" s="1" t="s">
        <v>21</v>
      </c>
      <c r="N4248" s="1" t="s">
        <v>22</v>
      </c>
      <c r="O4248" s="2">
        <v>46113</v>
      </c>
      <c r="P4248" s="2">
        <v>46113</v>
      </c>
      <c r="Q4248">
        <f>_xlfn.XLOOKUP(E4248,CPT!$A$2:$A$13,CPT!$D$2:$D$13)</f>
        <v>145</v>
      </c>
      <c r="R4248" s="1">
        <f>_xlfn.XLOOKUP(C4248,Contract!$A$2:$A$9,Contract!$B$2:$B$9)</f>
        <v>0.36</v>
      </c>
      <c r="S4248" s="1">
        <f t="shared" si="264"/>
        <v>52.2</v>
      </c>
      <c r="T4248" s="1">
        <f t="shared" si="265"/>
        <v>6.4100000000000037</v>
      </c>
      <c r="U4248" s="1" t="str">
        <f t="shared" si="266"/>
        <v>Underpaid</v>
      </c>
      <c r="V4248" s="1" t="str">
        <f>_xlfn.XLOOKUP(C4248,Payers!$A$2:$A$9,Payers!$B$2:$B$9)</f>
        <v>Medicare Part B</v>
      </c>
      <c r="W4248" s="1" t="str">
        <f t="shared" si="267"/>
        <v>2026-03</v>
      </c>
    </row>
    <row r="4249" spans="1:23">
      <c r="A4249" s="1" t="s">
        <v>6749</v>
      </c>
      <c r="B4249" s="1" t="s">
        <v>209</v>
      </c>
      <c r="C4249" s="1" t="s">
        <v>60</v>
      </c>
      <c r="D4249" s="1" t="s">
        <v>26</v>
      </c>
      <c r="E4249" s="1" t="s">
        <v>88</v>
      </c>
      <c r="F4249">
        <v>1</v>
      </c>
      <c r="G4249" s="2">
        <v>45991</v>
      </c>
      <c r="H4249" s="2">
        <v>45992</v>
      </c>
      <c r="I4249">
        <v>258.79000000000002</v>
      </c>
      <c r="J4249">
        <v>126.96</v>
      </c>
      <c r="K4249">
        <v>114.26</v>
      </c>
      <c r="L4249">
        <v>12.7</v>
      </c>
      <c r="M4249" s="1" t="s">
        <v>21</v>
      </c>
      <c r="N4249" s="1" t="s">
        <v>22</v>
      </c>
      <c r="O4249" s="2">
        <v>46009</v>
      </c>
      <c r="P4249" s="2">
        <v>46009</v>
      </c>
      <c r="Q4249">
        <f>_xlfn.XLOOKUP(E4249,CPT!$A$2:$A$13,CPT!$D$2:$D$13)</f>
        <v>260</v>
      </c>
      <c r="R4249" s="1">
        <f>_xlfn.XLOOKUP(C4249,Contract!$A$2:$A$9,Contract!$B$2:$B$9)</f>
        <v>0.45</v>
      </c>
      <c r="S4249" s="1">
        <f t="shared" si="264"/>
        <v>117</v>
      </c>
      <c r="T4249" s="1">
        <f t="shared" si="265"/>
        <v>-9.9599999999999937</v>
      </c>
      <c r="U4249" s="1" t="str">
        <f t="shared" si="266"/>
        <v>OK</v>
      </c>
      <c r="V4249" s="1" t="str">
        <f>_xlfn.XLOOKUP(C4249,Payers!$A$2:$A$9,Payers!$B$2:$B$9)</f>
        <v>Blue Horizon Commercial</v>
      </c>
      <c r="W4249" s="1" t="str">
        <f t="shared" si="267"/>
        <v>2025-11</v>
      </c>
    </row>
    <row r="4250" spans="1:23">
      <c r="A4250" s="1" t="s">
        <v>6750</v>
      </c>
      <c r="B4250" s="1" t="s">
        <v>3060</v>
      </c>
      <c r="C4250" s="1" t="s">
        <v>76</v>
      </c>
      <c r="D4250" s="1" t="s">
        <v>19</v>
      </c>
      <c r="E4250" s="1" t="s">
        <v>57</v>
      </c>
      <c r="F4250">
        <v>1</v>
      </c>
      <c r="G4250" s="2">
        <v>46220</v>
      </c>
      <c r="H4250" s="2">
        <v>46242</v>
      </c>
      <c r="I4250">
        <v>206.76</v>
      </c>
      <c r="J4250">
        <v>77.91</v>
      </c>
      <c r="K4250">
        <v>77.91</v>
      </c>
      <c r="L4250">
        <v>0</v>
      </c>
      <c r="M4250" s="1" t="s">
        <v>21</v>
      </c>
      <c r="N4250" s="1" t="s">
        <v>22</v>
      </c>
      <c r="O4250" s="2">
        <v>46263</v>
      </c>
      <c r="P4250" s="2">
        <v>46263</v>
      </c>
      <c r="Q4250">
        <f>_xlfn.XLOOKUP(E4250,CPT!$A$2:$A$13,CPT!$D$2:$D$13)</f>
        <v>210</v>
      </c>
      <c r="R4250" s="1">
        <f>_xlfn.XLOOKUP(C4250,Contract!$A$2:$A$9,Contract!$B$2:$B$9)</f>
        <v>0.43</v>
      </c>
      <c r="S4250" s="1">
        <f t="shared" si="264"/>
        <v>90.3</v>
      </c>
      <c r="T4250" s="1">
        <f t="shared" si="265"/>
        <v>12.39</v>
      </c>
      <c r="U4250" s="1" t="str">
        <f t="shared" si="266"/>
        <v>Underpaid</v>
      </c>
      <c r="V4250" s="1" t="str">
        <f>_xlfn.XLOOKUP(C4250,Payers!$A$2:$A$9,Payers!$B$2:$B$9)</f>
        <v>Summit Health Commercial</v>
      </c>
      <c r="W4250" s="1" t="str">
        <f t="shared" si="267"/>
        <v>2026-07</v>
      </c>
    </row>
    <row r="4251" spans="1:23">
      <c r="A4251" s="1" t="s">
        <v>6751</v>
      </c>
      <c r="B4251" s="1" t="s">
        <v>5672</v>
      </c>
      <c r="C4251" s="1" t="s">
        <v>60</v>
      </c>
      <c r="D4251" s="1" t="s">
        <v>37</v>
      </c>
      <c r="E4251" s="1" t="s">
        <v>48</v>
      </c>
      <c r="F4251">
        <v>1</v>
      </c>
      <c r="G4251" s="2">
        <v>46008</v>
      </c>
      <c r="H4251" s="2">
        <v>46009</v>
      </c>
      <c r="I4251">
        <v>428.37</v>
      </c>
      <c r="J4251">
        <v>172.35</v>
      </c>
      <c r="K4251">
        <v>137.88</v>
      </c>
      <c r="L4251">
        <v>34.47</v>
      </c>
      <c r="M4251" s="1" t="s">
        <v>21</v>
      </c>
      <c r="N4251" s="1" t="s">
        <v>22</v>
      </c>
      <c r="O4251" s="2">
        <v>46037</v>
      </c>
      <c r="P4251" s="2">
        <v>46037</v>
      </c>
      <c r="Q4251">
        <f>_xlfn.XLOOKUP(E4251,CPT!$A$2:$A$13,CPT!$D$2:$D$13)</f>
        <v>420</v>
      </c>
      <c r="R4251" s="1">
        <f>_xlfn.XLOOKUP(C4251,Contract!$A$2:$A$9,Contract!$B$2:$B$9)</f>
        <v>0.45</v>
      </c>
      <c r="S4251" s="1">
        <f t="shared" si="264"/>
        <v>189</v>
      </c>
      <c r="T4251" s="1">
        <f t="shared" si="265"/>
        <v>16.650000000000006</v>
      </c>
      <c r="U4251" s="1" t="str">
        <f t="shared" si="266"/>
        <v>Underpaid</v>
      </c>
      <c r="V4251" s="1" t="str">
        <f>_xlfn.XLOOKUP(C4251,Payers!$A$2:$A$9,Payers!$B$2:$B$9)</f>
        <v>Blue Horizon Commercial</v>
      </c>
      <c r="W4251" s="1" t="str">
        <f t="shared" si="267"/>
        <v>2025-12</v>
      </c>
    </row>
    <row r="4252" spans="1:23">
      <c r="A4252" s="1" t="s">
        <v>6752</v>
      </c>
      <c r="B4252" s="1" t="s">
        <v>6753</v>
      </c>
      <c r="C4252" s="1" t="s">
        <v>25</v>
      </c>
      <c r="D4252" s="1" t="s">
        <v>26</v>
      </c>
      <c r="E4252" s="1" t="s">
        <v>113</v>
      </c>
      <c r="F4252">
        <v>1</v>
      </c>
      <c r="G4252" s="2">
        <v>46222</v>
      </c>
      <c r="H4252" s="2">
        <v>46223</v>
      </c>
      <c r="I4252">
        <v>1028.8900000000001</v>
      </c>
      <c r="J4252">
        <v>356.14</v>
      </c>
      <c r="K4252">
        <v>356.14</v>
      </c>
      <c r="L4252">
        <v>0</v>
      </c>
      <c r="M4252" s="1" t="s">
        <v>21</v>
      </c>
      <c r="N4252" s="1" t="s">
        <v>22</v>
      </c>
      <c r="O4252" s="2">
        <v>46248</v>
      </c>
      <c r="P4252" s="2">
        <v>46248</v>
      </c>
      <c r="Q4252">
        <f>_xlfn.XLOOKUP(E4252,CPT!$A$2:$A$13,CPT!$D$2:$D$13)</f>
        <v>1050</v>
      </c>
      <c r="R4252" s="1">
        <f>_xlfn.XLOOKUP(C4252,Contract!$A$2:$A$9,Contract!$B$2:$B$9)</f>
        <v>0.36</v>
      </c>
      <c r="S4252" s="1">
        <f t="shared" si="264"/>
        <v>378</v>
      </c>
      <c r="T4252" s="1">
        <f t="shared" si="265"/>
        <v>21.860000000000014</v>
      </c>
      <c r="U4252" s="1" t="str">
        <f t="shared" si="266"/>
        <v>Underpaid</v>
      </c>
      <c r="V4252" s="1" t="str">
        <f>_xlfn.XLOOKUP(C4252,Payers!$A$2:$A$9,Payers!$B$2:$B$9)</f>
        <v>Medicare Part B</v>
      </c>
      <c r="W4252" s="1" t="str">
        <f t="shared" si="267"/>
        <v>2026-07</v>
      </c>
    </row>
    <row r="4253" spans="1:23">
      <c r="A4253" s="1" t="s">
        <v>6754</v>
      </c>
      <c r="B4253" s="1" t="s">
        <v>2170</v>
      </c>
      <c r="C4253" s="1" t="s">
        <v>36</v>
      </c>
      <c r="D4253" s="1" t="s">
        <v>26</v>
      </c>
      <c r="E4253" s="1" t="s">
        <v>44</v>
      </c>
      <c r="F4253">
        <v>1</v>
      </c>
      <c r="G4253" s="2">
        <v>46209</v>
      </c>
      <c r="H4253" s="2">
        <v>46220</v>
      </c>
      <c r="I4253">
        <v>4887.1000000000004</v>
      </c>
      <c r="M4253" s="1" t="s">
        <v>32</v>
      </c>
      <c r="N4253" s="1" t="s">
        <v>168</v>
      </c>
      <c r="O4253" s="2">
        <v>46259</v>
      </c>
      <c r="P4253" s="2"/>
      <c r="Q4253">
        <f>_xlfn.XLOOKUP(E4253,CPT!$A$2:$A$13,CPT!$D$2:$D$13)</f>
        <v>4800</v>
      </c>
      <c r="R4253" s="1">
        <f>_xlfn.XLOOKUP(C4253,Contract!$A$2:$A$9,Contract!$B$2:$B$9)</f>
        <v>0.27</v>
      </c>
      <c r="S4253" s="1">
        <f t="shared" si="264"/>
        <v>1296</v>
      </c>
      <c r="T4253" s="1" t="str">
        <f t="shared" si="265"/>
        <v/>
      </c>
      <c r="U4253" s="1" t="str">
        <f t="shared" si="266"/>
        <v/>
      </c>
      <c r="V4253" s="1" t="str">
        <f>_xlfn.XLOOKUP(C4253,Payers!$A$2:$A$9,Payers!$B$2:$B$9)</f>
        <v>Florida Medicaid</v>
      </c>
      <c r="W4253" s="1" t="str">
        <f t="shared" si="267"/>
        <v>2026-07</v>
      </c>
    </row>
    <row r="4254" spans="1:23">
      <c r="A4254" s="1" t="s">
        <v>6755</v>
      </c>
      <c r="B4254" s="1" t="s">
        <v>143</v>
      </c>
      <c r="C4254" s="1" t="s">
        <v>18</v>
      </c>
      <c r="D4254" s="1" t="s">
        <v>37</v>
      </c>
      <c r="E4254" s="1" t="s">
        <v>38</v>
      </c>
      <c r="F4254">
        <v>20</v>
      </c>
      <c r="G4254" s="2">
        <v>46002</v>
      </c>
      <c r="H4254" s="2">
        <v>46011</v>
      </c>
      <c r="I4254">
        <v>28912.53</v>
      </c>
      <c r="M4254" s="1" t="s">
        <v>32</v>
      </c>
      <c r="N4254" s="1" t="s">
        <v>315</v>
      </c>
      <c r="O4254" s="2">
        <v>46044</v>
      </c>
      <c r="P4254" s="2"/>
      <c r="Q4254">
        <f>_xlfn.XLOOKUP(E4254,CPT!$A$2:$A$13,CPT!$D$2:$D$13)</f>
        <v>1450</v>
      </c>
      <c r="R4254" s="1">
        <f>_xlfn.XLOOKUP(C4254,Contract!$A$2:$A$9,Contract!$B$2:$B$9)</f>
        <v>0.38</v>
      </c>
      <c r="S4254" s="1">
        <f t="shared" si="264"/>
        <v>11020</v>
      </c>
      <c r="T4254" s="1" t="str">
        <f t="shared" si="265"/>
        <v/>
      </c>
      <c r="U4254" s="1" t="str">
        <f t="shared" si="266"/>
        <v/>
      </c>
      <c r="V4254" s="1" t="str">
        <f>_xlfn.XLOOKUP(C4254,Payers!$A$2:$A$9,Payers!$B$2:$B$9)</f>
        <v>Sunshine Medicare Advantage</v>
      </c>
      <c r="W4254" s="1" t="str">
        <f t="shared" si="267"/>
        <v>2025-12</v>
      </c>
    </row>
    <row r="4255" spans="1:23">
      <c r="A4255" s="1" t="s">
        <v>6756</v>
      </c>
      <c r="B4255" s="1" t="s">
        <v>6757</v>
      </c>
      <c r="C4255" s="1" t="s">
        <v>47</v>
      </c>
      <c r="D4255" s="1" t="s">
        <v>26</v>
      </c>
      <c r="E4255" s="1" t="s">
        <v>185</v>
      </c>
      <c r="F4255">
        <v>1</v>
      </c>
      <c r="G4255" s="2">
        <v>46162</v>
      </c>
      <c r="H4255" s="2">
        <v>46165</v>
      </c>
      <c r="I4255">
        <v>1163.3800000000001</v>
      </c>
      <c r="M4255" s="1" t="s">
        <v>32</v>
      </c>
      <c r="N4255" s="1" t="s">
        <v>124</v>
      </c>
      <c r="O4255" s="2">
        <v>46192</v>
      </c>
      <c r="P4255" s="2"/>
      <c r="Q4255">
        <f>_xlfn.XLOOKUP(E4255,CPT!$A$2:$A$13,CPT!$D$2:$D$13)</f>
        <v>1150</v>
      </c>
      <c r="R4255" s="1">
        <f>_xlfn.XLOOKUP(C4255,Contract!$A$2:$A$9,Contract!$B$2:$B$9)</f>
        <v>0.28000000000000003</v>
      </c>
      <c r="S4255" s="1">
        <f t="shared" si="264"/>
        <v>322</v>
      </c>
      <c r="T4255" s="1" t="str">
        <f t="shared" si="265"/>
        <v/>
      </c>
      <c r="U4255" s="1" t="str">
        <f t="shared" si="266"/>
        <v/>
      </c>
      <c r="V4255" s="1" t="str">
        <f>_xlfn.XLOOKUP(C4255,Payers!$A$2:$A$9,Payers!$B$2:$B$9)</f>
        <v>Coastal Medicaid MCO</v>
      </c>
      <c r="W4255" s="1" t="str">
        <f t="shared" si="267"/>
        <v>2026-05</v>
      </c>
    </row>
    <row r="4256" spans="1:23">
      <c r="A4256" s="1" t="s">
        <v>6758</v>
      </c>
      <c r="B4256" s="1" t="s">
        <v>472</v>
      </c>
      <c r="C4256" s="1" t="s">
        <v>60</v>
      </c>
      <c r="D4256" s="1" t="s">
        <v>30</v>
      </c>
      <c r="E4256" s="1" t="s">
        <v>31</v>
      </c>
      <c r="F4256">
        <v>2</v>
      </c>
      <c r="G4256" s="2">
        <v>45967</v>
      </c>
      <c r="H4256" s="2">
        <v>45971</v>
      </c>
      <c r="I4256">
        <v>124.99</v>
      </c>
      <c r="M4256" s="1" t="s">
        <v>32</v>
      </c>
      <c r="N4256" s="1" t="s">
        <v>33</v>
      </c>
      <c r="O4256" s="2">
        <v>45992</v>
      </c>
      <c r="P4256" s="2"/>
      <c r="Q4256">
        <f>_xlfn.XLOOKUP(E4256,CPT!$A$2:$A$13,CPT!$D$2:$D$13)</f>
        <v>62</v>
      </c>
      <c r="R4256" s="1">
        <f>_xlfn.XLOOKUP(C4256,Contract!$A$2:$A$9,Contract!$B$2:$B$9)</f>
        <v>0.45</v>
      </c>
      <c r="S4256" s="1">
        <f t="shared" si="264"/>
        <v>55.8</v>
      </c>
      <c r="T4256" s="1" t="str">
        <f t="shared" si="265"/>
        <v/>
      </c>
      <c r="U4256" s="1" t="str">
        <f t="shared" si="266"/>
        <v/>
      </c>
      <c r="V4256" s="1" t="str">
        <f>_xlfn.XLOOKUP(C4256,Payers!$A$2:$A$9,Payers!$B$2:$B$9)</f>
        <v>Blue Horizon Commercial</v>
      </c>
      <c r="W4256" s="1" t="str">
        <f t="shared" si="267"/>
        <v>2025-11</v>
      </c>
    </row>
    <row r="4257" spans="1:23">
      <c r="A4257" s="1" t="s">
        <v>6759</v>
      </c>
      <c r="B4257" s="1" t="s">
        <v>3609</v>
      </c>
      <c r="C4257" s="1" t="s">
        <v>25</v>
      </c>
      <c r="D4257" s="1" t="s">
        <v>26</v>
      </c>
      <c r="E4257" s="1" t="s">
        <v>113</v>
      </c>
      <c r="F4257">
        <v>1</v>
      </c>
      <c r="G4257" s="2">
        <v>46245</v>
      </c>
      <c r="H4257" s="2">
        <v>46249</v>
      </c>
      <c r="I4257">
        <v>1039.92</v>
      </c>
      <c r="J4257">
        <v>425.65</v>
      </c>
      <c r="K4257">
        <v>425.65</v>
      </c>
      <c r="L4257">
        <v>0</v>
      </c>
      <c r="M4257" s="1" t="s">
        <v>21</v>
      </c>
      <c r="N4257" s="1" t="s">
        <v>22</v>
      </c>
      <c r="O4257" s="2">
        <v>46260</v>
      </c>
      <c r="P4257" s="2">
        <v>46260</v>
      </c>
      <c r="Q4257">
        <f>_xlfn.XLOOKUP(E4257,CPT!$A$2:$A$13,CPT!$D$2:$D$13)</f>
        <v>1050</v>
      </c>
      <c r="R4257" s="1">
        <f>_xlfn.XLOOKUP(C4257,Contract!$A$2:$A$9,Contract!$B$2:$B$9)</f>
        <v>0.36</v>
      </c>
      <c r="S4257" s="1">
        <f t="shared" si="264"/>
        <v>378</v>
      </c>
      <c r="T4257" s="1">
        <f t="shared" si="265"/>
        <v>-47.649999999999977</v>
      </c>
      <c r="U4257" s="1" t="str">
        <f t="shared" si="266"/>
        <v>OK</v>
      </c>
      <c r="V4257" s="1" t="str">
        <f>_xlfn.XLOOKUP(C4257,Payers!$A$2:$A$9,Payers!$B$2:$B$9)</f>
        <v>Medicare Part B</v>
      </c>
      <c r="W4257" s="1" t="str">
        <f t="shared" si="267"/>
        <v>2026-08</v>
      </c>
    </row>
    <row r="4258" spans="1:23">
      <c r="A4258" s="1" t="s">
        <v>6760</v>
      </c>
      <c r="B4258" s="1" t="s">
        <v>6761</v>
      </c>
      <c r="C4258" s="1" t="s">
        <v>60</v>
      </c>
      <c r="D4258" s="1" t="s">
        <v>19</v>
      </c>
      <c r="E4258" s="1" t="s">
        <v>41</v>
      </c>
      <c r="F4258">
        <v>1</v>
      </c>
      <c r="G4258" s="2">
        <v>46040</v>
      </c>
      <c r="H4258" s="2">
        <v>46041</v>
      </c>
      <c r="I4258">
        <v>38.96</v>
      </c>
      <c r="J4258">
        <v>20.18</v>
      </c>
      <c r="K4258">
        <v>18.16</v>
      </c>
      <c r="L4258">
        <v>2.02</v>
      </c>
      <c r="M4258" s="1" t="s">
        <v>21</v>
      </c>
      <c r="N4258" s="1" t="s">
        <v>22</v>
      </c>
      <c r="O4258" s="2">
        <v>46077</v>
      </c>
      <c r="P4258" s="2">
        <v>46077</v>
      </c>
      <c r="Q4258">
        <f>_xlfn.XLOOKUP(E4258,CPT!$A$2:$A$13,CPT!$D$2:$D$13)</f>
        <v>38</v>
      </c>
      <c r="R4258" s="1">
        <f>_xlfn.XLOOKUP(C4258,Contract!$A$2:$A$9,Contract!$B$2:$B$9)</f>
        <v>0.45</v>
      </c>
      <c r="S4258" s="1">
        <f t="shared" si="264"/>
        <v>17.100000000000001</v>
      </c>
      <c r="T4258" s="1">
        <f t="shared" si="265"/>
        <v>-3.0799999999999983</v>
      </c>
      <c r="U4258" s="1" t="str">
        <f t="shared" si="266"/>
        <v>OK</v>
      </c>
      <c r="V4258" s="1" t="str">
        <f>_xlfn.XLOOKUP(C4258,Payers!$A$2:$A$9,Payers!$B$2:$B$9)</f>
        <v>Blue Horizon Commercial</v>
      </c>
      <c r="W4258" s="1" t="str">
        <f t="shared" si="267"/>
        <v>2026-01</v>
      </c>
    </row>
    <row r="4259" spans="1:23">
      <c r="A4259" s="1" t="s">
        <v>6762</v>
      </c>
      <c r="B4259" s="1" t="s">
        <v>6763</v>
      </c>
      <c r="C4259" s="1" t="s">
        <v>18</v>
      </c>
      <c r="D4259" s="1" t="s">
        <v>37</v>
      </c>
      <c r="E4259" s="1" t="s">
        <v>38</v>
      </c>
      <c r="F4259">
        <v>30</v>
      </c>
      <c r="G4259" s="2">
        <v>46226</v>
      </c>
      <c r="H4259" s="2">
        <v>46230</v>
      </c>
      <c r="I4259">
        <v>43216.06</v>
      </c>
      <c r="J4259">
        <v>15169.74</v>
      </c>
      <c r="K4259">
        <v>13652.77</v>
      </c>
      <c r="L4259">
        <v>1516.97</v>
      </c>
      <c r="M4259" s="1" t="s">
        <v>21</v>
      </c>
      <c r="N4259" s="1" t="s">
        <v>22</v>
      </c>
      <c r="O4259" s="2">
        <v>46247</v>
      </c>
      <c r="P4259" s="2">
        <v>46247</v>
      </c>
      <c r="Q4259">
        <f>_xlfn.XLOOKUP(E4259,CPT!$A$2:$A$13,CPT!$D$2:$D$13)</f>
        <v>1450</v>
      </c>
      <c r="R4259" s="1">
        <f>_xlfn.XLOOKUP(C4259,Contract!$A$2:$A$9,Contract!$B$2:$B$9)</f>
        <v>0.38</v>
      </c>
      <c r="S4259" s="1">
        <f t="shared" si="264"/>
        <v>16530</v>
      </c>
      <c r="T4259" s="1">
        <f t="shared" si="265"/>
        <v>1360.2600000000002</v>
      </c>
      <c r="U4259" s="1" t="str">
        <f t="shared" si="266"/>
        <v>Underpaid</v>
      </c>
      <c r="V4259" s="1" t="str">
        <f>_xlfn.XLOOKUP(C4259,Payers!$A$2:$A$9,Payers!$B$2:$B$9)</f>
        <v>Sunshine Medicare Advantage</v>
      </c>
      <c r="W4259" s="1" t="str">
        <f t="shared" si="267"/>
        <v>2026-07</v>
      </c>
    </row>
    <row r="4260" spans="1:23">
      <c r="A4260" s="1" t="s">
        <v>6764</v>
      </c>
      <c r="B4260" s="1" t="s">
        <v>108</v>
      </c>
      <c r="C4260" s="1" t="s">
        <v>18</v>
      </c>
      <c r="D4260" s="1" t="s">
        <v>19</v>
      </c>
      <c r="E4260" s="1" t="s">
        <v>88</v>
      </c>
      <c r="F4260">
        <v>1</v>
      </c>
      <c r="G4260" s="2">
        <v>45944</v>
      </c>
      <c r="H4260" s="2">
        <v>45949</v>
      </c>
      <c r="I4260">
        <v>253.35</v>
      </c>
      <c r="M4260" s="1" t="s">
        <v>32</v>
      </c>
      <c r="N4260" s="1" t="s">
        <v>98</v>
      </c>
      <c r="O4260" s="2">
        <v>45990</v>
      </c>
      <c r="P4260" s="2"/>
      <c r="Q4260">
        <f>_xlfn.XLOOKUP(E4260,CPT!$A$2:$A$13,CPT!$D$2:$D$13)</f>
        <v>260</v>
      </c>
      <c r="R4260" s="1">
        <f>_xlfn.XLOOKUP(C4260,Contract!$A$2:$A$9,Contract!$B$2:$B$9)</f>
        <v>0.38</v>
      </c>
      <c r="S4260" s="1">
        <f t="shared" si="264"/>
        <v>98.8</v>
      </c>
      <c r="T4260" s="1" t="str">
        <f t="shared" si="265"/>
        <v/>
      </c>
      <c r="U4260" s="1" t="str">
        <f t="shared" si="266"/>
        <v/>
      </c>
      <c r="V4260" s="1" t="str">
        <f>_xlfn.XLOOKUP(C4260,Payers!$A$2:$A$9,Payers!$B$2:$B$9)</f>
        <v>Sunshine Medicare Advantage</v>
      </c>
      <c r="W4260" s="1" t="str">
        <f t="shared" si="267"/>
        <v>2025-10</v>
      </c>
    </row>
    <row r="4261" spans="1:23">
      <c r="A4261" s="1" t="s">
        <v>6765</v>
      </c>
      <c r="B4261" s="1" t="s">
        <v>2422</v>
      </c>
      <c r="C4261" s="1" t="s">
        <v>25</v>
      </c>
      <c r="D4261" s="1" t="s">
        <v>26</v>
      </c>
      <c r="E4261" s="1" t="s">
        <v>185</v>
      </c>
      <c r="F4261">
        <v>1</v>
      </c>
      <c r="G4261" s="2">
        <v>46089</v>
      </c>
      <c r="H4261" s="2">
        <v>46090</v>
      </c>
      <c r="I4261">
        <v>1149.4000000000001</v>
      </c>
      <c r="J4261">
        <v>356.75</v>
      </c>
      <c r="K4261">
        <v>356.75</v>
      </c>
      <c r="L4261">
        <v>0</v>
      </c>
      <c r="M4261" s="1" t="s">
        <v>21</v>
      </c>
      <c r="N4261" s="1" t="s">
        <v>22</v>
      </c>
      <c r="O4261" s="2">
        <v>46098</v>
      </c>
      <c r="P4261" s="2">
        <v>46098</v>
      </c>
      <c r="Q4261">
        <f>_xlfn.XLOOKUP(E4261,CPT!$A$2:$A$13,CPT!$D$2:$D$13)</f>
        <v>1150</v>
      </c>
      <c r="R4261" s="1">
        <f>_xlfn.XLOOKUP(C4261,Contract!$A$2:$A$9,Contract!$B$2:$B$9)</f>
        <v>0.36</v>
      </c>
      <c r="S4261" s="1">
        <f t="shared" si="264"/>
        <v>414</v>
      </c>
      <c r="T4261" s="1">
        <f t="shared" si="265"/>
        <v>57.25</v>
      </c>
      <c r="U4261" s="1" t="str">
        <f t="shared" si="266"/>
        <v>Underpaid</v>
      </c>
      <c r="V4261" s="1" t="str">
        <f>_xlfn.XLOOKUP(C4261,Payers!$A$2:$A$9,Payers!$B$2:$B$9)</f>
        <v>Medicare Part B</v>
      </c>
      <c r="W4261" s="1" t="str">
        <f t="shared" si="267"/>
        <v>2026-03</v>
      </c>
    </row>
    <row r="4262" spans="1:23">
      <c r="A4262" s="1" t="s">
        <v>6766</v>
      </c>
      <c r="B4262" s="1" t="s">
        <v>6400</v>
      </c>
      <c r="C4262" s="1" t="s">
        <v>25</v>
      </c>
      <c r="D4262" s="1" t="s">
        <v>37</v>
      </c>
      <c r="E4262" s="1" t="s">
        <v>57</v>
      </c>
      <c r="F4262">
        <v>1</v>
      </c>
      <c r="G4262" s="2">
        <v>46169</v>
      </c>
      <c r="H4262" s="2">
        <v>46170</v>
      </c>
      <c r="I4262">
        <v>203.88</v>
      </c>
      <c r="J4262">
        <v>64.319999999999993</v>
      </c>
      <c r="K4262">
        <v>64.319999999999993</v>
      </c>
      <c r="L4262">
        <v>0</v>
      </c>
      <c r="M4262" s="1" t="s">
        <v>21</v>
      </c>
      <c r="N4262" s="1" t="s">
        <v>22</v>
      </c>
      <c r="O4262" s="2">
        <v>46184</v>
      </c>
      <c r="P4262" s="2">
        <v>46184</v>
      </c>
      <c r="Q4262">
        <f>_xlfn.XLOOKUP(E4262,CPT!$A$2:$A$13,CPT!$D$2:$D$13)</f>
        <v>210</v>
      </c>
      <c r="R4262" s="1">
        <f>_xlfn.XLOOKUP(C4262,Contract!$A$2:$A$9,Contract!$B$2:$B$9)</f>
        <v>0.36</v>
      </c>
      <c r="S4262" s="1">
        <f t="shared" si="264"/>
        <v>75.599999999999994</v>
      </c>
      <c r="T4262" s="1">
        <f t="shared" si="265"/>
        <v>11.280000000000001</v>
      </c>
      <c r="U4262" s="1" t="str">
        <f t="shared" si="266"/>
        <v>Underpaid</v>
      </c>
      <c r="V4262" s="1" t="str">
        <f>_xlfn.XLOOKUP(C4262,Payers!$A$2:$A$9,Payers!$B$2:$B$9)</f>
        <v>Medicare Part B</v>
      </c>
      <c r="W4262" s="1" t="str">
        <f t="shared" si="267"/>
        <v>2026-05</v>
      </c>
    </row>
    <row r="4263" spans="1:23">
      <c r="A4263" s="1" t="s">
        <v>6767</v>
      </c>
      <c r="B4263" s="1" t="s">
        <v>6768</v>
      </c>
      <c r="C4263" s="1" t="s">
        <v>18</v>
      </c>
      <c r="D4263" s="1" t="s">
        <v>19</v>
      </c>
      <c r="E4263" s="1" t="s">
        <v>88</v>
      </c>
      <c r="F4263">
        <v>1</v>
      </c>
      <c r="G4263" s="2">
        <v>46252</v>
      </c>
      <c r="H4263" s="2">
        <v>46275</v>
      </c>
      <c r="I4263">
        <v>261.51</v>
      </c>
      <c r="M4263" s="1" t="s">
        <v>69</v>
      </c>
      <c r="N4263" s="1" t="s">
        <v>22</v>
      </c>
      <c r="O4263" s="2"/>
      <c r="P4263" s="2"/>
      <c r="Q4263">
        <f>_xlfn.XLOOKUP(E4263,CPT!$A$2:$A$13,CPT!$D$2:$D$13)</f>
        <v>260</v>
      </c>
      <c r="R4263" s="1">
        <f>_xlfn.XLOOKUP(C4263,Contract!$A$2:$A$9,Contract!$B$2:$B$9)</f>
        <v>0.38</v>
      </c>
      <c r="S4263" s="1">
        <f t="shared" si="264"/>
        <v>98.8</v>
      </c>
      <c r="T4263" s="1" t="str">
        <f t="shared" si="265"/>
        <v/>
      </c>
      <c r="U4263" s="1" t="str">
        <f t="shared" si="266"/>
        <v/>
      </c>
      <c r="V4263" s="1" t="str">
        <f>_xlfn.XLOOKUP(C4263,Payers!$A$2:$A$9,Payers!$B$2:$B$9)</f>
        <v>Sunshine Medicare Advantage</v>
      </c>
      <c r="W4263" s="1" t="str">
        <f t="shared" si="267"/>
        <v>2026-08</v>
      </c>
    </row>
    <row r="4264" spans="1:23">
      <c r="A4264" s="1" t="s">
        <v>6769</v>
      </c>
      <c r="B4264" s="1" t="s">
        <v>6770</v>
      </c>
      <c r="C4264" s="1" t="s">
        <v>76</v>
      </c>
      <c r="D4264" s="1" t="s">
        <v>26</v>
      </c>
      <c r="E4264" s="1" t="s">
        <v>41</v>
      </c>
      <c r="F4264">
        <v>1</v>
      </c>
      <c r="G4264" s="2">
        <v>45957</v>
      </c>
      <c r="H4264" s="2">
        <v>45960</v>
      </c>
      <c r="I4264">
        <v>37.380000000000003</v>
      </c>
      <c r="J4264">
        <v>13.83</v>
      </c>
      <c r="K4264">
        <v>11.06</v>
      </c>
      <c r="L4264">
        <v>2.77</v>
      </c>
      <c r="M4264" s="1" t="s">
        <v>21</v>
      </c>
      <c r="N4264" s="1" t="s">
        <v>22</v>
      </c>
      <c r="O4264" s="2">
        <v>46012</v>
      </c>
      <c r="P4264" s="2">
        <v>46012</v>
      </c>
      <c r="Q4264">
        <f>_xlfn.XLOOKUP(E4264,CPT!$A$2:$A$13,CPT!$D$2:$D$13)</f>
        <v>38</v>
      </c>
      <c r="R4264" s="1">
        <f>_xlfn.XLOOKUP(C4264,Contract!$A$2:$A$9,Contract!$B$2:$B$9)</f>
        <v>0.43</v>
      </c>
      <c r="S4264" s="1">
        <f t="shared" si="264"/>
        <v>16.34</v>
      </c>
      <c r="T4264" s="1">
        <f t="shared" si="265"/>
        <v>2.5099999999999998</v>
      </c>
      <c r="U4264" s="1" t="str">
        <f t="shared" si="266"/>
        <v>Underpaid</v>
      </c>
      <c r="V4264" s="1" t="str">
        <f>_xlfn.XLOOKUP(C4264,Payers!$A$2:$A$9,Payers!$B$2:$B$9)</f>
        <v>Summit Health Commercial</v>
      </c>
      <c r="W4264" s="1" t="str">
        <f t="shared" si="267"/>
        <v>2025-10</v>
      </c>
    </row>
    <row r="4265" spans="1:23">
      <c r="A4265" s="1" t="s">
        <v>6771</v>
      </c>
      <c r="B4265" s="1" t="s">
        <v>1353</v>
      </c>
      <c r="C4265" s="1" t="s">
        <v>76</v>
      </c>
      <c r="D4265" s="1" t="s">
        <v>19</v>
      </c>
      <c r="E4265" s="1" t="s">
        <v>41</v>
      </c>
      <c r="F4265">
        <v>1</v>
      </c>
      <c r="G4265" s="2">
        <v>46113</v>
      </c>
      <c r="H4265" s="2">
        <v>46114</v>
      </c>
      <c r="I4265">
        <v>38.880000000000003</v>
      </c>
      <c r="J4265">
        <v>16.43</v>
      </c>
      <c r="K4265">
        <v>16.43</v>
      </c>
      <c r="L4265">
        <v>0</v>
      </c>
      <c r="M4265" s="1" t="s">
        <v>21</v>
      </c>
      <c r="N4265" s="1" t="s">
        <v>22</v>
      </c>
      <c r="O4265" s="2">
        <v>46144</v>
      </c>
      <c r="P4265" s="2">
        <v>46144</v>
      </c>
      <c r="Q4265">
        <f>_xlfn.XLOOKUP(E4265,CPT!$A$2:$A$13,CPT!$D$2:$D$13)</f>
        <v>38</v>
      </c>
      <c r="R4265" s="1">
        <f>_xlfn.XLOOKUP(C4265,Contract!$A$2:$A$9,Contract!$B$2:$B$9)</f>
        <v>0.43</v>
      </c>
      <c r="S4265" s="1">
        <f t="shared" si="264"/>
        <v>16.34</v>
      </c>
      <c r="T4265" s="1">
        <f t="shared" si="265"/>
        <v>-8.9999999999999858E-2</v>
      </c>
      <c r="U4265" s="1" t="str">
        <f t="shared" si="266"/>
        <v>OK</v>
      </c>
      <c r="V4265" s="1" t="str">
        <f>_xlfn.XLOOKUP(C4265,Payers!$A$2:$A$9,Payers!$B$2:$B$9)</f>
        <v>Summit Health Commercial</v>
      </c>
      <c r="W4265" s="1" t="str">
        <f t="shared" si="267"/>
        <v>2026-04</v>
      </c>
    </row>
    <row r="4266" spans="1:23">
      <c r="A4266" s="1" t="s">
        <v>6772</v>
      </c>
      <c r="B4266" s="1" t="s">
        <v>6773</v>
      </c>
      <c r="C4266" s="1" t="s">
        <v>18</v>
      </c>
      <c r="D4266" s="1" t="s">
        <v>37</v>
      </c>
      <c r="E4266" s="1" t="s">
        <v>48</v>
      </c>
      <c r="F4266">
        <v>1</v>
      </c>
      <c r="G4266" s="2">
        <v>46266</v>
      </c>
      <c r="H4266" s="2">
        <v>46267</v>
      </c>
      <c r="I4266">
        <v>426.17</v>
      </c>
      <c r="M4266" s="1" t="s">
        <v>69</v>
      </c>
      <c r="N4266" s="1" t="s">
        <v>22</v>
      </c>
      <c r="O4266" s="2"/>
      <c r="P4266" s="2"/>
      <c r="Q4266">
        <f>_xlfn.XLOOKUP(E4266,CPT!$A$2:$A$13,CPT!$D$2:$D$13)</f>
        <v>420</v>
      </c>
      <c r="R4266" s="1">
        <f>_xlfn.XLOOKUP(C4266,Contract!$A$2:$A$9,Contract!$B$2:$B$9)</f>
        <v>0.38</v>
      </c>
      <c r="S4266" s="1">
        <f t="shared" si="264"/>
        <v>159.6</v>
      </c>
      <c r="T4266" s="1" t="str">
        <f t="shared" si="265"/>
        <v/>
      </c>
      <c r="U4266" s="1" t="str">
        <f t="shared" si="266"/>
        <v/>
      </c>
      <c r="V4266" s="1" t="str">
        <f>_xlfn.XLOOKUP(C4266,Payers!$A$2:$A$9,Payers!$B$2:$B$9)</f>
        <v>Sunshine Medicare Advantage</v>
      </c>
      <c r="W4266" s="1" t="str">
        <f t="shared" si="267"/>
        <v>2026-09</v>
      </c>
    </row>
    <row r="4267" spans="1:23">
      <c r="A4267" s="1" t="s">
        <v>6774</v>
      </c>
      <c r="B4267" s="1" t="s">
        <v>6775</v>
      </c>
      <c r="C4267" s="1" t="s">
        <v>60</v>
      </c>
      <c r="D4267" s="1" t="s">
        <v>19</v>
      </c>
      <c r="E4267" s="1" t="s">
        <v>57</v>
      </c>
      <c r="F4267">
        <v>1</v>
      </c>
      <c r="G4267" s="2">
        <v>46015</v>
      </c>
      <c r="H4267" s="2">
        <v>46018</v>
      </c>
      <c r="I4267">
        <v>209.86</v>
      </c>
      <c r="M4267" s="1" t="s">
        <v>32</v>
      </c>
      <c r="N4267" s="1" t="s">
        <v>33</v>
      </c>
      <c r="O4267" s="2">
        <v>46047</v>
      </c>
      <c r="P4267" s="2"/>
      <c r="Q4267">
        <f>_xlfn.XLOOKUP(E4267,CPT!$A$2:$A$13,CPT!$D$2:$D$13)</f>
        <v>210</v>
      </c>
      <c r="R4267" s="1">
        <f>_xlfn.XLOOKUP(C4267,Contract!$A$2:$A$9,Contract!$B$2:$B$9)</f>
        <v>0.45</v>
      </c>
      <c r="S4267" s="1">
        <f t="shared" si="264"/>
        <v>94.5</v>
      </c>
      <c r="T4267" s="1" t="str">
        <f t="shared" si="265"/>
        <v/>
      </c>
      <c r="U4267" s="1" t="str">
        <f t="shared" si="266"/>
        <v/>
      </c>
      <c r="V4267" s="1" t="str">
        <f>_xlfn.XLOOKUP(C4267,Payers!$A$2:$A$9,Payers!$B$2:$B$9)</f>
        <v>Blue Horizon Commercial</v>
      </c>
      <c r="W4267" s="1" t="str">
        <f t="shared" si="267"/>
        <v>2025-12</v>
      </c>
    </row>
    <row r="4268" spans="1:23">
      <c r="A4268" s="1" t="s">
        <v>6776</v>
      </c>
      <c r="B4268" s="1" t="s">
        <v>255</v>
      </c>
      <c r="C4268" s="1" t="s">
        <v>25</v>
      </c>
      <c r="D4268" s="1" t="s">
        <v>19</v>
      </c>
      <c r="E4268" s="1" t="s">
        <v>57</v>
      </c>
      <c r="F4268">
        <v>1</v>
      </c>
      <c r="G4268" s="2">
        <v>46119</v>
      </c>
      <c r="H4268" s="2">
        <v>46131</v>
      </c>
      <c r="I4268">
        <v>215.82</v>
      </c>
      <c r="J4268">
        <v>67.150000000000006</v>
      </c>
      <c r="K4268">
        <v>60.43</v>
      </c>
      <c r="L4268">
        <v>6.72</v>
      </c>
      <c r="M4268" s="1" t="s">
        <v>21</v>
      </c>
      <c r="N4268" s="1" t="s">
        <v>22</v>
      </c>
      <c r="O4268" s="2">
        <v>46155</v>
      </c>
      <c r="P4268" s="2">
        <v>46155</v>
      </c>
      <c r="Q4268">
        <f>_xlfn.XLOOKUP(E4268,CPT!$A$2:$A$13,CPT!$D$2:$D$13)</f>
        <v>210</v>
      </c>
      <c r="R4268" s="1">
        <f>_xlfn.XLOOKUP(C4268,Contract!$A$2:$A$9,Contract!$B$2:$B$9)</f>
        <v>0.36</v>
      </c>
      <c r="S4268" s="1">
        <f t="shared" si="264"/>
        <v>75.599999999999994</v>
      </c>
      <c r="T4268" s="1">
        <f t="shared" si="265"/>
        <v>8.4499999999999886</v>
      </c>
      <c r="U4268" s="1" t="str">
        <f t="shared" si="266"/>
        <v>Underpaid</v>
      </c>
      <c r="V4268" s="1" t="str">
        <f>_xlfn.XLOOKUP(C4268,Payers!$A$2:$A$9,Payers!$B$2:$B$9)</f>
        <v>Medicare Part B</v>
      </c>
      <c r="W4268" s="1" t="str">
        <f t="shared" si="267"/>
        <v>2026-04</v>
      </c>
    </row>
    <row r="4269" spans="1:23">
      <c r="A4269" s="1" t="s">
        <v>6777</v>
      </c>
      <c r="B4269" s="1" t="s">
        <v>1192</v>
      </c>
      <c r="C4269" s="1" t="s">
        <v>47</v>
      </c>
      <c r="D4269" s="1" t="s">
        <v>19</v>
      </c>
      <c r="E4269" s="1" t="s">
        <v>88</v>
      </c>
      <c r="F4269">
        <v>1</v>
      </c>
      <c r="G4269" s="2">
        <v>45969</v>
      </c>
      <c r="H4269" s="2">
        <v>45972</v>
      </c>
      <c r="I4269">
        <v>263.91000000000003</v>
      </c>
      <c r="J4269">
        <v>79.61</v>
      </c>
      <c r="K4269">
        <v>63.69</v>
      </c>
      <c r="L4269">
        <v>15.92</v>
      </c>
      <c r="M4269" s="1" t="s">
        <v>21</v>
      </c>
      <c r="N4269" s="1" t="s">
        <v>22</v>
      </c>
      <c r="O4269" s="2">
        <v>46026</v>
      </c>
      <c r="P4269" s="2">
        <v>46026</v>
      </c>
      <c r="Q4269">
        <f>_xlfn.XLOOKUP(E4269,CPT!$A$2:$A$13,CPT!$D$2:$D$13)</f>
        <v>260</v>
      </c>
      <c r="R4269" s="1">
        <f>_xlfn.XLOOKUP(C4269,Contract!$A$2:$A$9,Contract!$B$2:$B$9)</f>
        <v>0.28000000000000003</v>
      </c>
      <c r="S4269" s="1">
        <f t="shared" si="264"/>
        <v>72.8</v>
      </c>
      <c r="T4269" s="1">
        <f t="shared" si="265"/>
        <v>-6.8100000000000023</v>
      </c>
      <c r="U4269" s="1" t="str">
        <f t="shared" si="266"/>
        <v>OK</v>
      </c>
      <c r="V4269" s="1" t="str">
        <f>_xlfn.XLOOKUP(C4269,Payers!$A$2:$A$9,Payers!$B$2:$B$9)</f>
        <v>Coastal Medicaid MCO</v>
      </c>
      <c r="W4269" s="1" t="str">
        <f t="shared" si="267"/>
        <v>2025-11</v>
      </c>
    </row>
    <row r="4270" spans="1:23">
      <c r="A4270" s="1" t="s">
        <v>6778</v>
      </c>
      <c r="B4270" s="1" t="s">
        <v>6779</v>
      </c>
      <c r="C4270" s="1" t="s">
        <v>18</v>
      </c>
      <c r="D4270" s="1" t="s">
        <v>26</v>
      </c>
      <c r="E4270" s="1" t="s">
        <v>113</v>
      </c>
      <c r="F4270">
        <v>1</v>
      </c>
      <c r="G4270" s="2">
        <v>46294</v>
      </c>
      <c r="H4270" s="2">
        <v>46295</v>
      </c>
      <c r="I4270">
        <v>1080.18</v>
      </c>
      <c r="M4270" s="1" t="s">
        <v>69</v>
      </c>
      <c r="N4270" s="1" t="s">
        <v>22</v>
      </c>
      <c r="O4270" s="2"/>
      <c r="P4270" s="2"/>
      <c r="Q4270">
        <f>_xlfn.XLOOKUP(E4270,CPT!$A$2:$A$13,CPT!$D$2:$D$13)</f>
        <v>1050</v>
      </c>
      <c r="R4270" s="1">
        <f>_xlfn.XLOOKUP(C4270,Contract!$A$2:$A$9,Contract!$B$2:$B$9)</f>
        <v>0.38</v>
      </c>
      <c r="S4270" s="1">
        <f t="shared" si="264"/>
        <v>399</v>
      </c>
      <c r="T4270" s="1" t="str">
        <f t="shared" si="265"/>
        <v/>
      </c>
      <c r="U4270" s="1" t="str">
        <f t="shared" si="266"/>
        <v/>
      </c>
      <c r="V4270" s="1" t="str">
        <f>_xlfn.XLOOKUP(C4270,Payers!$A$2:$A$9,Payers!$B$2:$B$9)</f>
        <v>Sunshine Medicare Advantage</v>
      </c>
      <c r="W4270" s="1" t="str">
        <f t="shared" si="267"/>
        <v>2026-09</v>
      </c>
    </row>
    <row r="4271" spans="1:23">
      <c r="A4271" s="1" t="s">
        <v>6780</v>
      </c>
      <c r="B4271" s="1" t="s">
        <v>4079</v>
      </c>
      <c r="C4271" s="1" t="s">
        <v>52</v>
      </c>
      <c r="D4271" s="1" t="s">
        <v>30</v>
      </c>
      <c r="E4271" s="1" t="s">
        <v>91</v>
      </c>
      <c r="F4271">
        <v>1</v>
      </c>
      <c r="G4271" s="2">
        <v>46229</v>
      </c>
      <c r="H4271" s="2">
        <v>46231</v>
      </c>
      <c r="I4271">
        <v>59.39</v>
      </c>
      <c r="J4271">
        <v>26.5</v>
      </c>
      <c r="K4271">
        <v>21.2</v>
      </c>
      <c r="L4271">
        <v>5.3</v>
      </c>
      <c r="M4271" s="1" t="s">
        <v>21</v>
      </c>
      <c r="N4271" s="1" t="s">
        <v>22</v>
      </c>
      <c r="O4271" s="2">
        <v>46263</v>
      </c>
      <c r="P4271" s="2">
        <v>46263</v>
      </c>
      <c r="Q4271">
        <f>_xlfn.XLOOKUP(E4271,CPT!$A$2:$A$13,CPT!$D$2:$D$13)</f>
        <v>58</v>
      </c>
      <c r="R4271" s="1">
        <f>_xlfn.XLOOKUP(C4271,Contract!$A$2:$A$9,Contract!$B$2:$B$9)</f>
        <v>0.47</v>
      </c>
      <c r="S4271" s="1">
        <f t="shared" si="264"/>
        <v>27.26</v>
      </c>
      <c r="T4271" s="1">
        <f t="shared" si="265"/>
        <v>0.76000000000000156</v>
      </c>
      <c r="U4271" s="1" t="str">
        <f t="shared" si="266"/>
        <v>OK</v>
      </c>
      <c r="V4271" s="1" t="str">
        <f>_xlfn.XLOOKUP(C4271,Payers!$A$2:$A$9,Payers!$B$2:$B$9)</f>
        <v>Keystone Commercial PPO</v>
      </c>
      <c r="W4271" s="1" t="str">
        <f t="shared" si="267"/>
        <v>2026-07</v>
      </c>
    </row>
    <row r="4272" spans="1:23">
      <c r="A4272" s="1" t="s">
        <v>6781</v>
      </c>
      <c r="B4272" s="1" t="s">
        <v>3313</v>
      </c>
      <c r="C4272" s="1" t="s">
        <v>76</v>
      </c>
      <c r="D4272" s="1" t="s">
        <v>30</v>
      </c>
      <c r="E4272" s="1" t="s">
        <v>31</v>
      </c>
      <c r="F4272">
        <v>4</v>
      </c>
      <c r="G4272" s="2">
        <v>46237</v>
      </c>
      <c r="H4272" s="2">
        <v>46240</v>
      </c>
      <c r="I4272">
        <v>252.08</v>
      </c>
      <c r="J4272">
        <v>94.33</v>
      </c>
      <c r="K4272">
        <v>94.33</v>
      </c>
      <c r="L4272">
        <v>0</v>
      </c>
      <c r="M4272" s="1" t="s">
        <v>21</v>
      </c>
      <c r="N4272" s="1" t="s">
        <v>22</v>
      </c>
      <c r="O4272" s="2">
        <v>46271</v>
      </c>
      <c r="P4272" s="2">
        <v>46271</v>
      </c>
      <c r="Q4272">
        <f>_xlfn.XLOOKUP(E4272,CPT!$A$2:$A$13,CPT!$D$2:$D$13)</f>
        <v>62</v>
      </c>
      <c r="R4272" s="1">
        <f>_xlfn.XLOOKUP(C4272,Contract!$A$2:$A$9,Contract!$B$2:$B$9)</f>
        <v>0.43</v>
      </c>
      <c r="S4272" s="1">
        <f t="shared" si="264"/>
        <v>106.64</v>
      </c>
      <c r="T4272" s="1">
        <f t="shared" si="265"/>
        <v>12.310000000000002</v>
      </c>
      <c r="U4272" s="1" t="str">
        <f t="shared" si="266"/>
        <v>Underpaid</v>
      </c>
      <c r="V4272" s="1" t="str">
        <f>_xlfn.XLOOKUP(C4272,Payers!$A$2:$A$9,Payers!$B$2:$B$9)</f>
        <v>Summit Health Commercial</v>
      </c>
      <c r="W4272" s="1" t="str">
        <f t="shared" si="267"/>
        <v>2026-08</v>
      </c>
    </row>
    <row r="4273" spans="1:23">
      <c r="A4273" s="1" t="s">
        <v>6782</v>
      </c>
      <c r="B4273" s="1" t="s">
        <v>5224</v>
      </c>
      <c r="C4273" s="1" t="s">
        <v>52</v>
      </c>
      <c r="D4273" s="1" t="s">
        <v>26</v>
      </c>
      <c r="E4273" s="1" t="s">
        <v>27</v>
      </c>
      <c r="F4273">
        <v>1</v>
      </c>
      <c r="G4273" s="2">
        <v>46089</v>
      </c>
      <c r="H4273" s="2">
        <v>46092</v>
      </c>
      <c r="I4273">
        <v>245.37</v>
      </c>
      <c r="J4273">
        <v>119.92</v>
      </c>
      <c r="K4273">
        <v>107.93</v>
      </c>
      <c r="L4273">
        <v>11.99</v>
      </c>
      <c r="M4273" s="1" t="s">
        <v>21</v>
      </c>
      <c r="N4273" s="1" t="s">
        <v>22</v>
      </c>
      <c r="O4273" s="2">
        <v>46136</v>
      </c>
      <c r="P4273" s="2">
        <v>46136</v>
      </c>
      <c r="Q4273">
        <f>_xlfn.XLOOKUP(E4273,CPT!$A$2:$A$13,CPT!$D$2:$D$13)</f>
        <v>240</v>
      </c>
      <c r="R4273" s="1">
        <f>_xlfn.XLOOKUP(C4273,Contract!$A$2:$A$9,Contract!$B$2:$B$9)</f>
        <v>0.47</v>
      </c>
      <c r="S4273" s="1">
        <f t="shared" si="264"/>
        <v>112.8</v>
      </c>
      <c r="T4273" s="1">
        <f t="shared" si="265"/>
        <v>-7.1200000000000045</v>
      </c>
      <c r="U4273" s="1" t="str">
        <f t="shared" si="266"/>
        <v>OK</v>
      </c>
      <c r="V4273" s="1" t="str">
        <f>_xlfn.XLOOKUP(C4273,Payers!$A$2:$A$9,Payers!$B$2:$B$9)</f>
        <v>Keystone Commercial PPO</v>
      </c>
      <c r="W4273" s="1" t="str">
        <f t="shared" si="267"/>
        <v>2026-03</v>
      </c>
    </row>
    <row r="4274" spans="1:23">
      <c r="A4274" s="1" t="s">
        <v>6783</v>
      </c>
      <c r="B4274" s="1" t="s">
        <v>6784</v>
      </c>
      <c r="C4274" s="1" t="s">
        <v>60</v>
      </c>
      <c r="D4274" s="1" t="s">
        <v>30</v>
      </c>
      <c r="E4274" s="1" t="s">
        <v>20</v>
      </c>
      <c r="F4274">
        <v>1</v>
      </c>
      <c r="G4274" s="2">
        <v>46084</v>
      </c>
      <c r="H4274" s="2">
        <v>46219</v>
      </c>
      <c r="I4274">
        <v>146.63999999999999</v>
      </c>
      <c r="M4274" s="1" t="s">
        <v>32</v>
      </c>
      <c r="N4274" s="1" t="s">
        <v>137</v>
      </c>
      <c r="O4274" s="2">
        <v>46250</v>
      </c>
      <c r="P4274" s="2"/>
      <c r="Q4274">
        <f>_xlfn.XLOOKUP(E4274,CPT!$A$2:$A$13,CPT!$D$2:$D$13)</f>
        <v>145</v>
      </c>
      <c r="R4274" s="1">
        <f>_xlfn.XLOOKUP(C4274,Contract!$A$2:$A$9,Contract!$B$2:$B$9)</f>
        <v>0.45</v>
      </c>
      <c r="S4274" s="1">
        <f t="shared" si="264"/>
        <v>65.25</v>
      </c>
      <c r="T4274" s="1" t="str">
        <f t="shared" si="265"/>
        <v/>
      </c>
      <c r="U4274" s="1" t="str">
        <f t="shared" si="266"/>
        <v/>
      </c>
      <c r="V4274" s="1" t="str">
        <f>_xlfn.XLOOKUP(C4274,Payers!$A$2:$A$9,Payers!$B$2:$B$9)</f>
        <v>Blue Horizon Commercial</v>
      </c>
      <c r="W4274" s="1" t="str">
        <f t="shared" si="267"/>
        <v>2026-03</v>
      </c>
    </row>
    <row r="4275" spans="1:23">
      <c r="A4275" s="1" t="s">
        <v>6785</v>
      </c>
      <c r="B4275" s="1" t="s">
        <v>5243</v>
      </c>
      <c r="C4275" s="1" t="s">
        <v>60</v>
      </c>
      <c r="D4275" s="1" t="s">
        <v>19</v>
      </c>
      <c r="E4275" s="1" t="s">
        <v>88</v>
      </c>
      <c r="F4275">
        <v>1</v>
      </c>
      <c r="G4275" s="2">
        <v>46003</v>
      </c>
      <c r="H4275" s="2">
        <v>46005</v>
      </c>
      <c r="I4275">
        <v>264.10000000000002</v>
      </c>
      <c r="J4275">
        <v>123.64</v>
      </c>
      <c r="K4275">
        <v>123.64</v>
      </c>
      <c r="L4275">
        <v>0</v>
      </c>
      <c r="M4275" s="1" t="s">
        <v>21</v>
      </c>
      <c r="N4275" s="1" t="s">
        <v>22</v>
      </c>
      <c r="O4275" s="2">
        <v>46017</v>
      </c>
      <c r="P4275" s="2">
        <v>46017</v>
      </c>
      <c r="Q4275">
        <f>_xlfn.XLOOKUP(E4275,CPT!$A$2:$A$13,CPT!$D$2:$D$13)</f>
        <v>260</v>
      </c>
      <c r="R4275" s="1">
        <f>_xlfn.XLOOKUP(C4275,Contract!$A$2:$A$9,Contract!$B$2:$B$9)</f>
        <v>0.45</v>
      </c>
      <c r="S4275" s="1">
        <f t="shared" si="264"/>
        <v>117</v>
      </c>
      <c r="T4275" s="1">
        <f t="shared" si="265"/>
        <v>-6.6400000000000006</v>
      </c>
      <c r="U4275" s="1" t="str">
        <f t="shared" si="266"/>
        <v>OK</v>
      </c>
      <c r="V4275" s="1" t="str">
        <f>_xlfn.XLOOKUP(C4275,Payers!$A$2:$A$9,Payers!$B$2:$B$9)</f>
        <v>Blue Horizon Commercial</v>
      </c>
      <c r="W4275" s="1" t="str">
        <f t="shared" si="267"/>
        <v>2025-12</v>
      </c>
    </row>
    <row r="4276" spans="1:23">
      <c r="A4276" s="1" t="s">
        <v>6786</v>
      </c>
      <c r="B4276" s="1" t="s">
        <v>6787</v>
      </c>
      <c r="C4276" s="1" t="s">
        <v>60</v>
      </c>
      <c r="D4276" s="1" t="s">
        <v>19</v>
      </c>
      <c r="E4276" s="1" t="s">
        <v>57</v>
      </c>
      <c r="F4276">
        <v>1</v>
      </c>
      <c r="G4276" s="2">
        <v>46020</v>
      </c>
      <c r="H4276" s="2">
        <v>46026</v>
      </c>
      <c r="I4276">
        <v>205.08</v>
      </c>
      <c r="J4276">
        <v>94.04</v>
      </c>
      <c r="K4276">
        <v>84.64</v>
      </c>
      <c r="L4276">
        <v>9.4</v>
      </c>
      <c r="M4276" s="1" t="s">
        <v>21</v>
      </c>
      <c r="N4276" s="1" t="s">
        <v>22</v>
      </c>
      <c r="O4276" s="2">
        <v>46061</v>
      </c>
      <c r="P4276" s="2">
        <v>46061</v>
      </c>
      <c r="Q4276">
        <f>_xlfn.XLOOKUP(E4276,CPT!$A$2:$A$13,CPT!$D$2:$D$13)</f>
        <v>210</v>
      </c>
      <c r="R4276" s="1">
        <f>_xlfn.XLOOKUP(C4276,Contract!$A$2:$A$9,Contract!$B$2:$B$9)</f>
        <v>0.45</v>
      </c>
      <c r="S4276" s="1">
        <f t="shared" si="264"/>
        <v>94.5</v>
      </c>
      <c r="T4276" s="1">
        <f t="shared" si="265"/>
        <v>0.45999999999999375</v>
      </c>
      <c r="U4276" s="1" t="str">
        <f t="shared" si="266"/>
        <v>OK</v>
      </c>
      <c r="V4276" s="1" t="str">
        <f>_xlfn.XLOOKUP(C4276,Payers!$A$2:$A$9,Payers!$B$2:$B$9)</f>
        <v>Blue Horizon Commercial</v>
      </c>
      <c r="W4276" s="1" t="str">
        <f t="shared" si="267"/>
        <v>2025-12</v>
      </c>
    </row>
    <row r="4277" spans="1:23">
      <c r="A4277" s="1" t="s">
        <v>6788</v>
      </c>
      <c r="B4277" s="1" t="s">
        <v>1301</v>
      </c>
      <c r="C4277" s="1" t="s">
        <v>60</v>
      </c>
      <c r="D4277" s="1" t="s">
        <v>37</v>
      </c>
      <c r="E4277" s="1" t="s">
        <v>48</v>
      </c>
      <c r="F4277">
        <v>1</v>
      </c>
      <c r="G4277" s="2">
        <v>45999</v>
      </c>
      <c r="H4277" s="2">
        <v>46001</v>
      </c>
      <c r="I4277">
        <v>430.03</v>
      </c>
      <c r="J4277">
        <v>206.69</v>
      </c>
      <c r="K4277">
        <v>186.02</v>
      </c>
      <c r="L4277">
        <v>20.67</v>
      </c>
      <c r="M4277" s="1" t="s">
        <v>21</v>
      </c>
      <c r="N4277" s="1" t="s">
        <v>22</v>
      </c>
      <c r="O4277" s="2">
        <v>46042</v>
      </c>
      <c r="P4277" s="2">
        <v>46042</v>
      </c>
      <c r="Q4277">
        <f>_xlfn.XLOOKUP(E4277,CPT!$A$2:$A$13,CPT!$D$2:$D$13)</f>
        <v>420</v>
      </c>
      <c r="R4277" s="1">
        <f>_xlfn.XLOOKUP(C4277,Contract!$A$2:$A$9,Contract!$B$2:$B$9)</f>
        <v>0.45</v>
      </c>
      <c r="S4277" s="1">
        <f t="shared" si="264"/>
        <v>189</v>
      </c>
      <c r="T4277" s="1">
        <f t="shared" si="265"/>
        <v>-17.689999999999998</v>
      </c>
      <c r="U4277" s="1" t="str">
        <f t="shared" si="266"/>
        <v>OK</v>
      </c>
      <c r="V4277" s="1" t="str">
        <f>_xlfn.XLOOKUP(C4277,Payers!$A$2:$A$9,Payers!$B$2:$B$9)</f>
        <v>Blue Horizon Commercial</v>
      </c>
      <c r="W4277" s="1" t="str">
        <f t="shared" si="267"/>
        <v>2025-12</v>
      </c>
    </row>
    <row r="4278" spans="1:23">
      <c r="A4278" s="1" t="s">
        <v>6789</v>
      </c>
      <c r="B4278" s="1" t="s">
        <v>1011</v>
      </c>
      <c r="C4278" s="1" t="s">
        <v>25</v>
      </c>
      <c r="D4278" s="1" t="s">
        <v>19</v>
      </c>
      <c r="E4278" s="1" t="s">
        <v>41</v>
      </c>
      <c r="F4278">
        <v>1</v>
      </c>
      <c r="G4278" s="2">
        <v>46092</v>
      </c>
      <c r="H4278" s="2">
        <v>46093</v>
      </c>
      <c r="I4278">
        <v>38.39</v>
      </c>
      <c r="J4278">
        <v>13.08</v>
      </c>
      <c r="K4278">
        <v>13.08</v>
      </c>
      <c r="L4278">
        <v>0</v>
      </c>
      <c r="M4278" s="1" t="s">
        <v>21</v>
      </c>
      <c r="N4278" s="1" t="s">
        <v>22</v>
      </c>
      <c r="O4278" s="2">
        <v>46104</v>
      </c>
      <c r="P4278" s="2">
        <v>46104</v>
      </c>
      <c r="Q4278">
        <f>_xlfn.XLOOKUP(E4278,CPT!$A$2:$A$13,CPT!$D$2:$D$13)</f>
        <v>38</v>
      </c>
      <c r="R4278" s="1">
        <f>_xlfn.XLOOKUP(C4278,Contract!$A$2:$A$9,Contract!$B$2:$B$9)</f>
        <v>0.36</v>
      </c>
      <c r="S4278" s="1">
        <f t="shared" si="264"/>
        <v>13.68</v>
      </c>
      <c r="T4278" s="1">
        <f t="shared" si="265"/>
        <v>0.59999999999999964</v>
      </c>
      <c r="U4278" s="1" t="str">
        <f t="shared" si="266"/>
        <v>OK</v>
      </c>
      <c r="V4278" s="1" t="str">
        <f>_xlfn.XLOOKUP(C4278,Payers!$A$2:$A$9,Payers!$B$2:$B$9)</f>
        <v>Medicare Part B</v>
      </c>
      <c r="W4278" s="1" t="str">
        <f t="shared" si="267"/>
        <v>2026-03</v>
      </c>
    </row>
    <row r="4279" spans="1:23">
      <c r="A4279" s="1" t="s">
        <v>6790</v>
      </c>
      <c r="B4279" s="1" t="s">
        <v>5184</v>
      </c>
      <c r="C4279" s="1" t="s">
        <v>60</v>
      </c>
      <c r="D4279" s="1" t="s">
        <v>30</v>
      </c>
      <c r="E4279" s="1" t="s">
        <v>91</v>
      </c>
      <c r="F4279">
        <v>1</v>
      </c>
      <c r="G4279" s="2">
        <v>46254</v>
      </c>
      <c r="H4279" s="2">
        <v>46262</v>
      </c>
      <c r="I4279">
        <v>57.41</v>
      </c>
      <c r="M4279" s="1" t="s">
        <v>69</v>
      </c>
      <c r="N4279" s="1" t="s">
        <v>22</v>
      </c>
      <c r="O4279" s="2"/>
      <c r="P4279" s="2"/>
      <c r="Q4279">
        <f>_xlfn.XLOOKUP(E4279,CPT!$A$2:$A$13,CPT!$D$2:$D$13)</f>
        <v>58</v>
      </c>
      <c r="R4279" s="1">
        <f>_xlfn.XLOOKUP(C4279,Contract!$A$2:$A$9,Contract!$B$2:$B$9)</f>
        <v>0.45</v>
      </c>
      <c r="S4279" s="1">
        <f t="shared" si="264"/>
        <v>26.1</v>
      </c>
      <c r="T4279" s="1" t="str">
        <f t="shared" si="265"/>
        <v/>
      </c>
      <c r="U4279" s="1" t="str">
        <f t="shared" si="266"/>
        <v/>
      </c>
      <c r="V4279" s="1" t="str">
        <f>_xlfn.XLOOKUP(C4279,Payers!$A$2:$A$9,Payers!$B$2:$B$9)</f>
        <v>Blue Horizon Commercial</v>
      </c>
      <c r="W4279" s="1" t="str">
        <f t="shared" si="267"/>
        <v>2026-08</v>
      </c>
    </row>
    <row r="4280" spans="1:23">
      <c r="A4280" s="1" t="s">
        <v>6791</v>
      </c>
      <c r="B4280" s="1" t="s">
        <v>6792</v>
      </c>
      <c r="C4280" s="1" t="s">
        <v>52</v>
      </c>
      <c r="D4280" s="1" t="s">
        <v>19</v>
      </c>
      <c r="E4280" s="1" t="s">
        <v>20</v>
      </c>
      <c r="F4280">
        <v>1</v>
      </c>
      <c r="G4280" s="2">
        <v>46108</v>
      </c>
      <c r="H4280" s="2">
        <v>46110</v>
      </c>
      <c r="I4280">
        <v>142.59</v>
      </c>
      <c r="J4280">
        <v>70.47</v>
      </c>
      <c r="K4280">
        <v>56.38</v>
      </c>
      <c r="L4280">
        <v>14.09</v>
      </c>
      <c r="M4280" s="1" t="s">
        <v>21</v>
      </c>
      <c r="N4280" s="1" t="s">
        <v>22</v>
      </c>
      <c r="O4280" s="2">
        <v>46153</v>
      </c>
      <c r="P4280" s="2">
        <v>46153</v>
      </c>
      <c r="Q4280">
        <f>_xlfn.XLOOKUP(E4280,CPT!$A$2:$A$13,CPT!$D$2:$D$13)</f>
        <v>145</v>
      </c>
      <c r="R4280" s="1">
        <f>_xlfn.XLOOKUP(C4280,Contract!$A$2:$A$9,Contract!$B$2:$B$9)</f>
        <v>0.47</v>
      </c>
      <c r="S4280" s="1">
        <f t="shared" si="264"/>
        <v>68.150000000000006</v>
      </c>
      <c r="T4280" s="1">
        <f t="shared" si="265"/>
        <v>-2.3199999999999932</v>
      </c>
      <c r="U4280" s="1" t="str">
        <f t="shared" si="266"/>
        <v>OK</v>
      </c>
      <c r="V4280" s="1" t="str">
        <f>_xlfn.XLOOKUP(C4280,Payers!$A$2:$A$9,Payers!$B$2:$B$9)</f>
        <v>Keystone Commercial PPO</v>
      </c>
      <c r="W4280" s="1" t="str">
        <f t="shared" si="267"/>
        <v>2026-03</v>
      </c>
    </row>
    <row r="4281" spans="1:23">
      <c r="A4281" s="1" t="s">
        <v>6793</v>
      </c>
      <c r="B4281" s="1" t="s">
        <v>4110</v>
      </c>
      <c r="C4281" s="1" t="s">
        <v>60</v>
      </c>
      <c r="D4281" s="1" t="s">
        <v>37</v>
      </c>
      <c r="E4281" s="1" t="s">
        <v>38</v>
      </c>
      <c r="F4281">
        <v>5</v>
      </c>
      <c r="G4281" s="2">
        <v>45934</v>
      </c>
      <c r="H4281" s="2">
        <v>45935</v>
      </c>
      <c r="I4281">
        <v>7061.1</v>
      </c>
      <c r="J4281">
        <v>3428.65</v>
      </c>
      <c r="K4281">
        <v>2742.92</v>
      </c>
      <c r="L4281">
        <v>685.73</v>
      </c>
      <c r="M4281" s="1" t="s">
        <v>21</v>
      </c>
      <c r="N4281" s="1" t="s">
        <v>22</v>
      </c>
      <c r="O4281" s="2">
        <v>45958</v>
      </c>
      <c r="P4281" s="2">
        <v>45958</v>
      </c>
      <c r="Q4281">
        <f>_xlfn.XLOOKUP(E4281,CPT!$A$2:$A$13,CPT!$D$2:$D$13)</f>
        <v>1450</v>
      </c>
      <c r="R4281" s="1">
        <f>_xlfn.XLOOKUP(C4281,Contract!$A$2:$A$9,Contract!$B$2:$B$9)</f>
        <v>0.45</v>
      </c>
      <c r="S4281" s="1">
        <f t="shared" si="264"/>
        <v>3262.5</v>
      </c>
      <c r="T4281" s="1">
        <f t="shared" si="265"/>
        <v>-166.15000000000009</v>
      </c>
      <c r="U4281" s="1" t="str">
        <f t="shared" si="266"/>
        <v>OK</v>
      </c>
      <c r="V4281" s="1" t="str">
        <f>_xlfn.XLOOKUP(C4281,Payers!$A$2:$A$9,Payers!$B$2:$B$9)</f>
        <v>Blue Horizon Commercial</v>
      </c>
      <c r="W4281" s="1" t="str">
        <f t="shared" si="267"/>
        <v>2025-10</v>
      </c>
    </row>
    <row r="4282" spans="1:23">
      <c r="A4282" s="1" t="s">
        <v>6794</v>
      </c>
      <c r="B4282" s="1" t="s">
        <v>6795</v>
      </c>
      <c r="C4282" s="1" t="s">
        <v>60</v>
      </c>
      <c r="D4282" s="1" t="s">
        <v>37</v>
      </c>
      <c r="E4282" s="1" t="s">
        <v>38</v>
      </c>
      <c r="F4282">
        <v>30</v>
      </c>
      <c r="G4282" s="2">
        <v>46241</v>
      </c>
      <c r="H4282" s="2">
        <v>46244</v>
      </c>
      <c r="I4282">
        <v>42818.31</v>
      </c>
      <c r="M4282" s="1" t="s">
        <v>32</v>
      </c>
      <c r="N4282" s="1" t="s">
        <v>49</v>
      </c>
      <c r="O4282" s="2">
        <v>46274</v>
      </c>
      <c r="P4282" s="2"/>
      <c r="Q4282">
        <f>_xlfn.XLOOKUP(E4282,CPT!$A$2:$A$13,CPT!$D$2:$D$13)</f>
        <v>1450</v>
      </c>
      <c r="R4282" s="1">
        <f>_xlfn.XLOOKUP(C4282,Contract!$A$2:$A$9,Contract!$B$2:$B$9)</f>
        <v>0.45</v>
      </c>
      <c r="S4282" s="1">
        <f t="shared" si="264"/>
        <v>19575</v>
      </c>
      <c r="T4282" s="1" t="str">
        <f t="shared" si="265"/>
        <v/>
      </c>
      <c r="U4282" s="1" t="str">
        <f t="shared" si="266"/>
        <v/>
      </c>
      <c r="V4282" s="1" t="str">
        <f>_xlfn.XLOOKUP(C4282,Payers!$A$2:$A$9,Payers!$B$2:$B$9)</f>
        <v>Blue Horizon Commercial</v>
      </c>
      <c r="W4282" s="1" t="str">
        <f t="shared" si="267"/>
        <v>2026-08</v>
      </c>
    </row>
    <row r="4283" spans="1:23">
      <c r="A4283" s="1" t="s">
        <v>6796</v>
      </c>
      <c r="B4283" s="1" t="s">
        <v>1798</v>
      </c>
      <c r="C4283" s="1" t="s">
        <v>25</v>
      </c>
      <c r="D4283" s="1" t="s">
        <v>19</v>
      </c>
      <c r="E4283" s="1" t="s">
        <v>41</v>
      </c>
      <c r="F4283">
        <v>1</v>
      </c>
      <c r="G4283" s="2">
        <v>45983</v>
      </c>
      <c r="H4283" s="2">
        <v>45986</v>
      </c>
      <c r="I4283">
        <v>38.270000000000003</v>
      </c>
      <c r="J4283">
        <v>12.79</v>
      </c>
      <c r="K4283">
        <v>12.79</v>
      </c>
      <c r="L4283">
        <v>0</v>
      </c>
      <c r="M4283" s="1" t="s">
        <v>21</v>
      </c>
      <c r="N4283" s="1" t="s">
        <v>22</v>
      </c>
      <c r="O4283" s="2">
        <v>46003</v>
      </c>
      <c r="P4283" s="2">
        <v>46003</v>
      </c>
      <c r="Q4283">
        <f>_xlfn.XLOOKUP(E4283,CPT!$A$2:$A$13,CPT!$D$2:$D$13)</f>
        <v>38</v>
      </c>
      <c r="R4283" s="1">
        <f>_xlfn.XLOOKUP(C4283,Contract!$A$2:$A$9,Contract!$B$2:$B$9)</f>
        <v>0.36</v>
      </c>
      <c r="S4283" s="1">
        <f t="shared" si="264"/>
        <v>13.68</v>
      </c>
      <c r="T4283" s="1">
        <f t="shared" si="265"/>
        <v>0.89000000000000057</v>
      </c>
      <c r="U4283" s="1" t="str">
        <f t="shared" si="266"/>
        <v>Underpaid</v>
      </c>
      <c r="V4283" s="1" t="str">
        <f>_xlfn.XLOOKUP(C4283,Payers!$A$2:$A$9,Payers!$B$2:$B$9)</f>
        <v>Medicare Part B</v>
      </c>
      <c r="W4283" s="1" t="str">
        <f t="shared" si="267"/>
        <v>2025-11</v>
      </c>
    </row>
    <row r="4284" spans="1:23">
      <c r="A4284" s="1" t="s">
        <v>6797</v>
      </c>
      <c r="B4284" s="1" t="s">
        <v>4329</v>
      </c>
      <c r="C4284" s="1" t="s">
        <v>52</v>
      </c>
      <c r="D4284" s="1" t="s">
        <v>37</v>
      </c>
      <c r="E4284" s="1" t="s">
        <v>57</v>
      </c>
      <c r="F4284">
        <v>1</v>
      </c>
      <c r="G4284" s="2">
        <v>46197</v>
      </c>
      <c r="H4284" s="2">
        <v>46207</v>
      </c>
      <c r="I4284">
        <v>206.32</v>
      </c>
      <c r="J4284">
        <v>93.17</v>
      </c>
      <c r="K4284">
        <v>93.17</v>
      </c>
      <c r="L4284">
        <v>0</v>
      </c>
      <c r="M4284" s="1" t="s">
        <v>21</v>
      </c>
      <c r="N4284" s="1" t="s">
        <v>22</v>
      </c>
      <c r="O4284" s="2">
        <v>46251</v>
      </c>
      <c r="P4284" s="2">
        <v>46251</v>
      </c>
      <c r="Q4284">
        <f>_xlfn.XLOOKUP(E4284,CPT!$A$2:$A$13,CPT!$D$2:$D$13)</f>
        <v>210</v>
      </c>
      <c r="R4284" s="1">
        <f>_xlfn.XLOOKUP(C4284,Contract!$A$2:$A$9,Contract!$B$2:$B$9)</f>
        <v>0.47</v>
      </c>
      <c r="S4284" s="1">
        <f t="shared" si="264"/>
        <v>98.7</v>
      </c>
      <c r="T4284" s="1">
        <f t="shared" si="265"/>
        <v>5.5300000000000011</v>
      </c>
      <c r="U4284" s="1" t="str">
        <f t="shared" si="266"/>
        <v>Underpaid</v>
      </c>
      <c r="V4284" s="1" t="str">
        <f>_xlfn.XLOOKUP(C4284,Payers!$A$2:$A$9,Payers!$B$2:$B$9)</f>
        <v>Keystone Commercial PPO</v>
      </c>
      <c r="W4284" s="1" t="str">
        <f t="shared" si="267"/>
        <v>2026-06</v>
      </c>
    </row>
    <row r="4285" spans="1:23">
      <c r="A4285" s="1" t="s">
        <v>6798</v>
      </c>
      <c r="B4285" s="1" t="s">
        <v>6738</v>
      </c>
      <c r="C4285" s="1" t="s">
        <v>18</v>
      </c>
      <c r="D4285" s="1" t="s">
        <v>26</v>
      </c>
      <c r="E4285" s="1" t="s">
        <v>88</v>
      </c>
      <c r="F4285">
        <v>1</v>
      </c>
      <c r="G4285" s="2">
        <v>46081</v>
      </c>
      <c r="H4285" s="2">
        <v>46090</v>
      </c>
      <c r="I4285">
        <v>264.89</v>
      </c>
      <c r="M4285" s="1" t="s">
        <v>32</v>
      </c>
      <c r="N4285" s="1" t="s">
        <v>98</v>
      </c>
      <c r="O4285" s="2">
        <v>46132</v>
      </c>
      <c r="P4285" s="2"/>
      <c r="Q4285">
        <f>_xlfn.XLOOKUP(E4285,CPT!$A$2:$A$13,CPT!$D$2:$D$13)</f>
        <v>260</v>
      </c>
      <c r="R4285" s="1">
        <f>_xlfn.XLOOKUP(C4285,Contract!$A$2:$A$9,Contract!$B$2:$B$9)</f>
        <v>0.38</v>
      </c>
      <c r="S4285" s="1">
        <f t="shared" si="264"/>
        <v>98.8</v>
      </c>
      <c r="T4285" s="1" t="str">
        <f t="shared" si="265"/>
        <v/>
      </c>
      <c r="U4285" s="1" t="str">
        <f t="shared" si="266"/>
        <v/>
      </c>
      <c r="V4285" s="1" t="str">
        <f>_xlfn.XLOOKUP(C4285,Payers!$A$2:$A$9,Payers!$B$2:$B$9)</f>
        <v>Sunshine Medicare Advantage</v>
      </c>
      <c r="W4285" s="1" t="str">
        <f t="shared" si="267"/>
        <v>2026-02</v>
      </c>
    </row>
    <row r="4286" spans="1:23">
      <c r="A4286" s="1" t="s">
        <v>6799</v>
      </c>
      <c r="B4286" s="1" t="s">
        <v>3062</v>
      </c>
      <c r="C4286" s="1" t="s">
        <v>76</v>
      </c>
      <c r="D4286" s="1" t="s">
        <v>26</v>
      </c>
      <c r="E4286" s="1" t="s">
        <v>41</v>
      </c>
      <c r="F4286">
        <v>1</v>
      </c>
      <c r="G4286" s="2">
        <v>45992</v>
      </c>
      <c r="H4286" s="2">
        <v>46001</v>
      </c>
      <c r="I4286">
        <v>37.619999999999997</v>
      </c>
      <c r="J4286">
        <v>16.45</v>
      </c>
      <c r="K4286">
        <v>13.16</v>
      </c>
      <c r="L4286">
        <v>3.29</v>
      </c>
      <c r="M4286" s="1" t="s">
        <v>21</v>
      </c>
      <c r="N4286" s="1" t="s">
        <v>22</v>
      </c>
      <c r="O4286" s="2">
        <v>46015</v>
      </c>
      <c r="P4286" s="2">
        <v>46015</v>
      </c>
      <c r="Q4286">
        <f>_xlfn.XLOOKUP(E4286,CPT!$A$2:$A$13,CPT!$D$2:$D$13)</f>
        <v>38</v>
      </c>
      <c r="R4286" s="1">
        <f>_xlfn.XLOOKUP(C4286,Contract!$A$2:$A$9,Contract!$B$2:$B$9)</f>
        <v>0.43</v>
      </c>
      <c r="S4286" s="1">
        <f t="shared" si="264"/>
        <v>16.34</v>
      </c>
      <c r="T4286" s="1">
        <f t="shared" si="265"/>
        <v>-0.10999999999999943</v>
      </c>
      <c r="U4286" s="1" t="str">
        <f t="shared" si="266"/>
        <v>OK</v>
      </c>
      <c r="V4286" s="1" t="str">
        <f>_xlfn.XLOOKUP(C4286,Payers!$A$2:$A$9,Payers!$B$2:$B$9)</f>
        <v>Summit Health Commercial</v>
      </c>
      <c r="W4286" s="1" t="str">
        <f t="shared" si="267"/>
        <v>2025-12</v>
      </c>
    </row>
    <row r="4287" spans="1:23">
      <c r="A4287" s="1" t="s">
        <v>6800</v>
      </c>
      <c r="B4287" s="1" t="s">
        <v>5390</v>
      </c>
      <c r="C4287" s="1" t="s">
        <v>36</v>
      </c>
      <c r="D4287" s="1" t="s">
        <v>30</v>
      </c>
      <c r="E4287" s="1" t="s">
        <v>91</v>
      </c>
      <c r="F4287">
        <v>2</v>
      </c>
      <c r="G4287" s="2">
        <v>46227</v>
      </c>
      <c r="H4287" s="2">
        <v>46228</v>
      </c>
      <c r="I4287">
        <v>117.1</v>
      </c>
      <c r="J4287">
        <v>35.630000000000003</v>
      </c>
      <c r="K4287">
        <v>28.5</v>
      </c>
      <c r="L4287">
        <v>7.13</v>
      </c>
      <c r="M4287" s="1" t="s">
        <v>21</v>
      </c>
      <c r="N4287" s="1" t="s">
        <v>22</v>
      </c>
      <c r="O4287" s="2">
        <v>46273</v>
      </c>
      <c r="P4287" s="2">
        <v>46273</v>
      </c>
      <c r="Q4287">
        <f>_xlfn.XLOOKUP(E4287,CPT!$A$2:$A$13,CPT!$D$2:$D$13)</f>
        <v>58</v>
      </c>
      <c r="R4287" s="1">
        <f>_xlfn.XLOOKUP(C4287,Contract!$A$2:$A$9,Contract!$B$2:$B$9)</f>
        <v>0.27</v>
      </c>
      <c r="S4287" s="1">
        <f t="shared" si="264"/>
        <v>31.32</v>
      </c>
      <c r="T4287" s="1">
        <f t="shared" si="265"/>
        <v>-4.3100000000000023</v>
      </c>
      <c r="U4287" s="1" t="str">
        <f t="shared" si="266"/>
        <v>OK</v>
      </c>
      <c r="V4287" s="1" t="str">
        <f>_xlfn.XLOOKUP(C4287,Payers!$A$2:$A$9,Payers!$B$2:$B$9)</f>
        <v>Florida Medicaid</v>
      </c>
      <c r="W4287" s="1" t="str">
        <f t="shared" si="267"/>
        <v>2026-07</v>
      </c>
    </row>
    <row r="4288" spans="1:23">
      <c r="A4288" s="1" t="s">
        <v>6801</v>
      </c>
      <c r="B4288" s="1" t="s">
        <v>6802</v>
      </c>
      <c r="C4288" s="1" t="s">
        <v>18</v>
      </c>
      <c r="D4288" s="1" t="s">
        <v>26</v>
      </c>
      <c r="E4288" s="1" t="s">
        <v>57</v>
      </c>
      <c r="F4288">
        <v>1</v>
      </c>
      <c r="G4288" s="2">
        <v>45982</v>
      </c>
      <c r="H4288" s="2">
        <v>45986</v>
      </c>
      <c r="I4288">
        <v>205.87</v>
      </c>
      <c r="J4288">
        <v>80.13</v>
      </c>
      <c r="K4288">
        <v>72.12</v>
      </c>
      <c r="L4288">
        <v>8.01</v>
      </c>
      <c r="M4288" s="1" t="s">
        <v>21</v>
      </c>
      <c r="N4288" s="1" t="s">
        <v>22</v>
      </c>
      <c r="O4288" s="2">
        <v>46022</v>
      </c>
      <c r="P4288" s="2">
        <v>46022</v>
      </c>
      <c r="Q4288">
        <f>_xlfn.XLOOKUP(E4288,CPT!$A$2:$A$13,CPT!$D$2:$D$13)</f>
        <v>210</v>
      </c>
      <c r="R4288" s="1">
        <f>_xlfn.XLOOKUP(C4288,Contract!$A$2:$A$9,Contract!$B$2:$B$9)</f>
        <v>0.38</v>
      </c>
      <c r="S4288" s="1">
        <f t="shared" si="264"/>
        <v>79.8</v>
      </c>
      <c r="T4288" s="1">
        <f t="shared" si="265"/>
        <v>-0.32999999999999829</v>
      </c>
      <c r="U4288" s="1" t="str">
        <f t="shared" si="266"/>
        <v>OK</v>
      </c>
      <c r="V4288" s="1" t="str">
        <f>_xlfn.XLOOKUP(C4288,Payers!$A$2:$A$9,Payers!$B$2:$B$9)</f>
        <v>Sunshine Medicare Advantage</v>
      </c>
      <c r="W4288" s="1" t="str">
        <f t="shared" si="267"/>
        <v>2025-11</v>
      </c>
    </row>
    <row r="4289" spans="1:23">
      <c r="A4289" s="1" t="s">
        <v>6803</v>
      </c>
      <c r="B4289" s="1" t="s">
        <v>6380</v>
      </c>
      <c r="C4289" s="1" t="s">
        <v>79</v>
      </c>
      <c r="D4289" s="1" t="s">
        <v>30</v>
      </c>
      <c r="E4289" s="1" t="s">
        <v>20</v>
      </c>
      <c r="F4289">
        <v>1</v>
      </c>
      <c r="G4289" s="2">
        <v>46179</v>
      </c>
      <c r="H4289" s="2">
        <v>46180</v>
      </c>
      <c r="I4289">
        <v>144.68</v>
      </c>
      <c r="M4289" s="1" t="s">
        <v>69</v>
      </c>
      <c r="N4289" s="1" t="s">
        <v>22</v>
      </c>
      <c r="O4289" s="2"/>
      <c r="P4289" s="2"/>
      <c r="Q4289">
        <f>_xlfn.XLOOKUP(E4289,CPT!$A$2:$A$13,CPT!$D$2:$D$13)</f>
        <v>145</v>
      </c>
      <c r="R4289" s="1">
        <f>_xlfn.XLOOKUP(C4289,Contract!$A$2:$A$9,Contract!$B$2:$B$9)</f>
        <v>1</v>
      </c>
      <c r="S4289" s="1">
        <f t="shared" si="264"/>
        <v>145</v>
      </c>
      <c r="T4289" s="1" t="str">
        <f t="shared" si="265"/>
        <v/>
      </c>
      <c r="U4289" s="1" t="str">
        <f t="shared" si="266"/>
        <v/>
      </c>
      <c r="V4289" s="1" t="str">
        <f>_xlfn.XLOOKUP(C4289,Payers!$A$2:$A$9,Payers!$B$2:$B$9)</f>
        <v>Self-Pay</v>
      </c>
      <c r="W4289" s="1" t="str">
        <f t="shared" si="267"/>
        <v>2026-06</v>
      </c>
    </row>
    <row r="4290" spans="1:23">
      <c r="A4290" s="1" t="s">
        <v>6804</v>
      </c>
      <c r="B4290" s="1" t="s">
        <v>6805</v>
      </c>
      <c r="C4290" s="1" t="s">
        <v>36</v>
      </c>
      <c r="D4290" s="1" t="s">
        <v>19</v>
      </c>
      <c r="E4290" s="1" t="s">
        <v>20</v>
      </c>
      <c r="F4290">
        <v>1</v>
      </c>
      <c r="G4290" s="2">
        <v>46129</v>
      </c>
      <c r="H4290" s="2">
        <v>46134</v>
      </c>
      <c r="I4290">
        <v>145.55000000000001</v>
      </c>
      <c r="J4290">
        <v>33.54</v>
      </c>
      <c r="K4290">
        <v>33.54</v>
      </c>
      <c r="L4290">
        <v>0</v>
      </c>
      <c r="M4290" s="1" t="s">
        <v>21</v>
      </c>
      <c r="N4290" s="1" t="s">
        <v>22</v>
      </c>
      <c r="O4290" s="2">
        <v>46191</v>
      </c>
      <c r="P4290" s="2">
        <v>46191</v>
      </c>
      <c r="Q4290">
        <f>_xlfn.XLOOKUP(E4290,CPT!$A$2:$A$13,CPT!$D$2:$D$13)</f>
        <v>145</v>
      </c>
      <c r="R4290" s="1">
        <f>_xlfn.XLOOKUP(C4290,Contract!$A$2:$A$9,Contract!$B$2:$B$9)</f>
        <v>0.27</v>
      </c>
      <c r="S4290" s="1">
        <f t="shared" ref="S4290:S4353" si="268">ROUND(Q4290*F4290*R4290,2)</f>
        <v>39.15</v>
      </c>
      <c r="T4290" s="1">
        <f t="shared" ref="T4290:T4353" si="269">IF(M4290="Paid",S4290-J4290,"")</f>
        <v>5.6099999999999994</v>
      </c>
      <c r="U4290" s="1" t="str">
        <f t="shared" ref="U4290:U4353" si="270">IF(M4290&lt;&gt;"Paid","",IF(T4290&gt;S4290*0.05,"Underpaid","OK"))</f>
        <v>Underpaid</v>
      </c>
      <c r="V4290" s="1" t="str">
        <f>_xlfn.XLOOKUP(C4290,Payers!$A$2:$A$9,Payers!$B$2:$B$9)</f>
        <v>Florida Medicaid</v>
      </c>
      <c r="W4290" s="1" t="str">
        <f t="shared" ref="W4290:W4353" si="271">TEXT(G4290,"yyyy-mm")</f>
        <v>2026-04</v>
      </c>
    </row>
    <row r="4291" spans="1:23">
      <c r="A4291" s="1" t="s">
        <v>6806</v>
      </c>
      <c r="B4291" s="1" t="s">
        <v>2369</v>
      </c>
      <c r="C4291" s="1" t="s">
        <v>47</v>
      </c>
      <c r="D4291" s="1" t="s">
        <v>37</v>
      </c>
      <c r="E4291" s="1" t="s">
        <v>38</v>
      </c>
      <c r="F4291">
        <v>20</v>
      </c>
      <c r="G4291" s="2">
        <v>46063</v>
      </c>
      <c r="H4291" s="2">
        <v>46068</v>
      </c>
      <c r="I4291">
        <v>29857.29</v>
      </c>
      <c r="M4291" s="1" t="s">
        <v>32</v>
      </c>
      <c r="N4291" s="1" t="s">
        <v>315</v>
      </c>
      <c r="O4291" s="2">
        <v>46105</v>
      </c>
      <c r="P4291" s="2"/>
      <c r="Q4291">
        <f>_xlfn.XLOOKUP(E4291,CPT!$A$2:$A$13,CPT!$D$2:$D$13)</f>
        <v>1450</v>
      </c>
      <c r="R4291" s="1">
        <f>_xlfn.XLOOKUP(C4291,Contract!$A$2:$A$9,Contract!$B$2:$B$9)</f>
        <v>0.28000000000000003</v>
      </c>
      <c r="S4291" s="1">
        <f t="shared" si="268"/>
        <v>8120</v>
      </c>
      <c r="T4291" s="1" t="str">
        <f t="shared" si="269"/>
        <v/>
      </c>
      <c r="U4291" s="1" t="str">
        <f t="shared" si="270"/>
        <v/>
      </c>
      <c r="V4291" s="1" t="str">
        <f>_xlfn.XLOOKUP(C4291,Payers!$A$2:$A$9,Payers!$B$2:$B$9)</f>
        <v>Coastal Medicaid MCO</v>
      </c>
      <c r="W4291" s="1" t="str">
        <f t="shared" si="271"/>
        <v>2026-02</v>
      </c>
    </row>
    <row r="4292" spans="1:23">
      <c r="A4292" s="1" t="s">
        <v>6807</v>
      </c>
      <c r="B4292" s="1" t="s">
        <v>6808</v>
      </c>
      <c r="C4292" s="1" t="s">
        <v>60</v>
      </c>
      <c r="D4292" s="1" t="s">
        <v>19</v>
      </c>
      <c r="E4292" s="1" t="s">
        <v>41</v>
      </c>
      <c r="F4292">
        <v>1</v>
      </c>
      <c r="G4292" s="2">
        <v>46175</v>
      </c>
      <c r="H4292" s="2">
        <v>46184</v>
      </c>
      <c r="I4292">
        <v>37.68</v>
      </c>
      <c r="J4292">
        <v>15.74</v>
      </c>
      <c r="K4292">
        <v>12.59</v>
      </c>
      <c r="L4292">
        <v>3.15</v>
      </c>
      <c r="M4292" s="1" t="s">
        <v>21</v>
      </c>
      <c r="N4292" s="1" t="s">
        <v>22</v>
      </c>
      <c r="O4292" s="2">
        <v>46209</v>
      </c>
      <c r="P4292" s="2">
        <v>46209</v>
      </c>
      <c r="Q4292">
        <f>_xlfn.XLOOKUP(E4292,CPT!$A$2:$A$13,CPT!$D$2:$D$13)</f>
        <v>38</v>
      </c>
      <c r="R4292" s="1">
        <f>_xlfn.XLOOKUP(C4292,Contract!$A$2:$A$9,Contract!$B$2:$B$9)</f>
        <v>0.45</v>
      </c>
      <c r="S4292" s="1">
        <f t="shared" si="268"/>
        <v>17.100000000000001</v>
      </c>
      <c r="T4292" s="1">
        <f t="shared" si="269"/>
        <v>1.3600000000000012</v>
      </c>
      <c r="U4292" s="1" t="str">
        <f t="shared" si="270"/>
        <v>Underpaid</v>
      </c>
      <c r="V4292" s="1" t="str">
        <f>_xlfn.XLOOKUP(C4292,Payers!$A$2:$A$9,Payers!$B$2:$B$9)</f>
        <v>Blue Horizon Commercial</v>
      </c>
      <c r="W4292" s="1" t="str">
        <f t="shared" si="271"/>
        <v>2026-06</v>
      </c>
    </row>
    <row r="4293" spans="1:23">
      <c r="A4293" s="1" t="s">
        <v>6809</v>
      </c>
      <c r="B4293" s="1" t="s">
        <v>6810</v>
      </c>
      <c r="C4293" s="1" t="s">
        <v>60</v>
      </c>
      <c r="D4293" s="1" t="s">
        <v>19</v>
      </c>
      <c r="E4293" s="1" t="s">
        <v>20</v>
      </c>
      <c r="F4293">
        <v>1</v>
      </c>
      <c r="G4293" s="2">
        <v>46195</v>
      </c>
      <c r="H4293" s="2">
        <v>46202</v>
      </c>
      <c r="I4293">
        <v>141.41999999999999</v>
      </c>
      <c r="J4293">
        <v>67.7</v>
      </c>
      <c r="K4293">
        <v>67.7</v>
      </c>
      <c r="L4293">
        <v>0</v>
      </c>
      <c r="M4293" s="1" t="s">
        <v>21</v>
      </c>
      <c r="N4293" s="1" t="s">
        <v>22</v>
      </c>
      <c r="O4293" s="2">
        <v>46224</v>
      </c>
      <c r="P4293" s="2">
        <v>46224</v>
      </c>
      <c r="Q4293">
        <f>_xlfn.XLOOKUP(E4293,CPT!$A$2:$A$13,CPT!$D$2:$D$13)</f>
        <v>145</v>
      </c>
      <c r="R4293" s="1">
        <f>_xlfn.XLOOKUP(C4293,Contract!$A$2:$A$9,Contract!$B$2:$B$9)</f>
        <v>0.45</v>
      </c>
      <c r="S4293" s="1">
        <f t="shared" si="268"/>
        <v>65.25</v>
      </c>
      <c r="T4293" s="1">
        <f t="shared" si="269"/>
        <v>-2.4500000000000028</v>
      </c>
      <c r="U4293" s="1" t="str">
        <f t="shared" si="270"/>
        <v>OK</v>
      </c>
      <c r="V4293" s="1" t="str">
        <f>_xlfn.XLOOKUP(C4293,Payers!$A$2:$A$9,Payers!$B$2:$B$9)</f>
        <v>Blue Horizon Commercial</v>
      </c>
      <c r="W4293" s="1" t="str">
        <f t="shared" si="271"/>
        <v>2026-06</v>
      </c>
    </row>
    <row r="4294" spans="1:23">
      <c r="A4294" s="1" t="s">
        <v>6811</v>
      </c>
      <c r="B4294" s="1" t="s">
        <v>6812</v>
      </c>
      <c r="C4294" s="1" t="s">
        <v>36</v>
      </c>
      <c r="D4294" s="1" t="s">
        <v>37</v>
      </c>
      <c r="E4294" s="1" t="s">
        <v>38</v>
      </c>
      <c r="F4294">
        <v>20</v>
      </c>
      <c r="G4294" s="2">
        <v>46243</v>
      </c>
      <c r="H4294" s="2">
        <v>46255</v>
      </c>
      <c r="I4294">
        <v>29656.7</v>
      </c>
      <c r="M4294" s="1" t="s">
        <v>32</v>
      </c>
      <c r="N4294" s="1" t="s">
        <v>315</v>
      </c>
      <c r="O4294" s="2">
        <v>46292</v>
      </c>
      <c r="P4294" s="2"/>
      <c r="Q4294">
        <f>_xlfn.XLOOKUP(E4294,CPT!$A$2:$A$13,CPT!$D$2:$D$13)</f>
        <v>1450</v>
      </c>
      <c r="R4294" s="1">
        <f>_xlfn.XLOOKUP(C4294,Contract!$A$2:$A$9,Contract!$B$2:$B$9)</f>
        <v>0.27</v>
      </c>
      <c r="S4294" s="1">
        <f t="shared" si="268"/>
        <v>7830</v>
      </c>
      <c r="T4294" s="1" t="str">
        <f t="shared" si="269"/>
        <v/>
      </c>
      <c r="U4294" s="1" t="str">
        <f t="shared" si="270"/>
        <v/>
      </c>
      <c r="V4294" s="1" t="str">
        <f>_xlfn.XLOOKUP(C4294,Payers!$A$2:$A$9,Payers!$B$2:$B$9)</f>
        <v>Florida Medicaid</v>
      </c>
      <c r="W4294" s="1" t="str">
        <f t="shared" si="271"/>
        <v>2026-08</v>
      </c>
    </row>
    <row r="4295" spans="1:23">
      <c r="A4295" s="1" t="s">
        <v>6813</v>
      </c>
      <c r="B4295" s="1" t="s">
        <v>5077</v>
      </c>
      <c r="C4295" s="1" t="s">
        <v>60</v>
      </c>
      <c r="D4295" s="1" t="s">
        <v>19</v>
      </c>
      <c r="E4295" s="1" t="s">
        <v>20</v>
      </c>
      <c r="F4295">
        <v>1</v>
      </c>
      <c r="G4295" s="2">
        <v>46188</v>
      </c>
      <c r="H4295" s="2">
        <v>46192</v>
      </c>
      <c r="I4295">
        <v>144.87</v>
      </c>
      <c r="J4295">
        <v>70.17</v>
      </c>
      <c r="K4295">
        <v>56.14</v>
      </c>
      <c r="L4295">
        <v>14.03</v>
      </c>
      <c r="M4295" s="1" t="s">
        <v>21</v>
      </c>
      <c r="N4295" s="1" t="s">
        <v>22</v>
      </c>
      <c r="O4295" s="2">
        <v>46231</v>
      </c>
      <c r="P4295" s="2">
        <v>46231</v>
      </c>
      <c r="Q4295">
        <f>_xlfn.XLOOKUP(E4295,CPT!$A$2:$A$13,CPT!$D$2:$D$13)</f>
        <v>145</v>
      </c>
      <c r="R4295" s="1">
        <f>_xlfn.XLOOKUP(C4295,Contract!$A$2:$A$9,Contract!$B$2:$B$9)</f>
        <v>0.45</v>
      </c>
      <c r="S4295" s="1">
        <f t="shared" si="268"/>
        <v>65.25</v>
      </c>
      <c r="T4295" s="1">
        <f t="shared" si="269"/>
        <v>-4.9200000000000017</v>
      </c>
      <c r="U4295" s="1" t="str">
        <f t="shared" si="270"/>
        <v>OK</v>
      </c>
      <c r="V4295" s="1" t="str">
        <f>_xlfn.XLOOKUP(C4295,Payers!$A$2:$A$9,Payers!$B$2:$B$9)</f>
        <v>Blue Horizon Commercial</v>
      </c>
      <c r="W4295" s="1" t="str">
        <f t="shared" si="271"/>
        <v>2026-06</v>
      </c>
    </row>
    <row r="4296" spans="1:23">
      <c r="A4296" s="1" t="s">
        <v>6814</v>
      </c>
      <c r="B4296" s="1" t="s">
        <v>4157</v>
      </c>
      <c r="C4296" s="1" t="s">
        <v>60</v>
      </c>
      <c r="D4296" s="1" t="s">
        <v>30</v>
      </c>
      <c r="E4296" s="1" t="s">
        <v>20</v>
      </c>
      <c r="F4296">
        <v>1</v>
      </c>
      <c r="G4296" s="2">
        <v>46193</v>
      </c>
      <c r="H4296" s="2">
        <v>46194</v>
      </c>
      <c r="I4296">
        <v>146.94999999999999</v>
      </c>
      <c r="J4296">
        <v>56.88</v>
      </c>
      <c r="K4296">
        <v>56.88</v>
      </c>
      <c r="L4296">
        <v>0</v>
      </c>
      <c r="M4296" s="1" t="s">
        <v>21</v>
      </c>
      <c r="N4296" s="1" t="s">
        <v>22</v>
      </c>
      <c r="O4296" s="2">
        <v>46217</v>
      </c>
      <c r="P4296" s="2">
        <v>46217</v>
      </c>
      <c r="Q4296">
        <f>_xlfn.XLOOKUP(E4296,CPT!$A$2:$A$13,CPT!$D$2:$D$13)</f>
        <v>145</v>
      </c>
      <c r="R4296" s="1">
        <f>_xlfn.XLOOKUP(C4296,Contract!$A$2:$A$9,Contract!$B$2:$B$9)</f>
        <v>0.45</v>
      </c>
      <c r="S4296" s="1">
        <f t="shared" si="268"/>
        <v>65.25</v>
      </c>
      <c r="T4296" s="1">
        <f t="shared" si="269"/>
        <v>8.3699999999999974</v>
      </c>
      <c r="U4296" s="1" t="str">
        <f t="shared" si="270"/>
        <v>Underpaid</v>
      </c>
      <c r="V4296" s="1" t="str">
        <f>_xlfn.XLOOKUP(C4296,Payers!$A$2:$A$9,Payers!$B$2:$B$9)</f>
        <v>Blue Horizon Commercial</v>
      </c>
      <c r="W4296" s="1" t="str">
        <f t="shared" si="271"/>
        <v>2026-06</v>
      </c>
    </row>
    <row r="4297" spans="1:23">
      <c r="A4297" s="1" t="s">
        <v>6815</v>
      </c>
      <c r="B4297" s="1" t="s">
        <v>2003</v>
      </c>
      <c r="C4297" s="1" t="s">
        <v>25</v>
      </c>
      <c r="D4297" s="1" t="s">
        <v>26</v>
      </c>
      <c r="E4297" s="1" t="s">
        <v>185</v>
      </c>
      <c r="F4297">
        <v>1</v>
      </c>
      <c r="G4297" s="2">
        <v>46053</v>
      </c>
      <c r="H4297" s="2">
        <v>46054</v>
      </c>
      <c r="I4297">
        <v>1174.95</v>
      </c>
      <c r="J4297">
        <v>459.34</v>
      </c>
      <c r="K4297">
        <v>459.34</v>
      </c>
      <c r="L4297">
        <v>0</v>
      </c>
      <c r="M4297" s="1" t="s">
        <v>21</v>
      </c>
      <c r="N4297" s="1" t="s">
        <v>22</v>
      </c>
      <c r="O4297" s="2">
        <v>46071</v>
      </c>
      <c r="P4297" s="2">
        <v>46071</v>
      </c>
      <c r="Q4297">
        <f>_xlfn.XLOOKUP(E4297,CPT!$A$2:$A$13,CPT!$D$2:$D$13)</f>
        <v>1150</v>
      </c>
      <c r="R4297" s="1">
        <f>_xlfn.XLOOKUP(C4297,Contract!$A$2:$A$9,Contract!$B$2:$B$9)</f>
        <v>0.36</v>
      </c>
      <c r="S4297" s="1">
        <f t="shared" si="268"/>
        <v>414</v>
      </c>
      <c r="T4297" s="1">
        <f t="shared" si="269"/>
        <v>-45.339999999999975</v>
      </c>
      <c r="U4297" s="1" t="str">
        <f t="shared" si="270"/>
        <v>OK</v>
      </c>
      <c r="V4297" s="1" t="str">
        <f>_xlfn.XLOOKUP(C4297,Payers!$A$2:$A$9,Payers!$B$2:$B$9)</f>
        <v>Medicare Part B</v>
      </c>
      <c r="W4297" s="1" t="str">
        <f t="shared" si="271"/>
        <v>2026-01</v>
      </c>
    </row>
    <row r="4298" spans="1:23">
      <c r="A4298" s="1" t="s">
        <v>6816</v>
      </c>
      <c r="B4298" s="1" t="s">
        <v>4536</v>
      </c>
      <c r="C4298" s="1" t="s">
        <v>76</v>
      </c>
      <c r="D4298" s="1" t="s">
        <v>30</v>
      </c>
      <c r="E4298" s="1" t="s">
        <v>20</v>
      </c>
      <c r="F4298">
        <v>1</v>
      </c>
      <c r="G4298" s="2">
        <v>45988</v>
      </c>
      <c r="H4298" s="2">
        <v>45989</v>
      </c>
      <c r="I4298">
        <v>147.63999999999999</v>
      </c>
      <c r="J4298">
        <v>70.39</v>
      </c>
      <c r="K4298">
        <v>70.39</v>
      </c>
      <c r="L4298">
        <v>0</v>
      </c>
      <c r="M4298" s="1" t="s">
        <v>21</v>
      </c>
      <c r="N4298" s="1" t="s">
        <v>22</v>
      </c>
      <c r="O4298" s="2">
        <v>46033</v>
      </c>
      <c r="P4298" s="2">
        <v>46033</v>
      </c>
      <c r="Q4298">
        <f>_xlfn.XLOOKUP(E4298,CPT!$A$2:$A$13,CPT!$D$2:$D$13)</f>
        <v>145</v>
      </c>
      <c r="R4298" s="1">
        <f>_xlfn.XLOOKUP(C4298,Contract!$A$2:$A$9,Contract!$B$2:$B$9)</f>
        <v>0.43</v>
      </c>
      <c r="S4298" s="1">
        <f t="shared" si="268"/>
        <v>62.35</v>
      </c>
      <c r="T4298" s="1">
        <f t="shared" si="269"/>
        <v>-8.0399999999999991</v>
      </c>
      <c r="U4298" s="1" t="str">
        <f t="shared" si="270"/>
        <v>OK</v>
      </c>
      <c r="V4298" s="1" t="str">
        <f>_xlfn.XLOOKUP(C4298,Payers!$A$2:$A$9,Payers!$B$2:$B$9)</f>
        <v>Summit Health Commercial</v>
      </c>
      <c r="W4298" s="1" t="str">
        <f t="shared" si="271"/>
        <v>2025-11</v>
      </c>
    </row>
    <row r="4299" spans="1:23">
      <c r="A4299" s="1" t="s">
        <v>6817</v>
      </c>
      <c r="B4299" s="1" t="s">
        <v>68</v>
      </c>
      <c r="C4299" s="1" t="s">
        <v>60</v>
      </c>
      <c r="D4299" s="1" t="s">
        <v>37</v>
      </c>
      <c r="E4299" s="1" t="s">
        <v>57</v>
      </c>
      <c r="F4299">
        <v>1</v>
      </c>
      <c r="G4299" s="2">
        <v>46081</v>
      </c>
      <c r="H4299" s="2">
        <v>46083</v>
      </c>
      <c r="I4299">
        <v>205.77</v>
      </c>
      <c r="M4299" s="1" t="s">
        <v>32</v>
      </c>
      <c r="N4299" s="1" t="s">
        <v>33</v>
      </c>
      <c r="O4299" s="2">
        <v>46110</v>
      </c>
      <c r="P4299" s="2"/>
      <c r="Q4299">
        <f>_xlfn.XLOOKUP(E4299,CPT!$A$2:$A$13,CPT!$D$2:$D$13)</f>
        <v>210</v>
      </c>
      <c r="R4299" s="1">
        <f>_xlfn.XLOOKUP(C4299,Contract!$A$2:$A$9,Contract!$B$2:$B$9)</f>
        <v>0.45</v>
      </c>
      <c r="S4299" s="1">
        <f t="shared" si="268"/>
        <v>94.5</v>
      </c>
      <c r="T4299" s="1" t="str">
        <f t="shared" si="269"/>
        <v/>
      </c>
      <c r="U4299" s="1" t="str">
        <f t="shared" si="270"/>
        <v/>
      </c>
      <c r="V4299" s="1" t="str">
        <f>_xlfn.XLOOKUP(C4299,Payers!$A$2:$A$9,Payers!$B$2:$B$9)</f>
        <v>Blue Horizon Commercial</v>
      </c>
      <c r="W4299" s="1" t="str">
        <f t="shared" si="271"/>
        <v>2026-02</v>
      </c>
    </row>
    <row r="4300" spans="1:23">
      <c r="A4300" s="1" t="s">
        <v>6818</v>
      </c>
      <c r="B4300" s="1" t="s">
        <v>6819</v>
      </c>
      <c r="C4300" s="1" t="s">
        <v>36</v>
      </c>
      <c r="D4300" s="1" t="s">
        <v>30</v>
      </c>
      <c r="E4300" s="1" t="s">
        <v>31</v>
      </c>
      <c r="F4300">
        <v>1</v>
      </c>
      <c r="G4300" s="2">
        <v>45979</v>
      </c>
      <c r="H4300" s="2">
        <v>45984</v>
      </c>
      <c r="I4300">
        <v>61.98</v>
      </c>
      <c r="M4300" s="1" t="s">
        <v>32</v>
      </c>
      <c r="N4300" s="1" t="s">
        <v>49</v>
      </c>
      <c r="O4300" s="2">
        <v>46034</v>
      </c>
      <c r="P4300" s="2"/>
      <c r="Q4300">
        <f>_xlfn.XLOOKUP(E4300,CPT!$A$2:$A$13,CPT!$D$2:$D$13)</f>
        <v>62</v>
      </c>
      <c r="R4300" s="1">
        <f>_xlfn.XLOOKUP(C4300,Contract!$A$2:$A$9,Contract!$B$2:$B$9)</f>
        <v>0.27</v>
      </c>
      <c r="S4300" s="1">
        <f t="shared" si="268"/>
        <v>16.739999999999998</v>
      </c>
      <c r="T4300" s="1" t="str">
        <f t="shared" si="269"/>
        <v/>
      </c>
      <c r="U4300" s="1" t="str">
        <f t="shared" si="270"/>
        <v/>
      </c>
      <c r="V4300" s="1" t="str">
        <f>_xlfn.XLOOKUP(C4300,Payers!$A$2:$A$9,Payers!$B$2:$B$9)</f>
        <v>Florida Medicaid</v>
      </c>
      <c r="W4300" s="1" t="str">
        <f t="shared" si="271"/>
        <v>2025-11</v>
      </c>
    </row>
    <row r="4301" spans="1:23">
      <c r="A4301" s="1" t="s">
        <v>6820</v>
      </c>
      <c r="B4301" s="1" t="s">
        <v>455</v>
      </c>
      <c r="C4301" s="1" t="s">
        <v>25</v>
      </c>
      <c r="D4301" s="1" t="s">
        <v>26</v>
      </c>
      <c r="E4301" s="1" t="s">
        <v>44</v>
      </c>
      <c r="F4301">
        <v>1</v>
      </c>
      <c r="G4301" s="2">
        <v>46185</v>
      </c>
      <c r="H4301" s="2">
        <v>46187</v>
      </c>
      <c r="I4301">
        <v>4720.29</v>
      </c>
      <c r="J4301">
        <v>1495.88</v>
      </c>
      <c r="K4301">
        <v>1196.7</v>
      </c>
      <c r="L4301">
        <v>299.18</v>
      </c>
      <c r="M4301" s="1" t="s">
        <v>21</v>
      </c>
      <c r="N4301" s="1" t="s">
        <v>22</v>
      </c>
      <c r="O4301" s="2">
        <v>46197</v>
      </c>
      <c r="P4301" s="2">
        <v>46197</v>
      </c>
      <c r="Q4301">
        <f>_xlfn.XLOOKUP(E4301,CPT!$A$2:$A$13,CPT!$D$2:$D$13)</f>
        <v>4800</v>
      </c>
      <c r="R4301" s="1">
        <f>_xlfn.XLOOKUP(C4301,Contract!$A$2:$A$9,Contract!$B$2:$B$9)</f>
        <v>0.36</v>
      </c>
      <c r="S4301" s="1">
        <f t="shared" si="268"/>
        <v>1728</v>
      </c>
      <c r="T4301" s="1">
        <f t="shared" si="269"/>
        <v>232.11999999999989</v>
      </c>
      <c r="U4301" s="1" t="str">
        <f t="shared" si="270"/>
        <v>Underpaid</v>
      </c>
      <c r="V4301" s="1" t="str">
        <f>_xlfn.XLOOKUP(C4301,Payers!$A$2:$A$9,Payers!$B$2:$B$9)</f>
        <v>Medicare Part B</v>
      </c>
      <c r="W4301" s="1" t="str">
        <f t="shared" si="271"/>
        <v>2026-06</v>
      </c>
    </row>
    <row r="4302" spans="1:23">
      <c r="A4302" s="1" t="s">
        <v>6821</v>
      </c>
      <c r="B4302" s="1" t="s">
        <v>3684</v>
      </c>
      <c r="C4302" s="1" t="s">
        <v>60</v>
      </c>
      <c r="D4302" s="1" t="s">
        <v>26</v>
      </c>
      <c r="E4302" s="1" t="s">
        <v>57</v>
      </c>
      <c r="F4302">
        <v>1</v>
      </c>
      <c r="G4302" s="2">
        <v>46252</v>
      </c>
      <c r="H4302" s="2">
        <v>46260</v>
      </c>
      <c r="I4302">
        <v>214.77</v>
      </c>
      <c r="J4302">
        <v>109.5</v>
      </c>
      <c r="K4302">
        <v>98.55</v>
      </c>
      <c r="L4302">
        <v>10.95</v>
      </c>
      <c r="M4302" s="1" t="s">
        <v>21</v>
      </c>
      <c r="N4302" s="1" t="s">
        <v>22</v>
      </c>
      <c r="O4302" s="2">
        <v>46279</v>
      </c>
      <c r="P4302" s="2">
        <v>46279</v>
      </c>
      <c r="Q4302">
        <f>_xlfn.XLOOKUP(E4302,CPT!$A$2:$A$13,CPT!$D$2:$D$13)</f>
        <v>210</v>
      </c>
      <c r="R4302" s="1">
        <f>_xlfn.XLOOKUP(C4302,Contract!$A$2:$A$9,Contract!$B$2:$B$9)</f>
        <v>0.45</v>
      </c>
      <c r="S4302" s="1">
        <f t="shared" si="268"/>
        <v>94.5</v>
      </c>
      <c r="T4302" s="1">
        <f t="shared" si="269"/>
        <v>-15</v>
      </c>
      <c r="U4302" s="1" t="str">
        <f t="shared" si="270"/>
        <v>OK</v>
      </c>
      <c r="V4302" s="1" t="str">
        <f>_xlfn.XLOOKUP(C4302,Payers!$A$2:$A$9,Payers!$B$2:$B$9)</f>
        <v>Blue Horizon Commercial</v>
      </c>
      <c r="W4302" s="1" t="str">
        <f t="shared" si="271"/>
        <v>2026-08</v>
      </c>
    </row>
    <row r="4303" spans="1:23">
      <c r="A4303" s="1" t="s">
        <v>6822</v>
      </c>
      <c r="B4303" s="1" t="s">
        <v>6823</v>
      </c>
      <c r="C4303" s="1" t="s">
        <v>60</v>
      </c>
      <c r="D4303" s="1" t="s">
        <v>19</v>
      </c>
      <c r="E4303" s="1" t="s">
        <v>20</v>
      </c>
      <c r="F4303">
        <v>1</v>
      </c>
      <c r="G4303" s="2">
        <v>46162</v>
      </c>
      <c r="H4303" s="2">
        <v>46163</v>
      </c>
      <c r="I4303">
        <v>140.72999999999999</v>
      </c>
      <c r="J4303">
        <v>63.61</v>
      </c>
      <c r="K4303">
        <v>63.61</v>
      </c>
      <c r="L4303">
        <v>0</v>
      </c>
      <c r="M4303" s="1" t="s">
        <v>21</v>
      </c>
      <c r="N4303" s="1" t="s">
        <v>22</v>
      </c>
      <c r="O4303" s="2">
        <v>46191</v>
      </c>
      <c r="P4303" s="2">
        <v>46191</v>
      </c>
      <c r="Q4303">
        <f>_xlfn.XLOOKUP(E4303,CPT!$A$2:$A$13,CPT!$D$2:$D$13)</f>
        <v>145</v>
      </c>
      <c r="R4303" s="1">
        <f>_xlfn.XLOOKUP(C4303,Contract!$A$2:$A$9,Contract!$B$2:$B$9)</f>
        <v>0.45</v>
      </c>
      <c r="S4303" s="1">
        <f t="shared" si="268"/>
        <v>65.25</v>
      </c>
      <c r="T4303" s="1">
        <f t="shared" si="269"/>
        <v>1.6400000000000006</v>
      </c>
      <c r="U4303" s="1" t="str">
        <f t="shared" si="270"/>
        <v>OK</v>
      </c>
      <c r="V4303" s="1" t="str">
        <f>_xlfn.XLOOKUP(C4303,Payers!$A$2:$A$9,Payers!$B$2:$B$9)</f>
        <v>Blue Horizon Commercial</v>
      </c>
      <c r="W4303" s="1" t="str">
        <f t="shared" si="271"/>
        <v>2026-05</v>
      </c>
    </row>
    <row r="4304" spans="1:23">
      <c r="A4304" s="1" t="s">
        <v>6824</v>
      </c>
      <c r="B4304" s="1" t="s">
        <v>1806</v>
      </c>
      <c r="C4304" s="1" t="s">
        <v>52</v>
      </c>
      <c r="D4304" s="1" t="s">
        <v>26</v>
      </c>
      <c r="E4304" s="1" t="s">
        <v>88</v>
      </c>
      <c r="F4304">
        <v>1</v>
      </c>
      <c r="G4304" s="2">
        <v>46267</v>
      </c>
      <c r="H4304" s="2">
        <v>46269</v>
      </c>
      <c r="I4304">
        <v>258.08999999999997</v>
      </c>
      <c r="M4304" s="1" t="s">
        <v>69</v>
      </c>
      <c r="N4304" s="1" t="s">
        <v>22</v>
      </c>
      <c r="O4304" s="2"/>
      <c r="P4304" s="2"/>
      <c r="Q4304">
        <f>_xlfn.XLOOKUP(E4304,CPT!$A$2:$A$13,CPT!$D$2:$D$13)</f>
        <v>260</v>
      </c>
      <c r="R4304" s="1">
        <f>_xlfn.XLOOKUP(C4304,Contract!$A$2:$A$9,Contract!$B$2:$B$9)</f>
        <v>0.47</v>
      </c>
      <c r="S4304" s="1">
        <f t="shared" si="268"/>
        <v>122.2</v>
      </c>
      <c r="T4304" s="1" t="str">
        <f t="shared" si="269"/>
        <v/>
      </c>
      <c r="U4304" s="1" t="str">
        <f t="shared" si="270"/>
        <v/>
      </c>
      <c r="V4304" s="1" t="str">
        <f>_xlfn.XLOOKUP(C4304,Payers!$A$2:$A$9,Payers!$B$2:$B$9)</f>
        <v>Keystone Commercial PPO</v>
      </c>
      <c r="W4304" s="1" t="str">
        <f t="shared" si="271"/>
        <v>2026-09</v>
      </c>
    </row>
    <row r="4305" spans="1:23">
      <c r="A4305" s="1" t="s">
        <v>6825</v>
      </c>
      <c r="B4305" s="1" t="s">
        <v>2270</v>
      </c>
      <c r="C4305" s="1" t="s">
        <v>18</v>
      </c>
      <c r="D4305" s="1" t="s">
        <v>19</v>
      </c>
      <c r="E4305" s="1" t="s">
        <v>20</v>
      </c>
      <c r="F4305">
        <v>1</v>
      </c>
      <c r="G4305" s="2">
        <v>46056</v>
      </c>
      <c r="H4305" s="2">
        <v>46058</v>
      </c>
      <c r="I4305">
        <v>148.38</v>
      </c>
      <c r="J4305">
        <v>49.7</v>
      </c>
      <c r="K4305">
        <v>49.7</v>
      </c>
      <c r="L4305">
        <v>0</v>
      </c>
      <c r="M4305" s="1" t="s">
        <v>21</v>
      </c>
      <c r="N4305" s="1" t="s">
        <v>22</v>
      </c>
      <c r="O4305" s="2">
        <v>46095</v>
      </c>
      <c r="P4305" s="2">
        <v>46095</v>
      </c>
      <c r="Q4305">
        <f>_xlfn.XLOOKUP(E4305,CPT!$A$2:$A$13,CPT!$D$2:$D$13)</f>
        <v>145</v>
      </c>
      <c r="R4305" s="1">
        <f>_xlfn.XLOOKUP(C4305,Contract!$A$2:$A$9,Contract!$B$2:$B$9)</f>
        <v>0.38</v>
      </c>
      <c r="S4305" s="1">
        <f t="shared" si="268"/>
        <v>55.1</v>
      </c>
      <c r="T4305" s="1">
        <f t="shared" si="269"/>
        <v>5.3999999999999986</v>
      </c>
      <c r="U4305" s="1" t="str">
        <f t="shared" si="270"/>
        <v>Underpaid</v>
      </c>
      <c r="V4305" s="1" t="str">
        <f>_xlfn.XLOOKUP(C4305,Payers!$A$2:$A$9,Payers!$B$2:$B$9)</f>
        <v>Sunshine Medicare Advantage</v>
      </c>
      <c r="W4305" s="1" t="str">
        <f t="shared" si="271"/>
        <v>2026-02</v>
      </c>
    </row>
    <row r="4306" spans="1:23">
      <c r="A4306" s="1" t="s">
        <v>6826</v>
      </c>
      <c r="B4306" s="1" t="s">
        <v>498</v>
      </c>
      <c r="C4306" s="1" t="s">
        <v>76</v>
      </c>
      <c r="D4306" s="1" t="s">
        <v>26</v>
      </c>
      <c r="E4306" s="1" t="s">
        <v>27</v>
      </c>
      <c r="F4306">
        <v>1</v>
      </c>
      <c r="G4306" s="2">
        <v>46283</v>
      </c>
      <c r="H4306" s="2">
        <v>46292</v>
      </c>
      <c r="I4306">
        <v>246.89</v>
      </c>
      <c r="M4306" s="1" t="s">
        <v>69</v>
      </c>
      <c r="N4306" s="1" t="s">
        <v>22</v>
      </c>
      <c r="O4306" s="2"/>
      <c r="P4306" s="2"/>
      <c r="Q4306">
        <f>_xlfn.XLOOKUP(E4306,CPT!$A$2:$A$13,CPT!$D$2:$D$13)</f>
        <v>240</v>
      </c>
      <c r="R4306" s="1">
        <f>_xlfn.XLOOKUP(C4306,Contract!$A$2:$A$9,Contract!$B$2:$B$9)</f>
        <v>0.43</v>
      </c>
      <c r="S4306" s="1">
        <f t="shared" si="268"/>
        <v>103.2</v>
      </c>
      <c r="T4306" s="1" t="str">
        <f t="shared" si="269"/>
        <v/>
      </c>
      <c r="U4306" s="1" t="str">
        <f t="shared" si="270"/>
        <v/>
      </c>
      <c r="V4306" s="1" t="str">
        <f>_xlfn.XLOOKUP(C4306,Payers!$A$2:$A$9,Payers!$B$2:$B$9)</f>
        <v>Summit Health Commercial</v>
      </c>
      <c r="W4306" s="1" t="str">
        <f t="shared" si="271"/>
        <v>2026-09</v>
      </c>
    </row>
    <row r="4307" spans="1:23">
      <c r="A4307" s="1" t="s">
        <v>6827</v>
      </c>
      <c r="B4307" s="1" t="s">
        <v>3291</v>
      </c>
      <c r="C4307" s="1" t="s">
        <v>52</v>
      </c>
      <c r="D4307" s="1" t="s">
        <v>30</v>
      </c>
      <c r="E4307" s="1" t="s">
        <v>91</v>
      </c>
      <c r="F4307">
        <v>3</v>
      </c>
      <c r="G4307" s="2">
        <v>46230</v>
      </c>
      <c r="H4307" s="2">
        <v>46232</v>
      </c>
      <c r="I4307">
        <v>171.46</v>
      </c>
      <c r="J4307">
        <v>86.95</v>
      </c>
      <c r="K4307">
        <v>69.56</v>
      </c>
      <c r="L4307">
        <v>17.39</v>
      </c>
      <c r="M4307" s="1" t="s">
        <v>21</v>
      </c>
      <c r="N4307" s="1" t="s">
        <v>22</v>
      </c>
      <c r="O4307" s="2">
        <v>46289</v>
      </c>
      <c r="P4307" s="2">
        <v>46289</v>
      </c>
      <c r="Q4307">
        <f>_xlfn.XLOOKUP(E4307,CPT!$A$2:$A$13,CPT!$D$2:$D$13)</f>
        <v>58</v>
      </c>
      <c r="R4307" s="1">
        <f>_xlfn.XLOOKUP(C4307,Contract!$A$2:$A$9,Contract!$B$2:$B$9)</f>
        <v>0.47</v>
      </c>
      <c r="S4307" s="1">
        <f t="shared" si="268"/>
        <v>81.78</v>
      </c>
      <c r="T4307" s="1">
        <f t="shared" si="269"/>
        <v>-5.1700000000000017</v>
      </c>
      <c r="U4307" s="1" t="str">
        <f t="shared" si="270"/>
        <v>OK</v>
      </c>
      <c r="V4307" s="1" t="str">
        <f>_xlfn.XLOOKUP(C4307,Payers!$A$2:$A$9,Payers!$B$2:$B$9)</f>
        <v>Keystone Commercial PPO</v>
      </c>
      <c r="W4307" s="1" t="str">
        <f t="shared" si="271"/>
        <v>2026-07</v>
      </c>
    </row>
    <row r="4308" spans="1:23">
      <c r="A4308" s="1" t="s">
        <v>6828</v>
      </c>
      <c r="B4308" s="1" t="s">
        <v>6829</v>
      </c>
      <c r="C4308" s="1" t="s">
        <v>36</v>
      </c>
      <c r="D4308" s="1" t="s">
        <v>19</v>
      </c>
      <c r="E4308" s="1" t="s">
        <v>41</v>
      </c>
      <c r="F4308">
        <v>1</v>
      </c>
      <c r="G4308" s="2">
        <v>46268</v>
      </c>
      <c r="H4308" s="2">
        <v>46269</v>
      </c>
      <c r="I4308">
        <v>38.909999999999997</v>
      </c>
      <c r="M4308" s="1" t="s">
        <v>69</v>
      </c>
      <c r="N4308" s="1" t="s">
        <v>22</v>
      </c>
      <c r="O4308" s="2"/>
      <c r="P4308" s="2"/>
      <c r="Q4308">
        <f>_xlfn.XLOOKUP(E4308,CPT!$A$2:$A$13,CPT!$D$2:$D$13)</f>
        <v>38</v>
      </c>
      <c r="R4308" s="1">
        <f>_xlfn.XLOOKUP(C4308,Contract!$A$2:$A$9,Contract!$B$2:$B$9)</f>
        <v>0.27</v>
      </c>
      <c r="S4308" s="1">
        <f t="shared" si="268"/>
        <v>10.26</v>
      </c>
      <c r="T4308" s="1" t="str">
        <f t="shared" si="269"/>
        <v/>
      </c>
      <c r="U4308" s="1" t="str">
        <f t="shared" si="270"/>
        <v/>
      </c>
      <c r="V4308" s="1" t="str">
        <f>_xlfn.XLOOKUP(C4308,Payers!$A$2:$A$9,Payers!$B$2:$B$9)</f>
        <v>Florida Medicaid</v>
      </c>
      <c r="W4308" s="1" t="str">
        <f t="shared" si="271"/>
        <v>2026-09</v>
      </c>
    </row>
    <row r="4309" spans="1:23">
      <c r="A4309" s="1" t="s">
        <v>6830</v>
      </c>
      <c r="B4309" s="1" t="s">
        <v>6831</v>
      </c>
      <c r="C4309" s="1" t="s">
        <v>76</v>
      </c>
      <c r="D4309" s="1" t="s">
        <v>19</v>
      </c>
      <c r="E4309" s="1" t="s">
        <v>88</v>
      </c>
      <c r="F4309">
        <v>1</v>
      </c>
      <c r="G4309" s="2">
        <v>46222</v>
      </c>
      <c r="H4309" s="2">
        <v>46223</v>
      </c>
      <c r="I4309">
        <v>256.20999999999998</v>
      </c>
      <c r="J4309">
        <v>105.59</v>
      </c>
      <c r="K4309">
        <v>105.59</v>
      </c>
      <c r="L4309">
        <v>0</v>
      </c>
      <c r="M4309" s="1" t="s">
        <v>21</v>
      </c>
      <c r="N4309" s="1" t="s">
        <v>22</v>
      </c>
      <c r="O4309" s="2">
        <v>46259</v>
      </c>
      <c r="P4309" s="2">
        <v>46259</v>
      </c>
      <c r="Q4309">
        <f>_xlfn.XLOOKUP(E4309,CPT!$A$2:$A$13,CPT!$D$2:$D$13)</f>
        <v>260</v>
      </c>
      <c r="R4309" s="1">
        <f>_xlfn.XLOOKUP(C4309,Contract!$A$2:$A$9,Contract!$B$2:$B$9)</f>
        <v>0.43</v>
      </c>
      <c r="S4309" s="1">
        <f t="shared" si="268"/>
        <v>111.8</v>
      </c>
      <c r="T4309" s="1">
        <f t="shared" si="269"/>
        <v>6.2099999999999937</v>
      </c>
      <c r="U4309" s="1" t="str">
        <f t="shared" si="270"/>
        <v>Underpaid</v>
      </c>
      <c r="V4309" s="1" t="str">
        <f>_xlfn.XLOOKUP(C4309,Payers!$A$2:$A$9,Payers!$B$2:$B$9)</f>
        <v>Summit Health Commercial</v>
      </c>
      <c r="W4309" s="1" t="str">
        <f t="shared" si="271"/>
        <v>2026-07</v>
      </c>
    </row>
    <row r="4310" spans="1:23">
      <c r="A4310" s="1" t="s">
        <v>6832</v>
      </c>
      <c r="B4310" s="1" t="s">
        <v>1198</v>
      </c>
      <c r="C4310" s="1" t="s">
        <v>52</v>
      </c>
      <c r="D4310" s="1" t="s">
        <v>26</v>
      </c>
      <c r="E4310" s="1" t="s">
        <v>185</v>
      </c>
      <c r="F4310">
        <v>1</v>
      </c>
      <c r="G4310" s="2">
        <v>46116</v>
      </c>
      <c r="H4310" s="2">
        <v>46119</v>
      </c>
      <c r="I4310">
        <v>1148.96</v>
      </c>
      <c r="J4310">
        <v>583.29</v>
      </c>
      <c r="K4310">
        <v>466.63</v>
      </c>
      <c r="L4310">
        <v>116.66</v>
      </c>
      <c r="M4310" s="1" t="s">
        <v>21</v>
      </c>
      <c r="N4310" s="1" t="s">
        <v>22</v>
      </c>
      <c r="O4310" s="2">
        <v>46167</v>
      </c>
      <c r="P4310" s="2">
        <v>46167</v>
      </c>
      <c r="Q4310">
        <f>_xlfn.XLOOKUP(E4310,CPT!$A$2:$A$13,CPT!$D$2:$D$13)</f>
        <v>1150</v>
      </c>
      <c r="R4310" s="1">
        <f>_xlfn.XLOOKUP(C4310,Contract!$A$2:$A$9,Contract!$B$2:$B$9)</f>
        <v>0.47</v>
      </c>
      <c r="S4310" s="1">
        <f t="shared" si="268"/>
        <v>540.5</v>
      </c>
      <c r="T4310" s="1">
        <f t="shared" si="269"/>
        <v>-42.789999999999964</v>
      </c>
      <c r="U4310" s="1" t="str">
        <f t="shared" si="270"/>
        <v>OK</v>
      </c>
      <c r="V4310" s="1" t="str">
        <f>_xlfn.XLOOKUP(C4310,Payers!$A$2:$A$9,Payers!$B$2:$B$9)</f>
        <v>Keystone Commercial PPO</v>
      </c>
      <c r="W4310" s="1" t="str">
        <f t="shared" si="271"/>
        <v>2026-04</v>
      </c>
    </row>
    <row r="4311" spans="1:23">
      <c r="A4311" s="1" t="s">
        <v>6833</v>
      </c>
      <c r="B4311" s="1" t="s">
        <v>655</v>
      </c>
      <c r="C4311" s="1" t="s">
        <v>47</v>
      </c>
      <c r="D4311" s="1" t="s">
        <v>19</v>
      </c>
      <c r="E4311" s="1" t="s">
        <v>20</v>
      </c>
      <c r="F4311">
        <v>1</v>
      </c>
      <c r="G4311" s="2">
        <v>46243</v>
      </c>
      <c r="H4311" s="2">
        <v>46244</v>
      </c>
      <c r="I4311">
        <v>142.65</v>
      </c>
      <c r="M4311" s="1" t="s">
        <v>69</v>
      </c>
      <c r="N4311" s="1" t="s">
        <v>22</v>
      </c>
      <c r="O4311" s="2"/>
      <c r="P4311" s="2"/>
      <c r="Q4311">
        <f>_xlfn.XLOOKUP(E4311,CPT!$A$2:$A$13,CPT!$D$2:$D$13)</f>
        <v>145</v>
      </c>
      <c r="R4311" s="1">
        <f>_xlfn.XLOOKUP(C4311,Contract!$A$2:$A$9,Contract!$B$2:$B$9)</f>
        <v>0.28000000000000003</v>
      </c>
      <c r="S4311" s="1">
        <f t="shared" si="268"/>
        <v>40.6</v>
      </c>
      <c r="T4311" s="1" t="str">
        <f t="shared" si="269"/>
        <v/>
      </c>
      <c r="U4311" s="1" t="str">
        <f t="shared" si="270"/>
        <v/>
      </c>
      <c r="V4311" s="1" t="str">
        <f>_xlfn.XLOOKUP(C4311,Payers!$A$2:$A$9,Payers!$B$2:$B$9)</f>
        <v>Coastal Medicaid MCO</v>
      </c>
      <c r="W4311" s="1" t="str">
        <f t="shared" si="271"/>
        <v>2026-08</v>
      </c>
    </row>
    <row r="4312" spans="1:23">
      <c r="A4312" s="1" t="s">
        <v>6834</v>
      </c>
      <c r="B4312" s="1" t="s">
        <v>6740</v>
      </c>
      <c r="C4312" s="1" t="s">
        <v>47</v>
      </c>
      <c r="D4312" s="1" t="s">
        <v>26</v>
      </c>
      <c r="E4312" s="1" t="s">
        <v>57</v>
      </c>
      <c r="F4312">
        <v>1</v>
      </c>
      <c r="G4312" s="2">
        <v>45981</v>
      </c>
      <c r="H4312" s="2">
        <v>45984</v>
      </c>
      <c r="I4312">
        <v>206.52</v>
      </c>
      <c r="J4312">
        <v>65.66</v>
      </c>
      <c r="K4312">
        <v>65.66</v>
      </c>
      <c r="L4312">
        <v>0</v>
      </c>
      <c r="M4312" s="1" t="s">
        <v>21</v>
      </c>
      <c r="N4312" s="1" t="s">
        <v>22</v>
      </c>
      <c r="O4312" s="2">
        <v>46032</v>
      </c>
      <c r="P4312" s="2">
        <v>46032</v>
      </c>
      <c r="Q4312">
        <f>_xlfn.XLOOKUP(E4312,CPT!$A$2:$A$13,CPT!$D$2:$D$13)</f>
        <v>210</v>
      </c>
      <c r="R4312" s="1">
        <f>_xlfn.XLOOKUP(C4312,Contract!$A$2:$A$9,Contract!$B$2:$B$9)</f>
        <v>0.28000000000000003</v>
      </c>
      <c r="S4312" s="1">
        <f t="shared" si="268"/>
        <v>58.8</v>
      </c>
      <c r="T4312" s="1">
        <f t="shared" si="269"/>
        <v>-6.8599999999999994</v>
      </c>
      <c r="U4312" s="1" t="str">
        <f t="shared" si="270"/>
        <v>OK</v>
      </c>
      <c r="V4312" s="1" t="str">
        <f>_xlfn.XLOOKUP(C4312,Payers!$A$2:$A$9,Payers!$B$2:$B$9)</f>
        <v>Coastal Medicaid MCO</v>
      </c>
      <c r="W4312" s="1" t="str">
        <f t="shared" si="271"/>
        <v>2025-11</v>
      </c>
    </row>
    <row r="4313" spans="1:23">
      <c r="A4313" s="1" t="s">
        <v>6835</v>
      </c>
      <c r="B4313" s="1" t="s">
        <v>6836</v>
      </c>
      <c r="C4313" s="1" t="s">
        <v>18</v>
      </c>
      <c r="D4313" s="1" t="s">
        <v>19</v>
      </c>
      <c r="E4313" s="1" t="s">
        <v>57</v>
      </c>
      <c r="F4313">
        <v>1</v>
      </c>
      <c r="G4313" s="2">
        <v>46156</v>
      </c>
      <c r="H4313" s="2">
        <v>46183</v>
      </c>
      <c r="I4313">
        <v>213</v>
      </c>
      <c r="J4313">
        <v>72.64</v>
      </c>
      <c r="K4313">
        <v>65.38</v>
      </c>
      <c r="L4313">
        <v>7.26</v>
      </c>
      <c r="M4313" s="1" t="s">
        <v>21</v>
      </c>
      <c r="N4313" s="1" t="s">
        <v>22</v>
      </c>
      <c r="O4313" s="2">
        <v>46251</v>
      </c>
      <c r="P4313" s="2">
        <v>46251</v>
      </c>
      <c r="Q4313">
        <f>_xlfn.XLOOKUP(E4313,CPT!$A$2:$A$13,CPT!$D$2:$D$13)</f>
        <v>210</v>
      </c>
      <c r="R4313" s="1">
        <f>_xlfn.XLOOKUP(C4313,Contract!$A$2:$A$9,Contract!$B$2:$B$9)</f>
        <v>0.38</v>
      </c>
      <c r="S4313" s="1">
        <f t="shared" si="268"/>
        <v>79.8</v>
      </c>
      <c r="T4313" s="1">
        <f t="shared" si="269"/>
        <v>7.1599999999999966</v>
      </c>
      <c r="U4313" s="1" t="str">
        <f t="shared" si="270"/>
        <v>Underpaid</v>
      </c>
      <c r="V4313" s="1" t="str">
        <f>_xlfn.XLOOKUP(C4313,Payers!$A$2:$A$9,Payers!$B$2:$B$9)</f>
        <v>Sunshine Medicare Advantage</v>
      </c>
      <c r="W4313" s="1" t="str">
        <f t="shared" si="271"/>
        <v>2026-05</v>
      </c>
    </row>
    <row r="4314" spans="1:23">
      <c r="A4314" s="1" t="s">
        <v>6837</v>
      </c>
      <c r="B4314" s="1" t="s">
        <v>6838</v>
      </c>
      <c r="C4314" s="1" t="s">
        <v>79</v>
      </c>
      <c r="D4314" s="1" t="s">
        <v>26</v>
      </c>
      <c r="E4314" s="1" t="s">
        <v>185</v>
      </c>
      <c r="F4314">
        <v>1</v>
      </c>
      <c r="G4314" s="2">
        <v>45931</v>
      </c>
      <c r="H4314" s="2">
        <v>45939</v>
      </c>
      <c r="I4314">
        <v>1164.94</v>
      </c>
      <c r="M4314" s="1" t="s">
        <v>69</v>
      </c>
      <c r="N4314" s="1" t="s">
        <v>22</v>
      </c>
      <c r="O4314" s="2"/>
      <c r="P4314" s="2"/>
      <c r="Q4314">
        <f>_xlfn.XLOOKUP(E4314,CPT!$A$2:$A$13,CPT!$D$2:$D$13)</f>
        <v>1150</v>
      </c>
      <c r="R4314" s="1">
        <f>_xlfn.XLOOKUP(C4314,Contract!$A$2:$A$9,Contract!$B$2:$B$9)</f>
        <v>1</v>
      </c>
      <c r="S4314" s="1">
        <f t="shared" si="268"/>
        <v>1150</v>
      </c>
      <c r="T4314" s="1" t="str">
        <f t="shared" si="269"/>
        <v/>
      </c>
      <c r="U4314" s="1" t="str">
        <f t="shared" si="270"/>
        <v/>
      </c>
      <c r="V4314" s="1" t="str">
        <f>_xlfn.XLOOKUP(C4314,Payers!$A$2:$A$9,Payers!$B$2:$B$9)</f>
        <v>Self-Pay</v>
      </c>
      <c r="W4314" s="1" t="str">
        <f t="shared" si="271"/>
        <v>2025-10</v>
      </c>
    </row>
    <row r="4315" spans="1:23">
      <c r="A4315" s="1" t="s">
        <v>6839</v>
      </c>
      <c r="B4315" s="1" t="s">
        <v>3551</v>
      </c>
      <c r="C4315" s="1" t="s">
        <v>36</v>
      </c>
      <c r="D4315" s="1" t="s">
        <v>26</v>
      </c>
      <c r="E4315" s="1" t="s">
        <v>44</v>
      </c>
      <c r="F4315">
        <v>1</v>
      </c>
      <c r="G4315" s="2">
        <v>46005</v>
      </c>
      <c r="H4315" s="2">
        <v>46007</v>
      </c>
      <c r="I4315">
        <v>4668.55</v>
      </c>
      <c r="M4315" s="1" t="s">
        <v>32</v>
      </c>
      <c r="N4315" s="1" t="s">
        <v>49</v>
      </c>
      <c r="O4315" s="2">
        <v>46052</v>
      </c>
      <c r="P4315" s="2"/>
      <c r="Q4315">
        <f>_xlfn.XLOOKUP(E4315,CPT!$A$2:$A$13,CPT!$D$2:$D$13)</f>
        <v>4800</v>
      </c>
      <c r="R4315" s="1">
        <f>_xlfn.XLOOKUP(C4315,Contract!$A$2:$A$9,Contract!$B$2:$B$9)</f>
        <v>0.27</v>
      </c>
      <c r="S4315" s="1">
        <f t="shared" si="268"/>
        <v>1296</v>
      </c>
      <c r="T4315" s="1" t="str">
        <f t="shared" si="269"/>
        <v/>
      </c>
      <c r="U4315" s="1" t="str">
        <f t="shared" si="270"/>
        <v/>
      </c>
      <c r="V4315" s="1" t="str">
        <f>_xlfn.XLOOKUP(C4315,Payers!$A$2:$A$9,Payers!$B$2:$B$9)</f>
        <v>Florida Medicaid</v>
      </c>
      <c r="W4315" s="1" t="str">
        <f t="shared" si="271"/>
        <v>2025-12</v>
      </c>
    </row>
    <row r="4316" spans="1:23">
      <c r="A4316" s="1" t="s">
        <v>6840</v>
      </c>
      <c r="B4316" s="1" t="s">
        <v>6841</v>
      </c>
      <c r="C4316" s="1" t="s">
        <v>25</v>
      </c>
      <c r="D4316" s="1" t="s">
        <v>30</v>
      </c>
      <c r="E4316" s="1" t="s">
        <v>20</v>
      </c>
      <c r="F4316">
        <v>1</v>
      </c>
      <c r="G4316" s="2">
        <v>46252</v>
      </c>
      <c r="H4316" s="2">
        <v>46255</v>
      </c>
      <c r="I4316">
        <v>145.47999999999999</v>
      </c>
      <c r="J4316">
        <v>50.3</v>
      </c>
      <c r="K4316">
        <v>45.27</v>
      </c>
      <c r="L4316">
        <v>5.03</v>
      </c>
      <c r="M4316" s="1" t="s">
        <v>21</v>
      </c>
      <c r="N4316" s="1" t="s">
        <v>22</v>
      </c>
      <c r="O4316" s="2">
        <v>46273</v>
      </c>
      <c r="P4316" s="2">
        <v>46273</v>
      </c>
      <c r="Q4316">
        <f>_xlfn.XLOOKUP(E4316,CPT!$A$2:$A$13,CPT!$D$2:$D$13)</f>
        <v>145</v>
      </c>
      <c r="R4316" s="1">
        <f>_xlfn.XLOOKUP(C4316,Contract!$A$2:$A$9,Contract!$B$2:$B$9)</f>
        <v>0.36</v>
      </c>
      <c r="S4316" s="1">
        <f t="shared" si="268"/>
        <v>52.2</v>
      </c>
      <c r="T4316" s="1">
        <f t="shared" si="269"/>
        <v>1.9000000000000057</v>
      </c>
      <c r="U4316" s="1" t="str">
        <f t="shared" si="270"/>
        <v>OK</v>
      </c>
      <c r="V4316" s="1" t="str">
        <f>_xlfn.XLOOKUP(C4316,Payers!$A$2:$A$9,Payers!$B$2:$B$9)</f>
        <v>Medicare Part B</v>
      </c>
      <c r="W4316" s="1" t="str">
        <f t="shared" si="271"/>
        <v>2026-08</v>
      </c>
    </row>
    <row r="4317" spans="1:23">
      <c r="A4317" s="1" t="s">
        <v>6842</v>
      </c>
      <c r="B4317" s="1" t="s">
        <v>3188</v>
      </c>
      <c r="C4317" s="1" t="s">
        <v>52</v>
      </c>
      <c r="D4317" s="1" t="s">
        <v>26</v>
      </c>
      <c r="E4317" s="1" t="s">
        <v>41</v>
      </c>
      <c r="F4317">
        <v>1</v>
      </c>
      <c r="G4317" s="2">
        <v>46113</v>
      </c>
      <c r="H4317" s="2">
        <v>46117</v>
      </c>
      <c r="I4317">
        <v>38.42</v>
      </c>
      <c r="J4317">
        <v>16.34</v>
      </c>
      <c r="K4317">
        <v>13.07</v>
      </c>
      <c r="L4317">
        <v>3.27</v>
      </c>
      <c r="M4317" s="1" t="s">
        <v>21</v>
      </c>
      <c r="N4317" s="1" t="s">
        <v>22</v>
      </c>
      <c r="O4317" s="2">
        <v>46162</v>
      </c>
      <c r="P4317" s="2">
        <v>46162</v>
      </c>
      <c r="Q4317">
        <f>_xlfn.XLOOKUP(E4317,CPT!$A$2:$A$13,CPT!$D$2:$D$13)</f>
        <v>38</v>
      </c>
      <c r="R4317" s="1">
        <f>_xlfn.XLOOKUP(C4317,Contract!$A$2:$A$9,Contract!$B$2:$B$9)</f>
        <v>0.47</v>
      </c>
      <c r="S4317" s="1">
        <f t="shared" si="268"/>
        <v>17.86</v>
      </c>
      <c r="T4317" s="1">
        <f t="shared" si="269"/>
        <v>1.5199999999999996</v>
      </c>
      <c r="U4317" s="1" t="str">
        <f t="shared" si="270"/>
        <v>Underpaid</v>
      </c>
      <c r="V4317" s="1" t="str">
        <f>_xlfn.XLOOKUP(C4317,Payers!$A$2:$A$9,Payers!$B$2:$B$9)</f>
        <v>Keystone Commercial PPO</v>
      </c>
      <c r="W4317" s="1" t="str">
        <f t="shared" si="271"/>
        <v>2026-04</v>
      </c>
    </row>
    <row r="4318" spans="1:23">
      <c r="A4318" s="1" t="s">
        <v>6843</v>
      </c>
      <c r="B4318" s="1" t="s">
        <v>4393</v>
      </c>
      <c r="C4318" s="1" t="s">
        <v>25</v>
      </c>
      <c r="D4318" s="1" t="s">
        <v>26</v>
      </c>
      <c r="E4318" s="1" t="s">
        <v>88</v>
      </c>
      <c r="F4318">
        <v>1</v>
      </c>
      <c r="G4318" s="2">
        <v>46074</v>
      </c>
      <c r="H4318" s="2">
        <v>46080</v>
      </c>
      <c r="I4318">
        <v>264.68</v>
      </c>
      <c r="J4318">
        <v>83.43</v>
      </c>
      <c r="K4318">
        <v>83.43</v>
      </c>
      <c r="L4318">
        <v>0</v>
      </c>
      <c r="M4318" s="1" t="s">
        <v>21</v>
      </c>
      <c r="N4318" s="1" t="s">
        <v>22</v>
      </c>
      <c r="O4318" s="2">
        <v>46104</v>
      </c>
      <c r="P4318" s="2">
        <v>46104</v>
      </c>
      <c r="Q4318">
        <f>_xlfn.XLOOKUP(E4318,CPT!$A$2:$A$13,CPT!$D$2:$D$13)</f>
        <v>260</v>
      </c>
      <c r="R4318" s="1">
        <f>_xlfn.XLOOKUP(C4318,Contract!$A$2:$A$9,Contract!$B$2:$B$9)</f>
        <v>0.36</v>
      </c>
      <c r="S4318" s="1">
        <f t="shared" si="268"/>
        <v>93.6</v>
      </c>
      <c r="T4318" s="1">
        <f t="shared" si="269"/>
        <v>10.169999999999987</v>
      </c>
      <c r="U4318" s="1" t="str">
        <f t="shared" si="270"/>
        <v>Underpaid</v>
      </c>
      <c r="V4318" s="1" t="str">
        <f>_xlfn.XLOOKUP(C4318,Payers!$A$2:$A$9,Payers!$B$2:$B$9)</f>
        <v>Medicare Part B</v>
      </c>
      <c r="W4318" s="1" t="str">
        <f t="shared" si="271"/>
        <v>2026-02</v>
      </c>
    </row>
    <row r="4319" spans="1:23">
      <c r="A4319" s="1" t="s">
        <v>6844</v>
      </c>
      <c r="B4319" s="1" t="s">
        <v>2774</v>
      </c>
      <c r="C4319" s="1" t="s">
        <v>36</v>
      </c>
      <c r="D4319" s="1" t="s">
        <v>26</v>
      </c>
      <c r="E4319" s="1" t="s">
        <v>88</v>
      </c>
      <c r="F4319">
        <v>1</v>
      </c>
      <c r="G4319" s="2">
        <v>46239</v>
      </c>
      <c r="H4319" s="2">
        <v>46240</v>
      </c>
      <c r="I4319">
        <v>261.88</v>
      </c>
      <c r="M4319" s="1" t="s">
        <v>32</v>
      </c>
      <c r="N4319" s="1" t="s">
        <v>168</v>
      </c>
      <c r="O4319" s="2">
        <v>46285</v>
      </c>
      <c r="P4319" s="2"/>
      <c r="Q4319">
        <f>_xlfn.XLOOKUP(E4319,CPT!$A$2:$A$13,CPT!$D$2:$D$13)</f>
        <v>260</v>
      </c>
      <c r="R4319" s="1">
        <f>_xlfn.XLOOKUP(C4319,Contract!$A$2:$A$9,Contract!$B$2:$B$9)</f>
        <v>0.27</v>
      </c>
      <c r="S4319" s="1">
        <f t="shared" si="268"/>
        <v>70.2</v>
      </c>
      <c r="T4319" s="1" t="str">
        <f t="shared" si="269"/>
        <v/>
      </c>
      <c r="U4319" s="1" t="str">
        <f t="shared" si="270"/>
        <v/>
      </c>
      <c r="V4319" s="1" t="str">
        <f>_xlfn.XLOOKUP(C4319,Payers!$A$2:$A$9,Payers!$B$2:$B$9)</f>
        <v>Florida Medicaid</v>
      </c>
      <c r="W4319" s="1" t="str">
        <f t="shared" si="271"/>
        <v>2026-08</v>
      </c>
    </row>
    <row r="4320" spans="1:23">
      <c r="A4320" s="1" t="s">
        <v>6845</v>
      </c>
      <c r="B4320" s="1" t="s">
        <v>6846</v>
      </c>
      <c r="C4320" s="1" t="s">
        <v>25</v>
      </c>
      <c r="D4320" s="1" t="s">
        <v>26</v>
      </c>
      <c r="E4320" s="1" t="s">
        <v>57</v>
      </c>
      <c r="F4320">
        <v>1</v>
      </c>
      <c r="G4320" s="2">
        <v>46232</v>
      </c>
      <c r="H4320" s="2">
        <v>46241</v>
      </c>
      <c r="I4320">
        <v>213.09</v>
      </c>
      <c r="J4320">
        <v>69.27</v>
      </c>
      <c r="K4320">
        <v>55.42</v>
      </c>
      <c r="L4320">
        <v>13.85</v>
      </c>
      <c r="M4320" s="1" t="s">
        <v>21</v>
      </c>
      <c r="N4320" s="1" t="s">
        <v>22</v>
      </c>
      <c r="O4320" s="2">
        <v>46257</v>
      </c>
      <c r="P4320" s="2">
        <v>46257</v>
      </c>
      <c r="Q4320">
        <f>_xlfn.XLOOKUP(E4320,CPT!$A$2:$A$13,CPT!$D$2:$D$13)</f>
        <v>210</v>
      </c>
      <c r="R4320" s="1">
        <f>_xlfn.XLOOKUP(C4320,Contract!$A$2:$A$9,Contract!$B$2:$B$9)</f>
        <v>0.36</v>
      </c>
      <c r="S4320" s="1">
        <f t="shared" si="268"/>
        <v>75.599999999999994</v>
      </c>
      <c r="T4320" s="1">
        <f t="shared" si="269"/>
        <v>6.3299999999999983</v>
      </c>
      <c r="U4320" s="1" t="str">
        <f t="shared" si="270"/>
        <v>Underpaid</v>
      </c>
      <c r="V4320" s="1" t="str">
        <f>_xlfn.XLOOKUP(C4320,Payers!$A$2:$A$9,Payers!$B$2:$B$9)</f>
        <v>Medicare Part B</v>
      </c>
      <c r="W4320" s="1" t="str">
        <f t="shared" si="271"/>
        <v>2026-07</v>
      </c>
    </row>
    <row r="4321" spans="1:23">
      <c r="A4321" s="1" t="s">
        <v>6847</v>
      </c>
      <c r="B4321" s="1" t="s">
        <v>536</v>
      </c>
      <c r="C4321" s="1" t="s">
        <v>52</v>
      </c>
      <c r="D4321" s="1" t="s">
        <v>26</v>
      </c>
      <c r="E4321" s="1" t="s">
        <v>27</v>
      </c>
      <c r="F4321">
        <v>1</v>
      </c>
      <c r="G4321" s="2">
        <v>46251</v>
      </c>
      <c r="H4321" s="2">
        <v>46252</v>
      </c>
      <c r="I4321">
        <v>232.98</v>
      </c>
      <c r="M4321" s="1" t="s">
        <v>69</v>
      </c>
      <c r="N4321" s="1" t="s">
        <v>22</v>
      </c>
      <c r="O4321" s="2"/>
      <c r="P4321" s="2"/>
      <c r="Q4321">
        <f>_xlfn.XLOOKUP(E4321,CPT!$A$2:$A$13,CPT!$D$2:$D$13)</f>
        <v>240</v>
      </c>
      <c r="R4321" s="1">
        <f>_xlfn.XLOOKUP(C4321,Contract!$A$2:$A$9,Contract!$B$2:$B$9)</f>
        <v>0.47</v>
      </c>
      <c r="S4321" s="1">
        <f t="shared" si="268"/>
        <v>112.8</v>
      </c>
      <c r="T4321" s="1" t="str">
        <f t="shared" si="269"/>
        <v/>
      </c>
      <c r="U4321" s="1" t="str">
        <f t="shared" si="270"/>
        <v/>
      </c>
      <c r="V4321" s="1" t="str">
        <f>_xlfn.XLOOKUP(C4321,Payers!$A$2:$A$9,Payers!$B$2:$B$9)</f>
        <v>Keystone Commercial PPO</v>
      </c>
      <c r="W4321" s="1" t="str">
        <f t="shared" si="271"/>
        <v>2026-08</v>
      </c>
    </row>
    <row r="4322" spans="1:23">
      <c r="A4322" s="1" t="s">
        <v>6848</v>
      </c>
      <c r="B4322" s="1" t="s">
        <v>4530</v>
      </c>
      <c r="C4322" s="1" t="s">
        <v>76</v>
      </c>
      <c r="D4322" s="1" t="s">
        <v>26</v>
      </c>
      <c r="E4322" s="1" t="s">
        <v>57</v>
      </c>
      <c r="F4322">
        <v>1</v>
      </c>
      <c r="G4322" s="2">
        <v>46031</v>
      </c>
      <c r="H4322" s="2">
        <v>46046</v>
      </c>
      <c r="I4322">
        <v>214.13</v>
      </c>
      <c r="J4322">
        <v>78.209999999999994</v>
      </c>
      <c r="K4322">
        <v>62.57</v>
      </c>
      <c r="L4322">
        <v>15.64</v>
      </c>
      <c r="M4322" s="1" t="s">
        <v>21</v>
      </c>
      <c r="N4322" s="1" t="s">
        <v>22</v>
      </c>
      <c r="O4322" s="2">
        <v>46091</v>
      </c>
      <c r="P4322" s="2">
        <v>46091</v>
      </c>
      <c r="Q4322">
        <f>_xlfn.XLOOKUP(E4322,CPT!$A$2:$A$13,CPT!$D$2:$D$13)</f>
        <v>210</v>
      </c>
      <c r="R4322" s="1">
        <f>_xlfn.XLOOKUP(C4322,Contract!$A$2:$A$9,Contract!$B$2:$B$9)</f>
        <v>0.43</v>
      </c>
      <c r="S4322" s="1">
        <f t="shared" si="268"/>
        <v>90.3</v>
      </c>
      <c r="T4322" s="1">
        <f t="shared" si="269"/>
        <v>12.090000000000003</v>
      </c>
      <c r="U4322" s="1" t="str">
        <f t="shared" si="270"/>
        <v>Underpaid</v>
      </c>
      <c r="V4322" s="1" t="str">
        <f>_xlfn.XLOOKUP(C4322,Payers!$A$2:$A$9,Payers!$B$2:$B$9)</f>
        <v>Summit Health Commercial</v>
      </c>
      <c r="W4322" s="1" t="str">
        <f t="shared" si="271"/>
        <v>2026-01</v>
      </c>
    </row>
    <row r="4323" spans="1:23">
      <c r="A4323" s="1" t="s">
        <v>6849</v>
      </c>
      <c r="B4323" s="1" t="s">
        <v>4403</v>
      </c>
      <c r="C4323" s="1" t="s">
        <v>60</v>
      </c>
      <c r="D4323" s="1" t="s">
        <v>26</v>
      </c>
      <c r="E4323" s="1" t="s">
        <v>57</v>
      </c>
      <c r="F4323">
        <v>1</v>
      </c>
      <c r="G4323" s="2">
        <v>46081</v>
      </c>
      <c r="H4323" s="2">
        <v>46082</v>
      </c>
      <c r="I4323">
        <v>211.86</v>
      </c>
      <c r="J4323">
        <v>104.13</v>
      </c>
      <c r="K4323">
        <v>83.3</v>
      </c>
      <c r="L4323">
        <v>20.83</v>
      </c>
      <c r="M4323" s="1" t="s">
        <v>21</v>
      </c>
      <c r="N4323" s="1" t="s">
        <v>22</v>
      </c>
      <c r="O4323" s="2">
        <v>46111</v>
      </c>
      <c r="P4323" s="2">
        <v>46111</v>
      </c>
      <c r="Q4323">
        <f>_xlfn.XLOOKUP(E4323,CPT!$A$2:$A$13,CPT!$D$2:$D$13)</f>
        <v>210</v>
      </c>
      <c r="R4323" s="1">
        <f>_xlfn.XLOOKUP(C4323,Contract!$A$2:$A$9,Contract!$B$2:$B$9)</f>
        <v>0.45</v>
      </c>
      <c r="S4323" s="1">
        <f t="shared" si="268"/>
        <v>94.5</v>
      </c>
      <c r="T4323" s="1">
        <f t="shared" si="269"/>
        <v>-9.6299999999999955</v>
      </c>
      <c r="U4323" s="1" t="str">
        <f t="shared" si="270"/>
        <v>OK</v>
      </c>
      <c r="V4323" s="1" t="str">
        <f>_xlfn.XLOOKUP(C4323,Payers!$A$2:$A$9,Payers!$B$2:$B$9)</f>
        <v>Blue Horizon Commercial</v>
      </c>
      <c r="W4323" s="1" t="str">
        <f t="shared" si="271"/>
        <v>2026-02</v>
      </c>
    </row>
    <row r="4324" spans="1:23">
      <c r="A4324" s="1" t="s">
        <v>6850</v>
      </c>
      <c r="B4324" s="1" t="s">
        <v>5155</v>
      </c>
      <c r="C4324" s="1" t="s">
        <v>76</v>
      </c>
      <c r="D4324" s="1" t="s">
        <v>30</v>
      </c>
      <c r="E4324" s="1" t="s">
        <v>91</v>
      </c>
      <c r="F4324">
        <v>1</v>
      </c>
      <c r="G4324" s="2">
        <v>46188</v>
      </c>
      <c r="H4324" s="2">
        <v>46194</v>
      </c>
      <c r="I4324">
        <v>59.18</v>
      </c>
      <c r="M4324" s="1" t="s">
        <v>32</v>
      </c>
      <c r="N4324" s="1" t="s">
        <v>33</v>
      </c>
      <c r="O4324" s="2">
        <v>46231</v>
      </c>
      <c r="P4324" s="2"/>
      <c r="Q4324">
        <f>_xlfn.XLOOKUP(E4324,CPT!$A$2:$A$13,CPT!$D$2:$D$13)</f>
        <v>58</v>
      </c>
      <c r="R4324" s="1">
        <f>_xlfn.XLOOKUP(C4324,Contract!$A$2:$A$9,Contract!$B$2:$B$9)</f>
        <v>0.43</v>
      </c>
      <c r="S4324" s="1">
        <f t="shared" si="268"/>
        <v>24.94</v>
      </c>
      <c r="T4324" s="1" t="str">
        <f t="shared" si="269"/>
        <v/>
      </c>
      <c r="U4324" s="1" t="str">
        <f t="shared" si="270"/>
        <v/>
      </c>
      <c r="V4324" s="1" t="str">
        <f>_xlfn.XLOOKUP(C4324,Payers!$A$2:$A$9,Payers!$B$2:$B$9)</f>
        <v>Summit Health Commercial</v>
      </c>
      <c r="W4324" s="1" t="str">
        <f t="shared" si="271"/>
        <v>2026-06</v>
      </c>
    </row>
    <row r="4325" spans="1:23">
      <c r="A4325" s="1" t="s">
        <v>6851</v>
      </c>
      <c r="B4325" s="1" t="s">
        <v>1765</v>
      </c>
      <c r="C4325" s="1" t="s">
        <v>60</v>
      </c>
      <c r="D4325" s="1" t="s">
        <v>30</v>
      </c>
      <c r="E4325" s="1" t="s">
        <v>31</v>
      </c>
      <c r="F4325">
        <v>3</v>
      </c>
      <c r="G4325" s="2">
        <v>45988</v>
      </c>
      <c r="H4325" s="2">
        <v>45996</v>
      </c>
      <c r="I4325">
        <v>191.46</v>
      </c>
      <c r="J4325">
        <v>77.12</v>
      </c>
      <c r="K4325">
        <v>69.41</v>
      </c>
      <c r="L4325">
        <v>7.71</v>
      </c>
      <c r="M4325" s="1" t="s">
        <v>21</v>
      </c>
      <c r="N4325" s="1" t="s">
        <v>22</v>
      </c>
      <c r="O4325" s="2">
        <v>46032</v>
      </c>
      <c r="P4325" s="2">
        <v>46032</v>
      </c>
      <c r="Q4325">
        <f>_xlfn.XLOOKUP(E4325,CPT!$A$2:$A$13,CPT!$D$2:$D$13)</f>
        <v>62</v>
      </c>
      <c r="R4325" s="1">
        <f>_xlfn.XLOOKUP(C4325,Contract!$A$2:$A$9,Contract!$B$2:$B$9)</f>
        <v>0.45</v>
      </c>
      <c r="S4325" s="1">
        <f t="shared" si="268"/>
        <v>83.7</v>
      </c>
      <c r="T4325" s="1">
        <f t="shared" si="269"/>
        <v>6.5799999999999983</v>
      </c>
      <c r="U4325" s="1" t="str">
        <f t="shared" si="270"/>
        <v>Underpaid</v>
      </c>
      <c r="V4325" s="1" t="str">
        <f>_xlfn.XLOOKUP(C4325,Payers!$A$2:$A$9,Payers!$B$2:$B$9)</f>
        <v>Blue Horizon Commercial</v>
      </c>
      <c r="W4325" s="1" t="str">
        <f t="shared" si="271"/>
        <v>2025-11</v>
      </c>
    </row>
    <row r="4326" spans="1:23">
      <c r="A4326" s="1" t="s">
        <v>6852</v>
      </c>
      <c r="B4326" s="1" t="s">
        <v>6853</v>
      </c>
      <c r="C4326" s="1" t="s">
        <v>60</v>
      </c>
      <c r="D4326" s="1" t="s">
        <v>37</v>
      </c>
      <c r="E4326" s="1" t="s">
        <v>48</v>
      </c>
      <c r="F4326">
        <v>1</v>
      </c>
      <c r="G4326" s="2">
        <v>45950</v>
      </c>
      <c r="H4326" s="2">
        <v>45954</v>
      </c>
      <c r="I4326">
        <v>418.5</v>
      </c>
      <c r="J4326">
        <v>163.55000000000001</v>
      </c>
      <c r="K4326">
        <v>163.55000000000001</v>
      </c>
      <c r="L4326">
        <v>0</v>
      </c>
      <c r="M4326" s="1" t="s">
        <v>21</v>
      </c>
      <c r="N4326" s="1" t="s">
        <v>22</v>
      </c>
      <c r="O4326" s="2">
        <v>45993</v>
      </c>
      <c r="P4326" s="2">
        <v>45993</v>
      </c>
      <c r="Q4326">
        <f>_xlfn.XLOOKUP(E4326,CPT!$A$2:$A$13,CPT!$D$2:$D$13)</f>
        <v>420</v>
      </c>
      <c r="R4326" s="1">
        <f>_xlfn.XLOOKUP(C4326,Contract!$A$2:$A$9,Contract!$B$2:$B$9)</f>
        <v>0.45</v>
      </c>
      <c r="S4326" s="1">
        <f t="shared" si="268"/>
        <v>189</v>
      </c>
      <c r="T4326" s="1">
        <f t="shared" si="269"/>
        <v>25.449999999999989</v>
      </c>
      <c r="U4326" s="1" t="str">
        <f t="shared" si="270"/>
        <v>Underpaid</v>
      </c>
      <c r="V4326" s="1" t="str">
        <f>_xlfn.XLOOKUP(C4326,Payers!$A$2:$A$9,Payers!$B$2:$B$9)</f>
        <v>Blue Horizon Commercial</v>
      </c>
      <c r="W4326" s="1" t="str">
        <f t="shared" si="271"/>
        <v>2025-10</v>
      </c>
    </row>
    <row r="4327" spans="1:23">
      <c r="A4327" s="1" t="s">
        <v>6854</v>
      </c>
      <c r="B4327" s="1" t="s">
        <v>1503</v>
      </c>
      <c r="C4327" s="1" t="s">
        <v>25</v>
      </c>
      <c r="D4327" s="1" t="s">
        <v>26</v>
      </c>
      <c r="E4327" s="1" t="s">
        <v>44</v>
      </c>
      <c r="F4327">
        <v>1</v>
      </c>
      <c r="G4327" s="2">
        <v>46183</v>
      </c>
      <c r="H4327" s="2">
        <v>46185</v>
      </c>
      <c r="I4327">
        <v>4801.9399999999996</v>
      </c>
      <c r="J4327">
        <v>1652.48</v>
      </c>
      <c r="K4327">
        <v>1652.48</v>
      </c>
      <c r="L4327">
        <v>0</v>
      </c>
      <c r="M4327" s="1" t="s">
        <v>21</v>
      </c>
      <c r="N4327" s="1" t="s">
        <v>22</v>
      </c>
      <c r="O4327" s="2">
        <v>46212</v>
      </c>
      <c r="P4327" s="2">
        <v>46212</v>
      </c>
      <c r="Q4327">
        <f>_xlfn.XLOOKUP(E4327,CPT!$A$2:$A$13,CPT!$D$2:$D$13)</f>
        <v>4800</v>
      </c>
      <c r="R4327" s="1">
        <f>_xlfn.XLOOKUP(C4327,Contract!$A$2:$A$9,Contract!$B$2:$B$9)</f>
        <v>0.36</v>
      </c>
      <c r="S4327" s="1">
        <f t="shared" si="268"/>
        <v>1728</v>
      </c>
      <c r="T4327" s="1">
        <f t="shared" si="269"/>
        <v>75.519999999999982</v>
      </c>
      <c r="U4327" s="1" t="str">
        <f t="shared" si="270"/>
        <v>OK</v>
      </c>
      <c r="V4327" s="1" t="str">
        <f>_xlfn.XLOOKUP(C4327,Payers!$A$2:$A$9,Payers!$B$2:$B$9)</f>
        <v>Medicare Part B</v>
      </c>
      <c r="W4327" s="1" t="str">
        <f t="shared" si="271"/>
        <v>2026-06</v>
      </c>
    </row>
    <row r="4328" spans="1:23">
      <c r="A4328" s="1" t="s">
        <v>6855</v>
      </c>
      <c r="B4328" s="1" t="s">
        <v>293</v>
      </c>
      <c r="C4328" s="1" t="s">
        <v>60</v>
      </c>
      <c r="D4328" s="1" t="s">
        <v>30</v>
      </c>
      <c r="E4328" s="1" t="s">
        <v>31</v>
      </c>
      <c r="F4328">
        <v>1</v>
      </c>
      <c r="G4328" s="2">
        <v>46072</v>
      </c>
      <c r="H4328" s="2">
        <v>46078</v>
      </c>
      <c r="I4328">
        <v>63.76</v>
      </c>
      <c r="J4328">
        <v>25.27</v>
      </c>
      <c r="K4328">
        <v>20.22</v>
      </c>
      <c r="L4328">
        <v>5.05</v>
      </c>
      <c r="M4328" s="1" t="s">
        <v>21</v>
      </c>
      <c r="N4328" s="1" t="s">
        <v>22</v>
      </c>
      <c r="O4328" s="2">
        <v>46109</v>
      </c>
      <c r="P4328" s="2">
        <v>46109</v>
      </c>
      <c r="Q4328">
        <f>_xlfn.XLOOKUP(E4328,CPT!$A$2:$A$13,CPT!$D$2:$D$13)</f>
        <v>62</v>
      </c>
      <c r="R4328" s="1">
        <f>_xlfn.XLOOKUP(C4328,Contract!$A$2:$A$9,Contract!$B$2:$B$9)</f>
        <v>0.45</v>
      </c>
      <c r="S4328" s="1">
        <f t="shared" si="268"/>
        <v>27.9</v>
      </c>
      <c r="T4328" s="1">
        <f t="shared" si="269"/>
        <v>2.629999999999999</v>
      </c>
      <c r="U4328" s="1" t="str">
        <f t="shared" si="270"/>
        <v>Underpaid</v>
      </c>
      <c r="V4328" s="1" t="str">
        <f>_xlfn.XLOOKUP(C4328,Payers!$A$2:$A$9,Payers!$B$2:$B$9)</f>
        <v>Blue Horizon Commercial</v>
      </c>
      <c r="W4328" s="1" t="str">
        <f t="shared" si="271"/>
        <v>2026-02</v>
      </c>
    </row>
    <row r="4329" spans="1:23">
      <c r="A4329" s="1" t="s">
        <v>6856</v>
      </c>
      <c r="B4329" s="1" t="s">
        <v>6857</v>
      </c>
      <c r="C4329" s="1" t="s">
        <v>76</v>
      </c>
      <c r="D4329" s="1" t="s">
        <v>26</v>
      </c>
      <c r="E4329" s="1" t="s">
        <v>113</v>
      </c>
      <c r="F4329">
        <v>1</v>
      </c>
      <c r="G4329" s="2">
        <v>45943</v>
      </c>
      <c r="H4329" s="2">
        <v>45944</v>
      </c>
      <c r="I4329">
        <v>1080.42</v>
      </c>
      <c r="J4329">
        <v>449.09</v>
      </c>
      <c r="K4329">
        <v>404.18</v>
      </c>
      <c r="L4329">
        <v>44.91</v>
      </c>
      <c r="M4329" s="1" t="s">
        <v>21</v>
      </c>
      <c r="N4329" s="1" t="s">
        <v>22</v>
      </c>
      <c r="O4329" s="2">
        <v>45970</v>
      </c>
      <c r="P4329" s="2">
        <v>45970</v>
      </c>
      <c r="Q4329">
        <f>_xlfn.XLOOKUP(E4329,CPT!$A$2:$A$13,CPT!$D$2:$D$13)</f>
        <v>1050</v>
      </c>
      <c r="R4329" s="1">
        <f>_xlfn.XLOOKUP(C4329,Contract!$A$2:$A$9,Contract!$B$2:$B$9)</f>
        <v>0.43</v>
      </c>
      <c r="S4329" s="1">
        <f t="shared" si="268"/>
        <v>451.5</v>
      </c>
      <c r="T4329" s="1">
        <f t="shared" si="269"/>
        <v>2.410000000000025</v>
      </c>
      <c r="U4329" s="1" t="str">
        <f t="shared" si="270"/>
        <v>OK</v>
      </c>
      <c r="V4329" s="1" t="str">
        <f>_xlfn.XLOOKUP(C4329,Payers!$A$2:$A$9,Payers!$B$2:$B$9)</f>
        <v>Summit Health Commercial</v>
      </c>
      <c r="W4329" s="1" t="str">
        <f t="shared" si="271"/>
        <v>2025-10</v>
      </c>
    </row>
    <row r="4330" spans="1:23">
      <c r="A4330" s="1" t="s">
        <v>6858</v>
      </c>
      <c r="B4330" s="1" t="s">
        <v>5357</v>
      </c>
      <c r="C4330" s="1" t="s">
        <v>25</v>
      </c>
      <c r="D4330" s="1" t="s">
        <v>30</v>
      </c>
      <c r="E4330" s="1" t="s">
        <v>31</v>
      </c>
      <c r="F4330">
        <v>4</v>
      </c>
      <c r="G4330" s="2">
        <v>46174</v>
      </c>
      <c r="H4330" s="2">
        <v>46176</v>
      </c>
      <c r="I4330">
        <v>244.08</v>
      </c>
      <c r="J4330">
        <v>96.54</v>
      </c>
      <c r="K4330">
        <v>86.89</v>
      </c>
      <c r="L4330">
        <v>9.65</v>
      </c>
      <c r="M4330" s="1" t="s">
        <v>21</v>
      </c>
      <c r="N4330" s="1" t="s">
        <v>22</v>
      </c>
      <c r="O4330" s="2">
        <v>46200</v>
      </c>
      <c r="P4330" s="2">
        <v>46200</v>
      </c>
      <c r="Q4330">
        <f>_xlfn.XLOOKUP(E4330,CPT!$A$2:$A$13,CPT!$D$2:$D$13)</f>
        <v>62</v>
      </c>
      <c r="R4330" s="1">
        <f>_xlfn.XLOOKUP(C4330,Contract!$A$2:$A$9,Contract!$B$2:$B$9)</f>
        <v>0.36</v>
      </c>
      <c r="S4330" s="1">
        <f t="shared" si="268"/>
        <v>89.28</v>
      </c>
      <c r="T4330" s="1">
        <f t="shared" si="269"/>
        <v>-7.2600000000000051</v>
      </c>
      <c r="U4330" s="1" t="str">
        <f t="shared" si="270"/>
        <v>OK</v>
      </c>
      <c r="V4330" s="1" t="str">
        <f>_xlfn.XLOOKUP(C4330,Payers!$A$2:$A$9,Payers!$B$2:$B$9)</f>
        <v>Medicare Part B</v>
      </c>
      <c r="W4330" s="1" t="str">
        <f t="shared" si="271"/>
        <v>2026-06</v>
      </c>
    </row>
    <row r="4331" spans="1:23">
      <c r="A4331" s="1" t="s">
        <v>6859</v>
      </c>
      <c r="B4331" s="1" t="s">
        <v>2242</v>
      </c>
      <c r="C4331" s="1" t="s">
        <v>60</v>
      </c>
      <c r="D4331" s="1" t="s">
        <v>30</v>
      </c>
      <c r="E4331" s="1" t="s">
        <v>20</v>
      </c>
      <c r="F4331">
        <v>1</v>
      </c>
      <c r="G4331" s="2">
        <v>46129</v>
      </c>
      <c r="H4331" s="2">
        <v>46130</v>
      </c>
      <c r="I4331">
        <v>142.62</v>
      </c>
      <c r="J4331">
        <v>70.27</v>
      </c>
      <c r="K4331">
        <v>70.27</v>
      </c>
      <c r="L4331">
        <v>0</v>
      </c>
      <c r="M4331" s="1" t="s">
        <v>21</v>
      </c>
      <c r="N4331" s="1" t="s">
        <v>22</v>
      </c>
      <c r="O4331" s="2">
        <v>46164</v>
      </c>
      <c r="P4331" s="2">
        <v>46164</v>
      </c>
      <c r="Q4331">
        <f>_xlfn.XLOOKUP(E4331,CPT!$A$2:$A$13,CPT!$D$2:$D$13)</f>
        <v>145</v>
      </c>
      <c r="R4331" s="1">
        <f>_xlfn.XLOOKUP(C4331,Contract!$A$2:$A$9,Contract!$B$2:$B$9)</f>
        <v>0.45</v>
      </c>
      <c r="S4331" s="1">
        <f t="shared" si="268"/>
        <v>65.25</v>
      </c>
      <c r="T4331" s="1">
        <f t="shared" si="269"/>
        <v>-5.019999999999996</v>
      </c>
      <c r="U4331" s="1" t="str">
        <f t="shared" si="270"/>
        <v>OK</v>
      </c>
      <c r="V4331" s="1" t="str">
        <f>_xlfn.XLOOKUP(C4331,Payers!$A$2:$A$9,Payers!$B$2:$B$9)</f>
        <v>Blue Horizon Commercial</v>
      </c>
      <c r="W4331" s="1" t="str">
        <f t="shared" si="271"/>
        <v>2026-04</v>
      </c>
    </row>
    <row r="4332" spans="1:23">
      <c r="A4332" s="1" t="s">
        <v>6860</v>
      </c>
      <c r="B4332" s="1" t="s">
        <v>6861</v>
      </c>
      <c r="C4332" s="1" t="s">
        <v>79</v>
      </c>
      <c r="D4332" s="1" t="s">
        <v>19</v>
      </c>
      <c r="E4332" s="1" t="s">
        <v>41</v>
      </c>
      <c r="F4332">
        <v>1</v>
      </c>
      <c r="G4332" s="2">
        <v>46100</v>
      </c>
      <c r="H4332" s="2">
        <v>46101</v>
      </c>
      <c r="I4332">
        <v>38.74</v>
      </c>
      <c r="J4332">
        <v>38.74</v>
      </c>
      <c r="K4332">
        <v>38.74</v>
      </c>
      <c r="L4332">
        <v>0</v>
      </c>
      <c r="M4332" s="1" t="s">
        <v>21</v>
      </c>
      <c r="N4332" s="1" t="s">
        <v>22</v>
      </c>
      <c r="O4332" s="2">
        <v>46170</v>
      </c>
      <c r="P4332" s="2">
        <v>46170</v>
      </c>
      <c r="Q4332">
        <f>_xlfn.XLOOKUP(E4332,CPT!$A$2:$A$13,CPT!$D$2:$D$13)</f>
        <v>38</v>
      </c>
      <c r="R4332" s="1">
        <f>_xlfn.XLOOKUP(C4332,Contract!$A$2:$A$9,Contract!$B$2:$B$9)</f>
        <v>1</v>
      </c>
      <c r="S4332" s="1">
        <f t="shared" si="268"/>
        <v>38</v>
      </c>
      <c r="T4332" s="1">
        <f t="shared" si="269"/>
        <v>-0.74000000000000199</v>
      </c>
      <c r="U4332" s="1" t="str">
        <f t="shared" si="270"/>
        <v>OK</v>
      </c>
      <c r="V4332" s="1" t="str">
        <f>_xlfn.XLOOKUP(C4332,Payers!$A$2:$A$9,Payers!$B$2:$B$9)</f>
        <v>Self-Pay</v>
      </c>
      <c r="W4332" s="1" t="str">
        <f t="shared" si="271"/>
        <v>2026-03</v>
      </c>
    </row>
    <row r="4333" spans="1:23">
      <c r="A4333" s="1" t="s">
        <v>6862</v>
      </c>
      <c r="B4333" s="1" t="s">
        <v>2170</v>
      </c>
      <c r="C4333" s="1" t="s">
        <v>60</v>
      </c>
      <c r="D4333" s="1" t="s">
        <v>37</v>
      </c>
      <c r="E4333" s="1" t="s">
        <v>38</v>
      </c>
      <c r="F4333">
        <v>10</v>
      </c>
      <c r="G4333" s="2">
        <v>46009</v>
      </c>
      <c r="H4333" s="2">
        <v>46011</v>
      </c>
      <c r="I4333">
        <v>14448.38</v>
      </c>
      <c r="J4333">
        <v>6409.45</v>
      </c>
      <c r="K4333">
        <v>5768.5</v>
      </c>
      <c r="L4333">
        <v>640.95000000000005</v>
      </c>
      <c r="M4333" s="1" t="s">
        <v>21</v>
      </c>
      <c r="N4333" s="1" t="s">
        <v>22</v>
      </c>
      <c r="O4333" s="2">
        <v>46038</v>
      </c>
      <c r="P4333" s="2">
        <v>46038</v>
      </c>
      <c r="Q4333">
        <f>_xlfn.XLOOKUP(E4333,CPT!$A$2:$A$13,CPT!$D$2:$D$13)</f>
        <v>1450</v>
      </c>
      <c r="R4333" s="1">
        <f>_xlfn.XLOOKUP(C4333,Contract!$A$2:$A$9,Contract!$B$2:$B$9)</f>
        <v>0.45</v>
      </c>
      <c r="S4333" s="1">
        <f t="shared" si="268"/>
        <v>6525</v>
      </c>
      <c r="T4333" s="1">
        <f t="shared" si="269"/>
        <v>115.55000000000018</v>
      </c>
      <c r="U4333" s="1" t="str">
        <f t="shared" si="270"/>
        <v>OK</v>
      </c>
      <c r="V4333" s="1" t="str">
        <f>_xlfn.XLOOKUP(C4333,Payers!$A$2:$A$9,Payers!$B$2:$B$9)</f>
        <v>Blue Horizon Commercial</v>
      </c>
      <c r="W4333" s="1" t="str">
        <f t="shared" si="271"/>
        <v>2025-12</v>
      </c>
    </row>
    <row r="4334" spans="1:23">
      <c r="A4334" s="1" t="s">
        <v>6863</v>
      </c>
      <c r="B4334" s="1" t="s">
        <v>119</v>
      </c>
      <c r="C4334" s="1" t="s">
        <v>18</v>
      </c>
      <c r="D4334" s="1" t="s">
        <v>37</v>
      </c>
      <c r="E4334" s="1" t="s">
        <v>38</v>
      </c>
      <c r="F4334">
        <v>10</v>
      </c>
      <c r="G4334" s="2">
        <v>46012</v>
      </c>
      <c r="H4334" s="2">
        <v>46014</v>
      </c>
      <c r="I4334">
        <v>14565.91</v>
      </c>
      <c r="J4334">
        <v>6094.1</v>
      </c>
      <c r="K4334">
        <v>5484.69</v>
      </c>
      <c r="L4334">
        <v>609.41</v>
      </c>
      <c r="M4334" s="1" t="s">
        <v>21</v>
      </c>
      <c r="N4334" s="1" t="s">
        <v>22</v>
      </c>
      <c r="O4334" s="2">
        <v>46051</v>
      </c>
      <c r="P4334" s="2">
        <v>46051</v>
      </c>
      <c r="Q4334">
        <f>_xlfn.XLOOKUP(E4334,CPT!$A$2:$A$13,CPT!$D$2:$D$13)</f>
        <v>1450</v>
      </c>
      <c r="R4334" s="1">
        <f>_xlfn.XLOOKUP(C4334,Contract!$A$2:$A$9,Contract!$B$2:$B$9)</f>
        <v>0.38</v>
      </c>
      <c r="S4334" s="1">
        <f t="shared" si="268"/>
        <v>5510</v>
      </c>
      <c r="T4334" s="1">
        <f t="shared" si="269"/>
        <v>-584.10000000000036</v>
      </c>
      <c r="U4334" s="1" t="str">
        <f t="shared" si="270"/>
        <v>OK</v>
      </c>
      <c r="V4334" s="1" t="str">
        <f>_xlfn.XLOOKUP(C4334,Payers!$A$2:$A$9,Payers!$B$2:$B$9)</f>
        <v>Sunshine Medicare Advantage</v>
      </c>
      <c r="W4334" s="1" t="str">
        <f t="shared" si="271"/>
        <v>2025-12</v>
      </c>
    </row>
    <row r="4335" spans="1:23">
      <c r="A4335" s="1" t="s">
        <v>6864</v>
      </c>
      <c r="B4335" s="1" t="s">
        <v>857</v>
      </c>
      <c r="C4335" s="1" t="s">
        <v>52</v>
      </c>
      <c r="D4335" s="1" t="s">
        <v>19</v>
      </c>
      <c r="E4335" s="1" t="s">
        <v>20</v>
      </c>
      <c r="F4335">
        <v>1</v>
      </c>
      <c r="G4335" s="2">
        <v>45978</v>
      </c>
      <c r="H4335" s="2">
        <v>45980</v>
      </c>
      <c r="I4335">
        <v>143.22999999999999</v>
      </c>
      <c r="J4335">
        <v>74.88</v>
      </c>
      <c r="K4335">
        <v>74.88</v>
      </c>
      <c r="L4335">
        <v>0</v>
      </c>
      <c r="M4335" s="1" t="s">
        <v>21</v>
      </c>
      <c r="N4335" s="1" t="s">
        <v>22</v>
      </c>
      <c r="O4335" s="2">
        <v>46046</v>
      </c>
      <c r="P4335" s="2">
        <v>46046</v>
      </c>
      <c r="Q4335">
        <f>_xlfn.XLOOKUP(E4335,CPT!$A$2:$A$13,CPT!$D$2:$D$13)</f>
        <v>145</v>
      </c>
      <c r="R4335" s="1">
        <f>_xlfn.XLOOKUP(C4335,Contract!$A$2:$A$9,Contract!$B$2:$B$9)</f>
        <v>0.47</v>
      </c>
      <c r="S4335" s="1">
        <f t="shared" si="268"/>
        <v>68.150000000000006</v>
      </c>
      <c r="T4335" s="1">
        <f t="shared" si="269"/>
        <v>-6.7299999999999898</v>
      </c>
      <c r="U4335" s="1" t="str">
        <f t="shared" si="270"/>
        <v>OK</v>
      </c>
      <c r="V4335" s="1" t="str">
        <f>_xlfn.XLOOKUP(C4335,Payers!$A$2:$A$9,Payers!$B$2:$B$9)</f>
        <v>Keystone Commercial PPO</v>
      </c>
      <c r="W4335" s="1" t="str">
        <f t="shared" si="271"/>
        <v>2025-11</v>
      </c>
    </row>
    <row r="4336" spans="1:23">
      <c r="A4336" s="1" t="s">
        <v>6865</v>
      </c>
      <c r="B4336" s="1" t="s">
        <v>1371</v>
      </c>
      <c r="C4336" s="1" t="s">
        <v>79</v>
      </c>
      <c r="D4336" s="1" t="s">
        <v>26</v>
      </c>
      <c r="E4336" s="1" t="s">
        <v>185</v>
      </c>
      <c r="F4336">
        <v>1</v>
      </c>
      <c r="G4336" s="2">
        <v>46075</v>
      </c>
      <c r="H4336" s="2">
        <v>46086</v>
      </c>
      <c r="I4336">
        <v>1126.44</v>
      </c>
      <c r="M4336" s="1" t="s">
        <v>69</v>
      </c>
      <c r="N4336" s="1" t="s">
        <v>22</v>
      </c>
      <c r="O4336" s="2"/>
      <c r="P4336" s="2"/>
      <c r="Q4336">
        <f>_xlfn.XLOOKUP(E4336,CPT!$A$2:$A$13,CPT!$D$2:$D$13)</f>
        <v>1150</v>
      </c>
      <c r="R4336" s="1">
        <f>_xlfn.XLOOKUP(C4336,Contract!$A$2:$A$9,Contract!$B$2:$B$9)</f>
        <v>1</v>
      </c>
      <c r="S4336" s="1">
        <f t="shared" si="268"/>
        <v>1150</v>
      </c>
      <c r="T4336" s="1" t="str">
        <f t="shared" si="269"/>
        <v/>
      </c>
      <c r="U4336" s="1" t="str">
        <f t="shared" si="270"/>
        <v/>
      </c>
      <c r="V4336" s="1" t="str">
        <f>_xlfn.XLOOKUP(C4336,Payers!$A$2:$A$9,Payers!$B$2:$B$9)</f>
        <v>Self-Pay</v>
      </c>
      <c r="W4336" s="1" t="str">
        <f t="shared" si="271"/>
        <v>2026-02</v>
      </c>
    </row>
    <row r="4337" spans="1:23">
      <c r="A4337" s="1" t="s">
        <v>6866</v>
      </c>
      <c r="B4337" s="1" t="s">
        <v>1355</v>
      </c>
      <c r="C4337" s="1" t="s">
        <v>60</v>
      </c>
      <c r="D4337" s="1" t="s">
        <v>37</v>
      </c>
      <c r="E4337" s="1" t="s">
        <v>38</v>
      </c>
      <c r="F4337">
        <v>30</v>
      </c>
      <c r="G4337" s="2">
        <v>46288</v>
      </c>
      <c r="H4337" s="2">
        <v>46291</v>
      </c>
      <c r="I4337">
        <v>43212.480000000003</v>
      </c>
      <c r="M4337" s="1" t="s">
        <v>69</v>
      </c>
      <c r="N4337" s="1" t="s">
        <v>22</v>
      </c>
      <c r="O4337" s="2"/>
      <c r="P4337" s="2"/>
      <c r="Q4337">
        <f>_xlfn.XLOOKUP(E4337,CPT!$A$2:$A$13,CPT!$D$2:$D$13)</f>
        <v>1450</v>
      </c>
      <c r="R4337" s="1">
        <f>_xlfn.XLOOKUP(C4337,Contract!$A$2:$A$9,Contract!$B$2:$B$9)</f>
        <v>0.45</v>
      </c>
      <c r="S4337" s="1">
        <f t="shared" si="268"/>
        <v>19575</v>
      </c>
      <c r="T4337" s="1" t="str">
        <f t="shared" si="269"/>
        <v/>
      </c>
      <c r="U4337" s="1" t="str">
        <f t="shared" si="270"/>
        <v/>
      </c>
      <c r="V4337" s="1" t="str">
        <f>_xlfn.XLOOKUP(C4337,Payers!$A$2:$A$9,Payers!$B$2:$B$9)</f>
        <v>Blue Horizon Commercial</v>
      </c>
      <c r="W4337" s="1" t="str">
        <f t="shared" si="271"/>
        <v>2026-09</v>
      </c>
    </row>
    <row r="4338" spans="1:23">
      <c r="A4338" s="1" t="s">
        <v>6867</v>
      </c>
      <c r="B4338" s="1" t="s">
        <v>5626</v>
      </c>
      <c r="C4338" s="1" t="s">
        <v>47</v>
      </c>
      <c r="D4338" s="1" t="s">
        <v>30</v>
      </c>
      <c r="E4338" s="1" t="s">
        <v>91</v>
      </c>
      <c r="F4338">
        <v>1</v>
      </c>
      <c r="G4338" s="2">
        <v>46004</v>
      </c>
      <c r="H4338" s="2">
        <v>46137</v>
      </c>
      <c r="I4338">
        <v>58.78</v>
      </c>
      <c r="M4338" s="1" t="s">
        <v>32</v>
      </c>
      <c r="N4338" s="1" t="s">
        <v>137</v>
      </c>
      <c r="O4338" s="2">
        <v>46215</v>
      </c>
      <c r="P4338" s="2"/>
      <c r="Q4338">
        <f>_xlfn.XLOOKUP(E4338,CPT!$A$2:$A$13,CPT!$D$2:$D$13)</f>
        <v>58</v>
      </c>
      <c r="R4338" s="1">
        <f>_xlfn.XLOOKUP(C4338,Contract!$A$2:$A$9,Contract!$B$2:$B$9)</f>
        <v>0.28000000000000003</v>
      </c>
      <c r="S4338" s="1">
        <f t="shared" si="268"/>
        <v>16.239999999999998</v>
      </c>
      <c r="T4338" s="1" t="str">
        <f t="shared" si="269"/>
        <v/>
      </c>
      <c r="U4338" s="1" t="str">
        <f t="shared" si="270"/>
        <v/>
      </c>
      <c r="V4338" s="1" t="str">
        <f>_xlfn.XLOOKUP(C4338,Payers!$A$2:$A$9,Payers!$B$2:$B$9)</f>
        <v>Coastal Medicaid MCO</v>
      </c>
      <c r="W4338" s="1" t="str">
        <f t="shared" si="271"/>
        <v>2025-12</v>
      </c>
    </row>
    <row r="4339" spans="1:23">
      <c r="A4339" s="1" t="s">
        <v>6868</v>
      </c>
      <c r="B4339" s="1" t="s">
        <v>729</v>
      </c>
      <c r="C4339" s="1" t="s">
        <v>76</v>
      </c>
      <c r="D4339" s="1" t="s">
        <v>19</v>
      </c>
      <c r="E4339" s="1" t="s">
        <v>20</v>
      </c>
      <c r="F4339">
        <v>1</v>
      </c>
      <c r="G4339" s="2">
        <v>46048</v>
      </c>
      <c r="H4339" s="2">
        <v>46052</v>
      </c>
      <c r="I4339">
        <v>144.85</v>
      </c>
      <c r="J4339">
        <v>64.91</v>
      </c>
      <c r="K4339">
        <v>51.93</v>
      </c>
      <c r="L4339">
        <v>12.98</v>
      </c>
      <c r="M4339" s="1" t="s">
        <v>21</v>
      </c>
      <c r="N4339" s="1" t="s">
        <v>22</v>
      </c>
      <c r="O4339" s="2">
        <v>46083</v>
      </c>
      <c r="P4339" s="2">
        <v>46083</v>
      </c>
      <c r="Q4339">
        <f>_xlfn.XLOOKUP(E4339,CPT!$A$2:$A$13,CPT!$D$2:$D$13)</f>
        <v>145</v>
      </c>
      <c r="R4339" s="1">
        <f>_xlfn.XLOOKUP(C4339,Contract!$A$2:$A$9,Contract!$B$2:$B$9)</f>
        <v>0.43</v>
      </c>
      <c r="S4339" s="1">
        <f t="shared" si="268"/>
        <v>62.35</v>
      </c>
      <c r="T4339" s="1">
        <f t="shared" si="269"/>
        <v>-2.5599999999999952</v>
      </c>
      <c r="U4339" s="1" t="str">
        <f t="shared" si="270"/>
        <v>OK</v>
      </c>
      <c r="V4339" s="1" t="str">
        <f>_xlfn.XLOOKUP(C4339,Payers!$A$2:$A$9,Payers!$B$2:$B$9)</f>
        <v>Summit Health Commercial</v>
      </c>
      <c r="W4339" s="1" t="str">
        <f t="shared" si="271"/>
        <v>2026-01</v>
      </c>
    </row>
    <row r="4340" spans="1:23">
      <c r="A4340" s="1" t="s">
        <v>6869</v>
      </c>
      <c r="B4340" s="1" t="s">
        <v>6870</v>
      </c>
      <c r="C4340" s="1" t="s">
        <v>76</v>
      </c>
      <c r="D4340" s="1" t="s">
        <v>37</v>
      </c>
      <c r="E4340" s="1" t="s">
        <v>38</v>
      </c>
      <c r="F4340">
        <v>30</v>
      </c>
      <c r="G4340" s="2">
        <v>46192</v>
      </c>
      <c r="H4340" s="2">
        <v>46194</v>
      </c>
      <c r="I4340">
        <v>44576.71</v>
      </c>
      <c r="M4340" s="1" t="s">
        <v>32</v>
      </c>
      <c r="N4340" s="1" t="s">
        <v>315</v>
      </c>
      <c r="O4340" s="2">
        <v>46229</v>
      </c>
      <c r="P4340" s="2"/>
      <c r="Q4340">
        <f>_xlfn.XLOOKUP(E4340,CPT!$A$2:$A$13,CPT!$D$2:$D$13)</f>
        <v>1450</v>
      </c>
      <c r="R4340" s="1">
        <f>_xlfn.XLOOKUP(C4340,Contract!$A$2:$A$9,Contract!$B$2:$B$9)</f>
        <v>0.43</v>
      </c>
      <c r="S4340" s="1">
        <f t="shared" si="268"/>
        <v>18705</v>
      </c>
      <c r="T4340" s="1" t="str">
        <f t="shared" si="269"/>
        <v/>
      </c>
      <c r="U4340" s="1" t="str">
        <f t="shared" si="270"/>
        <v/>
      </c>
      <c r="V4340" s="1" t="str">
        <f>_xlfn.XLOOKUP(C4340,Payers!$A$2:$A$9,Payers!$B$2:$B$9)</f>
        <v>Summit Health Commercial</v>
      </c>
      <c r="W4340" s="1" t="str">
        <f t="shared" si="271"/>
        <v>2026-06</v>
      </c>
    </row>
    <row r="4341" spans="1:23">
      <c r="A4341" s="1" t="s">
        <v>6871</v>
      </c>
      <c r="B4341" s="1" t="s">
        <v>291</v>
      </c>
      <c r="C4341" s="1" t="s">
        <v>60</v>
      </c>
      <c r="D4341" s="1" t="s">
        <v>26</v>
      </c>
      <c r="E4341" s="1" t="s">
        <v>88</v>
      </c>
      <c r="F4341">
        <v>1</v>
      </c>
      <c r="G4341" s="2">
        <v>46258</v>
      </c>
      <c r="H4341" s="2">
        <v>46263</v>
      </c>
      <c r="I4341">
        <v>263.60000000000002</v>
      </c>
      <c r="J4341">
        <v>106.94</v>
      </c>
      <c r="K4341">
        <v>106.94</v>
      </c>
      <c r="L4341">
        <v>0</v>
      </c>
      <c r="M4341" s="1" t="s">
        <v>21</v>
      </c>
      <c r="N4341" s="1" t="s">
        <v>22</v>
      </c>
      <c r="O4341" s="2">
        <v>46285</v>
      </c>
      <c r="P4341" s="2">
        <v>46285</v>
      </c>
      <c r="Q4341">
        <f>_xlfn.XLOOKUP(E4341,CPT!$A$2:$A$13,CPT!$D$2:$D$13)</f>
        <v>260</v>
      </c>
      <c r="R4341" s="1">
        <f>_xlfn.XLOOKUP(C4341,Contract!$A$2:$A$9,Contract!$B$2:$B$9)</f>
        <v>0.45</v>
      </c>
      <c r="S4341" s="1">
        <f t="shared" si="268"/>
        <v>117</v>
      </c>
      <c r="T4341" s="1">
        <f t="shared" si="269"/>
        <v>10.060000000000002</v>
      </c>
      <c r="U4341" s="1" t="str">
        <f t="shared" si="270"/>
        <v>Underpaid</v>
      </c>
      <c r="V4341" s="1" t="str">
        <f>_xlfn.XLOOKUP(C4341,Payers!$A$2:$A$9,Payers!$B$2:$B$9)</f>
        <v>Blue Horizon Commercial</v>
      </c>
      <c r="W4341" s="1" t="str">
        <f t="shared" si="271"/>
        <v>2026-08</v>
      </c>
    </row>
    <row r="4342" spans="1:23">
      <c r="A4342" s="1" t="s">
        <v>6872</v>
      </c>
      <c r="B4342" s="1" t="s">
        <v>361</v>
      </c>
      <c r="C4342" s="1" t="s">
        <v>60</v>
      </c>
      <c r="D4342" s="1" t="s">
        <v>19</v>
      </c>
      <c r="E4342" s="1" t="s">
        <v>88</v>
      </c>
      <c r="F4342">
        <v>1</v>
      </c>
      <c r="G4342" s="2">
        <v>46258</v>
      </c>
      <c r="H4342" s="2">
        <v>46273</v>
      </c>
      <c r="I4342">
        <v>259.45999999999998</v>
      </c>
      <c r="M4342" s="1" t="s">
        <v>69</v>
      </c>
      <c r="N4342" s="1" t="s">
        <v>22</v>
      </c>
      <c r="O4342" s="2"/>
      <c r="P4342" s="2"/>
      <c r="Q4342">
        <f>_xlfn.XLOOKUP(E4342,CPT!$A$2:$A$13,CPT!$D$2:$D$13)</f>
        <v>260</v>
      </c>
      <c r="R4342" s="1">
        <f>_xlfn.XLOOKUP(C4342,Contract!$A$2:$A$9,Contract!$B$2:$B$9)</f>
        <v>0.45</v>
      </c>
      <c r="S4342" s="1">
        <f t="shared" si="268"/>
        <v>117</v>
      </c>
      <c r="T4342" s="1" t="str">
        <f t="shared" si="269"/>
        <v/>
      </c>
      <c r="U4342" s="1" t="str">
        <f t="shared" si="270"/>
        <v/>
      </c>
      <c r="V4342" s="1" t="str">
        <f>_xlfn.XLOOKUP(C4342,Payers!$A$2:$A$9,Payers!$B$2:$B$9)</f>
        <v>Blue Horizon Commercial</v>
      </c>
      <c r="W4342" s="1" t="str">
        <f t="shared" si="271"/>
        <v>2026-08</v>
      </c>
    </row>
    <row r="4343" spans="1:23">
      <c r="A4343" s="1" t="s">
        <v>6873</v>
      </c>
      <c r="B4343" s="1" t="s">
        <v>6874</v>
      </c>
      <c r="C4343" s="1" t="s">
        <v>18</v>
      </c>
      <c r="D4343" s="1" t="s">
        <v>26</v>
      </c>
      <c r="E4343" s="1" t="s">
        <v>41</v>
      </c>
      <c r="F4343">
        <v>1</v>
      </c>
      <c r="G4343" s="2">
        <v>46111</v>
      </c>
      <c r="H4343" s="2">
        <v>46116</v>
      </c>
      <c r="I4343">
        <v>39.11</v>
      </c>
      <c r="J4343">
        <v>14.62</v>
      </c>
      <c r="K4343">
        <v>13.16</v>
      </c>
      <c r="L4343">
        <v>1.46</v>
      </c>
      <c r="M4343" s="1" t="s">
        <v>21</v>
      </c>
      <c r="N4343" s="1" t="s">
        <v>22</v>
      </c>
      <c r="O4343" s="2">
        <v>46172</v>
      </c>
      <c r="P4343" s="2">
        <v>46172</v>
      </c>
      <c r="Q4343">
        <f>_xlfn.XLOOKUP(E4343,CPT!$A$2:$A$13,CPT!$D$2:$D$13)</f>
        <v>38</v>
      </c>
      <c r="R4343" s="1">
        <f>_xlfn.XLOOKUP(C4343,Contract!$A$2:$A$9,Contract!$B$2:$B$9)</f>
        <v>0.38</v>
      </c>
      <c r="S4343" s="1">
        <f t="shared" si="268"/>
        <v>14.44</v>
      </c>
      <c r="T4343" s="1">
        <f t="shared" si="269"/>
        <v>-0.17999999999999972</v>
      </c>
      <c r="U4343" s="1" t="str">
        <f t="shared" si="270"/>
        <v>OK</v>
      </c>
      <c r="V4343" s="1" t="str">
        <f>_xlfn.XLOOKUP(C4343,Payers!$A$2:$A$9,Payers!$B$2:$B$9)</f>
        <v>Sunshine Medicare Advantage</v>
      </c>
      <c r="W4343" s="1" t="str">
        <f t="shared" si="271"/>
        <v>2026-03</v>
      </c>
    </row>
    <row r="4344" spans="1:23">
      <c r="A4344" s="1" t="s">
        <v>6875</v>
      </c>
      <c r="B4344" s="1" t="s">
        <v>310</v>
      </c>
      <c r="C4344" s="1" t="s">
        <v>76</v>
      </c>
      <c r="D4344" s="1" t="s">
        <v>19</v>
      </c>
      <c r="E4344" s="1" t="s">
        <v>41</v>
      </c>
      <c r="F4344">
        <v>1</v>
      </c>
      <c r="G4344" s="2">
        <v>46244</v>
      </c>
      <c r="H4344" s="2">
        <v>46248</v>
      </c>
      <c r="I4344">
        <v>37.880000000000003</v>
      </c>
      <c r="J4344">
        <v>16.11</v>
      </c>
      <c r="K4344">
        <v>16.11</v>
      </c>
      <c r="L4344">
        <v>0</v>
      </c>
      <c r="M4344" s="1" t="s">
        <v>21</v>
      </c>
      <c r="N4344" s="1" t="s">
        <v>22</v>
      </c>
      <c r="O4344" s="2">
        <v>46290</v>
      </c>
      <c r="P4344" s="2">
        <v>46290</v>
      </c>
      <c r="Q4344">
        <f>_xlfn.XLOOKUP(E4344,CPT!$A$2:$A$13,CPT!$D$2:$D$13)</f>
        <v>38</v>
      </c>
      <c r="R4344" s="1">
        <f>_xlfn.XLOOKUP(C4344,Contract!$A$2:$A$9,Contract!$B$2:$B$9)</f>
        <v>0.43</v>
      </c>
      <c r="S4344" s="1">
        <f t="shared" si="268"/>
        <v>16.34</v>
      </c>
      <c r="T4344" s="1">
        <f t="shared" si="269"/>
        <v>0.23000000000000043</v>
      </c>
      <c r="U4344" s="1" t="str">
        <f t="shared" si="270"/>
        <v>OK</v>
      </c>
      <c r="V4344" s="1" t="str">
        <f>_xlfn.XLOOKUP(C4344,Payers!$A$2:$A$9,Payers!$B$2:$B$9)</f>
        <v>Summit Health Commercial</v>
      </c>
      <c r="W4344" s="1" t="str">
        <f t="shared" si="271"/>
        <v>2026-08</v>
      </c>
    </row>
    <row r="4345" spans="1:23">
      <c r="A4345" s="1" t="s">
        <v>6876</v>
      </c>
      <c r="B4345" s="1" t="s">
        <v>1075</v>
      </c>
      <c r="C4345" s="1" t="s">
        <v>18</v>
      </c>
      <c r="D4345" s="1" t="s">
        <v>19</v>
      </c>
      <c r="E4345" s="1" t="s">
        <v>20</v>
      </c>
      <c r="F4345">
        <v>1</v>
      </c>
      <c r="G4345" s="2">
        <v>46086</v>
      </c>
      <c r="H4345" s="2">
        <v>46090</v>
      </c>
      <c r="I4345">
        <v>142.5</v>
      </c>
      <c r="J4345">
        <v>51.57</v>
      </c>
      <c r="K4345">
        <v>46.41</v>
      </c>
      <c r="L4345">
        <v>5.16</v>
      </c>
      <c r="M4345" s="1" t="s">
        <v>21</v>
      </c>
      <c r="N4345" s="1" t="s">
        <v>22</v>
      </c>
      <c r="O4345" s="2">
        <v>46160</v>
      </c>
      <c r="P4345" s="2">
        <v>46160</v>
      </c>
      <c r="Q4345">
        <f>_xlfn.XLOOKUP(E4345,CPT!$A$2:$A$13,CPT!$D$2:$D$13)</f>
        <v>145</v>
      </c>
      <c r="R4345" s="1">
        <f>_xlfn.XLOOKUP(C4345,Contract!$A$2:$A$9,Contract!$B$2:$B$9)</f>
        <v>0.38</v>
      </c>
      <c r="S4345" s="1">
        <f t="shared" si="268"/>
        <v>55.1</v>
      </c>
      <c r="T4345" s="1">
        <f t="shared" si="269"/>
        <v>3.5300000000000011</v>
      </c>
      <c r="U4345" s="1" t="str">
        <f t="shared" si="270"/>
        <v>Underpaid</v>
      </c>
      <c r="V4345" s="1" t="str">
        <f>_xlfn.XLOOKUP(C4345,Payers!$A$2:$A$9,Payers!$B$2:$B$9)</f>
        <v>Sunshine Medicare Advantage</v>
      </c>
      <c r="W4345" s="1" t="str">
        <f t="shared" si="271"/>
        <v>2026-03</v>
      </c>
    </row>
    <row r="4346" spans="1:23">
      <c r="A4346" s="1" t="s">
        <v>6877</v>
      </c>
      <c r="B4346" s="1" t="s">
        <v>6878</v>
      </c>
      <c r="C4346" s="1" t="s">
        <v>25</v>
      </c>
      <c r="D4346" s="1" t="s">
        <v>30</v>
      </c>
      <c r="E4346" s="1" t="s">
        <v>20</v>
      </c>
      <c r="F4346">
        <v>1</v>
      </c>
      <c r="G4346" s="2">
        <v>45962</v>
      </c>
      <c r="H4346" s="2">
        <v>45971</v>
      </c>
      <c r="I4346">
        <v>147.66999999999999</v>
      </c>
      <c r="J4346">
        <v>59.35</v>
      </c>
      <c r="K4346">
        <v>59.35</v>
      </c>
      <c r="L4346">
        <v>0</v>
      </c>
      <c r="M4346" s="1" t="s">
        <v>21</v>
      </c>
      <c r="N4346" s="1" t="s">
        <v>22</v>
      </c>
      <c r="O4346" s="2">
        <v>45994</v>
      </c>
      <c r="P4346" s="2">
        <v>45994</v>
      </c>
      <c r="Q4346">
        <f>_xlfn.XLOOKUP(E4346,CPT!$A$2:$A$13,CPT!$D$2:$D$13)</f>
        <v>145</v>
      </c>
      <c r="R4346" s="1">
        <f>_xlfn.XLOOKUP(C4346,Contract!$A$2:$A$9,Contract!$B$2:$B$9)</f>
        <v>0.36</v>
      </c>
      <c r="S4346" s="1">
        <f t="shared" si="268"/>
        <v>52.2</v>
      </c>
      <c r="T4346" s="1">
        <f t="shared" si="269"/>
        <v>-7.1499999999999986</v>
      </c>
      <c r="U4346" s="1" t="str">
        <f t="shared" si="270"/>
        <v>OK</v>
      </c>
      <c r="V4346" s="1" t="str">
        <f>_xlfn.XLOOKUP(C4346,Payers!$A$2:$A$9,Payers!$B$2:$B$9)</f>
        <v>Medicare Part B</v>
      </c>
      <c r="W4346" s="1" t="str">
        <f t="shared" si="271"/>
        <v>2025-11</v>
      </c>
    </row>
    <row r="4347" spans="1:23">
      <c r="A4347" s="1" t="s">
        <v>6879</v>
      </c>
      <c r="B4347" s="1" t="s">
        <v>1678</v>
      </c>
      <c r="C4347" s="1" t="s">
        <v>18</v>
      </c>
      <c r="D4347" s="1" t="s">
        <v>26</v>
      </c>
      <c r="E4347" s="1" t="s">
        <v>88</v>
      </c>
      <c r="F4347">
        <v>1</v>
      </c>
      <c r="G4347" s="2">
        <v>45985</v>
      </c>
      <c r="H4347" s="2">
        <v>45986</v>
      </c>
      <c r="I4347">
        <v>257.39999999999998</v>
      </c>
      <c r="J4347">
        <v>112.65</v>
      </c>
      <c r="K4347">
        <v>101.38</v>
      </c>
      <c r="L4347">
        <v>11.27</v>
      </c>
      <c r="M4347" s="1" t="s">
        <v>21</v>
      </c>
      <c r="N4347" s="1" t="s">
        <v>22</v>
      </c>
      <c r="O4347" s="2">
        <v>46028</v>
      </c>
      <c r="P4347" s="2">
        <v>46028</v>
      </c>
      <c r="Q4347">
        <f>_xlfn.XLOOKUP(E4347,CPT!$A$2:$A$13,CPT!$D$2:$D$13)</f>
        <v>260</v>
      </c>
      <c r="R4347" s="1">
        <f>_xlfn.XLOOKUP(C4347,Contract!$A$2:$A$9,Contract!$B$2:$B$9)</f>
        <v>0.38</v>
      </c>
      <c r="S4347" s="1">
        <f t="shared" si="268"/>
        <v>98.8</v>
      </c>
      <c r="T4347" s="1">
        <f t="shared" si="269"/>
        <v>-13.850000000000009</v>
      </c>
      <c r="U4347" s="1" t="str">
        <f t="shared" si="270"/>
        <v>OK</v>
      </c>
      <c r="V4347" s="1" t="str">
        <f>_xlfn.XLOOKUP(C4347,Payers!$A$2:$A$9,Payers!$B$2:$B$9)</f>
        <v>Sunshine Medicare Advantage</v>
      </c>
      <c r="W4347" s="1" t="str">
        <f t="shared" si="271"/>
        <v>2025-11</v>
      </c>
    </row>
    <row r="4348" spans="1:23">
      <c r="A4348" s="1" t="s">
        <v>6880</v>
      </c>
      <c r="B4348" s="1" t="s">
        <v>4601</v>
      </c>
      <c r="C4348" s="1" t="s">
        <v>79</v>
      </c>
      <c r="D4348" s="1" t="s">
        <v>26</v>
      </c>
      <c r="E4348" s="1" t="s">
        <v>44</v>
      </c>
      <c r="F4348">
        <v>1</v>
      </c>
      <c r="G4348" s="2">
        <v>46239</v>
      </c>
      <c r="H4348" s="2">
        <v>46244</v>
      </c>
      <c r="I4348">
        <v>4916.0600000000004</v>
      </c>
      <c r="M4348" s="1" t="s">
        <v>69</v>
      </c>
      <c r="N4348" s="1" t="s">
        <v>22</v>
      </c>
      <c r="O4348" s="2"/>
      <c r="P4348" s="2"/>
      <c r="Q4348">
        <f>_xlfn.XLOOKUP(E4348,CPT!$A$2:$A$13,CPT!$D$2:$D$13)</f>
        <v>4800</v>
      </c>
      <c r="R4348" s="1">
        <f>_xlfn.XLOOKUP(C4348,Contract!$A$2:$A$9,Contract!$B$2:$B$9)</f>
        <v>1</v>
      </c>
      <c r="S4348" s="1">
        <f t="shared" si="268"/>
        <v>4800</v>
      </c>
      <c r="T4348" s="1" t="str">
        <f t="shared" si="269"/>
        <v/>
      </c>
      <c r="U4348" s="1" t="str">
        <f t="shared" si="270"/>
        <v/>
      </c>
      <c r="V4348" s="1" t="str">
        <f>_xlfn.XLOOKUP(C4348,Payers!$A$2:$A$9,Payers!$B$2:$B$9)</f>
        <v>Self-Pay</v>
      </c>
      <c r="W4348" s="1" t="str">
        <f t="shared" si="271"/>
        <v>2026-08</v>
      </c>
    </row>
    <row r="4349" spans="1:23">
      <c r="A4349" s="1" t="s">
        <v>6881</v>
      </c>
      <c r="B4349" s="1" t="s">
        <v>643</v>
      </c>
      <c r="C4349" s="1" t="s">
        <v>25</v>
      </c>
      <c r="D4349" s="1" t="s">
        <v>37</v>
      </c>
      <c r="E4349" s="1" t="s">
        <v>57</v>
      </c>
      <c r="F4349">
        <v>1</v>
      </c>
      <c r="G4349" s="2">
        <v>46234</v>
      </c>
      <c r="H4349" s="2">
        <v>46236</v>
      </c>
      <c r="I4349">
        <v>205.64</v>
      </c>
      <c r="J4349">
        <v>83.24</v>
      </c>
      <c r="K4349">
        <v>83.24</v>
      </c>
      <c r="L4349">
        <v>0</v>
      </c>
      <c r="M4349" s="1" t="s">
        <v>21</v>
      </c>
      <c r="N4349" s="1" t="s">
        <v>22</v>
      </c>
      <c r="O4349" s="2">
        <v>46248</v>
      </c>
      <c r="P4349" s="2">
        <v>46248</v>
      </c>
      <c r="Q4349">
        <f>_xlfn.XLOOKUP(E4349,CPT!$A$2:$A$13,CPT!$D$2:$D$13)</f>
        <v>210</v>
      </c>
      <c r="R4349" s="1">
        <f>_xlfn.XLOOKUP(C4349,Contract!$A$2:$A$9,Contract!$B$2:$B$9)</f>
        <v>0.36</v>
      </c>
      <c r="S4349" s="1">
        <f t="shared" si="268"/>
        <v>75.599999999999994</v>
      </c>
      <c r="T4349" s="1">
        <f t="shared" si="269"/>
        <v>-7.6400000000000006</v>
      </c>
      <c r="U4349" s="1" t="str">
        <f t="shared" si="270"/>
        <v>OK</v>
      </c>
      <c r="V4349" s="1" t="str">
        <f>_xlfn.XLOOKUP(C4349,Payers!$A$2:$A$9,Payers!$B$2:$B$9)</f>
        <v>Medicare Part B</v>
      </c>
      <c r="W4349" s="1" t="str">
        <f t="shared" si="271"/>
        <v>2026-07</v>
      </c>
    </row>
    <row r="4350" spans="1:23">
      <c r="A4350" s="1" t="s">
        <v>6882</v>
      </c>
      <c r="B4350" s="1" t="s">
        <v>3383</v>
      </c>
      <c r="C4350" s="1" t="s">
        <v>36</v>
      </c>
      <c r="D4350" s="1" t="s">
        <v>37</v>
      </c>
      <c r="E4350" s="1" t="s">
        <v>57</v>
      </c>
      <c r="F4350">
        <v>1</v>
      </c>
      <c r="G4350" s="2">
        <v>46119</v>
      </c>
      <c r="H4350" s="2">
        <v>46124</v>
      </c>
      <c r="I4350">
        <v>214.64</v>
      </c>
      <c r="J4350">
        <v>50.27</v>
      </c>
      <c r="K4350">
        <v>45.24</v>
      </c>
      <c r="L4350">
        <v>5.03</v>
      </c>
      <c r="M4350" s="1" t="s">
        <v>21</v>
      </c>
      <c r="N4350" s="1" t="s">
        <v>22</v>
      </c>
      <c r="O4350" s="2">
        <v>46166</v>
      </c>
      <c r="P4350" s="2">
        <v>46166</v>
      </c>
      <c r="Q4350">
        <f>_xlfn.XLOOKUP(E4350,CPT!$A$2:$A$13,CPT!$D$2:$D$13)</f>
        <v>210</v>
      </c>
      <c r="R4350" s="1">
        <f>_xlfn.XLOOKUP(C4350,Contract!$A$2:$A$9,Contract!$B$2:$B$9)</f>
        <v>0.27</v>
      </c>
      <c r="S4350" s="1">
        <f t="shared" si="268"/>
        <v>56.7</v>
      </c>
      <c r="T4350" s="1">
        <f t="shared" si="269"/>
        <v>6.43</v>
      </c>
      <c r="U4350" s="1" t="str">
        <f t="shared" si="270"/>
        <v>Underpaid</v>
      </c>
      <c r="V4350" s="1" t="str">
        <f>_xlfn.XLOOKUP(C4350,Payers!$A$2:$A$9,Payers!$B$2:$B$9)</f>
        <v>Florida Medicaid</v>
      </c>
      <c r="W4350" s="1" t="str">
        <f t="shared" si="271"/>
        <v>2026-04</v>
      </c>
    </row>
    <row r="4351" spans="1:23">
      <c r="A4351" s="1" t="s">
        <v>6883</v>
      </c>
      <c r="B4351" s="1" t="s">
        <v>6884</v>
      </c>
      <c r="C4351" s="1" t="s">
        <v>36</v>
      </c>
      <c r="D4351" s="1" t="s">
        <v>26</v>
      </c>
      <c r="E4351" s="1" t="s">
        <v>57</v>
      </c>
      <c r="F4351">
        <v>1</v>
      </c>
      <c r="G4351" s="2">
        <v>45952</v>
      </c>
      <c r="H4351" s="2">
        <v>45954</v>
      </c>
      <c r="I4351">
        <v>210.79</v>
      </c>
      <c r="M4351" s="1" t="s">
        <v>32</v>
      </c>
      <c r="N4351" s="1" t="s">
        <v>168</v>
      </c>
      <c r="O4351" s="2">
        <v>45970</v>
      </c>
      <c r="P4351" s="2"/>
      <c r="Q4351">
        <f>_xlfn.XLOOKUP(E4351,CPT!$A$2:$A$13,CPT!$D$2:$D$13)</f>
        <v>210</v>
      </c>
      <c r="R4351" s="1">
        <f>_xlfn.XLOOKUP(C4351,Contract!$A$2:$A$9,Contract!$B$2:$B$9)</f>
        <v>0.27</v>
      </c>
      <c r="S4351" s="1">
        <f t="shared" si="268"/>
        <v>56.7</v>
      </c>
      <c r="T4351" s="1" t="str">
        <f t="shared" si="269"/>
        <v/>
      </c>
      <c r="U4351" s="1" t="str">
        <f t="shared" si="270"/>
        <v/>
      </c>
      <c r="V4351" s="1" t="str">
        <f>_xlfn.XLOOKUP(C4351,Payers!$A$2:$A$9,Payers!$B$2:$B$9)</f>
        <v>Florida Medicaid</v>
      </c>
      <c r="W4351" s="1" t="str">
        <f t="shared" si="271"/>
        <v>2025-10</v>
      </c>
    </row>
    <row r="4352" spans="1:23">
      <c r="A4352" s="1" t="s">
        <v>6885</v>
      </c>
      <c r="B4352" s="1" t="s">
        <v>6886</v>
      </c>
      <c r="C4352" s="1" t="s">
        <v>60</v>
      </c>
      <c r="D4352" s="1" t="s">
        <v>26</v>
      </c>
      <c r="E4352" s="1" t="s">
        <v>113</v>
      </c>
      <c r="F4352">
        <v>1</v>
      </c>
      <c r="G4352" s="2">
        <v>46219</v>
      </c>
      <c r="H4352" s="2">
        <v>46224</v>
      </c>
      <c r="I4352">
        <v>1070.8699999999999</v>
      </c>
      <c r="M4352" s="1" t="s">
        <v>32</v>
      </c>
      <c r="N4352" s="1" t="s">
        <v>315</v>
      </c>
      <c r="O4352" s="2">
        <v>46242</v>
      </c>
      <c r="P4352" s="2"/>
      <c r="Q4352">
        <f>_xlfn.XLOOKUP(E4352,CPT!$A$2:$A$13,CPT!$D$2:$D$13)</f>
        <v>1050</v>
      </c>
      <c r="R4352" s="1">
        <f>_xlfn.XLOOKUP(C4352,Contract!$A$2:$A$9,Contract!$B$2:$B$9)</f>
        <v>0.45</v>
      </c>
      <c r="S4352" s="1">
        <f t="shared" si="268"/>
        <v>472.5</v>
      </c>
      <c r="T4352" s="1" t="str">
        <f t="shared" si="269"/>
        <v/>
      </c>
      <c r="U4352" s="1" t="str">
        <f t="shared" si="270"/>
        <v/>
      </c>
      <c r="V4352" s="1" t="str">
        <f>_xlfn.XLOOKUP(C4352,Payers!$A$2:$A$9,Payers!$B$2:$B$9)</f>
        <v>Blue Horizon Commercial</v>
      </c>
      <c r="W4352" s="1" t="str">
        <f t="shared" si="271"/>
        <v>2026-07</v>
      </c>
    </row>
    <row r="4353" spans="1:23">
      <c r="A4353" s="1" t="s">
        <v>6887</v>
      </c>
      <c r="B4353" s="1" t="s">
        <v>4783</v>
      </c>
      <c r="C4353" s="1" t="s">
        <v>18</v>
      </c>
      <c r="D4353" s="1" t="s">
        <v>37</v>
      </c>
      <c r="E4353" s="1" t="s">
        <v>38</v>
      </c>
      <c r="F4353">
        <v>20</v>
      </c>
      <c r="G4353" s="2">
        <v>46199</v>
      </c>
      <c r="H4353" s="2">
        <v>46212</v>
      </c>
      <c r="I4353">
        <v>28199.26</v>
      </c>
      <c r="M4353" s="1" t="s">
        <v>69</v>
      </c>
      <c r="N4353" s="1" t="s">
        <v>22</v>
      </c>
      <c r="O4353" s="2"/>
      <c r="P4353" s="2"/>
      <c r="Q4353">
        <f>_xlfn.XLOOKUP(E4353,CPT!$A$2:$A$13,CPT!$D$2:$D$13)</f>
        <v>1450</v>
      </c>
      <c r="R4353" s="1">
        <f>_xlfn.XLOOKUP(C4353,Contract!$A$2:$A$9,Contract!$B$2:$B$9)</f>
        <v>0.38</v>
      </c>
      <c r="S4353" s="1">
        <f t="shared" si="268"/>
        <v>11020</v>
      </c>
      <c r="T4353" s="1" t="str">
        <f t="shared" si="269"/>
        <v/>
      </c>
      <c r="U4353" s="1" t="str">
        <f t="shared" si="270"/>
        <v/>
      </c>
      <c r="V4353" s="1" t="str">
        <f>_xlfn.XLOOKUP(C4353,Payers!$A$2:$A$9,Payers!$B$2:$B$9)</f>
        <v>Sunshine Medicare Advantage</v>
      </c>
      <c r="W4353" s="1" t="str">
        <f t="shared" si="271"/>
        <v>2026-06</v>
      </c>
    </row>
    <row r="4354" spans="1:23">
      <c r="A4354" s="1" t="s">
        <v>6888</v>
      </c>
      <c r="B4354" s="1" t="s">
        <v>1112</v>
      </c>
      <c r="C4354" s="1" t="s">
        <v>52</v>
      </c>
      <c r="D4354" s="1" t="s">
        <v>37</v>
      </c>
      <c r="E4354" s="1" t="s">
        <v>57</v>
      </c>
      <c r="F4354">
        <v>1</v>
      </c>
      <c r="G4354" s="2">
        <v>46247</v>
      </c>
      <c r="H4354" s="2">
        <v>46251</v>
      </c>
      <c r="I4354">
        <v>209.49</v>
      </c>
      <c r="M4354" s="1" t="s">
        <v>69</v>
      </c>
      <c r="N4354" s="1" t="s">
        <v>22</v>
      </c>
      <c r="O4354" s="2"/>
      <c r="P4354" s="2"/>
      <c r="Q4354">
        <f>_xlfn.XLOOKUP(E4354,CPT!$A$2:$A$13,CPT!$D$2:$D$13)</f>
        <v>210</v>
      </c>
      <c r="R4354" s="1">
        <f>_xlfn.XLOOKUP(C4354,Contract!$A$2:$A$9,Contract!$B$2:$B$9)</f>
        <v>0.47</v>
      </c>
      <c r="S4354" s="1">
        <f t="shared" ref="S4354:S4417" si="272">ROUND(Q4354*F4354*R4354,2)</f>
        <v>98.7</v>
      </c>
      <c r="T4354" s="1" t="str">
        <f t="shared" ref="T4354:T4417" si="273">IF(M4354="Paid",S4354-J4354,"")</f>
        <v/>
      </c>
      <c r="U4354" s="1" t="str">
        <f t="shared" ref="U4354:U4417" si="274">IF(M4354&lt;&gt;"Paid","",IF(T4354&gt;S4354*0.05,"Underpaid","OK"))</f>
        <v/>
      </c>
      <c r="V4354" s="1" t="str">
        <f>_xlfn.XLOOKUP(C4354,Payers!$A$2:$A$9,Payers!$B$2:$B$9)</f>
        <v>Keystone Commercial PPO</v>
      </c>
      <c r="W4354" s="1" t="str">
        <f t="shared" ref="W4354:W4417" si="275">TEXT(G4354,"yyyy-mm")</f>
        <v>2026-08</v>
      </c>
    </row>
    <row r="4355" spans="1:23">
      <c r="A4355" s="1" t="s">
        <v>6889</v>
      </c>
      <c r="B4355" s="1" t="s">
        <v>6890</v>
      </c>
      <c r="C4355" s="1" t="s">
        <v>60</v>
      </c>
      <c r="D4355" s="1" t="s">
        <v>37</v>
      </c>
      <c r="E4355" s="1" t="s">
        <v>48</v>
      </c>
      <c r="F4355">
        <v>1</v>
      </c>
      <c r="G4355" s="2">
        <v>46257</v>
      </c>
      <c r="H4355" s="2">
        <v>46260</v>
      </c>
      <c r="I4355">
        <v>410.06</v>
      </c>
      <c r="J4355">
        <v>164.04</v>
      </c>
      <c r="K4355">
        <v>147.63999999999999</v>
      </c>
      <c r="L4355">
        <v>16.399999999999999</v>
      </c>
      <c r="M4355" s="1" t="s">
        <v>21</v>
      </c>
      <c r="N4355" s="1" t="s">
        <v>22</v>
      </c>
      <c r="O4355" s="2">
        <v>46291</v>
      </c>
      <c r="P4355" s="2">
        <v>46291</v>
      </c>
      <c r="Q4355">
        <f>_xlfn.XLOOKUP(E4355,CPT!$A$2:$A$13,CPT!$D$2:$D$13)</f>
        <v>420</v>
      </c>
      <c r="R4355" s="1">
        <f>_xlfn.XLOOKUP(C4355,Contract!$A$2:$A$9,Contract!$B$2:$B$9)</f>
        <v>0.45</v>
      </c>
      <c r="S4355" s="1">
        <f t="shared" si="272"/>
        <v>189</v>
      </c>
      <c r="T4355" s="1">
        <f t="shared" si="273"/>
        <v>24.960000000000008</v>
      </c>
      <c r="U4355" s="1" t="str">
        <f t="shared" si="274"/>
        <v>Underpaid</v>
      </c>
      <c r="V4355" s="1" t="str">
        <f>_xlfn.XLOOKUP(C4355,Payers!$A$2:$A$9,Payers!$B$2:$B$9)</f>
        <v>Blue Horizon Commercial</v>
      </c>
      <c r="W4355" s="1" t="str">
        <f t="shared" si="275"/>
        <v>2026-08</v>
      </c>
    </row>
    <row r="4356" spans="1:23">
      <c r="A4356" s="1" t="s">
        <v>6891</v>
      </c>
      <c r="B4356" s="1" t="s">
        <v>430</v>
      </c>
      <c r="C4356" s="1" t="s">
        <v>52</v>
      </c>
      <c r="D4356" s="1" t="s">
        <v>26</v>
      </c>
      <c r="E4356" s="1" t="s">
        <v>185</v>
      </c>
      <c r="F4356">
        <v>1</v>
      </c>
      <c r="G4356" s="2">
        <v>45955</v>
      </c>
      <c r="H4356" s="2">
        <v>45956</v>
      </c>
      <c r="I4356">
        <v>1121.32</v>
      </c>
      <c r="J4356">
        <v>547.83000000000004</v>
      </c>
      <c r="K4356">
        <v>493.05</v>
      </c>
      <c r="L4356">
        <v>54.78</v>
      </c>
      <c r="M4356" s="1" t="s">
        <v>21</v>
      </c>
      <c r="N4356" s="1" t="s">
        <v>22</v>
      </c>
      <c r="O4356" s="2">
        <v>45992</v>
      </c>
      <c r="P4356" s="2">
        <v>45992</v>
      </c>
      <c r="Q4356">
        <f>_xlfn.XLOOKUP(E4356,CPT!$A$2:$A$13,CPT!$D$2:$D$13)</f>
        <v>1150</v>
      </c>
      <c r="R4356" s="1">
        <f>_xlfn.XLOOKUP(C4356,Contract!$A$2:$A$9,Contract!$B$2:$B$9)</f>
        <v>0.47</v>
      </c>
      <c r="S4356" s="1">
        <f t="shared" si="272"/>
        <v>540.5</v>
      </c>
      <c r="T4356" s="1">
        <f t="shared" si="273"/>
        <v>-7.3300000000000409</v>
      </c>
      <c r="U4356" s="1" t="str">
        <f t="shared" si="274"/>
        <v>OK</v>
      </c>
      <c r="V4356" s="1" t="str">
        <f>_xlfn.XLOOKUP(C4356,Payers!$A$2:$A$9,Payers!$B$2:$B$9)</f>
        <v>Keystone Commercial PPO</v>
      </c>
      <c r="W4356" s="1" t="str">
        <f t="shared" si="275"/>
        <v>2025-10</v>
      </c>
    </row>
    <row r="4357" spans="1:23">
      <c r="A4357" s="1" t="s">
        <v>6892</v>
      </c>
      <c r="B4357" s="1" t="s">
        <v>1416</v>
      </c>
      <c r="C4357" s="1" t="s">
        <v>52</v>
      </c>
      <c r="D4357" s="1" t="s">
        <v>26</v>
      </c>
      <c r="E4357" s="1" t="s">
        <v>41</v>
      </c>
      <c r="F4357">
        <v>1</v>
      </c>
      <c r="G4357" s="2">
        <v>45963</v>
      </c>
      <c r="H4357" s="2">
        <v>45964</v>
      </c>
      <c r="I4357">
        <v>38.03</v>
      </c>
      <c r="J4357">
        <v>19.03</v>
      </c>
      <c r="K4357">
        <v>15.22</v>
      </c>
      <c r="L4357">
        <v>3.81</v>
      </c>
      <c r="M4357" s="1" t="s">
        <v>21</v>
      </c>
      <c r="N4357" s="1" t="s">
        <v>22</v>
      </c>
      <c r="O4357" s="2">
        <v>45997</v>
      </c>
      <c r="P4357" s="2">
        <v>45997</v>
      </c>
      <c r="Q4357">
        <f>_xlfn.XLOOKUP(E4357,CPT!$A$2:$A$13,CPT!$D$2:$D$13)</f>
        <v>38</v>
      </c>
      <c r="R4357" s="1">
        <f>_xlfn.XLOOKUP(C4357,Contract!$A$2:$A$9,Contract!$B$2:$B$9)</f>
        <v>0.47</v>
      </c>
      <c r="S4357" s="1">
        <f t="shared" si="272"/>
        <v>17.86</v>
      </c>
      <c r="T4357" s="1">
        <f t="shared" si="273"/>
        <v>-1.1700000000000017</v>
      </c>
      <c r="U4357" s="1" t="str">
        <f t="shared" si="274"/>
        <v>OK</v>
      </c>
      <c r="V4357" s="1" t="str">
        <f>_xlfn.XLOOKUP(C4357,Payers!$A$2:$A$9,Payers!$B$2:$B$9)</f>
        <v>Keystone Commercial PPO</v>
      </c>
      <c r="W4357" s="1" t="str">
        <f t="shared" si="275"/>
        <v>2025-11</v>
      </c>
    </row>
    <row r="4358" spans="1:23">
      <c r="A4358" s="1" t="s">
        <v>6893</v>
      </c>
      <c r="B4358" s="1" t="s">
        <v>2097</v>
      </c>
      <c r="C4358" s="1" t="s">
        <v>25</v>
      </c>
      <c r="D4358" s="1" t="s">
        <v>37</v>
      </c>
      <c r="E4358" s="1" t="s">
        <v>38</v>
      </c>
      <c r="F4358">
        <v>5</v>
      </c>
      <c r="G4358" s="2">
        <v>46124</v>
      </c>
      <c r="H4358" s="2">
        <v>46134</v>
      </c>
      <c r="I4358">
        <v>7033.91</v>
      </c>
      <c r="J4358">
        <v>2777.03</v>
      </c>
      <c r="K4358">
        <v>2777.03</v>
      </c>
      <c r="L4358">
        <v>0</v>
      </c>
      <c r="M4358" s="1" t="s">
        <v>21</v>
      </c>
      <c r="N4358" s="1" t="s">
        <v>22</v>
      </c>
      <c r="O4358" s="2">
        <v>46158</v>
      </c>
      <c r="P4358" s="2">
        <v>46158</v>
      </c>
      <c r="Q4358">
        <f>_xlfn.XLOOKUP(E4358,CPT!$A$2:$A$13,CPT!$D$2:$D$13)</f>
        <v>1450</v>
      </c>
      <c r="R4358" s="1">
        <f>_xlfn.XLOOKUP(C4358,Contract!$A$2:$A$9,Contract!$B$2:$B$9)</f>
        <v>0.36</v>
      </c>
      <c r="S4358" s="1">
        <f t="shared" si="272"/>
        <v>2610</v>
      </c>
      <c r="T4358" s="1">
        <f t="shared" si="273"/>
        <v>-167.0300000000002</v>
      </c>
      <c r="U4358" s="1" t="str">
        <f t="shared" si="274"/>
        <v>OK</v>
      </c>
      <c r="V4358" s="1" t="str">
        <f>_xlfn.XLOOKUP(C4358,Payers!$A$2:$A$9,Payers!$B$2:$B$9)</f>
        <v>Medicare Part B</v>
      </c>
      <c r="W4358" s="1" t="str">
        <f t="shared" si="275"/>
        <v>2026-04</v>
      </c>
    </row>
    <row r="4359" spans="1:23">
      <c r="A4359" s="1" t="s">
        <v>6894</v>
      </c>
      <c r="B4359" s="1" t="s">
        <v>6205</v>
      </c>
      <c r="C4359" s="1" t="s">
        <v>18</v>
      </c>
      <c r="D4359" s="1" t="s">
        <v>26</v>
      </c>
      <c r="E4359" s="1" t="s">
        <v>57</v>
      </c>
      <c r="F4359">
        <v>1</v>
      </c>
      <c r="G4359" s="2">
        <v>45998</v>
      </c>
      <c r="H4359" s="2">
        <v>45999</v>
      </c>
      <c r="I4359">
        <v>212.83</v>
      </c>
      <c r="J4359">
        <v>89.73</v>
      </c>
      <c r="K4359">
        <v>89.73</v>
      </c>
      <c r="L4359">
        <v>0</v>
      </c>
      <c r="M4359" s="1" t="s">
        <v>21</v>
      </c>
      <c r="N4359" s="1" t="s">
        <v>22</v>
      </c>
      <c r="O4359" s="2">
        <v>46055</v>
      </c>
      <c r="P4359" s="2">
        <v>46055</v>
      </c>
      <c r="Q4359">
        <f>_xlfn.XLOOKUP(E4359,CPT!$A$2:$A$13,CPT!$D$2:$D$13)</f>
        <v>210</v>
      </c>
      <c r="R4359" s="1">
        <f>_xlfn.XLOOKUP(C4359,Contract!$A$2:$A$9,Contract!$B$2:$B$9)</f>
        <v>0.38</v>
      </c>
      <c r="S4359" s="1">
        <f t="shared" si="272"/>
        <v>79.8</v>
      </c>
      <c r="T4359" s="1">
        <f t="shared" si="273"/>
        <v>-9.9300000000000068</v>
      </c>
      <c r="U4359" s="1" t="str">
        <f t="shared" si="274"/>
        <v>OK</v>
      </c>
      <c r="V4359" s="1" t="str">
        <f>_xlfn.XLOOKUP(C4359,Payers!$A$2:$A$9,Payers!$B$2:$B$9)</f>
        <v>Sunshine Medicare Advantage</v>
      </c>
      <c r="W4359" s="1" t="str">
        <f t="shared" si="275"/>
        <v>2025-12</v>
      </c>
    </row>
    <row r="4360" spans="1:23">
      <c r="A4360" s="1" t="s">
        <v>6895</v>
      </c>
      <c r="B4360" s="1" t="s">
        <v>388</v>
      </c>
      <c r="C4360" s="1" t="s">
        <v>60</v>
      </c>
      <c r="D4360" s="1" t="s">
        <v>26</v>
      </c>
      <c r="E4360" s="1" t="s">
        <v>41</v>
      </c>
      <c r="F4360">
        <v>1</v>
      </c>
      <c r="G4360" s="2">
        <v>45970</v>
      </c>
      <c r="H4360" s="2">
        <v>45979</v>
      </c>
      <c r="I4360">
        <v>38.6</v>
      </c>
      <c r="J4360">
        <v>18.63</v>
      </c>
      <c r="K4360">
        <v>18.63</v>
      </c>
      <c r="L4360">
        <v>0</v>
      </c>
      <c r="M4360" s="1" t="s">
        <v>21</v>
      </c>
      <c r="N4360" s="1" t="s">
        <v>22</v>
      </c>
      <c r="O4360" s="2">
        <v>45993</v>
      </c>
      <c r="P4360" s="2">
        <v>45993</v>
      </c>
      <c r="Q4360">
        <f>_xlfn.XLOOKUP(E4360,CPT!$A$2:$A$13,CPT!$D$2:$D$13)</f>
        <v>38</v>
      </c>
      <c r="R4360" s="1">
        <f>_xlfn.XLOOKUP(C4360,Contract!$A$2:$A$9,Contract!$B$2:$B$9)</f>
        <v>0.45</v>
      </c>
      <c r="S4360" s="1">
        <f t="shared" si="272"/>
        <v>17.100000000000001</v>
      </c>
      <c r="T4360" s="1">
        <f t="shared" si="273"/>
        <v>-1.5299999999999976</v>
      </c>
      <c r="U4360" s="1" t="str">
        <f t="shared" si="274"/>
        <v>OK</v>
      </c>
      <c r="V4360" s="1" t="str">
        <f>_xlfn.XLOOKUP(C4360,Payers!$A$2:$A$9,Payers!$B$2:$B$9)</f>
        <v>Blue Horizon Commercial</v>
      </c>
      <c r="W4360" s="1" t="str">
        <f t="shared" si="275"/>
        <v>2025-11</v>
      </c>
    </row>
    <row r="4361" spans="1:23">
      <c r="A4361" s="1" t="s">
        <v>6896</v>
      </c>
      <c r="B4361" s="1" t="s">
        <v>6080</v>
      </c>
      <c r="C4361" s="1" t="s">
        <v>52</v>
      </c>
      <c r="D4361" s="1" t="s">
        <v>37</v>
      </c>
      <c r="E4361" s="1" t="s">
        <v>48</v>
      </c>
      <c r="F4361">
        <v>1</v>
      </c>
      <c r="G4361" s="2">
        <v>46196</v>
      </c>
      <c r="H4361" s="2">
        <v>46204</v>
      </c>
      <c r="I4361">
        <v>430.11</v>
      </c>
      <c r="M4361" s="1" t="s">
        <v>32</v>
      </c>
      <c r="N4361" s="1" t="s">
        <v>124</v>
      </c>
      <c r="O4361" s="2">
        <v>46239</v>
      </c>
      <c r="P4361" s="2"/>
      <c r="Q4361">
        <f>_xlfn.XLOOKUP(E4361,CPT!$A$2:$A$13,CPT!$D$2:$D$13)</f>
        <v>420</v>
      </c>
      <c r="R4361" s="1">
        <f>_xlfn.XLOOKUP(C4361,Contract!$A$2:$A$9,Contract!$B$2:$B$9)</f>
        <v>0.47</v>
      </c>
      <c r="S4361" s="1">
        <f t="shared" si="272"/>
        <v>197.4</v>
      </c>
      <c r="T4361" s="1" t="str">
        <f t="shared" si="273"/>
        <v/>
      </c>
      <c r="U4361" s="1" t="str">
        <f t="shared" si="274"/>
        <v/>
      </c>
      <c r="V4361" s="1" t="str">
        <f>_xlfn.XLOOKUP(C4361,Payers!$A$2:$A$9,Payers!$B$2:$B$9)</f>
        <v>Keystone Commercial PPO</v>
      </c>
      <c r="W4361" s="1" t="str">
        <f t="shared" si="275"/>
        <v>2026-06</v>
      </c>
    </row>
    <row r="4362" spans="1:23">
      <c r="A4362" s="1" t="s">
        <v>6897</v>
      </c>
      <c r="B4362" s="1" t="s">
        <v>6898</v>
      </c>
      <c r="C4362" s="1" t="s">
        <v>60</v>
      </c>
      <c r="D4362" s="1" t="s">
        <v>30</v>
      </c>
      <c r="E4362" s="1" t="s">
        <v>20</v>
      </c>
      <c r="F4362">
        <v>1</v>
      </c>
      <c r="G4362" s="2">
        <v>46008</v>
      </c>
      <c r="H4362" s="2">
        <v>46012</v>
      </c>
      <c r="I4362">
        <v>143.81</v>
      </c>
      <c r="J4362">
        <v>74.180000000000007</v>
      </c>
      <c r="K4362">
        <v>59.34</v>
      </c>
      <c r="L4362">
        <v>14.84</v>
      </c>
      <c r="M4362" s="1" t="s">
        <v>21</v>
      </c>
      <c r="N4362" s="1" t="s">
        <v>22</v>
      </c>
      <c r="O4362" s="2">
        <v>46033</v>
      </c>
      <c r="P4362" s="2">
        <v>46033</v>
      </c>
      <c r="Q4362">
        <f>_xlfn.XLOOKUP(E4362,CPT!$A$2:$A$13,CPT!$D$2:$D$13)</f>
        <v>145</v>
      </c>
      <c r="R4362" s="1">
        <f>_xlfn.XLOOKUP(C4362,Contract!$A$2:$A$9,Contract!$B$2:$B$9)</f>
        <v>0.45</v>
      </c>
      <c r="S4362" s="1">
        <f t="shared" si="272"/>
        <v>65.25</v>
      </c>
      <c r="T4362" s="1">
        <f t="shared" si="273"/>
        <v>-8.9300000000000068</v>
      </c>
      <c r="U4362" s="1" t="str">
        <f t="shared" si="274"/>
        <v>OK</v>
      </c>
      <c r="V4362" s="1" t="str">
        <f>_xlfn.XLOOKUP(C4362,Payers!$A$2:$A$9,Payers!$B$2:$B$9)</f>
        <v>Blue Horizon Commercial</v>
      </c>
      <c r="W4362" s="1" t="str">
        <f t="shared" si="275"/>
        <v>2025-12</v>
      </c>
    </row>
    <row r="4363" spans="1:23">
      <c r="A4363" s="1" t="s">
        <v>6899</v>
      </c>
      <c r="B4363" s="1" t="s">
        <v>1102</v>
      </c>
      <c r="C4363" s="1" t="s">
        <v>60</v>
      </c>
      <c r="D4363" s="1" t="s">
        <v>19</v>
      </c>
      <c r="E4363" s="1" t="s">
        <v>57</v>
      </c>
      <c r="F4363">
        <v>1</v>
      </c>
      <c r="G4363" s="2">
        <v>46179</v>
      </c>
      <c r="H4363" s="2">
        <v>46186</v>
      </c>
      <c r="I4363">
        <v>203.95</v>
      </c>
      <c r="J4363">
        <v>84.73</v>
      </c>
      <c r="K4363">
        <v>76.260000000000005</v>
      </c>
      <c r="L4363">
        <v>8.4700000000000006</v>
      </c>
      <c r="M4363" s="1" t="s">
        <v>21</v>
      </c>
      <c r="N4363" s="1" t="s">
        <v>22</v>
      </c>
      <c r="O4363" s="2">
        <v>46209</v>
      </c>
      <c r="P4363" s="2">
        <v>46209</v>
      </c>
      <c r="Q4363">
        <f>_xlfn.XLOOKUP(E4363,CPT!$A$2:$A$13,CPT!$D$2:$D$13)</f>
        <v>210</v>
      </c>
      <c r="R4363" s="1">
        <f>_xlfn.XLOOKUP(C4363,Contract!$A$2:$A$9,Contract!$B$2:$B$9)</f>
        <v>0.45</v>
      </c>
      <c r="S4363" s="1">
        <f t="shared" si="272"/>
        <v>94.5</v>
      </c>
      <c r="T4363" s="1">
        <f t="shared" si="273"/>
        <v>9.769999999999996</v>
      </c>
      <c r="U4363" s="1" t="str">
        <f t="shared" si="274"/>
        <v>Underpaid</v>
      </c>
      <c r="V4363" s="1" t="str">
        <f>_xlfn.XLOOKUP(C4363,Payers!$A$2:$A$9,Payers!$B$2:$B$9)</f>
        <v>Blue Horizon Commercial</v>
      </c>
      <c r="W4363" s="1" t="str">
        <f t="shared" si="275"/>
        <v>2026-06</v>
      </c>
    </row>
    <row r="4364" spans="1:23">
      <c r="A4364" s="1" t="s">
        <v>6900</v>
      </c>
      <c r="B4364" s="1" t="s">
        <v>4086</v>
      </c>
      <c r="C4364" s="1" t="s">
        <v>76</v>
      </c>
      <c r="D4364" s="1" t="s">
        <v>30</v>
      </c>
      <c r="E4364" s="1" t="s">
        <v>91</v>
      </c>
      <c r="F4364">
        <v>1</v>
      </c>
      <c r="G4364" s="2">
        <v>45949</v>
      </c>
      <c r="H4364" s="2">
        <v>45960</v>
      </c>
      <c r="I4364">
        <v>58.72</v>
      </c>
      <c r="J4364">
        <v>27.79</v>
      </c>
      <c r="K4364">
        <v>25.01</v>
      </c>
      <c r="L4364">
        <v>2.78</v>
      </c>
      <c r="M4364" s="1" t="s">
        <v>21</v>
      </c>
      <c r="N4364" s="1" t="s">
        <v>22</v>
      </c>
      <c r="O4364" s="2">
        <v>45983</v>
      </c>
      <c r="P4364" s="2">
        <v>45983</v>
      </c>
      <c r="Q4364">
        <f>_xlfn.XLOOKUP(E4364,CPT!$A$2:$A$13,CPT!$D$2:$D$13)</f>
        <v>58</v>
      </c>
      <c r="R4364" s="1">
        <f>_xlfn.XLOOKUP(C4364,Contract!$A$2:$A$9,Contract!$B$2:$B$9)</f>
        <v>0.43</v>
      </c>
      <c r="S4364" s="1">
        <f t="shared" si="272"/>
        <v>24.94</v>
      </c>
      <c r="T4364" s="1">
        <f t="shared" si="273"/>
        <v>-2.8499999999999979</v>
      </c>
      <c r="U4364" s="1" t="str">
        <f t="shared" si="274"/>
        <v>OK</v>
      </c>
      <c r="V4364" s="1" t="str">
        <f>_xlfn.XLOOKUP(C4364,Payers!$A$2:$A$9,Payers!$B$2:$B$9)</f>
        <v>Summit Health Commercial</v>
      </c>
      <c r="W4364" s="1" t="str">
        <f t="shared" si="275"/>
        <v>2025-10</v>
      </c>
    </row>
    <row r="4365" spans="1:23">
      <c r="A4365" s="1" t="s">
        <v>6901</v>
      </c>
      <c r="B4365" s="1" t="s">
        <v>6902</v>
      </c>
      <c r="C4365" s="1" t="s">
        <v>25</v>
      </c>
      <c r="D4365" s="1" t="s">
        <v>37</v>
      </c>
      <c r="E4365" s="1" t="s">
        <v>57</v>
      </c>
      <c r="F4365">
        <v>1</v>
      </c>
      <c r="G4365" s="2">
        <v>46100</v>
      </c>
      <c r="H4365" s="2">
        <v>46112</v>
      </c>
      <c r="I4365">
        <v>212.46</v>
      </c>
      <c r="J4365">
        <v>87.69</v>
      </c>
      <c r="K4365">
        <v>87.69</v>
      </c>
      <c r="L4365">
        <v>0</v>
      </c>
      <c r="M4365" s="1" t="s">
        <v>21</v>
      </c>
      <c r="N4365" s="1" t="s">
        <v>22</v>
      </c>
      <c r="O4365" s="2">
        <v>46121</v>
      </c>
      <c r="P4365" s="2">
        <v>46121</v>
      </c>
      <c r="Q4365">
        <f>_xlfn.XLOOKUP(E4365,CPT!$A$2:$A$13,CPT!$D$2:$D$13)</f>
        <v>210</v>
      </c>
      <c r="R4365" s="1">
        <f>_xlfn.XLOOKUP(C4365,Contract!$A$2:$A$9,Contract!$B$2:$B$9)</f>
        <v>0.36</v>
      </c>
      <c r="S4365" s="1">
        <f t="shared" si="272"/>
        <v>75.599999999999994</v>
      </c>
      <c r="T4365" s="1">
        <f t="shared" si="273"/>
        <v>-12.090000000000003</v>
      </c>
      <c r="U4365" s="1" t="str">
        <f t="shared" si="274"/>
        <v>OK</v>
      </c>
      <c r="V4365" s="1" t="str">
        <f>_xlfn.XLOOKUP(C4365,Payers!$A$2:$A$9,Payers!$B$2:$B$9)</f>
        <v>Medicare Part B</v>
      </c>
      <c r="W4365" s="1" t="str">
        <f t="shared" si="275"/>
        <v>2026-03</v>
      </c>
    </row>
    <row r="4366" spans="1:23">
      <c r="A4366" s="1" t="s">
        <v>6903</v>
      </c>
      <c r="B4366" s="1" t="s">
        <v>1632</v>
      </c>
      <c r="C4366" s="1" t="s">
        <v>25</v>
      </c>
      <c r="D4366" s="1" t="s">
        <v>26</v>
      </c>
      <c r="E4366" s="1" t="s">
        <v>185</v>
      </c>
      <c r="F4366">
        <v>1</v>
      </c>
      <c r="G4366" s="2">
        <v>46001</v>
      </c>
      <c r="H4366" s="2">
        <v>46003</v>
      </c>
      <c r="I4366">
        <v>1144.4100000000001</v>
      </c>
      <c r="J4366">
        <v>377.01</v>
      </c>
      <c r="K4366">
        <v>339.31</v>
      </c>
      <c r="L4366">
        <v>37.700000000000003</v>
      </c>
      <c r="M4366" s="1" t="s">
        <v>21</v>
      </c>
      <c r="N4366" s="1" t="s">
        <v>22</v>
      </c>
      <c r="O4366" s="2">
        <v>46016</v>
      </c>
      <c r="P4366" s="2">
        <v>46016</v>
      </c>
      <c r="Q4366">
        <f>_xlfn.XLOOKUP(E4366,CPT!$A$2:$A$13,CPT!$D$2:$D$13)</f>
        <v>1150</v>
      </c>
      <c r="R4366" s="1">
        <f>_xlfn.XLOOKUP(C4366,Contract!$A$2:$A$9,Contract!$B$2:$B$9)</f>
        <v>0.36</v>
      </c>
      <c r="S4366" s="1">
        <f t="shared" si="272"/>
        <v>414</v>
      </c>
      <c r="T4366" s="1">
        <f t="shared" si="273"/>
        <v>36.990000000000009</v>
      </c>
      <c r="U4366" s="1" t="str">
        <f t="shared" si="274"/>
        <v>Underpaid</v>
      </c>
      <c r="V4366" s="1" t="str">
        <f>_xlfn.XLOOKUP(C4366,Payers!$A$2:$A$9,Payers!$B$2:$B$9)</f>
        <v>Medicare Part B</v>
      </c>
      <c r="W4366" s="1" t="str">
        <f t="shared" si="275"/>
        <v>2025-12</v>
      </c>
    </row>
    <row r="4367" spans="1:23">
      <c r="A4367" s="1" t="s">
        <v>6904</v>
      </c>
      <c r="B4367" s="1" t="s">
        <v>1672</v>
      </c>
      <c r="C4367" s="1" t="s">
        <v>36</v>
      </c>
      <c r="D4367" s="1" t="s">
        <v>19</v>
      </c>
      <c r="E4367" s="1" t="s">
        <v>20</v>
      </c>
      <c r="F4367">
        <v>1</v>
      </c>
      <c r="G4367" s="2">
        <v>46030</v>
      </c>
      <c r="H4367" s="2">
        <v>46031</v>
      </c>
      <c r="I4367">
        <v>141.99</v>
      </c>
      <c r="J4367">
        <v>40.61</v>
      </c>
      <c r="K4367">
        <v>40.61</v>
      </c>
      <c r="L4367">
        <v>0</v>
      </c>
      <c r="M4367" s="1" t="s">
        <v>21</v>
      </c>
      <c r="N4367" s="1" t="s">
        <v>22</v>
      </c>
      <c r="O4367" s="2">
        <v>46056</v>
      </c>
      <c r="P4367" s="2">
        <v>46056</v>
      </c>
      <c r="Q4367">
        <f>_xlfn.XLOOKUP(E4367,CPT!$A$2:$A$13,CPT!$D$2:$D$13)</f>
        <v>145</v>
      </c>
      <c r="R4367" s="1">
        <f>_xlfn.XLOOKUP(C4367,Contract!$A$2:$A$9,Contract!$B$2:$B$9)</f>
        <v>0.27</v>
      </c>
      <c r="S4367" s="1">
        <f t="shared" si="272"/>
        <v>39.15</v>
      </c>
      <c r="T4367" s="1">
        <f t="shared" si="273"/>
        <v>-1.4600000000000009</v>
      </c>
      <c r="U4367" s="1" t="str">
        <f t="shared" si="274"/>
        <v>OK</v>
      </c>
      <c r="V4367" s="1" t="str">
        <f>_xlfn.XLOOKUP(C4367,Payers!$A$2:$A$9,Payers!$B$2:$B$9)</f>
        <v>Florida Medicaid</v>
      </c>
      <c r="W4367" s="1" t="str">
        <f t="shared" si="275"/>
        <v>2026-01</v>
      </c>
    </row>
    <row r="4368" spans="1:23">
      <c r="A4368" s="1" t="s">
        <v>6905</v>
      </c>
      <c r="B4368" s="1" t="s">
        <v>6906</v>
      </c>
      <c r="C4368" s="1" t="s">
        <v>25</v>
      </c>
      <c r="D4368" s="1" t="s">
        <v>26</v>
      </c>
      <c r="E4368" s="1" t="s">
        <v>44</v>
      </c>
      <c r="F4368">
        <v>1</v>
      </c>
      <c r="G4368" s="2">
        <v>46161</v>
      </c>
      <c r="H4368" s="2">
        <v>46167</v>
      </c>
      <c r="I4368">
        <v>4778.49</v>
      </c>
      <c r="J4368">
        <v>1602.55</v>
      </c>
      <c r="K4368">
        <v>1282.04</v>
      </c>
      <c r="L4368">
        <v>320.51</v>
      </c>
      <c r="M4368" s="1" t="s">
        <v>21</v>
      </c>
      <c r="N4368" s="1" t="s">
        <v>22</v>
      </c>
      <c r="O4368" s="2">
        <v>46181</v>
      </c>
      <c r="P4368" s="2">
        <v>46181</v>
      </c>
      <c r="Q4368">
        <f>_xlfn.XLOOKUP(E4368,CPT!$A$2:$A$13,CPT!$D$2:$D$13)</f>
        <v>4800</v>
      </c>
      <c r="R4368" s="1">
        <f>_xlfn.XLOOKUP(C4368,Contract!$A$2:$A$9,Contract!$B$2:$B$9)</f>
        <v>0.36</v>
      </c>
      <c r="S4368" s="1">
        <f t="shared" si="272"/>
        <v>1728</v>
      </c>
      <c r="T4368" s="1">
        <f t="shared" si="273"/>
        <v>125.45000000000005</v>
      </c>
      <c r="U4368" s="1" t="str">
        <f t="shared" si="274"/>
        <v>Underpaid</v>
      </c>
      <c r="V4368" s="1" t="str">
        <f>_xlfn.XLOOKUP(C4368,Payers!$A$2:$A$9,Payers!$B$2:$B$9)</f>
        <v>Medicare Part B</v>
      </c>
      <c r="W4368" s="1" t="str">
        <f t="shared" si="275"/>
        <v>2026-05</v>
      </c>
    </row>
    <row r="4369" spans="1:23">
      <c r="A4369" s="1" t="s">
        <v>6907</v>
      </c>
      <c r="B4369" s="1" t="s">
        <v>1139</v>
      </c>
      <c r="C4369" s="1" t="s">
        <v>25</v>
      </c>
      <c r="D4369" s="1" t="s">
        <v>26</v>
      </c>
      <c r="E4369" s="1" t="s">
        <v>57</v>
      </c>
      <c r="F4369">
        <v>1</v>
      </c>
      <c r="G4369" s="2">
        <v>45953</v>
      </c>
      <c r="H4369" s="2">
        <v>45963</v>
      </c>
      <c r="I4369">
        <v>215.31</v>
      </c>
      <c r="J4369">
        <v>71.010000000000005</v>
      </c>
      <c r="K4369">
        <v>56.81</v>
      </c>
      <c r="L4369">
        <v>14.2</v>
      </c>
      <c r="M4369" s="1" t="s">
        <v>21</v>
      </c>
      <c r="N4369" s="1" t="s">
        <v>22</v>
      </c>
      <c r="O4369" s="2">
        <v>45980</v>
      </c>
      <c r="P4369" s="2">
        <v>45980</v>
      </c>
      <c r="Q4369">
        <f>_xlfn.XLOOKUP(E4369,CPT!$A$2:$A$13,CPT!$D$2:$D$13)</f>
        <v>210</v>
      </c>
      <c r="R4369" s="1">
        <f>_xlfn.XLOOKUP(C4369,Contract!$A$2:$A$9,Contract!$B$2:$B$9)</f>
        <v>0.36</v>
      </c>
      <c r="S4369" s="1">
        <f t="shared" si="272"/>
        <v>75.599999999999994</v>
      </c>
      <c r="T4369" s="1">
        <f t="shared" si="273"/>
        <v>4.5899999999999892</v>
      </c>
      <c r="U4369" s="1" t="str">
        <f t="shared" si="274"/>
        <v>Underpaid</v>
      </c>
      <c r="V4369" s="1" t="str">
        <f>_xlfn.XLOOKUP(C4369,Payers!$A$2:$A$9,Payers!$B$2:$B$9)</f>
        <v>Medicare Part B</v>
      </c>
      <c r="W4369" s="1" t="str">
        <f t="shared" si="275"/>
        <v>2025-10</v>
      </c>
    </row>
    <row r="4370" spans="1:23">
      <c r="A4370" s="1" t="s">
        <v>6908</v>
      </c>
      <c r="B4370" s="1" t="s">
        <v>1027</v>
      </c>
      <c r="C4370" s="1" t="s">
        <v>18</v>
      </c>
      <c r="D4370" s="1" t="s">
        <v>19</v>
      </c>
      <c r="E4370" s="1" t="s">
        <v>41</v>
      </c>
      <c r="F4370">
        <v>1</v>
      </c>
      <c r="G4370" s="2">
        <v>46154</v>
      </c>
      <c r="H4370" s="2">
        <v>46156</v>
      </c>
      <c r="I4370">
        <v>37.26</v>
      </c>
      <c r="J4370">
        <v>16.239999999999998</v>
      </c>
      <c r="K4370">
        <v>14.62</v>
      </c>
      <c r="L4370">
        <v>1.62</v>
      </c>
      <c r="M4370" s="1" t="s">
        <v>21</v>
      </c>
      <c r="N4370" s="1" t="s">
        <v>22</v>
      </c>
      <c r="O4370" s="2">
        <v>46200</v>
      </c>
      <c r="P4370" s="2">
        <v>46200</v>
      </c>
      <c r="Q4370">
        <f>_xlfn.XLOOKUP(E4370,CPT!$A$2:$A$13,CPT!$D$2:$D$13)</f>
        <v>38</v>
      </c>
      <c r="R4370" s="1">
        <f>_xlfn.XLOOKUP(C4370,Contract!$A$2:$A$9,Contract!$B$2:$B$9)</f>
        <v>0.38</v>
      </c>
      <c r="S4370" s="1">
        <f t="shared" si="272"/>
        <v>14.44</v>
      </c>
      <c r="T4370" s="1">
        <f t="shared" si="273"/>
        <v>-1.7999999999999989</v>
      </c>
      <c r="U4370" s="1" t="str">
        <f t="shared" si="274"/>
        <v>OK</v>
      </c>
      <c r="V4370" s="1" t="str">
        <f>_xlfn.XLOOKUP(C4370,Payers!$A$2:$A$9,Payers!$B$2:$B$9)</f>
        <v>Sunshine Medicare Advantage</v>
      </c>
      <c r="W4370" s="1" t="str">
        <f t="shared" si="275"/>
        <v>2026-05</v>
      </c>
    </row>
    <row r="4371" spans="1:23">
      <c r="A4371" s="1" t="s">
        <v>6909</v>
      </c>
      <c r="B4371" s="1" t="s">
        <v>1780</v>
      </c>
      <c r="C4371" s="1" t="s">
        <v>47</v>
      </c>
      <c r="D4371" s="1" t="s">
        <v>19</v>
      </c>
      <c r="E4371" s="1" t="s">
        <v>20</v>
      </c>
      <c r="F4371">
        <v>1</v>
      </c>
      <c r="G4371" s="2">
        <v>46257</v>
      </c>
      <c r="H4371" s="2">
        <v>46264</v>
      </c>
      <c r="I4371">
        <v>141.01</v>
      </c>
      <c r="J4371">
        <v>45.27</v>
      </c>
      <c r="K4371">
        <v>40.74</v>
      </c>
      <c r="L4371">
        <v>4.53</v>
      </c>
      <c r="M4371" s="1" t="s">
        <v>21</v>
      </c>
      <c r="N4371" s="1" t="s">
        <v>22</v>
      </c>
      <c r="O4371" s="2">
        <v>46290</v>
      </c>
      <c r="P4371" s="2">
        <v>46290</v>
      </c>
      <c r="Q4371">
        <f>_xlfn.XLOOKUP(E4371,CPT!$A$2:$A$13,CPT!$D$2:$D$13)</f>
        <v>145</v>
      </c>
      <c r="R4371" s="1">
        <f>_xlfn.XLOOKUP(C4371,Contract!$A$2:$A$9,Contract!$B$2:$B$9)</f>
        <v>0.28000000000000003</v>
      </c>
      <c r="S4371" s="1">
        <f t="shared" si="272"/>
        <v>40.6</v>
      </c>
      <c r="T4371" s="1">
        <f t="shared" si="273"/>
        <v>-4.6700000000000017</v>
      </c>
      <c r="U4371" s="1" t="str">
        <f t="shared" si="274"/>
        <v>OK</v>
      </c>
      <c r="V4371" s="1" t="str">
        <f>_xlfn.XLOOKUP(C4371,Payers!$A$2:$A$9,Payers!$B$2:$B$9)</f>
        <v>Coastal Medicaid MCO</v>
      </c>
      <c r="W4371" s="1" t="str">
        <f t="shared" si="275"/>
        <v>2026-08</v>
      </c>
    </row>
    <row r="4372" spans="1:23">
      <c r="A4372" s="1" t="s">
        <v>6910</v>
      </c>
      <c r="B4372" s="1" t="s">
        <v>308</v>
      </c>
      <c r="C4372" s="1" t="s">
        <v>47</v>
      </c>
      <c r="D4372" s="1" t="s">
        <v>30</v>
      </c>
      <c r="E4372" s="1" t="s">
        <v>91</v>
      </c>
      <c r="F4372">
        <v>4</v>
      </c>
      <c r="G4372" s="2">
        <v>46095</v>
      </c>
      <c r="H4372" s="2">
        <v>46097</v>
      </c>
      <c r="I4372">
        <v>232.03</v>
      </c>
      <c r="J4372">
        <v>64.09</v>
      </c>
      <c r="K4372">
        <v>51.27</v>
      </c>
      <c r="L4372">
        <v>12.82</v>
      </c>
      <c r="M4372" s="1" t="s">
        <v>21</v>
      </c>
      <c r="N4372" s="1" t="s">
        <v>22</v>
      </c>
      <c r="O4372" s="2">
        <v>46156</v>
      </c>
      <c r="P4372" s="2">
        <v>46156</v>
      </c>
      <c r="Q4372">
        <f>_xlfn.XLOOKUP(E4372,CPT!$A$2:$A$13,CPT!$D$2:$D$13)</f>
        <v>58</v>
      </c>
      <c r="R4372" s="1">
        <f>_xlfn.XLOOKUP(C4372,Contract!$A$2:$A$9,Contract!$B$2:$B$9)</f>
        <v>0.28000000000000003</v>
      </c>
      <c r="S4372" s="1">
        <f t="shared" si="272"/>
        <v>64.959999999999994</v>
      </c>
      <c r="T4372" s="1">
        <f t="shared" si="273"/>
        <v>0.86999999999999034</v>
      </c>
      <c r="U4372" s="1" t="str">
        <f t="shared" si="274"/>
        <v>OK</v>
      </c>
      <c r="V4372" s="1" t="str">
        <f>_xlfn.XLOOKUP(C4372,Payers!$A$2:$A$9,Payers!$B$2:$B$9)</f>
        <v>Coastal Medicaid MCO</v>
      </c>
      <c r="W4372" s="1" t="str">
        <f t="shared" si="275"/>
        <v>2026-03</v>
      </c>
    </row>
    <row r="4373" spans="1:23">
      <c r="A4373" s="1" t="s">
        <v>6911</v>
      </c>
      <c r="B4373" s="1" t="s">
        <v>3755</v>
      </c>
      <c r="C4373" s="1" t="s">
        <v>60</v>
      </c>
      <c r="D4373" s="1" t="s">
        <v>19</v>
      </c>
      <c r="E4373" s="1" t="s">
        <v>88</v>
      </c>
      <c r="F4373">
        <v>1</v>
      </c>
      <c r="G4373" s="2">
        <v>46188</v>
      </c>
      <c r="H4373" s="2">
        <v>46189</v>
      </c>
      <c r="I4373">
        <v>263.83999999999997</v>
      </c>
      <c r="J4373">
        <v>119.51</v>
      </c>
      <c r="K4373">
        <v>95.61</v>
      </c>
      <c r="L4373">
        <v>23.9</v>
      </c>
      <c r="M4373" s="1" t="s">
        <v>21</v>
      </c>
      <c r="N4373" s="1" t="s">
        <v>22</v>
      </c>
      <c r="O4373" s="2">
        <v>46212</v>
      </c>
      <c r="P4373" s="2">
        <v>46212</v>
      </c>
      <c r="Q4373">
        <f>_xlfn.XLOOKUP(E4373,CPT!$A$2:$A$13,CPT!$D$2:$D$13)</f>
        <v>260</v>
      </c>
      <c r="R4373" s="1">
        <f>_xlfn.XLOOKUP(C4373,Contract!$A$2:$A$9,Contract!$B$2:$B$9)</f>
        <v>0.45</v>
      </c>
      <c r="S4373" s="1">
        <f t="shared" si="272"/>
        <v>117</v>
      </c>
      <c r="T4373" s="1">
        <f t="shared" si="273"/>
        <v>-2.5100000000000051</v>
      </c>
      <c r="U4373" s="1" t="str">
        <f t="shared" si="274"/>
        <v>OK</v>
      </c>
      <c r="V4373" s="1" t="str">
        <f>_xlfn.XLOOKUP(C4373,Payers!$A$2:$A$9,Payers!$B$2:$B$9)</f>
        <v>Blue Horizon Commercial</v>
      </c>
      <c r="W4373" s="1" t="str">
        <f t="shared" si="275"/>
        <v>2026-06</v>
      </c>
    </row>
    <row r="4374" spans="1:23">
      <c r="A4374" s="1" t="s">
        <v>6912</v>
      </c>
      <c r="B4374" s="1" t="s">
        <v>4555</v>
      </c>
      <c r="C4374" s="1" t="s">
        <v>18</v>
      </c>
      <c r="D4374" s="1" t="s">
        <v>26</v>
      </c>
      <c r="E4374" s="1" t="s">
        <v>44</v>
      </c>
      <c r="F4374">
        <v>1</v>
      </c>
      <c r="G4374" s="2">
        <v>46170</v>
      </c>
      <c r="H4374" s="2">
        <v>46173</v>
      </c>
      <c r="I4374">
        <v>4877.04</v>
      </c>
      <c r="M4374" s="1" t="s">
        <v>32</v>
      </c>
      <c r="N4374" s="1" t="s">
        <v>33</v>
      </c>
      <c r="O4374" s="2">
        <v>46220</v>
      </c>
      <c r="P4374" s="2"/>
      <c r="Q4374">
        <f>_xlfn.XLOOKUP(E4374,CPT!$A$2:$A$13,CPT!$D$2:$D$13)</f>
        <v>4800</v>
      </c>
      <c r="R4374" s="1">
        <f>_xlfn.XLOOKUP(C4374,Contract!$A$2:$A$9,Contract!$B$2:$B$9)</f>
        <v>0.38</v>
      </c>
      <c r="S4374" s="1">
        <f t="shared" si="272"/>
        <v>1824</v>
      </c>
      <c r="T4374" s="1" t="str">
        <f t="shared" si="273"/>
        <v/>
      </c>
      <c r="U4374" s="1" t="str">
        <f t="shared" si="274"/>
        <v/>
      </c>
      <c r="V4374" s="1" t="str">
        <f>_xlfn.XLOOKUP(C4374,Payers!$A$2:$A$9,Payers!$B$2:$B$9)</f>
        <v>Sunshine Medicare Advantage</v>
      </c>
      <c r="W4374" s="1" t="str">
        <f t="shared" si="275"/>
        <v>2026-05</v>
      </c>
    </row>
    <row r="4375" spans="1:23">
      <c r="A4375" s="1" t="s">
        <v>6913</v>
      </c>
      <c r="B4375" s="1" t="s">
        <v>29</v>
      </c>
      <c r="C4375" s="1" t="s">
        <v>60</v>
      </c>
      <c r="D4375" s="1" t="s">
        <v>37</v>
      </c>
      <c r="E4375" s="1" t="s">
        <v>48</v>
      </c>
      <c r="F4375">
        <v>1</v>
      </c>
      <c r="G4375" s="2">
        <v>46283</v>
      </c>
      <c r="H4375" s="2">
        <v>46287</v>
      </c>
      <c r="I4375">
        <v>415.09</v>
      </c>
      <c r="M4375" s="1" t="s">
        <v>69</v>
      </c>
      <c r="N4375" s="1" t="s">
        <v>22</v>
      </c>
      <c r="O4375" s="2"/>
      <c r="P4375" s="2"/>
      <c r="Q4375">
        <f>_xlfn.XLOOKUP(E4375,CPT!$A$2:$A$13,CPT!$D$2:$D$13)</f>
        <v>420</v>
      </c>
      <c r="R4375" s="1">
        <f>_xlfn.XLOOKUP(C4375,Contract!$A$2:$A$9,Contract!$B$2:$B$9)</f>
        <v>0.45</v>
      </c>
      <c r="S4375" s="1">
        <f t="shared" si="272"/>
        <v>189</v>
      </c>
      <c r="T4375" s="1" t="str">
        <f t="shared" si="273"/>
        <v/>
      </c>
      <c r="U4375" s="1" t="str">
        <f t="shared" si="274"/>
        <v/>
      </c>
      <c r="V4375" s="1" t="str">
        <f>_xlfn.XLOOKUP(C4375,Payers!$A$2:$A$9,Payers!$B$2:$B$9)</f>
        <v>Blue Horizon Commercial</v>
      </c>
      <c r="W4375" s="1" t="str">
        <f t="shared" si="275"/>
        <v>2026-09</v>
      </c>
    </row>
    <row r="4376" spans="1:23">
      <c r="A4376" s="1" t="s">
        <v>6914</v>
      </c>
      <c r="B4376" s="1" t="s">
        <v>5792</v>
      </c>
      <c r="C4376" s="1" t="s">
        <v>60</v>
      </c>
      <c r="D4376" s="1" t="s">
        <v>26</v>
      </c>
      <c r="E4376" s="1" t="s">
        <v>88</v>
      </c>
      <c r="F4376">
        <v>1</v>
      </c>
      <c r="G4376" s="2">
        <v>45982</v>
      </c>
      <c r="H4376" s="2">
        <v>45984</v>
      </c>
      <c r="I4376">
        <v>265.45999999999998</v>
      </c>
      <c r="J4376">
        <v>129</v>
      </c>
      <c r="K4376">
        <v>116.1</v>
      </c>
      <c r="L4376">
        <v>12.9</v>
      </c>
      <c r="M4376" s="1" t="s">
        <v>21</v>
      </c>
      <c r="N4376" s="1" t="s">
        <v>22</v>
      </c>
      <c r="O4376" s="2">
        <v>46020</v>
      </c>
      <c r="P4376" s="2">
        <v>46020</v>
      </c>
      <c r="Q4376">
        <f>_xlfn.XLOOKUP(E4376,CPT!$A$2:$A$13,CPT!$D$2:$D$13)</f>
        <v>260</v>
      </c>
      <c r="R4376" s="1">
        <f>_xlfn.XLOOKUP(C4376,Contract!$A$2:$A$9,Contract!$B$2:$B$9)</f>
        <v>0.45</v>
      </c>
      <c r="S4376" s="1">
        <f t="shared" si="272"/>
        <v>117</v>
      </c>
      <c r="T4376" s="1">
        <f t="shared" si="273"/>
        <v>-12</v>
      </c>
      <c r="U4376" s="1" t="str">
        <f t="shared" si="274"/>
        <v>OK</v>
      </c>
      <c r="V4376" s="1" t="str">
        <f>_xlfn.XLOOKUP(C4376,Payers!$A$2:$A$9,Payers!$B$2:$B$9)</f>
        <v>Blue Horizon Commercial</v>
      </c>
      <c r="W4376" s="1" t="str">
        <f t="shared" si="275"/>
        <v>2025-11</v>
      </c>
    </row>
    <row r="4377" spans="1:23">
      <c r="A4377" s="1" t="s">
        <v>6915</v>
      </c>
      <c r="B4377" s="1" t="s">
        <v>420</v>
      </c>
      <c r="C4377" s="1" t="s">
        <v>79</v>
      </c>
      <c r="D4377" s="1" t="s">
        <v>19</v>
      </c>
      <c r="E4377" s="1" t="s">
        <v>57</v>
      </c>
      <c r="F4377">
        <v>1</v>
      </c>
      <c r="G4377" s="2">
        <v>46041</v>
      </c>
      <c r="H4377" s="2">
        <v>46043</v>
      </c>
      <c r="I4377">
        <v>205.42</v>
      </c>
      <c r="M4377" s="1" t="s">
        <v>69</v>
      </c>
      <c r="N4377" s="1" t="s">
        <v>22</v>
      </c>
      <c r="O4377" s="2"/>
      <c r="P4377" s="2"/>
      <c r="Q4377">
        <f>_xlfn.XLOOKUP(E4377,CPT!$A$2:$A$13,CPT!$D$2:$D$13)</f>
        <v>210</v>
      </c>
      <c r="R4377" s="1">
        <f>_xlfn.XLOOKUP(C4377,Contract!$A$2:$A$9,Contract!$B$2:$B$9)</f>
        <v>1</v>
      </c>
      <c r="S4377" s="1">
        <f t="shared" si="272"/>
        <v>210</v>
      </c>
      <c r="T4377" s="1" t="str">
        <f t="shared" si="273"/>
        <v/>
      </c>
      <c r="U4377" s="1" t="str">
        <f t="shared" si="274"/>
        <v/>
      </c>
      <c r="V4377" s="1" t="str">
        <f>_xlfn.XLOOKUP(C4377,Payers!$A$2:$A$9,Payers!$B$2:$B$9)</f>
        <v>Self-Pay</v>
      </c>
      <c r="W4377" s="1" t="str">
        <f t="shared" si="275"/>
        <v>2026-01</v>
      </c>
    </row>
    <row r="4378" spans="1:23">
      <c r="A4378" s="1" t="s">
        <v>6916</v>
      </c>
      <c r="B4378" s="1" t="s">
        <v>6917</v>
      </c>
      <c r="C4378" s="1" t="s">
        <v>52</v>
      </c>
      <c r="D4378" s="1" t="s">
        <v>26</v>
      </c>
      <c r="E4378" s="1" t="s">
        <v>113</v>
      </c>
      <c r="F4378">
        <v>1</v>
      </c>
      <c r="G4378" s="2">
        <v>46013</v>
      </c>
      <c r="H4378" s="2">
        <v>46019</v>
      </c>
      <c r="I4378">
        <v>1080.6099999999999</v>
      </c>
      <c r="J4378">
        <v>584.17999999999995</v>
      </c>
      <c r="K4378">
        <v>467.34</v>
      </c>
      <c r="L4378">
        <v>116.84</v>
      </c>
      <c r="M4378" s="1" t="s">
        <v>21</v>
      </c>
      <c r="N4378" s="1" t="s">
        <v>22</v>
      </c>
      <c r="O4378" s="2">
        <v>46066</v>
      </c>
      <c r="P4378" s="2">
        <v>46066</v>
      </c>
      <c r="Q4378">
        <f>_xlfn.XLOOKUP(E4378,CPT!$A$2:$A$13,CPT!$D$2:$D$13)</f>
        <v>1050</v>
      </c>
      <c r="R4378" s="1">
        <f>_xlfn.XLOOKUP(C4378,Contract!$A$2:$A$9,Contract!$B$2:$B$9)</f>
        <v>0.47</v>
      </c>
      <c r="S4378" s="1">
        <f t="shared" si="272"/>
        <v>493.5</v>
      </c>
      <c r="T4378" s="1">
        <f t="shared" si="273"/>
        <v>-90.67999999999995</v>
      </c>
      <c r="U4378" s="1" t="str">
        <f t="shared" si="274"/>
        <v>OK</v>
      </c>
      <c r="V4378" s="1" t="str">
        <f>_xlfn.XLOOKUP(C4378,Payers!$A$2:$A$9,Payers!$B$2:$B$9)</f>
        <v>Keystone Commercial PPO</v>
      </c>
      <c r="W4378" s="1" t="str">
        <f t="shared" si="275"/>
        <v>2025-12</v>
      </c>
    </row>
    <row r="4379" spans="1:23">
      <c r="A4379" s="1" t="s">
        <v>6918</v>
      </c>
      <c r="B4379" s="1" t="s">
        <v>645</v>
      </c>
      <c r="C4379" s="1" t="s">
        <v>25</v>
      </c>
      <c r="D4379" s="1" t="s">
        <v>19</v>
      </c>
      <c r="E4379" s="1" t="s">
        <v>57</v>
      </c>
      <c r="F4379">
        <v>1</v>
      </c>
      <c r="G4379" s="2">
        <v>46044</v>
      </c>
      <c r="H4379" s="2">
        <v>46048</v>
      </c>
      <c r="I4379">
        <v>214.3</v>
      </c>
      <c r="M4379" s="1" t="s">
        <v>32</v>
      </c>
      <c r="N4379" s="1" t="s">
        <v>33</v>
      </c>
      <c r="O4379" s="2">
        <v>46056</v>
      </c>
      <c r="P4379" s="2"/>
      <c r="Q4379">
        <f>_xlfn.XLOOKUP(E4379,CPT!$A$2:$A$13,CPT!$D$2:$D$13)</f>
        <v>210</v>
      </c>
      <c r="R4379" s="1">
        <f>_xlfn.XLOOKUP(C4379,Contract!$A$2:$A$9,Contract!$B$2:$B$9)</f>
        <v>0.36</v>
      </c>
      <c r="S4379" s="1">
        <f t="shared" si="272"/>
        <v>75.599999999999994</v>
      </c>
      <c r="T4379" s="1" t="str">
        <f t="shared" si="273"/>
        <v/>
      </c>
      <c r="U4379" s="1" t="str">
        <f t="shared" si="274"/>
        <v/>
      </c>
      <c r="V4379" s="1" t="str">
        <f>_xlfn.XLOOKUP(C4379,Payers!$A$2:$A$9,Payers!$B$2:$B$9)</f>
        <v>Medicare Part B</v>
      </c>
      <c r="W4379" s="1" t="str">
        <f t="shared" si="275"/>
        <v>2026-01</v>
      </c>
    </row>
    <row r="4380" spans="1:23">
      <c r="A4380" s="1" t="s">
        <v>6919</v>
      </c>
      <c r="B4380" s="1" t="s">
        <v>6920</v>
      </c>
      <c r="C4380" s="1" t="s">
        <v>60</v>
      </c>
      <c r="D4380" s="1" t="s">
        <v>26</v>
      </c>
      <c r="E4380" s="1" t="s">
        <v>27</v>
      </c>
      <c r="F4380">
        <v>1</v>
      </c>
      <c r="G4380" s="2">
        <v>46118</v>
      </c>
      <c r="H4380" s="2">
        <v>46121</v>
      </c>
      <c r="I4380">
        <v>242.48</v>
      </c>
      <c r="M4380" s="1" t="s">
        <v>32</v>
      </c>
      <c r="N4380" s="1" t="s">
        <v>281</v>
      </c>
      <c r="O4380" s="2">
        <v>46151</v>
      </c>
      <c r="P4380" s="2"/>
      <c r="Q4380">
        <f>_xlfn.XLOOKUP(E4380,CPT!$A$2:$A$13,CPT!$D$2:$D$13)</f>
        <v>240</v>
      </c>
      <c r="R4380" s="1">
        <f>_xlfn.XLOOKUP(C4380,Contract!$A$2:$A$9,Contract!$B$2:$B$9)</f>
        <v>0.45</v>
      </c>
      <c r="S4380" s="1">
        <f t="shared" si="272"/>
        <v>108</v>
      </c>
      <c r="T4380" s="1" t="str">
        <f t="shared" si="273"/>
        <v/>
      </c>
      <c r="U4380" s="1" t="str">
        <f t="shared" si="274"/>
        <v/>
      </c>
      <c r="V4380" s="1" t="str">
        <f>_xlfn.XLOOKUP(C4380,Payers!$A$2:$A$9,Payers!$B$2:$B$9)</f>
        <v>Blue Horizon Commercial</v>
      </c>
      <c r="W4380" s="1" t="str">
        <f t="shared" si="275"/>
        <v>2026-04</v>
      </c>
    </row>
    <row r="4381" spans="1:23">
      <c r="A4381" s="1" t="s">
        <v>6921</v>
      </c>
      <c r="B4381" s="1" t="s">
        <v>6922</v>
      </c>
      <c r="C4381" s="1" t="s">
        <v>36</v>
      </c>
      <c r="D4381" s="1" t="s">
        <v>26</v>
      </c>
      <c r="E4381" s="1" t="s">
        <v>113</v>
      </c>
      <c r="F4381">
        <v>1</v>
      </c>
      <c r="G4381" s="2">
        <v>46039</v>
      </c>
      <c r="H4381" s="2">
        <v>46041</v>
      </c>
      <c r="I4381">
        <v>1022.86</v>
      </c>
      <c r="J4381">
        <v>280.37</v>
      </c>
      <c r="K4381">
        <v>280.37</v>
      </c>
      <c r="L4381">
        <v>0</v>
      </c>
      <c r="M4381" s="1" t="s">
        <v>21</v>
      </c>
      <c r="N4381" s="1" t="s">
        <v>22</v>
      </c>
      <c r="O4381" s="2">
        <v>46084</v>
      </c>
      <c r="P4381" s="2">
        <v>46084</v>
      </c>
      <c r="Q4381">
        <f>_xlfn.XLOOKUP(E4381,CPT!$A$2:$A$13,CPT!$D$2:$D$13)</f>
        <v>1050</v>
      </c>
      <c r="R4381" s="1">
        <f>_xlfn.XLOOKUP(C4381,Contract!$A$2:$A$9,Contract!$B$2:$B$9)</f>
        <v>0.27</v>
      </c>
      <c r="S4381" s="1">
        <f t="shared" si="272"/>
        <v>283.5</v>
      </c>
      <c r="T4381" s="1">
        <f t="shared" si="273"/>
        <v>3.1299999999999955</v>
      </c>
      <c r="U4381" s="1" t="str">
        <f t="shared" si="274"/>
        <v>OK</v>
      </c>
      <c r="V4381" s="1" t="str">
        <f>_xlfn.XLOOKUP(C4381,Payers!$A$2:$A$9,Payers!$B$2:$B$9)</f>
        <v>Florida Medicaid</v>
      </c>
      <c r="W4381" s="1" t="str">
        <f t="shared" si="275"/>
        <v>2026-01</v>
      </c>
    </row>
    <row r="4382" spans="1:23">
      <c r="A4382" s="1" t="s">
        <v>6923</v>
      </c>
      <c r="B4382" s="1" t="s">
        <v>4140</v>
      </c>
      <c r="C4382" s="1" t="s">
        <v>76</v>
      </c>
      <c r="D4382" s="1" t="s">
        <v>19</v>
      </c>
      <c r="E4382" s="1" t="s">
        <v>41</v>
      </c>
      <c r="F4382">
        <v>1</v>
      </c>
      <c r="G4382" s="2">
        <v>46226</v>
      </c>
      <c r="H4382" s="2">
        <v>46228</v>
      </c>
      <c r="I4382">
        <v>38.630000000000003</v>
      </c>
      <c r="J4382">
        <v>16.25</v>
      </c>
      <c r="K4382">
        <v>13</v>
      </c>
      <c r="L4382">
        <v>3.25</v>
      </c>
      <c r="M4382" s="1" t="s">
        <v>21</v>
      </c>
      <c r="N4382" s="1" t="s">
        <v>22</v>
      </c>
      <c r="O4382" s="2">
        <v>46258</v>
      </c>
      <c r="P4382" s="2">
        <v>46258</v>
      </c>
      <c r="Q4382">
        <f>_xlfn.XLOOKUP(E4382,CPT!$A$2:$A$13,CPT!$D$2:$D$13)</f>
        <v>38</v>
      </c>
      <c r="R4382" s="1">
        <f>_xlfn.XLOOKUP(C4382,Contract!$A$2:$A$9,Contract!$B$2:$B$9)</f>
        <v>0.43</v>
      </c>
      <c r="S4382" s="1">
        <f t="shared" si="272"/>
        <v>16.34</v>
      </c>
      <c r="T4382" s="1">
        <f t="shared" si="273"/>
        <v>8.9999999999999858E-2</v>
      </c>
      <c r="U4382" s="1" t="str">
        <f t="shared" si="274"/>
        <v>OK</v>
      </c>
      <c r="V4382" s="1" t="str">
        <f>_xlfn.XLOOKUP(C4382,Payers!$A$2:$A$9,Payers!$B$2:$B$9)</f>
        <v>Summit Health Commercial</v>
      </c>
      <c r="W4382" s="1" t="str">
        <f t="shared" si="275"/>
        <v>2026-07</v>
      </c>
    </row>
    <row r="4383" spans="1:23">
      <c r="A4383" s="1" t="s">
        <v>6924</v>
      </c>
      <c r="B4383" s="1" t="s">
        <v>3184</v>
      </c>
      <c r="C4383" s="1" t="s">
        <v>60</v>
      </c>
      <c r="D4383" s="1" t="s">
        <v>37</v>
      </c>
      <c r="E4383" s="1" t="s">
        <v>38</v>
      </c>
      <c r="F4383">
        <v>5</v>
      </c>
      <c r="G4383" s="2">
        <v>46120</v>
      </c>
      <c r="H4383" s="2">
        <v>46132</v>
      </c>
      <c r="I4383">
        <v>7049.24</v>
      </c>
      <c r="J4383">
        <v>2769.98</v>
      </c>
      <c r="K4383">
        <v>2769.98</v>
      </c>
      <c r="L4383">
        <v>0</v>
      </c>
      <c r="M4383" s="1" t="s">
        <v>21</v>
      </c>
      <c r="N4383" s="1" t="s">
        <v>22</v>
      </c>
      <c r="O4383" s="2">
        <v>46158</v>
      </c>
      <c r="P4383" s="2">
        <v>46158</v>
      </c>
      <c r="Q4383">
        <f>_xlfn.XLOOKUP(E4383,CPT!$A$2:$A$13,CPT!$D$2:$D$13)</f>
        <v>1450</v>
      </c>
      <c r="R4383" s="1">
        <f>_xlfn.XLOOKUP(C4383,Contract!$A$2:$A$9,Contract!$B$2:$B$9)</f>
        <v>0.45</v>
      </c>
      <c r="S4383" s="1">
        <f t="shared" si="272"/>
        <v>3262.5</v>
      </c>
      <c r="T4383" s="1">
        <f t="shared" si="273"/>
        <v>492.52</v>
      </c>
      <c r="U4383" s="1" t="str">
        <f t="shared" si="274"/>
        <v>Underpaid</v>
      </c>
      <c r="V4383" s="1" t="str">
        <f>_xlfn.XLOOKUP(C4383,Payers!$A$2:$A$9,Payers!$B$2:$B$9)</f>
        <v>Blue Horizon Commercial</v>
      </c>
      <c r="W4383" s="1" t="str">
        <f t="shared" si="275"/>
        <v>2026-04</v>
      </c>
    </row>
    <row r="4384" spans="1:23">
      <c r="A4384" s="1" t="s">
        <v>6925</v>
      </c>
      <c r="B4384" s="1" t="s">
        <v>6926</v>
      </c>
      <c r="C4384" s="1" t="s">
        <v>76</v>
      </c>
      <c r="D4384" s="1" t="s">
        <v>19</v>
      </c>
      <c r="E4384" s="1" t="s">
        <v>88</v>
      </c>
      <c r="F4384">
        <v>1</v>
      </c>
      <c r="G4384" s="2">
        <v>45938</v>
      </c>
      <c r="H4384" s="2">
        <v>45941</v>
      </c>
      <c r="I4384">
        <v>252.75</v>
      </c>
      <c r="J4384">
        <v>116.46</v>
      </c>
      <c r="K4384">
        <v>104.81</v>
      </c>
      <c r="L4384">
        <v>11.65</v>
      </c>
      <c r="M4384" s="1" t="s">
        <v>21</v>
      </c>
      <c r="N4384" s="1" t="s">
        <v>22</v>
      </c>
      <c r="O4384" s="2">
        <v>45969</v>
      </c>
      <c r="P4384" s="2">
        <v>45969</v>
      </c>
      <c r="Q4384">
        <f>_xlfn.XLOOKUP(E4384,CPT!$A$2:$A$13,CPT!$D$2:$D$13)</f>
        <v>260</v>
      </c>
      <c r="R4384" s="1">
        <f>_xlfn.XLOOKUP(C4384,Contract!$A$2:$A$9,Contract!$B$2:$B$9)</f>
        <v>0.43</v>
      </c>
      <c r="S4384" s="1">
        <f t="shared" si="272"/>
        <v>111.8</v>
      </c>
      <c r="T4384" s="1">
        <f t="shared" si="273"/>
        <v>-4.6599999999999966</v>
      </c>
      <c r="U4384" s="1" t="str">
        <f t="shared" si="274"/>
        <v>OK</v>
      </c>
      <c r="V4384" s="1" t="str">
        <f>_xlfn.XLOOKUP(C4384,Payers!$A$2:$A$9,Payers!$B$2:$B$9)</f>
        <v>Summit Health Commercial</v>
      </c>
      <c r="W4384" s="1" t="str">
        <f t="shared" si="275"/>
        <v>2025-10</v>
      </c>
    </row>
    <row r="4385" spans="1:23">
      <c r="A4385" s="1" t="s">
        <v>6927</v>
      </c>
      <c r="B4385" s="1" t="s">
        <v>6928</v>
      </c>
      <c r="C4385" s="1" t="s">
        <v>25</v>
      </c>
      <c r="D4385" s="1" t="s">
        <v>19</v>
      </c>
      <c r="E4385" s="1" t="s">
        <v>41</v>
      </c>
      <c r="F4385">
        <v>1</v>
      </c>
      <c r="G4385" s="2">
        <v>46214</v>
      </c>
      <c r="H4385" s="2">
        <v>46219</v>
      </c>
      <c r="I4385">
        <v>36.880000000000003</v>
      </c>
      <c r="J4385">
        <v>14.78</v>
      </c>
      <c r="K4385">
        <v>14.78</v>
      </c>
      <c r="L4385">
        <v>0</v>
      </c>
      <c r="M4385" s="1" t="s">
        <v>21</v>
      </c>
      <c r="N4385" s="1" t="s">
        <v>22</v>
      </c>
      <c r="O4385" s="2">
        <v>46232</v>
      </c>
      <c r="P4385" s="2">
        <v>46232</v>
      </c>
      <c r="Q4385">
        <f>_xlfn.XLOOKUP(E4385,CPT!$A$2:$A$13,CPT!$D$2:$D$13)</f>
        <v>38</v>
      </c>
      <c r="R4385" s="1">
        <f>_xlfn.XLOOKUP(C4385,Contract!$A$2:$A$9,Contract!$B$2:$B$9)</f>
        <v>0.36</v>
      </c>
      <c r="S4385" s="1">
        <f t="shared" si="272"/>
        <v>13.68</v>
      </c>
      <c r="T4385" s="1">
        <f t="shared" si="273"/>
        <v>-1.0999999999999996</v>
      </c>
      <c r="U4385" s="1" t="str">
        <f t="shared" si="274"/>
        <v>OK</v>
      </c>
      <c r="V4385" s="1" t="str">
        <f>_xlfn.XLOOKUP(C4385,Payers!$A$2:$A$9,Payers!$B$2:$B$9)</f>
        <v>Medicare Part B</v>
      </c>
      <c r="W4385" s="1" t="str">
        <f t="shared" si="275"/>
        <v>2026-07</v>
      </c>
    </row>
    <row r="4386" spans="1:23">
      <c r="A4386" s="1" t="s">
        <v>6929</v>
      </c>
      <c r="B4386" s="1" t="s">
        <v>6930</v>
      </c>
      <c r="C4386" s="1" t="s">
        <v>47</v>
      </c>
      <c r="D4386" s="1" t="s">
        <v>19</v>
      </c>
      <c r="E4386" s="1" t="s">
        <v>57</v>
      </c>
      <c r="F4386">
        <v>1</v>
      </c>
      <c r="G4386" s="2">
        <v>46188</v>
      </c>
      <c r="H4386" s="2">
        <v>46197</v>
      </c>
      <c r="I4386">
        <v>214.59</v>
      </c>
      <c r="J4386">
        <v>52.02</v>
      </c>
      <c r="K4386">
        <v>52.02</v>
      </c>
      <c r="L4386">
        <v>0</v>
      </c>
      <c r="M4386" s="1" t="s">
        <v>21</v>
      </c>
      <c r="N4386" s="1" t="s">
        <v>22</v>
      </c>
      <c r="O4386" s="2">
        <v>46285</v>
      </c>
      <c r="P4386" s="2">
        <v>46285</v>
      </c>
      <c r="Q4386">
        <f>_xlfn.XLOOKUP(E4386,CPT!$A$2:$A$13,CPT!$D$2:$D$13)</f>
        <v>210</v>
      </c>
      <c r="R4386" s="1">
        <f>_xlfn.XLOOKUP(C4386,Contract!$A$2:$A$9,Contract!$B$2:$B$9)</f>
        <v>0.28000000000000003</v>
      </c>
      <c r="S4386" s="1">
        <f t="shared" si="272"/>
        <v>58.8</v>
      </c>
      <c r="T4386" s="1">
        <f t="shared" si="273"/>
        <v>6.779999999999994</v>
      </c>
      <c r="U4386" s="1" t="str">
        <f t="shared" si="274"/>
        <v>Underpaid</v>
      </c>
      <c r="V4386" s="1" t="str">
        <f>_xlfn.XLOOKUP(C4386,Payers!$A$2:$A$9,Payers!$B$2:$B$9)</f>
        <v>Coastal Medicaid MCO</v>
      </c>
      <c r="W4386" s="1" t="str">
        <f t="shared" si="275"/>
        <v>2026-06</v>
      </c>
    </row>
    <row r="4387" spans="1:23">
      <c r="A4387" s="1" t="s">
        <v>6931</v>
      </c>
      <c r="B4387" s="1" t="s">
        <v>93</v>
      </c>
      <c r="C4387" s="1" t="s">
        <v>60</v>
      </c>
      <c r="D4387" s="1" t="s">
        <v>37</v>
      </c>
      <c r="E4387" s="1" t="s">
        <v>48</v>
      </c>
      <c r="F4387">
        <v>1</v>
      </c>
      <c r="G4387" s="2">
        <v>46044</v>
      </c>
      <c r="H4387" s="2">
        <v>46046</v>
      </c>
      <c r="I4387">
        <v>408.17</v>
      </c>
      <c r="J4387">
        <v>169.81</v>
      </c>
      <c r="K4387">
        <v>135.85</v>
      </c>
      <c r="L4387">
        <v>33.96</v>
      </c>
      <c r="M4387" s="1" t="s">
        <v>21</v>
      </c>
      <c r="N4387" s="1" t="s">
        <v>22</v>
      </c>
      <c r="O4387" s="2">
        <v>46084</v>
      </c>
      <c r="P4387" s="2">
        <v>46084</v>
      </c>
      <c r="Q4387">
        <f>_xlfn.XLOOKUP(E4387,CPT!$A$2:$A$13,CPT!$D$2:$D$13)</f>
        <v>420</v>
      </c>
      <c r="R4387" s="1">
        <f>_xlfn.XLOOKUP(C4387,Contract!$A$2:$A$9,Contract!$B$2:$B$9)</f>
        <v>0.45</v>
      </c>
      <c r="S4387" s="1">
        <f t="shared" si="272"/>
        <v>189</v>
      </c>
      <c r="T4387" s="1">
        <f t="shared" si="273"/>
        <v>19.189999999999998</v>
      </c>
      <c r="U4387" s="1" t="str">
        <f t="shared" si="274"/>
        <v>Underpaid</v>
      </c>
      <c r="V4387" s="1" t="str">
        <f>_xlfn.XLOOKUP(C4387,Payers!$A$2:$A$9,Payers!$B$2:$B$9)</f>
        <v>Blue Horizon Commercial</v>
      </c>
      <c r="W4387" s="1" t="str">
        <f t="shared" si="275"/>
        <v>2026-01</v>
      </c>
    </row>
    <row r="4388" spans="1:23">
      <c r="A4388" s="1" t="s">
        <v>6932</v>
      </c>
      <c r="B4388" s="1" t="s">
        <v>2852</v>
      </c>
      <c r="C4388" s="1" t="s">
        <v>52</v>
      </c>
      <c r="D4388" s="1" t="s">
        <v>26</v>
      </c>
      <c r="E4388" s="1" t="s">
        <v>57</v>
      </c>
      <c r="F4388">
        <v>1</v>
      </c>
      <c r="G4388" s="2">
        <v>46034</v>
      </c>
      <c r="H4388" s="2">
        <v>46040</v>
      </c>
      <c r="I4388">
        <v>214.2</v>
      </c>
      <c r="J4388">
        <v>87.46</v>
      </c>
      <c r="K4388">
        <v>87.46</v>
      </c>
      <c r="L4388">
        <v>0</v>
      </c>
      <c r="M4388" s="1" t="s">
        <v>21</v>
      </c>
      <c r="N4388" s="1" t="s">
        <v>22</v>
      </c>
      <c r="O4388" s="2">
        <v>46063</v>
      </c>
      <c r="P4388" s="2">
        <v>46063</v>
      </c>
      <c r="Q4388">
        <f>_xlfn.XLOOKUP(E4388,CPT!$A$2:$A$13,CPT!$D$2:$D$13)</f>
        <v>210</v>
      </c>
      <c r="R4388" s="1">
        <f>_xlfn.XLOOKUP(C4388,Contract!$A$2:$A$9,Contract!$B$2:$B$9)</f>
        <v>0.47</v>
      </c>
      <c r="S4388" s="1">
        <f t="shared" si="272"/>
        <v>98.7</v>
      </c>
      <c r="T4388" s="1">
        <f t="shared" si="273"/>
        <v>11.240000000000009</v>
      </c>
      <c r="U4388" s="1" t="str">
        <f t="shared" si="274"/>
        <v>Underpaid</v>
      </c>
      <c r="V4388" s="1" t="str">
        <f>_xlfn.XLOOKUP(C4388,Payers!$A$2:$A$9,Payers!$B$2:$B$9)</f>
        <v>Keystone Commercial PPO</v>
      </c>
      <c r="W4388" s="1" t="str">
        <f t="shared" si="275"/>
        <v>2026-01</v>
      </c>
    </row>
    <row r="4389" spans="1:23">
      <c r="A4389" s="1" t="s">
        <v>6933</v>
      </c>
      <c r="B4389" s="1" t="s">
        <v>2198</v>
      </c>
      <c r="C4389" s="1" t="s">
        <v>47</v>
      </c>
      <c r="D4389" s="1" t="s">
        <v>19</v>
      </c>
      <c r="E4389" s="1" t="s">
        <v>88</v>
      </c>
      <c r="F4389">
        <v>1</v>
      </c>
      <c r="G4389" s="2">
        <v>45957</v>
      </c>
      <c r="H4389" s="2">
        <v>45959</v>
      </c>
      <c r="I4389">
        <v>257.75</v>
      </c>
      <c r="J4389">
        <v>66.23</v>
      </c>
      <c r="K4389">
        <v>59.61</v>
      </c>
      <c r="L4389">
        <v>6.62</v>
      </c>
      <c r="M4389" s="1" t="s">
        <v>21</v>
      </c>
      <c r="N4389" s="1" t="s">
        <v>22</v>
      </c>
      <c r="O4389" s="2">
        <v>46020</v>
      </c>
      <c r="P4389" s="2">
        <v>46020</v>
      </c>
      <c r="Q4389">
        <f>_xlfn.XLOOKUP(E4389,CPT!$A$2:$A$13,CPT!$D$2:$D$13)</f>
        <v>260</v>
      </c>
      <c r="R4389" s="1">
        <f>_xlfn.XLOOKUP(C4389,Contract!$A$2:$A$9,Contract!$B$2:$B$9)</f>
        <v>0.28000000000000003</v>
      </c>
      <c r="S4389" s="1">
        <f t="shared" si="272"/>
        <v>72.8</v>
      </c>
      <c r="T4389" s="1">
        <f t="shared" si="273"/>
        <v>6.5699999999999932</v>
      </c>
      <c r="U4389" s="1" t="str">
        <f t="shared" si="274"/>
        <v>Underpaid</v>
      </c>
      <c r="V4389" s="1" t="str">
        <f>_xlfn.XLOOKUP(C4389,Payers!$A$2:$A$9,Payers!$B$2:$B$9)</f>
        <v>Coastal Medicaid MCO</v>
      </c>
      <c r="W4389" s="1" t="str">
        <f t="shared" si="275"/>
        <v>2025-10</v>
      </c>
    </row>
    <row r="4390" spans="1:23">
      <c r="A4390" s="1" t="s">
        <v>6934</v>
      </c>
      <c r="B4390" s="1" t="s">
        <v>819</v>
      </c>
      <c r="C4390" s="1" t="s">
        <v>36</v>
      </c>
      <c r="D4390" s="1" t="s">
        <v>30</v>
      </c>
      <c r="E4390" s="1" t="s">
        <v>31</v>
      </c>
      <c r="F4390">
        <v>2</v>
      </c>
      <c r="G4390" s="2">
        <v>46232</v>
      </c>
      <c r="H4390" s="2">
        <v>46233</v>
      </c>
      <c r="I4390">
        <v>126.24</v>
      </c>
      <c r="J4390">
        <v>33.64</v>
      </c>
      <c r="K4390">
        <v>33.64</v>
      </c>
      <c r="L4390">
        <v>0</v>
      </c>
      <c r="M4390" s="1" t="s">
        <v>21</v>
      </c>
      <c r="N4390" s="1" t="s">
        <v>22</v>
      </c>
      <c r="O4390" s="2">
        <v>46246</v>
      </c>
      <c r="P4390" s="2">
        <v>46246</v>
      </c>
      <c r="Q4390">
        <f>_xlfn.XLOOKUP(E4390,CPT!$A$2:$A$13,CPT!$D$2:$D$13)</f>
        <v>62</v>
      </c>
      <c r="R4390" s="1">
        <f>_xlfn.XLOOKUP(C4390,Contract!$A$2:$A$9,Contract!$B$2:$B$9)</f>
        <v>0.27</v>
      </c>
      <c r="S4390" s="1">
        <f t="shared" si="272"/>
        <v>33.479999999999997</v>
      </c>
      <c r="T4390" s="1">
        <f t="shared" si="273"/>
        <v>-0.16000000000000369</v>
      </c>
      <c r="U4390" s="1" t="str">
        <f t="shared" si="274"/>
        <v>OK</v>
      </c>
      <c r="V4390" s="1" t="str">
        <f>_xlfn.XLOOKUP(C4390,Payers!$A$2:$A$9,Payers!$B$2:$B$9)</f>
        <v>Florida Medicaid</v>
      </c>
      <c r="W4390" s="1" t="str">
        <f t="shared" si="275"/>
        <v>2026-07</v>
      </c>
    </row>
    <row r="4391" spans="1:23">
      <c r="A4391" s="1" t="s">
        <v>6935</v>
      </c>
      <c r="B4391" s="1" t="s">
        <v>5582</v>
      </c>
      <c r="C4391" s="1" t="s">
        <v>76</v>
      </c>
      <c r="D4391" s="1" t="s">
        <v>30</v>
      </c>
      <c r="E4391" s="1" t="s">
        <v>91</v>
      </c>
      <c r="F4391">
        <v>1</v>
      </c>
      <c r="G4391" s="2">
        <v>46285</v>
      </c>
      <c r="H4391" s="2">
        <v>46290</v>
      </c>
      <c r="I4391">
        <v>56.35</v>
      </c>
      <c r="M4391" s="1" t="s">
        <v>69</v>
      </c>
      <c r="N4391" s="1" t="s">
        <v>22</v>
      </c>
      <c r="O4391" s="2"/>
      <c r="P4391" s="2"/>
      <c r="Q4391">
        <f>_xlfn.XLOOKUP(E4391,CPT!$A$2:$A$13,CPT!$D$2:$D$13)</f>
        <v>58</v>
      </c>
      <c r="R4391" s="1">
        <f>_xlfn.XLOOKUP(C4391,Contract!$A$2:$A$9,Contract!$B$2:$B$9)</f>
        <v>0.43</v>
      </c>
      <c r="S4391" s="1">
        <f t="shared" si="272"/>
        <v>24.94</v>
      </c>
      <c r="T4391" s="1" t="str">
        <f t="shared" si="273"/>
        <v/>
      </c>
      <c r="U4391" s="1" t="str">
        <f t="shared" si="274"/>
        <v/>
      </c>
      <c r="V4391" s="1" t="str">
        <f>_xlfn.XLOOKUP(C4391,Payers!$A$2:$A$9,Payers!$B$2:$B$9)</f>
        <v>Summit Health Commercial</v>
      </c>
      <c r="W4391" s="1" t="str">
        <f t="shared" si="275"/>
        <v>2026-09</v>
      </c>
    </row>
    <row r="4392" spans="1:23">
      <c r="A4392" s="1" t="s">
        <v>6936</v>
      </c>
      <c r="B4392" s="1" t="s">
        <v>6551</v>
      </c>
      <c r="C4392" s="1" t="s">
        <v>60</v>
      </c>
      <c r="D4392" s="1" t="s">
        <v>19</v>
      </c>
      <c r="E4392" s="1" t="s">
        <v>20</v>
      </c>
      <c r="F4392">
        <v>1</v>
      </c>
      <c r="G4392" s="2">
        <v>46173</v>
      </c>
      <c r="H4392" s="2">
        <v>46175</v>
      </c>
      <c r="I4392">
        <v>144.53</v>
      </c>
      <c r="J4392">
        <v>59.15</v>
      </c>
      <c r="K4392">
        <v>53.23</v>
      </c>
      <c r="L4392">
        <v>5.92</v>
      </c>
      <c r="M4392" s="1" t="s">
        <v>21</v>
      </c>
      <c r="N4392" s="1" t="s">
        <v>22</v>
      </c>
      <c r="O4392" s="2">
        <v>46202</v>
      </c>
      <c r="P4392" s="2">
        <v>46202</v>
      </c>
      <c r="Q4392">
        <f>_xlfn.XLOOKUP(E4392,CPT!$A$2:$A$13,CPT!$D$2:$D$13)</f>
        <v>145</v>
      </c>
      <c r="R4392" s="1">
        <f>_xlfn.XLOOKUP(C4392,Contract!$A$2:$A$9,Contract!$B$2:$B$9)</f>
        <v>0.45</v>
      </c>
      <c r="S4392" s="1">
        <f t="shared" si="272"/>
        <v>65.25</v>
      </c>
      <c r="T4392" s="1">
        <f t="shared" si="273"/>
        <v>6.1000000000000014</v>
      </c>
      <c r="U4392" s="1" t="str">
        <f t="shared" si="274"/>
        <v>Underpaid</v>
      </c>
      <c r="V4392" s="1" t="str">
        <f>_xlfn.XLOOKUP(C4392,Payers!$A$2:$A$9,Payers!$B$2:$B$9)</f>
        <v>Blue Horizon Commercial</v>
      </c>
      <c r="W4392" s="1" t="str">
        <f t="shared" si="275"/>
        <v>2026-05</v>
      </c>
    </row>
    <row r="4393" spans="1:23">
      <c r="A4393" s="1" t="s">
        <v>6937</v>
      </c>
      <c r="B4393" s="1" t="s">
        <v>3791</v>
      </c>
      <c r="C4393" s="1" t="s">
        <v>76</v>
      </c>
      <c r="D4393" s="1" t="s">
        <v>37</v>
      </c>
      <c r="E4393" s="1" t="s">
        <v>57</v>
      </c>
      <c r="F4393">
        <v>1</v>
      </c>
      <c r="G4393" s="2">
        <v>45996</v>
      </c>
      <c r="H4393" s="2">
        <v>45999</v>
      </c>
      <c r="I4393">
        <v>216</v>
      </c>
      <c r="J4393">
        <v>100.53</v>
      </c>
      <c r="K4393">
        <v>100.53</v>
      </c>
      <c r="L4393">
        <v>0</v>
      </c>
      <c r="M4393" s="1" t="s">
        <v>21</v>
      </c>
      <c r="N4393" s="1" t="s">
        <v>22</v>
      </c>
      <c r="O4393" s="2">
        <v>46017</v>
      </c>
      <c r="P4393" s="2">
        <v>46017</v>
      </c>
      <c r="Q4393">
        <f>_xlfn.XLOOKUP(E4393,CPT!$A$2:$A$13,CPT!$D$2:$D$13)</f>
        <v>210</v>
      </c>
      <c r="R4393" s="1">
        <f>_xlfn.XLOOKUP(C4393,Contract!$A$2:$A$9,Contract!$B$2:$B$9)</f>
        <v>0.43</v>
      </c>
      <c r="S4393" s="1">
        <f t="shared" si="272"/>
        <v>90.3</v>
      </c>
      <c r="T4393" s="1">
        <f t="shared" si="273"/>
        <v>-10.230000000000004</v>
      </c>
      <c r="U4393" s="1" t="str">
        <f t="shared" si="274"/>
        <v>OK</v>
      </c>
      <c r="V4393" s="1" t="str">
        <f>_xlfn.XLOOKUP(C4393,Payers!$A$2:$A$9,Payers!$B$2:$B$9)</f>
        <v>Summit Health Commercial</v>
      </c>
      <c r="W4393" s="1" t="str">
        <f t="shared" si="275"/>
        <v>2025-12</v>
      </c>
    </row>
    <row r="4394" spans="1:23">
      <c r="A4394" s="1" t="s">
        <v>6938</v>
      </c>
      <c r="B4394" s="1" t="s">
        <v>115</v>
      </c>
      <c r="C4394" s="1" t="s">
        <v>47</v>
      </c>
      <c r="D4394" s="1" t="s">
        <v>26</v>
      </c>
      <c r="E4394" s="1" t="s">
        <v>57</v>
      </c>
      <c r="F4394">
        <v>1</v>
      </c>
      <c r="G4394" s="2">
        <v>45935</v>
      </c>
      <c r="H4394" s="2">
        <v>45940</v>
      </c>
      <c r="I4394">
        <v>204.11</v>
      </c>
      <c r="J4394">
        <v>59.68</v>
      </c>
      <c r="K4394">
        <v>53.71</v>
      </c>
      <c r="L4394">
        <v>5.97</v>
      </c>
      <c r="M4394" s="1" t="s">
        <v>21</v>
      </c>
      <c r="N4394" s="1" t="s">
        <v>22</v>
      </c>
      <c r="O4394" s="2">
        <v>45997</v>
      </c>
      <c r="P4394" s="2">
        <v>45997</v>
      </c>
      <c r="Q4394">
        <f>_xlfn.XLOOKUP(E4394,CPT!$A$2:$A$13,CPT!$D$2:$D$13)</f>
        <v>210</v>
      </c>
      <c r="R4394" s="1">
        <f>_xlfn.XLOOKUP(C4394,Contract!$A$2:$A$9,Contract!$B$2:$B$9)</f>
        <v>0.28000000000000003</v>
      </c>
      <c r="S4394" s="1">
        <f t="shared" si="272"/>
        <v>58.8</v>
      </c>
      <c r="T4394" s="1">
        <f t="shared" si="273"/>
        <v>-0.88000000000000256</v>
      </c>
      <c r="U4394" s="1" t="str">
        <f t="shared" si="274"/>
        <v>OK</v>
      </c>
      <c r="V4394" s="1" t="str">
        <f>_xlfn.XLOOKUP(C4394,Payers!$A$2:$A$9,Payers!$B$2:$B$9)</f>
        <v>Coastal Medicaid MCO</v>
      </c>
      <c r="W4394" s="1" t="str">
        <f t="shared" si="275"/>
        <v>2025-10</v>
      </c>
    </row>
    <row r="4395" spans="1:23">
      <c r="A4395" s="1" t="s">
        <v>6939</v>
      </c>
      <c r="B4395" s="1" t="s">
        <v>6940</v>
      </c>
      <c r="C4395" s="1" t="s">
        <v>76</v>
      </c>
      <c r="D4395" s="1" t="s">
        <v>26</v>
      </c>
      <c r="E4395" s="1" t="s">
        <v>41</v>
      </c>
      <c r="F4395">
        <v>1</v>
      </c>
      <c r="G4395" s="2">
        <v>46285</v>
      </c>
      <c r="H4395" s="2">
        <v>46293</v>
      </c>
      <c r="I4395">
        <v>37.33</v>
      </c>
      <c r="M4395" s="1" t="s">
        <v>69</v>
      </c>
      <c r="N4395" s="1" t="s">
        <v>22</v>
      </c>
      <c r="O4395" s="2"/>
      <c r="P4395" s="2"/>
      <c r="Q4395">
        <f>_xlfn.XLOOKUP(E4395,CPT!$A$2:$A$13,CPT!$D$2:$D$13)</f>
        <v>38</v>
      </c>
      <c r="R4395" s="1">
        <f>_xlfn.XLOOKUP(C4395,Contract!$A$2:$A$9,Contract!$B$2:$B$9)</f>
        <v>0.43</v>
      </c>
      <c r="S4395" s="1">
        <f t="shared" si="272"/>
        <v>16.34</v>
      </c>
      <c r="T4395" s="1" t="str">
        <f t="shared" si="273"/>
        <v/>
      </c>
      <c r="U4395" s="1" t="str">
        <f t="shared" si="274"/>
        <v/>
      </c>
      <c r="V4395" s="1" t="str">
        <f>_xlfn.XLOOKUP(C4395,Payers!$A$2:$A$9,Payers!$B$2:$B$9)</f>
        <v>Summit Health Commercial</v>
      </c>
      <c r="W4395" s="1" t="str">
        <f t="shared" si="275"/>
        <v>2026-09</v>
      </c>
    </row>
    <row r="4396" spans="1:23">
      <c r="A4396" s="1" t="s">
        <v>6941</v>
      </c>
      <c r="B4396" s="1" t="s">
        <v>6942</v>
      </c>
      <c r="C4396" s="1" t="s">
        <v>60</v>
      </c>
      <c r="D4396" s="1" t="s">
        <v>26</v>
      </c>
      <c r="E4396" s="1" t="s">
        <v>185</v>
      </c>
      <c r="F4396">
        <v>1</v>
      </c>
      <c r="G4396" s="2">
        <v>46116</v>
      </c>
      <c r="H4396" s="2">
        <v>46124</v>
      </c>
      <c r="I4396">
        <v>1152.1300000000001</v>
      </c>
      <c r="J4396">
        <v>457.65</v>
      </c>
      <c r="K4396">
        <v>457.65</v>
      </c>
      <c r="L4396">
        <v>0</v>
      </c>
      <c r="M4396" s="1" t="s">
        <v>21</v>
      </c>
      <c r="N4396" s="1" t="s">
        <v>22</v>
      </c>
      <c r="O4396" s="2">
        <v>46165</v>
      </c>
      <c r="P4396" s="2">
        <v>46165</v>
      </c>
      <c r="Q4396">
        <f>_xlfn.XLOOKUP(E4396,CPT!$A$2:$A$13,CPT!$D$2:$D$13)</f>
        <v>1150</v>
      </c>
      <c r="R4396" s="1">
        <f>_xlfn.XLOOKUP(C4396,Contract!$A$2:$A$9,Contract!$B$2:$B$9)</f>
        <v>0.45</v>
      </c>
      <c r="S4396" s="1">
        <f t="shared" si="272"/>
        <v>517.5</v>
      </c>
      <c r="T4396" s="1">
        <f t="shared" si="273"/>
        <v>59.850000000000023</v>
      </c>
      <c r="U4396" s="1" t="str">
        <f t="shared" si="274"/>
        <v>Underpaid</v>
      </c>
      <c r="V4396" s="1" t="str">
        <f>_xlfn.XLOOKUP(C4396,Payers!$A$2:$A$9,Payers!$B$2:$B$9)</f>
        <v>Blue Horizon Commercial</v>
      </c>
      <c r="W4396" s="1" t="str">
        <f t="shared" si="275"/>
        <v>2026-04</v>
      </c>
    </row>
    <row r="4397" spans="1:23">
      <c r="A4397" s="1" t="s">
        <v>6943</v>
      </c>
      <c r="B4397" s="1" t="s">
        <v>1365</v>
      </c>
      <c r="C4397" s="1" t="s">
        <v>52</v>
      </c>
      <c r="D4397" s="1" t="s">
        <v>19</v>
      </c>
      <c r="E4397" s="1" t="s">
        <v>20</v>
      </c>
      <c r="F4397">
        <v>1</v>
      </c>
      <c r="G4397" s="2">
        <v>46272</v>
      </c>
      <c r="H4397" s="2">
        <v>46276</v>
      </c>
      <c r="I4397">
        <v>142.44</v>
      </c>
      <c r="M4397" s="1" t="s">
        <v>69</v>
      </c>
      <c r="N4397" s="1" t="s">
        <v>22</v>
      </c>
      <c r="O4397" s="2"/>
      <c r="P4397" s="2"/>
      <c r="Q4397">
        <f>_xlfn.XLOOKUP(E4397,CPT!$A$2:$A$13,CPT!$D$2:$D$13)</f>
        <v>145</v>
      </c>
      <c r="R4397" s="1">
        <f>_xlfn.XLOOKUP(C4397,Contract!$A$2:$A$9,Contract!$B$2:$B$9)</f>
        <v>0.47</v>
      </c>
      <c r="S4397" s="1">
        <f t="shared" si="272"/>
        <v>68.150000000000006</v>
      </c>
      <c r="T4397" s="1" t="str">
        <f t="shared" si="273"/>
        <v/>
      </c>
      <c r="U4397" s="1" t="str">
        <f t="shared" si="274"/>
        <v/>
      </c>
      <c r="V4397" s="1" t="str">
        <f>_xlfn.XLOOKUP(C4397,Payers!$A$2:$A$9,Payers!$B$2:$B$9)</f>
        <v>Keystone Commercial PPO</v>
      </c>
      <c r="W4397" s="1" t="str">
        <f t="shared" si="275"/>
        <v>2026-09</v>
      </c>
    </row>
    <row r="4398" spans="1:23">
      <c r="A4398" s="1" t="s">
        <v>6944</v>
      </c>
      <c r="B4398" s="1" t="s">
        <v>6945</v>
      </c>
      <c r="C4398" s="1" t="s">
        <v>60</v>
      </c>
      <c r="D4398" s="1" t="s">
        <v>19</v>
      </c>
      <c r="E4398" s="1" t="s">
        <v>57</v>
      </c>
      <c r="F4398">
        <v>1</v>
      </c>
      <c r="G4398" s="2">
        <v>45975</v>
      </c>
      <c r="H4398" s="2">
        <v>45979</v>
      </c>
      <c r="I4398">
        <v>207.98</v>
      </c>
      <c r="J4398">
        <v>95.14</v>
      </c>
      <c r="K4398">
        <v>76.11</v>
      </c>
      <c r="L4398">
        <v>19.03</v>
      </c>
      <c r="M4398" s="1" t="s">
        <v>21</v>
      </c>
      <c r="N4398" s="1" t="s">
        <v>22</v>
      </c>
      <c r="O4398" s="2">
        <v>46014</v>
      </c>
      <c r="P4398" s="2">
        <v>46014</v>
      </c>
      <c r="Q4398">
        <f>_xlfn.XLOOKUP(E4398,CPT!$A$2:$A$13,CPT!$D$2:$D$13)</f>
        <v>210</v>
      </c>
      <c r="R4398" s="1">
        <f>_xlfn.XLOOKUP(C4398,Contract!$A$2:$A$9,Contract!$B$2:$B$9)</f>
        <v>0.45</v>
      </c>
      <c r="S4398" s="1">
        <f t="shared" si="272"/>
        <v>94.5</v>
      </c>
      <c r="T4398" s="1">
        <f t="shared" si="273"/>
        <v>-0.64000000000000057</v>
      </c>
      <c r="U4398" s="1" t="str">
        <f t="shared" si="274"/>
        <v>OK</v>
      </c>
      <c r="V4398" s="1" t="str">
        <f>_xlfn.XLOOKUP(C4398,Payers!$A$2:$A$9,Payers!$B$2:$B$9)</f>
        <v>Blue Horizon Commercial</v>
      </c>
      <c r="W4398" s="1" t="str">
        <f t="shared" si="275"/>
        <v>2025-11</v>
      </c>
    </row>
    <row r="4399" spans="1:23">
      <c r="A4399" s="1" t="s">
        <v>6946</v>
      </c>
      <c r="B4399" s="1" t="s">
        <v>6947</v>
      </c>
      <c r="C4399" s="1" t="s">
        <v>47</v>
      </c>
      <c r="D4399" s="1" t="s">
        <v>26</v>
      </c>
      <c r="E4399" s="1" t="s">
        <v>41</v>
      </c>
      <c r="F4399">
        <v>1</v>
      </c>
      <c r="G4399" s="2">
        <v>46041</v>
      </c>
      <c r="H4399" s="2">
        <v>46046</v>
      </c>
      <c r="I4399">
        <v>37.65</v>
      </c>
      <c r="J4399">
        <v>10.78</v>
      </c>
      <c r="K4399">
        <v>10.78</v>
      </c>
      <c r="L4399">
        <v>0</v>
      </c>
      <c r="M4399" s="1" t="s">
        <v>21</v>
      </c>
      <c r="N4399" s="1" t="s">
        <v>22</v>
      </c>
      <c r="O4399" s="2">
        <v>46093</v>
      </c>
      <c r="P4399" s="2">
        <v>46093</v>
      </c>
      <c r="Q4399">
        <f>_xlfn.XLOOKUP(E4399,CPT!$A$2:$A$13,CPT!$D$2:$D$13)</f>
        <v>38</v>
      </c>
      <c r="R4399" s="1">
        <f>_xlfn.XLOOKUP(C4399,Contract!$A$2:$A$9,Contract!$B$2:$B$9)</f>
        <v>0.28000000000000003</v>
      </c>
      <c r="S4399" s="1">
        <f t="shared" si="272"/>
        <v>10.64</v>
      </c>
      <c r="T4399" s="1">
        <f t="shared" si="273"/>
        <v>-0.13999999999999879</v>
      </c>
      <c r="U4399" s="1" t="str">
        <f t="shared" si="274"/>
        <v>OK</v>
      </c>
      <c r="V4399" s="1" t="str">
        <f>_xlfn.XLOOKUP(C4399,Payers!$A$2:$A$9,Payers!$B$2:$B$9)</f>
        <v>Coastal Medicaid MCO</v>
      </c>
      <c r="W4399" s="1" t="str">
        <f t="shared" si="275"/>
        <v>2026-01</v>
      </c>
    </row>
    <row r="4400" spans="1:23">
      <c r="A4400" s="1" t="s">
        <v>6948</v>
      </c>
      <c r="B4400" s="1" t="s">
        <v>6949</v>
      </c>
      <c r="C4400" s="1" t="s">
        <v>25</v>
      </c>
      <c r="D4400" s="1" t="s">
        <v>37</v>
      </c>
      <c r="E4400" s="1" t="s">
        <v>48</v>
      </c>
      <c r="F4400">
        <v>1</v>
      </c>
      <c r="G4400" s="2">
        <v>46020</v>
      </c>
      <c r="H4400" s="2">
        <v>46021</v>
      </c>
      <c r="I4400">
        <v>415.74</v>
      </c>
      <c r="J4400">
        <v>136.30000000000001</v>
      </c>
      <c r="K4400">
        <v>136.30000000000001</v>
      </c>
      <c r="L4400">
        <v>0</v>
      </c>
      <c r="M4400" s="1" t="s">
        <v>21</v>
      </c>
      <c r="N4400" s="1" t="s">
        <v>22</v>
      </c>
      <c r="O4400" s="2">
        <v>46035</v>
      </c>
      <c r="P4400" s="2">
        <v>46035</v>
      </c>
      <c r="Q4400">
        <f>_xlfn.XLOOKUP(E4400,CPT!$A$2:$A$13,CPT!$D$2:$D$13)</f>
        <v>420</v>
      </c>
      <c r="R4400" s="1">
        <f>_xlfn.XLOOKUP(C4400,Contract!$A$2:$A$9,Contract!$B$2:$B$9)</f>
        <v>0.36</v>
      </c>
      <c r="S4400" s="1">
        <f t="shared" si="272"/>
        <v>151.19999999999999</v>
      </c>
      <c r="T4400" s="1">
        <f t="shared" si="273"/>
        <v>14.899999999999977</v>
      </c>
      <c r="U4400" s="1" t="str">
        <f t="shared" si="274"/>
        <v>Underpaid</v>
      </c>
      <c r="V4400" s="1" t="str">
        <f>_xlfn.XLOOKUP(C4400,Payers!$A$2:$A$9,Payers!$B$2:$B$9)</f>
        <v>Medicare Part B</v>
      </c>
      <c r="W4400" s="1" t="str">
        <f t="shared" si="275"/>
        <v>2025-12</v>
      </c>
    </row>
    <row r="4401" spans="1:23">
      <c r="A4401" s="1" t="s">
        <v>6950</v>
      </c>
      <c r="B4401" s="1" t="s">
        <v>6951</v>
      </c>
      <c r="C4401" s="1" t="s">
        <v>60</v>
      </c>
      <c r="D4401" s="1" t="s">
        <v>19</v>
      </c>
      <c r="E4401" s="1" t="s">
        <v>57</v>
      </c>
      <c r="F4401">
        <v>1</v>
      </c>
      <c r="G4401" s="2">
        <v>46237</v>
      </c>
      <c r="H4401" s="2">
        <v>46248</v>
      </c>
      <c r="I4401">
        <v>211.47</v>
      </c>
      <c r="J4401">
        <v>96.15</v>
      </c>
      <c r="K4401">
        <v>76.92</v>
      </c>
      <c r="L4401">
        <v>19.23</v>
      </c>
      <c r="M4401" s="1" t="s">
        <v>21</v>
      </c>
      <c r="N4401" s="1" t="s">
        <v>22</v>
      </c>
      <c r="O4401" s="2">
        <v>46279</v>
      </c>
      <c r="P4401" s="2">
        <v>46279</v>
      </c>
      <c r="Q4401">
        <f>_xlfn.XLOOKUP(E4401,CPT!$A$2:$A$13,CPT!$D$2:$D$13)</f>
        <v>210</v>
      </c>
      <c r="R4401" s="1">
        <f>_xlfn.XLOOKUP(C4401,Contract!$A$2:$A$9,Contract!$B$2:$B$9)</f>
        <v>0.45</v>
      </c>
      <c r="S4401" s="1">
        <f t="shared" si="272"/>
        <v>94.5</v>
      </c>
      <c r="T4401" s="1">
        <f t="shared" si="273"/>
        <v>-1.6500000000000057</v>
      </c>
      <c r="U4401" s="1" t="str">
        <f t="shared" si="274"/>
        <v>OK</v>
      </c>
      <c r="V4401" s="1" t="str">
        <f>_xlfn.XLOOKUP(C4401,Payers!$A$2:$A$9,Payers!$B$2:$B$9)</f>
        <v>Blue Horizon Commercial</v>
      </c>
      <c r="W4401" s="1" t="str">
        <f t="shared" si="275"/>
        <v>2026-08</v>
      </c>
    </row>
    <row r="4402" spans="1:23">
      <c r="A4402" s="1" t="s">
        <v>6952</v>
      </c>
      <c r="B4402" s="1" t="s">
        <v>6920</v>
      </c>
      <c r="C4402" s="1" t="s">
        <v>18</v>
      </c>
      <c r="D4402" s="1" t="s">
        <v>26</v>
      </c>
      <c r="E4402" s="1" t="s">
        <v>41</v>
      </c>
      <c r="F4402">
        <v>1</v>
      </c>
      <c r="G4402" s="2">
        <v>46177</v>
      </c>
      <c r="H4402" s="2">
        <v>46179</v>
      </c>
      <c r="I4402">
        <v>37.61</v>
      </c>
      <c r="J4402">
        <v>14.12</v>
      </c>
      <c r="K4402">
        <v>11.3</v>
      </c>
      <c r="L4402">
        <v>2.82</v>
      </c>
      <c r="M4402" s="1" t="s">
        <v>21</v>
      </c>
      <c r="N4402" s="1" t="s">
        <v>22</v>
      </c>
      <c r="O4402" s="2">
        <v>46246</v>
      </c>
      <c r="P4402" s="2">
        <v>46246</v>
      </c>
      <c r="Q4402">
        <f>_xlfn.XLOOKUP(E4402,CPT!$A$2:$A$13,CPT!$D$2:$D$13)</f>
        <v>38</v>
      </c>
      <c r="R4402" s="1">
        <f>_xlfn.XLOOKUP(C4402,Contract!$A$2:$A$9,Contract!$B$2:$B$9)</f>
        <v>0.38</v>
      </c>
      <c r="S4402" s="1">
        <f t="shared" si="272"/>
        <v>14.44</v>
      </c>
      <c r="T4402" s="1">
        <f t="shared" si="273"/>
        <v>0.32000000000000028</v>
      </c>
      <c r="U4402" s="1" t="str">
        <f t="shared" si="274"/>
        <v>OK</v>
      </c>
      <c r="V4402" s="1" t="str">
        <f>_xlfn.XLOOKUP(C4402,Payers!$A$2:$A$9,Payers!$B$2:$B$9)</f>
        <v>Sunshine Medicare Advantage</v>
      </c>
      <c r="W4402" s="1" t="str">
        <f t="shared" si="275"/>
        <v>2026-06</v>
      </c>
    </row>
    <row r="4403" spans="1:23">
      <c r="A4403" s="1" t="s">
        <v>6953</v>
      </c>
      <c r="B4403" s="1" t="s">
        <v>2547</v>
      </c>
      <c r="C4403" s="1" t="s">
        <v>36</v>
      </c>
      <c r="D4403" s="1" t="s">
        <v>30</v>
      </c>
      <c r="E4403" s="1" t="s">
        <v>31</v>
      </c>
      <c r="F4403">
        <v>3</v>
      </c>
      <c r="G4403" s="2">
        <v>46123</v>
      </c>
      <c r="H4403" s="2">
        <v>46128</v>
      </c>
      <c r="I4403">
        <v>187.04</v>
      </c>
      <c r="J4403">
        <v>51.23</v>
      </c>
      <c r="K4403">
        <v>40.98</v>
      </c>
      <c r="L4403">
        <v>10.25</v>
      </c>
      <c r="M4403" s="1" t="s">
        <v>21</v>
      </c>
      <c r="N4403" s="1" t="s">
        <v>22</v>
      </c>
      <c r="O4403" s="2">
        <v>46181</v>
      </c>
      <c r="P4403" s="2">
        <v>46181</v>
      </c>
      <c r="Q4403">
        <f>_xlfn.XLOOKUP(E4403,CPT!$A$2:$A$13,CPT!$D$2:$D$13)</f>
        <v>62</v>
      </c>
      <c r="R4403" s="1">
        <f>_xlfn.XLOOKUP(C4403,Contract!$A$2:$A$9,Contract!$B$2:$B$9)</f>
        <v>0.27</v>
      </c>
      <c r="S4403" s="1">
        <f t="shared" si="272"/>
        <v>50.22</v>
      </c>
      <c r="T4403" s="1">
        <f t="shared" si="273"/>
        <v>-1.009999999999998</v>
      </c>
      <c r="U4403" s="1" t="str">
        <f t="shared" si="274"/>
        <v>OK</v>
      </c>
      <c r="V4403" s="1" t="str">
        <f>_xlfn.XLOOKUP(C4403,Payers!$A$2:$A$9,Payers!$B$2:$B$9)</f>
        <v>Florida Medicaid</v>
      </c>
      <c r="W4403" s="1" t="str">
        <f t="shared" si="275"/>
        <v>2026-04</v>
      </c>
    </row>
    <row r="4404" spans="1:23">
      <c r="A4404" s="1" t="s">
        <v>6954</v>
      </c>
      <c r="B4404" s="1" t="s">
        <v>5221</v>
      </c>
      <c r="C4404" s="1" t="s">
        <v>76</v>
      </c>
      <c r="D4404" s="1" t="s">
        <v>26</v>
      </c>
      <c r="E4404" s="1" t="s">
        <v>44</v>
      </c>
      <c r="F4404">
        <v>1</v>
      </c>
      <c r="G4404" s="2">
        <v>45971</v>
      </c>
      <c r="H4404" s="2">
        <v>45978</v>
      </c>
      <c r="I4404">
        <v>4777.07</v>
      </c>
      <c r="M4404" s="1" t="s">
        <v>32</v>
      </c>
      <c r="N4404" s="1" t="s">
        <v>315</v>
      </c>
      <c r="O4404" s="2">
        <v>46018</v>
      </c>
      <c r="P4404" s="2"/>
      <c r="Q4404">
        <f>_xlfn.XLOOKUP(E4404,CPT!$A$2:$A$13,CPT!$D$2:$D$13)</f>
        <v>4800</v>
      </c>
      <c r="R4404" s="1">
        <f>_xlfn.XLOOKUP(C4404,Contract!$A$2:$A$9,Contract!$B$2:$B$9)</f>
        <v>0.43</v>
      </c>
      <c r="S4404" s="1">
        <f t="shared" si="272"/>
        <v>2064</v>
      </c>
      <c r="T4404" s="1" t="str">
        <f t="shared" si="273"/>
        <v/>
      </c>
      <c r="U4404" s="1" t="str">
        <f t="shared" si="274"/>
        <v/>
      </c>
      <c r="V4404" s="1" t="str">
        <f>_xlfn.XLOOKUP(C4404,Payers!$A$2:$A$9,Payers!$B$2:$B$9)</f>
        <v>Summit Health Commercial</v>
      </c>
      <c r="W4404" s="1" t="str">
        <f t="shared" si="275"/>
        <v>2025-11</v>
      </c>
    </row>
    <row r="4405" spans="1:23">
      <c r="A4405" s="1" t="s">
        <v>6955</v>
      </c>
      <c r="B4405" s="1" t="s">
        <v>3546</v>
      </c>
      <c r="C4405" s="1" t="s">
        <v>60</v>
      </c>
      <c r="D4405" s="1" t="s">
        <v>26</v>
      </c>
      <c r="E4405" s="1" t="s">
        <v>88</v>
      </c>
      <c r="F4405">
        <v>1</v>
      </c>
      <c r="G4405" s="2">
        <v>45995</v>
      </c>
      <c r="H4405" s="2">
        <v>45996</v>
      </c>
      <c r="I4405">
        <v>253.75</v>
      </c>
      <c r="J4405">
        <v>119.74</v>
      </c>
      <c r="K4405">
        <v>119.74</v>
      </c>
      <c r="L4405">
        <v>0</v>
      </c>
      <c r="M4405" s="1" t="s">
        <v>21</v>
      </c>
      <c r="N4405" s="1" t="s">
        <v>22</v>
      </c>
      <c r="O4405" s="2">
        <v>46028</v>
      </c>
      <c r="P4405" s="2">
        <v>46028</v>
      </c>
      <c r="Q4405">
        <f>_xlfn.XLOOKUP(E4405,CPT!$A$2:$A$13,CPT!$D$2:$D$13)</f>
        <v>260</v>
      </c>
      <c r="R4405" s="1">
        <f>_xlfn.XLOOKUP(C4405,Contract!$A$2:$A$9,Contract!$B$2:$B$9)</f>
        <v>0.45</v>
      </c>
      <c r="S4405" s="1">
        <f t="shared" si="272"/>
        <v>117</v>
      </c>
      <c r="T4405" s="1">
        <f t="shared" si="273"/>
        <v>-2.7399999999999949</v>
      </c>
      <c r="U4405" s="1" t="str">
        <f t="shared" si="274"/>
        <v>OK</v>
      </c>
      <c r="V4405" s="1" t="str">
        <f>_xlfn.XLOOKUP(C4405,Payers!$A$2:$A$9,Payers!$B$2:$B$9)</f>
        <v>Blue Horizon Commercial</v>
      </c>
      <c r="W4405" s="1" t="str">
        <f t="shared" si="275"/>
        <v>2025-12</v>
      </c>
    </row>
    <row r="4406" spans="1:23">
      <c r="A4406" s="1" t="s">
        <v>6956</v>
      </c>
      <c r="B4406" s="1" t="s">
        <v>4852</v>
      </c>
      <c r="C4406" s="1" t="s">
        <v>76</v>
      </c>
      <c r="D4406" s="1" t="s">
        <v>26</v>
      </c>
      <c r="E4406" s="1" t="s">
        <v>113</v>
      </c>
      <c r="F4406">
        <v>1</v>
      </c>
      <c r="G4406" s="2">
        <v>46049</v>
      </c>
      <c r="H4406" s="2">
        <v>46055</v>
      </c>
      <c r="I4406">
        <v>1061.6400000000001</v>
      </c>
      <c r="J4406">
        <v>505.67</v>
      </c>
      <c r="K4406">
        <v>404.54</v>
      </c>
      <c r="L4406">
        <v>101.13</v>
      </c>
      <c r="M4406" s="1" t="s">
        <v>21</v>
      </c>
      <c r="N4406" s="1" t="s">
        <v>22</v>
      </c>
      <c r="O4406" s="2">
        <v>46095</v>
      </c>
      <c r="P4406" s="2">
        <v>46095</v>
      </c>
      <c r="Q4406">
        <f>_xlfn.XLOOKUP(E4406,CPT!$A$2:$A$13,CPT!$D$2:$D$13)</f>
        <v>1050</v>
      </c>
      <c r="R4406" s="1">
        <f>_xlfn.XLOOKUP(C4406,Contract!$A$2:$A$9,Contract!$B$2:$B$9)</f>
        <v>0.43</v>
      </c>
      <c r="S4406" s="1">
        <f t="shared" si="272"/>
        <v>451.5</v>
      </c>
      <c r="T4406" s="1">
        <f t="shared" si="273"/>
        <v>-54.170000000000016</v>
      </c>
      <c r="U4406" s="1" t="str">
        <f t="shared" si="274"/>
        <v>OK</v>
      </c>
      <c r="V4406" s="1" t="str">
        <f>_xlfn.XLOOKUP(C4406,Payers!$A$2:$A$9,Payers!$B$2:$B$9)</f>
        <v>Summit Health Commercial</v>
      </c>
      <c r="W4406" s="1" t="str">
        <f t="shared" si="275"/>
        <v>2026-01</v>
      </c>
    </row>
    <row r="4407" spans="1:23">
      <c r="A4407" s="1" t="s">
        <v>6957</v>
      </c>
      <c r="B4407" s="1" t="s">
        <v>831</v>
      </c>
      <c r="C4407" s="1" t="s">
        <v>60</v>
      </c>
      <c r="D4407" s="1" t="s">
        <v>19</v>
      </c>
      <c r="E4407" s="1" t="s">
        <v>20</v>
      </c>
      <c r="F4407">
        <v>1</v>
      </c>
      <c r="G4407" s="2">
        <v>45962</v>
      </c>
      <c r="H4407" s="2">
        <v>45968</v>
      </c>
      <c r="I4407">
        <v>147.93</v>
      </c>
      <c r="J4407">
        <v>69.06</v>
      </c>
      <c r="K4407">
        <v>55.25</v>
      </c>
      <c r="L4407">
        <v>13.81</v>
      </c>
      <c r="M4407" s="1" t="s">
        <v>21</v>
      </c>
      <c r="N4407" s="1" t="s">
        <v>22</v>
      </c>
      <c r="O4407" s="2">
        <v>46005</v>
      </c>
      <c r="P4407" s="2">
        <v>46005</v>
      </c>
      <c r="Q4407">
        <f>_xlfn.XLOOKUP(E4407,CPT!$A$2:$A$13,CPT!$D$2:$D$13)</f>
        <v>145</v>
      </c>
      <c r="R4407" s="1">
        <f>_xlfn.XLOOKUP(C4407,Contract!$A$2:$A$9,Contract!$B$2:$B$9)</f>
        <v>0.45</v>
      </c>
      <c r="S4407" s="1">
        <f t="shared" si="272"/>
        <v>65.25</v>
      </c>
      <c r="T4407" s="1">
        <f t="shared" si="273"/>
        <v>-3.8100000000000023</v>
      </c>
      <c r="U4407" s="1" t="str">
        <f t="shared" si="274"/>
        <v>OK</v>
      </c>
      <c r="V4407" s="1" t="str">
        <f>_xlfn.XLOOKUP(C4407,Payers!$A$2:$A$9,Payers!$B$2:$B$9)</f>
        <v>Blue Horizon Commercial</v>
      </c>
      <c r="W4407" s="1" t="str">
        <f t="shared" si="275"/>
        <v>2025-11</v>
      </c>
    </row>
    <row r="4408" spans="1:23">
      <c r="A4408" s="1" t="s">
        <v>6958</v>
      </c>
      <c r="B4408" s="1" t="s">
        <v>3758</v>
      </c>
      <c r="C4408" s="1" t="s">
        <v>52</v>
      </c>
      <c r="D4408" s="1" t="s">
        <v>37</v>
      </c>
      <c r="E4408" s="1" t="s">
        <v>48</v>
      </c>
      <c r="F4408">
        <v>1</v>
      </c>
      <c r="G4408" s="2">
        <v>46279</v>
      </c>
      <c r="H4408" s="2">
        <v>46281</v>
      </c>
      <c r="I4408">
        <v>415.5</v>
      </c>
      <c r="M4408" s="1" t="s">
        <v>69</v>
      </c>
      <c r="N4408" s="1" t="s">
        <v>22</v>
      </c>
      <c r="O4408" s="2"/>
      <c r="P4408" s="2"/>
      <c r="Q4408">
        <f>_xlfn.XLOOKUP(E4408,CPT!$A$2:$A$13,CPT!$D$2:$D$13)</f>
        <v>420</v>
      </c>
      <c r="R4408" s="1">
        <f>_xlfn.XLOOKUP(C4408,Contract!$A$2:$A$9,Contract!$B$2:$B$9)</f>
        <v>0.47</v>
      </c>
      <c r="S4408" s="1">
        <f t="shared" si="272"/>
        <v>197.4</v>
      </c>
      <c r="T4408" s="1" t="str">
        <f t="shared" si="273"/>
        <v/>
      </c>
      <c r="U4408" s="1" t="str">
        <f t="shared" si="274"/>
        <v/>
      </c>
      <c r="V4408" s="1" t="str">
        <f>_xlfn.XLOOKUP(C4408,Payers!$A$2:$A$9,Payers!$B$2:$B$9)</f>
        <v>Keystone Commercial PPO</v>
      </c>
      <c r="W4408" s="1" t="str">
        <f t="shared" si="275"/>
        <v>2026-09</v>
      </c>
    </row>
    <row r="4409" spans="1:23">
      <c r="A4409" s="1" t="s">
        <v>6959</v>
      </c>
      <c r="B4409" s="1" t="s">
        <v>6960</v>
      </c>
      <c r="C4409" s="1" t="s">
        <v>18</v>
      </c>
      <c r="D4409" s="1" t="s">
        <v>26</v>
      </c>
      <c r="E4409" s="1" t="s">
        <v>41</v>
      </c>
      <c r="F4409">
        <v>1</v>
      </c>
      <c r="G4409" s="2">
        <v>46161</v>
      </c>
      <c r="H4409" s="2">
        <v>46164</v>
      </c>
      <c r="I4409">
        <v>38.54</v>
      </c>
      <c r="J4409">
        <v>15.42</v>
      </c>
      <c r="K4409">
        <v>13.88</v>
      </c>
      <c r="L4409">
        <v>1.54</v>
      </c>
      <c r="M4409" s="1" t="s">
        <v>21</v>
      </c>
      <c r="N4409" s="1" t="s">
        <v>22</v>
      </c>
      <c r="O4409" s="2">
        <v>46216</v>
      </c>
      <c r="P4409" s="2">
        <v>46216</v>
      </c>
      <c r="Q4409">
        <f>_xlfn.XLOOKUP(E4409,CPT!$A$2:$A$13,CPT!$D$2:$D$13)</f>
        <v>38</v>
      </c>
      <c r="R4409" s="1">
        <f>_xlfn.XLOOKUP(C4409,Contract!$A$2:$A$9,Contract!$B$2:$B$9)</f>
        <v>0.38</v>
      </c>
      <c r="S4409" s="1">
        <f t="shared" si="272"/>
        <v>14.44</v>
      </c>
      <c r="T4409" s="1">
        <f t="shared" si="273"/>
        <v>-0.98000000000000043</v>
      </c>
      <c r="U4409" s="1" t="str">
        <f t="shared" si="274"/>
        <v>OK</v>
      </c>
      <c r="V4409" s="1" t="str">
        <f>_xlfn.XLOOKUP(C4409,Payers!$A$2:$A$9,Payers!$B$2:$B$9)</f>
        <v>Sunshine Medicare Advantage</v>
      </c>
      <c r="W4409" s="1" t="str">
        <f t="shared" si="275"/>
        <v>2026-05</v>
      </c>
    </row>
    <row r="4410" spans="1:23">
      <c r="A4410" s="1" t="s">
        <v>6961</v>
      </c>
      <c r="B4410" s="1" t="s">
        <v>902</v>
      </c>
      <c r="C4410" s="1" t="s">
        <v>36</v>
      </c>
      <c r="D4410" s="1" t="s">
        <v>30</v>
      </c>
      <c r="E4410" s="1" t="s">
        <v>20</v>
      </c>
      <c r="F4410">
        <v>1</v>
      </c>
      <c r="G4410" s="2">
        <v>46108</v>
      </c>
      <c r="H4410" s="2">
        <v>46218</v>
      </c>
      <c r="I4410">
        <v>148.19999999999999</v>
      </c>
      <c r="M4410" s="1" t="s">
        <v>32</v>
      </c>
      <c r="N4410" s="1" t="s">
        <v>137</v>
      </c>
      <c r="O4410" s="2">
        <v>46242</v>
      </c>
      <c r="P4410" s="2"/>
      <c r="Q4410">
        <f>_xlfn.XLOOKUP(E4410,CPT!$A$2:$A$13,CPT!$D$2:$D$13)</f>
        <v>145</v>
      </c>
      <c r="R4410" s="1">
        <f>_xlfn.XLOOKUP(C4410,Contract!$A$2:$A$9,Contract!$B$2:$B$9)</f>
        <v>0.27</v>
      </c>
      <c r="S4410" s="1">
        <f t="shared" si="272"/>
        <v>39.15</v>
      </c>
      <c r="T4410" s="1" t="str">
        <f t="shared" si="273"/>
        <v/>
      </c>
      <c r="U4410" s="1" t="str">
        <f t="shared" si="274"/>
        <v/>
      </c>
      <c r="V4410" s="1" t="str">
        <f>_xlfn.XLOOKUP(C4410,Payers!$A$2:$A$9,Payers!$B$2:$B$9)</f>
        <v>Florida Medicaid</v>
      </c>
      <c r="W4410" s="1" t="str">
        <f t="shared" si="275"/>
        <v>2026-03</v>
      </c>
    </row>
    <row r="4411" spans="1:23">
      <c r="A4411" s="1" t="s">
        <v>6962</v>
      </c>
      <c r="B4411" s="1" t="s">
        <v>2212</v>
      </c>
      <c r="C4411" s="1" t="s">
        <v>60</v>
      </c>
      <c r="D4411" s="1" t="s">
        <v>37</v>
      </c>
      <c r="E4411" s="1" t="s">
        <v>38</v>
      </c>
      <c r="F4411">
        <v>20</v>
      </c>
      <c r="G4411" s="2">
        <v>46164</v>
      </c>
      <c r="H4411" s="2">
        <v>46167</v>
      </c>
      <c r="I4411">
        <v>28936.2</v>
      </c>
      <c r="J4411">
        <v>14539.47</v>
      </c>
      <c r="K4411">
        <v>11631.58</v>
      </c>
      <c r="L4411">
        <v>2907.89</v>
      </c>
      <c r="M4411" s="1" t="s">
        <v>21</v>
      </c>
      <c r="N4411" s="1" t="s">
        <v>22</v>
      </c>
      <c r="O4411" s="2">
        <v>46207</v>
      </c>
      <c r="P4411" s="2">
        <v>46207</v>
      </c>
      <c r="Q4411">
        <f>_xlfn.XLOOKUP(E4411,CPT!$A$2:$A$13,CPT!$D$2:$D$13)</f>
        <v>1450</v>
      </c>
      <c r="R4411" s="1">
        <f>_xlfn.XLOOKUP(C4411,Contract!$A$2:$A$9,Contract!$B$2:$B$9)</f>
        <v>0.45</v>
      </c>
      <c r="S4411" s="1">
        <f t="shared" si="272"/>
        <v>13050</v>
      </c>
      <c r="T4411" s="1">
        <f t="shared" si="273"/>
        <v>-1489.4699999999993</v>
      </c>
      <c r="U4411" s="1" t="str">
        <f t="shared" si="274"/>
        <v>OK</v>
      </c>
      <c r="V4411" s="1" t="str">
        <f>_xlfn.XLOOKUP(C4411,Payers!$A$2:$A$9,Payers!$B$2:$B$9)</f>
        <v>Blue Horizon Commercial</v>
      </c>
      <c r="W4411" s="1" t="str">
        <f t="shared" si="275"/>
        <v>2026-05</v>
      </c>
    </row>
    <row r="4412" spans="1:23">
      <c r="A4412" s="1" t="s">
        <v>6963</v>
      </c>
      <c r="B4412" s="1" t="s">
        <v>6964</v>
      </c>
      <c r="C4412" s="1" t="s">
        <v>76</v>
      </c>
      <c r="D4412" s="1" t="s">
        <v>26</v>
      </c>
      <c r="E4412" s="1" t="s">
        <v>44</v>
      </c>
      <c r="F4412">
        <v>1</v>
      </c>
      <c r="G4412" s="2">
        <v>46164</v>
      </c>
      <c r="H4412" s="2">
        <v>46166</v>
      </c>
      <c r="I4412">
        <v>4863.09</v>
      </c>
      <c r="J4412">
        <v>2361.19</v>
      </c>
      <c r="K4412">
        <v>2361.19</v>
      </c>
      <c r="L4412">
        <v>0</v>
      </c>
      <c r="M4412" s="1" t="s">
        <v>21</v>
      </c>
      <c r="N4412" s="1" t="s">
        <v>22</v>
      </c>
      <c r="O4412" s="2">
        <v>46185</v>
      </c>
      <c r="P4412" s="2">
        <v>46185</v>
      </c>
      <c r="Q4412">
        <f>_xlfn.XLOOKUP(E4412,CPT!$A$2:$A$13,CPT!$D$2:$D$13)</f>
        <v>4800</v>
      </c>
      <c r="R4412" s="1">
        <f>_xlfn.XLOOKUP(C4412,Contract!$A$2:$A$9,Contract!$B$2:$B$9)</f>
        <v>0.43</v>
      </c>
      <c r="S4412" s="1">
        <f t="shared" si="272"/>
        <v>2064</v>
      </c>
      <c r="T4412" s="1">
        <f t="shared" si="273"/>
        <v>-297.19000000000005</v>
      </c>
      <c r="U4412" s="1" t="str">
        <f t="shared" si="274"/>
        <v>OK</v>
      </c>
      <c r="V4412" s="1" t="str">
        <f>_xlfn.XLOOKUP(C4412,Payers!$A$2:$A$9,Payers!$B$2:$B$9)</f>
        <v>Summit Health Commercial</v>
      </c>
      <c r="W4412" s="1" t="str">
        <f t="shared" si="275"/>
        <v>2026-05</v>
      </c>
    </row>
    <row r="4413" spans="1:23">
      <c r="A4413" s="1" t="s">
        <v>6965</v>
      </c>
      <c r="B4413" s="1" t="s">
        <v>2407</v>
      </c>
      <c r="C4413" s="1" t="s">
        <v>60</v>
      </c>
      <c r="D4413" s="1" t="s">
        <v>30</v>
      </c>
      <c r="E4413" s="1" t="s">
        <v>20</v>
      </c>
      <c r="F4413">
        <v>1</v>
      </c>
      <c r="G4413" s="2">
        <v>45972</v>
      </c>
      <c r="H4413" s="2">
        <v>45975</v>
      </c>
      <c r="I4413">
        <v>148.9</v>
      </c>
      <c r="J4413">
        <v>74.5</v>
      </c>
      <c r="K4413">
        <v>74.5</v>
      </c>
      <c r="L4413">
        <v>0</v>
      </c>
      <c r="M4413" s="1" t="s">
        <v>21</v>
      </c>
      <c r="N4413" s="1" t="s">
        <v>22</v>
      </c>
      <c r="O4413" s="2">
        <v>45997</v>
      </c>
      <c r="P4413" s="2">
        <v>45997</v>
      </c>
      <c r="Q4413">
        <f>_xlfn.XLOOKUP(E4413,CPT!$A$2:$A$13,CPT!$D$2:$D$13)</f>
        <v>145</v>
      </c>
      <c r="R4413" s="1">
        <f>_xlfn.XLOOKUP(C4413,Contract!$A$2:$A$9,Contract!$B$2:$B$9)</f>
        <v>0.45</v>
      </c>
      <c r="S4413" s="1">
        <f t="shared" si="272"/>
        <v>65.25</v>
      </c>
      <c r="T4413" s="1">
        <f t="shared" si="273"/>
        <v>-9.25</v>
      </c>
      <c r="U4413" s="1" t="str">
        <f t="shared" si="274"/>
        <v>OK</v>
      </c>
      <c r="V4413" s="1" t="str">
        <f>_xlfn.XLOOKUP(C4413,Payers!$A$2:$A$9,Payers!$B$2:$B$9)</f>
        <v>Blue Horizon Commercial</v>
      </c>
      <c r="W4413" s="1" t="str">
        <f t="shared" si="275"/>
        <v>2025-11</v>
      </c>
    </row>
    <row r="4414" spans="1:23">
      <c r="A4414" s="1" t="s">
        <v>6966</v>
      </c>
      <c r="B4414" s="1" t="s">
        <v>5026</v>
      </c>
      <c r="C4414" s="1" t="s">
        <v>52</v>
      </c>
      <c r="D4414" s="1" t="s">
        <v>19</v>
      </c>
      <c r="E4414" s="1" t="s">
        <v>88</v>
      </c>
      <c r="F4414">
        <v>1</v>
      </c>
      <c r="G4414" s="2">
        <v>45985</v>
      </c>
      <c r="H4414" s="2">
        <v>45987</v>
      </c>
      <c r="I4414">
        <v>262.32</v>
      </c>
      <c r="M4414" s="1" t="s">
        <v>32</v>
      </c>
      <c r="N4414" s="1" t="s">
        <v>33</v>
      </c>
      <c r="O4414" s="2">
        <v>46036</v>
      </c>
      <c r="P4414" s="2"/>
      <c r="Q4414">
        <f>_xlfn.XLOOKUP(E4414,CPT!$A$2:$A$13,CPT!$D$2:$D$13)</f>
        <v>260</v>
      </c>
      <c r="R4414" s="1">
        <f>_xlfn.XLOOKUP(C4414,Contract!$A$2:$A$9,Contract!$B$2:$B$9)</f>
        <v>0.47</v>
      </c>
      <c r="S4414" s="1">
        <f t="shared" si="272"/>
        <v>122.2</v>
      </c>
      <c r="T4414" s="1" t="str">
        <f t="shared" si="273"/>
        <v/>
      </c>
      <c r="U4414" s="1" t="str">
        <f t="shared" si="274"/>
        <v/>
      </c>
      <c r="V4414" s="1" t="str">
        <f>_xlfn.XLOOKUP(C4414,Payers!$A$2:$A$9,Payers!$B$2:$B$9)</f>
        <v>Keystone Commercial PPO</v>
      </c>
      <c r="W4414" s="1" t="str">
        <f t="shared" si="275"/>
        <v>2025-11</v>
      </c>
    </row>
    <row r="4415" spans="1:23">
      <c r="A4415" s="1" t="s">
        <v>6967</v>
      </c>
      <c r="B4415" s="1" t="s">
        <v>5341</v>
      </c>
      <c r="C4415" s="1" t="s">
        <v>60</v>
      </c>
      <c r="D4415" s="1" t="s">
        <v>19</v>
      </c>
      <c r="E4415" s="1" t="s">
        <v>20</v>
      </c>
      <c r="F4415">
        <v>1</v>
      </c>
      <c r="G4415" s="2">
        <v>45965</v>
      </c>
      <c r="H4415" s="2">
        <v>45970</v>
      </c>
      <c r="I4415">
        <v>145.44999999999999</v>
      </c>
      <c r="M4415" s="1" t="s">
        <v>32</v>
      </c>
      <c r="N4415" s="1" t="s">
        <v>124</v>
      </c>
      <c r="O4415" s="2">
        <v>45993</v>
      </c>
      <c r="P4415" s="2"/>
      <c r="Q4415">
        <f>_xlfn.XLOOKUP(E4415,CPT!$A$2:$A$13,CPT!$D$2:$D$13)</f>
        <v>145</v>
      </c>
      <c r="R4415" s="1">
        <f>_xlfn.XLOOKUP(C4415,Contract!$A$2:$A$9,Contract!$B$2:$B$9)</f>
        <v>0.45</v>
      </c>
      <c r="S4415" s="1">
        <f t="shared" si="272"/>
        <v>65.25</v>
      </c>
      <c r="T4415" s="1" t="str">
        <f t="shared" si="273"/>
        <v/>
      </c>
      <c r="U4415" s="1" t="str">
        <f t="shared" si="274"/>
        <v/>
      </c>
      <c r="V4415" s="1" t="str">
        <f>_xlfn.XLOOKUP(C4415,Payers!$A$2:$A$9,Payers!$B$2:$B$9)</f>
        <v>Blue Horizon Commercial</v>
      </c>
      <c r="W4415" s="1" t="str">
        <f t="shared" si="275"/>
        <v>2025-11</v>
      </c>
    </row>
    <row r="4416" spans="1:23">
      <c r="A4416" s="1" t="s">
        <v>6968</v>
      </c>
      <c r="B4416" s="1" t="s">
        <v>2764</v>
      </c>
      <c r="C4416" s="1" t="s">
        <v>25</v>
      </c>
      <c r="D4416" s="1" t="s">
        <v>37</v>
      </c>
      <c r="E4416" s="1" t="s">
        <v>57</v>
      </c>
      <c r="F4416">
        <v>1</v>
      </c>
      <c r="G4416" s="2">
        <v>46005</v>
      </c>
      <c r="H4416" s="2">
        <v>46009</v>
      </c>
      <c r="I4416">
        <v>209.71</v>
      </c>
      <c r="J4416">
        <v>77.27</v>
      </c>
      <c r="K4416">
        <v>77.27</v>
      </c>
      <c r="L4416">
        <v>0</v>
      </c>
      <c r="M4416" s="1" t="s">
        <v>21</v>
      </c>
      <c r="N4416" s="1" t="s">
        <v>22</v>
      </c>
      <c r="O4416" s="2">
        <v>46028</v>
      </c>
      <c r="P4416" s="2">
        <v>46028</v>
      </c>
      <c r="Q4416">
        <f>_xlfn.XLOOKUP(E4416,CPT!$A$2:$A$13,CPT!$D$2:$D$13)</f>
        <v>210</v>
      </c>
      <c r="R4416" s="1">
        <f>_xlfn.XLOOKUP(C4416,Contract!$A$2:$A$9,Contract!$B$2:$B$9)</f>
        <v>0.36</v>
      </c>
      <c r="S4416" s="1">
        <f t="shared" si="272"/>
        <v>75.599999999999994</v>
      </c>
      <c r="T4416" s="1">
        <f t="shared" si="273"/>
        <v>-1.6700000000000017</v>
      </c>
      <c r="U4416" s="1" t="str">
        <f t="shared" si="274"/>
        <v>OK</v>
      </c>
      <c r="V4416" s="1" t="str">
        <f>_xlfn.XLOOKUP(C4416,Payers!$A$2:$A$9,Payers!$B$2:$B$9)</f>
        <v>Medicare Part B</v>
      </c>
      <c r="W4416" s="1" t="str">
        <f t="shared" si="275"/>
        <v>2025-12</v>
      </c>
    </row>
    <row r="4417" spans="1:23">
      <c r="A4417" s="1" t="s">
        <v>6969</v>
      </c>
      <c r="B4417" s="1" t="s">
        <v>6970</v>
      </c>
      <c r="C4417" s="1" t="s">
        <v>60</v>
      </c>
      <c r="D4417" s="1" t="s">
        <v>19</v>
      </c>
      <c r="E4417" s="1" t="s">
        <v>57</v>
      </c>
      <c r="F4417">
        <v>1</v>
      </c>
      <c r="G4417" s="2">
        <v>46101</v>
      </c>
      <c r="H4417" s="2">
        <v>46109</v>
      </c>
      <c r="I4417">
        <v>203.73</v>
      </c>
      <c r="J4417">
        <v>90.69</v>
      </c>
      <c r="K4417">
        <v>81.62</v>
      </c>
      <c r="L4417">
        <v>9.07</v>
      </c>
      <c r="M4417" s="1" t="s">
        <v>21</v>
      </c>
      <c r="N4417" s="1" t="s">
        <v>22</v>
      </c>
      <c r="O4417" s="2">
        <v>46152</v>
      </c>
      <c r="P4417" s="2">
        <v>46152</v>
      </c>
      <c r="Q4417">
        <f>_xlfn.XLOOKUP(E4417,CPT!$A$2:$A$13,CPT!$D$2:$D$13)</f>
        <v>210</v>
      </c>
      <c r="R4417" s="1">
        <f>_xlfn.XLOOKUP(C4417,Contract!$A$2:$A$9,Contract!$B$2:$B$9)</f>
        <v>0.45</v>
      </c>
      <c r="S4417" s="1">
        <f t="shared" si="272"/>
        <v>94.5</v>
      </c>
      <c r="T4417" s="1">
        <f t="shared" si="273"/>
        <v>3.8100000000000023</v>
      </c>
      <c r="U4417" s="1" t="str">
        <f t="shared" si="274"/>
        <v>OK</v>
      </c>
      <c r="V4417" s="1" t="str">
        <f>_xlfn.XLOOKUP(C4417,Payers!$A$2:$A$9,Payers!$B$2:$B$9)</f>
        <v>Blue Horizon Commercial</v>
      </c>
      <c r="W4417" s="1" t="str">
        <f t="shared" si="275"/>
        <v>2026-03</v>
      </c>
    </row>
    <row r="4418" spans="1:23">
      <c r="A4418" s="1" t="s">
        <v>6971</v>
      </c>
      <c r="B4418" s="1" t="s">
        <v>6972</v>
      </c>
      <c r="C4418" s="1" t="s">
        <v>60</v>
      </c>
      <c r="D4418" s="1" t="s">
        <v>19</v>
      </c>
      <c r="E4418" s="1" t="s">
        <v>20</v>
      </c>
      <c r="F4418">
        <v>1</v>
      </c>
      <c r="G4418" s="2">
        <v>45947</v>
      </c>
      <c r="H4418" s="2">
        <v>45950</v>
      </c>
      <c r="I4418">
        <v>149.05000000000001</v>
      </c>
      <c r="J4418">
        <v>74.209999999999994</v>
      </c>
      <c r="K4418">
        <v>74.209999999999994</v>
      </c>
      <c r="L4418">
        <v>0</v>
      </c>
      <c r="M4418" s="1" t="s">
        <v>21</v>
      </c>
      <c r="N4418" s="1" t="s">
        <v>22</v>
      </c>
      <c r="O4418" s="2">
        <v>45977</v>
      </c>
      <c r="P4418" s="2">
        <v>45977</v>
      </c>
      <c r="Q4418">
        <f>_xlfn.XLOOKUP(E4418,CPT!$A$2:$A$13,CPT!$D$2:$D$13)</f>
        <v>145</v>
      </c>
      <c r="R4418" s="1">
        <f>_xlfn.XLOOKUP(C4418,Contract!$A$2:$A$9,Contract!$B$2:$B$9)</f>
        <v>0.45</v>
      </c>
      <c r="S4418" s="1">
        <f t="shared" ref="S4418:S4481" si="276">ROUND(Q4418*F4418*R4418,2)</f>
        <v>65.25</v>
      </c>
      <c r="T4418" s="1">
        <f t="shared" ref="T4418:T4481" si="277">IF(M4418="Paid",S4418-J4418,"")</f>
        <v>-8.9599999999999937</v>
      </c>
      <c r="U4418" s="1" t="str">
        <f t="shared" ref="U4418:U4481" si="278">IF(M4418&lt;&gt;"Paid","",IF(T4418&gt;S4418*0.05,"Underpaid","OK"))</f>
        <v>OK</v>
      </c>
      <c r="V4418" s="1" t="str">
        <f>_xlfn.XLOOKUP(C4418,Payers!$A$2:$A$9,Payers!$B$2:$B$9)</f>
        <v>Blue Horizon Commercial</v>
      </c>
      <c r="W4418" s="1" t="str">
        <f t="shared" ref="W4418:W4481" si="279">TEXT(G4418,"yyyy-mm")</f>
        <v>2025-10</v>
      </c>
    </row>
    <row r="4419" spans="1:23">
      <c r="A4419" s="1" t="s">
        <v>6973</v>
      </c>
      <c r="B4419" s="1" t="s">
        <v>4086</v>
      </c>
      <c r="C4419" s="1" t="s">
        <v>76</v>
      </c>
      <c r="D4419" s="1" t="s">
        <v>19</v>
      </c>
      <c r="E4419" s="1" t="s">
        <v>20</v>
      </c>
      <c r="F4419">
        <v>1</v>
      </c>
      <c r="G4419" s="2">
        <v>46282</v>
      </c>
      <c r="H4419" s="2">
        <v>46284</v>
      </c>
      <c r="I4419">
        <v>145.16</v>
      </c>
      <c r="M4419" s="1" t="s">
        <v>69</v>
      </c>
      <c r="N4419" s="1" t="s">
        <v>22</v>
      </c>
      <c r="O4419" s="2"/>
      <c r="P4419" s="2"/>
      <c r="Q4419">
        <f>_xlfn.XLOOKUP(E4419,CPT!$A$2:$A$13,CPT!$D$2:$D$13)</f>
        <v>145</v>
      </c>
      <c r="R4419" s="1">
        <f>_xlfn.XLOOKUP(C4419,Contract!$A$2:$A$9,Contract!$B$2:$B$9)</f>
        <v>0.43</v>
      </c>
      <c r="S4419" s="1">
        <f t="shared" si="276"/>
        <v>62.35</v>
      </c>
      <c r="T4419" s="1" t="str">
        <f t="shared" si="277"/>
        <v/>
      </c>
      <c r="U4419" s="1" t="str">
        <f t="shared" si="278"/>
        <v/>
      </c>
      <c r="V4419" s="1" t="str">
        <f>_xlfn.XLOOKUP(C4419,Payers!$A$2:$A$9,Payers!$B$2:$B$9)</f>
        <v>Summit Health Commercial</v>
      </c>
      <c r="W4419" s="1" t="str">
        <f t="shared" si="279"/>
        <v>2026-09</v>
      </c>
    </row>
    <row r="4420" spans="1:23">
      <c r="A4420" s="1" t="s">
        <v>6974</v>
      </c>
      <c r="B4420" s="1" t="s">
        <v>2928</v>
      </c>
      <c r="C4420" s="1" t="s">
        <v>76</v>
      </c>
      <c r="D4420" s="1" t="s">
        <v>19</v>
      </c>
      <c r="E4420" s="1" t="s">
        <v>41</v>
      </c>
      <c r="F4420">
        <v>1</v>
      </c>
      <c r="G4420" s="2">
        <v>45972</v>
      </c>
      <c r="H4420" s="2">
        <v>45975</v>
      </c>
      <c r="I4420">
        <v>37.97</v>
      </c>
      <c r="M4420" s="1" t="s">
        <v>32</v>
      </c>
      <c r="N4420" s="1" t="s">
        <v>33</v>
      </c>
      <c r="O4420" s="2">
        <v>46013</v>
      </c>
      <c r="P4420" s="2"/>
      <c r="Q4420">
        <f>_xlfn.XLOOKUP(E4420,CPT!$A$2:$A$13,CPT!$D$2:$D$13)</f>
        <v>38</v>
      </c>
      <c r="R4420" s="1">
        <f>_xlfn.XLOOKUP(C4420,Contract!$A$2:$A$9,Contract!$B$2:$B$9)</f>
        <v>0.43</v>
      </c>
      <c r="S4420" s="1">
        <f t="shared" si="276"/>
        <v>16.34</v>
      </c>
      <c r="T4420" s="1" t="str">
        <f t="shared" si="277"/>
        <v/>
      </c>
      <c r="U4420" s="1" t="str">
        <f t="shared" si="278"/>
        <v/>
      </c>
      <c r="V4420" s="1" t="str">
        <f>_xlfn.XLOOKUP(C4420,Payers!$A$2:$A$9,Payers!$B$2:$B$9)</f>
        <v>Summit Health Commercial</v>
      </c>
      <c r="W4420" s="1" t="str">
        <f t="shared" si="279"/>
        <v>2025-11</v>
      </c>
    </row>
    <row r="4421" spans="1:23">
      <c r="A4421" s="1" t="s">
        <v>6975</v>
      </c>
      <c r="B4421" s="1" t="s">
        <v>2244</v>
      </c>
      <c r="C4421" s="1" t="s">
        <v>47</v>
      </c>
      <c r="D4421" s="1" t="s">
        <v>37</v>
      </c>
      <c r="E4421" s="1" t="s">
        <v>57</v>
      </c>
      <c r="F4421">
        <v>1</v>
      </c>
      <c r="G4421" s="2">
        <v>46024</v>
      </c>
      <c r="H4421" s="2">
        <v>46026</v>
      </c>
      <c r="I4421">
        <v>213.57</v>
      </c>
      <c r="J4421">
        <v>67.97</v>
      </c>
      <c r="K4421">
        <v>54.38</v>
      </c>
      <c r="L4421">
        <v>13.59</v>
      </c>
      <c r="M4421" s="1" t="s">
        <v>21</v>
      </c>
      <c r="N4421" s="1" t="s">
        <v>22</v>
      </c>
      <c r="O4421" s="2">
        <v>46049</v>
      </c>
      <c r="P4421" s="2">
        <v>46049</v>
      </c>
      <c r="Q4421">
        <f>_xlfn.XLOOKUP(E4421,CPT!$A$2:$A$13,CPT!$D$2:$D$13)</f>
        <v>210</v>
      </c>
      <c r="R4421" s="1">
        <f>_xlfn.XLOOKUP(C4421,Contract!$A$2:$A$9,Contract!$B$2:$B$9)</f>
        <v>0.28000000000000003</v>
      </c>
      <c r="S4421" s="1">
        <f t="shared" si="276"/>
        <v>58.8</v>
      </c>
      <c r="T4421" s="1">
        <f t="shared" si="277"/>
        <v>-9.1700000000000017</v>
      </c>
      <c r="U4421" s="1" t="str">
        <f t="shared" si="278"/>
        <v>OK</v>
      </c>
      <c r="V4421" s="1" t="str">
        <f>_xlfn.XLOOKUP(C4421,Payers!$A$2:$A$9,Payers!$B$2:$B$9)</f>
        <v>Coastal Medicaid MCO</v>
      </c>
      <c r="W4421" s="1" t="str">
        <f t="shared" si="279"/>
        <v>2026-01</v>
      </c>
    </row>
    <row r="4422" spans="1:23">
      <c r="A4422" s="1" t="s">
        <v>6976</v>
      </c>
      <c r="B4422" s="1" t="s">
        <v>3452</v>
      </c>
      <c r="C4422" s="1" t="s">
        <v>47</v>
      </c>
      <c r="D4422" s="1" t="s">
        <v>19</v>
      </c>
      <c r="E4422" s="1" t="s">
        <v>20</v>
      </c>
      <c r="F4422">
        <v>1</v>
      </c>
      <c r="G4422" s="2">
        <v>45996</v>
      </c>
      <c r="H4422" s="2">
        <v>46002</v>
      </c>
      <c r="I4422">
        <v>143.44</v>
      </c>
      <c r="J4422">
        <v>43.43</v>
      </c>
      <c r="K4422">
        <v>43.43</v>
      </c>
      <c r="L4422">
        <v>0</v>
      </c>
      <c r="M4422" s="1" t="s">
        <v>21</v>
      </c>
      <c r="N4422" s="1" t="s">
        <v>22</v>
      </c>
      <c r="O4422" s="2">
        <v>46072</v>
      </c>
      <c r="P4422" s="2">
        <v>46072</v>
      </c>
      <c r="Q4422">
        <f>_xlfn.XLOOKUP(E4422,CPT!$A$2:$A$13,CPT!$D$2:$D$13)</f>
        <v>145</v>
      </c>
      <c r="R4422" s="1">
        <f>_xlfn.XLOOKUP(C4422,Contract!$A$2:$A$9,Contract!$B$2:$B$9)</f>
        <v>0.28000000000000003</v>
      </c>
      <c r="S4422" s="1">
        <f t="shared" si="276"/>
        <v>40.6</v>
      </c>
      <c r="T4422" s="1">
        <f t="shared" si="277"/>
        <v>-2.8299999999999983</v>
      </c>
      <c r="U4422" s="1" t="str">
        <f t="shared" si="278"/>
        <v>OK</v>
      </c>
      <c r="V4422" s="1" t="str">
        <f>_xlfn.XLOOKUP(C4422,Payers!$A$2:$A$9,Payers!$B$2:$B$9)</f>
        <v>Coastal Medicaid MCO</v>
      </c>
      <c r="W4422" s="1" t="str">
        <f t="shared" si="279"/>
        <v>2025-12</v>
      </c>
    </row>
    <row r="4423" spans="1:23">
      <c r="A4423" s="1" t="s">
        <v>6977</v>
      </c>
      <c r="B4423" s="1" t="s">
        <v>6978</v>
      </c>
      <c r="C4423" s="1" t="s">
        <v>18</v>
      </c>
      <c r="D4423" s="1" t="s">
        <v>26</v>
      </c>
      <c r="E4423" s="1" t="s">
        <v>88</v>
      </c>
      <c r="F4423">
        <v>1</v>
      </c>
      <c r="G4423" s="2">
        <v>46059</v>
      </c>
      <c r="H4423" s="2">
        <v>46060</v>
      </c>
      <c r="I4423">
        <v>260.54000000000002</v>
      </c>
      <c r="M4423" s="1" t="s">
        <v>32</v>
      </c>
      <c r="N4423" s="1" t="s">
        <v>33</v>
      </c>
      <c r="O4423" s="2">
        <v>46118</v>
      </c>
      <c r="P4423" s="2"/>
      <c r="Q4423">
        <f>_xlfn.XLOOKUP(E4423,CPT!$A$2:$A$13,CPT!$D$2:$D$13)</f>
        <v>260</v>
      </c>
      <c r="R4423" s="1">
        <f>_xlfn.XLOOKUP(C4423,Contract!$A$2:$A$9,Contract!$B$2:$B$9)</f>
        <v>0.38</v>
      </c>
      <c r="S4423" s="1">
        <f t="shared" si="276"/>
        <v>98.8</v>
      </c>
      <c r="T4423" s="1" t="str">
        <f t="shared" si="277"/>
        <v/>
      </c>
      <c r="U4423" s="1" t="str">
        <f t="shared" si="278"/>
        <v/>
      </c>
      <c r="V4423" s="1" t="str">
        <f>_xlfn.XLOOKUP(C4423,Payers!$A$2:$A$9,Payers!$B$2:$B$9)</f>
        <v>Sunshine Medicare Advantage</v>
      </c>
      <c r="W4423" s="1" t="str">
        <f t="shared" si="279"/>
        <v>2026-02</v>
      </c>
    </row>
    <row r="4424" spans="1:23">
      <c r="A4424" s="1" t="s">
        <v>6979</v>
      </c>
      <c r="B4424" s="1" t="s">
        <v>6980</v>
      </c>
      <c r="C4424" s="1" t="s">
        <v>76</v>
      </c>
      <c r="D4424" s="1" t="s">
        <v>19</v>
      </c>
      <c r="E4424" s="1" t="s">
        <v>41</v>
      </c>
      <c r="F4424">
        <v>1</v>
      </c>
      <c r="G4424" s="2">
        <v>46234</v>
      </c>
      <c r="H4424" s="2">
        <v>46239</v>
      </c>
      <c r="I4424">
        <v>37.81</v>
      </c>
      <c r="J4424">
        <v>15.29</v>
      </c>
      <c r="K4424">
        <v>12.23</v>
      </c>
      <c r="L4424">
        <v>3.06</v>
      </c>
      <c r="M4424" s="1" t="s">
        <v>21</v>
      </c>
      <c r="N4424" s="1" t="s">
        <v>22</v>
      </c>
      <c r="O4424" s="2">
        <v>46265</v>
      </c>
      <c r="P4424" s="2">
        <v>46265</v>
      </c>
      <c r="Q4424">
        <f>_xlfn.XLOOKUP(E4424,CPT!$A$2:$A$13,CPT!$D$2:$D$13)</f>
        <v>38</v>
      </c>
      <c r="R4424" s="1">
        <f>_xlfn.XLOOKUP(C4424,Contract!$A$2:$A$9,Contract!$B$2:$B$9)</f>
        <v>0.43</v>
      </c>
      <c r="S4424" s="1">
        <f t="shared" si="276"/>
        <v>16.34</v>
      </c>
      <c r="T4424" s="1">
        <f t="shared" si="277"/>
        <v>1.0500000000000007</v>
      </c>
      <c r="U4424" s="1" t="str">
        <f t="shared" si="278"/>
        <v>Underpaid</v>
      </c>
      <c r="V4424" s="1" t="str">
        <f>_xlfn.XLOOKUP(C4424,Payers!$A$2:$A$9,Payers!$B$2:$B$9)</f>
        <v>Summit Health Commercial</v>
      </c>
      <c r="W4424" s="1" t="str">
        <f t="shared" si="279"/>
        <v>2026-07</v>
      </c>
    </row>
    <row r="4425" spans="1:23">
      <c r="A4425" s="1" t="s">
        <v>6981</v>
      </c>
      <c r="B4425" s="1" t="s">
        <v>2934</v>
      </c>
      <c r="C4425" s="1" t="s">
        <v>76</v>
      </c>
      <c r="D4425" s="1" t="s">
        <v>26</v>
      </c>
      <c r="E4425" s="1" t="s">
        <v>41</v>
      </c>
      <c r="F4425">
        <v>1</v>
      </c>
      <c r="G4425" s="2">
        <v>46003</v>
      </c>
      <c r="H4425" s="2">
        <v>46011</v>
      </c>
      <c r="I4425">
        <v>37.119999999999997</v>
      </c>
      <c r="J4425">
        <v>15.81</v>
      </c>
      <c r="K4425">
        <v>15.81</v>
      </c>
      <c r="L4425">
        <v>0</v>
      </c>
      <c r="M4425" s="1" t="s">
        <v>21</v>
      </c>
      <c r="N4425" s="1" t="s">
        <v>22</v>
      </c>
      <c r="O4425" s="2">
        <v>46058</v>
      </c>
      <c r="P4425" s="2">
        <v>46058</v>
      </c>
      <c r="Q4425">
        <f>_xlfn.XLOOKUP(E4425,CPT!$A$2:$A$13,CPT!$D$2:$D$13)</f>
        <v>38</v>
      </c>
      <c r="R4425" s="1">
        <f>_xlfn.XLOOKUP(C4425,Contract!$A$2:$A$9,Contract!$B$2:$B$9)</f>
        <v>0.43</v>
      </c>
      <c r="S4425" s="1">
        <f t="shared" si="276"/>
        <v>16.34</v>
      </c>
      <c r="T4425" s="1">
        <f t="shared" si="277"/>
        <v>0.52999999999999936</v>
      </c>
      <c r="U4425" s="1" t="str">
        <f t="shared" si="278"/>
        <v>OK</v>
      </c>
      <c r="V4425" s="1" t="str">
        <f>_xlfn.XLOOKUP(C4425,Payers!$A$2:$A$9,Payers!$B$2:$B$9)</f>
        <v>Summit Health Commercial</v>
      </c>
      <c r="W4425" s="1" t="str">
        <f t="shared" si="279"/>
        <v>2025-12</v>
      </c>
    </row>
    <row r="4426" spans="1:23">
      <c r="A4426" s="1" t="s">
        <v>6982</v>
      </c>
      <c r="B4426" s="1" t="s">
        <v>5454</v>
      </c>
      <c r="C4426" s="1" t="s">
        <v>47</v>
      </c>
      <c r="D4426" s="1" t="s">
        <v>37</v>
      </c>
      <c r="E4426" s="1" t="s">
        <v>48</v>
      </c>
      <c r="F4426">
        <v>1</v>
      </c>
      <c r="G4426" s="2">
        <v>46192</v>
      </c>
      <c r="H4426" s="2">
        <v>46195</v>
      </c>
      <c r="I4426">
        <v>421.09</v>
      </c>
      <c r="J4426">
        <v>129.22999999999999</v>
      </c>
      <c r="K4426">
        <v>129.22999999999999</v>
      </c>
      <c r="L4426">
        <v>0</v>
      </c>
      <c r="M4426" s="1" t="s">
        <v>21</v>
      </c>
      <c r="N4426" s="1" t="s">
        <v>22</v>
      </c>
      <c r="O4426" s="2">
        <v>46269</v>
      </c>
      <c r="P4426" s="2">
        <v>46269</v>
      </c>
      <c r="Q4426">
        <f>_xlfn.XLOOKUP(E4426,CPT!$A$2:$A$13,CPT!$D$2:$D$13)</f>
        <v>420</v>
      </c>
      <c r="R4426" s="1">
        <f>_xlfn.XLOOKUP(C4426,Contract!$A$2:$A$9,Contract!$B$2:$B$9)</f>
        <v>0.28000000000000003</v>
      </c>
      <c r="S4426" s="1">
        <f t="shared" si="276"/>
        <v>117.6</v>
      </c>
      <c r="T4426" s="1">
        <f t="shared" si="277"/>
        <v>-11.629999999999995</v>
      </c>
      <c r="U4426" s="1" t="str">
        <f t="shared" si="278"/>
        <v>OK</v>
      </c>
      <c r="V4426" s="1" t="str">
        <f>_xlfn.XLOOKUP(C4426,Payers!$A$2:$A$9,Payers!$B$2:$B$9)</f>
        <v>Coastal Medicaid MCO</v>
      </c>
      <c r="W4426" s="1" t="str">
        <f t="shared" si="279"/>
        <v>2026-06</v>
      </c>
    </row>
    <row r="4427" spans="1:23">
      <c r="A4427" s="1" t="s">
        <v>6983</v>
      </c>
      <c r="B4427" s="1" t="s">
        <v>6984</v>
      </c>
      <c r="C4427" s="1" t="s">
        <v>60</v>
      </c>
      <c r="D4427" s="1" t="s">
        <v>26</v>
      </c>
      <c r="E4427" s="1" t="s">
        <v>88</v>
      </c>
      <c r="F4427">
        <v>1</v>
      </c>
      <c r="G4427" s="2">
        <v>46271</v>
      </c>
      <c r="H4427" s="2">
        <v>46272</v>
      </c>
      <c r="I4427">
        <v>258.12</v>
      </c>
      <c r="J4427">
        <v>113.11</v>
      </c>
      <c r="K4427">
        <v>90.49</v>
      </c>
      <c r="L4427">
        <v>22.62</v>
      </c>
      <c r="M4427" s="1" t="s">
        <v>21</v>
      </c>
      <c r="N4427" s="1" t="s">
        <v>22</v>
      </c>
      <c r="O4427" s="2">
        <v>46295</v>
      </c>
      <c r="P4427" s="2">
        <v>46295</v>
      </c>
      <c r="Q4427">
        <f>_xlfn.XLOOKUP(E4427,CPT!$A$2:$A$13,CPT!$D$2:$D$13)</f>
        <v>260</v>
      </c>
      <c r="R4427" s="1">
        <f>_xlfn.XLOOKUP(C4427,Contract!$A$2:$A$9,Contract!$B$2:$B$9)</f>
        <v>0.45</v>
      </c>
      <c r="S4427" s="1">
        <f t="shared" si="276"/>
        <v>117</v>
      </c>
      <c r="T4427" s="1">
        <f t="shared" si="277"/>
        <v>3.8900000000000006</v>
      </c>
      <c r="U4427" s="1" t="str">
        <f t="shared" si="278"/>
        <v>OK</v>
      </c>
      <c r="V4427" s="1" t="str">
        <f>_xlfn.XLOOKUP(C4427,Payers!$A$2:$A$9,Payers!$B$2:$B$9)</f>
        <v>Blue Horizon Commercial</v>
      </c>
      <c r="W4427" s="1" t="str">
        <f t="shared" si="279"/>
        <v>2026-09</v>
      </c>
    </row>
    <row r="4428" spans="1:23">
      <c r="A4428" s="1" t="s">
        <v>6985</v>
      </c>
      <c r="B4428" s="1" t="s">
        <v>3088</v>
      </c>
      <c r="C4428" s="1" t="s">
        <v>18</v>
      </c>
      <c r="D4428" s="1" t="s">
        <v>19</v>
      </c>
      <c r="E4428" s="1" t="s">
        <v>41</v>
      </c>
      <c r="F4428">
        <v>1</v>
      </c>
      <c r="G4428" s="2">
        <v>46043</v>
      </c>
      <c r="H4428" s="2">
        <v>46050</v>
      </c>
      <c r="I4428">
        <v>38.1</v>
      </c>
      <c r="J4428">
        <v>16.32</v>
      </c>
      <c r="K4428">
        <v>16.32</v>
      </c>
      <c r="L4428">
        <v>0</v>
      </c>
      <c r="M4428" s="1" t="s">
        <v>21</v>
      </c>
      <c r="N4428" s="1" t="s">
        <v>22</v>
      </c>
      <c r="O4428" s="2">
        <v>46113</v>
      </c>
      <c r="P4428" s="2">
        <v>46113</v>
      </c>
      <c r="Q4428">
        <f>_xlfn.XLOOKUP(E4428,CPT!$A$2:$A$13,CPT!$D$2:$D$13)</f>
        <v>38</v>
      </c>
      <c r="R4428" s="1">
        <f>_xlfn.XLOOKUP(C4428,Contract!$A$2:$A$9,Contract!$B$2:$B$9)</f>
        <v>0.38</v>
      </c>
      <c r="S4428" s="1">
        <f t="shared" si="276"/>
        <v>14.44</v>
      </c>
      <c r="T4428" s="1">
        <f t="shared" si="277"/>
        <v>-1.8800000000000008</v>
      </c>
      <c r="U4428" s="1" t="str">
        <f t="shared" si="278"/>
        <v>OK</v>
      </c>
      <c r="V4428" s="1" t="str">
        <f>_xlfn.XLOOKUP(C4428,Payers!$A$2:$A$9,Payers!$B$2:$B$9)</f>
        <v>Sunshine Medicare Advantage</v>
      </c>
      <c r="W4428" s="1" t="str">
        <f t="shared" si="279"/>
        <v>2026-01</v>
      </c>
    </row>
    <row r="4429" spans="1:23">
      <c r="A4429" s="1" t="s">
        <v>6986</v>
      </c>
      <c r="B4429" s="1" t="s">
        <v>6987</v>
      </c>
      <c r="C4429" s="1" t="s">
        <v>36</v>
      </c>
      <c r="D4429" s="1" t="s">
        <v>37</v>
      </c>
      <c r="E4429" s="1" t="s">
        <v>57</v>
      </c>
      <c r="F4429">
        <v>1</v>
      </c>
      <c r="G4429" s="2">
        <v>46287</v>
      </c>
      <c r="H4429" s="2">
        <v>46293</v>
      </c>
      <c r="I4429">
        <v>215.32</v>
      </c>
      <c r="M4429" s="1" t="s">
        <v>69</v>
      </c>
      <c r="N4429" s="1" t="s">
        <v>22</v>
      </c>
      <c r="O4429" s="2"/>
      <c r="P4429" s="2"/>
      <c r="Q4429">
        <f>_xlfn.XLOOKUP(E4429,CPT!$A$2:$A$13,CPT!$D$2:$D$13)</f>
        <v>210</v>
      </c>
      <c r="R4429" s="1">
        <f>_xlfn.XLOOKUP(C4429,Contract!$A$2:$A$9,Contract!$B$2:$B$9)</f>
        <v>0.27</v>
      </c>
      <c r="S4429" s="1">
        <f t="shared" si="276"/>
        <v>56.7</v>
      </c>
      <c r="T4429" s="1" t="str">
        <f t="shared" si="277"/>
        <v/>
      </c>
      <c r="U4429" s="1" t="str">
        <f t="shared" si="278"/>
        <v/>
      </c>
      <c r="V4429" s="1" t="str">
        <f>_xlfn.XLOOKUP(C4429,Payers!$A$2:$A$9,Payers!$B$2:$B$9)</f>
        <v>Florida Medicaid</v>
      </c>
      <c r="W4429" s="1" t="str">
        <f t="shared" si="279"/>
        <v>2026-09</v>
      </c>
    </row>
    <row r="4430" spans="1:23">
      <c r="A4430" s="1" t="s">
        <v>6988</v>
      </c>
      <c r="B4430" s="1" t="s">
        <v>6989</v>
      </c>
      <c r="C4430" s="1" t="s">
        <v>18</v>
      </c>
      <c r="D4430" s="1" t="s">
        <v>26</v>
      </c>
      <c r="E4430" s="1" t="s">
        <v>185</v>
      </c>
      <c r="F4430">
        <v>1</v>
      </c>
      <c r="G4430" s="2">
        <v>46000</v>
      </c>
      <c r="H4430" s="2">
        <v>46006</v>
      </c>
      <c r="I4430">
        <v>1157.6500000000001</v>
      </c>
      <c r="J4430">
        <v>504.01</v>
      </c>
      <c r="K4430">
        <v>403.21</v>
      </c>
      <c r="L4430">
        <v>100.8</v>
      </c>
      <c r="M4430" s="1" t="s">
        <v>21</v>
      </c>
      <c r="N4430" s="1" t="s">
        <v>22</v>
      </c>
      <c r="O4430" s="2">
        <v>46044</v>
      </c>
      <c r="P4430" s="2">
        <v>46044</v>
      </c>
      <c r="Q4430">
        <f>_xlfn.XLOOKUP(E4430,CPT!$A$2:$A$13,CPT!$D$2:$D$13)</f>
        <v>1150</v>
      </c>
      <c r="R4430" s="1">
        <f>_xlfn.XLOOKUP(C4430,Contract!$A$2:$A$9,Contract!$B$2:$B$9)</f>
        <v>0.38</v>
      </c>
      <c r="S4430" s="1">
        <f t="shared" si="276"/>
        <v>437</v>
      </c>
      <c r="T4430" s="1">
        <f t="shared" si="277"/>
        <v>-67.009999999999991</v>
      </c>
      <c r="U4430" s="1" t="str">
        <f t="shared" si="278"/>
        <v>OK</v>
      </c>
      <c r="V4430" s="1" t="str">
        <f>_xlfn.XLOOKUP(C4430,Payers!$A$2:$A$9,Payers!$B$2:$B$9)</f>
        <v>Sunshine Medicare Advantage</v>
      </c>
      <c r="W4430" s="1" t="str">
        <f t="shared" si="279"/>
        <v>2025-12</v>
      </c>
    </row>
    <row r="4431" spans="1:23">
      <c r="A4431" s="1" t="s">
        <v>6990</v>
      </c>
      <c r="B4431" s="1" t="s">
        <v>2567</v>
      </c>
      <c r="C4431" s="1" t="s">
        <v>18</v>
      </c>
      <c r="D4431" s="1" t="s">
        <v>26</v>
      </c>
      <c r="E4431" s="1" t="s">
        <v>41</v>
      </c>
      <c r="F4431">
        <v>1</v>
      </c>
      <c r="G4431" s="2">
        <v>46146</v>
      </c>
      <c r="H4431" s="2">
        <v>46150</v>
      </c>
      <c r="I4431">
        <v>38.729999999999997</v>
      </c>
      <c r="J4431">
        <v>16.62</v>
      </c>
      <c r="K4431">
        <v>16.62</v>
      </c>
      <c r="L4431">
        <v>0</v>
      </c>
      <c r="M4431" s="1" t="s">
        <v>21</v>
      </c>
      <c r="N4431" s="1" t="s">
        <v>22</v>
      </c>
      <c r="O4431" s="2">
        <v>46209</v>
      </c>
      <c r="P4431" s="2">
        <v>46209</v>
      </c>
      <c r="Q4431">
        <f>_xlfn.XLOOKUP(E4431,CPT!$A$2:$A$13,CPT!$D$2:$D$13)</f>
        <v>38</v>
      </c>
      <c r="R4431" s="1">
        <f>_xlfn.XLOOKUP(C4431,Contract!$A$2:$A$9,Contract!$B$2:$B$9)</f>
        <v>0.38</v>
      </c>
      <c r="S4431" s="1">
        <f t="shared" si="276"/>
        <v>14.44</v>
      </c>
      <c r="T4431" s="1">
        <f t="shared" si="277"/>
        <v>-2.1800000000000015</v>
      </c>
      <c r="U4431" s="1" t="str">
        <f t="shared" si="278"/>
        <v>OK</v>
      </c>
      <c r="V4431" s="1" t="str">
        <f>_xlfn.XLOOKUP(C4431,Payers!$A$2:$A$9,Payers!$B$2:$B$9)</f>
        <v>Sunshine Medicare Advantage</v>
      </c>
      <c r="W4431" s="1" t="str">
        <f t="shared" si="279"/>
        <v>2026-05</v>
      </c>
    </row>
    <row r="4432" spans="1:23">
      <c r="A4432" s="1" t="s">
        <v>6991</v>
      </c>
      <c r="B4432" s="1" t="s">
        <v>4705</v>
      </c>
      <c r="C4432" s="1" t="s">
        <v>25</v>
      </c>
      <c r="D4432" s="1" t="s">
        <v>19</v>
      </c>
      <c r="E4432" s="1" t="s">
        <v>57</v>
      </c>
      <c r="F4432">
        <v>1</v>
      </c>
      <c r="G4432" s="2">
        <v>45993</v>
      </c>
      <c r="H4432" s="2">
        <v>45999</v>
      </c>
      <c r="I4432">
        <v>213.14</v>
      </c>
      <c r="J4432">
        <v>88.34</v>
      </c>
      <c r="K4432">
        <v>79.510000000000005</v>
      </c>
      <c r="L4432">
        <v>8.83</v>
      </c>
      <c r="M4432" s="1" t="s">
        <v>21</v>
      </c>
      <c r="N4432" s="1" t="s">
        <v>22</v>
      </c>
      <c r="O4432" s="2">
        <v>46017</v>
      </c>
      <c r="P4432" s="2">
        <v>46017</v>
      </c>
      <c r="Q4432">
        <f>_xlfn.XLOOKUP(E4432,CPT!$A$2:$A$13,CPT!$D$2:$D$13)</f>
        <v>210</v>
      </c>
      <c r="R4432" s="1">
        <f>_xlfn.XLOOKUP(C4432,Contract!$A$2:$A$9,Contract!$B$2:$B$9)</f>
        <v>0.36</v>
      </c>
      <c r="S4432" s="1">
        <f t="shared" si="276"/>
        <v>75.599999999999994</v>
      </c>
      <c r="T4432" s="1">
        <f t="shared" si="277"/>
        <v>-12.740000000000009</v>
      </c>
      <c r="U4432" s="1" t="str">
        <f t="shared" si="278"/>
        <v>OK</v>
      </c>
      <c r="V4432" s="1" t="str">
        <f>_xlfn.XLOOKUP(C4432,Payers!$A$2:$A$9,Payers!$B$2:$B$9)</f>
        <v>Medicare Part B</v>
      </c>
      <c r="W4432" s="1" t="str">
        <f t="shared" si="279"/>
        <v>2025-12</v>
      </c>
    </row>
    <row r="4433" spans="1:23">
      <c r="A4433" s="1" t="s">
        <v>6992</v>
      </c>
      <c r="B4433" s="1" t="s">
        <v>2994</v>
      </c>
      <c r="C4433" s="1" t="s">
        <v>76</v>
      </c>
      <c r="D4433" s="1" t="s">
        <v>19</v>
      </c>
      <c r="E4433" s="1" t="s">
        <v>57</v>
      </c>
      <c r="F4433">
        <v>1</v>
      </c>
      <c r="G4433" s="2">
        <v>46192</v>
      </c>
      <c r="H4433" s="2">
        <v>46198</v>
      </c>
      <c r="I4433">
        <v>206.01</v>
      </c>
      <c r="M4433" s="1" t="s">
        <v>32</v>
      </c>
      <c r="N4433" s="1" t="s">
        <v>281</v>
      </c>
      <c r="O4433" s="2">
        <v>46230</v>
      </c>
      <c r="P4433" s="2"/>
      <c r="Q4433">
        <f>_xlfn.XLOOKUP(E4433,CPT!$A$2:$A$13,CPT!$D$2:$D$13)</f>
        <v>210</v>
      </c>
      <c r="R4433" s="1">
        <f>_xlfn.XLOOKUP(C4433,Contract!$A$2:$A$9,Contract!$B$2:$B$9)</f>
        <v>0.43</v>
      </c>
      <c r="S4433" s="1">
        <f t="shared" si="276"/>
        <v>90.3</v>
      </c>
      <c r="T4433" s="1" t="str">
        <f t="shared" si="277"/>
        <v/>
      </c>
      <c r="U4433" s="1" t="str">
        <f t="shared" si="278"/>
        <v/>
      </c>
      <c r="V4433" s="1" t="str">
        <f>_xlfn.XLOOKUP(C4433,Payers!$A$2:$A$9,Payers!$B$2:$B$9)</f>
        <v>Summit Health Commercial</v>
      </c>
      <c r="W4433" s="1" t="str">
        <f t="shared" si="279"/>
        <v>2026-06</v>
      </c>
    </row>
    <row r="4434" spans="1:23">
      <c r="A4434" s="1" t="s">
        <v>6993</v>
      </c>
      <c r="B4434" s="1" t="s">
        <v>6994</v>
      </c>
      <c r="C4434" s="1" t="s">
        <v>60</v>
      </c>
      <c r="D4434" s="1" t="s">
        <v>30</v>
      </c>
      <c r="E4434" s="1" t="s">
        <v>31</v>
      </c>
      <c r="F4434">
        <v>1</v>
      </c>
      <c r="G4434" s="2">
        <v>46271</v>
      </c>
      <c r="H4434" s="2">
        <v>46274</v>
      </c>
      <c r="I4434">
        <v>61.77</v>
      </c>
      <c r="M4434" s="1" t="s">
        <v>69</v>
      </c>
      <c r="N4434" s="1" t="s">
        <v>22</v>
      </c>
      <c r="O4434" s="2"/>
      <c r="P4434" s="2"/>
      <c r="Q4434">
        <f>_xlfn.XLOOKUP(E4434,CPT!$A$2:$A$13,CPT!$D$2:$D$13)</f>
        <v>62</v>
      </c>
      <c r="R4434" s="1">
        <f>_xlfn.XLOOKUP(C4434,Contract!$A$2:$A$9,Contract!$B$2:$B$9)</f>
        <v>0.45</v>
      </c>
      <c r="S4434" s="1">
        <f t="shared" si="276"/>
        <v>27.9</v>
      </c>
      <c r="T4434" s="1" t="str">
        <f t="shared" si="277"/>
        <v/>
      </c>
      <c r="U4434" s="1" t="str">
        <f t="shared" si="278"/>
        <v/>
      </c>
      <c r="V4434" s="1" t="str">
        <f>_xlfn.XLOOKUP(C4434,Payers!$A$2:$A$9,Payers!$B$2:$B$9)</f>
        <v>Blue Horizon Commercial</v>
      </c>
      <c r="W4434" s="1" t="str">
        <f t="shared" si="279"/>
        <v>2026-09</v>
      </c>
    </row>
    <row r="4435" spans="1:23">
      <c r="A4435" s="1" t="s">
        <v>6995</v>
      </c>
      <c r="B4435" s="1" t="s">
        <v>2760</v>
      </c>
      <c r="C4435" s="1" t="s">
        <v>18</v>
      </c>
      <c r="D4435" s="1" t="s">
        <v>19</v>
      </c>
      <c r="E4435" s="1" t="s">
        <v>41</v>
      </c>
      <c r="F4435">
        <v>1</v>
      </c>
      <c r="G4435" s="2">
        <v>46259</v>
      </c>
      <c r="H4435" s="2">
        <v>46262</v>
      </c>
      <c r="I4435">
        <v>38.28</v>
      </c>
      <c r="M4435" s="1" t="s">
        <v>69</v>
      </c>
      <c r="N4435" s="1" t="s">
        <v>22</v>
      </c>
      <c r="O4435" s="2"/>
      <c r="P4435" s="2"/>
      <c r="Q4435">
        <f>_xlfn.XLOOKUP(E4435,CPT!$A$2:$A$13,CPT!$D$2:$D$13)</f>
        <v>38</v>
      </c>
      <c r="R4435" s="1">
        <f>_xlfn.XLOOKUP(C4435,Contract!$A$2:$A$9,Contract!$B$2:$B$9)</f>
        <v>0.38</v>
      </c>
      <c r="S4435" s="1">
        <f t="shared" si="276"/>
        <v>14.44</v>
      </c>
      <c r="T4435" s="1" t="str">
        <f t="shared" si="277"/>
        <v/>
      </c>
      <c r="U4435" s="1" t="str">
        <f t="shared" si="278"/>
        <v/>
      </c>
      <c r="V4435" s="1" t="str">
        <f>_xlfn.XLOOKUP(C4435,Payers!$A$2:$A$9,Payers!$B$2:$B$9)</f>
        <v>Sunshine Medicare Advantage</v>
      </c>
      <c r="W4435" s="1" t="str">
        <f t="shared" si="279"/>
        <v>2026-08</v>
      </c>
    </row>
    <row r="4436" spans="1:23">
      <c r="A4436" s="1" t="s">
        <v>6996</v>
      </c>
      <c r="B4436" s="1" t="s">
        <v>428</v>
      </c>
      <c r="C4436" s="1" t="s">
        <v>25</v>
      </c>
      <c r="D4436" s="1" t="s">
        <v>19</v>
      </c>
      <c r="E4436" s="1" t="s">
        <v>41</v>
      </c>
      <c r="F4436">
        <v>1</v>
      </c>
      <c r="G4436" s="2">
        <v>46113</v>
      </c>
      <c r="H4436" s="2">
        <v>46117</v>
      </c>
      <c r="I4436">
        <v>37.92</v>
      </c>
      <c r="J4436">
        <v>12.77</v>
      </c>
      <c r="K4436">
        <v>11.49</v>
      </c>
      <c r="L4436">
        <v>1.28</v>
      </c>
      <c r="M4436" s="1" t="s">
        <v>21</v>
      </c>
      <c r="N4436" s="1" t="s">
        <v>22</v>
      </c>
      <c r="O4436" s="2">
        <v>46130</v>
      </c>
      <c r="P4436" s="2">
        <v>46130</v>
      </c>
      <c r="Q4436">
        <f>_xlfn.XLOOKUP(E4436,CPT!$A$2:$A$13,CPT!$D$2:$D$13)</f>
        <v>38</v>
      </c>
      <c r="R4436" s="1">
        <f>_xlfn.XLOOKUP(C4436,Contract!$A$2:$A$9,Contract!$B$2:$B$9)</f>
        <v>0.36</v>
      </c>
      <c r="S4436" s="1">
        <f t="shared" si="276"/>
        <v>13.68</v>
      </c>
      <c r="T4436" s="1">
        <f t="shared" si="277"/>
        <v>0.91000000000000014</v>
      </c>
      <c r="U4436" s="1" t="str">
        <f t="shared" si="278"/>
        <v>Underpaid</v>
      </c>
      <c r="V4436" s="1" t="str">
        <f>_xlfn.XLOOKUP(C4436,Payers!$A$2:$A$9,Payers!$B$2:$B$9)</f>
        <v>Medicare Part B</v>
      </c>
      <c r="W4436" s="1" t="str">
        <f t="shared" si="279"/>
        <v>2026-04</v>
      </c>
    </row>
    <row r="4437" spans="1:23">
      <c r="A4437" s="1" t="s">
        <v>6997</v>
      </c>
      <c r="B4437" s="1" t="s">
        <v>6998</v>
      </c>
      <c r="C4437" s="1" t="s">
        <v>25</v>
      </c>
      <c r="D4437" s="1" t="s">
        <v>26</v>
      </c>
      <c r="E4437" s="1" t="s">
        <v>44</v>
      </c>
      <c r="F4437">
        <v>1</v>
      </c>
      <c r="G4437" s="2">
        <v>46123</v>
      </c>
      <c r="H4437" s="2">
        <v>46133</v>
      </c>
      <c r="I4437">
        <v>4825.6000000000004</v>
      </c>
      <c r="M4437" s="1" t="s">
        <v>32</v>
      </c>
      <c r="N4437" s="1" t="s">
        <v>315</v>
      </c>
      <c r="O4437" s="2">
        <v>46147</v>
      </c>
      <c r="P4437" s="2"/>
      <c r="Q4437">
        <f>_xlfn.XLOOKUP(E4437,CPT!$A$2:$A$13,CPT!$D$2:$D$13)</f>
        <v>4800</v>
      </c>
      <c r="R4437" s="1">
        <f>_xlfn.XLOOKUP(C4437,Contract!$A$2:$A$9,Contract!$B$2:$B$9)</f>
        <v>0.36</v>
      </c>
      <c r="S4437" s="1">
        <f t="shared" si="276"/>
        <v>1728</v>
      </c>
      <c r="T4437" s="1" t="str">
        <f t="shared" si="277"/>
        <v/>
      </c>
      <c r="U4437" s="1" t="str">
        <f t="shared" si="278"/>
        <v/>
      </c>
      <c r="V4437" s="1" t="str">
        <f>_xlfn.XLOOKUP(C4437,Payers!$A$2:$A$9,Payers!$B$2:$B$9)</f>
        <v>Medicare Part B</v>
      </c>
      <c r="W4437" s="1" t="str">
        <f t="shared" si="279"/>
        <v>2026-04</v>
      </c>
    </row>
    <row r="4438" spans="1:23">
      <c r="A4438" s="1" t="s">
        <v>6999</v>
      </c>
      <c r="B4438" s="1" t="s">
        <v>6926</v>
      </c>
      <c r="C4438" s="1" t="s">
        <v>36</v>
      </c>
      <c r="D4438" s="1" t="s">
        <v>30</v>
      </c>
      <c r="E4438" s="1" t="s">
        <v>20</v>
      </c>
      <c r="F4438">
        <v>1</v>
      </c>
      <c r="G4438" s="2">
        <v>46035</v>
      </c>
      <c r="H4438" s="2">
        <v>46041</v>
      </c>
      <c r="I4438">
        <v>148.9</v>
      </c>
      <c r="J4438">
        <v>38.86</v>
      </c>
      <c r="K4438">
        <v>34.97</v>
      </c>
      <c r="L4438">
        <v>3.89</v>
      </c>
      <c r="M4438" s="1" t="s">
        <v>21</v>
      </c>
      <c r="N4438" s="1" t="s">
        <v>22</v>
      </c>
      <c r="O4438" s="2">
        <v>46090</v>
      </c>
      <c r="P4438" s="2">
        <v>46090</v>
      </c>
      <c r="Q4438">
        <f>_xlfn.XLOOKUP(E4438,CPT!$A$2:$A$13,CPT!$D$2:$D$13)</f>
        <v>145</v>
      </c>
      <c r="R4438" s="1">
        <f>_xlfn.XLOOKUP(C4438,Contract!$A$2:$A$9,Contract!$B$2:$B$9)</f>
        <v>0.27</v>
      </c>
      <c r="S4438" s="1">
        <f t="shared" si="276"/>
        <v>39.15</v>
      </c>
      <c r="T4438" s="1">
        <f t="shared" si="277"/>
        <v>0.28999999999999915</v>
      </c>
      <c r="U4438" s="1" t="str">
        <f t="shared" si="278"/>
        <v>OK</v>
      </c>
      <c r="V4438" s="1" t="str">
        <f>_xlfn.XLOOKUP(C4438,Payers!$A$2:$A$9,Payers!$B$2:$B$9)</f>
        <v>Florida Medicaid</v>
      </c>
      <c r="W4438" s="1" t="str">
        <f t="shared" si="279"/>
        <v>2026-01</v>
      </c>
    </row>
    <row r="4439" spans="1:23">
      <c r="A4439" s="1" t="s">
        <v>7000</v>
      </c>
      <c r="B4439" s="1" t="s">
        <v>5107</v>
      </c>
      <c r="C4439" s="1" t="s">
        <v>60</v>
      </c>
      <c r="D4439" s="1" t="s">
        <v>26</v>
      </c>
      <c r="E4439" s="1" t="s">
        <v>57</v>
      </c>
      <c r="F4439">
        <v>1</v>
      </c>
      <c r="G4439" s="2">
        <v>46128</v>
      </c>
      <c r="H4439" s="2">
        <v>46130</v>
      </c>
      <c r="I4439">
        <v>215.54</v>
      </c>
      <c r="J4439">
        <v>111.96</v>
      </c>
      <c r="K4439">
        <v>100.76</v>
      </c>
      <c r="L4439">
        <v>11.2</v>
      </c>
      <c r="M4439" s="1" t="s">
        <v>21</v>
      </c>
      <c r="N4439" s="1" t="s">
        <v>22</v>
      </c>
      <c r="O4439" s="2">
        <v>46149</v>
      </c>
      <c r="P4439" s="2">
        <v>46149</v>
      </c>
      <c r="Q4439">
        <f>_xlfn.XLOOKUP(E4439,CPT!$A$2:$A$13,CPT!$D$2:$D$13)</f>
        <v>210</v>
      </c>
      <c r="R4439" s="1">
        <f>_xlfn.XLOOKUP(C4439,Contract!$A$2:$A$9,Contract!$B$2:$B$9)</f>
        <v>0.45</v>
      </c>
      <c r="S4439" s="1">
        <f t="shared" si="276"/>
        <v>94.5</v>
      </c>
      <c r="T4439" s="1">
        <f t="shared" si="277"/>
        <v>-17.459999999999994</v>
      </c>
      <c r="U4439" s="1" t="str">
        <f t="shared" si="278"/>
        <v>OK</v>
      </c>
      <c r="V4439" s="1" t="str">
        <f>_xlfn.XLOOKUP(C4439,Payers!$A$2:$A$9,Payers!$B$2:$B$9)</f>
        <v>Blue Horizon Commercial</v>
      </c>
      <c r="W4439" s="1" t="str">
        <f t="shared" si="279"/>
        <v>2026-04</v>
      </c>
    </row>
    <row r="4440" spans="1:23">
      <c r="A4440" s="1" t="s">
        <v>7001</v>
      </c>
      <c r="B4440" s="1" t="s">
        <v>7002</v>
      </c>
      <c r="C4440" s="1" t="s">
        <v>76</v>
      </c>
      <c r="D4440" s="1" t="s">
        <v>26</v>
      </c>
      <c r="E4440" s="1" t="s">
        <v>88</v>
      </c>
      <c r="F4440">
        <v>1</v>
      </c>
      <c r="G4440" s="2">
        <v>46017</v>
      </c>
      <c r="H4440" s="2">
        <v>46020</v>
      </c>
      <c r="I4440">
        <v>252.81</v>
      </c>
      <c r="J4440">
        <v>119.64</v>
      </c>
      <c r="K4440">
        <v>107.68</v>
      </c>
      <c r="L4440">
        <v>11.96</v>
      </c>
      <c r="M4440" s="1" t="s">
        <v>21</v>
      </c>
      <c r="N4440" s="1" t="s">
        <v>22</v>
      </c>
      <c r="O4440" s="2">
        <v>46058</v>
      </c>
      <c r="P4440" s="2">
        <v>46058</v>
      </c>
      <c r="Q4440">
        <f>_xlfn.XLOOKUP(E4440,CPT!$A$2:$A$13,CPT!$D$2:$D$13)</f>
        <v>260</v>
      </c>
      <c r="R4440" s="1">
        <f>_xlfn.XLOOKUP(C4440,Contract!$A$2:$A$9,Contract!$B$2:$B$9)</f>
        <v>0.43</v>
      </c>
      <c r="S4440" s="1">
        <f t="shared" si="276"/>
        <v>111.8</v>
      </c>
      <c r="T4440" s="1">
        <f t="shared" si="277"/>
        <v>-7.8400000000000034</v>
      </c>
      <c r="U4440" s="1" t="str">
        <f t="shared" si="278"/>
        <v>OK</v>
      </c>
      <c r="V4440" s="1" t="str">
        <f>_xlfn.XLOOKUP(C4440,Payers!$A$2:$A$9,Payers!$B$2:$B$9)</f>
        <v>Summit Health Commercial</v>
      </c>
      <c r="W4440" s="1" t="str">
        <f t="shared" si="279"/>
        <v>2025-12</v>
      </c>
    </row>
    <row r="4441" spans="1:23">
      <c r="A4441" s="1" t="s">
        <v>7003</v>
      </c>
      <c r="B4441" s="1" t="s">
        <v>7004</v>
      </c>
      <c r="C4441" s="1" t="s">
        <v>25</v>
      </c>
      <c r="D4441" s="1" t="s">
        <v>30</v>
      </c>
      <c r="E4441" s="1" t="s">
        <v>91</v>
      </c>
      <c r="F4441">
        <v>2</v>
      </c>
      <c r="G4441" s="2">
        <v>46174</v>
      </c>
      <c r="H4441" s="2">
        <v>46179</v>
      </c>
      <c r="I4441">
        <v>112.89</v>
      </c>
      <c r="J4441">
        <v>45.23</v>
      </c>
      <c r="K4441">
        <v>45.23</v>
      </c>
      <c r="L4441">
        <v>0</v>
      </c>
      <c r="M4441" s="1" t="s">
        <v>21</v>
      </c>
      <c r="N4441" s="1" t="s">
        <v>22</v>
      </c>
      <c r="O4441" s="2">
        <v>46196</v>
      </c>
      <c r="P4441" s="2">
        <v>46196</v>
      </c>
      <c r="Q4441">
        <f>_xlfn.XLOOKUP(E4441,CPT!$A$2:$A$13,CPT!$D$2:$D$13)</f>
        <v>58</v>
      </c>
      <c r="R4441" s="1">
        <f>_xlfn.XLOOKUP(C4441,Contract!$A$2:$A$9,Contract!$B$2:$B$9)</f>
        <v>0.36</v>
      </c>
      <c r="S4441" s="1">
        <f t="shared" si="276"/>
        <v>41.76</v>
      </c>
      <c r="T4441" s="1">
        <f t="shared" si="277"/>
        <v>-3.4699999999999989</v>
      </c>
      <c r="U4441" s="1" t="str">
        <f t="shared" si="278"/>
        <v>OK</v>
      </c>
      <c r="V4441" s="1" t="str">
        <f>_xlfn.XLOOKUP(C4441,Payers!$A$2:$A$9,Payers!$B$2:$B$9)</f>
        <v>Medicare Part B</v>
      </c>
      <c r="W4441" s="1" t="str">
        <f t="shared" si="279"/>
        <v>2026-06</v>
      </c>
    </row>
    <row r="4442" spans="1:23">
      <c r="A4442" s="1" t="s">
        <v>7005</v>
      </c>
      <c r="B4442" s="1" t="s">
        <v>4607</v>
      </c>
      <c r="C4442" s="1" t="s">
        <v>18</v>
      </c>
      <c r="D4442" s="1" t="s">
        <v>19</v>
      </c>
      <c r="E4442" s="1" t="s">
        <v>57</v>
      </c>
      <c r="F4442">
        <v>1</v>
      </c>
      <c r="G4442" s="2">
        <v>46233</v>
      </c>
      <c r="H4442" s="2">
        <v>46235</v>
      </c>
      <c r="I4442">
        <v>209.72</v>
      </c>
      <c r="J4442">
        <v>80.75</v>
      </c>
      <c r="K4442">
        <v>80.75</v>
      </c>
      <c r="L4442">
        <v>0</v>
      </c>
      <c r="M4442" s="1" t="s">
        <v>21</v>
      </c>
      <c r="N4442" s="1" t="s">
        <v>22</v>
      </c>
      <c r="O4442" s="2">
        <v>46271</v>
      </c>
      <c r="P4442" s="2">
        <v>46271</v>
      </c>
      <c r="Q4442">
        <f>_xlfn.XLOOKUP(E4442,CPT!$A$2:$A$13,CPT!$D$2:$D$13)</f>
        <v>210</v>
      </c>
      <c r="R4442" s="1">
        <f>_xlfn.XLOOKUP(C4442,Contract!$A$2:$A$9,Contract!$B$2:$B$9)</f>
        <v>0.38</v>
      </c>
      <c r="S4442" s="1">
        <f t="shared" si="276"/>
        <v>79.8</v>
      </c>
      <c r="T4442" s="1">
        <f t="shared" si="277"/>
        <v>-0.95000000000000284</v>
      </c>
      <c r="U4442" s="1" t="str">
        <f t="shared" si="278"/>
        <v>OK</v>
      </c>
      <c r="V4442" s="1" t="str">
        <f>_xlfn.XLOOKUP(C4442,Payers!$A$2:$A$9,Payers!$B$2:$B$9)</f>
        <v>Sunshine Medicare Advantage</v>
      </c>
      <c r="W4442" s="1" t="str">
        <f t="shared" si="279"/>
        <v>2026-07</v>
      </c>
    </row>
    <row r="4443" spans="1:23">
      <c r="A4443" s="1" t="s">
        <v>7006</v>
      </c>
      <c r="B4443" s="1" t="s">
        <v>7007</v>
      </c>
      <c r="C4443" s="1" t="s">
        <v>52</v>
      </c>
      <c r="D4443" s="1" t="s">
        <v>37</v>
      </c>
      <c r="E4443" s="1" t="s">
        <v>57</v>
      </c>
      <c r="F4443">
        <v>1</v>
      </c>
      <c r="G4443" s="2">
        <v>46182</v>
      </c>
      <c r="H4443" s="2">
        <v>46183</v>
      </c>
      <c r="I4443">
        <v>208.45</v>
      </c>
      <c r="J4443">
        <v>109.44</v>
      </c>
      <c r="K4443">
        <v>98.5</v>
      </c>
      <c r="L4443">
        <v>10.94</v>
      </c>
      <c r="M4443" s="1" t="s">
        <v>21</v>
      </c>
      <c r="N4443" s="1" t="s">
        <v>22</v>
      </c>
      <c r="O4443" s="2">
        <v>46234</v>
      </c>
      <c r="P4443" s="2">
        <v>46234</v>
      </c>
      <c r="Q4443">
        <f>_xlfn.XLOOKUP(E4443,CPT!$A$2:$A$13,CPT!$D$2:$D$13)</f>
        <v>210</v>
      </c>
      <c r="R4443" s="1">
        <f>_xlfn.XLOOKUP(C4443,Contract!$A$2:$A$9,Contract!$B$2:$B$9)</f>
        <v>0.47</v>
      </c>
      <c r="S4443" s="1">
        <f t="shared" si="276"/>
        <v>98.7</v>
      </c>
      <c r="T4443" s="1">
        <f t="shared" si="277"/>
        <v>-10.739999999999995</v>
      </c>
      <c r="U4443" s="1" t="str">
        <f t="shared" si="278"/>
        <v>OK</v>
      </c>
      <c r="V4443" s="1" t="str">
        <f>_xlfn.XLOOKUP(C4443,Payers!$A$2:$A$9,Payers!$B$2:$B$9)</f>
        <v>Keystone Commercial PPO</v>
      </c>
      <c r="W4443" s="1" t="str">
        <f t="shared" si="279"/>
        <v>2026-06</v>
      </c>
    </row>
    <row r="4444" spans="1:23">
      <c r="A4444" s="1" t="s">
        <v>7008</v>
      </c>
      <c r="B4444" s="1" t="s">
        <v>1538</v>
      </c>
      <c r="C4444" s="1" t="s">
        <v>18</v>
      </c>
      <c r="D4444" s="1" t="s">
        <v>19</v>
      </c>
      <c r="E4444" s="1" t="s">
        <v>41</v>
      </c>
      <c r="F4444">
        <v>1</v>
      </c>
      <c r="G4444" s="2">
        <v>46074</v>
      </c>
      <c r="H4444" s="2">
        <v>46092</v>
      </c>
      <c r="I4444">
        <v>38.5</v>
      </c>
      <c r="M4444" s="1" t="s">
        <v>32</v>
      </c>
      <c r="N4444" s="1" t="s">
        <v>168</v>
      </c>
      <c r="O4444" s="2">
        <v>46162</v>
      </c>
      <c r="P4444" s="2"/>
      <c r="Q4444">
        <f>_xlfn.XLOOKUP(E4444,CPT!$A$2:$A$13,CPT!$D$2:$D$13)</f>
        <v>38</v>
      </c>
      <c r="R4444" s="1">
        <f>_xlfn.XLOOKUP(C4444,Contract!$A$2:$A$9,Contract!$B$2:$B$9)</f>
        <v>0.38</v>
      </c>
      <c r="S4444" s="1">
        <f t="shared" si="276"/>
        <v>14.44</v>
      </c>
      <c r="T4444" s="1" t="str">
        <f t="shared" si="277"/>
        <v/>
      </c>
      <c r="U4444" s="1" t="str">
        <f t="shared" si="278"/>
        <v/>
      </c>
      <c r="V4444" s="1" t="str">
        <f>_xlfn.XLOOKUP(C4444,Payers!$A$2:$A$9,Payers!$B$2:$B$9)</f>
        <v>Sunshine Medicare Advantage</v>
      </c>
      <c r="W4444" s="1" t="str">
        <f t="shared" si="279"/>
        <v>2026-02</v>
      </c>
    </row>
    <row r="4445" spans="1:23">
      <c r="A4445" s="1" t="s">
        <v>7009</v>
      </c>
      <c r="B4445" s="1" t="s">
        <v>576</v>
      </c>
      <c r="C4445" s="1" t="s">
        <v>76</v>
      </c>
      <c r="D4445" s="1" t="s">
        <v>19</v>
      </c>
      <c r="E4445" s="1" t="s">
        <v>88</v>
      </c>
      <c r="F4445">
        <v>1</v>
      </c>
      <c r="G4445" s="2">
        <v>45964</v>
      </c>
      <c r="H4445" s="2">
        <v>45981</v>
      </c>
      <c r="I4445">
        <v>254.98</v>
      </c>
      <c r="M4445" s="1" t="s">
        <v>32</v>
      </c>
      <c r="N4445" s="1" t="s">
        <v>124</v>
      </c>
      <c r="O4445" s="2">
        <v>46006</v>
      </c>
      <c r="P4445" s="2"/>
      <c r="Q4445">
        <f>_xlfn.XLOOKUP(E4445,CPT!$A$2:$A$13,CPT!$D$2:$D$13)</f>
        <v>260</v>
      </c>
      <c r="R4445" s="1">
        <f>_xlfn.XLOOKUP(C4445,Contract!$A$2:$A$9,Contract!$B$2:$B$9)</f>
        <v>0.43</v>
      </c>
      <c r="S4445" s="1">
        <f t="shared" si="276"/>
        <v>111.8</v>
      </c>
      <c r="T4445" s="1" t="str">
        <f t="shared" si="277"/>
        <v/>
      </c>
      <c r="U4445" s="1" t="str">
        <f t="shared" si="278"/>
        <v/>
      </c>
      <c r="V4445" s="1" t="str">
        <f>_xlfn.XLOOKUP(C4445,Payers!$A$2:$A$9,Payers!$B$2:$B$9)</f>
        <v>Summit Health Commercial</v>
      </c>
      <c r="W4445" s="1" t="str">
        <f t="shared" si="279"/>
        <v>2025-11</v>
      </c>
    </row>
    <row r="4446" spans="1:23">
      <c r="A4446" s="1" t="s">
        <v>7010</v>
      </c>
      <c r="B4446" s="1" t="s">
        <v>2099</v>
      </c>
      <c r="C4446" s="1" t="s">
        <v>60</v>
      </c>
      <c r="D4446" s="1" t="s">
        <v>30</v>
      </c>
      <c r="E4446" s="1" t="s">
        <v>91</v>
      </c>
      <c r="F4446">
        <v>4</v>
      </c>
      <c r="G4446" s="2">
        <v>46138</v>
      </c>
      <c r="H4446" s="2">
        <v>46147</v>
      </c>
      <c r="I4446">
        <v>228.54</v>
      </c>
      <c r="J4446">
        <v>93.81</v>
      </c>
      <c r="K4446">
        <v>93.81</v>
      </c>
      <c r="L4446">
        <v>0</v>
      </c>
      <c r="M4446" s="1" t="s">
        <v>21</v>
      </c>
      <c r="N4446" s="1" t="s">
        <v>22</v>
      </c>
      <c r="O4446" s="2">
        <v>46179</v>
      </c>
      <c r="P4446" s="2">
        <v>46179</v>
      </c>
      <c r="Q4446">
        <f>_xlfn.XLOOKUP(E4446,CPT!$A$2:$A$13,CPT!$D$2:$D$13)</f>
        <v>58</v>
      </c>
      <c r="R4446" s="1">
        <f>_xlfn.XLOOKUP(C4446,Contract!$A$2:$A$9,Contract!$B$2:$B$9)</f>
        <v>0.45</v>
      </c>
      <c r="S4446" s="1">
        <f t="shared" si="276"/>
        <v>104.4</v>
      </c>
      <c r="T4446" s="1">
        <f t="shared" si="277"/>
        <v>10.590000000000003</v>
      </c>
      <c r="U4446" s="1" t="str">
        <f t="shared" si="278"/>
        <v>Underpaid</v>
      </c>
      <c r="V4446" s="1" t="str">
        <f>_xlfn.XLOOKUP(C4446,Payers!$A$2:$A$9,Payers!$B$2:$B$9)</f>
        <v>Blue Horizon Commercial</v>
      </c>
      <c r="W4446" s="1" t="str">
        <f t="shared" si="279"/>
        <v>2026-04</v>
      </c>
    </row>
    <row r="4447" spans="1:23">
      <c r="A4447" s="1" t="s">
        <v>7011</v>
      </c>
      <c r="B4447" s="1" t="s">
        <v>2714</v>
      </c>
      <c r="C4447" s="1" t="s">
        <v>52</v>
      </c>
      <c r="D4447" s="1" t="s">
        <v>26</v>
      </c>
      <c r="E4447" s="1" t="s">
        <v>41</v>
      </c>
      <c r="F4447">
        <v>1</v>
      </c>
      <c r="G4447" s="2">
        <v>46193</v>
      </c>
      <c r="H4447" s="2">
        <v>46196</v>
      </c>
      <c r="I4447">
        <v>38.159999999999997</v>
      </c>
      <c r="J4447">
        <v>16.14</v>
      </c>
      <c r="K4447">
        <v>16.14</v>
      </c>
      <c r="L4447">
        <v>0</v>
      </c>
      <c r="M4447" s="1" t="s">
        <v>21</v>
      </c>
      <c r="N4447" s="1" t="s">
        <v>22</v>
      </c>
      <c r="O4447" s="2">
        <v>46264</v>
      </c>
      <c r="P4447" s="2">
        <v>46264</v>
      </c>
      <c r="Q4447">
        <f>_xlfn.XLOOKUP(E4447,CPT!$A$2:$A$13,CPT!$D$2:$D$13)</f>
        <v>38</v>
      </c>
      <c r="R4447" s="1">
        <f>_xlfn.XLOOKUP(C4447,Contract!$A$2:$A$9,Contract!$B$2:$B$9)</f>
        <v>0.47</v>
      </c>
      <c r="S4447" s="1">
        <f t="shared" si="276"/>
        <v>17.86</v>
      </c>
      <c r="T4447" s="1">
        <f t="shared" si="277"/>
        <v>1.7199999999999989</v>
      </c>
      <c r="U4447" s="1" t="str">
        <f t="shared" si="278"/>
        <v>Underpaid</v>
      </c>
      <c r="V4447" s="1" t="str">
        <f>_xlfn.XLOOKUP(C4447,Payers!$A$2:$A$9,Payers!$B$2:$B$9)</f>
        <v>Keystone Commercial PPO</v>
      </c>
      <c r="W4447" s="1" t="str">
        <f t="shared" si="279"/>
        <v>2026-06</v>
      </c>
    </row>
    <row r="4448" spans="1:23">
      <c r="A4448" s="1" t="s">
        <v>7012</v>
      </c>
      <c r="B4448" s="1" t="s">
        <v>7013</v>
      </c>
      <c r="C4448" s="1" t="s">
        <v>25</v>
      </c>
      <c r="D4448" s="1" t="s">
        <v>19</v>
      </c>
      <c r="E4448" s="1" t="s">
        <v>41</v>
      </c>
      <c r="F4448">
        <v>1</v>
      </c>
      <c r="G4448" s="2">
        <v>46268</v>
      </c>
      <c r="H4448" s="2">
        <v>46274</v>
      </c>
      <c r="I4448">
        <v>38.72</v>
      </c>
      <c r="M4448" s="1" t="s">
        <v>69</v>
      </c>
      <c r="N4448" s="1" t="s">
        <v>22</v>
      </c>
      <c r="O4448" s="2"/>
      <c r="P4448" s="2"/>
      <c r="Q4448">
        <f>_xlfn.XLOOKUP(E4448,CPT!$A$2:$A$13,CPT!$D$2:$D$13)</f>
        <v>38</v>
      </c>
      <c r="R4448" s="1">
        <f>_xlfn.XLOOKUP(C4448,Contract!$A$2:$A$9,Contract!$B$2:$B$9)</f>
        <v>0.36</v>
      </c>
      <c r="S4448" s="1">
        <f t="shared" si="276"/>
        <v>13.68</v>
      </c>
      <c r="T4448" s="1" t="str">
        <f t="shared" si="277"/>
        <v/>
      </c>
      <c r="U4448" s="1" t="str">
        <f t="shared" si="278"/>
        <v/>
      </c>
      <c r="V4448" s="1" t="str">
        <f>_xlfn.XLOOKUP(C4448,Payers!$A$2:$A$9,Payers!$B$2:$B$9)</f>
        <v>Medicare Part B</v>
      </c>
      <c r="W4448" s="1" t="str">
        <f t="shared" si="279"/>
        <v>2026-09</v>
      </c>
    </row>
    <row r="4449" spans="1:23">
      <c r="A4449" s="1" t="s">
        <v>7014</v>
      </c>
      <c r="B4449" s="1" t="s">
        <v>3281</v>
      </c>
      <c r="C4449" s="1" t="s">
        <v>52</v>
      </c>
      <c r="D4449" s="1" t="s">
        <v>26</v>
      </c>
      <c r="E4449" s="1" t="s">
        <v>88</v>
      </c>
      <c r="F4449">
        <v>1</v>
      </c>
      <c r="G4449" s="2">
        <v>46184</v>
      </c>
      <c r="H4449" s="2">
        <v>46188</v>
      </c>
      <c r="I4449">
        <v>266.12</v>
      </c>
      <c r="M4449" s="1" t="s">
        <v>32</v>
      </c>
      <c r="N4449" s="1" t="s">
        <v>168</v>
      </c>
      <c r="O4449" s="2">
        <v>46226</v>
      </c>
      <c r="P4449" s="2"/>
      <c r="Q4449">
        <f>_xlfn.XLOOKUP(E4449,CPT!$A$2:$A$13,CPT!$D$2:$D$13)</f>
        <v>260</v>
      </c>
      <c r="R4449" s="1">
        <f>_xlfn.XLOOKUP(C4449,Contract!$A$2:$A$9,Contract!$B$2:$B$9)</f>
        <v>0.47</v>
      </c>
      <c r="S4449" s="1">
        <f t="shared" si="276"/>
        <v>122.2</v>
      </c>
      <c r="T4449" s="1" t="str">
        <f t="shared" si="277"/>
        <v/>
      </c>
      <c r="U4449" s="1" t="str">
        <f t="shared" si="278"/>
        <v/>
      </c>
      <c r="V4449" s="1" t="str">
        <f>_xlfn.XLOOKUP(C4449,Payers!$A$2:$A$9,Payers!$B$2:$B$9)</f>
        <v>Keystone Commercial PPO</v>
      </c>
      <c r="W4449" s="1" t="str">
        <f t="shared" si="279"/>
        <v>2026-06</v>
      </c>
    </row>
    <row r="4450" spans="1:23">
      <c r="A4450" s="1" t="s">
        <v>7015</v>
      </c>
      <c r="B4450" s="1" t="s">
        <v>805</v>
      </c>
      <c r="C4450" s="1" t="s">
        <v>47</v>
      </c>
      <c r="D4450" s="1" t="s">
        <v>30</v>
      </c>
      <c r="E4450" s="1" t="s">
        <v>20</v>
      </c>
      <c r="F4450">
        <v>1</v>
      </c>
      <c r="G4450" s="2">
        <v>46281</v>
      </c>
      <c r="H4450" s="2">
        <v>46283</v>
      </c>
      <c r="I4450">
        <v>145.59</v>
      </c>
      <c r="M4450" s="1" t="s">
        <v>69</v>
      </c>
      <c r="N4450" s="1" t="s">
        <v>22</v>
      </c>
      <c r="O4450" s="2"/>
      <c r="P4450" s="2"/>
      <c r="Q4450">
        <f>_xlfn.XLOOKUP(E4450,CPT!$A$2:$A$13,CPT!$D$2:$D$13)</f>
        <v>145</v>
      </c>
      <c r="R4450" s="1">
        <f>_xlfn.XLOOKUP(C4450,Contract!$A$2:$A$9,Contract!$B$2:$B$9)</f>
        <v>0.28000000000000003</v>
      </c>
      <c r="S4450" s="1">
        <f t="shared" si="276"/>
        <v>40.6</v>
      </c>
      <c r="T4450" s="1" t="str">
        <f t="shared" si="277"/>
        <v/>
      </c>
      <c r="U4450" s="1" t="str">
        <f t="shared" si="278"/>
        <v/>
      </c>
      <c r="V4450" s="1" t="str">
        <f>_xlfn.XLOOKUP(C4450,Payers!$A$2:$A$9,Payers!$B$2:$B$9)</f>
        <v>Coastal Medicaid MCO</v>
      </c>
      <c r="W4450" s="1" t="str">
        <f t="shared" si="279"/>
        <v>2026-09</v>
      </c>
    </row>
    <row r="4451" spans="1:23">
      <c r="A4451" s="1" t="s">
        <v>7016</v>
      </c>
      <c r="B4451" s="1" t="s">
        <v>7017</v>
      </c>
      <c r="C4451" s="1" t="s">
        <v>25</v>
      </c>
      <c r="D4451" s="1" t="s">
        <v>19</v>
      </c>
      <c r="E4451" s="1" t="s">
        <v>20</v>
      </c>
      <c r="F4451">
        <v>1</v>
      </c>
      <c r="G4451" s="2">
        <v>46145</v>
      </c>
      <c r="H4451" s="2">
        <v>46160</v>
      </c>
      <c r="I4451">
        <v>146.72999999999999</v>
      </c>
      <c r="J4451">
        <v>54.64</v>
      </c>
      <c r="K4451">
        <v>43.71</v>
      </c>
      <c r="L4451">
        <v>10.93</v>
      </c>
      <c r="M4451" s="1" t="s">
        <v>21</v>
      </c>
      <c r="N4451" s="1" t="s">
        <v>22</v>
      </c>
      <c r="O4451" s="2">
        <v>46168</v>
      </c>
      <c r="P4451" s="2">
        <v>46168</v>
      </c>
      <c r="Q4451">
        <f>_xlfn.XLOOKUP(E4451,CPT!$A$2:$A$13,CPT!$D$2:$D$13)</f>
        <v>145</v>
      </c>
      <c r="R4451" s="1">
        <f>_xlfn.XLOOKUP(C4451,Contract!$A$2:$A$9,Contract!$B$2:$B$9)</f>
        <v>0.36</v>
      </c>
      <c r="S4451" s="1">
        <f t="shared" si="276"/>
        <v>52.2</v>
      </c>
      <c r="T4451" s="1">
        <f t="shared" si="277"/>
        <v>-2.4399999999999977</v>
      </c>
      <c r="U4451" s="1" t="str">
        <f t="shared" si="278"/>
        <v>OK</v>
      </c>
      <c r="V4451" s="1" t="str">
        <f>_xlfn.XLOOKUP(C4451,Payers!$A$2:$A$9,Payers!$B$2:$B$9)</f>
        <v>Medicare Part B</v>
      </c>
      <c r="W4451" s="1" t="str">
        <f t="shared" si="279"/>
        <v>2026-05</v>
      </c>
    </row>
    <row r="4452" spans="1:23">
      <c r="A4452" s="1" t="s">
        <v>7018</v>
      </c>
      <c r="B4452" s="1" t="s">
        <v>2164</v>
      </c>
      <c r="C4452" s="1" t="s">
        <v>76</v>
      </c>
      <c r="D4452" s="1" t="s">
        <v>19</v>
      </c>
      <c r="E4452" s="1" t="s">
        <v>88</v>
      </c>
      <c r="F4452">
        <v>1</v>
      </c>
      <c r="G4452" s="2">
        <v>45957</v>
      </c>
      <c r="H4452" s="2">
        <v>45959</v>
      </c>
      <c r="I4452">
        <v>267.63</v>
      </c>
      <c r="J4452">
        <v>128.71</v>
      </c>
      <c r="K4452">
        <v>128.71</v>
      </c>
      <c r="L4452">
        <v>0</v>
      </c>
      <c r="M4452" s="1" t="s">
        <v>21</v>
      </c>
      <c r="N4452" s="1" t="s">
        <v>22</v>
      </c>
      <c r="O4452" s="2">
        <v>45980</v>
      </c>
      <c r="P4452" s="2">
        <v>45980</v>
      </c>
      <c r="Q4452">
        <f>_xlfn.XLOOKUP(E4452,CPT!$A$2:$A$13,CPT!$D$2:$D$13)</f>
        <v>260</v>
      </c>
      <c r="R4452" s="1">
        <f>_xlfn.XLOOKUP(C4452,Contract!$A$2:$A$9,Contract!$B$2:$B$9)</f>
        <v>0.43</v>
      </c>
      <c r="S4452" s="1">
        <f t="shared" si="276"/>
        <v>111.8</v>
      </c>
      <c r="T4452" s="1">
        <f t="shared" si="277"/>
        <v>-16.910000000000011</v>
      </c>
      <c r="U4452" s="1" t="str">
        <f t="shared" si="278"/>
        <v>OK</v>
      </c>
      <c r="V4452" s="1" t="str">
        <f>_xlfn.XLOOKUP(C4452,Payers!$A$2:$A$9,Payers!$B$2:$B$9)</f>
        <v>Summit Health Commercial</v>
      </c>
      <c r="W4452" s="1" t="str">
        <f t="shared" si="279"/>
        <v>2025-10</v>
      </c>
    </row>
    <row r="4453" spans="1:23">
      <c r="A4453" s="1" t="s">
        <v>7019</v>
      </c>
      <c r="B4453" s="1" t="s">
        <v>3123</v>
      </c>
      <c r="C4453" s="1" t="s">
        <v>52</v>
      </c>
      <c r="D4453" s="1" t="s">
        <v>37</v>
      </c>
      <c r="E4453" s="1" t="s">
        <v>38</v>
      </c>
      <c r="F4453">
        <v>30</v>
      </c>
      <c r="G4453" s="2">
        <v>46121</v>
      </c>
      <c r="H4453" s="2">
        <v>46126</v>
      </c>
      <c r="I4453">
        <v>43402.1</v>
      </c>
      <c r="J4453">
        <v>18102.05</v>
      </c>
      <c r="K4453">
        <v>18102.05</v>
      </c>
      <c r="L4453">
        <v>0</v>
      </c>
      <c r="M4453" s="1" t="s">
        <v>21</v>
      </c>
      <c r="N4453" s="1" t="s">
        <v>22</v>
      </c>
      <c r="O4453" s="2">
        <v>46177</v>
      </c>
      <c r="P4453" s="2">
        <v>46177</v>
      </c>
      <c r="Q4453">
        <f>_xlfn.XLOOKUP(E4453,CPT!$A$2:$A$13,CPT!$D$2:$D$13)</f>
        <v>1450</v>
      </c>
      <c r="R4453" s="1">
        <f>_xlfn.XLOOKUP(C4453,Contract!$A$2:$A$9,Contract!$B$2:$B$9)</f>
        <v>0.47</v>
      </c>
      <c r="S4453" s="1">
        <f t="shared" si="276"/>
        <v>20445</v>
      </c>
      <c r="T4453" s="1">
        <f t="shared" si="277"/>
        <v>2342.9500000000007</v>
      </c>
      <c r="U4453" s="1" t="str">
        <f t="shared" si="278"/>
        <v>Underpaid</v>
      </c>
      <c r="V4453" s="1" t="str">
        <f>_xlfn.XLOOKUP(C4453,Payers!$A$2:$A$9,Payers!$B$2:$B$9)</f>
        <v>Keystone Commercial PPO</v>
      </c>
      <c r="W4453" s="1" t="str">
        <f t="shared" si="279"/>
        <v>2026-04</v>
      </c>
    </row>
    <row r="4454" spans="1:23">
      <c r="A4454" s="1" t="s">
        <v>7020</v>
      </c>
      <c r="B4454" s="1" t="s">
        <v>7021</v>
      </c>
      <c r="C4454" s="1" t="s">
        <v>36</v>
      </c>
      <c r="D4454" s="1" t="s">
        <v>19</v>
      </c>
      <c r="E4454" s="1" t="s">
        <v>57</v>
      </c>
      <c r="F4454">
        <v>1</v>
      </c>
      <c r="G4454" s="2">
        <v>46266</v>
      </c>
      <c r="H4454" s="2">
        <v>46273</v>
      </c>
      <c r="I4454">
        <v>214.68</v>
      </c>
      <c r="J4454">
        <v>61.95</v>
      </c>
      <c r="K4454">
        <v>49.56</v>
      </c>
      <c r="L4454">
        <v>12.39</v>
      </c>
      <c r="M4454" s="1" t="s">
        <v>21</v>
      </c>
      <c r="N4454" s="1" t="s">
        <v>22</v>
      </c>
      <c r="O4454" s="2">
        <v>46295</v>
      </c>
      <c r="P4454" s="2">
        <v>46295</v>
      </c>
      <c r="Q4454">
        <f>_xlfn.XLOOKUP(E4454,CPT!$A$2:$A$13,CPT!$D$2:$D$13)</f>
        <v>210</v>
      </c>
      <c r="R4454" s="1">
        <f>_xlfn.XLOOKUP(C4454,Contract!$A$2:$A$9,Contract!$B$2:$B$9)</f>
        <v>0.27</v>
      </c>
      <c r="S4454" s="1">
        <f t="shared" si="276"/>
        <v>56.7</v>
      </c>
      <c r="T4454" s="1">
        <f t="shared" si="277"/>
        <v>-5.25</v>
      </c>
      <c r="U4454" s="1" t="str">
        <f t="shared" si="278"/>
        <v>OK</v>
      </c>
      <c r="V4454" s="1" t="str">
        <f>_xlfn.XLOOKUP(C4454,Payers!$A$2:$A$9,Payers!$B$2:$B$9)</f>
        <v>Florida Medicaid</v>
      </c>
      <c r="W4454" s="1" t="str">
        <f t="shared" si="279"/>
        <v>2026-09</v>
      </c>
    </row>
    <row r="4455" spans="1:23">
      <c r="A4455" s="1" t="s">
        <v>7022</v>
      </c>
      <c r="B4455" s="1" t="s">
        <v>684</v>
      </c>
      <c r="C4455" s="1" t="s">
        <v>60</v>
      </c>
      <c r="D4455" s="1" t="s">
        <v>26</v>
      </c>
      <c r="E4455" s="1" t="s">
        <v>57</v>
      </c>
      <c r="F4455">
        <v>1</v>
      </c>
      <c r="G4455" s="2">
        <v>46155</v>
      </c>
      <c r="H4455" s="2">
        <v>46158</v>
      </c>
      <c r="I4455">
        <v>210.98</v>
      </c>
      <c r="J4455">
        <v>88.34</v>
      </c>
      <c r="K4455">
        <v>79.510000000000005</v>
      </c>
      <c r="L4455">
        <v>8.83</v>
      </c>
      <c r="M4455" s="1" t="s">
        <v>21</v>
      </c>
      <c r="N4455" s="1" t="s">
        <v>22</v>
      </c>
      <c r="O4455" s="2">
        <v>46187</v>
      </c>
      <c r="P4455" s="2">
        <v>46187</v>
      </c>
      <c r="Q4455">
        <f>_xlfn.XLOOKUP(E4455,CPT!$A$2:$A$13,CPT!$D$2:$D$13)</f>
        <v>210</v>
      </c>
      <c r="R4455" s="1">
        <f>_xlfn.XLOOKUP(C4455,Contract!$A$2:$A$9,Contract!$B$2:$B$9)</f>
        <v>0.45</v>
      </c>
      <c r="S4455" s="1">
        <f t="shared" si="276"/>
        <v>94.5</v>
      </c>
      <c r="T4455" s="1">
        <f t="shared" si="277"/>
        <v>6.1599999999999966</v>
      </c>
      <c r="U4455" s="1" t="str">
        <f t="shared" si="278"/>
        <v>Underpaid</v>
      </c>
      <c r="V4455" s="1" t="str">
        <f>_xlfn.XLOOKUP(C4455,Payers!$A$2:$A$9,Payers!$B$2:$B$9)</f>
        <v>Blue Horizon Commercial</v>
      </c>
      <c r="W4455" s="1" t="str">
        <f t="shared" si="279"/>
        <v>2026-05</v>
      </c>
    </row>
    <row r="4456" spans="1:23">
      <c r="A4456" s="1" t="s">
        <v>7023</v>
      </c>
      <c r="B4456" s="1" t="s">
        <v>4559</v>
      </c>
      <c r="C4456" s="1" t="s">
        <v>47</v>
      </c>
      <c r="D4456" s="1" t="s">
        <v>19</v>
      </c>
      <c r="E4456" s="1" t="s">
        <v>88</v>
      </c>
      <c r="F4456">
        <v>1</v>
      </c>
      <c r="G4456" s="2">
        <v>45931</v>
      </c>
      <c r="H4456" s="2">
        <v>45932</v>
      </c>
      <c r="I4456">
        <v>263.11</v>
      </c>
      <c r="J4456">
        <v>73.34</v>
      </c>
      <c r="K4456">
        <v>66.010000000000005</v>
      </c>
      <c r="L4456">
        <v>7.33</v>
      </c>
      <c r="M4456" s="1" t="s">
        <v>21</v>
      </c>
      <c r="N4456" s="1" t="s">
        <v>22</v>
      </c>
      <c r="O4456" s="2">
        <v>45989</v>
      </c>
      <c r="P4456" s="2">
        <v>45989</v>
      </c>
      <c r="Q4456">
        <f>_xlfn.XLOOKUP(E4456,CPT!$A$2:$A$13,CPT!$D$2:$D$13)</f>
        <v>260</v>
      </c>
      <c r="R4456" s="1">
        <f>_xlfn.XLOOKUP(C4456,Contract!$A$2:$A$9,Contract!$B$2:$B$9)</f>
        <v>0.28000000000000003</v>
      </c>
      <c r="S4456" s="1">
        <f t="shared" si="276"/>
        <v>72.8</v>
      </c>
      <c r="T4456" s="1">
        <f t="shared" si="277"/>
        <v>-0.54000000000000625</v>
      </c>
      <c r="U4456" s="1" t="str">
        <f t="shared" si="278"/>
        <v>OK</v>
      </c>
      <c r="V4456" s="1" t="str">
        <f>_xlfn.XLOOKUP(C4456,Payers!$A$2:$A$9,Payers!$B$2:$B$9)</f>
        <v>Coastal Medicaid MCO</v>
      </c>
      <c r="W4456" s="1" t="str">
        <f t="shared" si="279"/>
        <v>2025-10</v>
      </c>
    </row>
    <row r="4457" spans="1:23">
      <c r="A4457" s="1" t="s">
        <v>7024</v>
      </c>
      <c r="B4457" s="1" t="s">
        <v>7025</v>
      </c>
      <c r="C4457" s="1" t="s">
        <v>36</v>
      </c>
      <c r="D4457" s="1" t="s">
        <v>30</v>
      </c>
      <c r="E4457" s="1" t="s">
        <v>91</v>
      </c>
      <c r="F4457">
        <v>4</v>
      </c>
      <c r="G4457" s="2">
        <v>46088</v>
      </c>
      <c r="H4457" s="2">
        <v>46093</v>
      </c>
      <c r="I4457">
        <v>233.35</v>
      </c>
      <c r="J4457">
        <v>65.86</v>
      </c>
      <c r="K4457">
        <v>59.27</v>
      </c>
      <c r="L4457">
        <v>6.59</v>
      </c>
      <c r="M4457" s="1" t="s">
        <v>21</v>
      </c>
      <c r="N4457" s="1" t="s">
        <v>22</v>
      </c>
      <c r="O4457" s="2">
        <v>46130</v>
      </c>
      <c r="P4457" s="2">
        <v>46130</v>
      </c>
      <c r="Q4457">
        <f>_xlfn.XLOOKUP(E4457,CPT!$A$2:$A$13,CPT!$D$2:$D$13)</f>
        <v>58</v>
      </c>
      <c r="R4457" s="1">
        <f>_xlfn.XLOOKUP(C4457,Contract!$A$2:$A$9,Contract!$B$2:$B$9)</f>
        <v>0.27</v>
      </c>
      <c r="S4457" s="1">
        <f t="shared" si="276"/>
        <v>62.64</v>
      </c>
      <c r="T4457" s="1">
        <f t="shared" si="277"/>
        <v>-3.2199999999999989</v>
      </c>
      <c r="U4457" s="1" t="str">
        <f t="shared" si="278"/>
        <v>OK</v>
      </c>
      <c r="V4457" s="1" t="str">
        <f>_xlfn.XLOOKUP(C4457,Payers!$A$2:$A$9,Payers!$B$2:$B$9)</f>
        <v>Florida Medicaid</v>
      </c>
      <c r="W4457" s="1" t="str">
        <f t="shared" si="279"/>
        <v>2026-03</v>
      </c>
    </row>
    <row r="4458" spans="1:23">
      <c r="A4458" s="1" t="s">
        <v>7026</v>
      </c>
      <c r="B4458" s="1" t="s">
        <v>2644</v>
      </c>
      <c r="C4458" s="1" t="s">
        <v>18</v>
      </c>
      <c r="D4458" s="1" t="s">
        <v>37</v>
      </c>
      <c r="E4458" s="1" t="s">
        <v>48</v>
      </c>
      <c r="F4458">
        <v>1</v>
      </c>
      <c r="G4458" s="2">
        <v>46239</v>
      </c>
      <c r="H4458" s="2">
        <v>46244</v>
      </c>
      <c r="I4458">
        <v>425.3</v>
      </c>
      <c r="M4458" s="1" t="s">
        <v>32</v>
      </c>
      <c r="N4458" s="1" t="s">
        <v>33</v>
      </c>
      <c r="O4458" s="2">
        <v>46273</v>
      </c>
      <c r="P4458" s="2"/>
      <c r="Q4458">
        <f>_xlfn.XLOOKUP(E4458,CPT!$A$2:$A$13,CPT!$D$2:$D$13)</f>
        <v>420</v>
      </c>
      <c r="R4458" s="1">
        <f>_xlfn.XLOOKUP(C4458,Contract!$A$2:$A$9,Contract!$B$2:$B$9)</f>
        <v>0.38</v>
      </c>
      <c r="S4458" s="1">
        <f t="shared" si="276"/>
        <v>159.6</v>
      </c>
      <c r="T4458" s="1" t="str">
        <f t="shared" si="277"/>
        <v/>
      </c>
      <c r="U4458" s="1" t="str">
        <f t="shared" si="278"/>
        <v/>
      </c>
      <c r="V4458" s="1" t="str">
        <f>_xlfn.XLOOKUP(C4458,Payers!$A$2:$A$9,Payers!$B$2:$B$9)</f>
        <v>Sunshine Medicare Advantage</v>
      </c>
      <c r="W4458" s="1" t="str">
        <f t="shared" si="279"/>
        <v>2026-08</v>
      </c>
    </row>
    <row r="4459" spans="1:23">
      <c r="A4459" s="1" t="s">
        <v>7027</v>
      </c>
      <c r="B4459" s="1" t="s">
        <v>2112</v>
      </c>
      <c r="C4459" s="1" t="s">
        <v>79</v>
      </c>
      <c r="D4459" s="1" t="s">
        <v>19</v>
      </c>
      <c r="E4459" s="1" t="s">
        <v>88</v>
      </c>
      <c r="F4459">
        <v>1</v>
      </c>
      <c r="G4459" s="2">
        <v>46182</v>
      </c>
      <c r="H4459" s="2">
        <v>46189</v>
      </c>
      <c r="I4459">
        <v>260.49</v>
      </c>
      <c r="M4459" s="1" t="s">
        <v>69</v>
      </c>
      <c r="N4459" s="1" t="s">
        <v>22</v>
      </c>
      <c r="O4459" s="2"/>
      <c r="P4459" s="2"/>
      <c r="Q4459">
        <f>_xlfn.XLOOKUP(E4459,CPT!$A$2:$A$13,CPT!$D$2:$D$13)</f>
        <v>260</v>
      </c>
      <c r="R4459" s="1">
        <f>_xlfn.XLOOKUP(C4459,Contract!$A$2:$A$9,Contract!$B$2:$B$9)</f>
        <v>1</v>
      </c>
      <c r="S4459" s="1">
        <f t="shared" si="276"/>
        <v>260</v>
      </c>
      <c r="T4459" s="1" t="str">
        <f t="shared" si="277"/>
        <v/>
      </c>
      <c r="U4459" s="1" t="str">
        <f t="shared" si="278"/>
        <v/>
      </c>
      <c r="V4459" s="1" t="str">
        <f>_xlfn.XLOOKUP(C4459,Payers!$A$2:$A$9,Payers!$B$2:$B$9)</f>
        <v>Self-Pay</v>
      </c>
      <c r="W4459" s="1" t="str">
        <f t="shared" si="279"/>
        <v>2026-06</v>
      </c>
    </row>
    <row r="4460" spans="1:23">
      <c r="A4460" s="1" t="s">
        <v>7028</v>
      </c>
      <c r="B4460" s="1" t="s">
        <v>5596</v>
      </c>
      <c r="C4460" s="1" t="s">
        <v>60</v>
      </c>
      <c r="D4460" s="1" t="s">
        <v>30</v>
      </c>
      <c r="E4460" s="1" t="s">
        <v>91</v>
      </c>
      <c r="F4460">
        <v>1</v>
      </c>
      <c r="G4460" s="2">
        <v>46227</v>
      </c>
      <c r="H4460" s="2">
        <v>46240</v>
      </c>
      <c r="I4460">
        <v>57.17</v>
      </c>
      <c r="M4460" s="1" t="s">
        <v>32</v>
      </c>
      <c r="N4460" s="1" t="s">
        <v>124</v>
      </c>
      <c r="O4460" s="2">
        <v>46272</v>
      </c>
      <c r="P4460" s="2"/>
      <c r="Q4460">
        <f>_xlfn.XLOOKUP(E4460,CPT!$A$2:$A$13,CPT!$D$2:$D$13)</f>
        <v>58</v>
      </c>
      <c r="R4460" s="1">
        <f>_xlfn.XLOOKUP(C4460,Contract!$A$2:$A$9,Contract!$B$2:$B$9)</f>
        <v>0.45</v>
      </c>
      <c r="S4460" s="1">
        <f t="shared" si="276"/>
        <v>26.1</v>
      </c>
      <c r="T4460" s="1" t="str">
        <f t="shared" si="277"/>
        <v/>
      </c>
      <c r="U4460" s="1" t="str">
        <f t="shared" si="278"/>
        <v/>
      </c>
      <c r="V4460" s="1" t="str">
        <f>_xlfn.XLOOKUP(C4460,Payers!$A$2:$A$9,Payers!$B$2:$B$9)</f>
        <v>Blue Horizon Commercial</v>
      </c>
      <c r="W4460" s="1" t="str">
        <f t="shared" si="279"/>
        <v>2026-07</v>
      </c>
    </row>
    <row r="4461" spans="1:23">
      <c r="A4461" s="1" t="s">
        <v>7029</v>
      </c>
      <c r="B4461" s="1" t="s">
        <v>2981</v>
      </c>
      <c r="C4461" s="1" t="s">
        <v>76</v>
      </c>
      <c r="D4461" s="1" t="s">
        <v>26</v>
      </c>
      <c r="E4461" s="1" t="s">
        <v>113</v>
      </c>
      <c r="F4461">
        <v>1</v>
      </c>
      <c r="G4461" s="2">
        <v>46053</v>
      </c>
      <c r="H4461" s="2">
        <v>46055</v>
      </c>
      <c r="I4461">
        <v>1062.1099999999999</v>
      </c>
      <c r="J4461">
        <v>464.22</v>
      </c>
      <c r="K4461">
        <v>417.8</v>
      </c>
      <c r="L4461">
        <v>46.42</v>
      </c>
      <c r="M4461" s="1" t="s">
        <v>21</v>
      </c>
      <c r="N4461" s="1" t="s">
        <v>22</v>
      </c>
      <c r="O4461" s="2">
        <v>46094</v>
      </c>
      <c r="P4461" s="2">
        <v>46094</v>
      </c>
      <c r="Q4461">
        <f>_xlfn.XLOOKUP(E4461,CPT!$A$2:$A$13,CPT!$D$2:$D$13)</f>
        <v>1050</v>
      </c>
      <c r="R4461" s="1">
        <f>_xlfn.XLOOKUP(C4461,Contract!$A$2:$A$9,Contract!$B$2:$B$9)</f>
        <v>0.43</v>
      </c>
      <c r="S4461" s="1">
        <f t="shared" si="276"/>
        <v>451.5</v>
      </c>
      <c r="T4461" s="1">
        <f t="shared" si="277"/>
        <v>-12.720000000000027</v>
      </c>
      <c r="U4461" s="1" t="str">
        <f t="shared" si="278"/>
        <v>OK</v>
      </c>
      <c r="V4461" s="1" t="str">
        <f>_xlfn.XLOOKUP(C4461,Payers!$A$2:$A$9,Payers!$B$2:$B$9)</f>
        <v>Summit Health Commercial</v>
      </c>
      <c r="W4461" s="1" t="str">
        <f t="shared" si="279"/>
        <v>2026-01</v>
      </c>
    </row>
    <row r="4462" spans="1:23">
      <c r="A4462" s="1" t="s">
        <v>7030</v>
      </c>
      <c r="B4462" s="1" t="s">
        <v>7031</v>
      </c>
      <c r="C4462" s="1" t="s">
        <v>25</v>
      </c>
      <c r="D4462" s="1" t="s">
        <v>30</v>
      </c>
      <c r="E4462" s="1" t="s">
        <v>20</v>
      </c>
      <c r="F4462">
        <v>1</v>
      </c>
      <c r="G4462" s="2">
        <v>46049</v>
      </c>
      <c r="H4462" s="2">
        <v>46055</v>
      </c>
      <c r="I4462">
        <v>141.5</v>
      </c>
      <c r="J4462">
        <v>49.7</v>
      </c>
      <c r="K4462">
        <v>39.76</v>
      </c>
      <c r="L4462">
        <v>9.94</v>
      </c>
      <c r="M4462" s="1" t="s">
        <v>21</v>
      </c>
      <c r="N4462" s="1" t="s">
        <v>22</v>
      </c>
      <c r="O4462" s="2">
        <v>46077</v>
      </c>
      <c r="P4462" s="2">
        <v>46077</v>
      </c>
      <c r="Q4462">
        <f>_xlfn.XLOOKUP(E4462,CPT!$A$2:$A$13,CPT!$D$2:$D$13)</f>
        <v>145</v>
      </c>
      <c r="R4462" s="1">
        <f>_xlfn.XLOOKUP(C4462,Contract!$A$2:$A$9,Contract!$B$2:$B$9)</f>
        <v>0.36</v>
      </c>
      <c r="S4462" s="1">
        <f t="shared" si="276"/>
        <v>52.2</v>
      </c>
      <c r="T4462" s="1">
        <f t="shared" si="277"/>
        <v>2.5</v>
      </c>
      <c r="U4462" s="1" t="str">
        <f t="shared" si="278"/>
        <v>OK</v>
      </c>
      <c r="V4462" s="1" t="str">
        <f>_xlfn.XLOOKUP(C4462,Payers!$A$2:$A$9,Payers!$B$2:$B$9)</f>
        <v>Medicare Part B</v>
      </c>
      <c r="W4462" s="1" t="str">
        <f t="shared" si="279"/>
        <v>2026-01</v>
      </c>
    </row>
    <row r="4463" spans="1:23">
      <c r="A4463" s="1" t="s">
        <v>7032</v>
      </c>
      <c r="B4463" s="1" t="s">
        <v>1843</v>
      </c>
      <c r="C4463" s="1" t="s">
        <v>79</v>
      </c>
      <c r="D4463" s="1" t="s">
        <v>19</v>
      </c>
      <c r="E4463" s="1" t="s">
        <v>57</v>
      </c>
      <c r="F4463">
        <v>1</v>
      </c>
      <c r="G4463" s="2">
        <v>46008</v>
      </c>
      <c r="H4463" s="2">
        <v>46022</v>
      </c>
      <c r="I4463">
        <v>213.85</v>
      </c>
      <c r="J4463">
        <v>213.85</v>
      </c>
      <c r="K4463">
        <v>213.85</v>
      </c>
      <c r="L4463">
        <v>0</v>
      </c>
      <c r="M4463" s="1" t="s">
        <v>21</v>
      </c>
      <c r="N4463" s="1" t="s">
        <v>22</v>
      </c>
      <c r="O4463" s="2">
        <v>46123</v>
      </c>
      <c r="P4463" s="2">
        <v>46123</v>
      </c>
      <c r="Q4463">
        <f>_xlfn.XLOOKUP(E4463,CPT!$A$2:$A$13,CPT!$D$2:$D$13)</f>
        <v>210</v>
      </c>
      <c r="R4463" s="1">
        <f>_xlfn.XLOOKUP(C4463,Contract!$A$2:$A$9,Contract!$B$2:$B$9)</f>
        <v>1</v>
      </c>
      <c r="S4463" s="1">
        <f t="shared" si="276"/>
        <v>210</v>
      </c>
      <c r="T4463" s="1">
        <f t="shared" si="277"/>
        <v>-3.8499999999999943</v>
      </c>
      <c r="U4463" s="1" t="str">
        <f t="shared" si="278"/>
        <v>OK</v>
      </c>
      <c r="V4463" s="1" t="str">
        <f>_xlfn.XLOOKUP(C4463,Payers!$A$2:$A$9,Payers!$B$2:$B$9)</f>
        <v>Self-Pay</v>
      </c>
      <c r="W4463" s="1" t="str">
        <f t="shared" si="279"/>
        <v>2025-12</v>
      </c>
    </row>
    <row r="4464" spans="1:23">
      <c r="A4464" s="1" t="s">
        <v>7033</v>
      </c>
      <c r="B4464" s="1" t="s">
        <v>2253</v>
      </c>
      <c r="C4464" s="1" t="s">
        <v>76</v>
      </c>
      <c r="D4464" s="1" t="s">
        <v>26</v>
      </c>
      <c r="E4464" s="1" t="s">
        <v>185</v>
      </c>
      <c r="F4464">
        <v>1</v>
      </c>
      <c r="G4464" s="2">
        <v>46201</v>
      </c>
      <c r="H4464" s="2">
        <v>46204</v>
      </c>
      <c r="I4464">
        <v>1162.21</v>
      </c>
      <c r="M4464" s="1" t="s">
        <v>32</v>
      </c>
      <c r="N4464" s="1" t="s">
        <v>49</v>
      </c>
      <c r="O4464" s="2">
        <v>46221</v>
      </c>
      <c r="P4464" s="2"/>
      <c r="Q4464">
        <f>_xlfn.XLOOKUP(E4464,CPT!$A$2:$A$13,CPT!$D$2:$D$13)</f>
        <v>1150</v>
      </c>
      <c r="R4464" s="1">
        <f>_xlfn.XLOOKUP(C4464,Contract!$A$2:$A$9,Contract!$B$2:$B$9)</f>
        <v>0.43</v>
      </c>
      <c r="S4464" s="1">
        <f t="shared" si="276"/>
        <v>494.5</v>
      </c>
      <c r="T4464" s="1" t="str">
        <f t="shared" si="277"/>
        <v/>
      </c>
      <c r="U4464" s="1" t="str">
        <f t="shared" si="278"/>
        <v/>
      </c>
      <c r="V4464" s="1" t="str">
        <f>_xlfn.XLOOKUP(C4464,Payers!$A$2:$A$9,Payers!$B$2:$B$9)</f>
        <v>Summit Health Commercial</v>
      </c>
      <c r="W4464" s="1" t="str">
        <f t="shared" si="279"/>
        <v>2026-06</v>
      </c>
    </row>
    <row r="4465" spans="1:23">
      <c r="A4465" s="1" t="s">
        <v>7034</v>
      </c>
      <c r="B4465" s="1" t="s">
        <v>7035</v>
      </c>
      <c r="C4465" s="1" t="s">
        <v>25</v>
      </c>
      <c r="D4465" s="1" t="s">
        <v>26</v>
      </c>
      <c r="E4465" s="1" t="s">
        <v>44</v>
      </c>
      <c r="F4465">
        <v>1</v>
      </c>
      <c r="G4465" s="2">
        <v>46034</v>
      </c>
      <c r="H4465" s="2">
        <v>46035</v>
      </c>
      <c r="I4465">
        <v>4726.78</v>
      </c>
      <c r="J4465">
        <v>1673.11</v>
      </c>
      <c r="K4465">
        <v>1338.49</v>
      </c>
      <c r="L4465">
        <v>334.62</v>
      </c>
      <c r="M4465" s="1" t="s">
        <v>21</v>
      </c>
      <c r="N4465" s="1" t="s">
        <v>22</v>
      </c>
      <c r="O4465" s="2">
        <v>46047</v>
      </c>
      <c r="P4465" s="2">
        <v>46047</v>
      </c>
      <c r="Q4465">
        <f>_xlfn.XLOOKUP(E4465,CPT!$A$2:$A$13,CPT!$D$2:$D$13)</f>
        <v>4800</v>
      </c>
      <c r="R4465" s="1">
        <f>_xlfn.XLOOKUP(C4465,Contract!$A$2:$A$9,Contract!$B$2:$B$9)</f>
        <v>0.36</v>
      </c>
      <c r="S4465" s="1">
        <f t="shared" si="276"/>
        <v>1728</v>
      </c>
      <c r="T4465" s="1">
        <f t="shared" si="277"/>
        <v>54.8900000000001</v>
      </c>
      <c r="U4465" s="1" t="str">
        <f t="shared" si="278"/>
        <v>OK</v>
      </c>
      <c r="V4465" s="1" t="str">
        <f>_xlfn.XLOOKUP(C4465,Payers!$A$2:$A$9,Payers!$B$2:$B$9)</f>
        <v>Medicare Part B</v>
      </c>
      <c r="W4465" s="1" t="str">
        <f t="shared" si="279"/>
        <v>2026-01</v>
      </c>
    </row>
    <row r="4466" spans="1:23">
      <c r="A4466" s="1" t="s">
        <v>7036</v>
      </c>
      <c r="B4466" s="1" t="s">
        <v>4798</v>
      </c>
      <c r="C4466" s="1" t="s">
        <v>52</v>
      </c>
      <c r="D4466" s="1" t="s">
        <v>19</v>
      </c>
      <c r="E4466" s="1" t="s">
        <v>41</v>
      </c>
      <c r="F4466">
        <v>1</v>
      </c>
      <c r="G4466" s="2">
        <v>46202</v>
      </c>
      <c r="H4466" s="2">
        <v>46205</v>
      </c>
      <c r="I4466">
        <v>37.200000000000003</v>
      </c>
      <c r="J4466">
        <v>15.99</v>
      </c>
      <c r="K4466">
        <v>15.99</v>
      </c>
      <c r="L4466">
        <v>0</v>
      </c>
      <c r="M4466" s="1" t="s">
        <v>21</v>
      </c>
      <c r="N4466" s="1" t="s">
        <v>22</v>
      </c>
      <c r="O4466" s="2">
        <v>46259</v>
      </c>
      <c r="P4466" s="2">
        <v>46259</v>
      </c>
      <c r="Q4466">
        <f>_xlfn.XLOOKUP(E4466,CPT!$A$2:$A$13,CPT!$D$2:$D$13)</f>
        <v>38</v>
      </c>
      <c r="R4466" s="1">
        <f>_xlfn.XLOOKUP(C4466,Contract!$A$2:$A$9,Contract!$B$2:$B$9)</f>
        <v>0.47</v>
      </c>
      <c r="S4466" s="1">
        <f t="shared" si="276"/>
        <v>17.86</v>
      </c>
      <c r="T4466" s="1">
        <f t="shared" si="277"/>
        <v>1.8699999999999992</v>
      </c>
      <c r="U4466" s="1" t="str">
        <f t="shared" si="278"/>
        <v>Underpaid</v>
      </c>
      <c r="V4466" s="1" t="str">
        <f>_xlfn.XLOOKUP(C4466,Payers!$A$2:$A$9,Payers!$B$2:$B$9)</f>
        <v>Keystone Commercial PPO</v>
      </c>
      <c r="W4466" s="1" t="str">
        <f t="shared" si="279"/>
        <v>2026-06</v>
      </c>
    </row>
    <row r="4467" spans="1:23">
      <c r="A4467" s="1" t="s">
        <v>7037</v>
      </c>
      <c r="B4467" s="1" t="s">
        <v>1085</v>
      </c>
      <c r="C4467" s="1" t="s">
        <v>76</v>
      </c>
      <c r="D4467" s="1" t="s">
        <v>19</v>
      </c>
      <c r="E4467" s="1" t="s">
        <v>57</v>
      </c>
      <c r="F4467">
        <v>1</v>
      </c>
      <c r="G4467" s="2">
        <v>45950</v>
      </c>
      <c r="H4467" s="2">
        <v>45958</v>
      </c>
      <c r="I4467">
        <v>209.89</v>
      </c>
      <c r="J4467">
        <v>95.61</v>
      </c>
      <c r="K4467">
        <v>95.61</v>
      </c>
      <c r="L4467">
        <v>0</v>
      </c>
      <c r="M4467" s="1" t="s">
        <v>21</v>
      </c>
      <c r="N4467" s="1" t="s">
        <v>22</v>
      </c>
      <c r="O4467" s="2">
        <v>45982</v>
      </c>
      <c r="P4467" s="2">
        <v>45982</v>
      </c>
      <c r="Q4467">
        <f>_xlfn.XLOOKUP(E4467,CPT!$A$2:$A$13,CPT!$D$2:$D$13)</f>
        <v>210</v>
      </c>
      <c r="R4467" s="1">
        <f>_xlfn.XLOOKUP(C4467,Contract!$A$2:$A$9,Contract!$B$2:$B$9)</f>
        <v>0.43</v>
      </c>
      <c r="S4467" s="1">
        <f t="shared" si="276"/>
        <v>90.3</v>
      </c>
      <c r="T4467" s="1">
        <f t="shared" si="277"/>
        <v>-5.3100000000000023</v>
      </c>
      <c r="U4467" s="1" t="str">
        <f t="shared" si="278"/>
        <v>OK</v>
      </c>
      <c r="V4467" s="1" t="str">
        <f>_xlfn.XLOOKUP(C4467,Payers!$A$2:$A$9,Payers!$B$2:$B$9)</f>
        <v>Summit Health Commercial</v>
      </c>
      <c r="W4467" s="1" t="str">
        <f t="shared" si="279"/>
        <v>2025-10</v>
      </c>
    </row>
    <row r="4468" spans="1:23">
      <c r="A4468" s="1" t="s">
        <v>7038</v>
      </c>
      <c r="B4468" s="1" t="s">
        <v>7004</v>
      </c>
      <c r="C4468" s="1" t="s">
        <v>60</v>
      </c>
      <c r="D4468" s="1" t="s">
        <v>19</v>
      </c>
      <c r="E4468" s="1" t="s">
        <v>41</v>
      </c>
      <c r="F4468">
        <v>1</v>
      </c>
      <c r="G4468" s="2">
        <v>46254</v>
      </c>
      <c r="H4468" s="2">
        <v>46255</v>
      </c>
      <c r="I4468">
        <v>37.68</v>
      </c>
      <c r="J4468">
        <v>14.45</v>
      </c>
      <c r="K4468">
        <v>11.56</v>
      </c>
      <c r="L4468">
        <v>2.89</v>
      </c>
      <c r="M4468" s="1" t="s">
        <v>21</v>
      </c>
      <c r="N4468" s="1" t="s">
        <v>22</v>
      </c>
      <c r="O4468" s="2">
        <v>46289</v>
      </c>
      <c r="P4468" s="2">
        <v>46289</v>
      </c>
      <c r="Q4468">
        <f>_xlfn.XLOOKUP(E4468,CPT!$A$2:$A$13,CPT!$D$2:$D$13)</f>
        <v>38</v>
      </c>
      <c r="R4468" s="1">
        <f>_xlfn.XLOOKUP(C4468,Contract!$A$2:$A$9,Contract!$B$2:$B$9)</f>
        <v>0.45</v>
      </c>
      <c r="S4468" s="1">
        <f t="shared" si="276"/>
        <v>17.100000000000001</v>
      </c>
      <c r="T4468" s="1">
        <f t="shared" si="277"/>
        <v>2.6500000000000021</v>
      </c>
      <c r="U4468" s="1" t="str">
        <f t="shared" si="278"/>
        <v>Underpaid</v>
      </c>
      <c r="V4468" s="1" t="str">
        <f>_xlfn.XLOOKUP(C4468,Payers!$A$2:$A$9,Payers!$B$2:$B$9)</f>
        <v>Blue Horizon Commercial</v>
      </c>
      <c r="W4468" s="1" t="str">
        <f t="shared" si="279"/>
        <v>2026-08</v>
      </c>
    </row>
    <row r="4469" spans="1:23">
      <c r="A4469" s="1" t="s">
        <v>7039</v>
      </c>
      <c r="B4469" s="1" t="s">
        <v>7040</v>
      </c>
      <c r="C4469" s="1" t="s">
        <v>47</v>
      </c>
      <c r="D4469" s="1" t="s">
        <v>37</v>
      </c>
      <c r="E4469" s="1" t="s">
        <v>38</v>
      </c>
      <c r="F4469">
        <v>20</v>
      </c>
      <c r="G4469" s="2">
        <v>46021</v>
      </c>
      <c r="H4469" s="2">
        <v>46024</v>
      </c>
      <c r="I4469">
        <v>28230.07</v>
      </c>
      <c r="M4469" s="1" t="s">
        <v>32</v>
      </c>
      <c r="N4469" s="1" t="s">
        <v>33</v>
      </c>
      <c r="O4469" s="2">
        <v>46079</v>
      </c>
      <c r="P4469" s="2"/>
      <c r="Q4469">
        <f>_xlfn.XLOOKUP(E4469,CPT!$A$2:$A$13,CPT!$D$2:$D$13)</f>
        <v>1450</v>
      </c>
      <c r="R4469" s="1">
        <f>_xlfn.XLOOKUP(C4469,Contract!$A$2:$A$9,Contract!$B$2:$B$9)</f>
        <v>0.28000000000000003</v>
      </c>
      <c r="S4469" s="1">
        <f t="shared" si="276"/>
        <v>8120</v>
      </c>
      <c r="T4469" s="1" t="str">
        <f t="shared" si="277"/>
        <v/>
      </c>
      <c r="U4469" s="1" t="str">
        <f t="shared" si="278"/>
        <v/>
      </c>
      <c r="V4469" s="1" t="str">
        <f>_xlfn.XLOOKUP(C4469,Payers!$A$2:$A$9,Payers!$B$2:$B$9)</f>
        <v>Coastal Medicaid MCO</v>
      </c>
      <c r="W4469" s="1" t="str">
        <f t="shared" si="279"/>
        <v>2025-12</v>
      </c>
    </row>
    <row r="4470" spans="1:23">
      <c r="A4470" s="1" t="s">
        <v>7041</v>
      </c>
      <c r="B4470" s="1" t="s">
        <v>6688</v>
      </c>
      <c r="C4470" s="1" t="s">
        <v>52</v>
      </c>
      <c r="D4470" s="1" t="s">
        <v>19</v>
      </c>
      <c r="E4470" s="1" t="s">
        <v>41</v>
      </c>
      <c r="F4470">
        <v>1</v>
      </c>
      <c r="G4470" s="2">
        <v>46158</v>
      </c>
      <c r="H4470" s="2">
        <v>46162</v>
      </c>
      <c r="I4470">
        <v>38.700000000000003</v>
      </c>
      <c r="J4470">
        <v>17.96</v>
      </c>
      <c r="K4470">
        <v>14.37</v>
      </c>
      <c r="L4470">
        <v>3.59</v>
      </c>
      <c r="M4470" s="1" t="s">
        <v>21</v>
      </c>
      <c r="N4470" s="1" t="s">
        <v>22</v>
      </c>
      <c r="O4470" s="2">
        <v>46202</v>
      </c>
      <c r="P4470" s="2">
        <v>46202</v>
      </c>
      <c r="Q4470">
        <f>_xlfn.XLOOKUP(E4470,CPT!$A$2:$A$13,CPT!$D$2:$D$13)</f>
        <v>38</v>
      </c>
      <c r="R4470" s="1">
        <f>_xlfn.XLOOKUP(C4470,Contract!$A$2:$A$9,Contract!$B$2:$B$9)</f>
        <v>0.47</v>
      </c>
      <c r="S4470" s="1">
        <f t="shared" si="276"/>
        <v>17.86</v>
      </c>
      <c r="T4470" s="1">
        <f t="shared" si="277"/>
        <v>-0.10000000000000142</v>
      </c>
      <c r="U4470" s="1" t="str">
        <f t="shared" si="278"/>
        <v>OK</v>
      </c>
      <c r="V4470" s="1" t="str">
        <f>_xlfn.XLOOKUP(C4470,Payers!$A$2:$A$9,Payers!$B$2:$B$9)</f>
        <v>Keystone Commercial PPO</v>
      </c>
      <c r="W4470" s="1" t="str">
        <f t="shared" si="279"/>
        <v>2026-05</v>
      </c>
    </row>
    <row r="4471" spans="1:23">
      <c r="A4471" s="1" t="s">
        <v>7042</v>
      </c>
      <c r="B4471" s="1" t="s">
        <v>7043</v>
      </c>
      <c r="C4471" s="1" t="s">
        <v>79</v>
      </c>
      <c r="D4471" s="1" t="s">
        <v>19</v>
      </c>
      <c r="E4471" s="1" t="s">
        <v>20</v>
      </c>
      <c r="F4471">
        <v>1</v>
      </c>
      <c r="G4471" s="2">
        <v>45954</v>
      </c>
      <c r="H4471" s="2">
        <v>45958</v>
      </c>
      <c r="I4471">
        <v>143.77000000000001</v>
      </c>
      <c r="M4471" s="1" t="s">
        <v>69</v>
      </c>
      <c r="N4471" s="1" t="s">
        <v>22</v>
      </c>
      <c r="O4471" s="2"/>
      <c r="P4471" s="2"/>
      <c r="Q4471">
        <f>_xlfn.XLOOKUP(E4471,CPT!$A$2:$A$13,CPT!$D$2:$D$13)</f>
        <v>145</v>
      </c>
      <c r="R4471" s="1">
        <f>_xlfn.XLOOKUP(C4471,Contract!$A$2:$A$9,Contract!$B$2:$B$9)</f>
        <v>1</v>
      </c>
      <c r="S4471" s="1">
        <f t="shared" si="276"/>
        <v>145</v>
      </c>
      <c r="T4471" s="1" t="str">
        <f t="shared" si="277"/>
        <v/>
      </c>
      <c r="U4471" s="1" t="str">
        <f t="shared" si="278"/>
        <v/>
      </c>
      <c r="V4471" s="1" t="str">
        <f>_xlfn.XLOOKUP(C4471,Payers!$A$2:$A$9,Payers!$B$2:$B$9)</f>
        <v>Self-Pay</v>
      </c>
      <c r="W4471" s="1" t="str">
        <f t="shared" si="279"/>
        <v>2025-10</v>
      </c>
    </row>
    <row r="4472" spans="1:23">
      <c r="A4472" s="1" t="s">
        <v>7044</v>
      </c>
      <c r="B4472" s="1" t="s">
        <v>2454</v>
      </c>
      <c r="C4472" s="1" t="s">
        <v>60</v>
      </c>
      <c r="D4472" s="1" t="s">
        <v>19</v>
      </c>
      <c r="E4472" s="1" t="s">
        <v>57</v>
      </c>
      <c r="F4472">
        <v>1</v>
      </c>
      <c r="G4472" s="2">
        <v>46116</v>
      </c>
      <c r="H4472" s="2">
        <v>46119</v>
      </c>
      <c r="I4472">
        <v>206.42</v>
      </c>
      <c r="M4472" s="1" t="s">
        <v>32</v>
      </c>
      <c r="N4472" s="1" t="s">
        <v>124</v>
      </c>
      <c r="O4472" s="2">
        <v>46149</v>
      </c>
      <c r="P4472" s="2"/>
      <c r="Q4472">
        <f>_xlfn.XLOOKUP(E4472,CPT!$A$2:$A$13,CPT!$D$2:$D$13)</f>
        <v>210</v>
      </c>
      <c r="R4472" s="1">
        <f>_xlfn.XLOOKUP(C4472,Contract!$A$2:$A$9,Contract!$B$2:$B$9)</f>
        <v>0.45</v>
      </c>
      <c r="S4472" s="1">
        <f t="shared" si="276"/>
        <v>94.5</v>
      </c>
      <c r="T4472" s="1" t="str">
        <f t="shared" si="277"/>
        <v/>
      </c>
      <c r="U4472" s="1" t="str">
        <f t="shared" si="278"/>
        <v/>
      </c>
      <c r="V4472" s="1" t="str">
        <f>_xlfn.XLOOKUP(C4472,Payers!$A$2:$A$9,Payers!$B$2:$B$9)</f>
        <v>Blue Horizon Commercial</v>
      </c>
      <c r="W4472" s="1" t="str">
        <f t="shared" si="279"/>
        <v>2026-04</v>
      </c>
    </row>
    <row r="4473" spans="1:23">
      <c r="A4473" s="1" t="s">
        <v>7045</v>
      </c>
      <c r="B4473" s="1" t="s">
        <v>5481</v>
      </c>
      <c r="C4473" s="1" t="s">
        <v>60</v>
      </c>
      <c r="D4473" s="1" t="s">
        <v>37</v>
      </c>
      <c r="E4473" s="1" t="s">
        <v>48</v>
      </c>
      <c r="F4473">
        <v>1</v>
      </c>
      <c r="G4473" s="2">
        <v>46110</v>
      </c>
      <c r="H4473" s="2">
        <v>46114</v>
      </c>
      <c r="I4473">
        <v>410.14</v>
      </c>
      <c r="J4473">
        <v>162.22999999999999</v>
      </c>
      <c r="K4473">
        <v>129.78</v>
      </c>
      <c r="L4473">
        <v>32.450000000000003</v>
      </c>
      <c r="M4473" s="1" t="s">
        <v>21</v>
      </c>
      <c r="N4473" s="1" t="s">
        <v>22</v>
      </c>
      <c r="O4473" s="2">
        <v>46145</v>
      </c>
      <c r="P4473" s="2">
        <v>46145</v>
      </c>
      <c r="Q4473">
        <f>_xlfn.XLOOKUP(E4473,CPT!$A$2:$A$13,CPT!$D$2:$D$13)</f>
        <v>420</v>
      </c>
      <c r="R4473" s="1">
        <f>_xlfn.XLOOKUP(C4473,Contract!$A$2:$A$9,Contract!$B$2:$B$9)</f>
        <v>0.45</v>
      </c>
      <c r="S4473" s="1">
        <f t="shared" si="276"/>
        <v>189</v>
      </c>
      <c r="T4473" s="1">
        <f t="shared" si="277"/>
        <v>26.77000000000001</v>
      </c>
      <c r="U4473" s="1" t="str">
        <f t="shared" si="278"/>
        <v>Underpaid</v>
      </c>
      <c r="V4473" s="1" t="str">
        <f>_xlfn.XLOOKUP(C4473,Payers!$A$2:$A$9,Payers!$B$2:$B$9)</f>
        <v>Blue Horizon Commercial</v>
      </c>
      <c r="W4473" s="1" t="str">
        <f t="shared" si="279"/>
        <v>2026-03</v>
      </c>
    </row>
    <row r="4474" spans="1:23">
      <c r="A4474" s="1" t="s">
        <v>7046</v>
      </c>
      <c r="B4474" s="1" t="s">
        <v>1031</v>
      </c>
      <c r="C4474" s="1" t="s">
        <v>60</v>
      </c>
      <c r="D4474" s="1" t="s">
        <v>19</v>
      </c>
      <c r="E4474" s="1" t="s">
        <v>57</v>
      </c>
      <c r="F4474">
        <v>1</v>
      </c>
      <c r="G4474" s="2">
        <v>46085</v>
      </c>
      <c r="H4474" s="2">
        <v>46087</v>
      </c>
      <c r="I4474">
        <v>203.97</v>
      </c>
      <c r="J4474">
        <v>91</v>
      </c>
      <c r="K4474">
        <v>91</v>
      </c>
      <c r="L4474">
        <v>0</v>
      </c>
      <c r="M4474" s="1" t="s">
        <v>21</v>
      </c>
      <c r="N4474" s="1" t="s">
        <v>22</v>
      </c>
      <c r="O4474" s="2">
        <v>46114</v>
      </c>
      <c r="P4474" s="2">
        <v>46114</v>
      </c>
      <c r="Q4474">
        <f>_xlfn.XLOOKUP(E4474,CPT!$A$2:$A$13,CPT!$D$2:$D$13)</f>
        <v>210</v>
      </c>
      <c r="R4474" s="1">
        <f>_xlfn.XLOOKUP(C4474,Contract!$A$2:$A$9,Contract!$B$2:$B$9)</f>
        <v>0.45</v>
      </c>
      <c r="S4474" s="1">
        <f t="shared" si="276"/>
        <v>94.5</v>
      </c>
      <c r="T4474" s="1">
        <f t="shared" si="277"/>
        <v>3.5</v>
      </c>
      <c r="U4474" s="1" t="str">
        <f t="shared" si="278"/>
        <v>OK</v>
      </c>
      <c r="V4474" s="1" t="str">
        <f>_xlfn.XLOOKUP(C4474,Payers!$A$2:$A$9,Payers!$B$2:$B$9)</f>
        <v>Blue Horizon Commercial</v>
      </c>
      <c r="W4474" s="1" t="str">
        <f t="shared" si="279"/>
        <v>2026-03</v>
      </c>
    </row>
    <row r="4475" spans="1:23">
      <c r="A4475" s="1" t="s">
        <v>7047</v>
      </c>
      <c r="B4475" s="1" t="s">
        <v>4714</v>
      </c>
      <c r="C4475" s="1" t="s">
        <v>18</v>
      </c>
      <c r="D4475" s="1" t="s">
        <v>19</v>
      </c>
      <c r="E4475" s="1" t="s">
        <v>41</v>
      </c>
      <c r="F4475">
        <v>1</v>
      </c>
      <c r="G4475" s="2">
        <v>46134</v>
      </c>
      <c r="H4475" s="2">
        <v>46137</v>
      </c>
      <c r="I4475">
        <v>38.369999999999997</v>
      </c>
      <c r="M4475" s="1" t="s">
        <v>32</v>
      </c>
      <c r="N4475" s="1" t="s">
        <v>124</v>
      </c>
      <c r="O4475" s="2">
        <v>46204</v>
      </c>
      <c r="P4475" s="2"/>
      <c r="Q4475">
        <f>_xlfn.XLOOKUP(E4475,CPT!$A$2:$A$13,CPT!$D$2:$D$13)</f>
        <v>38</v>
      </c>
      <c r="R4475" s="1">
        <f>_xlfn.XLOOKUP(C4475,Contract!$A$2:$A$9,Contract!$B$2:$B$9)</f>
        <v>0.38</v>
      </c>
      <c r="S4475" s="1">
        <f t="shared" si="276"/>
        <v>14.44</v>
      </c>
      <c r="T4475" s="1" t="str">
        <f t="shared" si="277"/>
        <v/>
      </c>
      <c r="U4475" s="1" t="str">
        <f t="shared" si="278"/>
        <v/>
      </c>
      <c r="V4475" s="1" t="str">
        <f>_xlfn.XLOOKUP(C4475,Payers!$A$2:$A$9,Payers!$B$2:$B$9)</f>
        <v>Sunshine Medicare Advantage</v>
      </c>
      <c r="W4475" s="1" t="str">
        <f t="shared" si="279"/>
        <v>2026-04</v>
      </c>
    </row>
    <row r="4476" spans="1:23">
      <c r="A4476" s="1" t="s">
        <v>7048</v>
      </c>
      <c r="B4476" s="1" t="s">
        <v>5378</v>
      </c>
      <c r="C4476" s="1" t="s">
        <v>25</v>
      </c>
      <c r="D4476" s="1" t="s">
        <v>30</v>
      </c>
      <c r="E4476" s="1" t="s">
        <v>20</v>
      </c>
      <c r="F4476">
        <v>1</v>
      </c>
      <c r="G4476" s="2">
        <v>46286</v>
      </c>
      <c r="H4476" s="2">
        <v>46292</v>
      </c>
      <c r="I4476">
        <v>143.74</v>
      </c>
      <c r="M4476" s="1" t="s">
        <v>69</v>
      </c>
      <c r="N4476" s="1" t="s">
        <v>22</v>
      </c>
      <c r="O4476" s="2"/>
      <c r="P4476" s="2"/>
      <c r="Q4476">
        <f>_xlfn.XLOOKUP(E4476,CPT!$A$2:$A$13,CPT!$D$2:$D$13)</f>
        <v>145</v>
      </c>
      <c r="R4476" s="1">
        <f>_xlfn.XLOOKUP(C4476,Contract!$A$2:$A$9,Contract!$B$2:$B$9)</f>
        <v>0.36</v>
      </c>
      <c r="S4476" s="1">
        <f t="shared" si="276"/>
        <v>52.2</v>
      </c>
      <c r="T4476" s="1" t="str">
        <f t="shared" si="277"/>
        <v/>
      </c>
      <c r="U4476" s="1" t="str">
        <f t="shared" si="278"/>
        <v/>
      </c>
      <c r="V4476" s="1" t="str">
        <f>_xlfn.XLOOKUP(C4476,Payers!$A$2:$A$9,Payers!$B$2:$B$9)</f>
        <v>Medicare Part B</v>
      </c>
      <c r="W4476" s="1" t="str">
        <f t="shared" si="279"/>
        <v>2026-09</v>
      </c>
    </row>
    <row r="4477" spans="1:23">
      <c r="A4477" s="1" t="s">
        <v>7049</v>
      </c>
      <c r="B4477" s="1" t="s">
        <v>4414</v>
      </c>
      <c r="C4477" s="1" t="s">
        <v>60</v>
      </c>
      <c r="D4477" s="1" t="s">
        <v>30</v>
      </c>
      <c r="E4477" s="1" t="s">
        <v>20</v>
      </c>
      <c r="F4477">
        <v>1</v>
      </c>
      <c r="G4477" s="2">
        <v>46288</v>
      </c>
      <c r="H4477" s="2">
        <v>46293</v>
      </c>
      <c r="I4477">
        <v>149.13999999999999</v>
      </c>
      <c r="M4477" s="1" t="s">
        <v>69</v>
      </c>
      <c r="N4477" s="1" t="s">
        <v>22</v>
      </c>
      <c r="O4477" s="2"/>
      <c r="P4477" s="2"/>
      <c r="Q4477">
        <f>_xlfn.XLOOKUP(E4477,CPT!$A$2:$A$13,CPT!$D$2:$D$13)</f>
        <v>145</v>
      </c>
      <c r="R4477" s="1">
        <f>_xlfn.XLOOKUP(C4477,Contract!$A$2:$A$9,Contract!$B$2:$B$9)</f>
        <v>0.45</v>
      </c>
      <c r="S4477" s="1">
        <f t="shared" si="276"/>
        <v>65.25</v>
      </c>
      <c r="T4477" s="1" t="str">
        <f t="shared" si="277"/>
        <v/>
      </c>
      <c r="U4477" s="1" t="str">
        <f t="shared" si="278"/>
        <v/>
      </c>
      <c r="V4477" s="1" t="str">
        <f>_xlfn.XLOOKUP(C4477,Payers!$A$2:$A$9,Payers!$B$2:$B$9)</f>
        <v>Blue Horizon Commercial</v>
      </c>
      <c r="W4477" s="1" t="str">
        <f t="shared" si="279"/>
        <v>2026-09</v>
      </c>
    </row>
    <row r="4478" spans="1:23">
      <c r="A4478" s="1" t="s">
        <v>7050</v>
      </c>
      <c r="B4478" s="1" t="s">
        <v>7051</v>
      </c>
      <c r="C4478" s="1" t="s">
        <v>25</v>
      </c>
      <c r="D4478" s="1" t="s">
        <v>26</v>
      </c>
      <c r="E4478" s="1" t="s">
        <v>185</v>
      </c>
      <c r="F4478">
        <v>1</v>
      </c>
      <c r="G4478" s="2">
        <v>46089</v>
      </c>
      <c r="H4478" s="2">
        <v>46092</v>
      </c>
      <c r="I4478">
        <v>1150.22</v>
      </c>
      <c r="J4478">
        <v>442.53</v>
      </c>
      <c r="K4478">
        <v>398.28</v>
      </c>
      <c r="L4478">
        <v>44.25</v>
      </c>
      <c r="M4478" s="1" t="s">
        <v>21</v>
      </c>
      <c r="N4478" s="1" t="s">
        <v>22</v>
      </c>
      <c r="O4478" s="2">
        <v>46105</v>
      </c>
      <c r="P4478" s="2">
        <v>46105</v>
      </c>
      <c r="Q4478">
        <f>_xlfn.XLOOKUP(E4478,CPT!$A$2:$A$13,CPT!$D$2:$D$13)</f>
        <v>1150</v>
      </c>
      <c r="R4478" s="1">
        <f>_xlfn.XLOOKUP(C4478,Contract!$A$2:$A$9,Contract!$B$2:$B$9)</f>
        <v>0.36</v>
      </c>
      <c r="S4478" s="1">
        <f t="shared" si="276"/>
        <v>414</v>
      </c>
      <c r="T4478" s="1">
        <f t="shared" si="277"/>
        <v>-28.529999999999973</v>
      </c>
      <c r="U4478" s="1" t="str">
        <f t="shared" si="278"/>
        <v>OK</v>
      </c>
      <c r="V4478" s="1" t="str">
        <f>_xlfn.XLOOKUP(C4478,Payers!$A$2:$A$9,Payers!$B$2:$B$9)</f>
        <v>Medicare Part B</v>
      </c>
      <c r="W4478" s="1" t="str">
        <f t="shared" si="279"/>
        <v>2026-03</v>
      </c>
    </row>
    <row r="4479" spans="1:23">
      <c r="A4479" s="1" t="s">
        <v>7052</v>
      </c>
      <c r="B4479" s="1" t="s">
        <v>3807</v>
      </c>
      <c r="C4479" s="1" t="s">
        <v>36</v>
      </c>
      <c r="D4479" s="1" t="s">
        <v>26</v>
      </c>
      <c r="E4479" s="1" t="s">
        <v>113</v>
      </c>
      <c r="F4479">
        <v>1</v>
      </c>
      <c r="G4479" s="2">
        <v>46247</v>
      </c>
      <c r="H4479" s="2">
        <v>46248</v>
      </c>
      <c r="I4479">
        <v>1054.1199999999999</v>
      </c>
      <c r="M4479" s="1" t="s">
        <v>32</v>
      </c>
      <c r="N4479" s="1" t="s">
        <v>49</v>
      </c>
      <c r="O4479" s="2">
        <v>46288</v>
      </c>
      <c r="P4479" s="2"/>
      <c r="Q4479">
        <f>_xlfn.XLOOKUP(E4479,CPT!$A$2:$A$13,CPT!$D$2:$D$13)</f>
        <v>1050</v>
      </c>
      <c r="R4479" s="1">
        <f>_xlfn.XLOOKUP(C4479,Contract!$A$2:$A$9,Contract!$B$2:$B$9)</f>
        <v>0.27</v>
      </c>
      <c r="S4479" s="1">
        <f t="shared" si="276"/>
        <v>283.5</v>
      </c>
      <c r="T4479" s="1" t="str">
        <f t="shared" si="277"/>
        <v/>
      </c>
      <c r="U4479" s="1" t="str">
        <f t="shared" si="278"/>
        <v/>
      </c>
      <c r="V4479" s="1" t="str">
        <f>_xlfn.XLOOKUP(C4479,Payers!$A$2:$A$9,Payers!$B$2:$B$9)</f>
        <v>Florida Medicaid</v>
      </c>
      <c r="W4479" s="1" t="str">
        <f t="shared" si="279"/>
        <v>2026-08</v>
      </c>
    </row>
    <row r="4480" spans="1:23">
      <c r="A4480" s="1" t="s">
        <v>7053</v>
      </c>
      <c r="B4480" s="1" t="s">
        <v>7054</v>
      </c>
      <c r="C4480" s="1" t="s">
        <v>18</v>
      </c>
      <c r="D4480" s="1" t="s">
        <v>19</v>
      </c>
      <c r="E4480" s="1" t="s">
        <v>20</v>
      </c>
      <c r="F4480">
        <v>1</v>
      </c>
      <c r="G4480" s="2">
        <v>46096</v>
      </c>
      <c r="H4480" s="2">
        <v>46098</v>
      </c>
      <c r="I4480">
        <v>148.78</v>
      </c>
      <c r="M4480" s="1" t="s">
        <v>32</v>
      </c>
      <c r="N4480" s="1" t="s">
        <v>33</v>
      </c>
      <c r="O4480" s="2">
        <v>46135</v>
      </c>
      <c r="P4480" s="2"/>
      <c r="Q4480">
        <f>_xlfn.XLOOKUP(E4480,CPT!$A$2:$A$13,CPT!$D$2:$D$13)</f>
        <v>145</v>
      </c>
      <c r="R4480" s="1">
        <f>_xlfn.XLOOKUP(C4480,Contract!$A$2:$A$9,Contract!$B$2:$B$9)</f>
        <v>0.38</v>
      </c>
      <c r="S4480" s="1">
        <f t="shared" si="276"/>
        <v>55.1</v>
      </c>
      <c r="T4480" s="1" t="str">
        <f t="shared" si="277"/>
        <v/>
      </c>
      <c r="U4480" s="1" t="str">
        <f t="shared" si="278"/>
        <v/>
      </c>
      <c r="V4480" s="1" t="str">
        <f>_xlfn.XLOOKUP(C4480,Payers!$A$2:$A$9,Payers!$B$2:$B$9)</f>
        <v>Sunshine Medicare Advantage</v>
      </c>
      <c r="W4480" s="1" t="str">
        <f t="shared" si="279"/>
        <v>2026-03</v>
      </c>
    </row>
    <row r="4481" spans="1:23">
      <c r="A4481" s="1" t="s">
        <v>7055</v>
      </c>
      <c r="B4481" s="1" t="s">
        <v>7056</v>
      </c>
      <c r="C4481" s="1" t="s">
        <v>36</v>
      </c>
      <c r="D4481" s="1" t="s">
        <v>19</v>
      </c>
      <c r="E4481" s="1" t="s">
        <v>41</v>
      </c>
      <c r="F4481">
        <v>1</v>
      </c>
      <c r="G4481" s="2">
        <v>46244</v>
      </c>
      <c r="H4481" s="2">
        <v>46253</v>
      </c>
      <c r="I4481">
        <v>37.93</v>
      </c>
      <c r="J4481">
        <v>10.44</v>
      </c>
      <c r="K4481">
        <v>10.44</v>
      </c>
      <c r="L4481">
        <v>0</v>
      </c>
      <c r="M4481" s="1" t="s">
        <v>21</v>
      </c>
      <c r="N4481" s="1" t="s">
        <v>22</v>
      </c>
      <c r="O4481" s="2">
        <v>46295</v>
      </c>
      <c r="P4481" s="2">
        <v>46295</v>
      </c>
      <c r="Q4481">
        <f>_xlfn.XLOOKUP(E4481,CPT!$A$2:$A$13,CPT!$D$2:$D$13)</f>
        <v>38</v>
      </c>
      <c r="R4481" s="1">
        <f>_xlfn.XLOOKUP(C4481,Contract!$A$2:$A$9,Contract!$B$2:$B$9)</f>
        <v>0.27</v>
      </c>
      <c r="S4481" s="1">
        <f t="shared" si="276"/>
        <v>10.26</v>
      </c>
      <c r="T4481" s="1">
        <f t="shared" si="277"/>
        <v>-0.17999999999999972</v>
      </c>
      <c r="U4481" s="1" t="str">
        <f t="shared" si="278"/>
        <v>OK</v>
      </c>
      <c r="V4481" s="1" t="str">
        <f>_xlfn.XLOOKUP(C4481,Payers!$A$2:$A$9,Payers!$B$2:$B$9)</f>
        <v>Florida Medicaid</v>
      </c>
      <c r="W4481" s="1" t="str">
        <f t="shared" si="279"/>
        <v>2026-08</v>
      </c>
    </row>
    <row r="4482" spans="1:23">
      <c r="A4482" s="1" t="s">
        <v>7057</v>
      </c>
      <c r="B4482" s="1" t="s">
        <v>3226</v>
      </c>
      <c r="C4482" s="1" t="s">
        <v>76</v>
      </c>
      <c r="D4482" s="1" t="s">
        <v>26</v>
      </c>
      <c r="E4482" s="1" t="s">
        <v>185</v>
      </c>
      <c r="F4482">
        <v>1</v>
      </c>
      <c r="G4482" s="2">
        <v>46214</v>
      </c>
      <c r="H4482" s="2">
        <v>46218</v>
      </c>
      <c r="I4482">
        <v>1141.54</v>
      </c>
      <c r="M4482" s="1" t="s">
        <v>32</v>
      </c>
      <c r="N4482" s="1" t="s">
        <v>124</v>
      </c>
      <c r="O4482" s="2">
        <v>46253</v>
      </c>
      <c r="P4482" s="2"/>
      <c r="Q4482">
        <f>_xlfn.XLOOKUP(E4482,CPT!$A$2:$A$13,CPT!$D$2:$D$13)</f>
        <v>1150</v>
      </c>
      <c r="R4482" s="1">
        <f>_xlfn.XLOOKUP(C4482,Contract!$A$2:$A$9,Contract!$B$2:$B$9)</f>
        <v>0.43</v>
      </c>
      <c r="S4482" s="1">
        <f t="shared" ref="S4482:S4545" si="280">ROUND(Q4482*F4482*R4482,2)</f>
        <v>494.5</v>
      </c>
      <c r="T4482" s="1" t="str">
        <f t="shared" ref="T4482:T4545" si="281">IF(M4482="Paid",S4482-J4482,"")</f>
        <v/>
      </c>
      <c r="U4482" s="1" t="str">
        <f t="shared" ref="U4482:U4545" si="282">IF(M4482&lt;&gt;"Paid","",IF(T4482&gt;S4482*0.05,"Underpaid","OK"))</f>
        <v/>
      </c>
      <c r="V4482" s="1" t="str">
        <f>_xlfn.XLOOKUP(C4482,Payers!$A$2:$A$9,Payers!$B$2:$B$9)</f>
        <v>Summit Health Commercial</v>
      </c>
      <c r="W4482" s="1" t="str">
        <f t="shared" ref="W4482:W4545" si="283">TEXT(G4482,"yyyy-mm")</f>
        <v>2026-07</v>
      </c>
    </row>
    <row r="4483" spans="1:23">
      <c r="A4483" s="1" t="s">
        <v>7058</v>
      </c>
      <c r="B4483" s="1" t="s">
        <v>7059</v>
      </c>
      <c r="C4483" s="1" t="s">
        <v>18</v>
      </c>
      <c r="D4483" s="1" t="s">
        <v>37</v>
      </c>
      <c r="E4483" s="1" t="s">
        <v>57</v>
      </c>
      <c r="F4483">
        <v>1</v>
      </c>
      <c r="G4483" s="2">
        <v>46109</v>
      </c>
      <c r="H4483" s="2">
        <v>46118</v>
      </c>
      <c r="I4483">
        <v>208.31</v>
      </c>
      <c r="J4483">
        <v>81.37</v>
      </c>
      <c r="K4483">
        <v>81.37</v>
      </c>
      <c r="L4483">
        <v>0</v>
      </c>
      <c r="M4483" s="1" t="s">
        <v>21</v>
      </c>
      <c r="N4483" s="1" t="s">
        <v>22</v>
      </c>
      <c r="O4483" s="2">
        <v>46163</v>
      </c>
      <c r="P4483" s="2">
        <v>46163</v>
      </c>
      <c r="Q4483">
        <f>_xlfn.XLOOKUP(E4483,CPT!$A$2:$A$13,CPT!$D$2:$D$13)</f>
        <v>210</v>
      </c>
      <c r="R4483" s="1">
        <f>_xlfn.XLOOKUP(C4483,Contract!$A$2:$A$9,Contract!$B$2:$B$9)</f>
        <v>0.38</v>
      </c>
      <c r="S4483" s="1">
        <f t="shared" si="280"/>
        <v>79.8</v>
      </c>
      <c r="T4483" s="1">
        <f t="shared" si="281"/>
        <v>-1.5700000000000074</v>
      </c>
      <c r="U4483" s="1" t="str">
        <f t="shared" si="282"/>
        <v>OK</v>
      </c>
      <c r="V4483" s="1" t="str">
        <f>_xlfn.XLOOKUP(C4483,Payers!$A$2:$A$9,Payers!$B$2:$B$9)</f>
        <v>Sunshine Medicare Advantage</v>
      </c>
      <c r="W4483" s="1" t="str">
        <f t="shared" si="283"/>
        <v>2026-03</v>
      </c>
    </row>
    <row r="4484" spans="1:23">
      <c r="A4484" s="1" t="s">
        <v>7060</v>
      </c>
      <c r="B4484" s="1" t="s">
        <v>1256</v>
      </c>
      <c r="C4484" s="1" t="s">
        <v>76</v>
      </c>
      <c r="D4484" s="1" t="s">
        <v>30</v>
      </c>
      <c r="E4484" s="1" t="s">
        <v>91</v>
      </c>
      <c r="F4484">
        <v>1</v>
      </c>
      <c r="G4484" s="2">
        <v>46154</v>
      </c>
      <c r="H4484" s="2">
        <v>46283</v>
      </c>
      <c r="I4484">
        <v>56.9</v>
      </c>
      <c r="M4484" s="1" t="s">
        <v>69</v>
      </c>
      <c r="N4484" s="1" t="s">
        <v>22</v>
      </c>
      <c r="O4484" s="2"/>
      <c r="P4484" s="2"/>
      <c r="Q4484">
        <f>_xlfn.XLOOKUP(E4484,CPT!$A$2:$A$13,CPT!$D$2:$D$13)</f>
        <v>58</v>
      </c>
      <c r="R4484" s="1">
        <f>_xlfn.XLOOKUP(C4484,Contract!$A$2:$A$9,Contract!$B$2:$B$9)</f>
        <v>0.43</v>
      </c>
      <c r="S4484" s="1">
        <f t="shared" si="280"/>
        <v>24.94</v>
      </c>
      <c r="T4484" s="1" t="str">
        <f t="shared" si="281"/>
        <v/>
      </c>
      <c r="U4484" s="1" t="str">
        <f t="shared" si="282"/>
        <v/>
      </c>
      <c r="V4484" s="1" t="str">
        <f>_xlfn.XLOOKUP(C4484,Payers!$A$2:$A$9,Payers!$B$2:$B$9)</f>
        <v>Summit Health Commercial</v>
      </c>
      <c r="W4484" s="1" t="str">
        <f t="shared" si="283"/>
        <v>2026-05</v>
      </c>
    </row>
    <row r="4485" spans="1:23">
      <c r="A4485" s="1" t="s">
        <v>7061</v>
      </c>
      <c r="B4485" s="1" t="s">
        <v>5162</v>
      </c>
      <c r="C4485" s="1" t="s">
        <v>76</v>
      </c>
      <c r="D4485" s="1" t="s">
        <v>37</v>
      </c>
      <c r="E4485" s="1" t="s">
        <v>57</v>
      </c>
      <c r="F4485">
        <v>1</v>
      </c>
      <c r="G4485" s="2">
        <v>45974</v>
      </c>
      <c r="H4485" s="2">
        <v>45977</v>
      </c>
      <c r="I4485">
        <v>215.17</v>
      </c>
      <c r="J4485">
        <v>83.65</v>
      </c>
      <c r="K4485">
        <v>83.65</v>
      </c>
      <c r="L4485">
        <v>0</v>
      </c>
      <c r="M4485" s="1" t="s">
        <v>21</v>
      </c>
      <c r="N4485" s="1" t="s">
        <v>22</v>
      </c>
      <c r="O4485" s="2">
        <v>46002</v>
      </c>
      <c r="P4485" s="2">
        <v>46002</v>
      </c>
      <c r="Q4485">
        <f>_xlfn.XLOOKUP(E4485,CPT!$A$2:$A$13,CPT!$D$2:$D$13)</f>
        <v>210</v>
      </c>
      <c r="R4485" s="1">
        <f>_xlfn.XLOOKUP(C4485,Contract!$A$2:$A$9,Contract!$B$2:$B$9)</f>
        <v>0.43</v>
      </c>
      <c r="S4485" s="1">
        <f t="shared" si="280"/>
        <v>90.3</v>
      </c>
      <c r="T4485" s="1">
        <f t="shared" si="281"/>
        <v>6.6499999999999915</v>
      </c>
      <c r="U4485" s="1" t="str">
        <f t="shared" si="282"/>
        <v>Underpaid</v>
      </c>
      <c r="V4485" s="1" t="str">
        <f>_xlfn.XLOOKUP(C4485,Payers!$A$2:$A$9,Payers!$B$2:$B$9)</f>
        <v>Summit Health Commercial</v>
      </c>
      <c r="W4485" s="1" t="str">
        <f t="shared" si="283"/>
        <v>2025-11</v>
      </c>
    </row>
    <row r="4486" spans="1:23">
      <c r="A4486" s="1" t="s">
        <v>7062</v>
      </c>
      <c r="B4486" s="1" t="s">
        <v>1944</v>
      </c>
      <c r="C4486" s="1" t="s">
        <v>52</v>
      </c>
      <c r="D4486" s="1" t="s">
        <v>19</v>
      </c>
      <c r="E4486" s="1" t="s">
        <v>88</v>
      </c>
      <c r="F4486">
        <v>1</v>
      </c>
      <c r="G4486" s="2">
        <v>46098</v>
      </c>
      <c r="H4486" s="2">
        <v>46099</v>
      </c>
      <c r="I4486">
        <v>261.36</v>
      </c>
      <c r="M4486" s="1" t="s">
        <v>32</v>
      </c>
      <c r="N4486" s="1" t="s">
        <v>168</v>
      </c>
      <c r="O4486" s="2">
        <v>46132</v>
      </c>
      <c r="P4486" s="2"/>
      <c r="Q4486">
        <f>_xlfn.XLOOKUP(E4486,CPT!$A$2:$A$13,CPT!$D$2:$D$13)</f>
        <v>260</v>
      </c>
      <c r="R4486" s="1">
        <f>_xlfn.XLOOKUP(C4486,Contract!$A$2:$A$9,Contract!$B$2:$B$9)</f>
        <v>0.47</v>
      </c>
      <c r="S4486" s="1">
        <f t="shared" si="280"/>
        <v>122.2</v>
      </c>
      <c r="T4486" s="1" t="str">
        <f t="shared" si="281"/>
        <v/>
      </c>
      <c r="U4486" s="1" t="str">
        <f t="shared" si="282"/>
        <v/>
      </c>
      <c r="V4486" s="1" t="str">
        <f>_xlfn.XLOOKUP(C4486,Payers!$A$2:$A$9,Payers!$B$2:$B$9)</f>
        <v>Keystone Commercial PPO</v>
      </c>
      <c r="W4486" s="1" t="str">
        <f t="shared" si="283"/>
        <v>2026-03</v>
      </c>
    </row>
    <row r="4487" spans="1:23">
      <c r="A4487" s="1" t="s">
        <v>7063</v>
      </c>
      <c r="B4487" s="1" t="s">
        <v>7064</v>
      </c>
      <c r="C4487" s="1" t="s">
        <v>52</v>
      </c>
      <c r="D4487" s="1" t="s">
        <v>37</v>
      </c>
      <c r="E4487" s="1" t="s">
        <v>38</v>
      </c>
      <c r="F4487">
        <v>20</v>
      </c>
      <c r="G4487" s="2">
        <v>46179</v>
      </c>
      <c r="H4487" s="2">
        <v>46186</v>
      </c>
      <c r="I4487">
        <v>28201.4</v>
      </c>
      <c r="J4487">
        <v>11517.04</v>
      </c>
      <c r="K4487">
        <v>11517.04</v>
      </c>
      <c r="L4487">
        <v>0</v>
      </c>
      <c r="M4487" s="1" t="s">
        <v>21</v>
      </c>
      <c r="N4487" s="1" t="s">
        <v>22</v>
      </c>
      <c r="O4487" s="2">
        <v>46236</v>
      </c>
      <c r="P4487" s="2">
        <v>46236</v>
      </c>
      <c r="Q4487">
        <f>_xlfn.XLOOKUP(E4487,CPT!$A$2:$A$13,CPT!$D$2:$D$13)</f>
        <v>1450</v>
      </c>
      <c r="R4487" s="1">
        <f>_xlfn.XLOOKUP(C4487,Contract!$A$2:$A$9,Contract!$B$2:$B$9)</f>
        <v>0.47</v>
      </c>
      <c r="S4487" s="1">
        <f t="shared" si="280"/>
        <v>13630</v>
      </c>
      <c r="T4487" s="1">
        <f t="shared" si="281"/>
        <v>2112.9599999999991</v>
      </c>
      <c r="U4487" s="1" t="str">
        <f t="shared" si="282"/>
        <v>Underpaid</v>
      </c>
      <c r="V4487" s="1" t="str">
        <f>_xlfn.XLOOKUP(C4487,Payers!$A$2:$A$9,Payers!$B$2:$B$9)</f>
        <v>Keystone Commercial PPO</v>
      </c>
      <c r="W4487" s="1" t="str">
        <f t="shared" si="283"/>
        <v>2026-06</v>
      </c>
    </row>
    <row r="4488" spans="1:23">
      <c r="A4488" s="1" t="s">
        <v>7065</v>
      </c>
      <c r="B4488" s="1" t="s">
        <v>7066</v>
      </c>
      <c r="C4488" s="1" t="s">
        <v>36</v>
      </c>
      <c r="D4488" s="1" t="s">
        <v>37</v>
      </c>
      <c r="E4488" s="1" t="s">
        <v>57</v>
      </c>
      <c r="F4488">
        <v>1</v>
      </c>
      <c r="G4488" s="2">
        <v>46048</v>
      </c>
      <c r="H4488" s="2">
        <v>46049</v>
      </c>
      <c r="I4488">
        <v>214.19</v>
      </c>
      <c r="J4488">
        <v>51.22</v>
      </c>
      <c r="K4488">
        <v>40.98</v>
      </c>
      <c r="L4488">
        <v>10.24</v>
      </c>
      <c r="M4488" s="1" t="s">
        <v>21</v>
      </c>
      <c r="N4488" s="1" t="s">
        <v>22</v>
      </c>
      <c r="O4488" s="2">
        <v>46054</v>
      </c>
      <c r="P4488" s="2">
        <v>46054</v>
      </c>
      <c r="Q4488">
        <f>_xlfn.XLOOKUP(E4488,CPT!$A$2:$A$13,CPT!$D$2:$D$13)</f>
        <v>210</v>
      </c>
      <c r="R4488" s="1">
        <f>_xlfn.XLOOKUP(C4488,Contract!$A$2:$A$9,Contract!$B$2:$B$9)</f>
        <v>0.27</v>
      </c>
      <c r="S4488" s="1">
        <f t="shared" si="280"/>
        <v>56.7</v>
      </c>
      <c r="T4488" s="1">
        <f t="shared" si="281"/>
        <v>5.480000000000004</v>
      </c>
      <c r="U4488" s="1" t="str">
        <f t="shared" si="282"/>
        <v>Underpaid</v>
      </c>
      <c r="V4488" s="1" t="str">
        <f>_xlfn.XLOOKUP(C4488,Payers!$A$2:$A$9,Payers!$B$2:$B$9)</f>
        <v>Florida Medicaid</v>
      </c>
      <c r="W4488" s="1" t="str">
        <f t="shared" si="283"/>
        <v>2026-01</v>
      </c>
    </row>
    <row r="4489" spans="1:23">
      <c r="A4489" s="1" t="s">
        <v>7067</v>
      </c>
      <c r="B4489" s="1" t="s">
        <v>7068</v>
      </c>
      <c r="C4489" s="1" t="s">
        <v>60</v>
      </c>
      <c r="D4489" s="1" t="s">
        <v>19</v>
      </c>
      <c r="E4489" s="1" t="s">
        <v>57</v>
      </c>
      <c r="F4489">
        <v>1</v>
      </c>
      <c r="G4489" s="2">
        <v>46259</v>
      </c>
      <c r="H4489" s="2">
        <v>46261</v>
      </c>
      <c r="I4489">
        <v>206.06</v>
      </c>
      <c r="M4489" s="1" t="s">
        <v>69</v>
      </c>
      <c r="N4489" s="1" t="s">
        <v>22</v>
      </c>
      <c r="O4489" s="2"/>
      <c r="P4489" s="2"/>
      <c r="Q4489">
        <f>_xlfn.XLOOKUP(E4489,CPT!$A$2:$A$13,CPT!$D$2:$D$13)</f>
        <v>210</v>
      </c>
      <c r="R4489" s="1">
        <f>_xlfn.XLOOKUP(C4489,Contract!$A$2:$A$9,Contract!$B$2:$B$9)</f>
        <v>0.45</v>
      </c>
      <c r="S4489" s="1">
        <f t="shared" si="280"/>
        <v>94.5</v>
      </c>
      <c r="T4489" s="1" t="str">
        <f t="shared" si="281"/>
        <v/>
      </c>
      <c r="U4489" s="1" t="str">
        <f t="shared" si="282"/>
        <v/>
      </c>
      <c r="V4489" s="1" t="str">
        <f>_xlfn.XLOOKUP(C4489,Payers!$A$2:$A$9,Payers!$B$2:$B$9)</f>
        <v>Blue Horizon Commercial</v>
      </c>
      <c r="W4489" s="1" t="str">
        <f t="shared" si="283"/>
        <v>2026-08</v>
      </c>
    </row>
    <row r="4490" spans="1:23">
      <c r="A4490" s="1" t="s">
        <v>7069</v>
      </c>
      <c r="B4490" s="1" t="s">
        <v>7070</v>
      </c>
      <c r="C4490" s="1" t="s">
        <v>47</v>
      </c>
      <c r="D4490" s="1" t="s">
        <v>26</v>
      </c>
      <c r="E4490" s="1" t="s">
        <v>113</v>
      </c>
      <c r="F4490">
        <v>1</v>
      </c>
      <c r="G4490" s="2">
        <v>46217</v>
      </c>
      <c r="H4490" s="2">
        <v>46223</v>
      </c>
      <c r="I4490">
        <v>1077.45</v>
      </c>
      <c r="J4490">
        <v>267.85000000000002</v>
      </c>
      <c r="K4490">
        <v>241.06</v>
      </c>
      <c r="L4490">
        <v>26.79</v>
      </c>
      <c r="M4490" s="1" t="s">
        <v>21</v>
      </c>
      <c r="N4490" s="1" t="s">
        <v>22</v>
      </c>
      <c r="O4490" s="2">
        <v>46272</v>
      </c>
      <c r="P4490" s="2">
        <v>46272</v>
      </c>
      <c r="Q4490">
        <f>_xlfn.XLOOKUP(E4490,CPT!$A$2:$A$13,CPT!$D$2:$D$13)</f>
        <v>1050</v>
      </c>
      <c r="R4490" s="1">
        <f>_xlfn.XLOOKUP(C4490,Contract!$A$2:$A$9,Contract!$B$2:$B$9)</f>
        <v>0.28000000000000003</v>
      </c>
      <c r="S4490" s="1">
        <f t="shared" si="280"/>
        <v>294</v>
      </c>
      <c r="T4490" s="1">
        <f t="shared" si="281"/>
        <v>26.149999999999977</v>
      </c>
      <c r="U4490" s="1" t="str">
        <f t="shared" si="282"/>
        <v>Underpaid</v>
      </c>
      <c r="V4490" s="1" t="str">
        <f>_xlfn.XLOOKUP(C4490,Payers!$A$2:$A$9,Payers!$B$2:$B$9)</f>
        <v>Coastal Medicaid MCO</v>
      </c>
      <c r="W4490" s="1" t="str">
        <f t="shared" si="283"/>
        <v>2026-07</v>
      </c>
    </row>
    <row r="4491" spans="1:23">
      <c r="A4491" s="1" t="s">
        <v>7071</v>
      </c>
      <c r="B4491" s="1" t="s">
        <v>2642</v>
      </c>
      <c r="C4491" s="1" t="s">
        <v>52</v>
      </c>
      <c r="D4491" s="1" t="s">
        <v>30</v>
      </c>
      <c r="E4491" s="1" t="s">
        <v>20</v>
      </c>
      <c r="F4491">
        <v>1</v>
      </c>
      <c r="G4491" s="2">
        <v>46065</v>
      </c>
      <c r="H4491" s="2">
        <v>46069</v>
      </c>
      <c r="I4491">
        <v>145.99</v>
      </c>
      <c r="J4491">
        <v>78.88</v>
      </c>
      <c r="K4491">
        <v>78.88</v>
      </c>
      <c r="L4491">
        <v>0</v>
      </c>
      <c r="M4491" s="1" t="s">
        <v>21</v>
      </c>
      <c r="N4491" s="1" t="s">
        <v>22</v>
      </c>
      <c r="O4491" s="2">
        <v>46119</v>
      </c>
      <c r="P4491" s="2">
        <v>46119</v>
      </c>
      <c r="Q4491">
        <f>_xlfn.XLOOKUP(E4491,CPT!$A$2:$A$13,CPT!$D$2:$D$13)</f>
        <v>145</v>
      </c>
      <c r="R4491" s="1">
        <f>_xlfn.XLOOKUP(C4491,Contract!$A$2:$A$9,Contract!$B$2:$B$9)</f>
        <v>0.47</v>
      </c>
      <c r="S4491" s="1">
        <f t="shared" si="280"/>
        <v>68.150000000000006</v>
      </c>
      <c r="T4491" s="1">
        <f t="shared" si="281"/>
        <v>-10.72999999999999</v>
      </c>
      <c r="U4491" s="1" t="str">
        <f t="shared" si="282"/>
        <v>OK</v>
      </c>
      <c r="V4491" s="1" t="str">
        <f>_xlfn.XLOOKUP(C4491,Payers!$A$2:$A$9,Payers!$B$2:$B$9)</f>
        <v>Keystone Commercial PPO</v>
      </c>
      <c r="W4491" s="1" t="str">
        <f t="shared" si="283"/>
        <v>2026-02</v>
      </c>
    </row>
    <row r="4492" spans="1:23">
      <c r="A4492" s="1" t="s">
        <v>7072</v>
      </c>
      <c r="B4492" s="1" t="s">
        <v>6094</v>
      </c>
      <c r="C4492" s="1" t="s">
        <v>76</v>
      </c>
      <c r="D4492" s="1" t="s">
        <v>30</v>
      </c>
      <c r="E4492" s="1" t="s">
        <v>91</v>
      </c>
      <c r="F4492">
        <v>2</v>
      </c>
      <c r="G4492" s="2">
        <v>46088</v>
      </c>
      <c r="H4492" s="2">
        <v>46094</v>
      </c>
      <c r="I4492">
        <v>113</v>
      </c>
      <c r="J4492">
        <v>54.95</v>
      </c>
      <c r="K4492">
        <v>43.96</v>
      </c>
      <c r="L4492">
        <v>10.99</v>
      </c>
      <c r="M4492" s="1" t="s">
        <v>21</v>
      </c>
      <c r="N4492" s="1" t="s">
        <v>22</v>
      </c>
      <c r="O4492" s="2">
        <v>46122</v>
      </c>
      <c r="P4492" s="2">
        <v>46122</v>
      </c>
      <c r="Q4492">
        <f>_xlfn.XLOOKUP(E4492,CPT!$A$2:$A$13,CPT!$D$2:$D$13)</f>
        <v>58</v>
      </c>
      <c r="R4492" s="1">
        <f>_xlfn.XLOOKUP(C4492,Contract!$A$2:$A$9,Contract!$B$2:$B$9)</f>
        <v>0.43</v>
      </c>
      <c r="S4492" s="1">
        <f t="shared" si="280"/>
        <v>49.88</v>
      </c>
      <c r="T4492" s="1">
        <f t="shared" si="281"/>
        <v>-5.07</v>
      </c>
      <c r="U4492" s="1" t="str">
        <f t="shared" si="282"/>
        <v>OK</v>
      </c>
      <c r="V4492" s="1" t="str">
        <f>_xlfn.XLOOKUP(C4492,Payers!$A$2:$A$9,Payers!$B$2:$B$9)</f>
        <v>Summit Health Commercial</v>
      </c>
      <c r="W4492" s="1" t="str">
        <f t="shared" si="283"/>
        <v>2026-03</v>
      </c>
    </row>
    <row r="4493" spans="1:23">
      <c r="A4493" s="1" t="s">
        <v>7073</v>
      </c>
      <c r="B4493" s="1" t="s">
        <v>7074</v>
      </c>
      <c r="C4493" s="1" t="s">
        <v>76</v>
      </c>
      <c r="D4493" s="1" t="s">
        <v>19</v>
      </c>
      <c r="E4493" s="1" t="s">
        <v>20</v>
      </c>
      <c r="F4493">
        <v>1</v>
      </c>
      <c r="G4493" s="2">
        <v>46125</v>
      </c>
      <c r="H4493" s="2">
        <v>46126</v>
      </c>
      <c r="I4493">
        <v>141.97999999999999</v>
      </c>
      <c r="J4493">
        <v>64.98</v>
      </c>
      <c r="K4493">
        <v>58.48</v>
      </c>
      <c r="L4493">
        <v>6.5</v>
      </c>
      <c r="M4493" s="1" t="s">
        <v>21</v>
      </c>
      <c r="N4493" s="1" t="s">
        <v>22</v>
      </c>
      <c r="O4493" s="2">
        <v>46149</v>
      </c>
      <c r="P4493" s="2">
        <v>46149</v>
      </c>
      <c r="Q4493">
        <f>_xlfn.XLOOKUP(E4493,CPT!$A$2:$A$13,CPT!$D$2:$D$13)</f>
        <v>145</v>
      </c>
      <c r="R4493" s="1">
        <f>_xlfn.XLOOKUP(C4493,Contract!$A$2:$A$9,Contract!$B$2:$B$9)</f>
        <v>0.43</v>
      </c>
      <c r="S4493" s="1">
        <f t="shared" si="280"/>
        <v>62.35</v>
      </c>
      <c r="T4493" s="1">
        <f t="shared" si="281"/>
        <v>-2.6300000000000026</v>
      </c>
      <c r="U4493" s="1" t="str">
        <f t="shared" si="282"/>
        <v>OK</v>
      </c>
      <c r="V4493" s="1" t="str">
        <f>_xlfn.XLOOKUP(C4493,Payers!$A$2:$A$9,Payers!$B$2:$B$9)</f>
        <v>Summit Health Commercial</v>
      </c>
      <c r="W4493" s="1" t="str">
        <f t="shared" si="283"/>
        <v>2026-04</v>
      </c>
    </row>
    <row r="4494" spans="1:23">
      <c r="A4494" s="1" t="s">
        <v>7075</v>
      </c>
      <c r="B4494" s="1" t="s">
        <v>6532</v>
      </c>
      <c r="C4494" s="1" t="s">
        <v>25</v>
      </c>
      <c r="D4494" s="1" t="s">
        <v>30</v>
      </c>
      <c r="E4494" s="1" t="s">
        <v>20</v>
      </c>
      <c r="F4494">
        <v>1</v>
      </c>
      <c r="G4494" s="2">
        <v>46089</v>
      </c>
      <c r="H4494" s="2">
        <v>46091</v>
      </c>
      <c r="I4494">
        <v>143.02000000000001</v>
      </c>
      <c r="M4494" s="1" t="s">
        <v>32</v>
      </c>
      <c r="N4494" s="1" t="s">
        <v>33</v>
      </c>
      <c r="O4494" s="2">
        <v>46115</v>
      </c>
      <c r="P4494" s="2"/>
      <c r="Q4494">
        <f>_xlfn.XLOOKUP(E4494,CPT!$A$2:$A$13,CPT!$D$2:$D$13)</f>
        <v>145</v>
      </c>
      <c r="R4494" s="1">
        <f>_xlfn.XLOOKUP(C4494,Contract!$A$2:$A$9,Contract!$B$2:$B$9)</f>
        <v>0.36</v>
      </c>
      <c r="S4494" s="1">
        <f t="shared" si="280"/>
        <v>52.2</v>
      </c>
      <c r="T4494" s="1" t="str">
        <f t="shared" si="281"/>
        <v/>
      </c>
      <c r="U4494" s="1" t="str">
        <f t="shared" si="282"/>
        <v/>
      </c>
      <c r="V4494" s="1" t="str">
        <f>_xlfn.XLOOKUP(C4494,Payers!$A$2:$A$9,Payers!$B$2:$B$9)</f>
        <v>Medicare Part B</v>
      </c>
      <c r="W4494" s="1" t="str">
        <f t="shared" si="283"/>
        <v>2026-03</v>
      </c>
    </row>
    <row r="4495" spans="1:23">
      <c r="A4495" s="1" t="s">
        <v>7076</v>
      </c>
      <c r="B4495" s="1" t="s">
        <v>3721</v>
      </c>
      <c r="C4495" s="1" t="s">
        <v>36</v>
      </c>
      <c r="D4495" s="1" t="s">
        <v>30</v>
      </c>
      <c r="E4495" s="1" t="s">
        <v>91</v>
      </c>
      <c r="F4495">
        <v>1</v>
      </c>
      <c r="G4495" s="2">
        <v>46115</v>
      </c>
      <c r="H4495" s="2">
        <v>46119</v>
      </c>
      <c r="I4495">
        <v>59.69</v>
      </c>
      <c r="J4495">
        <v>16.84</v>
      </c>
      <c r="K4495">
        <v>13.47</v>
      </c>
      <c r="L4495">
        <v>3.37</v>
      </c>
      <c r="M4495" s="1" t="s">
        <v>21</v>
      </c>
      <c r="N4495" s="1" t="s">
        <v>22</v>
      </c>
      <c r="O4495" s="2">
        <v>46149</v>
      </c>
      <c r="P4495" s="2">
        <v>46149</v>
      </c>
      <c r="Q4495">
        <f>_xlfn.XLOOKUP(E4495,CPT!$A$2:$A$13,CPT!$D$2:$D$13)</f>
        <v>58</v>
      </c>
      <c r="R4495" s="1">
        <f>_xlfn.XLOOKUP(C4495,Contract!$A$2:$A$9,Contract!$B$2:$B$9)</f>
        <v>0.27</v>
      </c>
      <c r="S4495" s="1">
        <f t="shared" si="280"/>
        <v>15.66</v>
      </c>
      <c r="T4495" s="1">
        <f t="shared" si="281"/>
        <v>-1.1799999999999997</v>
      </c>
      <c r="U4495" s="1" t="str">
        <f t="shared" si="282"/>
        <v>OK</v>
      </c>
      <c r="V4495" s="1" t="str">
        <f>_xlfn.XLOOKUP(C4495,Payers!$A$2:$A$9,Payers!$B$2:$B$9)</f>
        <v>Florida Medicaid</v>
      </c>
      <c r="W4495" s="1" t="str">
        <f t="shared" si="283"/>
        <v>2026-04</v>
      </c>
    </row>
    <row r="4496" spans="1:23">
      <c r="A4496" s="1" t="s">
        <v>7077</v>
      </c>
      <c r="B4496" s="1" t="s">
        <v>1041</v>
      </c>
      <c r="C4496" s="1" t="s">
        <v>47</v>
      </c>
      <c r="D4496" s="1" t="s">
        <v>26</v>
      </c>
      <c r="E4496" s="1" t="s">
        <v>27</v>
      </c>
      <c r="F4496">
        <v>1</v>
      </c>
      <c r="G4496" s="2">
        <v>46039</v>
      </c>
      <c r="H4496" s="2">
        <v>46042</v>
      </c>
      <c r="I4496">
        <v>244.7</v>
      </c>
      <c r="J4496">
        <v>62.93</v>
      </c>
      <c r="K4496">
        <v>50.34</v>
      </c>
      <c r="L4496">
        <v>12.59</v>
      </c>
      <c r="M4496" s="1" t="s">
        <v>21</v>
      </c>
      <c r="N4496" s="1" t="s">
        <v>22</v>
      </c>
      <c r="O4496" s="2">
        <v>46123</v>
      </c>
      <c r="P4496" s="2">
        <v>46123</v>
      </c>
      <c r="Q4496">
        <f>_xlfn.XLOOKUP(E4496,CPT!$A$2:$A$13,CPT!$D$2:$D$13)</f>
        <v>240</v>
      </c>
      <c r="R4496" s="1">
        <f>_xlfn.XLOOKUP(C4496,Contract!$A$2:$A$9,Contract!$B$2:$B$9)</f>
        <v>0.28000000000000003</v>
      </c>
      <c r="S4496" s="1">
        <f t="shared" si="280"/>
        <v>67.2</v>
      </c>
      <c r="T4496" s="1">
        <f t="shared" si="281"/>
        <v>4.2700000000000031</v>
      </c>
      <c r="U4496" s="1" t="str">
        <f t="shared" si="282"/>
        <v>Underpaid</v>
      </c>
      <c r="V4496" s="1" t="str">
        <f>_xlfn.XLOOKUP(C4496,Payers!$A$2:$A$9,Payers!$B$2:$B$9)</f>
        <v>Coastal Medicaid MCO</v>
      </c>
      <c r="W4496" s="1" t="str">
        <f t="shared" si="283"/>
        <v>2026-01</v>
      </c>
    </row>
    <row r="4497" spans="1:23">
      <c r="A4497" s="1" t="s">
        <v>7078</v>
      </c>
      <c r="B4497" s="1" t="s">
        <v>1592</v>
      </c>
      <c r="C4497" s="1" t="s">
        <v>47</v>
      </c>
      <c r="D4497" s="1" t="s">
        <v>26</v>
      </c>
      <c r="E4497" s="1" t="s">
        <v>57</v>
      </c>
      <c r="F4497">
        <v>1</v>
      </c>
      <c r="G4497" s="2">
        <v>46234</v>
      </c>
      <c r="H4497" s="2">
        <v>46235</v>
      </c>
      <c r="I4497">
        <v>204.23</v>
      </c>
      <c r="M4497" s="1" t="s">
        <v>69</v>
      </c>
      <c r="N4497" s="1" t="s">
        <v>22</v>
      </c>
      <c r="O4497" s="2"/>
      <c r="P4497" s="2"/>
      <c r="Q4497">
        <f>_xlfn.XLOOKUP(E4497,CPT!$A$2:$A$13,CPT!$D$2:$D$13)</f>
        <v>210</v>
      </c>
      <c r="R4497" s="1">
        <f>_xlfn.XLOOKUP(C4497,Contract!$A$2:$A$9,Contract!$B$2:$B$9)</f>
        <v>0.28000000000000003</v>
      </c>
      <c r="S4497" s="1">
        <f t="shared" si="280"/>
        <v>58.8</v>
      </c>
      <c r="T4497" s="1" t="str">
        <f t="shared" si="281"/>
        <v/>
      </c>
      <c r="U4497" s="1" t="str">
        <f t="shared" si="282"/>
        <v/>
      </c>
      <c r="V4497" s="1" t="str">
        <f>_xlfn.XLOOKUP(C4497,Payers!$A$2:$A$9,Payers!$B$2:$B$9)</f>
        <v>Coastal Medicaid MCO</v>
      </c>
      <c r="W4497" s="1" t="str">
        <f t="shared" si="283"/>
        <v>2026-07</v>
      </c>
    </row>
    <row r="4498" spans="1:23">
      <c r="A4498" s="1" t="s">
        <v>7079</v>
      </c>
      <c r="B4498" s="1" t="s">
        <v>7080</v>
      </c>
      <c r="C4498" s="1" t="s">
        <v>18</v>
      </c>
      <c r="D4498" s="1" t="s">
        <v>37</v>
      </c>
      <c r="E4498" s="1" t="s">
        <v>57</v>
      </c>
      <c r="F4498">
        <v>1</v>
      </c>
      <c r="G4498" s="2">
        <v>46129</v>
      </c>
      <c r="H4498" s="2">
        <v>46130</v>
      </c>
      <c r="I4498">
        <v>213.88</v>
      </c>
      <c r="M4498" s="1" t="s">
        <v>32</v>
      </c>
      <c r="N4498" s="1" t="s">
        <v>33</v>
      </c>
      <c r="O4498" s="2">
        <v>46185</v>
      </c>
      <c r="P4498" s="2"/>
      <c r="Q4498">
        <f>_xlfn.XLOOKUP(E4498,CPT!$A$2:$A$13,CPT!$D$2:$D$13)</f>
        <v>210</v>
      </c>
      <c r="R4498" s="1">
        <f>_xlfn.XLOOKUP(C4498,Contract!$A$2:$A$9,Contract!$B$2:$B$9)</f>
        <v>0.38</v>
      </c>
      <c r="S4498" s="1">
        <f t="shared" si="280"/>
        <v>79.8</v>
      </c>
      <c r="T4498" s="1" t="str">
        <f t="shared" si="281"/>
        <v/>
      </c>
      <c r="U4498" s="1" t="str">
        <f t="shared" si="282"/>
        <v/>
      </c>
      <c r="V4498" s="1" t="str">
        <f>_xlfn.XLOOKUP(C4498,Payers!$A$2:$A$9,Payers!$B$2:$B$9)</f>
        <v>Sunshine Medicare Advantage</v>
      </c>
      <c r="W4498" s="1" t="str">
        <f t="shared" si="283"/>
        <v>2026-04</v>
      </c>
    </row>
    <row r="4499" spans="1:23">
      <c r="A4499" s="1" t="s">
        <v>7081</v>
      </c>
      <c r="B4499" s="1" t="s">
        <v>4199</v>
      </c>
      <c r="C4499" s="1" t="s">
        <v>18</v>
      </c>
      <c r="D4499" s="1" t="s">
        <v>26</v>
      </c>
      <c r="E4499" s="1" t="s">
        <v>185</v>
      </c>
      <c r="F4499">
        <v>1</v>
      </c>
      <c r="G4499" s="2">
        <v>46047</v>
      </c>
      <c r="H4499" s="2">
        <v>46048</v>
      </c>
      <c r="I4499">
        <v>1127.1199999999999</v>
      </c>
      <c r="J4499">
        <v>441.97</v>
      </c>
      <c r="K4499">
        <v>441.97</v>
      </c>
      <c r="L4499">
        <v>0</v>
      </c>
      <c r="M4499" s="1" t="s">
        <v>21</v>
      </c>
      <c r="N4499" s="1" t="s">
        <v>22</v>
      </c>
      <c r="O4499" s="2">
        <v>46082</v>
      </c>
      <c r="P4499" s="2">
        <v>46082</v>
      </c>
      <c r="Q4499">
        <f>_xlfn.XLOOKUP(E4499,CPT!$A$2:$A$13,CPT!$D$2:$D$13)</f>
        <v>1150</v>
      </c>
      <c r="R4499" s="1">
        <f>_xlfn.XLOOKUP(C4499,Contract!$A$2:$A$9,Contract!$B$2:$B$9)</f>
        <v>0.38</v>
      </c>
      <c r="S4499" s="1">
        <f t="shared" si="280"/>
        <v>437</v>
      </c>
      <c r="T4499" s="1">
        <f t="shared" si="281"/>
        <v>-4.9700000000000273</v>
      </c>
      <c r="U4499" s="1" t="str">
        <f t="shared" si="282"/>
        <v>OK</v>
      </c>
      <c r="V4499" s="1" t="str">
        <f>_xlfn.XLOOKUP(C4499,Payers!$A$2:$A$9,Payers!$B$2:$B$9)</f>
        <v>Sunshine Medicare Advantage</v>
      </c>
      <c r="W4499" s="1" t="str">
        <f t="shared" si="283"/>
        <v>2026-01</v>
      </c>
    </row>
    <row r="4500" spans="1:23">
      <c r="A4500" s="1" t="s">
        <v>7082</v>
      </c>
      <c r="B4500" s="1" t="s">
        <v>7083</v>
      </c>
      <c r="C4500" s="1" t="s">
        <v>60</v>
      </c>
      <c r="D4500" s="1" t="s">
        <v>37</v>
      </c>
      <c r="E4500" s="1" t="s">
        <v>57</v>
      </c>
      <c r="F4500">
        <v>1</v>
      </c>
      <c r="G4500" s="2">
        <v>46179</v>
      </c>
      <c r="H4500" s="2">
        <v>46199</v>
      </c>
      <c r="I4500">
        <v>209.37</v>
      </c>
      <c r="J4500">
        <v>82.76</v>
      </c>
      <c r="K4500">
        <v>82.76</v>
      </c>
      <c r="L4500">
        <v>0</v>
      </c>
      <c r="M4500" s="1" t="s">
        <v>21</v>
      </c>
      <c r="N4500" s="1" t="s">
        <v>22</v>
      </c>
      <c r="O4500" s="2">
        <v>46230</v>
      </c>
      <c r="P4500" s="2">
        <v>46230</v>
      </c>
      <c r="Q4500">
        <f>_xlfn.XLOOKUP(E4500,CPT!$A$2:$A$13,CPT!$D$2:$D$13)</f>
        <v>210</v>
      </c>
      <c r="R4500" s="1">
        <f>_xlfn.XLOOKUP(C4500,Contract!$A$2:$A$9,Contract!$B$2:$B$9)</f>
        <v>0.45</v>
      </c>
      <c r="S4500" s="1">
        <f t="shared" si="280"/>
        <v>94.5</v>
      </c>
      <c r="T4500" s="1">
        <f t="shared" si="281"/>
        <v>11.739999999999995</v>
      </c>
      <c r="U4500" s="1" t="str">
        <f t="shared" si="282"/>
        <v>Underpaid</v>
      </c>
      <c r="V4500" s="1" t="str">
        <f>_xlfn.XLOOKUP(C4500,Payers!$A$2:$A$9,Payers!$B$2:$B$9)</f>
        <v>Blue Horizon Commercial</v>
      </c>
      <c r="W4500" s="1" t="str">
        <f t="shared" si="283"/>
        <v>2026-06</v>
      </c>
    </row>
    <row r="4501" spans="1:23">
      <c r="A4501" s="1" t="s">
        <v>7084</v>
      </c>
      <c r="B4501" s="1" t="s">
        <v>963</v>
      </c>
      <c r="C4501" s="1" t="s">
        <v>60</v>
      </c>
      <c r="D4501" s="1" t="s">
        <v>19</v>
      </c>
      <c r="E4501" s="1" t="s">
        <v>57</v>
      </c>
      <c r="F4501">
        <v>1</v>
      </c>
      <c r="G4501" s="2">
        <v>46065</v>
      </c>
      <c r="H4501" s="2">
        <v>46066</v>
      </c>
      <c r="I4501">
        <v>208.36</v>
      </c>
      <c r="J4501">
        <v>106.05</v>
      </c>
      <c r="K4501">
        <v>106.05</v>
      </c>
      <c r="L4501">
        <v>0</v>
      </c>
      <c r="M4501" s="1" t="s">
        <v>21</v>
      </c>
      <c r="N4501" s="1" t="s">
        <v>22</v>
      </c>
      <c r="O4501" s="2">
        <v>46110</v>
      </c>
      <c r="P4501" s="2">
        <v>46110</v>
      </c>
      <c r="Q4501">
        <f>_xlfn.XLOOKUP(E4501,CPT!$A$2:$A$13,CPT!$D$2:$D$13)</f>
        <v>210</v>
      </c>
      <c r="R4501" s="1">
        <f>_xlfn.XLOOKUP(C4501,Contract!$A$2:$A$9,Contract!$B$2:$B$9)</f>
        <v>0.45</v>
      </c>
      <c r="S4501" s="1">
        <f t="shared" si="280"/>
        <v>94.5</v>
      </c>
      <c r="T4501" s="1">
        <f t="shared" si="281"/>
        <v>-11.549999999999997</v>
      </c>
      <c r="U4501" s="1" t="str">
        <f t="shared" si="282"/>
        <v>OK</v>
      </c>
      <c r="V4501" s="1" t="str">
        <f>_xlfn.XLOOKUP(C4501,Payers!$A$2:$A$9,Payers!$B$2:$B$9)</f>
        <v>Blue Horizon Commercial</v>
      </c>
      <c r="W4501" s="1" t="str">
        <f t="shared" si="283"/>
        <v>2026-02</v>
      </c>
    </row>
    <row r="4502" spans="1:23">
      <c r="A4502" s="1" t="s">
        <v>7085</v>
      </c>
      <c r="B4502" s="1" t="s">
        <v>2305</v>
      </c>
      <c r="C4502" s="1" t="s">
        <v>36</v>
      </c>
      <c r="D4502" s="1" t="s">
        <v>26</v>
      </c>
      <c r="E4502" s="1" t="s">
        <v>57</v>
      </c>
      <c r="F4502">
        <v>1</v>
      </c>
      <c r="G4502" s="2">
        <v>46023</v>
      </c>
      <c r="H4502" s="2">
        <v>46025</v>
      </c>
      <c r="I4502">
        <v>210.19</v>
      </c>
      <c r="M4502" s="1" t="s">
        <v>32</v>
      </c>
      <c r="N4502" s="1" t="s">
        <v>124</v>
      </c>
      <c r="O4502" s="2">
        <v>46090</v>
      </c>
      <c r="P4502" s="2"/>
      <c r="Q4502">
        <f>_xlfn.XLOOKUP(E4502,CPT!$A$2:$A$13,CPT!$D$2:$D$13)</f>
        <v>210</v>
      </c>
      <c r="R4502" s="1">
        <f>_xlfn.XLOOKUP(C4502,Contract!$A$2:$A$9,Contract!$B$2:$B$9)</f>
        <v>0.27</v>
      </c>
      <c r="S4502" s="1">
        <f t="shared" si="280"/>
        <v>56.7</v>
      </c>
      <c r="T4502" s="1" t="str">
        <f t="shared" si="281"/>
        <v/>
      </c>
      <c r="U4502" s="1" t="str">
        <f t="shared" si="282"/>
        <v/>
      </c>
      <c r="V4502" s="1" t="str">
        <f>_xlfn.XLOOKUP(C4502,Payers!$A$2:$A$9,Payers!$B$2:$B$9)</f>
        <v>Florida Medicaid</v>
      </c>
      <c r="W4502" s="1" t="str">
        <f t="shared" si="283"/>
        <v>2026-01</v>
      </c>
    </row>
    <row r="4503" spans="1:23">
      <c r="A4503" s="1" t="s">
        <v>7086</v>
      </c>
      <c r="B4503" s="1" t="s">
        <v>7087</v>
      </c>
      <c r="C4503" s="1" t="s">
        <v>60</v>
      </c>
      <c r="D4503" s="1" t="s">
        <v>30</v>
      </c>
      <c r="E4503" s="1" t="s">
        <v>20</v>
      </c>
      <c r="F4503">
        <v>1</v>
      </c>
      <c r="G4503" s="2">
        <v>45956</v>
      </c>
      <c r="H4503" s="2">
        <v>45966</v>
      </c>
      <c r="I4503">
        <v>146.88</v>
      </c>
      <c r="J4503">
        <v>73.92</v>
      </c>
      <c r="K4503">
        <v>73.92</v>
      </c>
      <c r="L4503">
        <v>0</v>
      </c>
      <c r="M4503" s="1" t="s">
        <v>21</v>
      </c>
      <c r="N4503" s="1" t="s">
        <v>22</v>
      </c>
      <c r="O4503" s="2">
        <v>45989</v>
      </c>
      <c r="P4503" s="2">
        <v>45989</v>
      </c>
      <c r="Q4503">
        <f>_xlfn.XLOOKUP(E4503,CPT!$A$2:$A$13,CPT!$D$2:$D$13)</f>
        <v>145</v>
      </c>
      <c r="R4503" s="1">
        <f>_xlfn.XLOOKUP(C4503,Contract!$A$2:$A$9,Contract!$B$2:$B$9)</f>
        <v>0.45</v>
      </c>
      <c r="S4503" s="1">
        <f t="shared" si="280"/>
        <v>65.25</v>
      </c>
      <c r="T4503" s="1">
        <f t="shared" si="281"/>
        <v>-8.6700000000000017</v>
      </c>
      <c r="U4503" s="1" t="str">
        <f t="shared" si="282"/>
        <v>OK</v>
      </c>
      <c r="V4503" s="1" t="str">
        <f>_xlfn.XLOOKUP(C4503,Payers!$A$2:$A$9,Payers!$B$2:$B$9)</f>
        <v>Blue Horizon Commercial</v>
      </c>
      <c r="W4503" s="1" t="str">
        <f t="shared" si="283"/>
        <v>2025-10</v>
      </c>
    </row>
    <row r="4504" spans="1:23">
      <c r="A4504" s="1" t="s">
        <v>7088</v>
      </c>
      <c r="B4504" s="1" t="s">
        <v>7089</v>
      </c>
      <c r="C4504" s="1" t="s">
        <v>36</v>
      </c>
      <c r="D4504" s="1" t="s">
        <v>26</v>
      </c>
      <c r="E4504" s="1" t="s">
        <v>113</v>
      </c>
      <c r="F4504">
        <v>1</v>
      </c>
      <c r="G4504" s="2">
        <v>45958</v>
      </c>
      <c r="H4504" s="2">
        <v>45966</v>
      </c>
      <c r="I4504">
        <v>1076.01</v>
      </c>
      <c r="J4504">
        <v>307.20999999999998</v>
      </c>
      <c r="K4504">
        <v>276.49</v>
      </c>
      <c r="L4504">
        <v>30.72</v>
      </c>
      <c r="M4504" s="1" t="s">
        <v>21</v>
      </c>
      <c r="N4504" s="1" t="s">
        <v>22</v>
      </c>
      <c r="O4504" s="2">
        <v>46025</v>
      </c>
      <c r="P4504" s="2">
        <v>46025</v>
      </c>
      <c r="Q4504">
        <f>_xlfn.XLOOKUP(E4504,CPT!$A$2:$A$13,CPT!$D$2:$D$13)</f>
        <v>1050</v>
      </c>
      <c r="R4504" s="1">
        <f>_xlfn.XLOOKUP(C4504,Contract!$A$2:$A$9,Contract!$B$2:$B$9)</f>
        <v>0.27</v>
      </c>
      <c r="S4504" s="1">
        <f t="shared" si="280"/>
        <v>283.5</v>
      </c>
      <c r="T4504" s="1">
        <f t="shared" si="281"/>
        <v>-23.70999999999998</v>
      </c>
      <c r="U4504" s="1" t="str">
        <f t="shared" si="282"/>
        <v>OK</v>
      </c>
      <c r="V4504" s="1" t="str">
        <f>_xlfn.XLOOKUP(C4504,Payers!$A$2:$A$9,Payers!$B$2:$B$9)</f>
        <v>Florida Medicaid</v>
      </c>
      <c r="W4504" s="1" t="str">
        <f t="shared" si="283"/>
        <v>2025-10</v>
      </c>
    </row>
    <row r="4505" spans="1:23">
      <c r="A4505" s="1" t="s">
        <v>7090</v>
      </c>
      <c r="B4505" s="1" t="s">
        <v>1439</v>
      </c>
      <c r="C4505" s="1" t="s">
        <v>79</v>
      </c>
      <c r="D4505" s="1" t="s">
        <v>19</v>
      </c>
      <c r="E4505" s="1" t="s">
        <v>20</v>
      </c>
      <c r="F4505">
        <v>1</v>
      </c>
      <c r="G4505" s="2">
        <v>46163</v>
      </c>
      <c r="H4505" s="2">
        <v>46173</v>
      </c>
      <c r="I4505">
        <v>146.05000000000001</v>
      </c>
      <c r="J4505">
        <v>146.05000000000001</v>
      </c>
      <c r="K4505">
        <v>146.05000000000001</v>
      </c>
      <c r="L4505">
        <v>0</v>
      </c>
      <c r="M4505" s="1" t="s">
        <v>21</v>
      </c>
      <c r="N4505" s="1" t="s">
        <v>22</v>
      </c>
      <c r="O4505" s="2">
        <v>46245</v>
      </c>
      <c r="P4505" s="2">
        <v>46245</v>
      </c>
      <c r="Q4505">
        <f>_xlfn.XLOOKUP(E4505,CPT!$A$2:$A$13,CPT!$D$2:$D$13)</f>
        <v>145</v>
      </c>
      <c r="R4505" s="1">
        <f>_xlfn.XLOOKUP(C4505,Contract!$A$2:$A$9,Contract!$B$2:$B$9)</f>
        <v>1</v>
      </c>
      <c r="S4505" s="1">
        <f t="shared" si="280"/>
        <v>145</v>
      </c>
      <c r="T4505" s="1">
        <f t="shared" si="281"/>
        <v>-1.0500000000000114</v>
      </c>
      <c r="U4505" s="1" t="str">
        <f t="shared" si="282"/>
        <v>OK</v>
      </c>
      <c r="V4505" s="1" t="str">
        <f>_xlfn.XLOOKUP(C4505,Payers!$A$2:$A$9,Payers!$B$2:$B$9)</f>
        <v>Self-Pay</v>
      </c>
      <c r="W4505" s="1" t="str">
        <f t="shared" si="283"/>
        <v>2026-05</v>
      </c>
    </row>
    <row r="4506" spans="1:23">
      <c r="A4506" s="1" t="s">
        <v>7091</v>
      </c>
      <c r="B4506" s="1" t="s">
        <v>744</v>
      </c>
      <c r="C4506" s="1" t="s">
        <v>47</v>
      </c>
      <c r="D4506" s="1" t="s">
        <v>30</v>
      </c>
      <c r="E4506" s="1" t="s">
        <v>91</v>
      </c>
      <c r="F4506">
        <v>1</v>
      </c>
      <c r="G4506" s="2">
        <v>46197</v>
      </c>
      <c r="H4506" s="2">
        <v>46203</v>
      </c>
      <c r="I4506">
        <v>57.47</v>
      </c>
      <c r="J4506">
        <v>14.11</v>
      </c>
      <c r="K4506">
        <v>14.11</v>
      </c>
      <c r="L4506">
        <v>0</v>
      </c>
      <c r="M4506" s="1" t="s">
        <v>21</v>
      </c>
      <c r="N4506" s="1" t="s">
        <v>22</v>
      </c>
      <c r="O4506" s="2">
        <v>46258</v>
      </c>
      <c r="P4506" s="2">
        <v>46258</v>
      </c>
      <c r="Q4506">
        <f>_xlfn.XLOOKUP(E4506,CPT!$A$2:$A$13,CPT!$D$2:$D$13)</f>
        <v>58</v>
      </c>
      <c r="R4506" s="1">
        <f>_xlfn.XLOOKUP(C4506,Contract!$A$2:$A$9,Contract!$B$2:$B$9)</f>
        <v>0.28000000000000003</v>
      </c>
      <c r="S4506" s="1">
        <f t="shared" si="280"/>
        <v>16.239999999999998</v>
      </c>
      <c r="T4506" s="1">
        <f t="shared" si="281"/>
        <v>2.129999999999999</v>
      </c>
      <c r="U4506" s="1" t="str">
        <f t="shared" si="282"/>
        <v>Underpaid</v>
      </c>
      <c r="V4506" s="1" t="str">
        <f>_xlfn.XLOOKUP(C4506,Payers!$A$2:$A$9,Payers!$B$2:$B$9)</f>
        <v>Coastal Medicaid MCO</v>
      </c>
      <c r="W4506" s="1" t="str">
        <f t="shared" si="283"/>
        <v>2026-06</v>
      </c>
    </row>
    <row r="4507" spans="1:23">
      <c r="A4507" s="1" t="s">
        <v>7092</v>
      </c>
      <c r="B4507" s="1" t="s">
        <v>3313</v>
      </c>
      <c r="C4507" s="1" t="s">
        <v>76</v>
      </c>
      <c r="D4507" s="1" t="s">
        <v>37</v>
      </c>
      <c r="E4507" s="1" t="s">
        <v>48</v>
      </c>
      <c r="F4507">
        <v>1</v>
      </c>
      <c r="G4507" s="2">
        <v>46163</v>
      </c>
      <c r="H4507" s="2">
        <v>46164</v>
      </c>
      <c r="I4507">
        <v>409.75</v>
      </c>
      <c r="J4507">
        <v>197.99</v>
      </c>
      <c r="K4507">
        <v>158.38999999999999</v>
      </c>
      <c r="L4507">
        <v>39.6</v>
      </c>
      <c r="M4507" s="1" t="s">
        <v>21</v>
      </c>
      <c r="N4507" s="1" t="s">
        <v>22</v>
      </c>
      <c r="O4507" s="2">
        <v>46205</v>
      </c>
      <c r="P4507" s="2">
        <v>46205</v>
      </c>
      <c r="Q4507">
        <f>_xlfn.XLOOKUP(E4507,CPT!$A$2:$A$13,CPT!$D$2:$D$13)</f>
        <v>420</v>
      </c>
      <c r="R4507" s="1">
        <f>_xlfn.XLOOKUP(C4507,Contract!$A$2:$A$9,Contract!$B$2:$B$9)</f>
        <v>0.43</v>
      </c>
      <c r="S4507" s="1">
        <f t="shared" si="280"/>
        <v>180.6</v>
      </c>
      <c r="T4507" s="1">
        <f t="shared" si="281"/>
        <v>-17.390000000000015</v>
      </c>
      <c r="U4507" s="1" t="str">
        <f t="shared" si="282"/>
        <v>OK</v>
      </c>
      <c r="V4507" s="1" t="str">
        <f>_xlfn.XLOOKUP(C4507,Payers!$A$2:$A$9,Payers!$B$2:$B$9)</f>
        <v>Summit Health Commercial</v>
      </c>
      <c r="W4507" s="1" t="str">
        <f t="shared" si="283"/>
        <v>2026-05</v>
      </c>
    </row>
    <row r="4508" spans="1:23">
      <c r="A4508" s="1" t="s">
        <v>7093</v>
      </c>
      <c r="B4508" s="1" t="s">
        <v>7094</v>
      </c>
      <c r="C4508" s="1" t="s">
        <v>76</v>
      </c>
      <c r="D4508" s="1" t="s">
        <v>26</v>
      </c>
      <c r="E4508" s="1" t="s">
        <v>113</v>
      </c>
      <c r="F4508">
        <v>1</v>
      </c>
      <c r="G4508" s="2">
        <v>46205</v>
      </c>
      <c r="H4508" s="2">
        <v>46207</v>
      </c>
      <c r="I4508">
        <v>1053.3599999999999</v>
      </c>
      <c r="J4508">
        <v>473.71</v>
      </c>
      <c r="K4508">
        <v>378.97</v>
      </c>
      <c r="L4508">
        <v>94.74</v>
      </c>
      <c r="M4508" s="1" t="s">
        <v>21</v>
      </c>
      <c r="N4508" s="1" t="s">
        <v>22</v>
      </c>
      <c r="O4508" s="2">
        <v>46240</v>
      </c>
      <c r="P4508" s="2">
        <v>46240</v>
      </c>
      <c r="Q4508">
        <f>_xlfn.XLOOKUP(E4508,CPT!$A$2:$A$13,CPT!$D$2:$D$13)</f>
        <v>1050</v>
      </c>
      <c r="R4508" s="1">
        <f>_xlfn.XLOOKUP(C4508,Contract!$A$2:$A$9,Contract!$B$2:$B$9)</f>
        <v>0.43</v>
      </c>
      <c r="S4508" s="1">
        <f t="shared" si="280"/>
        <v>451.5</v>
      </c>
      <c r="T4508" s="1">
        <f t="shared" si="281"/>
        <v>-22.20999999999998</v>
      </c>
      <c r="U4508" s="1" t="str">
        <f t="shared" si="282"/>
        <v>OK</v>
      </c>
      <c r="V4508" s="1" t="str">
        <f>_xlfn.XLOOKUP(C4508,Payers!$A$2:$A$9,Payers!$B$2:$B$9)</f>
        <v>Summit Health Commercial</v>
      </c>
      <c r="W4508" s="1" t="str">
        <f t="shared" si="283"/>
        <v>2026-07</v>
      </c>
    </row>
    <row r="4509" spans="1:23">
      <c r="A4509" s="1" t="s">
        <v>7095</v>
      </c>
      <c r="B4509" s="1" t="s">
        <v>7096</v>
      </c>
      <c r="C4509" s="1" t="s">
        <v>52</v>
      </c>
      <c r="D4509" s="1" t="s">
        <v>19</v>
      </c>
      <c r="E4509" s="1" t="s">
        <v>41</v>
      </c>
      <c r="F4509">
        <v>1</v>
      </c>
      <c r="G4509" s="2">
        <v>46115</v>
      </c>
      <c r="H4509" s="2">
        <v>46124</v>
      </c>
      <c r="I4509">
        <v>38.24</v>
      </c>
      <c r="J4509">
        <v>15.51</v>
      </c>
      <c r="K4509">
        <v>15.51</v>
      </c>
      <c r="L4509">
        <v>0</v>
      </c>
      <c r="M4509" s="1" t="s">
        <v>21</v>
      </c>
      <c r="N4509" s="1" t="s">
        <v>22</v>
      </c>
      <c r="O4509" s="2">
        <v>46196</v>
      </c>
      <c r="P4509" s="2">
        <v>46196</v>
      </c>
      <c r="Q4509">
        <f>_xlfn.XLOOKUP(E4509,CPT!$A$2:$A$13,CPT!$D$2:$D$13)</f>
        <v>38</v>
      </c>
      <c r="R4509" s="1">
        <f>_xlfn.XLOOKUP(C4509,Contract!$A$2:$A$9,Contract!$B$2:$B$9)</f>
        <v>0.47</v>
      </c>
      <c r="S4509" s="1">
        <f t="shared" si="280"/>
        <v>17.86</v>
      </c>
      <c r="T4509" s="1">
        <f t="shared" si="281"/>
        <v>2.3499999999999996</v>
      </c>
      <c r="U4509" s="1" t="str">
        <f t="shared" si="282"/>
        <v>Underpaid</v>
      </c>
      <c r="V4509" s="1" t="str">
        <f>_xlfn.XLOOKUP(C4509,Payers!$A$2:$A$9,Payers!$B$2:$B$9)</f>
        <v>Keystone Commercial PPO</v>
      </c>
      <c r="W4509" s="1" t="str">
        <f t="shared" si="283"/>
        <v>2026-04</v>
      </c>
    </row>
    <row r="4510" spans="1:23">
      <c r="A4510" s="1" t="s">
        <v>7097</v>
      </c>
      <c r="B4510" s="1" t="s">
        <v>7098</v>
      </c>
      <c r="C4510" s="1" t="s">
        <v>36</v>
      </c>
      <c r="D4510" s="1" t="s">
        <v>26</v>
      </c>
      <c r="E4510" s="1" t="s">
        <v>44</v>
      </c>
      <c r="F4510">
        <v>1</v>
      </c>
      <c r="G4510" s="2">
        <v>46050</v>
      </c>
      <c r="H4510" s="2">
        <v>46054</v>
      </c>
      <c r="I4510">
        <v>4913.49</v>
      </c>
      <c r="J4510">
        <v>1194.98</v>
      </c>
      <c r="K4510">
        <v>1075.48</v>
      </c>
      <c r="L4510">
        <v>119.5</v>
      </c>
      <c r="M4510" s="1" t="s">
        <v>21</v>
      </c>
      <c r="N4510" s="1" t="s">
        <v>22</v>
      </c>
      <c r="O4510" s="2">
        <v>46070</v>
      </c>
      <c r="P4510" s="2">
        <v>46070</v>
      </c>
      <c r="Q4510">
        <f>_xlfn.XLOOKUP(E4510,CPT!$A$2:$A$13,CPT!$D$2:$D$13)</f>
        <v>4800</v>
      </c>
      <c r="R4510" s="1">
        <f>_xlfn.XLOOKUP(C4510,Contract!$A$2:$A$9,Contract!$B$2:$B$9)</f>
        <v>0.27</v>
      </c>
      <c r="S4510" s="1">
        <f t="shared" si="280"/>
        <v>1296</v>
      </c>
      <c r="T4510" s="1">
        <f t="shared" si="281"/>
        <v>101.01999999999998</v>
      </c>
      <c r="U4510" s="1" t="str">
        <f t="shared" si="282"/>
        <v>Underpaid</v>
      </c>
      <c r="V4510" s="1" t="str">
        <f>_xlfn.XLOOKUP(C4510,Payers!$A$2:$A$9,Payers!$B$2:$B$9)</f>
        <v>Florida Medicaid</v>
      </c>
      <c r="W4510" s="1" t="str">
        <f t="shared" si="283"/>
        <v>2026-01</v>
      </c>
    </row>
    <row r="4511" spans="1:23">
      <c r="A4511" s="1" t="s">
        <v>7099</v>
      </c>
      <c r="B4511" s="1" t="s">
        <v>6846</v>
      </c>
      <c r="C4511" s="1" t="s">
        <v>25</v>
      </c>
      <c r="D4511" s="1" t="s">
        <v>37</v>
      </c>
      <c r="E4511" s="1" t="s">
        <v>57</v>
      </c>
      <c r="F4511">
        <v>1</v>
      </c>
      <c r="G4511" s="2">
        <v>45980</v>
      </c>
      <c r="H4511" s="2">
        <v>45989</v>
      </c>
      <c r="I4511">
        <v>207.63</v>
      </c>
      <c r="J4511">
        <v>68.55</v>
      </c>
      <c r="K4511">
        <v>68.55</v>
      </c>
      <c r="L4511">
        <v>0</v>
      </c>
      <c r="M4511" s="1" t="s">
        <v>21</v>
      </c>
      <c r="N4511" s="1" t="s">
        <v>22</v>
      </c>
      <c r="O4511" s="2">
        <v>46016</v>
      </c>
      <c r="P4511" s="2">
        <v>46016</v>
      </c>
      <c r="Q4511">
        <f>_xlfn.XLOOKUP(E4511,CPT!$A$2:$A$13,CPT!$D$2:$D$13)</f>
        <v>210</v>
      </c>
      <c r="R4511" s="1">
        <f>_xlfn.XLOOKUP(C4511,Contract!$A$2:$A$9,Contract!$B$2:$B$9)</f>
        <v>0.36</v>
      </c>
      <c r="S4511" s="1">
        <f t="shared" si="280"/>
        <v>75.599999999999994</v>
      </c>
      <c r="T4511" s="1">
        <f t="shared" si="281"/>
        <v>7.0499999999999972</v>
      </c>
      <c r="U4511" s="1" t="str">
        <f t="shared" si="282"/>
        <v>Underpaid</v>
      </c>
      <c r="V4511" s="1" t="str">
        <f>_xlfn.XLOOKUP(C4511,Payers!$A$2:$A$9,Payers!$B$2:$B$9)</f>
        <v>Medicare Part B</v>
      </c>
      <c r="W4511" s="1" t="str">
        <f t="shared" si="283"/>
        <v>2025-11</v>
      </c>
    </row>
    <row r="4512" spans="1:23">
      <c r="A4512" s="1" t="s">
        <v>7100</v>
      </c>
      <c r="B4512" s="1" t="s">
        <v>5251</v>
      </c>
      <c r="C4512" s="1" t="s">
        <v>25</v>
      </c>
      <c r="D4512" s="1" t="s">
        <v>26</v>
      </c>
      <c r="E4512" s="1" t="s">
        <v>88</v>
      </c>
      <c r="F4512">
        <v>1</v>
      </c>
      <c r="G4512" s="2">
        <v>46036</v>
      </c>
      <c r="H4512" s="2">
        <v>46041</v>
      </c>
      <c r="I4512">
        <v>255.33</v>
      </c>
      <c r="J4512">
        <v>83.33</v>
      </c>
      <c r="K4512">
        <v>66.66</v>
      </c>
      <c r="L4512">
        <v>16.670000000000002</v>
      </c>
      <c r="M4512" s="1" t="s">
        <v>21</v>
      </c>
      <c r="N4512" s="1" t="s">
        <v>22</v>
      </c>
      <c r="O4512" s="2">
        <v>46057</v>
      </c>
      <c r="P4512" s="2">
        <v>46057</v>
      </c>
      <c r="Q4512">
        <f>_xlfn.XLOOKUP(E4512,CPT!$A$2:$A$13,CPT!$D$2:$D$13)</f>
        <v>260</v>
      </c>
      <c r="R4512" s="1">
        <f>_xlfn.XLOOKUP(C4512,Contract!$A$2:$A$9,Contract!$B$2:$B$9)</f>
        <v>0.36</v>
      </c>
      <c r="S4512" s="1">
        <f t="shared" si="280"/>
        <v>93.6</v>
      </c>
      <c r="T4512" s="1">
        <f t="shared" si="281"/>
        <v>10.269999999999996</v>
      </c>
      <c r="U4512" s="1" t="str">
        <f t="shared" si="282"/>
        <v>Underpaid</v>
      </c>
      <c r="V4512" s="1" t="str">
        <f>_xlfn.XLOOKUP(C4512,Payers!$A$2:$A$9,Payers!$B$2:$B$9)</f>
        <v>Medicare Part B</v>
      </c>
      <c r="W4512" s="1" t="str">
        <f t="shared" si="283"/>
        <v>2026-01</v>
      </c>
    </row>
    <row r="4513" spans="1:23">
      <c r="A4513" s="1" t="s">
        <v>7101</v>
      </c>
      <c r="B4513" s="1" t="s">
        <v>7102</v>
      </c>
      <c r="C4513" s="1" t="s">
        <v>47</v>
      </c>
      <c r="D4513" s="1" t="s">
        <v>30</v>
      </c>
      <c r="E4513" s="1" t="s">
        <v>91</v>
      </c>
      <c r="F4513">
        <v>2</v>
      </c>
      <c r="G4513" s="2">
        <v>46014</v>
      </c>
      <c r="H4513" s="2">
        <v>46017</v>
      </c>
      <c r="I4513">
        <v>116.05</v>
      </c>
      <c r="J4513">
        <v>35.71</v>
      </c>
      <c r="K4513">
        <v>35.71</v>
      </c>
      <c r="L4513">
        <v>0</v>
      </c>
      <c r="M4513" s="1" t="s">
        <v>21</v>
      </c>
      <c r="N4513" s="1" t="s">
        <v>22</v>
      </c>
      <c r="O4513" s="2">
        <v>46067</v>
      </c>
      <c r="P4513" s="2">
        <v>46067</v>
      </c>
      <c r="Q4513">
        <f>_xlfn.XLOOKUP(E4513,CPT!$A$2:$A$13,CPT!$D$2:$D$13)</f>
        <v>58</v>
      </c>
      <c r="R4513" s="1">
        <f>_xlfn.XLOOKUP(C4513,Contract!$A$2:$A$9,Contract!$B$2:$B$9)</f>
        <v>0.28000000000000003</v>
      </c>
      <c r="S4513" s="1">
        <f t="shared" si="280"/>
        <v>32.479999999999997</v>
      </c>
      <c r="T4513" s="1">
        <f t="shared" si="281"/>
        <v>-3.230000000000004</v>
      </c>
      <c r="U4513" s="1" t="str">
        <f t="shared" si="282"/>
        <v>OK</v>
      </c>
      <c r="V4513" s="1" t="str">
        <f>_xlfn.XLOOKUP(C4513,Payers!$A$2:$A$9,Payers!$B$2:$B$9)</f>
        <v>Coastal Medicaid MCO</v>
      </c>
      <c r="W4513" s="1" t="str">
        <f t="shared" si="283"/>
        <v>2025-12</v>
      </c>
    </row>
    <row r="4514" spans="1:23">
      <c r="A4514" s="1" t="s">
        <v>7103</v>
      </c>
      <c r="B4514" s="1" t="s">
        <v>7104</v>
      </c>
      <c r="C4514" s="1" t="s">
        <v>60</v>
      </c>
      <c r="D4514" s="1" t="s">
        <v>26</v>
      </c>
      <c r="E4514" s="1" t="s">
        <v>57</v>
      </c>
      <c r="F4514">
        <v>1</v>
      </c>
      <c r="G4514" s="2">
        <v>46248</v>
      </c>
      <c r="H4514" s="2">
        <v>46254</v>
      </c>
      <c r="I4514">
        <v>214.9</v>
      </c>
      <c r="J4514">
        <v>93.1</v>
      </c>
      <c r="K4514">
        <v>74.48</v>
      </c>
      <c r="L4514">
        <v>18.62</v>
      </c>
      <c r="M4514" s="1" t="s">
        <v>21</v>
      </c>
      <c r="N4514" s="1" t="s">
        <v>22</v>
      </c>
      <c r="O4514" s="2">
        <v>46264</v>
      </c>
      <c r="P4514" s="2">
        <v>46264</v>
      </c>
      <c r="Q4514">
        <f>_xlfn.XLOOKUP(E4514,CPT!$A$2:$A$13,CPT!$D$2:$D$13)</f>
        <v>210</v>
      </c>
      <c r="R4514" s="1">
        <f>_xlfn.XLOOKUP(C4514,Contract!$A$2:$A$9,Contract!$B$2:$B$9)</f>
        <v>0.45</v>
      </c>
      <c r="S4514" s="1">
        <f t="shared" si="280"/>
        <v>94.5</v>
      </c>
      <c r="T4514" s="1">
        <f t="shared" si="281"/>
        <v>1.4000000000000057</v>
      </c>
      <c r="U4514" s="1" t="str">
        <f t="shared" si="282"/>
        <v>OK</v>
      </c>
      <c r="V4514" s="1" t="str">
        <f>_xlfn.XLOOKUP(C4514,Payers!$A$2:$A$9,Payers!$B$2:$B$9)</f>
        <v>Blue Horizon Commercial</v>
      </c>
      <c r="W4514" s="1" t="str">
        <f t="shared" si="283"/>
        <v>2026-08</v>
      </c>
    </row>
    <row r="4515" spans="1:23">
      <c r="A4515" s="1" t="s">
        <v>7105</v>
      </c>
      <c r="B4515" s="1" t="s">
        <v>2776</v>
      </c>
      <c r="C4515" s="1" t="s">
        <v>76</v>
      </c>
      <c r="D4515" s="1" t="s">
        <v>26</v>
      </c>
      <c r="E4515" s="1" t="s">
        <v>57</v>
      </c>
      <c r="F4515">
        <v>1</v>
      </c>
      <c r="G4515" s="2">
        <v>46210</v>
      </c>
      <c r="H4515" s="2">
        <v>46222</v>
      </c>
      <c r="I4515">
        <v>208</v>
      </c>
      <c r="J4515">
        <v>100.9</v>
      </c>
      <c r="K4515">
        <v>90.81</v>
      </c>
      <c r="L4515">
        <v>10.09</v>
      </c>
      <c r="M4515" s="1" t="s">
        <v>21</v>
      </c>
      <c r="N4515" s="1" t="s">
        <v>22</v>
      </c>
      <c r="O4515" s="2">
        <v>46237</v>
      </c>
      <c r="P4515" s="2">
        <v>46237</v>
      </c>
      <c r="Q4515">
        <f>_xlfn.XLOOKUP(E4515,CPT!$A$2:$A$13,CPT!$D$2:$D$13)</f>
        <v>210</v>
      </c>
      <c r="R4515" s="1">
        <f>_xlfn.XLOOKUP(C4515,Contract!$A$2:$A$9,Contract!$B$2:$B$9)</f>
        <v>0.43</v>
      </c>
      <c r="S4515" s="1">
        <f t="shared" si="280"/>
        <v>90.3</v>
      </c>
      <c r="T4515" s="1">
        <f t="shared" si="281"/>
        <v>-10.600000000000009</v>
      </c>
      <c r="U4515" s="1" t="str">
        <f t="shared" si="282"/>
        <v>OK</v>
      </c>
      <c r="V4515" s="1" t="str">
        <f>_xlfn.XLOOKUP(C4515,Payers!$A$2:$A$9,Payers!$B$2:$B$9)</f>
        <v>Summit Health Commercial</v>
      </c>
      <c r="W4515" s="1" t="str">
        <f t="shared" si="283"/>
        <v>2026-07</v>
      </c>
    </row>
    <row r="4516" spans="1:23">
      <c r="A4516" s="1" t="s">
        <v>7106</v>
      </c>
      <c r="B4516" s="1" t="s">
        <v>6978</v>
      </c>
      <c r="C4516" s="1" t="s">
        <v>25</v>
      </c>
      <c r="D4516" s="1" t="s">
        <v>26</v>
      </c>
      <c r="E4516" s="1" t="s">
        <v>57</v>
      </c>
      <c r="F4516">
        <v>1</v>
      </c>
      <c r="G4516" s="2">
        <v>46091</v>
      </c>
      <c r="H4516" s="2">
        <v>46096</v>
      </c>
      <c r="I4516">
        <v>212.47</v>
      </c>
      <c r="J4516">
        <v>77.150000000000006</v>
      </c>
      <c r="K4516">
        <v>61.72</v>
      </c>
      <c r="L4516">
        <v>15.43</v>
      </c>
      <c r="M4516" s="1" t="s">
        <v>21</v>
      </c>
      <c r="N4516" s="1" t="s">
        <v>22</v>
      </c>
      <c r="O4516" s="2">
        <v>46112</v>
      </c>
      <c r="P4516" s="2">
        <v>46112</v>
      </c>
      <c r="Q4516">
        <f>_xlfn.XLOOKUP(E4516,CPT!$A$2:$A$13,CPT!$D$2:$D$13)</f>
        <v>210</v>
      </c>
      <c r="R4516" s="1">
        <f>_xlfn.XLOOKUP(C4516,Contract!$A$2:$A$9,Contract!$B$2:$B$9)</f>
        <v>0.36</v>
      </c>
      <c r="S4516" s="1">
        <f t="shared" si="280"/>
        <v>75.599999999999994</v>
      </c>
      <c r="T4516" s="1">
        <f t="shared" si="281"/>
        <v>-1.5500000000000114</v>
      </c>
      <c r="U4516" s="1" t="str">
        <f t="shared" si="282"/>
        <v>OK</v>
      </c>
      <c r="V4516" s="1" t="str">
        <f>_xlfn.XLOOKUP(C4516,Payers!$A$2:$A$9,Payers!$B$2:$B$9)</f>
        <v>Medicare Part B</v>
      </c>
      <c r="W4516" s="1" t="str">
        <f t="shared" si="283"/>
        <v>2026-03</v>
      </c>
    </row>
    <row r="4517" spans="1:23">
      <c r="A4517" s="1" t="s">
        <v>7107</v>
      </c>
      <c r="B4517" s="1" t="s">
        <v>857</v>
      </c>
      <c r="C4517" s="1" t="s">
        <v>25</v>
      </c>
      <c r="D4517" s="1" t="s">
        <v>19</v>
      </c>
      <c r="E4517" s="1" t="s">
        <v>57</v>
      </c>
      <c r="F4517">
        <v>1</v>
      </c>
      <c r="G4517" s="2">
        <v>46145</v>
      </c>
      <c r="H4517" s="2">
        <v>46148</v>
      </c>
      <c r="I4517">
        <v>205.01</v>
      </c>
      <c r="J4517">
        <v>72.41</v>
      </c>
      <c r="K4517">
        <v>72.41</v>
      </c>
      <c r="L4517">
        <v>0</v>
      </c>
      <c r="M4517" s="1" t="s">
        <v>21</v>
      </c>
      <c r="N4517" s="1" t="s">
        <v>22</v>
      </c>
      <c r="O4517" s="2">
        <v>46170</v>
      </c>
      <c r="P4517" s="2">
        <v>46170</v>
      </c>
      <c r="Q4517">
        <f>_xlfn.XLOOKUP(E4517,CPT!$A$2:$A$13,CPT!$D$2:$D$13)</f>
        <v>210</v>
      </c>
      <c r="R4517" s="1">
        <f>_xlfn.XLOOKUP(C4517,Contract!$A$2:$A$9,Contract!$B$2:$B$9)</f>
        <v>0.36</v>
      </c>
      <c r="S4517" s="1">
        <f t="shared" si="280"/>
        <v>75.599999999999994</v>
      </c>
      <c r="T4517" s="1">
        <f t="shared" si="281"/>
        <v>3.1899999999999977</v>
      </c>
      <c r="U4517" s="1" t="str">
        <f t="shared" si="282"/>
        <v>OK</v>
      </c>
      <c r="V4517" s="1" t="str">
        <f>_xlfn.XLOOKUP(C4517,Payers!$A$2:$A$9,Payers!$B$2:$B$9)</f>
        <v>Medicare Part B</v>
      </c>
      <c r="W4517" s="1" t="str">
        <f t="shared" si="283"/>
        <v>2026-05</v>
      </c>
    </row>
    <row r="4518" spans="1:23">
      <c r="A4518" s="1" t="s">
        <v>7108</v>
      </c>
      <c r="B4518" s="1" t="s">
        <v>509</v>
      </c>
      <c r="C4518" s="1" t="s">
        <v>18</v>
      </c>
      <c r="D4518" s="1" t="s">
        <v>26</v>
      </c>
      <c r="E4518" s="1" t="s">
        <v>57</v>
      </c>
      <c r="F4518">
        <v>1</v>
      </c>
      <c r="G4518" s="2">
        <v>46065</v>
      </c>
      <c r="H4518" s="2">
        <v>46066</v>
      </c>
      <c r="I4518">
        <v>205.58</v>
      </c>
      <c r="J4518">
        <v>81.02</v>
      </c>
      <c r="K4518">
        <v>81.02</v>
      </c>
      <c r="L4518">
        <v>0</v>
      </c>
      <c r="M4518" s="1" t="s">
        <v>21</v>
      </c>
      <c r="N4518" s="1" t="s">
        <v>22</v>
      </c>
      <c r="O4518" s="2">
        <v>46117</v>
      </c>
      <c r="P4518" s="2">
        <v>46117</v>
      </c>
      <c r="Q4518">
        <f>_xlfn.XLOOKUP(E4518,CPT!$A$2:$A$13,CPT!$D$2:$D$13)</f>
        <v>210</v>
      </c>
      <c r="R4518" s="1">
        <f>_xlfn.XLOOKUP(C4518,Contract!$A$2:$A$9,Contract!$B$2:$B$9)</f>
        <v>0.38</v>
      </c>
      <c r="S4518" s="1">
        <f t="shared" si="280"/>
        <v>79.8</v>
      </c>
      <c r="T4518" s="1">
        <f t="shared" si="281"/>
        <v>-1.2199999999999989</v>
      </c>
      <c r="U4518" s="1" t="str">
        <f t="shared" si="282"/>
        <v>OK</v>
      </c>
      <c r="V4518" s="1" t="str">
        <f>_xlfn.XLOOKUP(C4518,Payers!$A$2:$A$9,Payers!$B$2:$B$9)</f>
        <v>Sunshine Medicare Advantage</v>
      </c>
      <c r="W4518" s="1" t="str">
        <f t="shared" si="283"/>
        <v>2026-02</v>
      </c>
    </row>
    <row r="4519" spans="1:23">
      <c r="A4519" s="1" t="s">
        <v>7109</v>
      </c>
      <c r="B4519" s="1" t="s">
        <v>7110</v>
      </c>
      <c r="C4519" s="1" t="s">
        <v>52</v>
      </c>
      <c r="D4519" s="1" t="s">
        <v>26</v>
      </c>
      <c r="E4519" s="1" t="s">
        <v>57</v>
      </c>
      <c r="F4519">
        <v>1</v>
      </c>
      <c r="G4519" s="2">
        <v>46152</v>
      </c>
      <c r="H4519" s="2">
        <v>46156</v>
      </c>
      <c r="I4519">
        <v>206.68</v>
      </c>
      <c r="M4519" s="1" t="s">
        <v>32</v>
      </c>
      <c r="N4519" s="1" t="s">
        <v>49</v>
      </c>
      <c r="O4519" s="2">
        <v>46212</v>
      </c>
      <c r="P4519" s="2"/>
      <c r="Q4519">
        <f>_xlfn.XLOOKUP(E4519,CPT!$A$2:$A$13,CPT!$D$2:$D$13)</f>
        <v>210</v>
      </c>
      <c r="R4519" s="1">
        <f>_xlfn.XLOOKUP(C4519,Contract!$A$2:$A$9,Contract!$B$2:$B$9)</f>
        <v>0.47</v>
      </c>
      <c r="S4519" s="1">
        <f t="shared" si="280"/>
        <v>98.7</v>
      </c>
      <c r="T4519" s="1" t="str">
        <f t="shared" si="281"/>
        <v/>
      </c>
      <c r="U4519" s="1" t="str">
        <f t="shared" si="282"/>
        <v/>
      </c>
      <c r="V4519" s="1" t="str">
        <f>_xlfn.XLOOKUP(C4519,Payers!$A$2:$A$9,Payers!$B$2:$B$9)</f>
        <v>Keystone Commercial PPO</v>
      </c>
      <c r="W4519" s="1" t="str">
        <f t="shared" si="283"/>
        <v>2026-05</v>
      </c>
    </row>
    <row r="4520" spans="1:23">
      <c r="A4520" s="1" t="s">
        <v>7111</v>
      </c>
      <c r="B4520" s="1" t="s">
        <v>709</v>
      </c>
      <c r="C4520" s="1" t="s">
        <v>25</v>
      </c>
      <c r="D4520" s="1" t="s">
        <v>26</v>
      </c>
      <c r="E4520" s="1" t="s">
        <v>44</v>
      </c>
      <c r="F4520">
        <v>1</v>
      </c>
      <c r="G4520" s="2">
        <v>46125</v>
      </c>
      <c r="H4520" s="2">
        <v>46135</v>
      </c>
      <c r="I4520">
        <v>4728.55</v>
      </c>
      <c r="J4520">
        <v>1609.82</v>
      </c>
      <c r="K4520">
        <v>1448.84</v>
      </c>
      <c r="L4520">
        <v>160.97999999999999</v>
      </c>
      <c r="M4520" s="1" t="s">
        <v>21</v>
      </c>
      <c r="N4520" s="1" t="s">
        <v>22</v>
      </c>
      <c r="O4520" s="2">
        <v>46159</v>
      </c>
      <c r="P4520" s="2">
        <v>46159</v>
      </c>
      <c r="Q4520">
        <f>_xlfn.XLOOKUP(E4520,CPT!$A$2:$A$13,CPT!$D$2:$D$13)</f>
        <v>4800</v>
      </c>
      <c r="R4520" s="1">
        <f>_xlfn.XLOOKUP(C4520,Contract!$A$2:$A$9,Contract!$B$2:$B$9)</f>
        <v>0.36</v>
      </c>
      <c r="S4520" s="1">
        <f t="shared" si="280"/>
        <v>1728</v>
      </c>
      <c r="T4520" s="1">
        <f t="shared" si="281"/>
        <v>118.18000000000006</v>
      </c>
      <c r="U4520" s="1" t="str">
        <f t="shared" si="282"/>
        <v>Underpaid</v>
      </c>
      <c r="V4520" s="1" t="str">
        <f>_xlfn.XLOOKUP(C4520,Payers!$A$2:$A$9,Payers!$B$2:$B$9)</f>
        <v>Medicare Part B</v>
      </c>
      <c r="W4520" s="1" t="str">
        <f t="shared" si="283"/>
        <v>2026-04</v>
      </c>
    </row>
    <row r="4521" spans="1:23">
      <c r="A4521" s="1" t="s">
        <v>7112</v>
      </c>
      <c r="B4521" s="1" t="s">
        <v>3224</v>
      </c>
      <c r="C4521" s="1" t="s">
        <v>36</v>
      </c>
      <c r="D4521" s="1" t="s">
        <v>26</v>
      </c>
      <c r="E4521" s="1" t="s">
        <v>88</v>
      </c>
      <c r="F4521">
        <v>1</v>
      </c>
      <c r="G4521" s="2">
        <v>46126</v>
      </c>
      <c r="H4521" s="2">
        <v>46128</v>
      </c>
      <c r="I4521">
        <v>261.76</v>
      </c>
      <c r="J4521">
        <v>62.08</v>
      </c>
      <c r="K4521">
        <v>55.87</v>
      </c>
      <c r="L4521">
        <v>6.21</v>
      </c>
      <c r="M4521" s="1" t="s">
        <v>21</v>
      </c>
      <c r="N4521" s="1" t="s">
        <v>22</v>
      </c>
      <c r="O4521" s="2">
        <v>46167</v>
      </c>
      <c r="P4521" s="2">
        <v>46167</v>
      </c>
      <c r="Q4521">
        <f>_xlfn.XLOOKUP(E4521,CPT!$A$2:$A$13,CPT!$D$2:$D$13)</f>
        <v>260</v>
      </c>
      <c r="R4521" s="1">
        <f>_xlfn.XLOOKUP(C4521,Contract!$A$2:$A$9,Contract!$B$2:$B$9)</f>
        <v>0.27</v>
      </c>
      <c r="S4521" s="1">
        <f t="shared" si="280"/>
        <v>70.2</v>
      </c>
      <c r="T4521" s="1">
        <f t="shared" si="281"/>
        <v>8.1200000000000045</v>
      </c>
      <c r="U4521" s="1" t="str">
        <f t="shared" si="282"/>
        <v>Underpaid</v>
      </c>
      <c r="V4521" s="1" t="str">
        <f>_xlfn.XLOOKUP(C4521,Payers!$A$2:$A$9,Payers!$B$2:$B$9)</f>
        <v>Florida Medicaid</v>
      </c>
      <c r="W4521" s="1" t="str">
        <f t="shared" si="283"/>
        <v>2026-04</v>
      </c>
    </row>
    <row r="4522" spans="1:23">
      <c r="A4522" s="1" t="s">
        <v>7113</v>
      </c>
      <c r="B4522" s="1" t="s">
        <v>2809</v>
      </c>
      <c r="C4522" s="1" t="s">
        <v>60</v>
      </c>
      <c r="D4522" s="1" t="s">
        <v>19</v>
      </c>
      <c r="E4522" s="1" t="s">
        <v>41</v>
      </c>
      <c r="F4522">
        <v>1</v>
      </c>
      <c r="G4522" s="2">
        <v>46174</v>
      </c>
      <c r="H4522" s="2">
        <v>46189</v>
      </c>
      <c r="I4522">
        <v>37.83</v>
      </c>
      <c r="J4522">
        <v>18.21</v>
      </c>
      <c r="K4522">
        <v>14.57</v>
      </c>
      <c r="L4522">
        <v>3.64</v>
      </c>
      <c r="M4522" s="1" t="s">
        <v>21</v>
      </c>
      <c r="N4522" s="1" t="s">
        <v>22</v>
      </c>
      <c r="O4522" s="2">
        <v>46222</v>
      </c>
      <c r="P4522" s="2">
        <v>46222</v>
      </c>
      <c r="Q4522">
        <f>_xlfn.XLOOKUP(E4522,CPT!$A$2:$A$13,CPT!$D$2:$D$13)</f>
        <v>38</v>
      </c>
      <c r="R4522" s="1">
        <f>_xlfn.XLOOKUP(C4522,Contract!$A$2:$A$9,Contract!$B$2:$B$9)</f>
        <v>0.45</v>
      </c>
      <c r="S4522" s="1">
        <f t="shared" si="280"/>
        <v>17.100000000000001</v>
      </c>
      <c r="T4522" s="1">
        <f t="shared" si="281"/>
        <v>-1.1099999999999994</v>
      </c>
      <c r="U4522" s="1" t="str">
        <f t="shared" si="282"/>
        <v>OK</v>
      </c>
      <c r="V4522" s="1" t="str">
        <f>_xlfn.XLOOKUP(C4522,Payers!$A$2:$A$9,Payers!$B$2:$B$9)</f>
        <v>Blue Horizon Commercial</v>
      </c>
      <c r="W4522" s="1" t="str">
        <f t="shared" si="283"/>
        <v>2026-06</v>
      </c>
    </row>
    <row r="4523" spans="1:23">
      <c r="A4523" s="1" t="s">
        <v>7114</v>
      </c>
      <c r="B4523" s="1" t="s">
        <v>1614</v>
      </c>
      <c r="C4523" s="1" t="s">
        <v>60</v>
      </c>
      <c r="D4523" s="1" t="s">
        <v>26</v>
      </c>
      <c r="E4523" s="1" t="s">
        <v>27</v>
      </c>
      <c r="F4523">
        <v>1</v>
      </c>
      <c r="G4523" s="2">
        <v>45987</v>
      </c>
      <c r="H4523" s="2">
        <v>45990</v>
      </c>
      <c r="I4523">
        <v>241.06</v>
      </c>
      <c r="M4523" s="1" t="s">
        <v>32</v>
      </c>
      <c r="N4523" s="1" t="s">
        <v>49</v>
      </c>
      <c r="O4523" s="2">
        <v>46021</v>
      </c>
      <c r="P4523" s="2"/>
      <c r="Q4523">
        <f>_xlfn.XLOOKUP(E4523,CPT!$A$2:$A$13,CPT!$D$2:$D$13)</f>
        <v>240</v>
      </c>
      <c r="R4523" s="1">
        <f>_xlfn.XLOOKUP(C4523,Contract!$A$2:$A$9,Contract!$B$2:$B$9)</f>
        <v>0.45</v>
      </c>
      <c r="S4523" s="1">
        <f t="shared" si="280"/>
        <v>108</v>
      </c>
      <c r="T4523" s="1" t="str">
        <f t="shared" si="281"/>
        <v/>
      </c>
      <c r="U4523" s="1" t="str">
        <f t="shared" si="282"/>
        <v/>
      </c>
      <c r="V4523" s="1" t="str">
        <f>_xlfn.XLOOKUP(C4523,Payers!$A$2:$A$9,Payers!$B$2:$B$9)</f>
        <v>Blue Horizon Commercial</v>
      </c>
      <c r="W4523" s="1" t="str">
        <f t="shared" si="283"/>
        <v>2025-11</v>
      </c>
    </row>
    <row r="4524" spans="1:23">
      <c r="A4524" s="1" t="s">
        <v>7115</v>
      </c>
      <c r="B4524" s="1" t="s">
        <v>7116</v>
      </c>
      <c r="C4524" s="1" t="s">
        <v>25</v>
      </c>
      <c r="D4524" s="1" t="s">
        <v>37</v>
      </c>
      <c r="E4524" s="1" t="s">
        <v>48</v>
      </c>
      <c r="F4524">
        <v>1</v>
      </c>
      <c r="G4524" s="2">
        <v>46027</v>
      </c>
      <c r="H4524" s="2">
        <v>46035</v>
      </c>
      <c r="I4524">
        <v>421.07</v>
      </c>
      <c r="J4524">
        <v>129.72</v>
      </c>
      <c r="K4524">
        <v>103.78</v>
      </c>
      <c r="L4524">
        <v>25.94</v>
      </c>
      <c r="M4524" s="1" t="s">
        <v>21</v>
      </c>
      <c r="N4524" s="1" t="s">
        <v>22</v>
      </c>
      <c r="O4524" s="2">
        <v>46055</v>
      </c>
      <c r="P4524" s="2">
        <v>46055</v>
      </c>
      <c r="Q4524">
        <f>_xlfn.XLOOKUP(E4524,CPT!$A$2:$A$13,CPT!$D$2:$D$13)</f>
        <v>420</v>
      </c>
      <c r="R4524" s="1">
        <f>_xlfn.XLOOKUP(C4524,Contract!$A$2:$A$9,Contract!$B$2:$B$9)</f>
        <v>0.36</v>
      </c>
      <c r="S4524" s="1">
        <f t="shared" si="280"/>
        <v>151.19999999999999</v>
      </c>
      <c r="T4524" s="1">
        <f t="shared" si="281"/>
        <v>21.47999999999999</v>
      </c>
      <c r="U4524" s="1" t="str">
        <f t="shared" si="282"/>
        <v>Underpaid</v>
      </c>
      <c r="V4524" s="1" t="str">
        <f>_xlfn.XLOOKUP(C4524,Payers!$A$2:$A$9,Payers!$B$2:$B$9)</f>
        <v>Medicare Part B</v>
      </c>
      <c r="W4524" s="1" t="str">
        <f t="shared" si="283"/>
        <v>2026-01</v>
      </c>
    </row>
    <row r="4525" spans="1:23">
      <c r="A4525" s="1" t="s">
        <v>7117</v>
      </c>
      <c r="B4525" s="1" t="s">
        <v>6841</v>
      </c>
      <c r="C4525" s="1" t="s">
        <v>60</v>
      </c>
      <c r="D4525" s="1" t="s">
        <v>37</v>
      </c>
      <c r="E4525" s="1" t="s">
        <v>57</v>
      </c>
      <c r="F4525">
        <v>1</v>
      </c>
      <c r="G4525" s="2">
        <v>46062</v>
      </c>
      <c r="H4525" s="2">
        <v>46065</v>
      </c>
      <c r="I4525">
        <v>206.74</v>
      </c>
      <c r="J4525">
        <v>89.64</v>
      </c>
      <c r="K4525">
        <v>80.680000000000007</v>
      </c>
      <c r="L4525">
        <v>8.9600000000000009</v>
      </c>
      <c r="M4525" s="1" t="s">
        <v>21</v>
      </c>
      <c r="N4525" s="1" t="s">
        <v>22</v>
      </c>
      <c r="O4525" s="2">
        <v>46089</v>
      </c>
      <c r="P4525" s="2">
        <v>46089</v>
      </c>
      <c r="Q4525">
        <f>_xlfn.XLOOKUP(E4525,CPT!$A$2:$A$13,CPT!$D$2:$D$13)</f>
        <v>210</v>
      </c>
      <c r="R4525" s="1">
        <f>_xlfn.XLOOKUP(C4525,Contract!$A$2:$A$9,Contract!$B$2:$B$9)</f>
        <v>0.45</v>
      </c>
      <c r="S4525" s="1">
        <f t="shared" si="280"/>
        <v>94.5</v>
      </c>
      <c r="T4525" s="1">
        <f t="shared" si="281"/>
        <v>4.8599999999999994</v>
      </c>
      <c r="U4525" s="1" t="str">
        <f t="shared" si="282"/>
        <v>Underpaid</v>
      </c>
      <c r="V4525" s="1" t="str">
        <f>_xlfn.XLOOKUP(C4525,Payers!$A$2:$A$9,Payers!$B$2:$B$9)</f>
        <v>Blue Horizon Commercial</v>
      </c>
      <c r="W4525" s="1" t="str">
        <f t="shared" si="283"/>
        <v>2026-02</v>
      </c>
    </row>
    <row r="4526" spans="1:23">
      <c r="A4526" s="1" t="s">
        <v>7118</v>
      </c>
      <c r="B4526" s="1" t="s">
        <v>7096</v>
      </c>
      <c r="C4526" s="1" t="s">
        <v>18</v>
      </c>
      <c r="D4526" s="1" t="s">
        <v>26</v>
      </c>
      <c r="E4526" s="1" t="s">
        <v>113</v>
      </c>
      <c r="F4526">
        <v>1</v>
      </c>
      <c r="G4526" s="2">
        <v>46031</v>
      </c>
      <c r="H4526" s="2">
        <v>46032</v>
      </c>
      <c r="I4526">
        <v>1059.58</v>
      </c>
      <c r="J4526">
        <v>346.21</v>
      </c>
      <c r="K4526">
        <v>276.97000000000003</v>
      </c>
      <c r="L4526">
        <v>69.239999999999995</v>
      </c>
      <c r="M4526" s="1" t="s">
        <v>21</v>
      </c>
      <c r="N4526" s="1" t="s">
        <v>22</v>
      </c>
      <c r="O4526" s="2">
        <v>46108</v>
      </c>
      <c r="P4526" s="2">
        <v>46108</v>
      </c>
      <c r="Q4526">
        <f>_xlfn.XLOOKUP(E4526,CPT!$A$2:$A$13,CPT!$D$2:$D$13)</f>
        <v>1050</v>
      </c>
      <c r="R4526" s="1">
        <f>_xlfn.XLOOKUP(C4526,Contract!$A$2:$A$9,Contract!$B$2:$B$9)</f>
        <v>0.38</v>
      </c>
      <c r="S4526" s="1">
        <f t="shared" si="280"/>
        <v>399</v>
      </c>
      <c r="T4526" s="1">
        <f t="shared" si="281"/>
        <v>52.79000000000002</v>
      </c>
      <c r="U4526" s="1" t="str">
        <f t="shared" si="282"/>
        <v>Underpaid</v>
      </c>
      <c r="V4526" s="1" t="str">
        <f>_xlfn.XLOOKUP(C4526,Payers!$A$2:$A$9,Payers!$B$2:$B$9)</f>
        <v>Sunshine Medicare Advantage</v>
      </c>
      <c r="W4526" s="1" t="str">
        <f t="shared" si="283"/>
        <v>2026-01</v>
      </c>
    </row>
    <row r="4527" spans="1:23">
      <c r="A4527" s="1" t="s">
        <v>7119</v>
      </c>
      <c r="B4527" s="1" t="s">
        <v>7120</v>
      </c>
      <c r="C4527" s="1" t="s">
        <v>60</v>
      </c>
      <c r="D4527" s="1" t="s">
        <v>26</v>
      </c>
      <c r="E4527" s="1" t="s">
        <v>88</v>
      </c>
      <c r="F4527">
        <v>1</v>
      </c>
      <c r="G4527" s="2">
        <v>46270</v>
      </c>
      <c r="H4527" s="2">
        <v>46275</v>
      </c>
      <c r="I4527">
        <v>252.31</v>
      </c>
      <c r="M4527" s="1" t="s">
        <v>69</v>
      </c>
      <c r="N4527" s="1" t="s">
        <v>22</v>
      </c>
      <c r="O4527" s="2"/>
      <c r="P4527" s="2"/>
      <c r="Q4527">
        <f>_xlfn.XLOOKUP(E4527,CPT!$A$2:$A$13,CPT!$D$2:$D$13)</f>
        <v>260</v>
      </c>
      <c r="R4527" s="1">
        <f>_xlfn.XLOOKUP(C4527,Contract!$A$2:$A$9,Contract!$B$2:$B$9)</f>
        <v>0.45</v>
      </c>
      <c r="S4527" s="1">
        <f t="shared" si="280"/>
        <v>117</v>
      </c>
      <c r="T4527" s="1" t="str">
        <f t="shared" si="281"/>
        <v/>
      </c>
      <c r="U4527" s="1" t="str">
        <f t="shared" si="282"/>
        <v/>
      </c>
      <c r="V4527" s="1" t="str">
        <f>_xlfn.XLOOKUP(C4527,Payers!$A$2:$A$9,Payers!$B$2:$B$9)</f>
        <v>Blue Horizon Commercial</v>
      </c>
      <c r="W4527" s="1" t="str">
        <f t="shared" si="283"/>
        <v>2026-09</v>
      </c>
    </row>
    <row r="4528" spans="1:23">
      <c r="A4528" s="1" t="s">
        <v>7121</v>
      </c>
      <c r="B4528" s="1" t="s">
        <v>1536</v>
      </c>
      <c r="C4528" s="1" t="s">
        <v>60</v>
      </c>
      <c r="D4528" s="1" t="s">
        <v>37</v>
      </c>
      <c r="E4528" s="1" t="s">
        <v>57</v>
      </c>
      <c r="F4528">
        <v>1</v>
      </c>
      <c r="G4528" s="2">
        <v>45973</v>
      </c>
      <c r="H4528" s="2">
        <v>45976</v>
      </c>
      <c r="I4528">
        <v>214.27</v>
      </c>
      <c r="J4528">
        <v>82.28</v>
      </c>
      <c r="K4528">
        <v>82.28</v>
      </c>
      <c r="L4528">
        <v>0</v>
      </c>
      <c r="M4528" s="1" t="s">
        <v>21</v>
      </c>
      <c r="N4528" s="1" t="s">
        <v>22</v>
      </c>
      <c r="O4528" s="2">
        <v>45988</v>
      </c>
      <c r="P4528" s="2">
        <v>45988</v>
      </c>
      <c r="Q4528">
        <f>_xlfn.XLOOKUP(E4528,CPT!$A$2:$A$13,CPT!$D$2:$D$13)</f>
        <v>210</v>
      </c>
      <c r="R4528" s="1">
        <f>_xlfn.XLOOKUP(C4528,Contract!$A$2:$A$9,Contract!$B$2:$B$9)</f>
        <v>0.45</v>
      </c>
      <c r="S4528" s="1">
        <f t="shared" si="280"/>
        <v>94.5</v>
      </c>
      <c r="T4528" s="1">
        <f t="shared" si="281"/>
        <v>12.219999999999999</v>
      </c>
      <c r="U4528" s="1" t="str">
        <f t="shared" si="282"/>
        <v>Underpaid</v>
      </c>
      <c r="V4528" s="1" t="str">
        <f>_xlfn.XLOOKUP(C4528,Payers!$A$2:$A$9,Payers!$B$2:$B$9)</f>
        <v>Blue Horizon Commercial</v>
      </c>
      <c r="W4528" s="1" t="str">
        <f t="shared" si="283"/>
        <v>2025-11</v>
      </c>
    </row>
    <row r="4529" spans="1:23">
      <c r="A4529" s="1" t="s">
        <v>7122</v>
      </c>
      <c r="B4529" s="1" t="s">
        <v>1093</v>
      </c>
      <c r="C4529" s="1" t="s">
        <v>60</v>
      </c>
      <c r="D4529" s="1" t="s">
        <v>30</v>
      </c>
      <c r="E4529" s="1" t="s">
        <v>91</v>
      </c>
      <c r="F4529">
        <v>2</v>
      </c>
      <c r="G4529" s="2">
        <v>46036</v>
      </c>
      <c r="H4529" s="2">
        <v>46039</v>
      </c>
      <c r="I4529">
        <v>114.07</v>
      </c>
      <c r="M4529" s="1" t="s">
        <v>32</v>
      </c>
      <c r="N4529" s="1" t="s">
        <v>281</v>
      </c>
      <c r="O4529" s="2">
        <v>46067</v>
      </c>
      <c r="P4529" s="2"/>
      <c r="Q4529">
        <f>_xlfn.XLOOKUP(E4529,CPT!$A$2:$A$13,CPT!$D$2:$D$13)</f>
        <v>58</v>
      </c>
      <c r="R4529" s="1">
        <f>_xlfn.XLOOKUP(C4529,Contract!$A$2:$A$9,Contract!$B$2:$B$9)</f>
        <v>0.45</v>
      </c>
      <c r="S4529" s="1">
        <f t="shared" si="280"/>
        <v>52.2</v>
      </c>
      <c r="T4529" s="1" t="str">
        <f t="shared" si="281"/>
        <v/>
      </c>
      <c r="U4529" s="1" t="str">
        <f t="shared" si="282"/>
        <v/>
      </c>
      <c r="V4529" s="1" t="str">
        <f>_xlfn.XLOOKUP(C4529,Payers!$A$2:$A$9,Payers!$B$2:$B$9)</f>
        <v>Blue Horizon Commercial</v>
      </c>
      <c r="W4529" s="1" t="str">
        <f t="shared" si="283"/>
        <v>2026-01</v>
      </c>
    </row>
    <row r="4530" spans="1:23">
      <c r="A4530" s="1" t="s">
        <v>7123</v>
      </c>
      <c r="B4530" s="1" t="s">
        <v>572</v>
      </c>
      <c r="C4530" s="1" t="s">
        <v>76</v>
      </c>
      <c r="D4530" s="1" t="s">
        <v>26</v>
      </c>
      <c r="E4530" s="1" t="s">
        <v>57</v>
      </c>
      <c r="F4530">
        <v>1</v>
      </c>
      <c r="G4530" s="2">
        <v>46098</v>
      </c>
      <c r="H4530" s="2">
        <v>46099</v>
      </c>
      <c r="I4530">
        <v>214.33</v>
      </c>
      <c r="J4530">
        <v>96.1</v>
      </c>
      <c r="K4530">
        <v>96.1</v>
      </c>
      <c r="L4530">
        <v>0</v>
      </c>
      <c r="M4530" s="1" t="s">
        <v>21</v>
      </c>
      <c r="N4530" s="1" t="s">
        <v>22</v>
      </c>
      <c r="O4530" s="2">
        <v>46122</v>
      </c>
      <c r="P4530" s="2">
        <v>46122</v>
      </c>
      <c r="Q4530">
        <f>_xlfn.XLOOKUP(E4530,CPT!$A$2:$A$13,CPT!$D$2:$D$13)</f>
        <v>210</v>
      </c>
      <c r="R4530" s="1">
        <f>_xlfn.XLOOKUP(C4530,Contract!$A$2:$A$9,Contract!$B$2:$B$9)</f>
        <v>0.43</v>
      </c>
      <c r="S4530" s="1">
        <f t="shared" si="280"/>
        <v>90.3</v>
      </c>
      <c r="T4530" s="1">
        <f t="shared" si="281"/>
        <v>-5.7999999999999972</v>
      </c>
      <c r="U4530" s="1" t="str">
        <f t="shared" si="282"/>
        <v>OK</v>
      </c>
      <c r="V4530" s="1" t="str">
        <f>_xlfn.XLOOKUP(C4530,Payers!$A$2:$A$9,Payers!$B$2:$B$9)</f>
        <v>Summit Health Commercial</v>
      </c>
      <c r="W4530" s="1" t="str">
        <f t="shared" si="283"/>
        <v>2026-03</v>
      </c>
    </row>
    <row r="4531" spans="1:23">
      <c r="A4531" s="1" t="s">
        <v>7124</v>
      </c>
      <c r="B4531" s="1" t="s">
        <v>402</v>
      </c>
      <c r="C4531" s="1" t="s">
        <v>47</v>
      </c>
      <c r="D4531" s="1" t="s">
        <v>30</v>
      </c>
      <c r="E4531" s="1" t="s">
        <v>91</v>
      </c>
      <c r="F4531">
        <v>2</v>
      </c>
      <c r="G4531" s="2">
        <v>46219</v>
      </c>
      <c r="H4531" s="2">
        <v>46225</v>
      </c>
      <c r="I4531">
        <v>118.7</v>
      </c>
      <c r="M4531" s="1" t="s">
        <v>69</v>
      </c>
      <c r="N4531" s="1" t="s">
        <v>22</v>
      </c>
      <c r="O4531" s="2"/>
      <c r="P4531" s="2"/>
      <c r="Q4531">
        <f>_xlfn.XLOOKUP(E4531,CPT!$A$2:$A$13,CPT!$D$2:$D$13)</f>
        <v>58</v>
      </c>
      <c r="R4531" s="1">
        <f>_xlfn.XLOOKUP(C4531,Contract!$A$2:$A$9,Contract!$B$2:$B$9)</f>
        <v>0.28000000000000003</v>
      </c>
      <c r="S4531" s="1">
        <f t="shared" si="280"/>
        <v>32.479999999999997</v>
      </c>
      <c r="T4531" s="1" t="str">
        <f t="shared" si="281"/>
        <v/>
      </c>
      <c r="U4531" s="1" t="str">
        <f t="shared" si="282"/>
        <v/>
      </c>
      <c r="V4531" s="1" t="str">
        <f>_xlfn.XLOOKUP(C4531,Payers!$A$2:$A$9,Payers!$B$2:$B$9)</f>
        <v>Coastal Medicaid MCO</v>
      </c>
      <c r="W4531" s="1" t="str">
        <f t="shared" si="283"/>
        <v>2026-07</v>
      </c>
    </row>
    <row r="4532" spans="1:23">
      <c r="A4532" s="1" t="s">
        <v>7125</v>
      </c>
      <c r="B4532" s="1" t="s">
        <v>7126</v>
      </c>
      <c r="C4532" s="1" t="s">
        <v>60</v>
      </c>
      <c r="D4532" s="1" t="s">
        <v>19</v>
      </c>
      <c r="E4532" s="1" t="s">
        <v>88</v>
      </c>
      <c r="F4532">
        <v>1</v>
      </c>
      <c r="G4532" s="2">
        <v>45961</v>
      </c>
      <c r="H4532" s="2">
        <v>45968</v>
      </c>
      <c r="I4532">
        <v>262.08</v>
      </c>
      <c r="J4532">
        <v>121.97</v>
      </c>
      <c r="K4532">
        <v>97.58</v>
      </c>
      <c r="L4532">
        <v>24.39</v>
      </c>
      <c r="M4532" s="1" t="s">
        <v>21</v>
      </c>
      <c r="N4532" s="1" t="s">
        <v>22</v>
      </c>
      <c r="O4532" s="2">
        <v>45989</v>
      </c>
      <c r="P4532" s="2">
        <v>45989</v>
      </c>
      <c r="Q4532">
        <f>_xlfn.XLOOKUP(E4532,CPT!$A$2:$A$13,CPT!$D$2:$D$13)</f>
        <v>260</v>
      </c>
      <c r="R4532" s="1">
        <f>_xlfn.XLOOKUP(C4532,Contract!$A$2:$A$9,Contract!$B$2:$B$9)</f>
        <v>0.45</v>
      </c>
      <c r="S4532" s="1">
        <f t="shared" si="280"/>
        <v>117</v>
      </c>
      <c r="T4532" s="1">
        <f t="shared" si="281"/>
        <v>-4.9699999999999989</v>
      </c>
      <c r="U4532" s="1" t="str">
        <f t="shared" si="282"/>
        <v>OK</v>
      </c>
      <c r="V4532" s="1" t="str">
        <f>_xlfn.XLOOKUP(C4532,Payers!$A$2:$A$9,Payers!$B$2:$B$9)</f>
        <v>Blue Horizon Commercial</v>
      </c>
      <c r="W4532" s="1" t="str">
        <f t="shared" si="283"/>
        <v>2025-10</v>
      </c>
    </row>
    <row r="4533" spans="1:23">
      <c r="A4533" s="1" t="s">
        <v>7127</v>
      </c>
      <c r="B4533" s="1" t="s">
        <v>935</v>
      </c>
      <c r="C4533" s="1" t="s">
        <v>76</v>
      </c>
      <c r="D4533" s="1" t="s">
        <v>30</v>
      </c>
      <c r="E4533" s="1" t="s">
        <v>20</v>
      </c>
      <c r="F4533">
        <v>1</v>
      </c>
      <c r="G4533" s="2">
        <v>46063</v>
      </c>
      <c r="H4533" s="2">
        <v>46065</v>
      </c>
      <c r="I4533">
        <v>146.35</v>
      </c>
      <c r="J4533">
        <v>54.61</v>
      </c>
      <c r="K4533">
        <v>54.61</v>
      </c>
      <c r="L4533">
        <v>0</v>
      </c>
      <c r="M4533" s="1" t="s">
        <v>21</v>
      </c>
      <c r="N4533" s="1" t="s">
        <v>22</v>
      </c>
      <c r="O4533" s="2">
        <v>46089</v>
      </c>
      <c r="P4533" s="2">
        <v>46089</v>
      </c>
      <c r="Q4533">
        <f>_xlfn.XLOOKUP(E4533,CPT!$A$2:$A$13,CPT!$D$2:$D$13)</f>
        <v>145</v>
      </c>
      <c r="R4533" s="1">
        <f>_xlfn.XLOOKUP(C4533,Contract!$A$2:$A$9,Contract!$B$2:$B$9)</f>
        <v>0.43</v>
      </c>
      <c r="S4533" s="1">
        <f t="shared" si="280"/>
        <v>62.35</v>
      </c>
      <c r="T4533" s="1">
        <f t="shared" si="281"/>
        <v>7.740000000000002</v>
      </c>
      <c r="U4533" s="1" t="str">
        <f t="shared" si="282"/>
        <v>Underpaid</v>
      </c>
      <c r="V4533" s="1" t="str">
        <f>_xlfn.XLOOKUP(C4533,Payers!$A$2:$A$9,Payers!$B$2:$B$9)</f>
        <v>Summit Health Commercial</v>
      </c>
      <c r="W4533" s="1" t="str">
        <f t="shared" si="283"/>
        <v>2026-02</v>
      </c>
    </row>
    <row r="4534" spans="1:23">
      <c r="A4534" s="1" t="s">
        <v>7128</v>
      </c>
      <c r="B4534" s="1" t="s">
        <v>778</v>
      </c>
      <c r="C4534" s="1" t="s">
        <v>18</v>
      </c>
      <c r="D4534" s="1" t="s">
        <v>19</v>
      </c>
      <c r="E4534" s="1" t="s">
        <v>20</v>
      </c>
      <c r="F4534">
        <v>1</v>
      </c>
      <c r="G4534" s="2">
        <v>46153</v>
      </c>
      <c r="H4534" s="2">
        <v>46155</v>
      </c>
      <c r="I4534">
        <v>143.84</v>
      </c>
      <c r="M4534" s="1" t="s">
        <v>32</v>
      </c>
      <c r="N4534" s="1" t="s">
        <v>98</v>
      </c>
      <c r="O4534" s="2">
        <v>46195</v>
      </c>
      <c r="P4534" s="2"/>
      <c r="Q4534">
        <f>_xlfn.XLOOKUP(E4534,CPT!$A$2:$A$13,CPT!$D$2:$D$13)</f>
        <v>145</v>
      </c>
      <c r="R4534" s="1">
        <f>_xlfn.XLOOKUP(C4534,Contract!$A$2:$A$9,Contract!$B$2:$B$9)</f>
        <v>0.38</v>
      </c>
      <c r="S4534" s="1">
        <f t="shared" si="280"/>
        <v>55.1</v>
      </c>
      <c r="T4534" s="1" t="str">
        <f t="shared" si="281"/>
        <v/>
      </c>
      <c r="U4534" s="1" t="str">
        <f t="shared" si="282"/>
        <v/>
      </c>
      <c r="V4534" s="1" t="str">
        <f>_xlfn.XLOOKUP(C4534,Payers!$A$2:$A$9,Payers!$B$2:$B$9)</f>
        <v>Sunshine Medicare Advantage</v>
      </c>
      <c r="W4534" s="1" t="str">
        <f t="shared" si="283"/>
        <v>2026-05</v>
      </c>
    </row>
    <row r="4535" spans="1:23">
      <c r="A4535" s="1" t="s">
        <v>7129</v>
      </c>
      <c r="B4535" s="1" t="s">
        <v>4928</v>
      </c>
      <c r="C4535" s="1" t="s">
        <v>60</v>
      </c>
      <c r="D4535" s="1" t="s">
        <v>37</v>
      </c>
      <c r="E4535" s="1" t="s">
        <v>57</v>
      </c>
      <c r="F4535">
        <v>1</v>
      </c>
      <c r="G4535" s="2">
        <v>46027</v>
      </c>
      <c r="H4535" s="2">
        <v>46028</v>
      </c>
      <c r="I4535">
        <v>210.26</v>
      </c>
      <c r="J4535">
        <v>97.83</v>
      </c>
      <c r="K4535">
        <v>97.83</v>
      </c>
      <c r="L4535">
        <v>0</v>
      </c>
      <c r="M4535" s="1" t="s">
        <v>21</v>
      </c>
      <c r="N4535" s="1" t="s">
        <v>22</v>
      </c>
      <c r="O4535" s="2">
        <v>46037</v>
      </c>
      <c r="P4535" s="2">
        <v>46037</v>
      </c>
      <c r="Q4535">
        <f>_xlfn.XLOOKUP(E4535,CPT!$A$2:$A$13,CPT!$D$2:$D$13)</f>
        <v>210</v>
      </c>
      <c r="R4535" s="1">
        <f>_xlfn.XLOOKUP(C4535,Contract!$A$2:$A$9,Contract!$B$2:$B$9)</f>
        <v>0.45</v>
      </c>
      <c r="S4535" s="1">
        <f t="shared" si="280"/>
        <v>94.5</v>
      </c>
      <c r="T4535" s="1">
        <f t="shared" si="281"/>
        <v>-3.3299999999999983</v>
      </c>
      <c r="U4535" s="1" t="str">
        <f t="shared" si="282"/>
        <v>OK</v>
      </c>
      <c r="V4535" s="1" t="str">
        <f>_xlfn.XLOOKUP(C4535,Payers!$A$2:$A$9,Payers!$B$2:$B$9)</f>
        <v>Blue Horizon Commercial</v>
      </c>
      <c r="W4535" s="1" t="str">
        <f t="shared" si="283"/>
        <v>2026-01</v>
      </c>
    </row>
    <row r="4536" spans="1:23">
      <c r="A4536" s="1" t="s">
        <v>7130</v>
      </c>
      <c r="B4536" s="1" t="s">
        <v>7131</v>
      </c>
      <c r="C4536" s="1" t="s">
        <v>47</v>
      </c>
      <c r="D4536" s="1" t="s">
        <v>37</v>
      </c>
      <c r="E4536" s="1" t="s">
        <v>48</v>
      </c>
      <c r="F4536">
        <v>1</v>
      </c>
      <c r="G4536" s="2">
        <v>46084</v>
      </c>
      <c r="H4536" s="2">
        <v>46094</v>
      </c>
      <c r="I4536">
        <v>416.66</v>
      </c>
      <c r="J4536">
        <v>103.79</v>
      </c>
      <c r="K4536">
        <v>83.03</v>
      </c>
      <c r="L4536">
        <v>20.76</v>
      </c>
      <c r="M4536" s="1" t="s">
        <v>21</v>
      </c>
      <c r="N4536" s="1" t="s">
        <v>22</v>
      </c>
      <c r="O4536" s="2">
        <v>46174</v>
      </c>
      <c r="P4536" s="2">
        <v>46174</v>
      </c>
      <c r="Q4536">
        <f>_xlfn.XLOOKUP(E4536,CPT!$A$2:$A$13,CPT!$D$2:$D$13)</f>
        <v>420</v>
      </c>
      <c r="R4536" s="1">
        <f>_xlfn.XLOOKUP(C4536,Contract!$A$2:$A$9,Contract!$B$2:$B$9)</f>
        <v>0.28000000000000003</v>
      </c>
      <c r="S4536" s="1">
        <f t="shared" si="280"/>
        <v>117.6</v>
      </c>
      <c r="T4536" s="1">
        <f t="shared" si="281"/>
        <v>13.809999999999988</v>
      </c>
      <c r="U4536" s="1" t="str">
        <f t="shared" si="282"/>
        <v>Underpaid</v>
      </c>
      <c r="V4536" s="1" t="str">
        <f>_xlfn.XLOOKUP(C4536,Payers!$A$2:$A$9,Payers!$B$2:$B$9)</f>
        <v>Coastal Medicaid MCO</v>
      </c>
      <c r="W4536" s="1" t="str">
        <f t="shared" si="283"/>
        <v>2026-03</v>
      </c>
    </row>
    <row r="4537" spans="1:23">
      <c r="A4537" s="1" t="s">
        <v>7132</v>
      </c>
      <c r="B4537" s="1" t="s">
        <v>3489</v>
      </c>
      <c r="C4537" s="1" t="s">
        <v>25</v>
      </c>
      <c r="D4537" s="1" t="s">
        <v>26</v>
      </c>
      <c r="E4537" s="1" t="s">
        <v>185</v>
      </c>
      <c r="F4537">
        <v>1</v>
      </c>
      <c r="G4537" s="2">
        <v>46165</v>
      </c>
      <c r="H4537" s="2">
        <v>46167</v>
      </c>
      <c r="I4537">
        <v>1140.02</v>
      </c>
      <c r="M4537" s="1" t="s">
        <v>32</v>
      </c>
      <c r="N4537" s="1" t="s">
        <v>49</v>
      </c>
      <c r="O4537" s="2">
        <v>46187</v>
      </c>
      <c r="P4537" s="2"/>
      <c r="Q4537">
        <f>_xlfn.XLOOKUP(E4537,CPT!$A$2:$A$13,CPT!$D$2:$D$13)</f>
        <v>1150</v>
      </c>
      <c r="R4537" s="1">
        <f>_xlfn.XLOOKUP(C4537,Contract!$A$2:$A$9,Contract!$B$2:$B$9)</f>
        <v>0.36</v>
      </c>
      <c r="S4537" s="1">
        <f t="shared" si="280"/>
        <v>414</v>
      </c>
      <c r="T4537" s="1" t="str">
        <f t="shared" si="281"/>
        <v/>
      </c>
      <c r="U4537" s="1" t="str">
        <f t="shared" si="282"/>
        <v/>
      </c>
      <c r="V4537" s="1" t="str">
        <f>_xlfn.XLOOKUP(C4537,Payers!$A$2:$A$9,Payers!$B$2:$B$9)</f>
        <v>Medicare Part B</v>
      </c>
      <c r="W4537" s="1" t="str">
        <f t="shared" si="283"/>
        <v>2026-05</v>
      </c>
    </row>
    <row r="4538" spans="1:23">
      <c r="A4538" s="1" t="s">
        <v>7133</v>
      </c>
      <c r="B4538" s="1" t="s">
        <v>1048</v>
      </c>
      <c r="C4538" s="1" t="s">
        <v>79</v>
      </c>
      <c r="D4538" s="1" t="s">
        <v>19</v>
      </c>
      <c r="E4538" s="1" t="s">
        <v>88</v>
      </c>
      <c r="F4538">
        <v>1</v>
      </c>
      <c r="G4538" s="2">
        <v>46034</v>
      </c>
      <c r="H4538" s="2">
        <v>46037</v>
      </c>
      <c r="I4538">
        <v>260.56</v>
      </c>
      <c r="M4538" s="1" t="s">
        <v>69</v>
      </c>
      <c r="N4538" s="1" t="s">
        <v>22</v>
      </c>
      <c r="O4538" s="2"/>
      <c r="P4538" s="2"/>
      <c r="Q4538">
        <f>_xlfn.XLOOKUP(E4538,CPT!$A$2:$A$13,CPT!$D$2:$D$13)</f>
        <v>260</v>
      </c>
      <c r="R4538" s="1">
        <f>_xlfn.XLOOKUP(C4538,Contract!$A$2:$A$9,Contract!$B$2:$B$9)</f>
        <v>1</v>
      </c>
      <c r="S4538" s="1">
        <f t="shared" si="280"/>
        <v>260</v>
      </c>
      <c r="T4538" s="1" t="str">
        <f t="shared" si="281"/>
        <v/>
      </c>
      <c r="U4538" s="1" t="str">
        <f t="shared" si="282"/>
        <v/>
      </c>
      <c r="V4538" s="1" t="str">
        <f>_xlfn.XLOOKUP(C4538,Payers!$A$2:$A$9,Payers!$B$2:$B$9)</f>
        <v>Self-Pay</v>
      </c>
      <c r="W4538" s="1" t="str">
        <f t="shared" si="283"/>
        <v>2026-01</v>
      </c>
    </row>
    <row r="4539" spans="1:23">
      <c r="A4539" s="1" t="s">
        <v>7134</v>
      </c>
      <c r="B4539" s="1" t="s">
        <v>4954</v>
      </c>
      <c r="C4539" s="1" t="s">
        <v>60</v>
      </c>
      <c r="D4539" s="1" t="s">
        <v>26</v>
      </c>
      <c r="E4539" s="1" t="s">
        <v>57</v>
      </c>
      <c r="F4539">
        <v>1</v>
      </c>
      <c r="G4539" s="2">
        <v>45967</v>
      </c>
      <c r="H4539" s="2">
        <v>45972</v>
      </c>
      <c r="I4539">
        <v>206.79</v>
      </c>
      <c r="J4539">
        <v>106.54</v>
      </c>
      <c r="K4539">
        <v>85.23</v>
      </c>
      <c r="L4539">
        <v>21.31</v>
      </c>
      <c r="M4539" s="1" t="s">
        <v>21</v>
      </c>
      <c r="N4539" s="1" t="s">
        <v>22</v>
      </c>
      <c r="O4539" s="2">
        <v>46007</v>
      </c>
      <c r="P4539" s="2">
        <v>46007</v>
      </c>
      <c r="Q4539">
        <f>_xlfn.XLOOKUP(E4539,CPT!$A$2:$A$13,CPT!$D$2:$D$13)</f>
        <v>210</v>
      </c>
      <c r="R4539" s="1">
        <f>_xlfn.XLOOKUP(C4539,Contract!$A$2:$A$9,Contract!$B$2:$B$9)</f>
        <v>0.45</v>
      </c>
      <c r="S4539" s="1">
        <f t="shared" si="280"/>
        <v>94.5</v>
      </c>
      <c r="T4539" s="1">
        <f t="shared" si="281"/>
        <v>-12.040000000000006</v>
      </c>
      <c r="U4539" s="1" t="str">
        <f t="shared" si="282"/>
        <v>OK</v>
      </c>
      <c r="V4539" s="1" t="str">
        <f>_xlfn.XLOOKUP(C4539,Payers!$A$2:$A$9,Payers!$B$2:$B$9)</f>
        <v>Blue Horizon Commercial</v>
      </c>
      <c r="W4539" s="1" t="str">
        <f t="shared" si="283"/>
        <v>2025-11</v>
      </c>
    </row>
    <row r="4540" spans="1:23">
      <c r="A4540" s="1" t="s">
        <v>7135</v>
      </c>
      <c r="B4540" s="1" t="s">
        <v>6861</v>
      </c>
      <c r="C4540" s="1" t="s">
        <v>18</v>
      </c>
      <c r="D4540" s="1" t="s">
        <v>37</v>
      </c>
      <c r="E4540" s="1" t="s">
        <v>57</v>
      </c>
      <c r="F4540">
        <v>1</v>
      </c>
      <c r="G4540" s="2">
        <v>46065</v>
      </c>
      <c r="H4540" s="2">
        <v>46067</v>
      </c>
      <c r="I4540">
        <v>205.95</v>
      </c>
      <c r="J4540">
        <v>71.78</v>
      </c>
      <c r="K4540">
        <v>64.599999999999994</v>
      </c>
      <c r="L4540">
        <v>7.18</v>
      </c>
      <c r="M4540" s="1" t="s">
        <v>21</v>
      </c>
      <c r="N4540" s="1" t="s">
        <v>22</v>
      </c>
      <c r="O4540" s="2">
        <v>46122</v>
      </c>
      <c r="P4540" s="2">
        <v>46122</v>
      </c>
      <c r="Q4540">
        <f>_xlfn.XLOOKUP(E4540,CPT!$A$2:$A$13,CPT!$D$2:$D$13)</f>
        <v>210</v>
      </c>
      <c r="R4540" s="1">
        <f>_xlfn.XLOOKUP(C4540,Contract!$A$2:$A$9,Contract!$B$2:$B$9)</f>
        <v>0.38</v>
      </c>
      <c r="S4540" s="1">
        <f t="shared" si="280"/>
        <v>79.8</v>
      </c>
      <c r="T4540" s="1">
        <f t="shared" si="281"/>
        <v>8.019999999999996</v>
      </c>
      <c r="U4540" s="1" t="str">
        <f t="shared" si="282"/>
        <v>Underpaid</v>
      </c>
      <c r="V4540" s="1" t="str">
        <f>_xlfn.XLOOKUP(C4540,Payers!$A$2:$A$9,Payers!$B$2:$B$9)</f>
        <v>Sunshine Medicare Advantage</v>
      </c>
      <c r="W4540" s="1" t="str">
        <f t="shared" si="283"/>
        <v>2026-02</v>
      </c>
    </row>
    <row r="4541" spans="1:23">
      <c r="A4541" s="1" t="s">
        <v>7136</v>
      </c>
      <c r="B4541" s="1" t="s">
        <v>7137</v>
      </c>
      <c r="C4541" s="1" t="s">
        <v>25</v>
      </c>
      <c r="D4541" s="1" t="s">
        <v>37</v>
      </c>
      <c r="E4541" s="1" t="s">
        <v>48</v>
      </c>
      <c r="F4541">
        <v>1</v>
      </c>
      <c r="G4541" s="2">
        <v>46200</v>
      </c>
      <c r="H4541" s="2">
        <v>46202</v>
      </c>
      <c r="I4541">
        <v>425.35</v>
      </c>
      <c r="J4541">
        <v>154.1</v>
      </c>
      <c r="K4541">
        <v>154.1</v>
      </c>
      <c r="L4541">
        <v>0</v>
      </c>
      <c r="M4541" s="1" t="s">
        <v>21</v>
      </c>
      <c r="N4541" s="1" t="s">
        <v>22</v>
      </c>
      <c r="O4541" s="2">
        <v>46215</v>
      </c>
      <c r="P4541" s="2">
        <v>46215</v>
      </c>
      <c r="Q4541">
        <f>_xlfn.XLOOKUP(E4541,CPT!$A$2:$A$13,CPT!$D$2:$D$13)</f>
        <v>420</v>
      </c>
      <c r="R4541" s="1">
        <f>_xlfn.XLOOKUP(C4541,Contract!$A$2:$A$9,Contract!$B$2:$B$9)</f>
        <v>0.36</v>
      </c>
      <c r="S4541" s="1">
        <f t="shared" si="280"/>
        <v>151.19999999999999</v>
      </c>
      <c r="T4541" s="1">
        <f t="shared" si="281"/>
        <v>-2.9000000000000057</v>
      </c>
      <c r="U4541" s="1" t="str">
        <f t="shared" si="282"/>
        <v>OK</v>
      </c>
      <c r="V4541" s="1" t="str">
        <f>_xlfn.XLOOKUP(C4541,Payers!$A$2:$A$9,Payers!$B$2:$B$9)</f>
        <v>Medicare Part B</v>
      </c>
      <c r="W4541" s="1" t="str">
        <f t="shared" si="283"/>
        <v>2026-06</v>
      </c>
    </row>
    <row r="4542" spans="1:23">
      <c r="A4542" s="1" t="s">
        <v>7138</v>
      </c>
      <c r="B4542" s="1" t="s">
        <v>4442</v>
      </c>
      <c r="C4542" s="1" t="s">
        <v>60</v>
      </c>
      <c r="D4542" s="1" t="s">
        <v>37</v>
      </c>
      <c r="E4542" s="1" t="s">
        <v>48</v>
      </c>
      <c r="F4542">
        <v>1</v>
      </c>
      <c r="G4542" s="2">
        <v>46077</v>
      </c>
      <c r="H4542" s="2">
        <v>46081</v>
      </c>
      <c r="I4542">
        <v>412.82</v>
      </c>
      <c r="J4542">
        <v>176.61</v>
      </c>
      <c r="K4542">
        <v>176.61</v>
      </c>
      <c r="L4542">
        <v>0</v>
      </c>
      <c r="M4542" s="1" t="s">
        <v>21</v>
      </c>
      <c r="N4542" s="1" t="s">
        <v>22</v>
      </c>
      <c r="O4542" s="2">
        <v>46109</v>
      </c>
      <c r="P4542" s="2">
        <v>46109</v>
      </c>
      <c r="Q4542">
        <f>_xlfn.XLOOKUP(E4542,CPT!$A$2:$A$13,CPT!$D$2:$D$13)</f>
        <v>420</v>
      </c>
      <c r="R4542" s="1">
        <f>_xlfn.XLOOKUP(C4542,Contract!$A$2:$A$9,Contract!$B$2:$B$9)</f>
        <v>0.45</v>
      </c>
      <c r="S4542" s="1">
        <f t="shared" si="280"/>
        <v>189</v>
      </c>
      <c r="T4542" s="1">
        <f t="shared" si="281"/>
        <v>12.389999999999986</v>
      </c>
      <c r="U4542" s="1" t="str">
        <f t="shared" si="282"/>
        <v>Underpaid</v>
      </c>
      <c r="V4542" s="1" t="str">
        <f>_xlfn.XLOOKUP(C4542,Payers!$A$2:$A$9,Payers!$B$2:$B$9)</f>
        <v>Blue Horizon Commercial</v>
      </c>
      <c r="W4542" s="1" t="str">
        <f t="shared" si="283"/>
        <v>2026-02</v>
      </c>
    </row>
    <row r="4543" spans="1:23">
      <c r="A4543" s="1" t="s">
        <v>7139</v>
      </c>
      <c r="B4543" s="1" t="s">
        <v>7140</v>
      </c>
      <c r="C4543" s="1" t="s">
        <v>60</v>
      </c>
      <c r="D4543" s="1" t="s">
        <v>19</v>
      </c>
      <c r="E4543" s="1" t="s">
        <v>41</v>
      </c>
      <c r="F4543">
        <v>1</v>
      </c>
      <c r="G4543" s="2">
        <v>46077</v>
      </c>
      <c r="H4543" s="2">
        <v>46080</v>
      </c>
      <c r="I4543">
        <v>38.659999999999997</v>
      </c>
      <c r="J4543">
        <v>19.78</v>
      </c>
      <c r="K4543">
        <v>15.82</v>
      </c>
      <c r="L4543">
        <v>3.96</v>
      </c>
      <c r="M4543" s="1" t="s">
        <v>21</v>
      </c>
      <c r="N4543" s="1" t="s">
        <v>22</v>
      </c>
      <c r="O4543" s="2">
        <v>46122</v>
      </c>
      <c r="P4543" s="2">
        <v>46122</v>
      </c>
      <c r="Q4543">
        <f>_xlfn.XLOOKUP(E4543,CPT!$A$2:$A$13,CPT!$D$2:$D$13)</f>
        <v>38</v>
      </c>
      <c r="R4543" s="1">
        <f>_xlfn.XLOOKUP(C4543,Contract!$A$2:$A$9,Contract!$B$2:$B$9)</f>
        <v>0.45</v>
      </c>
      <c r="S4543" s="1">
        <f t="shared" si="280"/>
        <v>17.100000000000001</v>
      </c>
      <c r="T4543" s="1">
        <f t="shared" si="281"/>
        <v>-2.6799999999999997</v>
      </c>
      <c r="U4543" s="1" t="str">
        <f t="shared" si="282"/>
        <v>OK</v>
      </c>
      <c r="V4543" s="1" t="str">
        <f>_xlfn.XLOOKUP(C4543,Payers!$A$2:$A$9,Payers!$B$2:$B$9)</f>
        <v>Blue Horizon Commercial</v>
      </c>
      <c r="W4543" s="1" t="str">
        <f t="shared" si="283"/>
        <v>2026-02</v>
      </c>
    </row>
    <row r="4544" spans="1:23">
      <c r="A4544" s="1" t="s">
        <v>7141</v>
      </c>
      <c r="B4544" s="1" t="s">
        <v>7142</v>
      </c>
      <c r="C4544" s="1" t="s">
        <v>60</v>
      </c>
      <c r="D4544" s="1" t="s">
        <v>37</v>
      </c>
      <c r="E4544" s="1" t="s">
        <v>48</v>
      </c>
      <c r="F4544">
        <v>1</v>
      </c>
      <c r="G4544" s="2">
        <v>46114</v>
      </c>
      <c r="H4544" s="2">
        <v>46116</v>
      </c>
      <c r="I4544">
        <v>419.39</v>
      </c>
      <c r="J4544">
        <v>160.38</v>
      </c>
      <c r="K4544">
        <v>160.38</v>
      </c>
      <c r="L4544">
        <v>0</v>
      </c>
      <c r="M4544" s="1" t="s">
        <v>21</v>
      </c>
      <c r="N4544" s="1" t="s">
        <v>22</v>
      </c>
      <c r="O4544" s="2">
        <v>46161</v>
      </c>
      <c r="P4544" s="2">
        <v>46161</v>
      </c>
      <c r="Q4544">
        <f>_xlfn.XLOOKUP(E4544,CPT!$A$2:$A$13,CPT!$D$2:$D$13)</f>
        <v>420</v>
      </c>
      <c r="R4544" s="1">
        <f>_xlfn.XLOOKUP(C4544,Contract!$A$2:$A$9,Contract!$B$2:$B$9)</f>
        <v>0.45</v>
      </c>
      <c r="S4544" s="1">
        <f t="shared" si="280"/>
        <v>189</v>
      </c>
      <c r="T4544" s="1">
        <f t="shared" si="281"/>
        <v>28.620000000000005</v>
      </c>
      <c r="U4544" s="1" t="str">
        <f t="shared" si="282"/>
        <v>Underpaid</v>
      </c>
      <c r="V4544" s="1" t="str">
        <f>_xlfn.XLOOKUP(C4544,Payers!$A$2:$A$9,Payers!$B$2:$B$9)</f>
        <v>Blue Horizon Commercial</v>
      </c>
      <c r="W4544" s="1" t="str">
        <f t="shared" si="283"/>
        <v>2026-04</v>
      </c>
    </row>
    <row r="4545" spans="1:23">
      <c r="A4545" s="1" t="s">
        <v>7143</v>
      </c>
      <c r="B4545" s="1" t="s">
        <v>1886</v>
      </c>
      <c r="C4545" s="1" t="s">
        <v>60</v>
      </c>
      <c r="D4545" s="1" t="s">
        <v>26</v>
      </c>
      <c r="E4545" s="1" t="s">
        <v>88</v>
      </c>
      <c r="F4545">
        <v>1</v>
      </c>
      <c r="G4545" s="2">
        <v>45983</v>
      </c>
      <c r="H4545" s="2">
        <v>45984</v>
      </c>
      <c r="I4545">
        <v>263.37</v>
      </c>
      <c r="J4545">
        <v>113.48</v>
      </c>
      <c r="K4545">
        <v>113.48</v>
      </c>
      <c r="L4545">
        <v>0</v>
      </c>
      <c r="M4545" s="1" t="s">
        <v>21</v>
      </c>
      <c r="N4545" s="1" t="s">
        <v>22</v>
      </c>
      <c r="O4545" s="2">
        <v>46017</v>
      </c>
      <c r="P4545" s="2">
        <v>46017</v>
      </c>
      <c r="Q4545">
        <f>_xlfn.XLOOKUP(E4545,CPT!$A$2:$A$13,CPT!$D$2:$D$13)</f>
        <v>260</v>
      </c>
      <c r="R4545" s="1">
        <f>_xlfn.XLOOKUP(C4545,Contract!$A$2:$A$9,Contract!$B$2:$B$9)</f>
        <v>0.45</v>
      </c>
      <c r="S4545" s="1">
        <f t="shared" si="280"/>
        <v>117</v>
      </c>
      <c r="T4545" s="1">
        <f t="shared" si="281"/>
        <v>3.519999999999996</v>
      </c>
      <c r="U4545" s="1" t="str">
        <f t="shared" si="282"/>
        <v>OK</v>
      </c>
      <c r="V4545" s="1" t="str">
        <f>_xlfn.XLOOKUP(C4545,Payers!$A$2:$A$9,Payers!$B$2:$B$9)</f>
        <v>Blue Horizon Commercial</v>
      </c>
      <c r="W4545" s="1" t="str">
        <f t="shared" si="283"/>
        <v>2025-11</v>
      </c>
    </row>
    <row r="4546" spans="1:23">
      <c r="A4546" s="1" t="s">
        <v>7144</v>
      </c>
      <c r="B4546" s="1" t="s">
        <v>7145</v>
      </c>
      <c r="C4546" s="1" t="s">
        <v>25</v>
      </c>
      <c r="D4546" s="1" t="s">
        <v>30</v>
      </c>
      <c r="E4546" s="1" t="s">
        <v>91</v>
      </c>
      <c r="F4546">
        <v>1</v>
      </c>
      <c r="G4546" s="2">
        <v>46045</v>
      </c>
      <c r="H4546" s="2">
        <v>46049</v>
      </c>
      <c r="I4546">
        <v>56.92</v>
      </c>
      <c r="J4546">
        <v>23.53</v>
      </c>
      <c r="K4546">
        <v>23.53</v>
      </c>
      <c r="L4546">
        <v>0</v>
      </c>
      <c r="M4546" s="1" t="s">
        <v>21</v>
      </c>
      <c r="N4546" s="1" t="s">
        <v>22</v>
      </c>
      <c r="O4546" s="2">
        <v>46072</v>
      </c>
      <c r="P4546" s="2">
        <v>46072</v>
      </c>
      <c r="Q4546">
        <f>_xlfn.XLOOKUP(E4546,CPT!$A$2:$A$13,CPT!$D$2:$D$13)</f>
        <v>58</v>
      </c>
      <c r="R4546" s="1">
        <f>_xlfn.XLOOKUP(C4546,Contract!$A$2:$A$9,Contract!$B$2:$B$9)</f>
        <v>0.36</v>
      </c>
      <c r="S4546" s="1">
        <f t="shared" ref="S4546:S4609" si="284">ROUND(Q4546*F4546*R4546,2)</f>
        <v>20.88</v>
      </c>
      <c r="T4546" s="1">
        <f t="shared" ref="T4546:T4609" si="285">IF(M4546="Paid",S4546-J4546,"")</f>
        <v>-2.6500000000000021</v>
      </c>
      <c r="U4546" s="1" t="str">
        <f t="shared" ref="U4546:U4609" si="286">IF(M4546&lt;&gt;"Paid","",IF(T4546&gt;S4546*0.05,"Underpaid","OK"))</f>
        <v>OK</v>
      </c>
      <c r="V4546" s="1" t="str">
        <f>_xlfn.XLOOKUP(C4546,Payers!$A$2:$A$9,Payers!$B$2:$B$9)</f>
        <v>Medicare Part B</v>
      </c>
      <c r="W4546" s="1" t="str">
        <f t="shared" ref="W4546:W4609" si="287">TEXT(G4546,"yyyy-mm")</f>
        <v>2026-01</v>
      </c>
    </row>
    <row r="4547" spans="1:23">
      <c r="A4547" s="1" t="s">
        <v>7146</v>
      </c>
      <c r="B4547" s="1" t="s">
        <v>7147</v>
      </c>
      <c r="C4547" s="1" t="s">
        <v>79</v>
      </c>
      <c r="D4547" s="1" t="s">
        <v>26</v>
      </c>
      <c r="E4547" s="1" t="s">
        <v>41</v>
      </c>
      <c r="F4547">
        <v>1</v>
      </c>
      <c r="G4547" s="2">
        <v>45996</v>
      </c>
      <c r="H4547" s="2">
        <v>45998</v>
      </c>
      <c r="I4547">
        <v>37.119999999999997</v>
      </c>
      <c r="M4547" s="1" t="s">
        <v>69</v>
      </c>
      <c r="N4547" s="1" t="s">
        <v>22</v>
      </c>
      <c r="O4547" s="2"/>
      <c r="P4547" s="2"/>
      <c r="Q4547">
        <f>_xlfn.XLOOKUP(E4547,CPT!$A$2:$A$13,CPT!$D$2:$D$13)</f>
        <v>38</v>
      </c>
      <c r="R4547" s="1">
        <f>_xlfn.XLOOKUP(C4547,Contract!$A$2:$A$9,Contract!$B$2:$B$9)</f>
        <v>1</v>
      </c>
      <c r="S4547" s="1">
        <f t="shared" si="284"/>
        <v>38</v>
      </c>
      <c r="T4547" s="1" t="str">
        <f t="shared" si="285"/>
        <v/>
      </c>
      <c r="U4547" s="1" t="str">
        <f t="shared" si="286"/>
        <v/>
      </c>
      <c r="V4547" s="1" t="str">
        <f>_xlfn.XLOOKUP(C4547,Payers!$A$2:$A$9,Payers!$B$2:$B$9)</f>
        <v>Self-Pay</v>
      </c>
      <c r="W4547" s="1" t="str">
        <f t="shared" si="287"/>
        <v>2025-12</v>
      </c>
    </row>
    <row r="4548" spans="1:23">
      <c r="A4548" s="1" t="s">
        <v>7148</v>
      </c>
      <c r="B4548" s="1" t="s">
        <v>5598</v>
      </c>
      <c r="C4548" s="1" t="s">
        <v>76</v>
      </c>
      <c r="D4548" s="1" t="s">
        <v>37</v>
      </c>
      <c r="E4548" s="1" t="s">
        <v>48</v>
      </c>
      <c r="F4548">
        <v>1</v>
      </c>
      <c r="G4548" s="2">
        <v>46247</v>
      </c>
      <c r="H4548" s="2">
        <v>46251</v>
      </c>
      <c r="I4548">
        <v>417.3</v>
      </c>
      <c r="J4548">
        <v>181.2</v>
      </c>
      <c r="K4548">
        <v>181.2</v>
      </c>
      <c r="L4548">
        <v>0</v>
      </c>
      <c r="M4548" s="1" t="s">
        <v>21</v>
      </c>
      <c r="N4548" s="1" t="s">
        <v>22</v>
      </c>
      <c r="O4548" s="2">
        <v>46289</v>
      </c>
      <c r="P4548" s="2">
        <v>46289</v>
      </c>
      <c r="Q4548">
        <f>_xlfn.XLOOKUP(E4548,CPT!$A$2:$A$13,CPT!$D$2:$D$13)</f>
        <v>420</v>
      </c>
      <c r="R4548" s="1">
        <f>_xlfn.XLOOKUP(C4548,Contract!$A$2:$A$9,Contract!$B$2:$B$9)</f>
        <v>0.43</v>
      </c>
      <c r="S4548" s="1">
        <f t="shared" si="284"/>
        <v>180.6</v>
      </c>
      <c r="T4548" s="1">
        <f t="shared" si="285"/>
        <v>-0.59999999999999432</v>
      </c>
      <c r="U4548" s="1" t="str">
        <f t="shared" si="286"/>
        <v>OK</v>
      </c>
      <c r="V4548" s="1" t="str">
        <f>_xlfn.XLOOKUP(C4548,Payers!$A$2:$A$9,Payers!$B$2:$B$9)</f>
        <v>Summit Health Commercial</v>
      </c>
      <c r="W4548" s="1" t="str">
        <f t="shared" si="287"/>
        <v>2026-08</v>
      </c>
    </row>
    <row r="4549" spans="1:23">
      <c r="A4549" s="1" t="s">
        <v>7149</v>
      </c>
      <c r="B4549" s="1" t="s">
        <v>243</v>
      </c>
      <c r="C4549" s="1" t="s">
        <v>18</v>
      </c>
      <c r="D4549" s="1" t="s">
        <v>26</v>
      </c>
      <c r="E4549" s="1" t="s">
        <v>185</v>
      </c>
      <c r="F4549">
        <v>1</v>
      </c>
      <c r="G4549" s="2">
        <v>45982</v>
      </c>
      <c r="H4549" s="2">
        <v>45985</v>
      </c>
      <c r="I4549">
        <v>1129.8599999999999</v>
      </c>
      <c r="M4549" s="1" t="s">
        <v>32</v>
      </c>
      <c r="N4549" s="1" t="s">
        <v>315</v>
      </c>
      <c r="O4549" s="2">
        <v>46012</v>
      </c>
      <c r="P4549" s="2"/>
      <c r="Q4549">
        <f>_xlfn.XLOOKUP(E4549,CPT!$A$2:$A$13,CPT!$D$2:$D$13)</f>
        <v>1150</v>
      </c>
      <c r="R4549" s="1">
        <f>_xlfn.XLOOKUP(C4549,Contract!$A$2:$A$9,Contract!$B$2:$B$9)</f>
        <v>0.38</v>
      </c>
      <c r="S4549" s="1">
        <f t="shared" si="284"/>
        <v>437</v>
      </c>
      <c r="T4549" s="1" t="str">
        <f t="shared" si="285"/>
        <v/>
      </c>
      <c r="U4549" s="1" t="str">
        <f t="shared" si="286"/>
        <v/>
      </c>
      <c r="V4549" s="1" t="str">
        <f>_xlfn.XLOOKUP(C4549,Payers!$A$2:$A$9,Payers!$B$2:$B$9)</f>
        <v>Sunshine Medicare Advantage</v>
      </c>
      <c r="W4549" s="1" t="str">
        <f t="shared" si="287"/>
        <v>2025-11</v>
      </c>
    </row>
    <row r="4550" spans="1:23">
      <c r="A4550" s="1" t="s">
        <v>7150</v>
      </c>
      <c r="B4550" s="1" t="s">
        <v>2379</v>
      </c>
      <c r="C4550" s="1" t="s">
        <v>60</v>
      </c>
      <c r="D4550" s="1" t="s">
        <v>19</v>
      </c>
      <c r="E4550" s="1" t="s">
        <v>20</v>
      </c>
      <c r="F4550">
        <v>1</v>
      </c>
      <c r="G4550" s="2">
        <v>46129</v>
      </c>
      <c r="H4550" s="2">
        <v>46133</v>
      </c>
      <c r="I4550">
        <v>147.81</v>
      </c>
      <c r="J4550">
        <v>56.89</v>
      </c>
      <c r="K4550">
        <v>56.89</v>
      </c>
      <c r="L4550">
        <v>0</v>
      </c>
      <c r="M4550" s="1" t="s">
        <v>21</v>
      </c>
      <c r="N4550" s="1" t="s">
        <v>22</v>
      </c>
      <c r="O4550" s="2">
        <v>46166</v>
      </c>
      <c r="P4550" s="2">
        <v>46166</v>
      </c>
      <c r="Q4550">
        <f>_xlfn.XLOOKUP(E4550,CPT!$A$2:$A$13,CPT!$D$2:$D$13)</f>
        <v>145</v>
      </c>
      <c r="R4550" s="1">
        <f>_xlfn.XLOOKUP(C4550,Contract!$A$2:$A$9,Contract!$B$2:$B$9)</f>
        <v>0.45</v>
      </c>
      <c r="S4550" s="1">
        <f t="shared" si="284"/>
        <v>65.25</v>
      </c>
      <c r="T4550" s="1">
        <f t="shared" si="285"/>
        <v>8.36</v>
      </c>
      <c r="U4550" s="1" t="str">
        <f t="shared" si="286"/>
        <v>Underpaid</v>
      </c>
      <c r="V4550" s="1" t="str">
        <f>_xlfn.XLOOKUP(C4550,Payers!$A$2:$A$9,Payers!$B$2:$B$9)</f>
        <v>Blue Horizon Commercial</v>
      </c>
      <c r="W4550" s="1" t="str">
        <f t="shared" si="287"/>
        <v>2026-04</v>
      </c>
    </row>
    <row r="4551" spans="1:23">
      <c r="A4551" s="1" t="s">
        <v>7151</v>
      </c>
      <c r="B4551" s="1" t="s">
        <v>5691</v>
      </c>
      <c r="C4551" s="1" t="s">
        <v>60</v>
      </c>
      <c r="D4551" s="1" t="s">
        <v>19</v>
      </c>
      <c r="E4551" s="1" t="s">
        <v>57</v>
      </c>
      <c r="F4551">
        <v>1</v>
      </c>
      <c r="G4551" s="2">
        <v>46211</v>
      </c>
      <c r="H4551" s="2">
        <v>46213</v>
      </c>
      <c r="I4551">
        <v>204.96</v>
      </c>
      <c r="J4551">
        <v>90.91</v>
      </c>
      <c r="K4551">
        <v>72.73</v>
      </c>
      <c r="L4551">
        <v>18.18</v>
      </c>
      <c r="M4551" s="1" t="s">
        <v>21</v>
      </c>
      <c r="N4551" s="1" t="s">
        <v>22</v>
      </c>
      <c r="O4551" s="2">
        <v>46235</v>
      </c>
      <c r="P4551" s="2">
        <v>46235</v>
      </c>
      <c r="Q4551">
        <f>_xlfn.XLOOKUP(E4551,CPT!$A$2:$A$13,CPT!$D$2:$D$13)</f>
        <v>210</v>
      </c>
      <c r="R4551" s="1">
        <f>_xlfn.XLOOKUP(C4551,Contract!$A$2:$A$9,Contract!$B$2:$B$9)</f>
        <v>0.45</v>
      </c>
      <c r="S4551" s="1">
        <f t="shared" si="284"/>
        <v>94.5</v>
      </c>
      <c r="T4551" s="1">
        <f t="shared" si="285"/>
        <v>3.5900000000000034</v>
      </c>
      <c r="U4551" s="1" t="str">
        <f t="shared" si="286"/>
        <v>OK</v>
      </c>
      <c r="V4551" s="1" t="str">
        <f>_xlfn.XLOOKUP(C4551,Payers!$A$2:$A$9,Payers!$B$2:$B$9)</f>
        <v>Blue Horizon Commercial</v>
      </c>
      <c r="W4551" s="1" t="str">
        <f t="shared" si="287"/>
        <v>2026-07</v>
      </c>
    </row>
    <row r="4552" spans="1:23">
      <c r="A4552" s="1" t="s">
        <v>7152</v>
      </c>
      <c r="B4552" s="1" t="s">
        <v>3005</v>
      </c>
      <c r="C4552" s="1" t="s">
        <v>25</v>
      </c>
      <c r="D4552" s="1" t="s">
        <v>19</v>
      </c>
      <c r="E4552" s="1" t="s">
        <v>57</v>
      </c>
      <c r="F4552">
        <v>1</v>
      </c>
      <c r="G4552" s="2">
        <v>45934</v>
      </c>
      <c r="H4552" s="2">
        <v>45943</v>
      </c>
      <c r="I4552">
        <v>214.78</v>
      </c>
      <c r="J4552">
        <v>72.13</v>
      </c>
      <c r="K4552">
        <v>72.13</v>
      </c>
      <c r="L4552">
        <v>0</v>
      </c>
      <c r="M4552" s="1" t="s">
        <v>21</v>
      </c>
      <c r="N4552" s="1" t="s">
        <v>22</v>
      </c>
      <c r="O4552" s="2">
        <v>45968</v>
      </c>
      <c r="P4552" s="2">
        <v>45968</v>
      </c>
      <c r="Q4552">
        <f>_xlfn.XLOOKUP(E4552,CPT!$A$2:$A$13,CPT!$D$2:$D$13)</f>
        <v>210</v>
      </c>
      <c r="R4552" s="1">
        <f>_xlfn.XLOOKUP(C4552,Contract!$A$2:$A$9,Contract!$B$2:$B$9)</f>
        <v>0.36</v>
      </c>
      <c r="S4552" s="1">
        <f t="shared" si="284"/>
        <v>75.599999999999994</v>
      </c>
      <c r="T4552" s="1">
        <f t="shared" si="285"/>
        <v>3.4699999999999989</v>
      </c>
      <c r="U4552" s="1" t="str">
        <f t="shared" si="286"/>
        <v>OK</v>
      </c>
      <c r="V4552" s="1" t="str">
        <f>_xlfn.XLOOKUP(C4552,Payers!$A$2:$A$9,Payers!$B$2:$B$9)</f>
        <v>Medicare Part B</v>
      </c>
      <c r="W4552" s="1" t="str">
        <f t="shared" si="287"/>
        <v>2025-10</v>
      </c>
    </row>
    <row r="4553" spans="1:23">
      <c r="A4553" s="1" t="s">
        <v>7153</v>
      </c>
      <c r="B4553" s="1" t="s">
        <v>7154</v>
      </c>
      <c r="C4553" s="1" t="s">
        <v>52</v>
      </c>
      <c r="D4553" s="1" t="s">
        <v>19</v>
      </c>
      <c r="E4553" s="1" t="s">
        <v>41</v>
      </c>
      <c r="F4553">
        <v>1</v>
      </c>
      <c r="G4553" s="2">
        <v>45971</v>
      </c>
      <c r="H4553" s="2">
        <v>45973</v>
      </c>
      <c r="I4553">
        <v>38.229999999999997</v>
      </c>
      <c r="J4553">
        <v>18.399999999999999</v>
      </c>
      <c r="K4553">
        <v>14.72</v>
      </c>
      <c r="L4553">
        <v>3.68</v>
      </c>
      <c r="M4553" s="1" t="s">
        <v>21</v>
      </c>
      <c r="N4553" s="1" t="s">
        <v>22</v>
      </c>
      <c r="O4553" s="2">
        <v>46016</v>
      </c>
      <c r="P4553" s="2">
        <v>46016</v>
      </c>
      <c r="Q4553">
        <f>_xlfn.XLOOKUP(E4553,CPT!$A$2:$A$13,CPT!$D$2:$D$13)</f>
        <v>38</v>
      </c>
      <c r="R4553" s="1">
        <f>_xlfn.XLOOKUP(C4553,Contract!$A$2:$A$9,Contract!$B$2:$B$9)</f>
        <v>0.47</v>
      </c>
      <c r="S4553" s="1">
        <f t="shared" si="284"/>
        <v>17.86</v>
      </c>
      <c r="T4553" s="1">
        <f t="shared" si="285"/>
        <v>-0.53999999999999915</v>
      </c>
      <c r="U4553" s="1" t="str">
        <f t="shared" si="286"/>
        <v>OK</v>
      </c>
      <c r="V4553" s="1" t="str">
        <f>_xlfn.XLOOKUP(C4553,Payers!$A$2:$A$9,Payers!$B$2:$B$9)</f>
        <v>Keystone Commercial PPO</v>
      </c>
      <c r="W4553" s="1" t="str">
        <f t="shared" si="287"/>
        <v>2025-11</v>
      </c>
    </row>
    <row r="4554" spans="1:23">
      <c r="A4554" s="1" t="s">
        <v>7155</v>
      </c>
      <c r="B4554" s="1" t="s">
        <v>7137</v>
      </c>
      <c r="C4554" s="1" t="s">
        <v>25</v>
      </c>
      <c r="D4554" s="1" t="s">
        <v>30</v>
      </c>
      <c r="E4554" s="1" t="s">
        <v>20</v>
      </c>
      <c r="F4554">
        <v>1</v>
      </c>
      <c r="G4554" s="2">
        <v>46220</v>
      </c>
      <c r="H4554" s="2">
        <v>46223</v>
      </c>
      <c r="I4554">
        <v>142.54</v>
      </c>
      <c r="J4554">
        <v>53.65</v>
      </c>
      <c r="K4554">
        <v>48.28</v>
      </c>
      <c r="L4554">
        <v>5.37</v>
      </c>
      <c r="M4554" s="1" t="s">
        <v>21</v>
      </c>
      <c r="N4554" s="1" t="s">
        <v>22</v>
      </c>
      <c r="O4554" s="2">
        <v>46246</v>
      </c>
      <c r="P4554" s="2">
        <v>46246</v>
      </c>
      <c r="Q4554">
        <f>_xlfn.XLOOKUP(E4554,CPT!$A$2:$A$13,CPT!$D$2:$D$13)</f>
        <v>145</v>
      </c>
      <c r="R4554" s="1">
        <f>_xlfn.XLOOKUP(C4554,Contract!$A$2:$A$9,Contract!$B$2:$B$9)</f>
        <v>0.36</v>
      </c>
      <c r="S4554" s="1">
        <f t="shared" si="284"/>
        <v>52.2</v>
      </c>
      <c r="T4554" s="1">
        <f t="shared" si="285"/>
        <v>-1.4499999999999957</v>
      </c>
      <c r="U4554" s="1" t="str">
        <f t="shared" si="286"/>
        <v>OK</v>
      </c>
      <c r="V4554" s="1" t="str">
        <f>_xlfn.XLOOKUP(C4554,Payers!$A$2:$A$9,Payers!$B$2:$B$9)</f>
        <v>Medicare Part B</v>
      </c>
      <c r="W4554" s="1" t="str">
        <f t="shared" si="287"/>
        <v>2026-07</v>
      </c>
    </row>
    <row r="4555" spans="1:23">
      <c r="A4555" s="1" t="s">
        <v>7156</v>
      </c>
      <c r="B4555" s="1" t="s">
        <v>3078</v>
      </c>
      <c r="C4555" s="1" t="s">
        <v>52</v>
      </c>
      <c r="D4555" s="1" t="s">
        <v>30</v>
      </c>
      <c r="E4555" s="1" t="s">
        <v>20</v>
      </c>
      <c r="F4555">
        <v>1</v>
      </c>
      <c r="G4555" s="2">
        <v>46130</v>
      </c>
      <c r="H4555" s="2">
        <v>46132</v>
      </c>
      <c r="I4555">
        <v>141.66999999999999</v>
      </c>
      <c r="J4555">
        <v>70.319999999999993</v>
      </c>
      <c r="K4555">
        <v>70.319999999999993</v>
      </c>
      <c r="L4555">
        <v>0</v>
      </c>
      <c r="M4555" s="1" t="s">
        <v>21</v>
      </c>
      <c r="N4555" s="1" t="s">
        <v>22</v>
      </c>
      <c r="O4555" s="2">
        <v>46164</v>
      </c>
      <c r="P4555" s="2">
        <v>46164</v>
      </c>
      <c r="Q4555">
        <f>_xlfn.XLOOKUP(E4555,CPT!$A$2:$A$13,CPT!$D$2:$D$13)</f>
        <v>145</v>
      </c>
      <c r="R4555" s="1">
        <f>_xlfn.XLOOKUP(C4555,Contract!$A$2:$A$9,Contract!$B$2:$B$9)</f>
        <v>0.47</v>
      </c>
      <c r="S4555" s="1">
        <f t="shared" si="284"/>
        <v>68.150000000000006</v>
      </c>
      <c r="T4555" s="1">
        <f t="shared" si="285"/>
        <v>-2.1699999999999875</v>
      </c>
      <c r="U4555" s="1" t="str">
        <f t="shared" si="286"/>
        <v>OK</v>
      </c>
      <c r="V4555" s="1" t="str">
        <f>_xlfn.XLOOKUP(C4555,Payers!$A$2:$A$9,Payers!$B$2:$B$9)</f>
        <v>Keystone Commercial PPO</v>
      </c>
      <c r="W4555" s="1" t="str">
        <f t="shared" si="287"/>
        <v>2026-04</v>
      </c>
    </row>
    <row r="4556" spans="1:23">
      <c r="A4556" s="1" t="s">
        <v>7157</v>
      </c>
      <c r="B4556" s="1" t="s">
        <v>4325</v>
      </c>
      <c r="C4556" s="1" t="s">
        <v>76</v>
      </c>
      <c r="D4556" s="1" t="s">
        <v>26</v>
      </c>
      <c r="E4556" s="1" t="s">
        <v>185</v>
      </c>
      <c r="F4556">
        <v>1</v>
      </c>
      <c r="G4556" s="2">
        <v>46184</v>
      </c>
      <c r="H4556" s="2">
        <v>46186</v>
      </c>
      <c r="I4556">
        <v>1174.02</v>
      </c>
      <c r="J4556">
        <v>565.29</v>
      </c>
      <c r="K4556">
        <v>565.29</v>
      </c>
      <c r="L4556">
        <v>0</v>
      </c>
      <c r="M4556" s="1" t="s">
        <v>21</v>
      </c>
      <c r="N4556" s="1" t="s">
        <v>22</v>
      </c>
      <c r="O4556" s="2">
        <v>46235</v>
      </c>
      <c r="P4556" s="2">
        <v>46235</v>
      </c>
      <c r="Q4556">
        <f>_xlfn.XLOOKUP(E4556,CPT!$A$2:$A$13,CPT!$D$2:$D$13)</f>
        <v>1150</v>
      </c>
      <c r="R4556" s="1">
        <f>_xlfn.XLOOKUP(C4556,Contract!$A$2:$A$9,Contract!$B$2:$B$9)</f>
        <v>0.43</v>
      </c>
      <c r="S4556" s="1">
        <f t="shared" si="284"/>
        <v>494.5</v>
      </c>
      <c r="T4556" s="1">
        <f t="shared" si="285"/>
        <v>-70.789999999999964</v>
      </c>
      <c r="U4556" s="1" t="str">
        <f t="shared" si="286"/>
        <v>OK</v>
      </c>
      <c r="V4556" s="1" t="str">
        <f>_xlfn.XLOOKUP(C4556,Payers!$A$2:$A$9,Payers!$B$2:$B$9)</f>
        <v>Summit Health Commercial</v>
      </c>
      <c r="W4556" s="1" t="str">
        <f t="shared" si="287"/>
        <v>2026-06</v>
      </c>
    </row>
    <row r="4557" spans="1:23">
      <c r="A4557" s="1" t="s">
        <v>7158</v>
      </c>
      <c r="B4557" s="1" t="s">
        <v>1897</v>
      </c>
      <c r="C4557" s="1" t="s">
        <v>47</v>
      </c>
      <c r="D4557" s="1" t="s">
        <v>26</v>
      </c>
      <c r="E4557" s="1" t="s">
        <v>57</v>
      </c>
      <c r="F4557">
        <v>1</v>
      </c>
      <c r="G4557" s="2">
        <v>45948</v>
      </c>
      <c r="H4557" s="2">
        <v>45954</v>
      </c>
      <c r="I4557">
        <v>205.35</v>
      </c>
      <c r="J4557">
        <v>55.54</v>
      </c>
      <c r="K4557">
        <v>44.43</v>
      </c>
      <c r="L4557">
        <v>11.11</v>
      </c>
      <c r="M4557" s="1" t="s">
        <v>21</v>
      </c>
      <c r="N4557" s="1" t="s">
        <v>22</v>
      </c>
      <c r="O4557" s="2">
        <v>45990</v>
      </c>
      <c r="P4557" s="2">
        <v>45990</v>
      </c>
      <c r="Q4557">
        <f>_xlfn.XLOOKUP(E4557,CPT!$A$2:$A$13,CPT!$D$2:$D$13)</f>
        <v>210</v>
      </c>
      <c r="R4557" s="1">
        <f>_xlfn.XLOOKUP(C4557,Contract!$A$2:$A$9,Contract!$B$2:$B$9)</f>
        <v>0.28000000000000003</v>
      </c>
      <c r="S4557" s="1">
        <f t="shared" si="284"/>
        <v>58.8</v>
      </c>
      <c r="T4557" s="1">
        <f t="shared" si="285"/>
        <v>3.259999999999998</v>
      </c>
      <c r="U4557" s="1" t="str">
        <f t="shared" si="286"/>
        <v>Underpaid</v>
      </c>
      <c r="V4557" s="1" t="str">
        <f>_xlfn.XLOOKUP(C4557,Payers!$A$2:$A$9,Payers!$B$2:$B$9)</f>
        <v>Coastal Medicaid MCO</v>
      </c>
      <c r="W4557" s="1" t="str">
        <f t="shared" si="287"/>
        <v>2025-10</v>
      </c>
    </row>
    <row r="4558" spans="1:23">
      <c r="A4558" s="1" t="s">
        <v>7159</v>
      </c>
      <c r="B4558" s="1" t="s">
        <v>3805</v>
      </c>
      <c r="C4558" s="1" t="s">
        <v>36</v>
      </c>
      <c r="D4558" s="1" t="s">
        <v>19</v>
      </c>
      <c r="E4558" s="1" t="s">
        <v>88</v>
      </c>
      <c r="F4558">
        <v>1</v>
      </c>
      <c r="G4558" s="2">
        <v>46068</v>
      </c>
      <c r="H4558" s="2">
        <v>46069</v>
      </c>
      <c r="I4558">
        <v>255.52</v>
      </c>
      <c r="J4558">
        <v>59.7</v>
      </c>
      <c r="K4558">
        <v>53.73</v>
      </c>
      <c r="L4558">
        <v>5.97</v>
      </c>
      <c r="M4558" s="1" t="s">
        <v>21</v>
      </c>
      <c r="N4558" s="1" t="s">
        <v>22</v>
      </c>
      <c r="O4558" s="2">
        <v>46104</v>
      </c>
      <c r="P4558" s="2">
        <v>46104</v>
      </c>
      <c r="Q4558">
        <f>_xlfn.XLOOKUP(E4558,CPT!$A$2:$A$13,CPT!$D$2:$D$13)</f>
        <v>260</v>
      </c>
      <c r="R4558" s="1">
        <f>_xlfn.XLOOKUP(C4558,Contract!$A$2:$A$9,Contract!$B$2:$B$9)</f>
        <v>0.27</v>
      </c>
      <c r="S4558" s="1">
        <f t="shared" si="284"/>
        <v>70.2</v>
      </c>
      <c r="T4558" s="1">
        <f t="shared" si="285"/>
        <v>10.5</v>
      </c>
      <c r="U4558" s="1" t="str">
        <f t="shared" si="286"/>
        <v>Underpaid</v>
      </c>
      <c r="V4558" s="1" t="str">
        <f>_xlfn.XLOOKUP(C4558,Payers!$A$2:$A$9,Payers!$B$2:$B$9)</f>
        <v>Florida Medicaid</v>
      </c>
      <c r="W4558" s="1" t="str">
        <f t="shared" si="287"/>
        <v>2026-02</v>
      </c>
    </row>
    <row r="4559" spans="1:23">
      <c r="A4559" s="1" t="s">
        <v>7160</v>
      </c>
      <c r="B4559" s="1" t="s">
        <v>7161</v>
      </c>
      <c r="C4559" s="1" t="s">
        <v>18</v>
      </c>
      <c r="D4559" s="1" t="s">
        <v>37</v>
      </c>
      <c r="E4559" s="1" t="s">
        <v>48</v>
      </c>
      <c r="F4559">
        <v>1</v>
      </c>
      <c r="G4559" s="2">
        <v>46060</v>
      </c>
      <c r="H4559" s="2">
        <v>46061</v>
      </c>
      <c r="I4559">
        <v>428.63</v>
      </c>
      <c r="J4559">
        <v>158.97999999999999</v>
      </c>
      <c r="K4559">
        <v>143.08000000000001</v>
      </c>
      <c r="L4559">
        <v>15.9</v>
      </c>
      <c r="M4559" s="1" t="s">
        <v>21</v>
      </c>
      <c r="N4559" s="1" t="s">
        <v>22</v>
      </c>
      <c r="O4559" s="2">
        <v>46089</v>
      </c>
      <c r="P4559" s="2">
        <v>46089</v>
      </c>
      <c r="Q4559">
        <f>_xlfn.XLOOKUP(E4559,CPT!$A$2:$A$13,CPT!$D$2:$D$13)</f>
        <v>420</v>
      </c>
      <c r="R4559" s="1">
        <f>_xlfn.XLOOKUP(C4559,Contract!$A$2:$A$9,Contract!$B$2:$B$9)</f>
        <v>0.38</v>
      </c>
      <c r="S4559" s="1">
        <f t="shared" si="284"/>
        <v>159.6</v>
      </c>
      <c r="T4559" s="1">
        <f t="shared" si="285"/>
        <v>0.62000000000000455</v>
      </c>
      <c r="U4559" s="1" t="str">
        <f t="shared" si="286"/>
        <v>OK</v>
      </c>
      <c r="V4559" s="1" t="str">
        <f>_xlfn.XLOOKUP(C4559,Payers!$A$2:$A$9,Payers!$B$2:$B$9)</f>
        <v>Sunshine Medicare Advantage</v>
      </c>
      <c r="W4559" s="1" t="str">
        <f t="shared" si="287"/>
        <v>2026-02</v>
      </c>
    </row>
    <row r="4560" spans="1:23">
      <c r="A4560" s="1" t="s">
        <v>7162</v>
      </c>
      <c r="B4560" s="1" t="s">
        <v>7163</v>
      </c>
      <c r="C4560" s="1" t="s">
        <v>60</v>
      </c>
      <c r="D4560" s="1" t="s">
        <v>37</v>
      </c>
      <c r="E4560" s="1" t="s">
        <v>57</v>
      </c>
      <c r="F4560">
        <v>1</v>
      </c>
      <c r="G4560" s="2">
        <v>45940</v>
      </c>
      <c r="H4560" s="2">
        <v>45943</v>
      </c>
      <c r="I4560">
        <v>207.98</v>
      </c>
      <c r="M4560" s="1" t="s">
        <v>32</v>
      </c>
      <c r="N4560" s="1" t="s">
        <v>33</v>
      </c>
      <c r="O4560" s="2">
        <v>45982</v>
      </c>
      <c r="P4560" s="2"/>
      <c r="Q4560">
        <f>_xlfn.XLOOKUP(E4560,CPT!$A$2:$A$13,CPT!$D$2:$D$13)</f>
        <v>210</v>
      </c>
      <c r="R4560" s="1">
        <f>_xlfn.XLOOKUP(C4560,Contract!$A$2:$A$9,Contract!$B$2:$B$9)</f>
        <v>0.45</v>
      </c>
      <c r="S4560" s="1">
        <f t="shared" si="284"/>
        <v>94.5</v>
      </c>
      <c r="T4560" s="1" t="str">
        <f t="shared" si="285"/>
        <v/>
      </c>
      <c r="U4560" s="1" t="str">
        <f t="shared" si="286"/>
        <v/>
      </c>
      <c r="V4560" s="1" t="str">
        <f>_xlfn.XLOOKUP(C4560,Payers!$A$2:$A$9,Payers!$B$2:$B$9)</f>
        <v>Blue Horizon Commercial</v>
      </c>
      <c r="W4560" s="1" t="str">
        <f t="shared" si="287"/>
        <v>2025-10</v>
      </c>
    </row>
    <row r="4561" spans="1:23">
      <c r="A4561" s="1" t="s">
        <v>7164</v>
      </c>
      <c r="B4561" s="1" t="s">
        <v>2179</v>
      </c>
      <c r="C4561" s="1" t="s">
        <v>25</v>
      </c>
      <c r="D4561" s="1" t="s">
        <v>30</v>
      </c>
      <c r="E4561" s="1" t="s">
        <v>91</v>
      </c>
      <c r="F4561">
        <v>2</v>
      </c>
      <c r="G4561" s="2">
        <v>46243</v>
      </c>
      <c r="H4561" s="2">
        <v>46261</v>
      </c>
      <c r="I4561">
        <v>116.75</v>
      </c>
      <c r="J4561">
        <v>38.840000000000003</v>
      </c>
      <c r="K4561">
        <v>38.840000000000003</v>
      </c>
      <c r="L4561">
        <v>0</v>
      </c>
      <c r="M4561" s="1" t="s">
        <v>21</v>
      </c>
      <c r="N4561" s="1" t="s">
        <v>22</v>
      </c>
      <c r="O4561" s="2">
        <v>46281</v>
      </c>
      <c r="P4561" s="2">
        <v>46281</v>
      </c>
      <c r="Q4561">
        <f>_xlfn.XLOOKUP(E4561,CPT!$A$2:$A$13,CPT!$D$2:$D$13)</f>
        <v>58</v>
      </c>
      <c r="R4561" s="1">
        <f>_xlfn.XLOOKUP(C4561,Contract!$A$2:$A$9,Contract!$B$2:$B$9)</f>
        <v>0.36</v>
      </c>
      <c r="S4561" s="1">
        <f t="shared" si="284"/>
        <v>41.76</v>
      </c>
      <c r="T4561" s="1">
        <f t="shared" si="285"/>
        <v>2.9199999999999946</v>
      </c>
      <c r="U4561" s="1" t="str">
        <f t="shared" si="286"/>
        <v>Underpaid</v>
      </c>
      <c r="V4561" s="1" t="str">
        <f>_xlfn.XLOOKUP(C4561,Payers!$A$2:$A$9,Payers!$B$2:$B$9)</f>
        <v>Medicare Part B</v>
      </c>
      <c r="W4561" s="1" t="str">
        <f t="shared" si="287"/>
        <v>2026-08</v>
      </c>
    </row>
    <row r="4562" spans="1:23">
      <c r="A4562" s="1" t="s">
        <v>7165</v>
      </c>
      <c r="B4562" s="1" t="s">
        <v>3469</v>
      </c>
      <c r="C4562" s="1" t="s">
        <v>76</v>
      </c>
      <c r="D4562" s="1" t="s">
        <v>26</v>
      </c>
      <c r="E4562" s="1" t="s">
        <v>27</v>
      </c>
      <c r="F4562">
        <v>1</v>
      </c>
      <c r="G4562" s="2">
        <v>46101</v>
      </c>
      <c r="H4562" s="2">
        <v>46102</v>
      </c>
      <c r="I4562">
        <v>235.21</v>
      </c>
      <c r="J4562">
        <v>112.12</v>
      </c>
      <c r="K4562">
        <v>89.7</v>
      </c>
      <c r="L4562">
        <v>22.42</v>
      </c>
      <c r="M4562" s="1" t="s">
        <v>21</v>
      </c>
      <c r="N4562" s="1" t="s">
        <v>22</v>
      </c>
      <c r="O4562" s="2">
        <v>46143</v>
      </c>
      <c r="P4562" s="2">
        <v>46143</v>
      </c>
      <c r="Q4562">
        <f>_xlfn.XLOOKUP(E4562,CPT!$A$2:$A$13,CPT!$D$2:$D$13)</f>
        <v>240</v>
      </c>
      <c r="R4562" s="1">
        <f>_xlfn.XLOOKUP(C4562,Contract!$A$2:$A$9,Contract!$B$2:$B$9)</f>
        <v>0.43</v>
      </c>
      <c r="S4562" s="1">
        <f t="shared" si="284"/>
        <v>103.2</v>
      </c>
      <c r="T4562" s="1">
        <f t="shared" si="285"/>
        <v>-8.9200000000000017</v>
      </c>
      <c r="U4562" s="1" t="str">
        <f t="shared" si="286"/>
        <v>OK</v>
      </c>
      <c r="V4562" s="1" t="str">
        <f>_xlfn.XLOOKUP(C4562,Payers!$A$2:$A$9,Payers!$B$2:$B$9)</f>
        <v>Summit Health Commercial</v>
      </c>
      <c r="W4562" s="1" t="str">
        <f t="shared" si="287"/>
        <v>2026-03</v>
      </c>
    </row>
    <row r="4563" spans="1:23">
      <c r="A4563" s="1" t="s">
        <v>7166</v>
      </c>
      <c r="B4563" s="1" t="s">
        <v>2675</v>
      </c>
      <c r="C4563" s="1" t="s">
        <v>18</v>
      </c>
      <c r="D4563" s="1" t="s">
        <v>37</v>
      </c>
      <c r="E4563" s="1" t="s">
        <v>38</v>
      </c>
      <c r="F4563">
        <v>5</v>
      </c>
      <c r="G4563" s="2">
        <v>46193</v>
      </c>
      <c r="H4563" s="2">
        <v>46198</v>
      </c>
      <c r="I4563">
        <v>7272.43</v>
      </c>
      <c r="M4563" s="1" t="s">
        <v>32</v>
      </c>
      <c r="N4563" s="1" t="s">
        <v>49</v>
      </c>
      <c r="O4563" s="2">
        <v>46243</v>
      </c>
      <c r="P4563" s="2"/>
      <c r="Q4563">
        <f>_xlfn.XLOOKUP(E4563,CPT!$A$2:$A$13,CPT!$D$2:$D$13)</f>
        <v>1450</v>
      </c>
      <c r="R4563" s="1">
        <f>_xlfn.XLOOKUP(C4563,Contract!$A$2:$A$9,Contract!$B$2:$B$9)</f>
        <v>0.38</v>
      </c>
      <c r="S4563" s="1">
        <f t="shared" si="284"/>
        <v>2755</v>
      </c>
      <c r="T4563" s="1" t="str">
        <f t="shared" si="285"/>
        <v/>
      </c>
      <c r="U4563" s="1" t="str">
        <f t="shared" si="286"/>
        <v/>
      </c>
      <c r="V4563" s="1" t="str">
        <f>_xlfn.XLOOKUP(C4563,Payers!$A$2:$A$9,Payers!$B$2:$B$9)</f>
        <v>Sunshine Medicare Advantage</v>
      </c>
      <c r="W4563" s="1" t="str">
        <f t="shared" si="287"/>
        <v>2026-06</v>
      </c>
    </row>
    <row r="4564" spans="1:23">
      <c r="A4564" s="1" t="s">
        <v>7167</v>
      </c>
      <c r="B4564" s="1" t="s">
        <v>5042</v>
      </c>
      <c r="C4564" s="1" t="s">
        <v>76</v>
      </c>
      <c r="D4564" s="1" t="s">
        <v>19</v>
      </c>
      <c r="E4564" s="1" t="s">
        <v>20</v>
      </c>
      <c r="F4564">
        <v>1</v>
      </c>
      <c r="G4564" s="2">
        <v>46085</v>
      </c>
      <c r="H4564" s="2">
        <v>46087</v>
      </c>
      <c r="I4564">
        <v>147.13</v>
      </c>
      <c r="J4564">
        <v>54.28</v>
      </c>
      <c r="K4564">
        <v>54.28</v>
      </c>
      <c r="L4564">
        <v>0</v>
      </c>
      <c r="M4564" s="1" t="s">
        <v>21</v>
      </c>
      <c r="N4564" s="1" t="s">
        <v>22</v>
      </c>
      <c r="O4564" s="2">
        <v>46110</v>
      </c>
      <c r="P4564" s="2">
        <v>46110</v>
      </c>
      <c r="Q4564">
        <f>_xlfn.XLOOKUP(E4564,CPT!$A$2:$A$13,CPT!$D$2:$D$13)</f>
        <v>145</v>
      </c>
      <c r="R4564" s="1">
        <f>_xlfn.XLOOKUP(C4564,Contract!$A$2:$A$9,Contract!$B$2:$B$9)</f>
        <v>0.43</v>
      </c>
      <c r="S4564" s="1">
        <f t="shared" si="284"/>
        <v>62.35</v>
      </c>
      <c r="T4564" s="1">
        <f t="shared" si="285"/>
        <v>8.07</v>
      </c>
      <c r="U4564" s="1" t="str">
        <f t="shared" si="286"/>
        <v>Underpaid</v>
      </c>
      <c r="V4564" s="1" t="str">
        <f>_xlfn.XLOOKUP(C4564,Payers!$A$2:$A$9,Payers!$B$2:$B$9)</f>
        <v>Summit Health Commercial</v>
      </c>
      <c r="W4564" s="1" t="str">
        <f t="shared" si="287"/>
        <v>2026-03</v>
      </c>
    </row>
    <row r="4565" spans="1:23">
      <c r="A4565" s="1" t="s">
        <v>7168</v>
      </c>
      <c r="B4565" s="1" t="s">
        <v>7169</v>
      </c>
      <c r="C4565" s="1" t="s">
        <v>76</v>
      </c>
      <c r="D4565" s="1" t="s">
        <v>26</v>
      </c>
      <c r="E4565" s="1" t="s">
        <v>41</v>
      </c>
      <c r="F4565">
        <v>1</v>
      </c>
      <c r="G4565" s="2">
        <v>46013</v>
      </c>
      <c r="H4565" s="2">
        <v>46018</v>
      </c>
      <c r="I4565">
        <v>39.07</v>
      </c>
      <c r="J4565">
        <v>18.18</v>
      </c>
      <c r="K4565">
        <v>16.36</v>
      </c>
      <c r="L4565">
        <v>1.82</v>
      </c>
      <c r="M4565" s="1" t="s">
        <v>21</v>
      </c>
      <c r="N4565" s="1" t="s">
        <v>22</v>
      </c>
      <c r="O4565" s="2">
        <v>46061</v>
      </c>
      <c r="P4565" s="2">
        <v>46061</v>
      </c>
      <c r="Q4565">
        <f>_xlfn.XLOOKUP(E4565,CPT!$A$2:$A$13,CPT!$D$2:$D$13)</f>
        <v>38</v>
      </c>
      <c r="R4565" s="1">
        <f>_xlfn.XLOOKUP(C4565,Contract!$A$2:$A$9,Contract!$B$2:$B$9)</f>
        <v>0.43</v>
      </c>
      <c r="S4565" s="1">
        <f t="shared" si="284"/>
        <v>16.34</v>
      </c>
      <c r="T4565" s="1">
        <f t="shared" si="285"/>
        <v>-1.8399999999999999</v>
      </c>
      <c r="U4565" s="1" t="str">
        <f t="shared" si="286"/>
        <v>OK</v>
      </c>
      <c r="V4565" s="1" t="str">
        <f>_xlfn.XLOOKUP(C4565,Payers!$A$2:$A$9,Payers!$B$2:$B$9)</f>
        <v>Summit Health Commercial</v>
      </c>
      <c r="W4565" s="1" t="str">
        <f t="shared" si="287"/>
        <v>2025-12</v>
      </c>
    </row>
    <row r="4566" spans="1:23">
      <c r="A4566" s="1" t="s">
        <v>7170</v>
      </c>
      <c r="B4566" s="1" t="s">
        <v>879</v>
      </c>
      <c r="C4566" s="1" t="s">
        <v>36</v>
      </c>
      <c r="D4566" s="1" t="s">
        <v>30</v>
      </c>
      <c r="E4566" s="1" t="s">
        <v>31</v>
      </c>
      <c r="F4566">
        <v>2</v>
      </c>
      <c r="G4566" s="2">
        <v>46086</v>
      </c>
      <c r="H4566" s="2">
        <v>46091</v>
      </c>
      <c r="I4566">
        <v>121.29</v>
      </c>
      <c r="J4566">
        <v>35.19</v>
      </c>
      <c r="K4566">
        <v>28.15</v>
      </c>
      <c r="L4566">
        <v>7.04</v>
      </c>
      <c r="M4566" s="1" t="s">
        <v>21</v>
      </c>
      <c r="N4566" s="1" t="s">
        <v>22</v>
      </c>
      <c r="O4566" s="2">
        <v>46135</v>
      </c>
      <c r="P4566" s="2">
        <v>46135</v>
      </c>
      <c r="Q4566">
        <f>_xlfn.XLOOKUP(E4566,CPT!$A$2:$A$13,CPT!$D$2:$D$13)</f>
        <v>62</v>
      </c>
      <c r="R4566" s="1">
        <f>_xlfn.XLOOKUP(C4566,Contract!$A$2:$A$9,Contract!$B$2:$B$9)</f>
        <v>0.27</v>
      </c>
      <c r="S4566" s="1">
        <f t="shared" si="284"/>
        <v>33.479999999999997</v>
      </c>
      <c r="T4566" s="1">
        <f t="shared" si="285"/>
        <v>-1.7100000000000009</v>
      </c>
      <c r="U4566" s="1" t="str">
        <f t="shared" si="286"/>
        <v>OK</v>
      </c>
      <c r="V4566" s="1" t="str">
        <f>_xlfn.XLOOKUP(C4566,Payers!$A$2:$A$9,Payers!$B$2:$B$9)</f>
        <v>Florida Medicaid</v>
      </c>
      <c r="W4566" s="1" t="str">
        <f t="shared" si="287"/>
        <v>2026-03</v>
      </c>
    </row>
    <row r="4567" spans="1:23">
      <c r="A4567" s="1" t="s">
        <v>7171</v>
      </c>
      <c r="B4567" s="1" t="s">
        <v>5423</v>
      </c>
      <c r="C4567" s="1" t="s">
        <v>76</v>
      </c>
      <c r="D4567" s="1" t="s">
        <v>30</v>
      </c>
      <c r="E4567" s="1" t="s">
        <v>31</v>
      </c>
      <c r="F4567">
        <v>1</v>
      </c>
      <c r="G4567" s="2">
        <v>46205</v>
      </c>
      <c r="H4567" s="2">
        <v>46210</v>
      </c>
      <c r="I4567">
        <v>61.83</v>
      </c>
      <c r="J4567">
        <v>24.27</v>
      </c>
      <c r="K4567">
        <v>19.420000000000002</v>
      </c>
      <c r="L4567">
        <v>4.8499999999999996</v>
      </c>
      <c r="M4567" s="1" t="s">
        <v>21</v>
      </c>
      <c r="N4567" s="1" t="s">
        <v>22</v>
      </c>
      <c r="O4567" s="2">
        <v>46249</v>
      </c>
      <c r="P4567" s="2">
        <v>46249</v>
      </c>
      <c r="Q4567">
        <f>_xlfn.XLOOKUP(E4567,CPT!$A$2:$A$13,CPT!$D$2:$D$13)</f>
        <v>62</v>
      </c>
      <c r="R4567" s="1">
        <f>_xlfn.XLOOKUP(C4567,Contract!$A$2:$A$9,Contract!$B$2:$B$9)</f>
        <v>0.43</v>
      </c>
      <c r="S4567" s="1">
        <f t="shared" si="284"/>
        <v>26.66</v>
      </c>
      <c r="T4567" s="1">
        <f t="shared" si="285"/>
        <v>2.3900000000000006</v>
      </c>
      <c r="U4567" s="1" t="str">
        <f t="shared" si="286"/>
        <v>Underpaid</v>
      </c>
      <c r="V4567" s="1" t="str">
        <f>_xlfn.XLOOKUP(C4567,Payers!$A$2:$A$9,Payers!$B$2:$B$9)</f>
        <v>Summit Health Commercial</v>
      </c>
      <c r="W4567" s="1" t="str">
        <f t="shared" si="287"/>
        <v>2026-07</v>
      </c>
    </row>
    <row r="4568" spans="1:23">
      <c r="A4568" s="1" t="s">
        <v>7172</v>
      </c>
      <c r="B4568" s="1" t="s">
        <v>2458</v>
      </c>
      <c r="C4568" s="1" t="s">
        <v>60</v>
      </c>
      <c r="D4568" s="1" t="s">
        <v>37</v>
      </c>
      <c r="E4568" s="1" t="s">
        <v>57</v>
      </c>
      <c r="F4568">
        <v>1</v>
      </c>
      <c r="G4568" s="2">
        <v>46152</v>
      </c>
      <c r="H4568" s="2">
        <v>46153</v>
      </c>
      <c r="I4568">
        <v>210.04</v>
      </c>
      <c r="J4568">
        <v>95.93</v>
      </c>
      <c r="K4568">
        <v>86.34</v>
      </c>
      <c r="L4568">
        <v>9.59</v>
      </c>
      <c r="M4568" s="1" t="s">
        <v>21</v>
      </c>
      <c r="N4568" s="1" t="s">
        <v>22</v>
      </c>
      <c r="O4568" s="2">
        <v>46176</v>
      </c>
      <c r="P4568" s="2">
        <v>46176</v>
      </c>
      <c r="Q4568">
        <f>_xlfn.XLOOKUP(E4568,CPT!$A$2:$A$13,CPT!$D$2:$D$13)</f>
        <v>210</v>
      </c>
      <c r="R4568" s="1">
        <f>_xlfn.XLOOKUP(C4568,Contract!$A$2:$A$9,Contract!$B$2:$B$9)</f>
        <v>0.45</v>
      </c>
      <c r="S4568" s="1">
        <f t="shared" si="284"/>
        <v>94.5</v>
      </c>
      <c r="T4568" s="1">
        <f t="shared" si="285"/>
        <v>-1.4300000000000068</v>
      </c>
      <c r="U4568" s="1" t="str">
        <f t="shared" si="286"/>
        <v>OK</v>
      </c>
      <c r="V4568" s="1" t="str">
        <f>_xlfn.XLOOKUP(C4568,Payers!$A$2:$A$9,Payers!$B$2:$B$9)</f>
        <v>Blue Horizon Commercial</v>
      </c>
      <c r="W4568" s="1" t="str">
        <f t="shared" si="287"/>
        <v>2026-05</v>
      </c>
    </row>
    <row r="4569" spans="1:23">
      <c r="A4569" s="1" t="s">
        <v>7173</v>
      </c>
      <c r="B4569" s="1" t="s">
        <v>5390</v>
      </c>
      <c r="C4569" s="1" t="s">
        <v>76</v>
      </c>
      <c r="D4569" s="1" t="s">
        <v>30</v>
      </c>
      <c r="E4569" s="1" t="s">
        <v>91</v>
      </c>
      <c r="F4569">
        <v>1</v>
      </c>
      <c r="G4569" s="2">
        <v>46063</v>
      </c>
      <c r="H4569" s="2">
        <v>46067</v>
      </c>
      <c r="I4569">
        <v>58.97</v>
      </c>
      <c r="J4569">
        <v>22.55</v>
      </c>
      <c r="K4569">
        <v>18.04</v>
      </c>
      <c r="L4569">
        <v>4.51</v>
      </c>
      <c r="M4569" s="1" t="s">
        <v>21</v>
      </c>
      <c r="N4569" s="1" t="s">
        <v>22</v>
      </c>
      <c r="O4569" s="2">
        <v>46097</v>
      </c>
      <c r="P4569" s="2">
        <v>46097</v>
      </c>
      <c r="Q4569">
        <f>_xlfn.XLOOKUP(E4569,CPT!$A$2:$A$13,CPT!$D$2:$D$13)</f>
        <v>58</v>
      </c>
      <c r="R4569" s="1">
        <f>_xlfn.XLOOKUP(C4569,Contract!$A$2:$A$9,Contract!$B$2:$B$9)</f>
        <v>0.43</v>
      </c>
      <c r="S4569" s="1">
        <f t="shared" si="284"/>
        <v>24.94</v>
      </c>
      <c r="T4569" s="1">
        <f t="shared" si="285"/>
        <v>2.3900000000000006</v>
      </c>
      <c r="U4569" s="1" t="str">
        <f t="shared" si="286"/>
        <v>Underpaid</v>
      </c>
      <c r="V4569" s="1" t="str">
        <f>_xlfn.XLOOKUP(C4569,Payers!$A$2:$A$9,Payers!$B$2:$B$9)</f>
        <v>Summit Health Commercial</v>
      </c>
      <c r="W4569" s="1" t="str">
        <f t="shared" si="287"/>
        <v>2026-02</v>
      </c>
    </row>
    <row r="4570" spans="1:23">
      <c r="A4570" s="1" t="s">
        <v>7174</v>
      </c>
      <c r="B4570" s="1" t="s">
        <v>7175</v>
      </c>
      <c r="C4570" s="1" t="s">
        <v>52</v>
      </c>
      <c r="D4570" s="1" t="s">
        <v>37</v>
      </c>
      <c r="E4570" s="1" t="s">
        <v>57</v>
      </c>
      <c r="F4570">
        <v>1</v>
      </c>
      <c r="G4570" s="2">
        <v>46057</v>
      </c>
      <c r="H4570" s="2">
        <v>46067</v>
      </c>
      <c r="I4570">
        <v>208.21</v>
      </c>
      <c r="J4570">
        <v>104.08</v>
      </c>
      <c r="K4570">
        <v>93.67</v>
      </c>
      <c r="L4570">
        <v>10.41</v>
      </c>
      <c r="M4570" s="1" t="s">
        <v>21</v>
      </c>
      <c r="N4570" s="1" t="s">
        <v>22</v>
      </c>
      <c r="O4570" s="2">
        <v>46108</v>
      </c>
      <c r="P4570" s="2">
        <v>46108</v>
      </c>
      <c r="Q4570">
        <f>_xlfn.XLOOKUP(E4570,CPT!$A$2:$A$13,CPT!$D$2:$D$13)</f>
        <v>210</v>
      </c>
      <c r="R4570" s="1">
        <f>_xlfn.XLOOKUP(C4570,Contract!$A$2:$A$9,Contract!$B$2:$B$9)</f>
        <v>0.47</v>
      </c>
      <c r="S4570" s="1">
        <f t="shared" si="284"/>
        <v>98.7</v>
      </c>
      <c r="T4570" s="1">
        <f t="shared" si="285"/>
        <v>-5.3799999999999955</v>
      </c>
      <c r="U4570" s="1" t="str">
        <f t="shared" si="286"/>
        <v>OK</v>
      </c>
      <c r="V4570" s="1" t="str">
        <f>_xlfn.XLOOKUP(C4570,Payers!$A$2:$A$9,Payers!$B$2:$B$9)</f>
        <v>Keystone Commercial PPO</v>
      </c>
      <c r="W4570" s="1" t="str">
        <f t="shared" si="287"/>
        <v>2026-02</v>
      </c>
    </row>
    <row r="4571" spans="1:23">
      <c r="A4571" s="1" t="s">
        <v>7176</v>
      </c>
      <c r="B4571" s="1" t="s">
        <v>4942</v>
      </c>
      <c r="C4571" s="1" t="s">
        <v>52</v>
      </c>
      <c r="D4571" s="1" t="s">
        <v>26</v>
      </c>
      <c r="E4571" s="1" t="s">
        <v>88</v>
      </c>
      <c r="F4571">
        <v>1</v>
      </c>
      <c r="G4571" s="2">
        <v>46000</v>
      </c>
      <c r="H4571" s="2">
        <v>46002</v>
      </c>
      <c r="I4571">
        <v>262.66000000000003</v>
      </c>
      <c r="J4571">
        <v>124.06</v>
      </c>
      <c r="K4571">
        <v>99.25</v>
      </c>
      <c r="L4571">
        <v>24.81</v>
      </c>
      <c r="M4571" s="1" t="s">
        <v>21</v>
      </c>
      <c r="N4571" s="1" t="s">
        <v>22</v>
      </c>
      <c r="O4571" s="2">
        <v>46043</v>
      </c>
      <c r="P4571" s="2">
        <v>46043</v>
      </c>
      <c r="Q4571">
        <f>_xlfn.XLOOKUP(E4571,CPT!$A$2:$A$13,CPT!$D$2:$D$13)</f>
        <v>260</v>
      </c>
      <c r="R4571" s="1">
        <f>_xlfn.XLOOKUP(C4571,Contract!$A$2:$A$9,Contract!$B$2:$B$9)</f>
        <v>0.47</v>
      </c>
      <c r="S4571" s="1">
        <f t="shared" si="284"/>
        <v>122.2</v>
      </c>
      <c r="T4571" s="1">
        <f t="shared" si="285"/>
        <v>-1.8599999999999994</v>
      </c>
      <c r="U4571" s="1" t="str">
        <f t="shared" si="286"/>
        <v>OK</v>
      </c>
      <c r="V4571" s="1" t="str">
        <f>_xlfn.XLOOKUP(C4571,Payers!$A$2:$A$9,Payers!$B$2:$B$9)</f>
        <v>Keystone Commercial PPO</v>
      </c>
      <c r="W4571" s="1" t="str">
        <f t="shared" si="287"/>
        <v>2025-12</v>
      </c>
    </row>
    <row r="4572" spans="1:23">
      <c r="A4572" s="1" t="s">
        <v>7177</v>
      </c>
      <c r="B4572" s="1" t="s">
        <v>7178</v>
      </c>
      <c r="C4572" s="1" t="s">
        <v>76</v>
      </c>
      <c r="D4572" s="1" t="s">
        <v>19</v>
      </c>
      <c r="E4572" s="1" t="s">
        <v>20</v>
      </c>
      <c r="F4572">
        <v>1</v>
      </c>
      <c r="G4572" s="2">
        <v>46262</v>
      </c>
      <c r="H4572" s="2">
        <v>46268</v>
      </c>
      <c r="I4572">
        <v>142.69999999999999</v>
      </c>
      <c r="M4572" s="1" t="s">
        <v>69</v>
      </c>
      <c r="N4572" s="1" t="s">
        <v>22</v>
      </c>
      <c r="O4572" s="2"/>
      <c r="P4572" s="2"/>
      <c r="Q4572">
        <f>_xlfn.XLOOKUP(E4572,CPT!$A$2:$A$13,CPT!$D$2:$D$13)</f>
        <v>145</v>
      </c>
      <c r="R4572" s="1">
        <f>_xlfn.XLOOKUP(C4572,Contract!$A$2:$A$9,Contract!$B$2:$B$9)</f>
        <v>0.43</v>
      </c>
      <c r="S4572" s="1">
        <f t="shared" si="284"/>
        <v>62.35</v>
      </c>
      <c r="T4572" s="1" t="str">
        <f t="shared" si="285"/>
        <v/>
      </c>
      <c r="U4572" s="1" t="str">
        <f t="shared" si="286"/>
        <v/>
      </c>
      <c r="V4572" s="1" t="str">
        <f>_xlfn.XLOOKUP(C4572,Payers!$A$2:$A$9,Payers!$B$2:$B$9)</f>
        <v>Summit Health Commercial</v>
      </c>
      <c r="W4572" s="1" t="str">
        <f t="shared" si="287"/>
        <v>2026-08</v>
      </c>
    </row>
    <row r="4573" spans="1:23">
      <c r="A4573" s="1" t="s">
        <v>7179</v>
      </c>
      <c r="B4573" s="1" t="s">
        <v>4829</v>
      </c>
      <c r="C4573" s="1" t="s">
        <v>60</v>
      </c>
      <c r="D4573" s="1" t="s">
        <v>26</v>
      </c>
      <c r="E4573" s="1" t="s">
        <v>57</v>
      </c>
      <c r="F4573">
        <v>1</v>
      </c>
      <c r="G4573" s="2">
        <v>45989</v>
      </c>
      <c r="H4573" s="2">
        <v>45991</v>
      </c>
      <c r="I4573">
        <v>207.77</v>
      </c>
      <c r="M4573" s="1" t="s">
        <v>32</v>
      </c>
      <c r="N4573" s="1" t="s">
        <v>33</v>
      </c>
      <c r="O4573" s="2">
        <v>46026</v>
      </c>
      <c r="P4573" s="2"/>
      <c r="Q4573">
        <f>_xlfn.XLOOKUP(E4573,CPT!$A$2:$A$13,CPT!$D$2:$D$13)</f>
        <v>210</v>
      </c>
      <c r="R4573" s="1">
        <f>_xlfn.XLOOKUP(C4573,Contract!$A$2:$A$9,Contract!$B$2:$B$9)</f>
        <v>0.45</v>
      </c>
      <c r="S4573" s="1">
        <f t="shared" si="284"/>
        <v>94.5</v>
      </c>
      <c r="T4573" s="1" t="str">
        <f t="shared" si="285"/>
        <v/>
      </c>
      <c r="U4573" s="1" t="str">
        <f t="shared" si="286"/>
        <v/>
      </c>
      <c r="V4573" s="1" t="str">
        <f>_xlfn.XLOOKUP(C4573,Payers!$A$2:$A$9,Payers!$B$2:$B$9)</f>
        <v>Blue Horizon Commercial</v>
      </c>
      <c r="W4573" s="1" t="str">
        <f t="shared" si="287"/>
        <v>2025-11</v>
      </c>
    </row>
    <row r="4574" spans="1:23">
      <c r="A4574" s="1" t="s">
        <v>7180</v>
      </c>
      <c r="B4574" s="1" t="s">
        <v>3544</v>
      </c>
      <c r="C4574" s="1" t="s">
        <v>76</v>
      </c>
      <c r="D4574" s="1" t="s">
        <v>19</v>
      </c>
      <c r="E4574" s="1" t="s">
        <v>41</v>
      </c>
      <c r="F4574">
        <v>1</v>
      </c>
      <c r="G4574" s="2">
        <v>46059</v>
      </c>
      <c r="H4574" s="2">
        <v>46060</v>
      </c>
      <c r="I4574">
        <v>38.950000000000003</v>
      </c>
      <c r="J4574">
        <v>15.28</v>
      </c>
      <c r="K4574">
        <v>12.22</v>
      </c>
      <c r="L4574">
        <v>3.06</v>
      </c>
      <c r="M4574" s="1" t="s">
        <v>21</v>
      </c>
      <c r="N4574" s="1" t="s">
        <v>22</v>
      </c>
      <c r="O4574" s="2">
        <v>46099</v>
      </c>
      <c r="P4574" s="2">
        <v>46099</v>
      </c>
      <c r="Q4574">
        <f>_xlfn.XLOOKUP(E4574,CPT!$A$2:$A$13,CPT!$D$2:$D$13)</f>
        <v>38</v>
      </c>
      <c r="R4574" s="1">
        <f>_xlfn.XLOOKUP(C4574,Contract!$A$2:$A$9,Contract!$B$2:$B$9)</f>
        <v>0.43</v>
      </c>
      <c r="S4574" s="1">
        <f t="shared" si="284"/>
        <v>16.34</v>
      </c>
      <c r="T4574" s="1">
        <f t="shared" si="285"/>
        <v>1.0600000000000005</v>
      </c>
      <c r="U4574" s="1" t="str">
        <f t="shared" si="286"/>
        <v>Underpaid</v>
      </c>
      <c r="V4574" s="1" t="str">
        <f>_xlfn.XLOOKUP(C4574,Payers!$A$2:$A$9,Payers!$B$2:$B$9)</f>
        <v>Summit Health Commercial</v>
      </c>
      <c r="W4574" s="1" t="str">
        <f t="shared" si="287"/>
        <v>2026-02</v>
      </c>
    </row>
    <row r="4575" spans="1:23">
      <c r="A4575" s="1" t="s">
        <v>7181</v>
      </c>
      <c r="B4575" s="1" t="s">
        <v>1299</v>
      </c>
      <c r="C4575" s="1" t="s">
        <v>79</v>
      </c>
      <c r="D4575" s="1" t="s">
        <v>26</v>
      </c>
      <c r="E4575" s="1" t="s">
        <v>185</v>
      </c>
      <c r="F4575">
        <v>1</v>
      </c>
      <c r="G4575" s="2">
        <v>46285</v>
      </c>
      <c r="H4575" s="2">
        <v>46286</v>
      </c>
      <c r="I4575">
        <v>1136.28</v>
      </c>
      <c r="M4575" s="1" t="s">
        <v>69</v>
      </c>
      <c r="N4575" s="1" t="s">
        <v>22</v>
      </c>
      <c r="O4575" s="2"/>
      <c r="P4575" s="2"/>
      <c r="Q4575">
        <f>_xlfn.XLOOKUP(E4575,CPT!$A$2:$A$13,CPT!$D$2:$D$13)</f>
        <v>1150</v>
      </c>
      <c r="R4575" s="1">
        <f>_xlfn.XLOOKUP(C4575,Contract!$A$2:$A$9,Contract!$B$2:$B$9)</f>
        <v>1</v>
      </c>
      <c r="S4575" s="1">
        <f t="shared" si="284"/>
        <v>1150</v>
      </c>
      <c r="T4575" s="1" t="str">
        <f t="shared" si="285"/>
        <v/>
      </c>
      <c r="U4575" s="1" t="str">
        <f t="shared" si="286"/>
        <v/>
      </c>
      <c r="V4575" s="1" t="str">
        <f>_xlfn.XLOOKUP(C4575,Payers!$A$2:$A$9,Payers!$B$2:$B$9)</f>
        <v>Self-Pay</v>
      </c>
      <c r="W4575" s="1" t="str">
        <f t="shared" si="287"/>
        <v>2026-09</v>
      </c>
    </row>
    <row r="4576" spans="1:23">
      <c r="A4576" s="1" t="s">
        <v>7182</v>
      </c>
      <c r="B4576" s="1" t="s">
        <v>2130</v>
      </c>
      <c r="C4576" s="1" t="s">
        <v>47</v>
      </c>
      <c r="D4576" s="1" t="s">
        <v>26</v>
      </c>
      <c r="E4576" s="1" t="s">
        <v>185</v>
      </c>
      <c r="F4576">
        <v>1</v>
      </c>
      <c r="G4576" s="2">
        <v>45940</v>
      </c>
      <c r="H4576" s="2">
        <v>45948</v>
      </c>
      <c r="I4576">
        <v>1156.42</v>
      </c>
      <c r="M4576" s="1" t="s">
        <v>32</v>
      </c>
      <c r="N4576" s="1" t="s">
        <v>315</v>
      </c>
      <c r="O4576" s="2">
        <v>46035</v>
      </c>
      <c r="P4576" s="2"/>
      <c r="Q4576">
        <f>_xlfn.XLOOKUP(E4576,CPT!$A$2:$A$13,CPT!$D$2:$D$13)</f>
        <v>1150</v>
      </c>
      <c r="R4576" s="1">
        <f>_xlfn.XLOOKUP(C4576,Contract!$A$2:$A$9,Contract!$B$2:$B$9)</f>
        <v>0.28000000000000003</v>
      </c>
      <c r="S4576" s="1">
        <f t="shared" si="284"/>
        <v>322</v>
      </c>
      <c r="T4576" s="1" t="str">
        <f t="shared" si="285"/>
        <v/>
      </c>
      <c r="U4576" s="1" t="str">
        <f t="shared" si="286"/>
        <v/>
      </c>
      <c r="V4576" s="1" t="str">
        <f>_xlfn.XLOOKUP(C4576,Payers!$A$2:$A$9,Payers!$B$2:$B$9)</f>
        <v>Coastal Medicaid MCO</v>
      </c>
      <c r="W4576" s="1" t="str">
        <f t="shared" si="287"/>
        <v>2025-10</v>
      </c>
    </row>
    <row r="4577" spans="1:23">
      <c r="A4577" s="1" t="s">
        <v>7183</v>
      </c>
      <c r="B4577" s="1" t="s">
        <v>6013</v>
      </c>
      <c r="C4577" s="1" t="s">
        <v>18</v>
      </c>
      <c r="D4577" s="1" t="s">
        <v>26</v>
      </c>
      <c r="E4577" s="1" t="s">
        <v>44</v>
      </c>
      <c r="F4577">
        <v>1</v>
      </c>
      <c r="G4577" s="2">
        <v>46152</v>
      </c>
      <c r="H4577" s="2">
        <v>46153</v>
      </c>
      <c r="I4577">
        <v>4798.8900000000003</v>
      </c>
      <c r="M4577" s="1" t="s">
        <v>32</v>
      </c>
      <c r="N4577" s="1" t="s">
        <v>168</v>
      </c>
      <c r="O4577" s="2">
        <v>46196</v>
      </c>
      <c r="P4577" s="2"/>
      <c r="Q4577">
        <f>_xlfn.XLOOKUP(E4577,CPT!$A$2:$A$13,CPT!$D$2:$D$13)</f>
        <v>4800</v>
      </c>
      <c r="R4577" s="1">
        <f>_xlfn.XLOOKUP(C4577,Contract!$A$2:$A$9,Contract!$B$2:$B$9)</f>
        <v>0.38</v>
      </c>
      <c r="S4577" s="1">
        <f t="shared" si="284"/>
        <v>1824</v>
      </c>
      <c r="T4577" s="1" t="str">
        <f t="shared" si="285"/>
        <v/>
      </c>
      <c r="U4577" s="1" t="str">
        <f t="shared" si="286"/>
        <v/>
      </c>
      <c r="V4577" s="1" t="str">
        <f>_xlfn.XLOOKUP(C4577,Payers!$A$2:$A$9,Payers!$B$2:$B$9)</f>
        <v>Sunshine Medicare Advantage</v>
      </c>
      <c r="W4577" s="1" t="str">
        <f t="shared" si="287"/>
        <v>2026-05</v>
      </c>
    </row>
    <row r="4578" spans="1:23">
      <c r="A4578" s="1" t="s">
        <v>7184</v>
      </c>
      <c r="B4578" s="1" t="s">
        <v>4755</v>
      </c>
      <c r="C4578" s="1" t="s">
        <v>60</v>
      </c>
      <c r="D4578" s="1" t="s">
        <v>19</v>
      </c>
      <c r="E4578" s="1" t="s">
        <v>57</v>
      </c>
      <c r="F4578">
        <v>1</v>
      </c>
      <c r="G4578" s="2">
        <v>46097</v>
      </c>
      <c r="H4578" s="2">
        <v>46105</v>
      </c>
      <c r="I4578">
        <v>212.36</v>
      </c>
      <c r="J4578">
        <v>90.24</v>
      </c>
      <c r="K4578">
        <v>72.19</v>
      </c>
      <c r="L4578">
        <v>18.05</v>
      </c>
      <c r="M4578" s="1" t="s">
        <v>21</v>
      </c>
      <c r="N4578" s="1" t="s">
        <v>22</v>
      </c>
      <c r="O4578" s="2">
        <v>46138</v>
      </c>
      <c r="P4578" s="2">
        <v>46138</v>
      </c>
      <c r="Q4578">
        <f>_xlfn.XLOOKUP(E4578,CPT!$A$2:$A$13,CPT!$D$2:$D$13)</f>
        <v>210</v>
      </c>
      <c r="R4578" s="1">
        <f>_xlfn.XLOOKUP(C4578,Contract!$A$2:$A$9,Contract!$B$2:$B$9)</f>
        <v>0.45</v>
      </c>
      <c r="S4578" s="1">
        <f t="shared" si="284"/>
        <v>94.5</v>
      </c>
      <c r="T4578" s="1">
        <f t="shared" si="285"/>
        <v>4.2600000000000051</v>
      </c>
      <c r="U4578" s="1" t="str">
        <f t="shared" si="286"/>
        <v>OK</v>
      </c>
      <c r="V4578" s="1" t="str">
        <f>_xlfn.XLOOKUP(C4578,Payers!$A$2:$A$9,Payers!$B$2:$B$9)</f>
        <v>Blue Horizon Commercial</v>
      </c>
      <c r="W4578" s="1" t="str">
        <f t="shared" si="287"/>
        <v>2026-03</v>
      </c>
    </row>
    <row r="4579" spans="1:23">
      <c r="A4579" s="1" t="s">
        <v>7185</v>
      </c>
      <c r="B4579" s="1" t="s">
        <v>3222</v>
      </c>
      <c r="C4579" s="1" t="s">
        <v>18</v>
      </c>
      <c r="D4579" s="1" t="s">
        <v>19</v>
      </c>
      <c r="E4579" s="1" t="s">
        <v>57</v>
      </c>
      <c r="F4579">
        <v>1</v>
      </c>
      <c r="G4579" s="2">
        <v>46236</v>
      </c>
      <c r="H4579" s="2">
        <v>46238</v>
      </c>
      <c r="I4579">
        <v>214.4</v>
      </c>
      <c r="M4579" s="1" t="s">
        <v>69</v>
      </c>
      <c r="N4579" s="1" t="s">
        <v>22</v>
      </c>
      <c r="O4579" s="2"/>
      <c r="P4579" s="2"/>
      <c r="Q4579">
        <f>_xlfn.XLOOKUP(E4579,CPT!$A$2:$A$13,CPT!$D$2:$D$13)</f>
        <v>210</v>
      </c>
      <c r="R4579" s="1">
        <f>_xlfn.XLOOKUP(C4579,Contract!$A$2:$A$9,Contract!$B$2:$B$9)</f>
        <v>0.38</v>
      </c>
      <c r="S4579" s="1">
        <f t="shared" si="284"/>
        <v>79.8</v>
      </c>
      <c r="T4579" s="1" t="str">
        <f t="shared" si="285"/>
        <v/>
      </c>
      <c r="U4579" s="1" t="str">
        <f t="shared" si="286"/>
        <v/>
      </c>
      <c r="V4579" s="1" t="str">
        <f>_xlfn.XLOOKUP(C4579,Payers!$A$2:$A$9,Payers!$B$2:$B$9)</f>
        <v>Sunshine Medicare Advantage</v>
      </c>
      <c r="W4579" s="1" t="str">
        <f t="shared" si="287"/>
        <v>2026-08</v>
      </c>
    </row>
    <row r="4580" spans="1:23">
      <c r="A4580" s="1" t="s">
        <v>7186</v>
      </c>
      <c r="B4580" s="1" t="s">
        <v>7187</v>
      </c>
      <c r="C4580" s="1" t="s">
        <v>76</v>
      </c>
      <c r="D4580" s="1" t="s">
        <v>30</v>
      </c>
      <c r="E4580" s="1" t="s">
        <v>31</v>
      </c>
      <c r="F4580">
        <v>4</v>
      </c>
      <c r="G4580" s="2">
        <v>45992</v>
      </c>
      <c r="H4580" s="2">
        <v>45993</v>
      </c>
      <c r="I4580">
        <v>249.6</v>
      </c>
      <c r="J4580">
        <v>121.8</v>
      </c>
      <c r="K4580">
        <v>121.8</v>
      </c>
      <c r="L4580">
        <v>0</v>
      </c>
      <c r="M4580" s="1" t="s">
        <v>21</v>
      </c>
      <c r="N4580" s="1" t="s">
        <v>22</v>
      </c>
      <c r="O4580" s="2">
        <v>46023</v>
      </c>
      <c r="P4580" s="2">
        <v>46023</v>
      </c>
      <c r="Q4580">
        <f>_xlfn.XLOOKUP(E4580,CPT!$A$2:$A$13,CPT!$D$2:$D$13)</f>
        <v>62</v>
      </c>
      <c r="R4580" s="1">
        <f>_xlfn.XLOOKUP(C4580,Contract!$A$2:$A$9,Contract!$B$2:$B$9)</f>
        <v>0.43</v>
      </c>
      <c r="S4580" s="1">
        <f t="shared" si="284"/>
        <v>106.64</v>
      </c>
      <c r="T4580" s="1">
        <f t="shared" si="285"/>
        <v>-15.159999999999997</v>
      </c>
      <c r="U4580" s="1" t="str">
        <f t="shared" si="286"/>
        <v>OK</v>
      </c>
      <c r="V4580" s="1" t="str">
        <f>_xlfn.XLOOKUP(C4580,Payers!$A$2:$A$9,Payers!$B$2:$B$9)</f>
        <v>Summit Health Commercial</v>
      </c>
      <c r="W4580" s="1" t="str">
        <f t="shared" si="287"/>
        <v>2025-12</v>
      </c>
    </row>
    <row r="4581" spans="1:23">
      <c r="A4581" s="1" t="s">
        <v>7188</v>
      </c>
      <c r="B4581" s="1" t="s">
        <v>2786</v>
      </c>
      <c r="C4581" s="1" t="s">
        <v>76</v>
      </c>
      <c r="D4581" s="1" t="s">
        <v>26</v>
      </c>
      <c r="E4581" s="1" t="s">
        <v>57</v>
      </c>
      <c r="F4581">
        <v>1</v>
      </c>
      <c r="G4581" s="2">
        <v>46166</v>
      </c>
      <c r="H4581" s="2">
        <v>46167</v>
      </c>
      <c r="I4581">
        <v>210.04</v>
      </c>
      <c r="J4581">
        <v>100.69</v>
      </c>
      <c r="K4581">
        <v>100.69</v>
      </c>
      <c r="L4581">
        <v>0</v>
      </c>
      <c r="M4581" s="1" t="s">
        <v>21</v>
      </c>
      <c r="N4581" s="1" t="s">
        <v>22</v>
      </c>
      <c r="O4581" s="2">
        <v>46204</v>
      </c>
      <c r="P4581" s="2">
        <v>46204</v>
      </c>
      <c r="Q4581">
        <f>_xlfn.XLOOKUP(E4581,CPT!$A$2:$A$13,CPT!$D$2:$D$13)</f>
        <v>210</v>
      </c>
      <c r="R4581" s="1">
        <f>_xlfn.XLOOKUP(C4581,Contract!$A$2:$A$9,Contract!$B$2:$B$9)</f>
        <v>0.43</v>
      </c>
      <c r="S4581" s="1">
        <f t="shared" si="284"/>
        <v>90.3</v>
      </c>
      <c r="T4581" s="1">
        <f t="shared" si="285"/>
        <v>-10.39</v>
      </c>
      <c r="U4581" s="1" t="str">
        <f t="shared" si="286"/>
        <v>OK</v>
      </c>
      <c r="V4581" s="1" t="str">
        <f>_xlfn.XLOOKUP(C4581,Payers!$A$2:$A$9,Payers!$B$2:$B$9)</f>
        <v>Summit Health Commercial</v>
      </c>
      <c r="W4581" s="1" t="str">
        <f t="shared" si="287"/>
        <v>2026-05</v>
      </c>
    </row>
    <row r="4582" spans="1:23">
      <c r="A4582" s="1" t="s">
        <v>7189</v>
      </c>
      <c r="B4582" s="1" t="s">
        <v>7190</v>
      </c>
      <c r="C4582" s="1" t="s">
        <v>52</v>
      </c>
      <c r="D4582" s="1" t="s">
        <v>19</v>
      </c>
      <c r="E4582" s="1" t="s">
        <v>57</v>
      </c>
      <c r="F4582">
        <v>1</v>
      </c>
      <c r="G4582" s="2">
        <v>45941</v>
      </c>
      <c r="H4582" s="2">
        <v>45946</v>
      </c>
      <c r="I4582">
        <v>215.78</v>
      </c>
      <c r="J4582">
        <v>94.11</v>
      </c>
      <c r="K4582">
        <v>94.11</v>
      </c>
      <c r="L4582">
        <v>0</v>
      </c>
      <c r="M4582" s="1" t="s">
        <v>21</v>
      </c>
      <c r="N4582" s="1" t="s">
        <v>22</v>
      </c>
      <c r="O4582" s="2">
        <v>46004</v>
      </c>
      <c r="P4582" s="2">
        <v>46004</v>
      </c>
      <c r="Q4582">
        <f>_xlfn.XLOOKUP(E4582,CPT!$A$2:$A$13,CPT!$D$2:$D$13)</f>
        <v>210</v>
      </c>
      <c r="R4582" s="1">
        <f>_xlfn.XLOOKUP(C4582,Contract!$A$2:$A$9,Contract!$B$2:$B$9)</f>
        <v>0.47</v>
      </c>
      <c r="S4582" s="1">
        <f t="shared" si="284"/>
        <v>98.7</v>
      </c>
      <c r="T4582" s="1">
        <f t="shared" si="285"/>
        <v>4.5900000000000034</v>
      </c>
      <c r="U4582" s="1" t="str">
        <f t="shared" si="286"/>
        <v>OK</v>
      </c>
      <c r="V4582" s="1" t="str">
        <f>_xlfn.XLOOKUP(C4582,Payers!$A$2:$A$9,Payers!$B$2:$B$9)</f>
        <v>Keystone Commercial PPO</v>
      </c>
      <c r="W4582" s="1" t="str">
        <f t="shared" si="287"/>
        <v>2025-10</v>
      </c>
    </row>
    <row r="4583" spans="1:23">
      <c r="A4583" s="1" t="s">
        <v>7191</v>
      </c>
      <c r="B4583" s="1" t="s">
        <v>2847</v>
      </c>
      <c r="C4583" s="1" t="s">
        <v>76</v>
      </c>
      <c r="D4583" s="1" t="s">
        <v>30</v>
      </c>
      <c r="E4583" s="1" t="s">
        <v>20</v>
      </c>
      <c r="F4583">
        <v>1</v>
      </c>
      <c r="G4583" s="2">
        <v>46142</v>
      </c>
      <c r="H4583" s="2">
        <v>46143</v>
      </c>
      <c r="I4583">
        <v>148.78</v>
      </c>
      <c r="J4583">
        <v>57.42</v>
      </c>
      <c r="K4583">
        <v>45.94</v>
      </c>
      <c r="L4583">
        <v>11.48</v>
      </c>
      <c r="M4583" s="1" t="s">
        <v>21</v>
      </c>
      <c r="N4583" s="1" t="s">
        <v>22</v>
      </c>
      <c r="O4583" s="2">
        <v>46164</v>
      </c>
      <c r="P4583" s="2">
        <v>46164</v>
      </c>
      <c r="Q4583">
        <f>_xlfn.XLOOKUP(E4583,CPT!$A$2:$A$13,CPT!$D$2:$D$13)</f>
        <v>145</v>
      </c>
      <c r="R4583" s="1">
        <f>_xlfn.XLOOKUP(C4583,Contract!$A$2:$A$9,Contract!$B$2:$B$9)</f>
        <v>0.43</v>
      </c>
      <c r="S4583" s="1">
        <f t="shared" si="284"/>
        <v>62.35</v>
      </c>
      <c r="T4583" s="1">
        <f t="shared" si="285"/>
        <v>4.93</v>
      </c>
      <c r="U4583" s="1" t="str">
        <f t="shared" si="286"/>
        <v>Underpaid</v>
      </c>
      <c r="V4583" s="1" t="str">
        <f>_xlfn.XLOOKUP(C4583,Payers!$A$2:$A$9,Payers!$B$2:$B$9)</f>
        <v>Summit Health Commercial</v>
      </c>
      <c r="W4583" s="1" t="str">
        <f t="shared" si="287"/>
        <v>2026-04</v>
      </c>
    </row>
    <row r="4584" spans="1:23">
      <c r="A4584" s="1" t="s">
        <v>7192</v>
      </c>
      <c r="B4584" s="1" t="s">
        <v>432</v>
      </c>
      <c r="C4584" s="1" t="s">
        <v>60</v>
      </c>
      <c r="D4584" s="1" t="s">
        <v>37</v>
      </c>
      <c r="E4584" s="1" t="s">
        <v>48</v>
      </c>
      <c r="F4584">
        <v>1</v>
      </c>
      <c r="G4584" s="2">
        <v>46180</v>
      </c>
      <c r="H4584" s="2">
        <v>46185</v>
      </c>
      <c r="I4584">
        <v>417.94</v>
      </c>
      <c r="J4584">
        <v>194.58</v>
      </c>
      <c r="K4584">
        <v>155.66</v>
      </c>
      <c r="L4584">
        <v>38.92</v>
      </c>
      <c r="M4584" s="1" t="s">
        <v>21</v>
      </c>
      <c r="N4584" s="1" t="s">
        <v>22</v>
      </c>
      <c r="O4584" s="2">
        <v>46201</v>
      </c>
      <c r="P4584" s="2">
        <v>46201</v>
      </c>
      <c r="Q4584">
        <f>_xlfn.XLOOKUP(E4584,CPT!$A$2:$A$13,CPT!$D$2:$D$13)</f>
        <v>420</v>
      </c>
      <c r="R4584" s="1">
        <f>_xlfn.XLOOKUP(C4584,Contract!$A$2:$A$9,Contract!$B$2:$B$9)</f>
        <v>0.45</v>
      </c>
      <c r="S4584" s="1">
        <f t="shared" si="284"/>
        <v>189</v>
      </c>
      <c r="T4584" s="1">
        <f t="shared" si="285"/>
        <v>-5.5800000000000125</v>
      </c>
      <c r="U4584" s="1" t="str">
        <f t="shared" si="286"/>
        <v>OK</v>
      </c>
      <c r="V4584" s="1" t="str">
        <f>_xlfn.XLOOKUP(C4584,Payers!$A$2:$A$9,Payers!$B$2:$B$9)</f>
        <v>Blue Horizon Commercial</v>
      </c>
      <c r="W4584" s="1" t="str">
        <f t="shared" si="287"/>
        <v>2026-06</v>
      </c>
    </row>
    <row r="4585" spans="1:23">
      <c r="A4585" s="1" t="s">
        <v>7193</v>
      </c>
      <c r="B4585" s="1" t="s">
        <v>5514</v>
      </c>
      <c r="C4585" s="1" t="s">
        <v>76</v>
      </c>
      <c r="D4585" s="1" t="s">
        <v>19</v>
      </c>
      <c r="E4585" s="1" t="s">
        <v>57</v>
      </c>
      <c r="F4585">
        <v>1</v>
      </c>
      <c r="G4585" s="2">
        <v>46194</v>
      </c>
      <c r="H4585" s="2">
        <v>46195</v>
      </c>
      <c r="I4585">
        <v>208.85</v>
      </c>
      <c r="J4585">
        <v>77.87</v>
      </c>
      <c r="K4585">
        <v>77.87</v>
      </c>
      <c r="L4585">
        <v>0</v>
      </c>
      <c r="M4585" s="1" t="s">
        <v>21</v>
      </c>
      <c r="N4585" s="1" t="s">
        <v>22</v>
      </c>
      <c r="O4585" s="2">
        <v>46232</v>
      </c>
      <c r="P4585" s="2">
        <v>46232</v>
      </c>
      <c r="Q4585">
        <f>_xlfn.XLOOKUP(E4585,CPT!$A$2:$A$13,CPT!$D$2:$D$13)</f>
        <v>210</v>
      </c>
      <c r="R4585" s="1">
        <f>_xlfn.XLOOKUP(C4585,Contract!$A$2:$A$9,Contract!$B$2:$B$9)</f>
        <v>0.43</v>
      </c>
      <c r="S4585" s="1">
        <f t="shared" si="284"/>
        <v>90.3</v>
      </c>
      <c r="T4585" s="1">
        <f t="shared" si="285"/>
        <v>12.429999999999993</v>
      </c>
      <c r="U4585" s="1" t="str">
        <f t="shared" si="286"/>
        <v>Underpaid</v>
      </c>
      <c r="V4585" s="1" t="str">
        <f>_xlfn.XLOOKUP(C4585,Payers!$A$2:$A$9,Payers!$B$2:$B$9)</f>
        <v>Summit Health Commercial</v>
      </c>
      <c r="W4585" s="1" t="str">
        <f t="shared" si="287"/>
        <v>2026-06</v>
      </c>
    </row>
    <row r="4586" spans="1:23">
      <c r="A4586" s="1" t="s">
        <v>7194</v>
      </c>
      <c r="B4586" s="1" t="s">
        <v>5800</v>
      </c>
      <c r="C4586" s="1" t="s">
        <v>25</v>
      </c>
      <c r="D4586" s="1" t="s">
        <v>26</v>
      </c>
      <c r="E4586" s="1" t="s">
        <v>113</v>
      </c>
      <c r="F4586">
        <v>1</v>
      </c>
      <c r="G4586" s="2">
        <v>46218</v>
      </c>
      <c r="H4586" s="2">
        <v>46230</v>
      </c>
      <c r="I4586">
        <v>1064.9100000000001</v>
      </c>
      <c r="J4586">
        <v>339.81</v>
      </c>
      <c r="K4586">
        <v>339.81</v>
      </c>
      <c r="L4586">
        <v>0</v>
      </c>
      <c r="M4586" s="1" t="s">
        <v>21</v>
      </c>
      <c r="N4586" s="1" t="s">
        <v>22</v>
      </c>
      <c r="O4586" s="2">
        <v>46252</v>
      </c>
      <c r="P4586" s="2">
        <v>46252</v>
      </c>
      <c r="Q4586">
        <f>_xlfn.XLOOKUP(E4586,CPT!$A$2:$A$13,CPT!$D$2:$D$13)</f>
        <v>1050</v>
      </c>
      <c r="R4586" s="1">
        <f>_xlfn.XLOOKUP(C4586,Contract!$A$2:$A$9,Contract!$B$2:$B$9)</f>
        <v>0.36</v>
      </c>
      <c r="S4586" s="1">
        <f t="shared" si="284"/>
        <v>378</v>
      </c>
      <c r="T4586" s="1">
        <f t="shared" si="285"/>
        <v>38.19</v>
      </c>
      <c r="U4586" s="1" t="str">
        <f t="shared" si="286"/>
        <v>Underpaid</v>
      </c>
      <c r="V4586" s="1" t="str">
        <f>_xlfn.XLOOKUP(C4586,Payers!$A$2:$A$9,Payers!$B$2:$B$9)</f>
        <v>Medicare Part B</v>
      </c>
      <c r="W4586" s="1" t="str">
        <f t="shared" si="287"/>
        <v>2026-07</v>
      </c>
    </row>
    <row r="4587" spans="1:23">
      <c r="A4587" s="1" t="s">
        <v>7195</v>
      </c>
      <c r="B4587" s="1" t="s">
        <v>552</v>
      </c>
      <c r="C4587" s="1" t="s">
        <v>47</v>
      </c>
      <c r="D4587" s="1" t="s">
        <v>30</v>
      </c>
      <c r="E4587" s="1" t="s">
        <v>20</v>
      </c>
      <c r="F4587">
        <v>1</v>
      </c>
      <c r="G4587" s="2">
        <v>45992</v>
      </c>
      <c r="H4587" s="2">
        <v>45994</v>
      </c>
      <c r="I4587">
        <v>145.9</v>
      </c>
      <c r="J4587">
        <v>42.26</v>
      </c>
      <c r="K4587">
        <v>38.03</v>
      </c>
      <c r="L4587">
        <v>4.2300000000000004</v>
      </c>
      <c r="M4587" s="1" t="s">
        <v>21</v>
      </c>
      <c r="N4587" s="1" t="s">
        <v>22</v>
      </c>
      <c r="O4587" s="2">
        <v>46066</v>
      </c>
      <c r="P4587" s="2">
        <v>46066</v>
      </c>
      <c r="Q4587">
        <f>_xlfn.XLOOKUP(E4587,CPT!$A$2:$A$13,CPT!$D$2:$D$13)</f>
        <v>145</v>
      </c>
      <c r="R4587" s="1">
        <f>_xlfn.XLOOKUP(C4587,Contract!$A$2:$A$9,Contract!$B$2:$B$9)</f>
        <v>0.28000000000000003</v>
      </c>
      <c r="S4587" s="1">
        <f t="shared" si="284"/>
        <v>40.6</v>
      </c>
      <c r="T4587" s="1">
        <f t="shared" si="285"/>
        <v>-1.6599999999999966</v>
      </c>
      <c r="U4587" s="1" t="str">
        <f t="shared" si="286"/>
        <v>OK</v>
      </c>
      <c r="V4587" s="1" t="str">
        <f>_xlfn.XLOOKUP(C4587,Payers!$A$2:$A$9,Payers!$B$2:$B$9)</f>
        <v>Coastal Medicaid MCO</v>
      </c>
      <c r="W4587" s="1" t="str">
        <f t="shared" si="287"/>
        <v>2025-12</v>
      </c>
    </row>
    <row r="4588" spans="1:23">
      <c r="A4588" s="1" t="s">
        <v>7196</v>
      </c>
      <c r="B4588" s="1" t="s">
        <v>470</v>
      </c>
      <c r="C4588" s="1" t="s">
        <v>76</v>
      </c>
      <c r="D4588" s="1" t="s">
        <v>26</v>
      </c>
      <c r="E4588" s="1" t="s">
        <v>113</v>
      </c>
      <c r="F4588">
        <v>1</v>
      </c>
      <c r="G4588" s="2">
        <v>45994</v>
      </c>
      <c r="H4588" s="2">
        <v>46000</v>
      </c>
      <c r="I4588">
        <v>1079.9000000000001</v>
      </c>
      <c r="J4588">
        <v>468.08</v>
      </c>
      <c r="K4588">
        <v>468.08</v>
      </c>
      <c r="L4588">
        <v>0</v>
      </c>
      <c r="M4588" s="1" t="s">
        <v>21</v>
      </c>
      <c r="N4588" s="1" t="s">
        <v>22</v>
      </c>
      <c r="O4588" s="2">
        <v>46024</v>
      </c>
      <c r="P4588" s="2">
        <v>46024</v>
      </c>
      <c r="Q4588">
        <f>_xlfn.XLOOKUP(E4588,CPT!$A$2:$A$13,CPT!$D$2:$D$13)</f>
        <v>1050</v>
      </c>
      <c r="R4588" s="1">
        <f>_xlfn.XLOOKUP(C4588,Contract!$A$2:$A$9,Contract!$B$2:$B$9)</f>
        <v>0.43</v>
      </c>
      <c r="S4588" s="1">
        <f t="shared" si="284"/>
        <v>451.5</v>
      </c>
      <c r="T4588" s="1">
        <f t="shared" si="285"/>
        <v>-16.579999999999984</v>
      </c>
      <c r="U4588" s="1" t="str">
        <f t="shared" si="286"/>
        <v>OK</v>
      </c>
      <c r="V4588" s="1" t="str">
        <f>_xlfn.XLOOKUP(C4588,Payers!$A$2:$A$9,Payers!$B$2:$B$9)</f>
        <v>Summit Health Commercial</v>
      </c>
      <c r="W4588" s="1" t="str">
        <f t="shared" si="287"/>
        <v>2025-12</v>
      </c>
    </row>
    <row r="4589" spans="1:23">
      <c r="A4589" s="1" t="s">
        <v>7197</v>
      </c>
      <c r="B4589" s="1" t="s">
        <v>7198</v>
      </c>
      <c r="C4589" s="1" t="s">
        <v>52</v>
      </c>
      <c r="D4589" s="1" t="s">
        <v>26</v>
      </c>
      <c r="E4589" s="1" t="s">
        <v>113</v>
      </c>
      <c r="F4589">
        <v>1</v>
      </c>
      <c r="G4589" s="2">
        <v>46025</v>
      </c>
      <c r="H4589" s="2">
        <v>46040</v>
      </c>
      <c r="I4589">
        <v>1071.46</v>
      </c>
      <c r="J4589">
        <v>476.87</v>
      </c>
      <c r="K4589">
        <v>381.5</v>
      </c>
      <c r="L4589">
        <v>95.37</v>
      </c>
      <c r="M4589" s="1" t="s">
        <v>21</v>
      </c>
      <c r="N4589" s="1" t="s">
        <v>22</v>
      </c>
      <c r="O4589" s="2">
        <v>46079</v>
      </c>
      <c r="P4589" s="2">
        <v>46079</v>
      </c>
      <c r="Q4589">
        <f>_xlfn.XLOOKUP(E4589,CPT!$A$2:$A$13,CPT!$D$2:$D$13)</f>
        <v>1050</v>
      </c>
      <c r="R4589" s="1">
        <f>_xlfn.XLOOKUP(C4589,Contract!$A$2:$A$9,Contract!$B$2:$B$9)</f>
        <v>0.47</v>
      </c>
      <c r="S4589" s="1">
        <f t="shared" si="284"/>
        <v>493.5</v>
      </c>
      <c r="T4589" s="1">
        <f t="shared" si="285"/>
        <v>16.629999999999995</v>
      </c>
      <c r="U4589" s="1" t="str">
        <f t="shared" si="286"/>
        <v>OK</v>
      </c>
      <c r="V4589" s="1" t="str">
        <f>_xlfn.XLOOKUP(C4589,Payers!$A$2:$A$9,Payers!$B$2:$B$9)</f>
        <v>Keystone Commercial PPO</v>
      </c>
      <c r="W4589" s="1" t="str">
        <f t="shared" si="287"/>
        <v>2026-01</v>
      </c>
    </row>
    <row r="4590" spans="1:23">
      <c r="A4590" s="1" t="s">
        <v>7199</v>
      </c>
      <c r="B4590" s="1" t="s">
        <v>6509</v>
      </c>
      <c r="C4590" s="1" t="s">
        <v>18</v>
      </c>
      <c r="D4590" s="1" t="s">
        <v>26</v>
      </c>
      <c r="E4590" s="1" t="s">
        <v>88</v>
      </c>
      <c r="F4590">
        <v>1</v>
      </c>
      <c r="G4590" s="2">
        <v>46220</v>
      </c>
      <c r="H4590" s="2">
        <v>46222</v>
      </c>
      <c r="I4590">
        <v>266.45</v>
      </c>
      <c r="J4590">
        <v>97.75</v>
      </c>
      <c r="K4590">
        <v>97.75</v>
      </c>
      <c r="L4590">
        <v>0</v>
      </c>
      <c r="M4590" s="1" t="s">
        <v>21</v>
      </c>
      <c r="N4590" s="1" t="s">
        <v>22</v>
      </c>
      <c r="O4590" s="2">
        <v>46289</v>
      </c>
      <c r="P4590" s="2">
        <v>46289</v>
      </c>
      <c r="Q4590">
        <f>_xlfn.XLOOKUP(E4590,CPT!$A$2:$A$13,CPT!$D$2:$D$13)</f>
        <v>260</v>
      </c>
      <c r="R4590" s="1">
        <f>_xlfn.XLOOKUP(C4590,Contract!$A$2:$A$9,Contract!$B$2:$B$9)</f>
        <v>0.38</v>
      </c>
      <c r="S4590" s="1">
        <f t="shared" si="284"/>
        <v>98.8</v>
      </c>
      <c r="T4590" s="1">
        <f t="shared" si="285"/>
        <v>1.0499999999999972</v>
      </c>
      <c r="U4590" s="1" t="str">
        <f t="shared" si="286"/>
        <v>OK</v>
      </c>
      <c r="V4590" s="1" t="str">
        <f>_xlfn.XLOOKUP(C4590,Payers!$A$2:$A$9,Payers!$B$2:$B$9)</f>
        <v>Sunshine Medicare Advantage</v>
      </c>
      <c r="W4590" s="1" t="str">
        <f t="shared" si="287"/>
        <v>2026-07</v>
      </c>
    </row>
    <row r="4591" spans="1:23">
      <c r="A4591" s="1" t="s">
        <v>7200</v>
      </c>
      <c r="B4591" s="1" t="s">
        <v>4367</v>
      </c>
      <c r="C4591" s="1" t="s">
        <v>25</v>
      </c>
      <c r="D4591" s="1" t="s">
        <v>26</v>
      </c>
      <c r="E4591" s="1" t="s">
        <v>113</v>
      </c>
      <c r="F4591">
        <v>1</v>
      </c>
      <c r="G4591" s="2">
        <v>45954</v>
      </c>
      <c r="H4591" s="2">
        <v>45957</v>
      </c>
      <c r="I4591">
        <v>1075.9000000000001</v>
      </c>
      <c r="J4591">
        <v>332.29</v>
      </c>
      <c r="K4591">
        <v>332.29</v>
      </c>
      <c r="L4591">
        <v>0</v>
      </c>
      <c r="M4591" s="1" t="s">
        <v>21</v>
      </c>
      <c r="N4591" s="1" t="s">
        <v>22</v>
      </c>
      <c r="O4591" s="2">
        <v>45984</v>
      </c>
      <c r="P4591" s="2">
        <v>45984</v>
      </c>
      <c r="Q4591">
        <f>_xlfn.XLOOKUP(E4591,CPT!$A$2:$A$13,CPT!$D$2:$D$13)</f>
        <v>1050</v>
      </c>
      <c r="R4591" s="1">
        <f>_xlfn.XLOOKUP(C4591,Contract!$A$2:$A$9,Contract!$B$2:$B$9)</f>
        <v>0.36</v>
      </c>
      <c r="S4591" s="1">
        <f t="shared" si="284"/>
        <v>378</v>
      </c>
      <c r="T4591" s="1">
        <f t="shared" si="285"/>
        <v>45.70999999999998</v>
      </c>
      <c r="U4591" s="1" t="str">
        <f t="shared" si="286"/>
        <v>Underpaid</v>
      </c>
      <c r="V4591" s="1" t="str">
        <f>_xlfn.XLOOKUP(C4591,Payers!$A$2:$A$9,Payers!$B$2:$B$9)</f>
        <v>Medicare Part B</v>
      </c>
      <c r="W4591" s="1" t="str">
        <f t="shared" si="287"/>
        <v>2025-10</v>
      </c>
    </row>
    <row r="4592" spans="1:23">
      <c r="A4592" s="1" t="s">
        <v>7201</v>
      </c>
      <c r="B4592" s="1" t="s">
        <v>7202</v>
      </c>
      <c r="C4592" s="1" t="s">
        <v>47</v>
      </c>
      <c r="D4592" s="1" t="s">
        <v>26</v>
      </c>
      <c r="E4592" s="1" t="s">
        <v>41</v>
      </c>
      <c r="F4592">
        <v>1</v>
      </c>
      <c r="G4592" s="2">
        <v>46044</v>
      </c>
      <c r="H4592" s="2">
        <v>46050</v>
      </c>
      <c r="I4592">
        <v>37.51</v>
      </c>
      <c r="J4592">
        <v>11.56</v>
      </c>
      <c r="K4592">
        <v>11.56</v>
      </c>
      <c r="L4592">
        <v>0</v>
      </c>
      <c r="M4592" s="1" t="s">
        <v>21</v>
      </c>
      <c r="N4592" s="1" t="s">
        <v>22</v>
      </c>
      <c r="O4592" s="2">
        <v>46106</v>
      </c>
      <c r="P4592" s="2">
        <v>46106</v>
      </c>
      <c r="Q4592">
        <f>_xlfn.XLOOKUP(E4592,CPT!$A$2:$A$13,CPT!$D$2:$D$13)</f>
        <v>38</v>
      </c>
      <c r="R4592" s="1">
        <f>_xlfn.XLOOKUP(C4592,Contract!$A$2:$A$9,Contract!$B$2:$B$9)</f>
        <v>0.28000000000000003</v>
      </c>
      <c r="S4592" s="1">
        <f t="shared" si="284"/>
        <v>10.64</v>
      </c>
      <c r="T4592" s="1">
        <f t="shared" si="285"/>
        <v>-0.91999999999999993</v>
      </c>
      <c r="U4592" s="1" t="str">
        <f t="shared" si="286"/>
        <v>OK</v>
      </c>
      <c r="V4592" s="1" t="str">
        <f>_xlfn.XLOOKUP(C4592,Payers!$A$2:$A$9,Payers!$B$2:$B$9)</f>
        <v>Coastal Medicaid MCO</v>
      </c>
      <c r="W4592" s="1" t="str">
        <f t="shared" si="287"/>
        <v>2026-01</v>
      </c>
    </row>
    <row r="4593" spans="1:23">
      <c r="A4593" s="1" t="s">
        <v>7203</v>
      </c>
      <c r="B4593" s="1" t="s">
        <v>6256</v>
      </c>
      <c r="C4593" s="1" t="s">
        <v>52</v>
      </c>
      <c r="D4593" s="1" t="s">
        <v>26</v>
      </c>
      <c r="E4593" s="1" t="s">
        <v>57</v>
      </c>
      <c r="F4593">
        <v>1</v>
      </c>
      <c r="G4593" s="2">
        <v>45943</v>
      </c>
      <c r="H4593" s="2">
        <v>45948</v>
      </c>
      <c r="I4593">
        <v>214.18</v>
      </c>
      <c r="J4593">
        <v>112.95</v>
      </c>
      <c r="K4593">
        <v>101.65</v>
      </c>
      <c r="L4593">
        <v>11.3</v>
      </c>
      <c r="M4593" s="1" t="s">
        <v>21</v>
      </c>
      <c r="N4593" s="1" t="s">
        <v>22</v>
      </c>
      <c r="O4593" s="2">
        <v>45970</v>
      </c>
      <c r="P4593" s="2">
        <v>45970</v>
      </c>
      <c r="Q4593">
        <f>_xlfn.XLOOKUP(E4593,CPT!$A$2:$A$13,CPT!$D$2:$D$13)</f>
        <v>210</v>
      </c>
      <c r="R4593" s="1">
        <f>_xlfn.XLOOKUP(C4593,Contract!$A$2:$A$9,Contract!$B$2:$B$9)</f>
        <v>0.47</v>
      </c>
      <c r="S4593" s="1">
        <f t="shared" si="284"/>
        <v>98.7</v>
      </c>
      <c r="T4593" s="1">
        <f t="shared" si="285"/>
        <v>-14.25</v>
      </c>
      <c r="U4593" s="1" t="str">
        <f t="shared" si="286"/>
        <v>OK</v>
      </c>
      <c r="V4593" s="1" t="str">
        <f>_xlfn.XLOOKUP(C4593,Payers!$A$2:$A$9,Payers!$B$2:$B$9)</f>
        <v>Keystone Commercial PPO</v>
      </c>
      <c r="W4593" s="1" t="str">
        <f t="shared" si="287"/>
        <v>2025-10</v>
      </c>
    </row>
    <row r="4594" spans="1:23">
      <c r="A4594" s="1" t="s">
        <v>7204</v>
      </c>
      <c r="B4594" s="1" t="s">
        <v>7205</v>
      </c>
      <c r="C4594" s="1" t="s">
        <v>18</v>
      </c>
      <c r="D4594" s="1" t="s">
        <v>19</v>
      </c>
      <c r="E4594" s="1" t="s">
        <v>88</v>
      </c>
      <c r="F4594">
        <v>1</v>
      </c>
      <c r="G4594" s="2">
        <v>45980</v>
      </c>
      <c r="H4594" s="2">
        <v>45981</v>
      </c>
      <c r="I4594">
        <v>263.02999999999997</v>
      </c>
      <c r="J4594">
        <v>115.68</v>
      </c>
      <c r="K4594">
        <v>115.68</v>
      </c>
      <c r="L4594">
        <v>0</v>
      </c>
      <c r="M4594" s="1" t="s">
        <v>21</v>
      </c>
      <c r="N4594" s="1" t="s">
        <v>22</v>
      </c>
      <c r="O4594" s="2">
        <v>46041</v>
      </c>
      <c r="P4594" s="2">
        <v>46041</v>
      </c>
      <c r="Q4594">
        <f>_xlfn.XLOOKUP(E4594,CPT!$A$2:$A$13,CPT!$D$2:$D$13)</f>
        <v>260</v>
      </c>
      <c r="R4594" s="1">
        <f>_xlfn.XLOOKUP(C4594,Contract!$A$2:$A$9,Contract!$B$2:$B$9)</f>
        <v>0.38</v>
      </c>
      <c r="S4594" s="1">
        <f t="shared" si="284"/>
        <v>98.8</v>
      </c>
      <c r="T4594" s="1">
        <f t="shared" si="285"/>
        <v>-16.88000000000001</v>
      </c>
      <c r="U4594" s="1" t="str">
        <f t="shared" si="286"/>
        <v>OK</v>
      </c>
      <c r="V4594" s="1" t="str">
        <f>_xlfn.XLOOKUP(C4594,Payers!$A$2:$A$9,Payers!$B$2:$B$9)</f>
        <v>Sunshine Medicare Advantage</v>
      </c>
      <c r="W4594" s="1" t="str">
        <f t="shared" si="287"/>
        <v>2025-11</v>
      </c>
    </row>
    <row r="4595" spans="1:23">
      <c r="A4595" s="1" t="s">
        <v>7206</v>
      </c>
      <c r="B4595" s="1" t="s">
        <v>6267</v>
      </c>
      <c r="C4595" s="1" t="s">
        <v>76</v>
      </c>
      <c r="D4595" s="1" t="s">
        <v>37</v>
      </c>
      <c r="E4595" s="1" t="s">
        <v>38</v>
      </c>
      <c r="F4595">
        <v>10</v>
      </c>
      <c r="G4595" s="2">
        <v>46214</v>
      </c>
      <c r="H4595" s="2">
        <v>46218</v>
      </c>
      <c r="I4595">
        <v>14258.65</v>
      </c>
      <c r="J4595">
        <v>5828.89</v>
      </c>
      <c r="K4595">
        <v>5828.89</v>
      </c>
      <c r="L4595">
        <v>0</v>
      </c>
      <c r="M4595" s="1" t="s">
        <v>21</v>
      </c>
      <c r="N4595" s="1" t="s">
        <v>22</v>
      </c>
      <c r="O4595" s="2">
        <v>46251</v>
      </c>
      <c r="P4595" s="2">
        <v>46251</v>
      </c>
      <c r="Q4595">
        <f>_xlfn.XLOOKUP(E4595,CPT!$A$2:$A$13,CPT!$D$2:$D$13)</f>
        <v>1450</v>
      </c>
      <c r="R4595" s="1">
        <f>_xlfn.XLOOKUP(C4595,Contract!$A$2:$A$9,Contract!$B$2:$B$9)</f>
        <v>0.43</v>
      </c>
      <c r="S4595" s="1">
        <f t="shared" si="284"/>
        <v>6235</v>
      </c>
      <c r="T4595" s="1">
        <f t="shared" si="285"/>
        <v>406.10999999999967</v>
      </c>
      <c r="U4595" s="1" t="str">
        <f t="shared" si="286"/>
        <v>Underpaid</v>
      </c>
      <c r="V4595" s="1" t="str">
        <f>_xlfn.XLOOKUP(C4595,Payers!$A$2:$A$9,Payers!$B$2:$B$9)</f>
        <v>Summit Health Commercial</v>
      </c>
      <c r="W4595" s="1" t="str">
        <f t="shared" si="287"/>
        <v>2026-07</v>
      </c>
    </row>
    <row r="4596" spans="1:23">
      <c r="A4596" s="1" t="s">
        <v>7207</v>
      </c>
      <c r="B4596" s="1" t="s">
        <v>7208</v>
      </c>
      <c r="C4596" s="1" t="s">
        <v>25</v>
      </c>
      <c r="D4596" s="1" t="s">
        <v>26</v>
      </c>
      <c r="E4596" s="1" t="s">
        <v>57</v>
      </c>
      <c r="F4596">
        <v>1</v>
      </c>
      <c r="G4596" s="2">
        <v>46248</v>
      </c>
      <c r="H4596" s="2">
        <v>46254</v>
      </c>
      <c r="I4596">
        <v>211.04</v>
      </c>
      <c r="J4596">
        <v>82.96</v>
      </c>
      <c r="K4596">
        <v>82.96</v>
      </c>
      <c r="L4596">
        <v>0</v>
      </c>
      <c r="M4596" s="1" t="s">
        <v>21</v>
      </c>
      <c r="N4596" s="1" t="s">
        <v>22</v>
      </c>
      <c r="O4596" s="2">
        <v>46264</v>
      </c>
      <c r="P4596" s="2">
        <v>46264</v>
      </c>
      <c r="Q4596">
        <f>_xlfn.XLOOKUP(E4596,CPT!$A$2:$A$13,CPT!$D$2:$D$13)</f>
        <v>210</v>
      </c>
      <c r="R4596" s="1">
        <f>_xlfn.XLOOKUP(C4596,Contract!$A$2:$A$9,Contract!$B$2:$B$9)</f>
        <v>0.36</v>
      </c>
      <c r="S4596" s="1">
        <f t="shared" si="284"/>
        <v>75.599999999999994</v>
      </c>
      <c r="T4596" s="1">
        <f t="shared" si="285"/>
        <v>-7.3599999999999994</v>
      </c>
      <c r="U4596" s="1" t="str">
        <f t="shared" si="286"/>
        <v>OK</v>
      </c>
      <c r="V4596" s="1" t="str">
        <f>_xlfn.XLOOKUP(C4596,Payers!$A$2:$A$9,Payers!$B$2:$B$9)</f>
        <v>Medicare Part B</v>
      </c>
      <c r="W4596" s="1" t="str">
        <f t="shared" si="287"/>
        <v>2026-08</v>
      </c>
    </row>
    <row r="4597" spans="1:23">
      <c r="A4597" s="1" t="s">
        <v>7209</v>
      </c>
      <c r="B4597" s="1" t="s">
        <v>1260</v>
      </c>
      <c r="C4597" s="1" t="s">
        <v>76</v>
      </c>
      <c r="D4597" s="1" t="s">
        <v>19</v>
      </c>
      <c r="E4597" s="1" t="s">
        <v>41</v>
      </c>
      <c r="F4597">
        <v>1</v>
      </c>
      <c r="G4597" s="2">
        <v>46155</v>
      </c>
      <c r="H4597" s="2">
        <v>46162</v>
      </c>
      <c r="I4597">
        <v>39.01</v>
      </c>
      <c r="J4597">
        <v>14.12</v>
      </c>
      <c r="K4597">
        <v>12.71</v>
      </c>
      <c r="L4597">
        <v>1.41</v>
      </c>
      <c r="M4597" s="1" t="s">
        <v>21</v>
      </c>
      <c r="N4597" s="1" t="s">
        <v>22</v>
      </c>
      <c r="O4597" s="2">
        <v>46190</v>
      </c>
      <c r="P4597" s="2">
        <v>46190</v>
      </c>
      <c r="Q4597">
        <f>_xlfn.XLOOKUP(E4597,CPT!$A$2:$A$13,CPT!$D$2:$D$13)</f>
        <v>38</v>
      </c>
      <c r="R4597" s="1">
        <f>_xlfn.XLOOKUP(C4597,Contract!$A$2:$A$9,Contract!$B$2:$B$9)</f>
        <v>0.43</v>
      </c>
      <c r="S4597" s="1">
        <f t="shared" si="284"/>
        <v>16.34</v>
      </c>
      <c r="T4597" s="1">
        <f t="shared" si="285"/>
        <v>2.2200000000000006</v>
      </c>
      <c r="U4597" s="1" t="str">
        <f t="shared" si="286"/>
        <v>Underpaid</v>
      </c>
      <c r="V4597" s="1" t="str">
        <f>_xlfn.XLOOKUP(C4597,Payers!$A$2:$A$9,Payers!$B$2:$B$9)</f>
        <v>Summit Health Commercial</v>
      </c>
      <c r="W4597" s="1" t="str">
        <f t="shared" si="287"/>
        <v>2026-05</v>
      </c>
    </row>
    <row r="4598" spans="1:23">
      <c r="A4598" s="1" t="s">
        <v>7210</v>
      </c>
      <c r="B4598" s="1" t="s">
        <v>3344</v>
      </c>
      <c r="C4598" s="1" t="s">
        <v>76</v>
      </c>
      <c r="D4598" s="1" t="s">
        <v>26</v>
      </c>
      <c r="E4598" s="1" t="s">
        <v>44</v>
      </c>
      <c r="F4598">
        <v>1</v>
      </c>
      <c r="G4598" s="2">
        <v>46139</v>
      </c>
      <c r="H4598" s="2">
        <v>46141</v>
      </c>
      <c r="I4598">
        <v>4750.76</v>
      </c>
      <c r="J4598">
        <v>2218.13</v>
      </c>
      <c r="K4598">
        <v>2218.13</v>
      </c>
      <c r="L4598">
        <v>0</v>
      </c>
      <c r="M4598" s="1" t="s">
        <v>21</v>
      </c>
      <c r="N4598" s="1" t="s">
        <v>22</v>
      </c>
      <c r="O4598" s="2">
        <v>46165</v>
      </c>
      <c r="P4598" s="2">
        <v>46165</v>
      </c>
      <c r="Q4598">
        <f>_xlfn.XLOOKUP(E4598,CPT!$A$2:$A$13,CPT!$D$2:$D$13)</f>
        <v>4800</v>
      </c>
      <c r="R4598" s="1">
        <f>_xlfn.XLOOKUP(C4598,Contract!$A$2:$A$9,Contract!$B$2:$B$9)</f>
        <v>0.43</v>
      </c>
      <c r="S4598" s="1">
        <f t="shared" si="284"/>
        <v>2064</v>
      </c>
      <c r="T4598" s="1">
        <f t="shared" si="285"/>
        <v>-154.13000000000011</v>
      </c>
      <c r="U4598" s="1" t="str">
        <f t="shared" si="286"/>
        <v>OK</v>
      </c>
      <c r="V4598" s="1" t="str">
        <f>_xlfn.XLOOKUP(C4598,Payers!$A$2:$A$9,Payers!$B$2:$B$9)</f>
        <v>Summit Health Commercial</v>
      </c>
      <c r="W4598" s="1" t="str">
        <f t="shared" si="287"/>
        <v>2026-04</v>
      </c>
    </row>
    <row r="4599" spans="1:23">
      <c r="A4599" s="1" t="s">
        <v>7211</v>
      </c>
      <c r="B4599" s="1" t="s">
        <v>2162</v>
      </c>
      <c r="C4599" s="1" t="s">
        <v>36</v>
      </c>
      <c r="D4599" s="1" t="s">
        <v>30</v>
      </c>
      <c r="E4599" s="1" t="s">
        <v>31</v>
      </c>
      <c r="F4599">
        <v>3</v>
      </c>
      <c r="G4599" s="2">
        <v>46126</v>
      </c>
      <c r="H4599" s="2">
        <v>46131</v>
      </c>
      <c r="I4599">
        <v>181.14</v>
      </c>
      <c r="J4599">
        <v>45.85</v>
      </c>
      <c r="K4599">
        <v>45.85</v>
      </c>
      <c r="L4599">
        <v>0</v>
      </c>
      <c r="M4599" s="1" t="s">
        <v>21</v>
      </c>
      <c r="N4599" s="1" t="s">
        <v>22</v>
      </c>
      <c r="O4599" s="2">
        <v>46180</v>
      </c>
      <c r="P4599" s="2">
        <v>46180</v>
      </c>
      <c r="Q4599">
        <f>_xlfn.XLOOKUP(E4599,CPT!$A$2:$A$13,CPT!$D$2:$D$13)</f>
        <v>62</v>
      </c>
      <c r="R4599" s="1">
        <f>_xlfn.XLOOKUP(C4599,Contract!$A$2:$A$9,Contract!$B$2:$B$9)</f>
        <v>0.27</v>
      </c>
      <c r="S4599" s="1">
        <f t="shared" si="284"/>
        <v>50.22</v>
      </c>
      <c r="T4599" s="1">
        <f t="shared" si="285"/>
        <v>4.3699999999999974</v>
      </c>
      <c r="U4599" s="1" t="str">
        <f t="shared" si="286"/>
        <v>Underpaid</v>
      </c>
      <c r="V4599" s="1" t="str">
        <f>_xlfn.XLOOKUP(C4599,Payers!$A$2:$A$9,Payers!$B$2:$B$9)</f>
        <v>Florida Medicaid</v>
      </c>
      <c r="W4599" s="1" t="str">
        <f t="shared" si="287"/>
        <v>2026-04</v>
      </c>
    </row>
    <row r="4600" spans="1:23">
      <c r="A4600" s="1" t="s">
        <v>7212</v>
      </c>
      <c r="B4600" s="1" t="s">
        <v>2005</v>
      </c>
      <c r="C4600" s="1" t="s">
        <v>60</v>
      </c>
      <c r="D4600" s="1" t="s">
        <v>19</v>
      </c>
      <c r="E4600" s="1" t="s">
        <v>41</v>
      </c>
      <c r="F4600">
        <v>1</v>
      </c>
      <c r="G4600" s="2">
        <v>46019</v>
      </c>
      <c r="H4600" s="2">
        <v>46022</v>
      </c>
      <c r="I4600">
        <v>38.78</v>
      </c>
      <c r="M4600" s="1" t="s">
        <v>32</v>
      </c>
      <c r="N4600" s="1" t="s">
        <v>33</v>
      </c>
      <c r="O4600" s="2">
        <v>46047</v>
      </c>
      <c r="P4600" s="2"/>
      <c r="Q4600">
        <f>_xlfn.XLOOKUP(E4600,CPT!$A$2:$A$13,CPT!$D$2:$D$13)</f>
        <v>38</v>
      </c>
      <c r="R4600" s="1">
        <f>_xlfn.XLOOKUP(C4600,Contract!$A$2:$A$9,Contract!$B$2:$B$9)</f>
        <v>0.45</v>
      </c>
      <c r="S4600" s="1">
        <f t="shared" si="284"/>
        <v>17.100000000000001</v>
      </c>
      <c r="T4600" s="1" t="str">
        <f t="shared" si="285"/>
        <v/>
      </c>
      <c r="U4600" s="1" t="str">
        <f t="shared" si="286"/>
        <v/>
      </c>
      <c r="V4600" s="1" t="str">
        <f>_xlfn.XLOOKUP(C4600,Payers!$A$2:$A$9,Payers!$B$2:$B$9)</f>
        <v>Blue Horizon Commercial</v>
      </c>
      <c r="W4600" s="1" t="str">
        <f t="shared" si="287"/>
        <v>2025-12</v>
      </c>
    </row>
    <row r="4601" spans="1:23">
      <c r="A4601" s="1" t="s">
        <v>7213</v>
      </c>
      <c r="B4601" s="1" t="s">
        <v>7214</v>
      </c>
      <c r="C4601" s="1" t="s">
        <v>25</v>
      </c>
      <c r="D4601" s="1" t="s">
        <v>30</v>
      </c>
      <c r="E4601" s="1" t="s">
        <v>31</v>
      </c>
      <c r="F4601">
        <v>1</v>
      </c>
      <c r="G4601" s="2">
        <v>46212</v>
      </c>
      <c r="H4601" s="2">
        <v>46213</v>
      </c>
      <c r="I4601">
        <v>62.95</v>
      </c>
      <c r="J4601">
        <v>22.03</v>
      </c>
      <c r="K4601">
        <v>22.03</v>
      </c>
      <c r="L4601">
        <v>0</v>
      </c>
      <c r="M4601" s="1" t="s">
        <v>21</v>
      </c>
      <c r="N4601" s="1" t="s">
        <v>22</v>
      </c>
      <c r="O4601" s="2">
        <v>46243</v>
      </c>
      <c r="P4601" s="2">
        <v>46243</v>
      </c>
      <c r="Q4601">
        <f>_xlfn.XLOOKUP(E4601,CPT!$A$2:$A$13,CPT!$D$2:$D$13)</f>
        <v>62</v>
      </c>
      <c r="R4601" s="1">
        <f>_xlfn.XLOOKUP(C4601,Contract!$A$2:$A$9,Contract!$B$2:$B$9)</f>
        <v>0.36</v>
      </c>
      <c r="S4601" s="1">
        <f t="shared" si="284"/>
        <v>22.32</v>
      </c>
      <c r="T4601" s="1">
        <f t="shared" si="285"/>
        <v>0.28999999999999915</v>
      </c>
      <c r="U4601" s="1" t="str">
        <f t="shared" si="286"/>
        <v>OK</v>
      </c>
      <c r="V4601" s="1" t="str">
        <f>_xlfn.XLOOKUP(C4601,Payers!$A$2:$A$9,Payers!$B$2:$B$9)</f>
        <v>Medicare Part B</v>
      </c>
      <c r="W4601" s="1" t="str">
        <f t="shared" si="287"/>
        <v>2026-07</v>
      </c>
    </row>
    <row r="4602" spans="1:23">
      <c r="A4602" s="1" t="s">
        <v>7215</v>
      </c>
      <c r="B4602" s="1" t="s">
        <v>4805</v>
      </c>
      <c r="C4602" s="1" t="s">
        <v>79</v>
      </c>
      <c r="D4602" s="1" t="s">
        <v>19</v>
      </c>
      <c r="E4602" s="1" t="s">
        <v>20</v>
      </c>
      <c r="F4602">
        <v>1</v>
      </c>
      <c r="G4602" s="2">
        <v>46074</v>
      </c>
      <c r="H4602" s="2">
        <v>46076</v>
      </c>
      <c r="I4602">
        <v>145.62</v>
      </c>
      <c r="M4602" s="1" t="s">
        <v>69</v>
      </c>
      <c r="N4602" s="1" t="s">
        <v>22</v>
      </c>
      <c r="O4602" s="2"/>
      <c r="P4602" s="2"/>
      <c r="Q4602">
        <f>_xlfn.XLOOKUP(E4602,CPT!$A$2:$A$13,CPT!$D$2:$D$13)</f>
        <v>145</v>
      </c>
      <c r="R4602" s="1">
        <f>_xlfn.XLOOKUP(C4602,Contract!$A$2:$A$9,Contract!$B$2:$B$9)</f>
        <v>1</v>
      </c>
      <c r="S4602" s="1">
        <f t="shared" si="284"/>
        <v>145</v>
      </c>
      <c r="T4602" s="1" t="str">
        <f t="shared" si="285"/>
        <v/>
      </c>
      <c r="U4602" s="1" t="str">
        <f t="shared" si="286"/>
        <v/>
      </c>
      <c r="V4602" s="1" t="str">
        <f>_xlfn.XLOOKUP(C4602,Payers!$A$2:$A$9,Payers!$B$2:$B$9)</f>
        <v>Self-Pay</v>
      </c>
      <c r="W4602" s="1" t="str">
        <f t="shared" si="287"/>
        <v>2026-02</v>
      </c>
    </row>
    <row r="4603" spans="1:23">
      <c r="A4603" s="1" t="s">
        <v>7216</v>
      </c>
      <c r="B4603" s="1" t="s">
        <v>7217</v>
      </c>
      <c r="C4603" s="1" t="s">
        <v>60</v>
      </c>
      <c r="D4603" s="1" t="s">
        <v>30</v>
      </c>
      <c r="E4603" s="1" t="s">
        <v>20</v>
      </c>
      <c r="F4603">
        <v>1</v>
      </c>
      <c r="G4603" s="2">
        <v>46216</v>
      </c>
      <c r="H4603" s="2">
        <v>46230</v>
      </c>
      <c r="I4603">
        <v>148.37</v>
      </c>
      <c r="J4603">
        <v>76.66</v>
      </c>
      <c r="K4603">
        <v>68.989999999999995</v>
      </c>
      <c r="L4603">
        <v>7.67</v>
      </c>
      <c r="M4603" s="1" t="s">
        <v>21</v>
      </c>
      <c r="N4603" s="1" t="s">
        <v>22</v>
      </c>
      <c r="O4603" s="2">
        <v>46273</v>
      </c>
      <c r="P4603" s="2">
        <v>46273</v>
      </c>
      <c r="Q4603">
        <f>_xlfn.XLOOKUP(E4603,CPT!$A$2:$A$13,CPT!$D$2:$D$13)</f>
        <v>145</v>
      </c>
      <c r="R4603" s="1">
        <f>_xlfn.XLOOKUP(C4603,Contract!$A$2:$A$9,Contract!$B$2:$B$9)</f>
        <v>0.45</v>
      </c>
      <c r="S4603" s="1">
        <f t="shared" si="284"/>
        <v>65.25</v>
      </c>
      <c r="T4603" s="1">
        <f t="shared" si="285"/>
        <v>-11.409999999999997</v>
      </c>
      <c r="U4603" s="1" t="str">
        <f t="shared" si="286"/>
        <v>OK</v>
      </c>
      <c r="V4603" s="1" t="str">
        <f>_xlfn.XLOOKUP(C4603,Payers!$A$2:$A$9,Payers!$B$2:$B$9)</f>
        <v>Blue Horizon Commercial</v>
      </c>
      <c r="W4603" s="1" t="str">
        <f t="shared" si="287"/>
        <v>2026-07</v>
      </c>
    </row>
    <row r="4604" spans="1:23">
      <c r="A4604" s="1" t="s">
        <v>7218</v>
      </c>
      <c r="B4604" s="1" t="s">
        <v>6313</v>
      </c>
      <c r="C4604" s="1" t="s">
        <v>60</v>
      </c>
      <c r="D4604" s="1" t="s">
        <v>30</v>
      </c>
      <c r="E4604" s="1" t="s">
        <v>91</v>
      </c>
      <c r="F4604">
        <v>3</v>
      </c>
      <c r="G4604" s="2">
        <v>46124</v>
      </c>
      <c r="H4604" s="2">
        <v>46129</v>
      </c>
      <c r="I4604">
        <v>171</v>
      </c>
      <c r="J4604">
        <v>84.87</v>
      </c>
      <c r="K4604">
        <v>76.38</v>
      </c>
      <c r="L4604">
        <v>8.49</v>
      </c>
      <c r="M4604" s="1" t="s">
        <v>21</v>
      </c>
      <c r="N4604" s="1" t="s">
        <v>22</v>
      </c>
      <c r="O4604" s="2">
        <v>46146</v>
      </c>
      <c r="P4604" s="2">
        <v>46146</v>
      </c>
      <c r="Q4604">
        <f>_xlfn.XLOOKUP(E4604,CPT!$A$2:$A$13,CPT!$D$2:$D$13)</f>
        <v>58</v>
      </c>
      <c r="R4604" s="1">
        <f>_xlfn.XLOOKUP(C4604,Contract!$A$2:$A$9,Contract!$B$2:$B$9)</f>
        <v>0.45</v>
      </c>
      <c r="S4604" s="1">
        <f t="shared" si="284"/>
        <v>78.3</v>
      </c>
      <c r="T4604" s="1">
        <f t="shared" si="285"/>
        <v>-6.5700000000000074</v>
      </c>
      <c r="U4604" s="1" t="str">
        <f t="shared" si="286"/>
        <v>OK</v>
      </c>
      <c r="V4604" s="1" t="str">
        <f>_xlfn.XLOOKUP(C4604,Payers!$A$2:$A$9,Payers!$B$2:$B$9)</f>
        <v>Blue Horizon Commercial</v>
      </c>
      <c r="W4604" s="1" t="str">
        <f t="shared" si="287"/>
        <v>2026-04</v>
      </c>
    </row>
    <row r="4605" spans="1:23">
      <c r="A4605" s="1" t="s">
        <v>7219</v>
      </c>
      <c r="B4605" s="1" t="s">
        <v>7220</v>
      </c>
      <c r="C4605" s="1" t="s">
        <v>25</v>
      </c>
      <c r="D4605" s="1" t="s">
        <v>30</v>
      </c>
      <c r="E4605" s="1" t="s">
        <v>20</v>
      </c>
      <c r="F4605">
        <v>1</v>
      </c>
      <c r="G4605" s="2">
        <v>46050</v>
      </c>
      <c r="H4605" s="2">
        <v>46053</v>
      </c>
      <c r="I4605">
        <v>141.80000000000001</v>
      </c>
      <c r="M4605" s="1" t="s">
        <v>32</v>
      </c>
      <c r="N4605" s="1" t="s">
        <v>281</v>
      </c>
      <c r="O4605" s="2">
        <v>46070</v>
      </c>
      <c r="P4605" s="2"/>
      <c r="Q4605">
        <f>_xlfn.XLOOKUP(E4605,CPT!$A$2:$A$13,CPT!$D$2:$D$13)</f>
        <v>145</v>
      </c>
      <c r="R4605" s="1">
        <f>_xlfn.XLOOKUP(C4605,Contract!$A$2:$A$9,Contract!$B$2:$B$9)</f>
        <v>0.36</v>
      </c>
      <c r="S4605" s="1">
        <f t="shared" si="284"/>
        <v>52.2</v>
      </c>
      <c r="T4605" s="1" t="str">
        <f t="shared" si="285"/>
        <v/>
      </c>
      <c r="U4605" s="1" t="str">
        <f t="shared" si="286"/>
        <v/>
      </c>
      <c r="V4605" s="1" t="str">
        <f>_xlfn.XLOOKUP(C4605,Payers!$A$2:$A$9,Payers!$B$2:$B$9)</f>
        <v>Medicare Part B</v>
      </c>
      <c r="W4605" s="1" t="str">
        <f t="shared" si="287"/>
        <v>2026-01</v>
      </c>
    </row>
    <row r="4606" spans="1:23">
      <c r="A4606" s="1" t="s">
        <v>7221</v>
      </c>
      <c r="B4606" s="1" t="s">
        <v>6218</v>
      </c>
      <c r="C4606" s="1" t="s">
        <v>52</v>
      </c>
      <c r="D4606" s="1" t="s">
        <v>26</v>
      </c>
      <c r="E4606" s="1" t="s">
        <v>57</v>
      </c>
      <c r="F4606">
        <v>1</v>
      </c>
      <c r="G4606" s="2">
        <v>46012</v>
      </c>
      <c r="H4606" s="2">
        <v>46020</v>
      </c>
      <c r="I4606">
        <v>205.91</v>
      </c>
      <c r="J4606">
        <v>90.26</v>
      </c>
      <c r="K4606">
        <v>90.26</v>
      </c>
      <c r="L4606">
        <v>0</v>
      </c>
      <c r="M4606" s="1" t="s">
        <v>21</v>
      </c>
      <c r="N4606" s="1" t="s">
        <v>22</v>
      </c>
      <c r="O4606" s="2">
        <v>46063</v>
      </c>
      <c r="P4606" s="2">
        <v>46063</v>
      </c>
      <c r="Q4606">
        <f>_xlfn.XLOOKUP(E4606,CPT!$A$2:$A$13,CPT!$D$2:$D$13)</f>
        <v>210</v>
      </c>
      <c r="R4606" s="1">
        <f>_xlfn.XLOOKUP(C4606,Contract!$A$2:$A$9,Contract!$B$2:$B$9)</f>
        <v>0.47</v>
      </c>
      <c r="S4606" s="1">
        <f t="shared" si="284"/>
        <v>98.7</v>
      </c>
      <c r="T4606" s="1">
        <f t="shared" si="285"/>
        <v>8.4399999999999977</v>
      </c>
      <c r="U4606" s="1" t="str">
        <f t="shared" si="286"/>
        <v>Underpaid</v>
      </c>
      <c r="V4606" s="1" t="str">
        <f>_xlfn.XLOOKUP(C4606,Payers!$A$2:$A$9,Payers!$B$2:$B$9)</f>
        <v>Keystone Commercial PPO</v>
      </c>
      <c r="W4606" s="1" t="str">
        <f t="shared" si="287"/>
        <v>2025-12</v>
      </c>
    </row>
    <row r="4607" spans="1:23">
      <c r="A4607" s="1" t="s">
        <v>7222</v>
      </c>
      <c r="B4607" s="1" t="s">
        <v>1536</v>
      </c>
      <c r="C4607" s="1" t="s">
        <v>60</v>
      </c>
      <c r="D4607" s="1" t="s">
        <v>19</v>
      </c>
      <c r="E4607" s="1" t="s">
        <v>41</v>
      </c>
      <c r="F4607">
        <v>1</v>
      </c>
      <c r="G4607" s="2">
        <v>46183</v>
      </c>
      <c r="H4607" s="2">
        <v>46204</v>
      </c>
      <c r="I4607">
        <v>38.04</v>
      </c>
      <c r="J4607">
        <v>15.96</v>
      </c>
      <c r="K4607">
        <v>14.36</v>
      </c>
      <c r="L4607">
        <v>1.6</v>
      </c>
      <c r="M4607" s="1" t="s">
        <v>21</v>
      </c>
      <c r="N4607" s="1" t="s">
        <v>22</v>
      </c>
      <c r="O4607" s="2">
        <v>46227</v>
      </c>
      <c r="P4607" s="2">
        <v>46227</v>
      </c>
      <c r="Q4607">
        <f>_xlfn.XLOOKUP(E4607,CPT!$A$2:$A$13,CPT!$D$2:$D$13)</f>
        <v>38</v>
      </c>
      <c r="R4607" s="1">
        <f>_xlfn.XLOOKUP(C4607,Contract!$A$2:$A$9,Contract!$B$2:$B$9)</f>
        <v>0.45</v>
      </c>
      <c r="S4607" s="1">
        <f t="shared" si="284"/>
        <v>17.100000000000001</v>
      </c>
      <c r="T4607" s="1">
        <f t="shared" si="285"/>
        <v>1.1400000000000006</v>
      </c>
      <c r="U4607" s="1" t="str">
        <f t="shared" si="286"/>
        <v>Underpaid</v>
      </c>
      <c r="V4607" s="1" t="str">
        <f>_xlfn.XLOOKUP(C4607,Payers!$A$2:$A$9,Payers!$B$2:$B$9)</f>
        <v>Blue Horizon Commercial</v>
      </c>
      <c r="W4607" s="1" t="str">
        <f t="shared" si="287"/>
        <v>2026-06</v>
      </c>
    </row>
    <row r="4608" spans="1:23">
      <c r="A4608" s="1" t="s">
        <v>7223</v>
      </c>
      <c r="B4608" s="1" t="s">
        <v>967</v>
      </c>
      <c r="C4608" s="1" t="s">
        <v>36</v>
      </c>
      <c r="D4608" s="1" t="s">
        <v>19</v>
      </c>
      <c r="E4608" s="1" t="s">
        <v>88</v>
      </c>
      <c r="F4608">
        <v>1</v>
      </c>
      <c r="G4608" s="2">
        <v>45985</v>
      </c>
      <c r="H4608" s="2">
        <v>45986</v>
      </c>
      <c r="I4608">
        <v>265.04000000000002</v>
      </c>
      <c r="J4608">
        <v>61.74</v>
      </c>
      <c r="K4608">
        <v>61.74</v>
      </c>
      <c r="L4608">
        <v>0</v>
      </c>
      <c r="M4608" s="1" t="s">
        <v>21</v>
      </c>
      <c r="N4608" s="1" t="s">
        <v>22</v>
      </c>
      <c r="O4608" s="2">
        <v>46042</v>
      </c>
      <c r="P4608" s="2">
        <v>46042</v>
      </c>
      <c r="Q4608">
        <f>_xlfn.XLOOKUP(E4608,CPT!$A$2:$A$13,CPT!$D$2:$D$13)</f>
        <v>260</v>
      </c>
      <c r="R4608" s="1">
        <f>_xlfn.XLOOKUP(C4608,Contract!$A$2:$A$9,Contract!$B$2:$B$9)</f>
        <v>0.27</v>
      </c>
      <c r="S4608" s="1">
        <f t="shared" si="284"/>
        <v>70.2</v>
      </c>
      <c r="T4608" s="1">
        <f t="shared" si="285"/>
        <v>8.4600000000000009</v>
      </c>
      <c r="U4608" s="1" t="str">
        <f t="shared" si="286"/>
        <v>Underpaid</v>
      </c>
      <c r="V4608" s="1" t="str">
        <f>_xlfn.XLOOKUP(C4608,Payers!$A$2:$A$9,Payers!$B$2:$B$9)</f>
        <v>Florida Medicaid</v>
      </c>
      <c r="W4608" s="1" t="str">
        <f t="shared" si="287"/>
        <v>2025-11</v>
      </c>
    </row>
    <row r="4609" spans="1:23">
      <c r="A4609" s="1" t="s">
        <v>7224</v>
      </c>
      <c r="B4609" s="1" t="s">
        <v>3636</v>
      </c>
      <c r="C4609" s="1" t="s">
        <v>47</v>
      </c>
      <c r="D4609" s="1" t="s">
        <v>19</v>
      </c>
      <c r="E4609" s="1" t="s">
        <v>20</v>
      </c>
      <c r="F4609">
        <v>1</v>
      </c>
      <c r="G4609" s="2">
        <v>46197</v>
      </c>
      <c r="H4609" s="2">
        <v>46208</v>
      </c>
      <c r="I4609">
        <v>147.37</v>
      </c>
      <c r="J4609">
        <v>39.08</v>
      </c>
      <c r="K4609">
        <v>39.08</v>
      </c>
      <c r="L4609">
        <v>0</v>
      </c>
      <c r="M4609" s="1" t="s">
        <v>21</v>
      </c>
      <c r="N4609" s="1" t="s">
        <v>22</v>
      </c>
      <c r="O4609" s="2">
        <v>46250</v>
      </c>
      <c r="P4609" s="2">
        <v>46250</v>
      </c>
      <c r="Q4609">
        <f>_xlfn.XLOOKUP(E4609,CPT!$A$2:$A$13,CPT!$D$2:$D$13)</f>
        <v>145</v>
      </c>
      <c r="R4609" s="1">
        <f>_xlfn.XLOOKUP(C4609,Contract!$A$2:$A$9,Contract!$B$2:$B$9)</f>
        <v>0.28000000000000003</v>
      </c>
      <c r="S4609" s="1">
        <f t="shared" si="284"/>
        <v>40.6</v>
      </c>
      <c r="T4609" s="1">
        <f t="shared" si="285"/>
        <v>1.5200000000000031</v>
      </c>
      <c r="U4609" s="1" t="str">
        <f t="shared" si="286"/>
        <v>OK</v>
      </c>
      <c r="V4609" s="1" t="str">
        <f>_xlfn.XLOOKUP(C4609,Payers!$A$2:$A$9,Payers!$B$2:$B$9)</f>
        <v>Coastal Medicaid MCO</v>
      </c>
      <c r="W4609" s="1" t="str">
        <f t="shared" si="287"/>
        <v>2026-06</v>
      </c>
    </row>
    <row r="4610" spans="1:23">
      <c r="A4610" s="1" t="s">
        <v>7225</v>
      </c>
      <c r="B4610" s="1" t="s">
        <v>517</v>
      </c>
      <c r="C4610" s="1" t="s">
        <v>25</v>
      </c>
      <c r="D4610" s="1" t="s">
        <v>26</v>
      </c>
      <c r="E4610" s="1" t="s">
        <v>185</v>
      </c>
      <c r="F4610">
        <v>1</v>
      </c>
      <c r="G4610" s="2">
        <v>45992</v>
      </c>
      <c r="H4610" s="2">
        <v>45993</v>
      </c>
      <c r="I4610">
        <v>1172.54</v>
      </c>
      <c r="J4610">
        <v>362.45</v>
      </c>
      <c r="K4610">
        <v>362.45</v>
      </c>
      <c r="L4610">
        <v>0</v>
      </c>
      <c r="M4610" s="1" t="s">
        <v>21</v>
      </c>
      <c r="N4610" s="1" t="s">
        <v>22</v>
      </c>
      <c r="O4610" s="2">
        <v>46014</v>
      </c>
      <c r="P4610" s="2">
        <v>46014</v>
      </c>
      <c r="Q4610">
        <f>_xlfn.XLOOKUP(E4610,CPT!$A$2:$A$13,CPT!$D$2:$D$13)</f>
        <v>1150</v>
      </c>
      <c r="R4610" s="1">
        <f>_xlfn.XLOOKUP(C4610,Contract!$A$2:$A$9,Contract!$B$2:$B$9)</f>
        <v>0.36</v>
      </c>
      <c r="S4610" s="1">
        <f t="shared" ref="S4610:S4673" si="288">ROUND(Q4610*F4610*R4610,2)</f>
        <v>414</v>
      </c>
      <c r="T4610" s="1">
        <f t="shared" ref="T4610:T4673" si="289">IF(M4610="Paid",S4610-J4610,"")</f>
        <v>51.550000000000011</v>
      </c>
      <c r="U4610" s="1" t="str">
        <f t="shared" ref="U4610:U4673" si="290">IF(M4610&lt;&gt;"Paid","",IF(T4610&gt;S4610*0.05,"Underpaid","OK"))</f>
        <v>Underpaid</v>
      </c>
      <c r="V4610" s="1" t="str">
        <f>_xlfn.XLOOKUP(C4610,Payers!$A$2:$A$9,Payers!$B$2:$B$9)</f>
        <v>Medicare Part B</v>
      </c>
      <c r="W4610" s="1" t="str">
        <f t="shared" ref="W4610:W4673" si="291">TEXT(G4610,"yyyy-mm")</f>
        <v>2025-12</v>
      </c>
    </row>
    <row r="4611" spans="1:23">
      <c r="A4611" s="1" t="s">
        <v>7226</v>
      </c>
      <c r="B4611" s="1" t="s">
        <v>5383</v>
      </c>
      <c r="C4611" s="1" t="s">
        <v>52</v>
      </c>
      <c r="D4611" s="1" t="s">
        <v>19</v>
      </c>
      <c r="E4611" s="1" t="s">
        <v>41</v>
      </c>
      <c r="F4611">
        <v>1</v>
      </c>
      <c r="G4611" s="2">
        <v>46192</v>
      </c>
      <c r="H4611" s="2">
        <v>46193</v>
      </c>
      <c r="I4611">
        <v>38.21</v>
      </c>
      <c r="J4611">
        <v>15.52</v>
      </c>
      <c r="K4611">
        <v>15.52</v>
      </c>
      <c r="L4611">
        <v>0</v>
      </c>
      <c r="M4611" s="1" t="s">
        <v>21</v>
      </c>
      <c r="N4611" s="1" t="s">
        <v>22</v>
      </c>
      <c r="O4611" s="2">
        <v>46258</v>
      </c>
      <c r="P4611" s="2">
        <v>46258</v>
      </c>
      <c r="Q4611">
        <f>_xlfn.XLOOKUP(E4611,CPT!$A$2:$A$13,CPT!$D$2:$D$13)</f>
        <v>38</v>
      </c>
      <c r="R4611" s="1">
        <f>_xlfn.XLOOKUP(C4611,Contract!$A$2:$A$9,Contract!$B$2:$B$9)</f>
        <v>0.47</v>
      </c>
      <c r="S4611" s="1">
        <f t="shared" si="288"/>
        <v>17.86</v>
      </c>
      <c r="T4611" s="1">
        <f t="shared" si="289"/>
        <v>2.34</v>
      </c>
      <c r="U4611" s="1" t="str">
        <f t="shared" si="290"/>
        <v>Underpaid</v>
      </c>
      <c r="V4611" s="1" t="str">
        <f>_xlfn.XLOOKUP(C4611,Payers!$A$2:$A$9,Payers!$B$2:$B$9)</f>
        <v>Keystone Commercial PPO</v>
      </c>
      <c r="W4611" s="1" t="str">
        <f t="shared" si="291"/>
        <v>2026-06</v>
      </c>
    </row>
    <row r="4612" spans="1:23">
      <c r="A4612" s="1" t="s">
        <v>7227</v>
      </c>
      <c r="B4612" s="1" t="s">
        <v>7228</v>
      </c>
      <c r="C4612" s="1" t="s">
        <v>76</v>
      </c>
      <c r="D4612" s="1" t="s">
        <v>26</v>
      </c>
      <c r="E4612" s="1" t="s">
        <v>57</v>
      </c>
      <c r="F4612">
        <v>1</v>
      </c>
      <c r="G4612" s="2">
        <v>46047</v>
      </c>
      <c r="H4612" s="2">
        <v>46050</v>
      </c>
      <c r="I4612">
        <v>213.93</v>
      </c>
      <c r="J4612">
        <v>88.47</v>
      </c>
      <c r="K4612">
        <v>88.47</v>
      </c>
      <c r="L4612">
        <v>0</v>
      </c>
      <c r="M4612" s="1" t="s">
        <v>21</v>
      </c>
      <c r="N4612" s="1" t="s">
        <v>22</v>
      </c>
      <c r="O4612" s="2">
        <v>46084</v>
      </c>
      <c r="P4612" s="2">
        <v>46084</v>
      </c>
      <c r="Q4612">
        <f>_xlfn.XLOOKUP(E4612,CPT!$A$2:$A$13,CPT!$D$2:$D$13)</f>
        <v>210</v>
      </c>
      <c r="R4612" s="1">
        <f>_xlfn.XLOOKUP(C4612,Contract!$A$2:$A$9,Contract!$B$2:$B$9)</f>
        <v>0.43</v>
      </c>
      <c r="S4612" s="1">
        <f t="shared" si="288"/>
        <v>90.3</v>
      </c>
      <c r="T4612" s="1">
        <f t="shared" si="289"/>
        <v>1.8299999999999983</v>
      </c>
      <c r="U4612" s="1" t="str">
        <f t="shared" si="290"/>
        <v>OK</v>
      </c>
      <c r="V4612" s="1" t="str">
        <f>_xlfn.XLOOKUP(C4612,Payers!$A$2:$A$9,Payers!$B$2:$B$9)</f>
        <v>Summit Health Commercial</v>
      </c>
      <c r="W4612" s="1" t="str">
        <f t="shared" si="291"/>
        <v>2026-01</v>
      </c>
    </row>
    <row r="4613" spans="1:23">
      <c r="A4613" s="1" t="s">
        <v>7229</v>
      </c>
      <c r="B4613" s="1" t="s">
        <v>7230</v>
      </c>
      <c r="C4613" s="1" t="s">
        <v>47</v>
      </c>
      <c r="D4613" s="1" t="s">
        <v>19</v>
      </c>
      <c r="E4613" s="1" t="s">
        <v>88</v>
      </c>
      <c r="F4613">
        <v>1</v>
      </c>
      <c r="G4613" s="2">
        <v>46193</v>
      </c>
      <c r="H4613" s="2">
        <v>46200</v>
      </c>
      <c r="I4613">
        <v>264.23</v>
      </c>
      <c r="J4613">
        <v>74.760000000000005</v>
      </c>
      <c r="K4613">
        <v>74.760000000000005</v>
      </c>
      <c r="L4613">
        <v>0</v>
      </c>
      <c r="M4613" s="1" t="s">
        <v>21</v>
      </c>
      <c r="N4613" s="1" t="s">
        <v>22</v>
      </c>
      <c r="O4613" s="2">
        <v>46267</v>
      </c>
      <c r="P4613" s="2">
        <v>46267</v>
      </c>
      <c r="Q4613">
        <f>_xlfn.XLOOKUP(E4613,CPT!$A$2:$A$13,CPT!$D$2:$D$13)</f>
        <v>260</v>
      </c>
      <c r="R4613" s="1">
        <f>_xlfn.XLOOKUP(C4613,Contract!$A$2:$A$9,Contract!$B$2:$B$9)</f>
        <v>0.28000000000000003</v>
      </c>
      <c r="S4613" s="1">
        <f t="shared" si="288"/>
        <v>72.8</v>
      </c>
      <c r="T4613" s="1">
        <f t="shared" si="289"/>
        <v>-1.960000000000008</v>
      </c>
      <c r="U4613" s="1" t="str">
        <f t="shared" si="290"/>
        <v>OK</v>
      </c>
      <c r="V4613" s="1" t="str">
        <f>_xlfn.XLOOKUP(C4613,Payers!$A$2:$A$9,Payers!$B$2:$B$9)</f>
        <v>Coastal Medicaid MCO</v>
      </c>
      <c r="W4613" s="1" t="str">
        <f t="shared" si="291"/>
        <v>2026-06</v>
      </c>
    </row>
    <row r="4614" spans="1:23">
      <c r="A4614" s="1" t="s">
        <v>7231</v>
      </c>
      <c r="B4614" s="1" t="s">
        <v>2289</v>
      </c>
      <c r="C4614" s="1" t="s">
        <v>18</v>
      </c>
      <c r="D4614" s="1" t="s">
        <v>30</v>
      </c>
      <c r="E4614" s="1" t="s">
        <v>20</v>
      </c>
      <c r="F4614">
        <v>1</v>
      </c>
      <c r="G4614" s="2">
        <v>46173</v>
      </c>
      <c r="H4614" s="2">
        <v>46174</v>
      </c>
      <c r="I4614">
        <v>142.66999999999999</v>
      </c>
      <c r="M4614" s="1" t="s">
        <v>32</v>
      </c>
      <c r="N4614" s="1" t="s">
        <v>49</v>
      </c>
      <c r="O4614" s="2">
        <v>46232</v>
      </c>
      <c r="P4614" s="2"/>
      <c r="Q4614">
        <f>_xlfn.XLOOKUP(E4614,CPT!$A$2:$A$13,CPT!$D$2:$D$13)</f>
        <v>145</v>
      </c>
      <c r="R4614" s="1">
        <f>_xlfn.XLOOKUP(C4614,Contract!$A$2:$A$9,Contract!$B$2:$B$9)</f>
        <v>0.38</v>
      </c>
      <c r="S4614" s="1">
        <f t="shared" si="288"/>
        <v>55.1</v>
      </c>
      <c r="T4614" s="1" t="str">
        <f t="shared" si="289"/>
        <v/>
      </c>
      <c r="U4614" s="1" t="str">
        <f t="shared" si="290"/>
        <v/>
      </c>
      <c r="V4614" s="1" t="str">
        <f>_xlfn.XLOOKUP(C4614,Payers!$A$2:$A$9,Payers!$B$2:$B$9)</f>
        <v>Sunshine Medicare Advantage</v>
      </c>
      <c r="W4614" s="1" t="str">
        <f t="shared" si="291"/>
        <v>2026-05</v>
      </c>
    </row>
    <row r="4615" spans="1:23">
      <c r="A4615" s="1" t="s">
        <v>7232</v>
      </c>
      <c r="B4615" s="1" t="s">
        <v>7140</v>
      </c>
      <c r="C4615" s="1" t="s">
        <v>76</v>
      </c>
      <c r="D4615" s="1" t="s">
        <v>30</v>
      </c>
      <c r="E4615" s="1" t="s">
        <v>31</v>
      </c>
      <c r="F4615">
        <v>4</v>
      </c>
      <c r="G4615" s="2">
        <v>45978</v>
      </c>
      <c r="H4615" s="2">
        <v>45980</v>
      </c>
      <c r="I4615">
        <v>245.04</v>
      </c>
      <c r="J4615">
        <v>100.9</v>
      </c>
      <c r="K4615">
        <v>80.72</v>
      </c>
      <c r="L4615">
        <v>20.18</v>
      </c>
      <c r="M4615" s="1" t="s">
        <v>21</v>
      </c>
      <c r="N4615" s="1" t="s">
        <v>22</v>
      </c>
      <c r="O4615" s="2">
        <v>46014</v>
      </c>
      <c r="P4615" s="2">
        <v>46014</v>
      </c>
      <c r="Q4615">
        <f>_xlfn.XLOOKUP(E4615,CPT!$A$2:$A$13,CPT!$D$2:$D$13)</f>
        <v>62</v>
      </c>
      <c r="R4615" s="1">
        <f>_xlfn.XLOOKUP(C4615,Contract!$A$2:$A$9,Contract!$B$2:$B$9)</f>
        <v>0.43</v>
      </c>
      <c r="S4615" s="1">
        <f t="shared" si="288"/>
        <v>106.64</v>
      </c>
      <c r="T4615" s="1">
        <f t="shared" si="289"/>
        <v>5.7399999999999949</v>
      </c>
      <c r="U4615" s="1" t="str">
        <f t="shared" si="290"/>
        <v>Underpaid</v>
      </c>
      <c r="V4615" s="1" t="str">
        <f>_xlfn.XLOOKUP(C4615,Payers!$A$2:$A$9,Payers!$B$2:$B$9)</f>
        <v>Summit Health Commercial</v>
      </c>
      <c r="W4615" s="1" t="str">
        <f t="shared" si="291"/>
        <v>2025-11</v>
      </c>
    </row>
    <row r="4616" spans="1:23">
      <c r="A4616" s="1" t="s">
        <v>7233</v>
      </c>
      <c r="B4616" s="1" t="s">
        <v>3527</v>
      </c>
      <c r="C4616" s="1" t="s">
        <v>60</v>
      </c>
      <c r="D4616" s="1" t="s">
        <v>19</v>
      </c>
      <c r="E4616" s="1" t="s">
        <v>88</v>
      </c>
      <c r="F4616">
        <v>1</v>
      </c>
      <c r="G4616" s="2">
        <v>46098</v>
      </c>
      <c r="H4616" s="2">
        <v>46099</v>
      </c>
      <c r="I4616">
        <v>260.98</v>
      </c>
      <c r="J4616">
        <v>129.72999999999999</v>
      </c>
      <c r="K4616">
        <v>129.72999999999999</v>
      </c>
      <c r="L4616">
        <v>0</v>
      </c>
      <c r="M4616" s="1" t="s">
        <v>21</v>
      </c>
      <c r="N4616" s="1" t="s">
        <v>22</v>
      </c>
      <c r="O4616" s="2">
        <v>46128</v>
      </c>
      <c r="P4616" s="2">
        <v>46128</v>
      </c>
      <c r="Q4616">
        <f>_xlfn.XLOOKUP(E4616,CPT!$A$2:$A$13,CPT!$D$2:$D$13)</f>
        <v>260</v>
      </c>
      <c r="R4616" s="1">
        <f>_xlfn.XLOOKUP(C4616,Contract!$A$2:$A$9,Contract!$B$2:$B$9)</f>
        <v>0.45</v>
      </c>
      <c r="S4616" s="1">
        <f t="shared" si="288"/>
        <v>117</v>
      </c>
      <c r="T4616" s="1">
        <f t="shared" si="289"/>
        <v>-12.72999999999999</v>
      </c>
      <c r="U4616" s="1" t="str">
        <f t="shared" si="290"/>
        <v>OK</v>
      </c>
      <c r="V4616" s="1" t="str">
        <f>_xlfn.XLOOKUP(C4616,Payers!$A$2:$A$9,Payers!$B$2:$B$9)</f>
        <v>Blue Horizon Commercial</v>
      </c>
      <c r="W4616" s="1" t="str">
        <f t="shared" si="291"/>
        <v>2026-03</v>
      </c>
    </row>
    <row r="4617" spans="1:23">
      <c r="A4617" s="1" t="s">
        <v>7234</v>
      </c>
      <c r="B4617" s="1" t="s">
        <v>7235</v>
      </c>
      <c r="C4617" s="1" t="s">
        <v>76</v>
      </c>
      <c r="D4617" s="1" t="s">
        <v>19</v>
      </c>
      <c r="E4617" s="1" t="s">
        <v>57</v>
      </c>
      <c r="F4617">
        <v>1</v>
      </c>
      <c r="G4617" s="2">
        <v>46115</v>
      </c>
      <c r="H4617" s="2">
        <v>46117</v>
      </c>
      <c r="I4617">
        <v>203.79</v>
      </c>
      <c r="J4617">
        <v>75.989999999999995</v>
      </c>
      <c r="K4617">
        <v>75.989999999999995</v>
      </c>
      <c r="L4617">
        <v>0</v>
      </c>
      <c r="M4617" s="1" t="s">
        <v>21</v>
      </c>
      <c r="N4617" s="1" t="s">
        <v>22</v>
      </c>
      <c r="O4617" s="2">
        <v>46149</v>
      </c>
      <c r="P4617" s="2">
        <v>46149</v>
      </c>
      <c r="Q4617">
        <f>_xlfn.XLOOKUP(E4617,CPT!$A$2:$A$13,CPT!$D$2:$D$13)</f>
        <v>210</v>
      </c>
      <c r="R4617" s="1">
        <f>_xlfn.XLOOKUP(C4617,Contract!$A$2:$A$9,Contract!$B$2:$B$9)</f>
        <v>0.43</v>
      </c>
      <c r="S4617" s="1">
        <f t="shared" si="288"/>
        <v>90.3</v>
      </c>
      <c r="T4617" s="1">
        <f t="shared" si="289"/>
        <v>14.310000000000002</v>
      </c>
      <c r="U4617" s="1" t="str">
        <f t="shared" si="290"/>
        <v>Underpaid</v>
      </c>
      <c r="V4617" s="1" t="str">
        <f>_xlfn.XLOOKUP(C4617,Payers!$A$2:$A$9,Payers!$B$2:$B$9)</f>
        <v>Summit Health Commercial</v>
      </c>
      <c r="W4617" s="1" t="str">
        <f t="shared" si="291"/>
        <v>2026-04</v>
      </c>
    </row>
    <row r="4618" spans="1:23">
      <c r="A4618" s="1" t="s">
        <v>7236</v>
      </c>
      <c r="B4618" s="1" t="s">
        <v>5959</v>
      </c>
      <c r="C4618" s="1" t="s">
        <v>60</v>
      </c>
      <c r="D4618" s="1" t="s">
        <v>19</v>
      </c>
      <c r="E4618" s="1" t="s">
        <v>57</v>
      </c>
      <c r="F4618">
        <v>1</v>
      </c>
      <c r="G4618" s="2">
        <v>46130</v>
      </c>
      <c r="H4618" s="2">
        <v>46131</v>
      </c>
      <c r="I4618">
        <v>214.52</v>
      </c>
      <c r="M4618" s="1" t="s">
        <v>32</v>
      </c>
      <c r="N4618" s="1" t="s">
        <v>168</v>
      </c>
      <c r="O4618" s="2">
        <v>46155</v>
      </c>
      <c r="P4618" s="2"/>
      <c r="Q4618">
        <f>_xlfn.XLOOKUP(E4618,CPT!$A$2:$A$13,CPT!$D$2:$D$13)</f>
        <v>210</v>
      </c>
      <c r="R4618" s="1">
        <f>_xlfn.XLOOKUP(C4618,Contract!$A$2:$A$9,Contract!$B$2:$B$9)</f>
        <v>0.45</v>
      </c>
      <c r="S4618" s="1">
        <f t="shared" si="288"/>
        <v>94.5</v>
      </c>
      <c r="T4618" s="1" t="str">
        <f t="shared" si="289"/>
        <v/>
      </c>
      <c r="U4618" s="1" t="str">
        <f t="shared" si="290"/>
        <v/>
      </c>
      <c r="V4618" s="1" t="str">
        <f>_xlfn.XLOOKUP(C4618,Payers!$A$2:$A$9,Payers!$B$2:$B$9)</f>
        <v>Blue Horizon Commercial</v>
      </c>
      <c r="W4618" s="1" t="str">
        <f t="shared" si="291"/>
        <v>2026-04</v>
      </c>
    </row>
    <row r="4619" spans="1:23">
      <c r="A4619" s="1" t="s">
        <v>7237</v>
      </c>
      <c r="B4619" s="1" t="s">
        <v>4752</v>
      </c>
      <c r="C4619" s="1" t="s">
        <v>36</v>
      </c>
      <c r="D4619" s="1" t="s">
        <v>19</v>
      </c>
      <c r="E4619" s="1" t="s">
        <v>57</v>
      </c>
      <c r="F4619">
        <v>1</v>
      </c>
      <c r="G4619" s="2">
        <v>45946</v>
      </c>
      <c r="H4619" s="2">
        <v>45949</v>
      </c>
      <c r="I4619">
        <v>215.43</v>
      </c>
      <c r="M4619" s="1" t="s">
        <v>32</v>
      </c>
      <c r="N4619" s="1" t="s">
        <v>33</v>
      </c>
      <c r="O4619" s="2">
        <v>45977</v>
      </c>
      <c r="P4619" s="2"/>
      <c r="Q4619">
        <f>_xlfn.XLOOKUP(E4619,CPT!$A$2:$A$13,CPT!$D$2:$D$13)</f>
        <v>210</v>
      </c>
      <c r="R4619" s="1">
        <f>_xlfn.XLOOKUP(C4619,Contract!$A$2:$A$9,Contract!$B$2:$B$9)</f>
        <v>0.27</v>
      </c>
      <c r="S4619" s="1">
        <f t="shared" si="288"/>
        <v>56.7</v>
      </c>
      <c r="T4619" s="1" t="str">
        <f t="shared" si="289"/>
        <v/>
      </c>
      <c r="U4619" s="1" t="str">
        <f t="shared" si="290"/>
        <v/>
      </c>
      <c r="V4619" s="1" t="str">
        <f>_xlfn.XLOOKUP(C4619,Payers!$A$2:$A$9,Payers!$B$2:$B$9)</f>
        <v>Florida Medicaid</v>
      </c>
      <c r="W4619" s="1" t="str">
        <f t="shared" si="291"/>
        <v>2025-10</v>
      </c>
    </row>
    <row r="4620" spans="1:23">
      <c r="A4620" s="1" t="s">
        <v>7238</v>
      </c>
      <c r="B4620" s="1" t="s">
        <v>4694</v>
      </c>
      <c r="C4620" s="1" t="s">
        <v>25</v>
      </c>
      <c r="D4620" s="1" t="s">
        <v>19</v>
      </c>
      <c r="E4620" s="1" t="s">
        <v>41</v>
      </c>
      <c r="F4620">
        <v>1</v>
      </c>
      <c r="G4620" s="2">
        <v>46240</v>
      </c>
      <c r="H4620" s="2">
        <v>46247</v>
      </c>
      <c r="I4620">
        <v>37.18</v>
      </c>
      <c r="J4620">
        <v>12.37</v>
      </c>
      <c r="K4620">
        <v>11.13</v>
      </c>
      <c r="L4620">
        <v>1.24</v>
      </c>
      <c r="M4620" s="1" t="s">
        <v>21</v>
      </c>
      <c r="N4620" s="1" t="s">
        <v>22</v>
      </c>
      <c r="O4620" s="2">
        <v>46262</v>
      </c>
      <c r="P4620" s="2">
        <v>46262</v>
      </c>
      <c r="Q4620">
        <f>_xlfn.XLOOKUP(E4620,CPT!$A$2:$A$13,CPT!$D$2:$D$13)</f>
        <v>38</v>
      </c>
      <c r="R4620" s="1">
        <f>_xlfn.XLOOKUP(C4620,Contract!$A$2:$A$9,Contract!$B$2:$B$9)</f>
        <v>0.36</v>
      </c>
      <c r="S4620" s="1">
        <f t="shared" si="288"/>
        <v>13.68</v>
      </c>
      <c r="T4620" s="1">
        <f t="shared" si="289"/>
        <v>1.3100000000000005</v>
      </c>
      <c r="U4620" s="1" t="str">
        <f t="shared" si="290"/>
        <v>Underpaid</v>
      </c>
      <c r="V4620" s="1" t="str">
        <f>_xlfn.XLOOKUP(C4620,Payers!$A$2:$A$9,Payers!$B$2:$B$9)</f>
        <v>Medicare Part B</v>
      </c>
      <c r="W4620" s="1" t="str">
        <f t="shared" si="291"/>
        <v>2026-08</v>
      </c>
    </row>
    <row r="4621" spans="1:23">
      <c r="A4621" s="1" t="s">
        <v>7239</v>
      </c>
      <c r="B4621" s="1" t="s">
        <v>7240</v>
      </c>
      <c r="C4621" s="1" t="s">
        <v>60</v>
      </c>
      <c r="D4621" s="1" t="s">
        <v>37</v>
      </c>
      <c r="E4621" s="1" t="s">
        <v>38</v>
      </c>
      <c r="F4621">
        <v>30</v>
      </c>
      <c r="G4621" s="2">
        <v>46044</v>
      </c>
      <c r="H4621" s="2">
        <v>46049</v>
      </c>
      <c r="I4621">
        <v>44422.52</v>
      </c>
      <c r="J4621">
        <v>17039.78</v>
      </c>
      <c r="K4621">
        <v>17039.78</v>
      </c>
      <c r="L4621">
        <v>0</v>
      </c>
      <c r="M4621" s="1" t="s">
        <v>21</v>
      </c>
      <c r="N4621" s="1" t="s">
        <v>22</v>
      </c>
      <c r="O4621" s="2">
        <v>46085</v>
      </c>
      <c r="P4621" s="2">
        <v>46085</v>
      </c>
      <c r="Q4621">
        <f>_xlfn.XLOOKUP(E4621,CPT!$A$2:$A$13,CPT!$D$2:$D$13)</f>
        <v>1450</v>
      </c>
      <c r="R4621" s="1">
        <f>_xlfn.XLOOKUP(C4621,Contract!$A$2:$A$9,Contract!$B$2:$B$9)</f>
        <v>0.45</v>
      </c>
      <c r="S4621" s="1">
        <f t="shared" si="288"/>
        <v>19575</v>
      </c>
      <c r="T4621" s="1">
        <f t="shared" si="289"/>
        <v>2535.2200000000012</v>
      </c>
      <c r="U4621" s="1" t="str">
        <f t="shared" si="290"/>
        <v>Underpaid</v>
      </c>
      <c r="V4621" s="1" t="str">
        <f>_xlfn.XLOOKUP(C4621,Payers!$A$2:$A$9,Payers!$B$2:$B$9)</f>
        <v>Blue Horizon Commercial</v>
      </c>
      <c r="W4621" s="1" t="str">
        <f t="shared" si="291"/>
        <v>2026-01</v>
      </c>
    </row>
    <row r="4622" spans="1:23">
      <c r="A4622" s="1" t="s">
        <v>7241</v>
      </c>
      <c r="B4622" s="1" t="s">
        <v>2736</v>
      </c>
      <c r="C4622" s="1" t="s">
        <v>79</v>
      </c>
      <c r="D4622" s="1" t="s">
        <v>26</v>
      </c>
      <c r="E4622" s="1" t="s">
        <v>41</v>
      </c>
      <c r="F4622">
        <v>1</v>
      </c>
      <c r="G4622" s="2">
        <v>46230</v>
      </c>
      <c r="H4622" s="2">
        <v>46232</v>
      </c>
      <c r="I4622">
        <v>38.4</v>
      </c>
      <c r="M4622" s="1" t="s">
        <v>69</v>
      </c>
      <c r="N4622" s="1" t="s">
        <v>22</v>
      </c>
      <c r="O4622" s="2"/>
      <c r="P4622" s="2"/>
      <c r="Q4622">
        <f>_xlfn.XLOOKUP(E4622,CPT!$A$2:$A$13,CPT!$D$2:$D$13)</f>
        <v>38</v>
      </c>
      <c r="R4622" s="1">
        <f>_xlfn.XLOOKUP(C4622,Contract!$A$2:$A$9,Contract!$B$2:$B$9)</f>
        <v>1</v>
      </c>
      <c r="S4622" s="1">
        <f t="shared" si="288"/>
        <v>38</v>
      </c>
      <c r="T4622" s="1" t="str">
        <f t="shared" si="289"/>
        <v/>
      </c>
      <c r="U4622" s="1" t="str">
        <f t="shared" si="290"/>
        <v/>
      </c>
      <c r="V4622" s="1" t="str">
        <f>_xlfn.XLOOKUP(C4622,Payers!$A$2:$A$9,Payers!$B$2:$B$9)</f>
        <v>Self-Pay</v>
      </c>
      <c r="W4622" s="1" t="str">
        <f t="shared" si="291"/>
        <v>2026-07</v>
      </c>
    </row>
    <row r="4623" spans="1:23">
      <c r="A4623" s="1" t="s">
        <v>7242</v>
      </c>
      <c r="B4623" s="1" t="s">
        <v>1054</v>
      </c>
      <c r="C4623" s="1" t="s">
        <v>60</v>
      </c>
      <c r="D4623" s="1" t="s">
        <v>26</v>
      </c>
      <c r="E4623" s="1" t="s">
        <v>27</v>
      </c>
      <c r="F4623">
        <v>1</v>
      </c>
      <c r="G4623" s="2">
        <v>46155</v>
      </c>
      <c r="H4623" s="2">
        <v>46162</v>
      </c>
      <c r="I4623">
        <v>233.6</v>
      </c>
      <c r="J4623">
        <v>115.71</v>
      </c>
      <c r="K4623">
        <v>92.57</v>
      </c>
      <c r="L4623">
        <v>23.14</v>
      </c>
      <c r="M4623" s="1" t="s">
        <v>21</v>
      </c>
      <c r="N4623" s="1" t="s">
        <v>22</v>
      </c>
      <c r="O4623" s="2">
        <v>46185</v>
      </c>
      <c r="P4623" s="2">
        <v>46185</v>
      </c>
      <c r="Q4623">
        <f>_xlfn.XLOOKUP(E4623,CPT!$A$2:$A$13,CPT!$D$2:$D$13)</f>
        <v>240</v>
      </c>
      <c r="R4623" s="1">
        <f>_xlfn.XLOOKUP(C4623,Contract!$A$2:$A$9,Contract!$B$2:$B$9)</f>
        <v>0.45</v>
      </c>
      <c r="S4623" s="1">
        <f t="shared" si="288"/>
        <v>108</v>
      </c>
      <c r="T4623" s="1">
        <f t="shared" si="289"/>
        <v>-7.7099999999999937</v>
      </c>
      <c r="U4623" s="1" t="str">
        <f t="shared" si="290"/>
        <v>OK</v>
      </c>
      <c r="V4623" s="1" t="str">
        <f>_xlfn.XLOOKUP(C4623,Payers!$A$2:$A$9,Payers!$B$2:$B$9)</f>
        <v>Blue Horizon Commercial</v>
      </c>
      <c r="W4623" s="1" t="str">
        <f t="shared" si="291"/>
        <v>2026-05</v>
      </c>
    </row>
    <row r="4624" spans="1:23">
      <c r="A4624" s="1" t="s">
        <v>7243</v>
      </c>
      <c r="B4624" s="1" t="s">
        <v>2367</v>
      </c>
      <c r="C4624" s="1" t="s">
        <v>60</v>
      </c>
      <c r="D4624" s="1" t="s">
        <v>30</v>
      </c>
      <c r="E4624" s="1" t="s">
        <v>31</v>
      </c>
      <c r="F4624">
        <v>1</v>
      </c>
      <c r="G4624" s="2">
        <v>46210</v>
      </c>
      <c r="H4624" s="2">
        <v>46214</v>
      </c>
      <c r="I4624">
        <v>63.07</v>
      </c>
      <c r="J4624">
        <v>26.18</v>
      </c>
      <c r="K4624">
        <v>26.18</v>
      </c>
      <c r="L4624">
        <v>0</v>
      </c>
      <c r="M4624" s="1" t="s">
        <v>21</v>
      </c>
      <c r="N4624" s="1" t="s">
        <v>22</v>
      </c>
      <c r="O4624" s="2">
        <v>46239</v>
      </c>
      <c r="P4624" s="2">
        <v>46239</v>
      </c>
      <c r="Q4624">
        <f>_xlfn.XLOOKUP(E4624,CPT!$A$2:$A$13,CPT!$D$2:$D$13)</f>
        <v>62</v>
      </c>
      <c r="R4624" s="1">
        <f>_xlfn.XLOOKUP(C4624,Contract!$A$2:$A$9,Contract!$B$2:$B$9)</f>
        <v>0.45</v>
      </c>
      <c r="S4624" s="1">
        <f t="shared" si="288"/>
        <v>27.9</v>
      </c>
      <c r="T4624" s="1">
        <f t="shared" si="289"/>
        <v>1.7199999999999989</v>
      </c>
      <c r="U4624" s="1" t="str">
        <f t="shared" si="290"/>
        <v>Underpaid</v>
      </c>
      <c r="V4624" s="1" t="str">
        <f>_xlfn.XLOOKUP(C4624,Payers!$A$2:$A$9,Payers!$B$2:$B$9)</f>
        <v>Blue Horizon Commercial</v>
      </c>
      <c r="W4624" s="1" t="str">
        <f t="shared" si="291"/>
        <v>2026-07</v>
      </c>
    </row>
    <row r="4625" spans="1:23">
      <c r="A4625" s="1" t="s">
        <v>7244</v>
      </c>
      <c r="B4625" s="1" t="s">
        <v>2029</v>
      </c>
      <c r="C4625" s="1" t="s">
        <v>60</v>
      </c>
      <c r="D4625" s="1" t="s">
        <v>30</v>
      </c>
      <c r="E4625" s="1" t="s">
        <v>91</v>
      </c>
      <c r="F4625">
        <v>4</v>
      </c>
      <c r="G4625" s="2">
        <v>46118</v>
      </c>
      <c r="H4625" s="2">
        <v>46126</v>
      </c>
      <c r="I4625">
        <v>231.4</v>
      </c>
      <c r="J4625">
        <v>98.22</v>
      </c>
      <c r="K4625">
        <v>88.4</v>
      </c>
      <c r="L4625">
        <v>9.82</v>
      </c>
      <c r="M4625" s="1" t="s">
        <v>21</v>
      </c>
      <c r="N4625" s="1" t="s">
        <v>22</v>
      </c>
      <c r="O4625" s="2">
        <v>46140</v>
      </c>
      <c r="P4625" s="2">
        <v>46140</v>
      </c>
      <c r="Q4625">
        <f>_xlfn.XLOOKUP(E4625,CPT!$A$2:$A$13,CPT!$D$2:$D$13)</f>
        <v>58</v>
      </c>
      <c r="R4625" s="1">
        <f>_xlfn.XLOOKUP(C4625,Contract!$A$2:$A$9,Contract!$B$2:$B$9)</f>
        <v>0.45</v>
      </c>
      <c r="S4625" s="1">
        <f t="shared" si="288"/>
        <v>104.4</v>
      </c>
      <c r="T4625" s="1">
        <f t="shared" si="289"/>
        <v>6.1800000000000068</v>
      </c>
      <c r="U4625" s="1" t="str">
        <f t="shared" si="290"/>
        <v>Underpaid</v>
      </c>
      <c r="V4625" s="1" t="str">
        <f>_xlfn.XLOOKUP(C4625,Payers!$A$2:$A$9,Payers!$B$2:$B$9)</f>
        <v>Blue Horizon Commercial</v>
      </c>
      <c r="W4625" s="1" t="str">
        <f t="shared" si="291"/>
        <v>2026-04</v>
      </c>
    </row>
    <row r="4626" spans="1:23">
      <c r="A4626" s="1" t="s">
        <v>7245</v>
      </c>
      <c r="B4626" s="1" t="s">
        <v>7246</v>
      </c>
      <c r="C4626" s="1" t="s">
        <v>76</v>
      </c>
      <c r="D4626" s="1" t="s">
        <v>30</v>
      </c>
      <c r="E4626" s="1" t="s">
        <v>20</v>
      </c>
      <c r="F4626">
        <v>1</v>
      </c>
      <c r="G4626" s="2">
        <v>46279</v>
      </c>
      <c r="H4626" s="2">
        <v>46282</v>
      </c>
      <c r="I4626">
        <v>144.38</v>
      </c>
      <c r="M4626" s="1" t="s">
        <v>69</v>
      </c>
      <c r="N4626" s="1" t="s">
        <v>22</v>
      </c>
      <c r="O4626" s="2"/>
      <c r="P4626" s="2"/>
      <c r="Q4626">
        <f>_xlfn.XLOOKUP(E4626,CPT!$A$2:$A$13,CPT!$D$2:$D$13)</f>
        <v>145</v>
      </c>
      <c r="R4626" s="1">
        <f>_xlfn.XLOOKUP(C4626,Contract!$A$2:$A$9,Contract!$B$2:$B$9)</f>
        <v>0.43</v>
      </c>
      <c r="S4626" s="1">
        <f t="shared" si="288"/>
        <v>62.35</v>
      </c>
      <c r="T4626" s="1" t="str">
        <f t="shared" si="289"/>
        <v/>
      </c>
      <c r="U4626" s="1" t="str">
        <f t="shared" si="290"/>
        <v/>
      </c>
      <c r="V4626" s="1" t="str">
        <f>_xlfn.XLOOKUP(C4626,Payers!$A$2:$A$9,Payers!$B$2:$B$9)</f>
        <v>Summit Health Commercial</v>
      </c>
      <c r="W4626" s="1" t="str">
        <f t="shared" si="291"/>
        <v>2026-09</v>
      </c>
    </row>
    <row r="4627" spans="1:23">
      <c r="A4627" s="1" t="s">
        <v>7247</v>
      </c>
      <c r="B4627" s="1" t="s">
        <v>4391</v>
      </c>
      <c r="C4627" s="1" t="s">
        <v>60</v>
      </c>
      <c r="D4627" s="1" t="s">
        <v>26</v>
      </c>
      <c r="E4627" s="1" t="s">
        <v>113</v>
      </c>
      <c r="F4627">
        <v>1</v>
      </c>
      <c r="G4627" s="2">
        <v>46198</v>
      </c>
      <c r="H4627" s="2">
        <v>46199</v>
      </c>
      <c r="I4627">
        <v>1061.8900000000001</v>
      </c>
      <c r="J4627">
        <v>481.79</v>
      </c>
      <c r="K4627">
        <v>481.79</v>
      </c>
      <c r="L4627">
        <v>0</v>
      </c>
      <c r="M4627" s="1" t="s">
        <v>21</v>
      </c>
      <c r="N4627" s="1" t="s">
        <v>22</v>
      </c>
      <c r="O4627" s="2">
        <v>46229</v>
      </c>
      <c r="P4627" s="2">
        <v>46229</v>
      </c>
      <c r="Q4627">
        <f>_xlfn.XLOOKUP(E4627,CPT!$A$2:$A$13,CPT!$D$2:$D$13)</f>
        <v>1050</v>
      </c>
      <c r="R4627" s="1">
        <f>_xlfn.XLOOKUP(C4627,Contract!$A$2:$A$9,Contract!$B$2:$B$9)</f>
        <v>0.45</v>
      </c>
      <c r="S4627" s="1">
        <f t="shared" si="288"/>
        <v>472.5</v>
      </c>
      <c r="T4627" s="1">
        <f t="shared" si="289"/>
        <v>-9.2900000000000205</v>
      </c>
      <c r="U4627" s="1" t="str">
        <f t="shared" si="290"/>
        <v>OK</v>
      </c>
      <c r="V4627" s="1" t="str">
        <f>_xlfn.XLOOKUP(C4627,Payers!$A$2:$A$9,Payers!$B$2:$B$9)</f>
        <v>Blue Horizon Commercial</v>
      </c>
      <c r="W4627" s="1" t="str">
        <f t="shared" si="291"/>
        <v>2026-06</v>
      </c>
    </row>
    <row r="4628" spans="1:23">
      <c r="A4628" s="1" t="s">
        <v>7248</v>
      </c>
      <c r="B4628" s="1" t="s">
        <v>1982</v>
      </c>
      <c r="C4628" s="1" t="s">
        <v>52</v>
      </c>
      <c r="D4628" s="1" t="s">
        <v>19</v>
      </c>
      <c r="E4628" s="1" t="s">
        <v>41</v>
      </c>
      <c r="F4628">
        <v>1</v>
      </c>
      <c r="G4628" s="2">
        <v>46232</v>
      </c>
      <c r="H4628" s="2">
        <v>46239</v>
      </c>
      <c r="I4628">
        <v>38.700000000000003</v>
      </c>
      <c r="J4628">
        <v>16.48</v>
      </c>
      <c r="K4628">
        <v>14.83</v>
      </c>
      <c r="L4628">
        <v>1.65</v>
      </c>
      <c r="M4628" s="1" t="s">
        <v>21</v>
      </c>
      <c r="N4628" s="1" t="s">
        <v>22</v>
      </c>
      <c r="O4628" s="2">
        <v>46281</v>
      </c>
      <c r="P4628" s="2">
        <v>46281</v>
      </c>
      <c r="Q4628">
        <f>_xlfn.XLOOKUP(E4628,CPT!$A$2:$A$13,CPT!$D$2:$D$13)</f>
        <v>38</v>
      </c>
      <c r="R4628" s="1">
        <f>_xlfn.XLOOKUP(C4628,Contract!$A$2:$A$9,Contract!$B$2:$B$9)</f>
        <v>0.47</v>
      </c>
      <c r="S4628" s="1">
        <f t="shared" si="288"/>
        <v>17.86</v>
      </c>
      <c r="T4628" s="1">
        <f t="shared" si="289"/>
        <v>1.379999999999999</v>
      </c>
      <c r="U4628" s="1" t="str">
        <f t="shared" si="290"/>
        <v>Underpaid</v>
      </c>
      <c r="V4628" s="1" t="str">
        <f>_xlfn.XLOOKUP(C4628,Payers!$A$2:$A$9,Payers!$B$2:$B$9)</f>
        <v>Keystone Commercial PPO</v>
      </c>
      <c r="W4628" s="1" t="str">
        <f t="shared" si="291"/>
        <v>2026-07</v>
      </c>
    </row>
    <row r="4629" spans="1:23">
      <c r="A4629" s="1" t="s">
        <v>7249</v>
      </c>
      <c r="B4629" s="1" t="s">
        <v>1333</v>
      </c>
      <c r="C4629" s="1" t="s">
        <v>47</v>
      </c>
      <c r="D4629" s="1" t="s">
        <v>26</v>
      </c>
      <c r="E4629" s="1" t="s">
        <v>185</v>
      </c>
      <c r="F4629">
        <v>1</v>
      </c>
      <c r="G4629" s="2">
        <v>46241</v>
      </c>
      <c r="H4629" s="2">
        <v>46244</v>
      </c>
      <c r="I4629">
        <v>1170.57</v>
      </c>
      <c r="M4629" s="1" t="s">
        <v>32</v>
      </c>
      <c r="N4629" s="1" t="s">
        <v>315</v>
      </c>
      <c r="O4629" s="2">
        <v>46288</v>
      </c>
      <c r="P4629" s="2"/>
      <c r="Q4629">
        <f>_xlfn.XLOOKUP(E4629,CPT!$A$2:$A$13,CPT!$D$2:$D$13)</f>
        <v>1150</v>
      </c>
      <c r="R4629" s="1">
        <f>_xlfn.XLOOKUP(C4629,Contract!$A$2:$A$9,Contract!$B$2:$B$9)</f>
        <v>0.28000000000000003</v>
      </c>
      <c r="S4629" s="1">
        <f t="shared" si="288"/>
        <v>322</v>
      </c>
      <c r="T4629" s="1" t="str">
        <f t="shared" si="289"/>
        <v/>
      </c>
      <c r="U4629" s="1" t="str">
        <f t="shared" si="290"/>
        <v/>
      </c>
      <c r="V4629" s="1" t="str">
        <f>_xlfn.XLOOKUP(C4629,Payers!$A$2:$A$9,Payers!$B$2:$B$9)</f>
        <v>Coastal Medicaid MCO</v>
      </c>
      <c r="W4629" s="1" t="str">
        <f t="shared" si="291"/>
        <v>2026-08</v>
      </c>
    </row>
    <row r="4630" spans="1:23">
      <c r="A4630" s="1" t="s">
        <v>7250</v>
      </c>
      <c r="B4630" s="1" t="s">
        <v>1495</v>
      </c>
      <c r="C4630" s="1" t="s">
        <v>18</v>
      </c>
      <c r="D4630" s="1" t="s">
        <v>37</v>
      </c>
      <c r="E4630" s="1" t="s">
        <v>57</v>
      </c>
      <c r="F4630">
        <v>1</v>
      </c>
      <c r="G4630" s="2">
        <v>46195</v>
      </c>
      <c r="H4630" s="2">
        <v>46196</v>
      </c>
      <c r="I4630">
        <v>213.03</v>
      </c>
      <c r="M4630" s="1" t="s">
        <v>32</v>
      </c>
      <c r="N4630" s="1" t="s">
        <v>33</v>
      </c>
      <c r="O4630" s="2">
        <v>46260</v>
      </c>
      <c r="P4630" s="2"/>
      <c r="Q4630">
        <f>_xlfn.XLOOKUP(E4630,CPT!$A$2:$A$13,CPT!$D$2:$D$13)</f>
        <v>210</v>
      </c>
      <c r="R4630" s="1">
        <f>_xlfn.XLOOKUP(C4630,Contract!$A$2:$A$9,Contract!$B$2:$B$9)</f>
        <v>0.38</v>
      </c>
      <c r="S4630" s="1">
        <f t="shared" si="288"/>
        <v>79.8</v>
      </c>
      <c r="T4630" s="1" t="str">
        <f t="shared" si="289"/>
        <v/>
      </c>
      <c r="U4630" s="1" t="str">
        <f t="shared" si="290"/>
        <v/>
      </c>
      <c r="V4630" s="1" t="str">
        <f>_xlfn.XLOOKUP(C4630,Payers!$A$2:$A$9,Payers!$B$2:$B$9)</f>
        <v>Sunshine Medicare Advantage</v>
      </c>
      <c r="W4630" s="1" t="str">
        <f t="shared" si="291"/>
        <v>2026-06</v>
      </c>
    </row>
    <row r="4631" spans="1:23">
      <c r="A4631" s="1" t="s">
        <v>7251</v>
      </c>
      <c r="B4631" s="1" t="s">
        <v>7252</v>
      </c>
      <c r="C4631" s="1" t="s">
        <v>60</v>
      </c>
      <c r="D4631" s="1" t="s">
        <v>19</v>
      </c>
      <c r="E4631" s="1" t="s">
        <v>57</v>
      </c>
      <c r="F4631">
        <v>1</v>
      </c>
      <c r="G4631" s="2">
        <v>45994</v>
      </c>
      <c r="H4631" s="2">
        <v>45995</v>
      </c>
      <c r="I4631">
        <v>212.41</v>
      </c>
      <c r="J4631">
        <v>87.23</v>
      </c>
      <c r="K4631">
        <v>87.23</v>
      </c>
      <c r="L4631">
        <v>0</v>
      </c>
      <c r="M4631" s="1" t="s">
        <v>21</v>
      </c>
      <c r="N4631" s="1" t="s">
        <v>22</v>
      </c>
      <c r="O4631" s="2">
        <v>46031</v>
      </c>
      <c r="P4631" s="2">
        <v>46031</v>
      </c>
      <c r="Q4631">
        <f>_xlfn.XLOOKUP(E4631,CPT!$A$2:$A$13,CPT!$D$2:$D$13)</f>
        <v>210</v>
      </c>
      <c r="R4631" s="1">
        <f>_xlfn.XLOOKUP(C4631,Contract!$A$2:$A$9,Contract!$B$2:$B$9)</f>
        <v>0.45</v>
      </c>
      <c r="S4631" s="1">
        <f t="shared" si="288"/>
        <v>94.5</v>
      </c>
      <c r="T4631" s="1">
        <f t="shared" si="289"/>
        <v>7.269999999999996</v>
      </c>
      <c r="U4631" s="1" t="str">
        <f t="shared" si="290"/>
        <v>Underpaid</v>
      </c>
      <c r="V4631" s="1" t="str">
        <f>_xlfn.XLOOKUP(C4631,Payers!$A$2:$A$9,Payers!$B$2:$B$9)</f>
        <v>Blue Horizon Commercial</v>
      </c>
      <c r="W4631" s="1" t="str">
        <f t="shared" si="291"/>
        <v>2025-12</v>
      </c>
    </row>
    <row r="4632" spans="1:23">
      <c r="A4632" s="1" t="s">
        <v>7253</v>
      </c>
      <c r="B4632" s="1" t="s">
        <v>7254</v>
      </c>
      <c r="C4632" s="1" t="s">
        <v>60</v>
      </c>
      <c r="D4632" s="1" t="s">
        <v>19</v>
      </c>
      <c r="E4632" s="1" t="s">
        <v>88</v>
      </c>
      <c r="F4632">
        <v>1</v>
      </c>
      <c r="G4632" s="2">
        <v>46057</v>
      </c>
      <c r="H4632" s="2">
        <v>46064</v>
      </c>
      <c r="I4632">
        <v>259.83999999999997</v>
      </c>
      <c r="J4632">
        <v>118.9</v>
      </c>
      <c r="K4632">
        <v>118.9</v>
      </c>
      <c r="L4632">
        <v>0</v>
      </c>
      <c r="M4632" s="1" t="s">
        <v>21</v>
      </c>
      <c r="N4632" s="1" t="s">
        <v>22</v>
      </c>
      <c r="O4632" s="2">
        <v>46101</v>
      </c>
      <c r="P4632" s="2">
        <v>46101</v>
      </c>
      <c r="Q4632">
        <f>_xlfn.XLOOKUP(E4632,CPT!$A$2:$A$13,CPT!$D$2:$D$13)</f>
        <v>260</v>
      </c>
      <c r="R4632" s="1">
        <f>_xlfn.XLOOKUP(C4632,Contract!$A$2:$A$9,Contract!$B$2:$B$9)</f>
        <v>0.45</v>
      </c>
      <c r="S4632" s="1">
        <f t="shared" si="288"/>
        <v>117</v>
      </c>
      <c r="T4632" s="1">
        <f t="shared" si="289"/>
        <v>-1.9000000000000057</v>
      </c>
      <c r="U4632" s="1" t="str">
        <f t="shared" si="290"/>
        <v>OK</v>
      </c>
      <c r="V4632" s="1" t="str">
        <f>_xlfn.XLOOKUP(C4632,Payers!$A$2:$A$9,Payers!$B$2:$B$9)</f>
        <v>Blue Horizon Commercial</v>
      </c>
      <c r="W4632" s="1" t="str">
        <f t="shared" si="291"/>
        <v>2026-02</v>
      </c>
    </row>
    <row r="4633" spans="1:23">
      <c r="A4633" s="1" t="s">
        <v>7255</v>
      </c>
      <c r="B4633" s="1" t="s">
        <v>7256</v>
      </c>
      <c r="C4633" s="1" t="s">
        <v>47</v>
      </c>
      <c r="D4633" s="1" t="s">
        <v>30</v>
      </c>
      <c r="E4633" s="1" t="s">
        <v>31</v>
      </c>
      <c r="F4633">
        <v>1</v>
      </c>
      <c r="G4633" s="2">
        <v>46152</v>
      </c>
      <c r="H4633" s="2">
        <v>46153</v>
      </c>
      <c r="I4633">
        <v>62.88</v>
      </c>
      <c r="J4633">
        <v>15.02</v>
      </c>
      <c r="K4633">
        <v>15.02</v>
      </c>
      <c r="L4633">
        <v>0</v>
      </c>
      <c r="M4633" s="1" t="s">
        <v>21</v>
      </c>
      <c r="N4633" s="1" t="s">
        <v>22</v>
      </c>
      <c r="O4633" s="2">
        <v>46178</v>
      </c>
      <c r="P4633" s="2">
        <v>46178</v>
      </c>
      <c r="Q4633">
        <f>_xlfn.XLOOKUP(E4633,CPT!$A$2:$A$13,CPT!$D$2:$D$13)</f>
        <v>62</v>
      </c>
      <c r="R4633" s="1">
        <f>_xlfn.XLOOKUP(C4633,Contract!$A$2:$A$9,Contract!$B$2:$B$9)</f>
        <v>0.28000000000000003</v>
      </c>
      <c r="S4633" s="1">
        <f t="shared" si="288"/>
        <v>17.36</v>
      </c>
      <c r="T4633" s="1">
        <f t="shared" si="289"/>
        <v>2.34</v>
      </c>
      <c r="U4633" s="1" t="str">
        <f t="shared" si="290"/>
        <v>Underpaid</v>
      </c>
      <c r="V4633" s="1" t="str">
        <f>_xlfn.XLOOKUP(C4633,Payers!$A$2:$A$9,Payers!$B$2:$B$9)</f>
        <v>Coastal Medicaid MCO</v>
      </c>
      <c r="W4633" s="1" t="str">
        <f t="shared" si="291"/>
        <v>2026-05</v>
      </c>
    </row>
    <row r="4634" spans="1:23">
      <c r="A4634" s="1" t="s">
        <v>7257</v>
      </c>
      <c r="B4634" s="1" t="s">
        <v>3586</v>
      </c>
      <c r="C4634" s="1" t="s">
        <v>60</v>
      </c>
      <c r="D4634" s="1" t="s">
        <v>26</v>
      </c>
      <c r="E4634" s="1" t="s">
        <v>88</v>
      </c>
      <c r="F4634">
        <v>1</v>
      </c>
      <c r="G4634" s="2">
        <v>46167</v>
      </c>
      <c r="H4634" s="2">
        <v>46171</v>
      </c>
      <c r="I4634">
        <v>263.67</v>
      </c>
      <c r="J4634">
        <v>107.32</v>
      </c>
      <c r="K4634">
        <v>107.32</v>
      </c>
      <c r="L4634">
        <v>0</v>
      </c>
      <c r="M4634" s="1" t="s">
        <v>21</v>
      </c>
      <c r="N4634" s="1" t="s">
        <v>22</v>
      </c>
      <c r="O4634" s="2">
        <v>46196</v>
      </c>
      <c r="P4634" s="2">
        <v>46196</v>
      </c>
      <c r="Q4634">
        <f>_xlfn.XLOOKUP(E4634,CPT!$A$2:$A$13,CPT!$D$2:$D$13)</f>
        <v>260</v>
      </c>
      <c r="R4634" s="1">
        <f>_xlfn.XLOOKUP(C4634,Contract!$A$2:$A$9,Contract!$B$2:$B$9)</f>
        <v>0.45</v>
      </c>
      <c r="S4634" s="1">
        <f t="shared" si="288"/>
        <v>117</v>
      </c>
      <c r="T4634" s="1">
        <f t="shared" si="289"/>
        <v>9.6800000000000068</v>
      </c>
      <c r="U4634" s="1" t="str">
        <f t="shared" si="290"/>
        <v>Underpaid</v>
      </c>
      <c r="V4634" s="1" t="str">
        <f>_xlfn.XLOOKUP(C4634,Payers!$A$2:$A$9,Payers!$B$2:$B$9)</f>
        <v>Blue Horizon Commercial</v>
      </c>
      <c r="W4634" s="1" t="str">
        <f t="shared" si="291"/>
        <v>2026-05</v>
      </c>
    </row>
    <row r="4635" spans="1:23">
      <c r="A4635" s="1" t="s">
        <v>7258</v>
      </c>
      <c r="B4635" s="1" t="s">
        <v>1839</v>
      </c>
      <c r="C4635" s="1" t="s">
        <v>52</v>
      </c>
      <c r="D4635" s="1" t="s">
        <v>37</v>
      </c>
      <c r="E4635" s="1" t="s">
        <v>57</v>
      </c>
      <c r="F4635">
        <v>1</v>
      </c>
      <c r="G4635" s="2">
        <v>46067</v>
      </c>
      <c r="H4635" s="2">
        <v>46071</v>
      </c>
      <c r="I4635">
        <v>210.39</v>
      </c>
      <c r="J4635">
        <v>96.58</v>
      </c>
      <c r="K4635">
        <v>77.260000000000005</v>
      </c>
      <c r="L4635">
        <v>19.32</v>
      </c>
      <c r="M4635" s="1" t="s">
        <v>21</v>
      </c>
      <c r="N4635" s="1" t="s">
        <v>22</v>
      </c>
      <c r="O4635" s="2">
        <v>46112</v>
      </c>
      <c r="P4635" s="2">
        <v>46112</v>
      </c>
      <c r="Q4635">
        <f>_xlfn.XLOOKUP(E4635,CPT!$A$2:$A$13,CPT!$D$2:$D$13)</f>
        <v>210</v>
      </c>
      <c r="R4635" s="1">
        <f>_xlfn.XLOOKUP(C4635,Contract!$A$2:$A$9,Contract!$B$2:$B$9)</f>
        <v>0.47</v>
      </c>
      <c r="S4635" s="1">
        <f t="shared" si="288"/>
        <v>98.7</v>
      </c>
      <c r="T4635" s="1">
        <f t="shared" si="289"/>
        <v>2.1200000000000045</v>
      </c>
      <c r="U4635" s="1" t="str">
        <f t="shared" si="290"/>
        <v>OK</v>
      </c>
      <c r="V4635" s="1" t="str">
        <f>_xlfn.XLOOKUP(C4635,Payers!$A$2:$A$9,Payers!$B$2:$B$9)</f>
        <v>Keystone Commercial PPO</v>
      </c>
      <c r="W4635" s="1" t="str">
        <f t="shared" si="291"/>
        <v>2026-02</v>
      </c>
    </row>
    <row r="4636" spans="1:23">
      <c r="A4636" s="1" t="s">
        <v>7259</v>
      </c>
      <c r="B4636" s="1" t="s">
        <v>277</v>
      </c>
      <c r="C4636" s="1" t="s">
        <v>76</v>
      </c>
      <c r="D4636" s="1" t="s">
        <v>19</v>
      </c>
      <c r="E4636" s="1" t="s">
        <v>57</v>
      </c>
      <c r="F4636">
        <v>1</v>
      </c>
      <c r="G4636" s="2">
        <v>46158</v>
      </c>
      <c r="H4636" s="2">
        <v>46161</v>
      </c>
      <c r="I4636">
        <v>212.16</v>
      </c>
      <c r="M4636" s="1" t="s">
        <v>32</v>
      </c>
      <c r="N4636" s="1" t="s">
        <v>281</v>
      </c>
      <c r="O4636" s="2">
        <v>46196</v>
      </c>
      <c r="P4636" s="2"/>
      <c r="Q4636">
        <f>_xlfn.XLOOKUP(E4636,CPT!$A$2:$A$13,CPT!$D$2:$D$13)</f>
        <v>210</v>
      </c>
      <c r="R4636" s="1">
        <f>_xlfn.XLOOKUP(C4636,Contract!$A$2:$A$9,Contract!$B$2:$B$9)</f>
        <v>0.43</v>
      </c>
      <c r="S4636" s="1">
        <f t="shared" si="288"/>
        <v>90.3</v>
      </c>
      <c r="T4636" s="1" t="str">
        <f t="shared" si="289"/>
        <v/>
      </c>
      <c r="U4636" s="1" t="str">
        <f t="shared" si="290"/>
        <v/>
      </c>
      <c r="V4636" s="1" t="str">
        <f>_xlfn.XLOOKUP(C4636,Payers!$A$2:$A$9,Payers!$B$2:$B$9)</f>
        <v>Summit Health Commercial</v>
      </c>
      <c r="W4636" s="1" t="str">
        <f t="shared" si="291"/>
        <v>2026-05</v>
      </c>
    </row>
    <row r="4637" spans="1:23">
      <c r="A4637" s="1" t="s">
        <v>7260</v>
      </c>
      <c r="B4637" s="1" t="s">
        <v>7261</v>
      </c>
      <c r="C4637" s="1" t="s">
        <v>36</v>
      </c>
      <c r="D4637" s="1" t="s">
        <v>26</v>
      </c>
      <c r="E4637" s="1" t="s">
        <v>41</v>
      </c>
      <c r="F4637">
        <v>1</v>
      </c>
      <c r="G4637" s="2">
        <v>46283</v>
      </c>
      <c r="H4637" s="2">
        <v>46284</v>
      </c>
      <c r="I4637">
        <v>37.74</v>
      </c>
      <c r="M4637" s="1" t="s">
        <v>69</v>
      </c>
      <c r="N4637" s="1" t="s">
        <v>22</v>
      </c>
      <c r="O4637" s="2"/>
      <c r="P4637" s="2"/>
      <c r="Q4637">
        <f>_xlfn.XLOOKUP(E4637,CPT!$A$2:$A$13,CPT!$D$2:$D$13)</f>
        <v>38</v>
      </c>
      <c r="R4637" s="1">
        <f>_xlfn.XLOOKUP(C4637,Contract!$A$2:$A$9,Contract!$B$2:$B$9)</f>
        <v>0.27</v>
      </c>
      <c r="S4637" s="1">
        <f t="shared" si="288"/>
        <v>10.26</v>
      </c>
      <c r="T4637" s="1" t="str">
        <f t="shared" si="289"/>
        <v/>
      </c>
      <c r="U4637" s="1" t="str">
        <f t="shared" si="290"/>
        <v/>
      </c>
      <c r="V4637" s="1" t="str">
        <f>_xlfn.XLOOKUP(C4637,Payers!$A$2:$A$9,Payers!$B$2:$B$9)</f>
        <v>Florida Medicaid</v>
      </c>
      <c r="W4637" s="1" t="str">
        <f t="shared" si="291"/>
        <v>2026-09</v>
      </c>
    </row>
    <row r="4638" spans="1:23">
      <c r="A4638" s="1" t="s">
        <v>7262</v>
      </c>
      <c r="B4638" s="1" t="s">
        <v>1285</v>
      </c>
      <c r="C4638" s="1" t="s">
        <v>18</v>
      </c>
      <c r="D4638" s="1" t="s">
        <v>19</v>
      </c>
      <c r="E4638" s="1" t="s">
        <v>20</v>
      </c>
      <c r="F4638">
        <v>1</v>
      </c>
      <c r="G4638" s="2">
        <v>46066</v>
      </c>
      <c r="H4638" s="2">
        <v>46067</v>
      </c>
      <c r="I4638">
        <v>141.49</v>
      </c>
      <c r="J4638">
        <v>48.46</v>
      </c>
      <c r="K4638">
        <v>48.46</v>
      </c>
      <c r="L4638">
        <v>0</v>
      </c>
      <c r="M4638" s="1" t="s">
        <v>21</v>
      </c>
      <c r="N4638" s="1" t="s">
        <v>22</v>
      </c>
      <c r="O4638" s="2">
        <v>46091</v>
      </c>
      <c r="P4638" s="2">
        <v>46091</v>
      </c>
      <c r="Q4638">
        <f>_xlfn.XLOOKUP(E4638,CPT!$A$2:$A$13,CPT!$D$2:$D$13)</f>
        <v>145</v>
      </c>
      <c r="R4638" s="1">
        <f>_xlfn.XLOOKUP(C4638,Contract!$A$2:$A$9,Contract!$B$2:$B$9)</f>
        <v>0.38</v>
      </c>
      <c r="S4638" s="1">
        <f t="shared" si="288"/>
        <v>55.1</v>
      </c>
      <c r="T4638" s="1">
        <f t="shared" si="289"/>
        <v>6.6400000000000006</v>
      </c>
      <c r="U4638" s="1" t="str">
        <f t="shared" si="290"/>
        <v>Underpaid</v>
      </c>
      <c r="V4638" s="1" t="str">
        <f>_xlfn.XLOOKUP(C4638,Payers!$A$2:$A$9,Payers!$B$2:$B$9)</f>
        <v>Sunshine Medicare Advantage</v>
      </c>
      <c r="W4638" s="1" t="str">
        <f t="shared" si="291"/>
        <v>2026-02</v>
      </c>
    </row>
    <row r="4639" spans="1:23">
      <c r="A4639" s="1" t="s">
        <v>7263</v>
      </c>
      <c r="B4639" s="1" t="s">
        <v>7264</v>
      </c>
      <c r="C4639" s="1" t="s">
        <v>36</v>
      </c>
      <c r="D4639" s="1" t="s">
        <v>26</v>
      </c>
      <c r="E4639" s="1" t="s">
        <v>27</v>
      </c>
      <c r="F4639">
        <v>1</v>
      </c>
      <c r="G4639" s="2">
        <v>46172</v>
      </c>
      <c r="H4639" s="2">
        <v>46174</v>
      </c>
      <c r="I4639">
        <v>237.66</v>
      </c>
      <c r="J4639">
        <v>57.44</v>
      </c>
      <c r="K4639">
        <v>51.7</v>
      </c>
      <c r="L4639">
        <v>5.74</v>
      </c>
      <c r="M4639" s="1" t="s">
        <v>21</v>
      </c>
      <c r="N4639" s="1" t="s">
        <v>22</v>
      </c>
      <c r="O4639" s="2">
        <v>46221</v>
      </c>
      <c r="P4639" s="2">
        <v>46221</v>
      </c>
      <c r="Q4639">
        <f>_xlfn.XLOOKUP(E4639,CPT!$A$2:$A$13,CPT!$D$2:$D$13)</f>
        <v>240</v>
      </c>
      <c r="R4639" s="1">
        <f>_xlfn.XLOOKUP(C4639,Contract!$A$2:$A$9,Contract!$B$2:$B$9)</f>
        <v>0.27</v>
      </c>
      <c r="S4639" s="1">
        <f t="shared" si="288"/>
        <v>64.8</v>
      </c>
      <c r="T4639" s="1">
        <f t="shared" si="289"/>
        <v>7.3599999999999994</v>
      </c>
      <c r="U4639" s="1" t="str">
        <f t="shared" si="290"/>
        <v>Underpaid</v>
      </c>
      <c r="V4639" s="1" t="str">
        <f>_xlfn.XLOOKUP(C4639,Payers!$A$2:$A$9,Payers!$B$2:$B$9)</f>
        <v>Florida Medicaid</v>
      </c>
      <c r="W4639" s="1" t="str">
        <f t="shared" si="291"/>
        <v>2026-05</v>
      </c>
    </row>
    <row r="4640" spans="1:23">
      <c r="A4640" s="1" t="s">
        <v>7265</v>
      </c>
      <c r="B4640" s="1" t="s">
        <v>6775</v>
      </c>
      <c r="C4640" s="1" t="s">
        <v>25</v>
      </c>
      <c r="D4640" s="1" t="s">
        <v>30</v>
      </c>
      <c r="E4640" s="1" t="s">
        <v>31</v>
      </c>
      <c r="F4640">
        <v>3</v>
      </c>
      <c r="G4640" s="2">
        <v>46205</v>
      </c>
      <c r="H4640" s="2">
        <v>46215</v>
      </c>
      <c r="I4640">
        <v>187.78</v>
      </c>
      <c r="J4640">
        <v>72.14</v>
      </c>
      <c r="K4640">
        <v>72.14</v>
      </c>
      <c r="L4640">
        <v>0</v>
      </c>
      <c r="M4640" s="1" t="s">
        <v>21</v>
      </c>
      <c r="N4640" s="1" t="s">
        <v>22</v>
      </c>
      <c r="O4640" s="2">
        <v>46234</v>
      </c>
      <c r="P4640" s="2">
        <v>46234</v>
      </c>
      <c r="Q4640">
        <f>_xlfn.XLOOKUP(E4640,CPT!$A$2:$A$13,CPT!$D$2:$D$13)</f>
        <v>62</v>
      </c>
      <c r="R4640" s="1">
        <f>_xlfn.XLOOKUP(C4640,Contract!$A$2:$A$9,Contract!$B$2:$B$9)</f>
        <v>0.36</v>
      </c>
      <c r="S4640" s="1">
        <f t="shared" si="288"/>
        <v>66.959999999999994</v>
      </c>
      <c r="T4640" s="1">
        <f t="shared" si="289"/>
        <v>-5.1800000000000068</v>
      </c>
      <c r="U4640" s="1" t="str">
        <f t="shared" si="290"/>
        <v>OK</v>
      </c>
      <c r="V4640" s="1" t="str">
        <f>_xlfn.XLOOKUP(C4640,Payers!$A$2:$A$9,Payers!$B$2:$B$9)</f>
        <v>Medicare Part B</v>
      </c>
      <c r="W4640" s="1" t="str">
        <f t="shared" si="291"/>
        <v>2026-07</v>
      </c>
    </row>
    <row r="4641" spans="1:23">
      <c r="A4641" s="1" t="s">
        <v>7266</v>
      </c>
      <c r="B4641" s="1" t="s">
        <v>1067</v>
      </c>
      <c r="C4641" s="1" t="s">
        <v>60</v>
      </c>
      <c r="D4641" s="1" t="s">
        <v>26</v>
      </c>
      <c r="E4641" s="1" t="s">
        <v>113</v>
      </c>
      <c r="F4641">
        <v>1</v>
      </c>
      <c r="G4641" s="2">
        <v>46073</v>
      </c>
      <c r="H4641" s="2">
        <v>46074</v>
      </c>
      <c r="I4641">
        <v>1071.29</v>
      </c>
      <c r="J4641">
        <v>410.38</v>
      </c>
      <c r="K4641">
        <v>410.38</v>
      </c>
      <c r="L4641">
        <v>0</v>
      </c>
      <c r="M4641" s="1" t="s">
        <v>21</v>
      </c>
      <c r="N4641" s="1" t="s">
        <v>22</v>
      </c>
      <c r="O4641" s="2">
        <v>46099</v>
      </c>
      <c r="P4641" s="2">
        <v>46099</v>
      </c>
      <c r="Q4641">
        <f>_xlfn.XLOOKUP(E4641,CPT!$A$2:$A$13,CPT!$D$2:$D$13)</f>
        <v>1050</v>
      </c>
      <c r="R4641" s="1">
        <f>_xlfn.XLOOKUP(C4641,Contract!$A$2:$A$9,Contract!$B$2:$B$9)</f>
        <v>0.45</v>
      </c>
      <c r="S4641" s="1">
        <f t="shared" si="288"/>
        <v>472.5</v>
      </c>
      <c r="T4641" s="1">
        <f t="shared" si="289"/>
        <v>62.120000000000005</v>
      </c>
      <c r="U4641" s="1" t="str">
        <f t="shared" si="290"/>
        <v>Underpaid</v>
      </c>
      <c r="V4641" s="1" t="str">
        <f>_xlfn.XLOOKUP(C4641,Payers!$A$2:$A$9,Payers!$B$2:$B$9)</f>
        <v>Blue Horizon Commercial</v>
      </c>
      <c r="W4641" s="1" t="str">
        <f t="shared" si="291"/>
        <v>2026-02</v>
      </c>
    </row>
    <row r="4642" spans="1:23">
      <c r="A4642" s="1" t="s">
        <v>7267</v>
      </c>
      <c r="B4642" s="1" t="s">
        <v>3151</v>
      </c>
      <c r="C4642" s="1" t="s">
        <v>36</v>
      </c>
      <c r="D4642" s="1" t="s">
        <v>30</v>
      </c>
      <c r="E4642" s="1" t="s">
        <v>20</v>
      </c>
      <c r="F4642">
        <v>1</v>
      </c>
      <c r="G4642" s="2">
        <v>46089</v>
      </c>
      <c r="H4642" s="2">
        <v>46106</v>
      </c>
      <c r="I4642">
        <v>142.49</v>
      </c>
      <c r="J4642">
        <v>41.64</v>
      </c>
      <c r="K4642">
        <v>41.64</v>
      </c>
      <c r="L4642">
        <v>0</v>
      </c>
      <c r="M4642" s="1" t="s">
        <v>21</v>
      </c>
      <c r="N4642" s="1" t="s">
        <v>22</v>
      </c>
      <c r="O4642" s="2">
        <v>46168</v>
      </c>
      <c r="P4642" s="2">
        <v>46168</v>
      </c>
      <c r="Q4642">
        <f>_xlfn.XLOOKUP(E4642,CPT!$A$2:$A$13,CPT!$D$2:$D$13)</f>
        <v>145</v>
      </c>
      <c r="R4642" s="1">
        <f>_xlfn.XLOOKUP(C4642,Contract!$A$2:$A$9,Contract!$B$2:$B$9)</f>
        <v>0.27</v>
      </c>
      <c r="S4642" s="1">
        <f t="shared" si="288"/>
        <v>39.15</v>
      </c>
      <c r="T4642" s="1">
        <f t="shared" si="289"/>
        <v>-2.490000000000002</v>
      </c>
      <c r="U4642" s="1" t="str">
        <f t="shared" si="290"/>
        <v>OK</v>
      </c>
      <c r="V4642" s="1" t="str">
        <f>_xlfn.XLOOKUP(C4642,Payers!$A$2:$A$9,Payers!$B$2:$B$9)</f>
        <v>Florida Medicaid</v>
      </c>
      <c r="W4642" s="1" t="str">
        <f t="shared" si="291"/>
        <v>2026-03</v>
      </c>
    </row>
    <row r="4643" spans="1:23">
      <c r="A4643" s="1" t="s">
        <v>7268</v>
      </c>
      <c r="B4643" s="1" t="s">
        <v>536</v>
      </c>
      <c r="C4643" s="1" t="s">
        <v>52</v>
      </c>
      <c r="D4643" s="1" t="s">
        <v>19</v>
      </c>
      <c r="E4643" s="1" t="s">
        <v>88</v>
      </c>
      <c r="F4643">
        <v>1</v>
      </c>
      <c r="G4643" s="2">
        <v>46154</v>
      </c>
      <c r="H4643" s="2">
        <v>46155</v>
      </c>
      <c r="I4643">
        <v>262.92</v>
      </c>
      <c r="J4643">
        <v>121.91</v>
      </c>
      <c r="K4643">
        <v>121.91</v>
      </c>
      <c r="L4643">
        <v>0</v>
      </c>
      <c r="M4643" s="1" t="s">
        <v>21</v>
      </c>
      <c r="N4643" s="1" t="s">
        <v>22</v>
      </c>
      <c r="O4643" s="2">
        <v>46213</v>
      </c>
      <c r="P4643" s="2">
        <v>46213</v>
      </c>
      <c r="Q4643">
        <f>_xlfn.XLOOKUP(E4643,CPT!$A$2:$A$13,CPT!$D$2:$D$13)</f>
        <v>260</v>
      </c>
      <c r="R4643" s="1">
        <f>_xlfn.XLOOKUP(C4643,Contract!$A$2:$A$9,Contract!$B$2:$B$9)</f>
        <v>0.47</v>
      </c>
      <c r="S4643" s="1">
        <f t="shared" si="288"/>
        <v>122.2</v>
      </c>
      <c r="T4643" s="1">
        <f t="shared" si="289"/>
        <v>0.29000000000000625</v>
      </c>
      <c r="U4643" s="1" t="str">
        <f t="shared" si="290"/>
        <v>OK</v>
      </c>
      <c r="V4643" s="1" t="str">
        <f>_xlfn.XLOOKUP(C4643,Payers!$A$2:$A$9,Payers!$B$2:$B$9)</f>
        <v>Keystone Commercial PPO</v>
      </c>
      <c r="W4643" s="1" t="str">
        <f t="shared" si="291"/>
        <v>2026-05</v>
      </c>
    </row>
    <row r="4644" spans="1:23">
      <c r="A4644" s="1" t="s">
        <v>7269</v>
      </c>
      <c r="B4644" s="1" t="s">
        <v>2106</v>
      </c>
      <c r="C4644" s="1" t="s">
        <v>52</v>
      </c>
      <c r="D4644" s="1" t="s">
        <v>19</v>
      </c>
      <c r="E4644" s="1" t="s">
        <v>57</v>
      </c>
      <c r="F4644">
        <v>1</v>
      </c>
      <c r="G4644" s="2">
        <v>46047</v>
      </c>
      <c r="H4644" s="2">
        <v>46050</v>
      </c>
      <c r="I4644">
        <v>206.63</v>
      </c>
      <c r="J4644">
        <v>89.79</v>
      </c>
      <c r="K4644">
        <v>71.83</v>
      </c>
      <c r="L4644">
        <v>17.96</v>
      </c>
      <c r="M4644" s="1" t="s">
        <v>21</v>
      </c>
      <c r="N4644" s="1" t="s">
        <v>22</v>
      </c>
      <c r="O4644" s="2">
        <v>46090</v>
      </c>
      <c r="P4644" s="2">
        <v>46090</v>
      </c>
      <c r="Q4644">
        <f>_xlfn.XLOOKUP(E4644,CPT!$A$2:$A$13,CPT!$D$2:$D$13)</f>
        <v>210</v>
      </c>
      <c r="R4644" s="1">
        <f>_xlfn.XLOOKUP(C4644,Contract!$A$2:$A$9,Contract!$B$2:$B$9)</f>
        <v>0.47</v>
      </c>
      <c r="S4644" s="1">
        <f t="shared" si="288"/>
        <v>98.7</v>
      </c>
      <c r="T4644" s="1">
        <f t="shared" si="289"/>
        <v>8.9099999999999966</v>
      </c>
      <c r="U4644" s="1" t="str">
        <f t="shared" si="290"/>
        <v>Underpaid</v>
      </c>
      <c r="V4644" s="1" t="str">
        <f>_xlfn.XLOOKUP(C4644,Payers!$A$2:$A$9,Payers!$B$2:$B$9)</f>
        <v>Keystone Commercial PPO</v>
      </c>
      <c r="W4644" s="1" t="str">
        <f t="shared" si="291"/>
        <v>2026-01</v>
      </c>
    </row>
    <row r="4645" spans="1:23">
      <c r="A4645" s="1" t="s">
        <v>7270</v>
      </c>
      <c r="B4645" s="1" t="s">
        <v>904</v>
      </c>
      <c r="C4645" s="1" t="s">
        <v>79</v>
      </c>
      <c r="D4645" s="1" t="s">
        <v>19</v>
      </c>
      <c r="E4645" s="1" t="s">
        <v>57</v>
      </c>
      <c r="F4645">
        <v>1</v>
      </c>
      <c r="G4645" s="2">
        <v>46022</v>
      </c>
      <c r="H4645" s="2">
        <v>46038</v>
      </c>
      <c r="I4645">
        <v>214.22</v>
      </c>
      <c r="M4645" s="1" t="s">
        <v>69</v>
      </c>
      <c r="N4645" s="1" t="s">
        <v>22</v>
      </c>
      <c r="O4645" s="2"/>
      <c r="P4645" s="2"/>
      <c r="Q4645">
        <f>_xlfn.XLOOKUP(E4645,CPT!$A$2:$A$13,CPT!$D$2:$D$13)</f>
        <v>210</v>
      </c>
      <c r="R4645" s="1">
        <f>_xlfn.XLOOKUP(C4645,Contract!$A$2:$A$9,Contract!$B$2:$B$9)</f>
        <v>1</v>
      </c>
      <c r="S4645" s="1">
        <f t="shared" si="288"/>
        <v>210</v>
      </c>
      <c r="T4645" s="1" t="str">
        <f t="shared" si="289"/>
        <v/>
      </c>
      <c r="U4645" s="1" t="str">
        <f t="shared" si="290"/>
        <v/>
      </c>
      <c r="V4645" s="1" t="str">
        <f>_xlfn.XLOOKUP(C4645,Payers!$A$2:$A$9,Payers!$B$2:$B$9)</f>
        <v>Self-Pay</v>
      </c>
      <c r="W4645" s="1" t="str">
        <f t="shared" si="291"/>
        <v>2025-12</v>
      </c>
    </row>
    <row r="4646" spans="1:23">
      <c r="A4646" s="1" t="s">
        <v>7271</v>
      </c>
      <c r="B4646" s="1" t="s">
        <v>6714</v>
      </c>
      <c r="C4646" s="1" t="s">
        <v>76</v>
      </c>
      <c r="D4646" s="1" t="s">
        <v>26</v>
      </c>
      <c r="E4646" s="1" t="s">
        <v>27</v>
      </c>
      <c r="F4646">
        <v>1</v>
      </c>
      <c r="G4646" s="2">
        <v>46145</v>
      </c>
      <c r="H4646" s="2">
        <v>46148</v>
      </c>
      <c r="I4646">
        <v>234.26</v>
      </c>
      <c r="J4646">
        <v>90.43</v>
      </c>
      <c r="K4646">
        <v>90.43</v>
      </c>
      <c r="L4646">
        <v>0</v>
      </c>
      <c r="M4646" s="1" t="s">
        <v>21</v>
      </c>
      <c r="N4646" s="1" t="s">
        <v>22</v>
      </c>
      <c r="O4646" s="2">
        <v>46182</v>
      </c>
      <c r="P4646" s="2">
        <v>46182</v>
      </c>
      <c r="Q4646">
        <f>_xlfn.XLOOKUP(E4646,CPT!$A$2:$A$13,CPT!$D$2:$D$13)</f>
        <v>240</v>
      </c>
      <c r="R4646" s="1">
        <f>_xlfn.XLOOKUP(C4646,Contract!$A$2:$A$9,Contract!$B$2:$B$9)</f>
        <v>0.43</v>
      </c>
      <c r="S4646" s="1">
        <f t="shared" si="288"/>
        <v>103.2</v>
      </c>
      <c r="T4646" s="1">
        <f t="shared" si="289"/>
        <v>12.769999999999996</v>
      </c>
      <c r="U4646" s="1" t="str">
        <f t="shared" si="290"/>
        <v>Underpaid</v>
      </c>
      <c r="V4646" s="1" t="str">
        <f>_xlfn.XLOOKUP(C4646,Payers!$A$2:$A$9,Payers!$B$2:$B$9)</f>
        <v>Summit Health Commercial</v>
      </c>
      <c r="W4646" s="1" t="str">
        <f t="shared" si="291"/>
        <v>2026-05</v>
      </c>
    </row>
    <row r="4647" spans="1:23">
      <c r="A4647" s="1" t="s">
        <v>7272</v>
      </c>
      <c r="B4647" s="1" t="s">
        <v>2413</v>
      </c>
      <c r="C4647" s="1" t="s">
        <v>76</v>
      </c>
      <c r="D4647" s="1" t="s">
        <v>19</v>
      </c>
      <c r="E4647" s="1" t="s">
        <v>88</v>
      </c>
      <c r="F4647">
        <v>1</v>
      </c>
      <c r="G4647" s="2">
        <v>46145</v>
      </c>
      <c r="H4647" s="2">
        <v>46146</v>
      </c>
      <c r="I4647">
        <v>253.26</v>
      </c>
      <c r="J4647">
        <v>95.4</v>
      </c>
      <c r="K4647">
        <v>95.4</v>
      </c>
      <c r="L4647">
        <v>0</v>
      </c>
      <c r="M4647" s="1" t="s">
        <v>21</v>
      </c>
      <c r="N4647" s="1" t="s">
        <v>22</v>
      </c>
      <c r="O4647" s="2">
        <v>46167</v>
      </c>
      <c r="P4647" s="2">
        <v>46167</v>
      </c>
      <c r="Q4647">
        <f>_xlfn.XLOOKUP(E4647,CPT!$A$2:$A$13,CPT!$D$2:$D$13)</f>
        <v>260</v>
      </c>
      <c r="R4647" s="1">
        <f>_xlfn.XLOOKUP(C4647,Contract!$A$2:$A$9,Contract!$B$2:$B$9)</f>
        <v>0.43</v>
      </c>
      <c r="S4647" s="1">
        <f t="shared" si="288"/>
        <v>111.8</v>
      </c>
      <c r="T4647" s="1">
        <f t="shared" si="289"/>
        <v>16.399999999999991</v>
      </c>
      <c r="U4647" s="1" t="str">
        <f t="shared" si="290"/>
        <v>Underpaid</v>
      </c>
      <c r="V4647" s="1" t="str">
        <f>_xlfn.XLOOKUP(C4647,Payers!$A$2:$A$9,Payers!$B$2:$B$9)</f>
        <v>Summit Health Commercial</v>
      </c>
      <c r="W4647" s="1" t="str">
        <f t="shared" si="291"/>
        <v>2026-05</v>
      </c>
    </row>
    <row r="4648" spans="1:23">
      <c r="A4648" s="1" t="s">
        <v>7273</v>
      </c>
      <c r="B4648" s="1" t="s">
        <v>7274</v>
      </c>
      <c r="C4648" s="1" t="s">
        <v>76</v>
      </c>
      <c r="D4648" s="1" t="s">
        <v>37</v>
      </c>
      <c r="E4648" s="1" t="s">
        <v>48</v>
      </c>
      <c r="F4648">
        <v>1</v>
      </c>
      <c r="G4648" s="2">
        <v>46014</v>
      </c>
      <c r="H4648" s="2">
        <v>46019</v>
      </c>
      <c r="I4648">
        <v>415.43</v>
      </c>
      <c r="M4648" s="1" t="s">
        <v>32</v>
      </c>
      <c r="N4648" s="1" t="s">
        <v>315</v>
      </c>
      <c r="O4648" s="2">
        <v>46049</v>
      </c>
      <c r="P4648" s="2"/>
      <c r="Q4648">
        <f>_xlfn.XLOOKUP(E4648,CPT!$A$2:$A$13,CPT!$D$2:$D$13)</f>
        <v>420</v>
      </c>
      <c r="R4648" s="1">
        <f>_xlfn.XLOOKUP(C4648,Contract!$A$2:$A$9,Contract!$B$2:$B$9)</f>
        <v>0.43</v>
      </c>
      <c r="S4648" s="1">
        <f t="shared" si="288"/>
        <v>180.6</v>
      </c>
      <c r="T4648" s="1" t="str">
        <f t="shared" si="289"/>
        <v/>
      </c>
      <c r="U4648" s="1" t="str">
        <f t="shared" si="290"/>
        <v/>
      </c>
      <c r="V4648" s="1" t="str">
        <f>_xlfn.XLOOKUP(C4648,Payers!$A$2:$A$9,Payers!$B$2:$B$9)</f>
        <v>Summit Health Commercial</v>
      </c>
      <c r="W4648" s="1" t="str">
        <f t="shared" si="291"/>
        <v>2025-12</v>
      </c>
    </row>
    <row r="4649" spans="1:23">
      <c r="A4649" s="1" t="s">
        <v>7275</v>
      </c>
      <c r="B4649" s="1" t="s">
        <v>2373</v>
      </c>
      <c r="C4649" s="1" t="s">
        <v>60</v>
      </c>
      <c r="D4649" s="1" t="s">
        <v>19</v>
      </c>
      <c r="E4649" s="1" t="s">
        <v>20</v>
      </c>
      <c r="F4649">
        <v>1</v>
      </c>
      <c r="G4649" s="2">
        <v>45959</v>
      </c>
      <c r="H4649" s="2">
        <v>45961</v>
      </c>
      <c r="I4649">
        <v>147.31</v>
      </c>
      <c r="M4649" s="1" t="s">
        <v>32</v>
      </c>
      <c r="N4649" s="1" t="s">
        <v>124</v>
      </c>
      <c r="O4649" s="2">
        <v>45987</v>
      </c>
      <c r="P4649" s="2"/>
      <c r="Q4649">
        <f>_xlfn.XLOOKUP(E4649,CPT!$A$2:$A$13,CPT!$D$2:$D$13)</f>
        <v>145</v>
      </c>
      <c r="R4649" s="1">
        <f>_xlfn.XLOOKUP(C4649,Contract!$A$2:$A$9,Contract!$B$2:$B$9)</f>
        <v>0.45</v>
      </c>
      <c r="S4649" s="1">
        <f t="shared" si="288"/>
        <v>65.25</v>
      </c>
      <c r="T4649" s="1" t="str">
        <f t="shared" si="289"/>
        <v/>
      </c>
      <c r="U4649" s="1" t="str">
        <f t="shared" si="290"/>
        <v/>
      </c>
      <c r="V4649" s="1" t="str">
        <f>_xlfn.XLOOKUP(C4649,Payers!$A$2:$A$9,Payers!$B$2:$B$9)</f>
        <v>Blue Horizon Commercial</v>
      </c>
      <c r="W4649" s="1" t="str">
        <f t="shared" si="291"/>
        <v>2025-10</v>
      </c>
    </row>
    <row r="4650" spans="1:23">
      <c r="A4650" s="1" t="s">
        <v>7276</v>
      </c>
      <c r="B4650" s="1" t="s">
        <v>3253</v>
      </c>
      <c r="C4650" s="1" t="s">
        <v>47</v>
      </c>
      <c r="D4650" s="1" t="s">
        <v>19</v>
      </c>
      <c r="E4650" s="1" t="s">
        <v>41</v>
      </c>
      <c r="F4650">
        <v>1</v>
      </c>
      <c r="G4650" s="2">
        <v>46185</v>
      </c>
      <c r="H4650" s="2">
        <v>46186</v>
      </c>
      <c r="I4650">
        <v>37.71</v>
      </c>
      <c r="J4650">
        <v>11.73</v>
      </c>
      <c r="K4650">
        <v>10.56</v>
      </c>
      <c r="L4650">
        <v>1.17</v>
      </c>
      <c r="M4650" s="1" t="s">
        <v>21</v>
      </c>
      <c r="N4650" s="1" t="s">
        <v>22</v>
      </c>
      <c r="O4650" s="2">
        <v>46255</v>
      </c>
      <c r="P4650" s="2">
        <v>46255</v>
      </c>
      <c r="Q4650">
        <f>_xlfn.XLOOKUP(E4650,CPT!$A$2:$A$13,CPT!$D$2:$D$13)</f>
        <v>38</v>
      </c>
      <c r="R4650" s="1">
        <f>_xlfn.XLOOKUP(C4650,Contract!$A$2:$A$9,Contract!$B$2:$B$9)</f>
        <v>0.28000000000000003</v>
      </c>
      <c r="S4650" s="1">
        <f t="shared" si="288"/>
        <v>10.64</v>
      </c>
      <c r="T4650" s="1">
        <f t="shared" si="289"/>
        <v>-1.0899999999999999</v>
      </c>
      <c r="U4650" s="1" t="str">
        <f t="shared" si="290"/>
        <v>OK</v>
      </c>
      <c r="V4650" s="1" t="str">
        <f>_xlfn.XLOOKUP(C4650,Payers!$A$2:$A$9,Payers!$B$2:$B$9)</f>
        <v>Coastal Medicaid MCO</v>
      </c>
      <c r="W4650" s="1" t="str">
        <f t="shared" si="291"/>
        <v>2026-06</v>
      </c>
    </row>
    <row r="4651" spans="1:23">
      <c r="A4651" s="1" t="s">
        <v>7277</v>
      </c>
      <c r="B4651" s="1" t="s">
        <v>7278</v>
      </c>
      <c r="C4651" s="1" t="s">
        <v>25</v>
      </c>
      <c r="D4651" s="1" t="s">
        <v>19</v>
      </c>
      <c r="E4651" s="1" t="s">
        <v>57</v>
      </c>
      <c r="F4651">
        <v>1</v>
      </c>
      <c r="G4651" s="2">
        <v>45942</v>
      </c>
      <c r="H4651" s="2">
        <v>45945</v>
      </c>
      <c r="I4651">
        <v>207.74</v>
      </c>
      <c r="J4651">
        <v>68.430000000000007</v>
      </c>
      <c r="K4651">
        <v>54.74</v>
      </c>
      <c r="L4651">
        <v>13.69</v>
      </c>
      <c r="M4651" s="1" t="s">
        <v>21</v>
      </c>
      <c r="N4651" s="1" t="s">
        <v>22</v>
      </c>
      <c r="O4651" s="2">
        <v>45963</v>
      </c>
      <c r="P4651" s="2">
        <v>45963</v>
      </c>
      <c r="Q4651">
        <f>_xlfn.XLOOKUP(E4651,CPT!$A$2:$A$13,CPT!$D$2:$D$13)</f>
        <v>210</v>
      </c>
      <c r="R4651" s="1">
        <f>_xlfn.XLOOKUP(C4651,Contract!$A$2:$A$9,Contract!$B$2:$B$9)</f>
        <v>0.36</v>
      </c>
      <c r="S4651" s="1">
        <f t="shared" si="288"/>
        <v>75.599999999999994</v>
      </c>
      <c r="T4651" s="1">
        <f t="shared" si="289"/>
        <v>7.1699999999999875</v>
      </c>
      <c r="U4651" s="1" t="str">
        <f t="shared" si="290"/>
        <v>Underpaid</v>
      </c>
      <c r="V4651" s="1" t="str">
        <f>_xlfn.XLOOKUP(C4651,Payers!$A$2:$A$9,Payers!$B$2:$B$9)</f>
        <v>Medicare Part B</v>
      </c>
      <c r="W4651" s="1" t="str">
        <f t="shared" si="291"/>
        <v>2025-10</v>
      </c>
    </row>
    <row r="4652" spans="1:23">
      <c r="A4652" s="1" t="s">
        <v>7279</v>
      </c>
      <c r="B4652" s="1" t="s">
        <v>7280</v>
      </c>
      <c r="C4652" s="1" t="s">
        <v>79</v>
      </c>
      <c r="D4652" s="1" t="s">
        <v>19</v>
      </c>
      <c r="E4652" s="1" t="s">
        <v>20</v>
      </c>
      <c r="F4652">
        <v>1</v>
      </c>
      <c r="G4652" s="2">
        <v>46271</v>
      </c>
      <c r="H4652" s="2">
        <v>46272</v>
      </c>
      <c r="I4652">
        <v>144.62</v>
      </c>
      <c r="M4652" s="1" t="s">
        <v>69</v>
      </c>
      <c r="N4652" s="1" t="s">
        <v>22</v>
      </c>
      <c r="O4652" s="2"/>
      <c r="P4652" s="2"/>
      <c r="Q4652">
        <f>_xlfn.XLOOKUP(E4652,CPT!$A$2:$A$13,CPT!$D$2:$D$13)</f>
        <v>145</v>
      </c>
      <c r="R4652" s="1">
        <f>_xlfn.XLOOKUP(C4652,Contract!$A$2:$A$9,Contract!$B$2:$B$9)</f>
        <v>1</v>
      </c>
      <c r="S4652" s="1">
        <f t="shared" si="288"/>
        <v>145</v>
      </c>
      <c r="T4652" s="1" t="str">
        <f t="shared" si="289"/>
        <v/>
      </c>
      <c r="U4652" s="1" t="str">
        <f t="shared" si="290"/>
        <v/>
      </c>
      <c r="V4652" s="1" t="str">
        <f>_xlfn.XLOOKUP(C4652,Payers!$A$2:$A$9,Payers!$B$2:$B$9)</f>
        <v>Self-Pay</v>
      </c>
      <c r="W4652" s="1" t="str">
        <f t="shared" si="291"/>
        <v>2026-09</v>
      </c>
    </row>
    <row r="4653" spans="1:23">
      <c r="A4653" s="1" t="s">
        <v>7281</v>
      </c>
      <c r="B4653" s="1" t="s">
        <v>7282</v>
      </c>
      <c r="C4653" s="1" t="s">
        <v>36</v>
      </c>
      <c r="D4653" s="1" t="s">
        <v>30</v>
      </c>
      <c r="E4653" s="1" t="s">
        <v>31</v>
      </c>
      <c r="F4653">
        <v>1</v>
      </c>
      <c r="G4653" s="2">
        <v>46003</v>
      </c>
      <c r="H4653" s="2">
        <v>46012</v>
      </c>
      <c r="I4653">
        <v>62.55</v>
      </c>
      <c r="J4653">
        <v>16.84</v>
      </c>
      <c r="K4653">
        <v>15.16</v>
      </c>
      <c r="L4653">
        <v>1.68</v>
      </c>
      <c r="M4653" s="1" t="s">
        <v>21</v>
      </c>
      <c r="N4653" s="1" t="s">
        <v>22</v>
      </c>
      <c r="O4653" s="2">
        <v>46067</v>
      </c>
      <c r="P4653" s="2">
        <v>46067</v>
      </c>
      <c r="Q4653">
        <f>_xlfn.XLOOKUP(E4653,CPT!$A$2:$A$13,CPT!$D$2:$D$13)</f>
        <v>62</v>
      </c>
      <c r="R4653" s="1">
        <f>_xlfn.XLOOKUP(C4653,Contract!$A$2:$A$9,Contract!$B$2:$B$9)</f>
        <v>0.27</v>
      </c>
      <c r="S4653" s="1">
        <f t="shared" si="288"/>
        <v>16.739999999999998</v>
      </c>
      <c r="T4653" s="1">
        <f t="shared" si="289"/>
        <v>-0.10000000000000142</v>
      </c>
      <c r="U4653" s="1" t="str">
        <f t="shared" si="290"/>
        <v>OK</v>
      </c>
      <c r="V4653" s="1" t="str">
        <f>_xlfn.XLOOKUP(C4653,Payers!$A$2:$A$9,Payers!$B$2:$B$9)</f>
        <v>Florida Medicaid</v>
      </c>
      <c r="W4653" s="1" t="str">
        <f t="shared" si="291"/>
        <v>2025-12</v>
      </c>
    </row>
    <row r="4654" spans="1:23">
      <c r="A4654" s="1" t="s">
        <v>7283</v>
      </c>
      <c r="B4654" s="1" t="s">
        <v>7284</v>
      </c>
      <c r="C4654" s="1" t="s">
        <v>60</v>
      </c>
      <c r="D4654" s="1" t="s">
        <v>19</v>
      </c>
      <c r="E4654" s="1" t="s">
        <v>88</v>
      </c>
      <c r="F4654">
        <v>1</v>
      </c>
      <c r="G4654" s="2">
        <v>46026</v>
      </c>
      <c r="H4654" s="2">
        <v>46040</v>
      </c>
      <c r="I4654">
        <v>256.52999999999997</v>
      </c>
      <c r="J4654">
        <v>107.64</v>
      </c>
      <c r="K4654">
        <v>107.64</v>
      </c>
      <c r="L4654">
        <v>0</v>
      </c>
      <c r="M4654" s="1" t="s">
        <v>21</v>
      </c>
      <c r="N4654" s="1" t="s">
        <v>22</v>
      </c>
      <c r="O4654" s="2">
        <v>46047</v>
      </c>
      <c r="P4654" s="2">
        <v>46047</v>
      </c>
      <c r="Q4654">
        <f>_xlfn.XLOOKUP(E4654,CPT!$A$2:$A$13,CPT!$D$2:$D$13)</f>
        <v>260</v>
      </c>
      <c r="R4654" s="1">
        <f>_xlfn.XLOOKUP(C4654,Contract!$A$2:$A$9,Contract!$B$2:$B$9)</f>
        <v>0.45</v>
      </c>
      <c r="S4654" s="1">
        <f t="shared" si="288"/>
        <v>117</v>
      </c>
      <c r="T4654" s="1">
        <f t="shared" si="289"/>
        <v>9.36</v>
      </c>
      <c r="U4654" s="1" t="str">
        <f t="shared" si="290"/>
        <v>Underpaid</v>
      </c>
      <c r="V4654" s="1" t="str">
        <f>_xlfn.XLOOKUP(C4654,Payers!$A$2:$A$9,Payers!$B$2:$B$9)</f>
        <v>Blue Horizon Commercial</v>
      </c>
      <c r="W4654" s="1" t="str">
        <f t="shared" si="291"/>
        <v>2026-01</v>
      </c>
    </row>
    <row r="4655" spans="1:23">
      <c r="A4655" s="1" t="s">
        <v>7285</v>
      </c>
      <c r="B4655" s="1" t="s">
        <v>7286</v>
      </c>
      <c r="C4655" s="1" t="s">
        <v>47</v>
      </c>
      <c r="D4655" s="1" t="s">
        <v>19</v>
      </c>
      <c r="E4655" s="1" t="s">
        <v>41</v>
      </c>
      <c r="F4655">
        <v>1</v>
      </c>
      <c r="G4655" s="2">
        <v>46077</v>
      </c>
      <c r="H4655" s="2">
        <v>46079</v>
      </c>
      <c r="I4655">
        <v>37.86</v>
      </c>
      <c r="M4655" s="1" t="s">
        <v>32</v>
      </c>
      <c r="N4655" s="1" t="s">
        <v>168</v>
      </c>
      <c r="O4655" s="2">
        <v>46164</v>
      </c>
      <c r="P4655" s="2"/>
      <c r="Q4655">
        <f>_xlfn.XLOOKUP(E4655,CPT!$A$2:$A$13,CPT!$D$2:$D$13)</f>
        <v>38</v>
      </c>
      <c r="R4655" s="1">
        <f>_xlfn.XLOOKUP(C4655,Contract!$A$2:$A$9,Contract!$B$2:$B$9)</f>
        <v>0.28000000000000003</v>
      </c>
      <c r="S4655" s="1">
        <f t="shared" si="288"/>
        <v>10.64</v>
      </c>
      <c r="T4655" s="1" t="str">
        <f t="shared" si="289"/>
        <v/>
      </c>
      <c r="U4655" s="1" t="str">
        <f t="shared" si="290"/>
        <v/>
      </c>
      <c r="V4655" s="1" t="str">
        <f>_xlfn.XLOOKUP(C4655,Payers!$A$2:$A$9,Payers!$B$2:$B$9)</f>
        <v>Coastal Medicaid MCO</v>
      </c>
      <c r="W4655" s="1" t="str">
        <f t="shared" si="291"/>
        <v>2026-02</v>
      </c>
    </row>
    <row r="4656" spans="1:23">
      <c r="A4656" s="1" t="s">
        <v>7287</v>
      </c>
      <c r="B4656" s="1" t="s">
        <v>612</v>
      </c>
      <c r="C4656" s="1" t="s">
        <v>76</v>
      </c>
      <c r="D4656" s="1" t="s">
        <v>19</v>
      </c>
      <c r="E4656" s="1" t="s">
        <v>57</v>
      </c>
      <c r="F4656">
        <v>1</v>
      </c>
      <c r="G4656" s="2">
        <v>46160</v>
      </c>
      <c r="H4656" s="2">
        <v>46162</v>
      </c>
      <c r="I4656">
        <v>210.85</v>
      </c>
      <c r="J4656">
        <v>79.69</v>
      </c>
      <c r="K4656">
        <v>71.72</v>
      </c>
      <c r="L4656">
        <v>7.97</v>
      </c>
      <c r="M4656" s="1" t="s">
        <v>21</v>
      </c>
      <c r="N4656" s="1" t="s">
        <v>22</v>
      </c>
      <c r="O4656" s="2">
        <v>46185</v>
      </c>
      <c r="P4656" s="2">
        <v>46185</v>
      </c>
      <c r="Q4656">
        <f>_xlfn.XLOOKUP(E4656,CPT!$A$2:$A$13,CPT!$D$2:$D$13)</f>
        <v>210</v>
      </c>
      <c r="R4656" s="1">
        <f>_xlfn.XLOOKUP(C4656,Contract!$A$2:$A$9,Contract!$B$2:$B$9)</f>
        <v>0.43</v>
      </c>
      <c r="S4656" s="1">
        <f t="shared" si="288"/>
        <v>90.3</v>
      </c>
      <c r="T4656" s="1">
        <f t="shared" si="289"/>
        <v>10.61</v>
      </c>
      <c r="U4656" s="1" t="str">
        <f t="shared" si="290"/>
        <v>Underpaid</v>
      </c>
      <c r="V4656" s="1" t="str">
        <f>_xlfn.XLOOKUP(C4656,Payers!$A$2:$A$9,Payers!$B$2:$B$9)</f>
        <v>Summit Health Commercial</v>
      </c>
      <c r="W4656" s="1" t="str">
        <f t="shared" si="291"/>
        <v>2026-05</v>
      </c>
    </row>
    <row r="4657" spans="1:23">
      <c r="A4657" s="1" t="s">
        <v>7288</v>
      </c>
      <c r="B4657" s="1" t="s">
        <v>7289</v>
      </c>
      <c r="C4657" s="1" t="s">
        <v>60</v>
      </c>
      <c r="D4657" s="1" t="s">
        <v>19</v>
      </c>
      <c r="E4657" s="1" t="s">
        <v>57</v>
      </c>
      <c r="F4657">
        <v>1</v>
      </c>
      <c r="G4657" s="2">
        <v>46197</v>
      </c>
      <c r="H4657" s="2">
        <v>46206</v>
      </c>
      <c r="I4657">
        <v>209.88</v>
      </c>
      <c r="J4657">
        <v>82.3</v>
      </c>
      <c r="K4657">
        <v>65.84</v>
      </c>
      <c r="L4657">
        <v>16.46</v>
      </c>
      <c r="M4657" s="1" t="s">
        <v>21</v>
      </c>
      <c r="N4657" s="1" t="s">
        <v>22</v>
      </c>
      <c r="O4657" s="2">
        <v>46223</v>
      </c>
      <c r="P4657" s="2">
        <v>46223</v>
      </c>
      <c r="Q4657">
        <f>_xlfn.XLOOKUP(E4657,CPT!$A$2:$A$13,CPT!$D$2:$D$13)</f>
        <v>210</v>
      </c>
      <c r="R4657" s="1">
        <f>_xlfn.XLOOKUP(C4657,Contract!$A$2:$A$9,Contract!$B$2:$B$9)</f>
        <v>0.45</v>
      </c>
      <c r="S4657" s="1">
        <f t="shared" si="288"/>
        <v>94.5</v>
      </c>
      <c r="T4657" s="1">
        <f t="shared" si="289"/>
        <v>12.200000000000003</v>
      </c>
      <c r="U4657" s="1" t="str">
        <f t="shared" si="290"/>
        <v>Underpaid</v>
      </c>
      <c r="V4657" s="1" t="str">
        <f>_xlfn.XLOOKUP(C4657,Payers!$A$2:$A$9,Payers!$B$2:$B$9)</f>
        <v>Blue Horizon Commercial</v>
      </c>
      <c r="W4657" s="1" t="str">
        <f t="shared" si="291"/>
        <v>2026-06</v>
      </c>
    </row>
    <row r="4658" spans="1:23">
      <c r="A4658" s="1" t="s">
        <v>7290</v>
      </c>
      <c r="B4658" s="1" t="s">
        <v>2044</v>
      </c>
      <c r="C4658" s="1" t="s">
        <v>76</v>
      </c>
      <c r="D4658" s="1" t="s">
        <v>19</v>
      </c>
      <c r="E4658" s="1" t="s">
        <v>57</v>
      </c>
      <c r="F4658">
        <v>1</v>
      </c>
      <c r="G4658" s="2">
        <v>46252</v>
      </c>
      <c r="H4658" s="2">
        <v>46254</v>
      </c>
      <c r="I4658">
        <v>204.56</v>
      </c>
      <c r="J4658">
        <v>91.94</v>
      </c>
      <c r="K4658">
        <v>73.55</v>
      </c>
      <c r="L4658">
        <v>18.39</v>
      </c>
      <c r="M4658" s="1" t="s">
        <v>21</v>
      </c>
      <c r="N4658" s="1" t="s">
        <v>22</v>
      </c>
      <c r="O4658" s="2">
        <v>46276</v>
      </c>
      <c r="P4658" s="2">
        <v>46276</v>
      </c>
      <c r="Q4658">
        <f>_xlfn.XLOOKUP(E4658,CPT!$A$2:$A$13,CPT!$D$2:$D$13)</f>
        <v>210</v>
      </c>
      <c r="R4658" s="1">
        <f>_xlfn.XLOOKUP(C4658,Contract!$A$2:$A$9,Contract!$B$2:$B$9)</f>
        <v>0.43</v>
      </c>
      <c r="S4658" s="1">
        <f t="shared" si="288"/>
        <v>90.3</v>
      </c>
      <c r="T4658" s="1">
        <f t="shared" si="289"/>
        <v>-1.6400000000000006</v>
      </c>
      <c r="U4658" s="1" t="str">
        <f t="shared" si="290"/>
        <v>OK</v>
      </c>
      <c r="V4658" s="1" t="str">
        <f>_xlfn.XLOOKUP(C4658,Payers!$A$2:$A$9,Payers!$B$2:$B$9)</f>
        <v>Summit Health Commercial</v>
      </c>
      <c r="W4658" s="1" t="str">
        <f t="shared" si="291"/>
        <v>2026-08</v>
      </c>
    </row>
    <row r="4659" spans="1:23">
      <c r="A4659" s="1" t="s">
        <v>7291</v>
      </c>
      <c r="B4659" s="1" t="s">
        <v>78</v>
      </c>
      <c r="C4659" s="1" t="s">
        <v>25</v>
      </c>
      <c r="D4659" s="1" t="s">
        <v>26</v>
      </c>
      <c r="E4659" s="1" t="s">
        <v>113</v>
      </c>
      <c r="F4659">
        <v>1</v>
      </c>
      <c r="G4659" s="2">
        <v>45970</v>
      </c>
      <c r="H4659" s="2">
        <v>45995</v>
      </c>
      <c r="I4659">
        <v>1078.5999999999999</v>
      </c>
      <c r="J4659">
        <v>391.18</v>
      </c>
      <c r="K4659">
        <v>312.94</v>
      </c>
      <c r="L4659">
        <v>78.239999999999995</v>
      </c>
      <c r="M4659" s="1" t="s">
        <v>21</v>
      </c>
      <c r="N4659" s="1" t="s">
        <v>22</v>
      </c>
      <c r="O4659" s="2">
        <v>46015</v>
      </c>
      <c r="P4659" s="2">
        <v>46015</v>
      </c>
      <c r="Q4659">
        <f>_xlfn.XLOOKUP(E4659,CPT!$A$2:$A$13,CPT!$D$2:$D$13)</f>
        <v>1050</v>
      </c>
      <c r="R4659" s="1">
        <f>_xlfn.XLOOKUP(C4659,Contract!$A$2:$A$9,Contract!$B$2:$B$9)</f>
        <v>0.36</v>
      </c>
      <c r="S4659" s="1">
        <f t="shared" si="288"/>
        <v>378</v>
      </c>
      <c r="T4659" s="1">
        <f t="shared" si="289"/>
        <v>-13.180000000000007</v>
      </c>
      <c r="U4659" s="1" t="str">
        <f t="shared" si="290"/>
        <v>OK</v>
      </c>
      <c r="V4659" s="1" t="str">
        <f>_xlfn.XLOOKUP(C4659,Payers!$A$2:$A$9,Payers!$B$2:$B$9)</f>
        <v>Medicare Part B</v>
      </c>
      <c r="W4659" s="1" t="str">
        <f t="shared" si="291"/>
        <v>2025-11</v>
      </c>
    </row>
    <row r="4660" spans="1:23">
      <c r="A4660" s="1" t="s">
        <v>7292</v>
      </c>
      <c r="B4660" s="1" t="s">
        <v>4437</v>
      </c>
      <c r="C4660" s="1" t="s">
        <v>52</v>
      </c>
      <c r="D4660" s="1" t="s">
        <v>37</v>
      </c>
      <c r="E4660" s="1" t="s">
        <v>38</v>
      </c>
      <c r="F4660">
        <v>30</v>
      </c>
      <c r="G4660" s="2">
        <v>46222</v>
      </c>
      <c r="H4660" s="2">
        <v>46231</v>
      </c>
      <c r="I4660">
        <v>44723.13</v>
      </c>
      <c r="J4660">
        <v>21167.94</v>
      </c>
      <c r="K4660">
        <v>19051.150000000001</v>
      </c>
      <c r="L4660">
        <v>2116.79</v>
      </c>
      <c r="M4660" s="1" t="s">
        <v>21</v>
      </c>
      <c r="N4660" s="1" t="s">
        <v>22</v>
      </c>
      <c r="O4660" s="2">
        <v>46262</v>
      </c>
      <c r="P4660" s="2">
        <v>46262</v>
      </c>
      <c r="Q4660">
        <f>_xlfn.XLOOKUP(E4660,CPT!$A$2:$A$13,CPT!$D$2:$D$13)</f>
        <v>1450</v>
      </c>
      <c r="R4660" s="1">
        <f>_xlfn.XLOOKUP(C4660,Contract!$A$2:$A$9,Contract!$B$2:$B$9)</f>
        <v>0.47</v>
      </c>
      <c r="S4660" s="1">
        <f t="shared" si="288"/>
        <v>20445</v>
      </c>
      <c r="T4660" s="1">
        <f t="shared" si="289"/>
        <v>-722.93999999999869</v>
      </c>
      <c r="U4660" s="1" t="str">
        <f t="shared" si="290"/>
        <v>OK</v>
      </c>
      <c r="V4660" s="1" t="str">
        <f>_xlfn.XLOOKUP(C4660,Payers!$A$2:$A$9,Payers!$B$2:$B$9)</f>
        <v>Keystone Commercial PPO</v>
      </c>
      <c r="W4660" s="1" t="str">
        <f t="shared" si="291"/>
        <v>2026-07</v>
      </c>
    </row>
    <row r="4661" spans="1:23">
      <c r="A4661" s="1" t="s">
        <v>7293</v>
      </c>
      <c r="B4661" s="1" t="s">
        <v>1796</v>
      </c>
      <c r="C4661" s="1" t="s">
        <v>60</v>
      </c>
      <c r="D4661" s="1" t="s">
        <v>30</v>
      </c>
      <c r="E4661" s="1" t="s">
        <v>91</v>
      </c>
      <c r="F4661">
        <v>2</v>
      </c>
      <c r="G4661" s="2">
        <v>45966</v>
      </c>
      <c r="H4661" s="2">
        <v>45972</v>
      </c>
      <c r="I4661">
        <v>113.98</v>
      </c>
      <c r="J4661">
        <v>49.77</v>
      </c>
      <c r="K4661">
        <v>44.79</v>
      </c>
      <c r="L4661">
        <v>4.9800000000000004</v>
      </c>
      <c r="M4661" s="1" t="s">
        <v>21</v>
      </c>
      <c r="N4661" s="1" t="s">
        <v>22</v>
      </c>
      <c r="O4661" s="2">
        <v>45998</v>
      </c>
      <c r="P4661" s="2">
        <v>45998</v>
      </c>
      <c r="Q4661">
        <f>_xlfn.XLOOKUP(E4661,CPT!$A$2:$A$13,CPT!$D$2:$D$13)</f>
        <v>58</v>
      </c>
      <c r="R4661" s="1">
        <f>_xlfn.XLOOKUP(C4661,Contract!$A$2:$A$9,Contract!$B$2:$B$9)</f>
        <v>0.45</v>
      </c>
      <c r="S4661" s="1">
        <f t="shared" si="288"/>
        <v>52.2</v>
      </c>
      <c r="T4661" s="1">
        <f t="shared" si="289"/>
        <v>2.4299999999999997</v>
      </c>
      <c r="U4661" s="1" t="str">
        <f t="shared" si="290"/>
        <v>OK</v>
      </c>
      <c r="V4661" s="1" t="str">
        <f>_xlfn.XLOOKUP(C4661,Payers!$A$2:$A$9,Payers!$B$2:$B$9)</f>
        <v>Blue Horizon Commercial</v>
      </c>
      <c r="W4661" s="1" t="str">
        <f t="shared" si="291"/>
        <v>2025-11</v>
      </c>
    </row>
    <row r="4662" spans="1:23">
      <c r="A4662" s="1" t="s">
        <v>7294</v>
      </c>
      <c r="B4662" s="1" t="s">
        <v>7295</v>
      </c>
      <c r="C4662" s="1" t="s">
        <v>60</v>
      </c>
      <c r="D4662" s="1" t="s">
        <v>26</v>
      </c>
      <c r="E4662" s="1" t="s">
        <v>57</v>
      </c>
      <c r="F4662">
        <v>1</v>
      </c>
      <c r="G4662" s="2">
        <v>45963</v>
      </c>
      <c r="H4662" s="2">
        <v>45964</v>
      </c>
      <c r="I4662">
        <v>207.39</v>
      </c>
      <c r="J4662">
        <v>99.49</v>
      </c>
      <c r="K4662">
        <v>79.59</v>
      </c>
      <c r="L4662">
        <v>19.899999999999999</v>
      </c>
      <c r="M4662" s="1" t="s">
        <v>21</v>
      </c>
      <c r="N4662" s="1" t="s">
        <v>22</v>
      </c>
      <c r="O4662" s="2">
        <v>46000</v>
      </c>
      <c r="P4662" s="2">
        <v>46000</v>
      </c>
      <c r="Q4662">
        <f>_xlfn.XLOOKUP(E4662,CPT!$A$2:$A$13,CPT!$D$2:$D$13)</f>
        <v>210</v>
      </c>
      <c r="R4662" s="1">
        <f>_xlfn.XLOOKUP(C4662,Contract!$A$2:$A$9,Contract!$B$2:$B$9)</f>
        <v>0.45</v>
      </c>
      <c r="S4662" s="1">
        <f t="shared" si="288"/>
        <v>94.5</v>
      </c>
      <c r="T4662" s="1">
        <f t="shared" si="289"/>
        <v>-4.9899999999999949</v>
      </c>
      <c r="U4662" s="1" t="str">
        <f t="shared" si="290"/>
        <v>OK</v>
      </c>
      <c r="V4662" s="1" t="str">
        <f>_xlfn.XLOOKUP(C4662,Payers!$A$2:$A$9,Payers!$B$2:$B$9)</f>
        <v>Blue Horizon Commercial</v>
      </c>
      <c r="W4662" s="1" t="str">
        <f t="shared" si="291"/>
        <v>2025-11</v>
      </c>
    </row>
    <row r="4663" spans="1:23">
      <c r="A4663" s="1" t="s">
        <v>7296</v>
      </c>
      <c r="B4663" s="1" t="s">
        <v>5204</v>
      </c>
      <c r="C4663" s="1" t="s">
        <v>36</v>
      </c>
      <c r="D4663" s="1" t="s">
        <v>26</v>
      </c>
      <c r="E4663" s="1" t="s">
        <v>41</v>
      </c>
      <c r="F4663">
        <v>1</v>
      </c>
      <c r="G4663" s="2">
        <v>46151</v>
      </c>
      <c r="H4663" s="2">
        <v>46154</v>
      </c>
      <c r="I4663">
        <v>38.369999999999997</v>
      </c>
      <c r="J4663">
        <v>11.72</v>
      </c>
      <c r="K4663">
        <v>10.55</v>
      </c>
      <c r="L4663">
        <v>1.17</v>
      </c>
      <c r="M4663" s="1" t="s">
        <v>21</v>
      </c>
      <c r="N4663" s="1" t="s">
        <v>22</v>
      </c>
      <c r="O4663" s="2">
        <v>46205</v>
      </c>
      <c r="P4663" s="2">
        <v>46205</v>
      </c>
      <c r="Q4663">
        <f>_xlfn.XLOOKUP(E4663,CPT!$A$2:$A$13,CPT!$D$2:$D$13)</f>
        <v>38</v>
      </c>
      <c r="R4663" s="1">
        <f>_xlfn.XLOOKUP(C4663,Contract!$A$2:$A$9,Contract!$B$2:$B$9)</f>
        <v>0.27</v>
      </c>
      <c r="S4663" s="1">
        <f t="shared" si="288"/>
        <v>10.26</v>
      </c>
      <c r="T4663" s="1">
        <f t="shared" si="289"/>
        <v>-1.4600000000000009</v>
      </c>
      <c r="U4663" s="1" t="str">
        <f t="shared" si="290"/>
        <v>OK</v>
      </c>
      <c r="V4663" s="1" t="str">
        <f>_xlfn.XLOOKUP(C4663,Payers!$A$2:$A$9,Payers!$B$2:$B$9)</f>
        <v>Florida Medicaid</v>
      </c>
      <c r="W4663" s="1" t="str">
        <f t="shared" si="291"/>
        <v>2026-05</v>
      </c>
    </row>
    <row r="4664" spans="1:23">
      <c r="A4664" s="1" t="s">
        <v>7297</v>
      </c>
      <c r="B4664" s="1" t="s">
        <v>3649</v>
      </c>
      <c r="C4664" s="1" t="s">
        <v>36</v>
      </c>
      <c r="D4664" s="1" t="s">
        <v>30</v>
      </c>
      <c r="E4664" s="1" t="s">
        <v>31</v>
      </c>
      <c r="F4664">
        <v>2</v>
      </c>
      <c r="G4664" s="2">
        <v>45983</v>
      </c>
      <c r="H4664" s="2">
        <v>45989</v>
      </c>
      <c r="I4664">
        <v>120.38</v>
      </c>
      <c r="J4664">
        <v>31.64</v>
      </c>
      <c r="K4664">
        <v>28.48</v>
      </c>
      <c r="L4664">
        <v>3.16</v>
      </c>
      <c r="M4664" s="1" t="s">
        <v>21</v>
      </c>
      <c r="N4664" s="1" t="s">
        <v>22</v>
      </c>
      <c r="O4664" s="2">
        <v>46067</v>
      </c>
      <c r="P4664" s="2">
        <v>46067</v>
      </c>
      <c r="Q4664">
        <f>_xlfn.XLOOKUP(E4664,CPT!$A$2:$A$13,CPT!$D$2:$D$13)</f>
        <v>62</v>
      </c>
      <c r="R4664" s="1">
        <f>_xlfn.XLOOKUP(C4664,Contract!$A$2:$A$9,Contract!$B$2:$B$9)</f>
        <v>0.27</v>
      </c>
      <c r="S4664" s="1">
        <f t="shared" si="288"/>
        <v>33.479999999999997</v>
      </c>
      <c r="T4664" s="1">
        <f t="shared" si="289"/>
        <v>1.8399999999999963</v>
      </c>
      <c r="U4664" s="1" t="str">
        <f t="shared" si="290"/>
        <v>Underpaid</v>
      </c>
      <c r="V4664" s="1" t="str">
        <f>_xlfn.XLOOKUP(C4664,Payers!$A$2:$A$9,Payers!$B$2:$B$9)</f>
        <v>Florida Medicaid</v>
      </c>
      <c r="W4664" s="1" t="str">
        <f t="shared" si="291"/>
        <v>2025-11</v>
      </c>
    </row>
    <row r="4665" spans="1:23">
      <c r="A4665" s="1" t="s">
        <v>7298</v>
      </c>
      <c r="B4665" s="1" t="s">
        <v>875</v>
      </c>
      <c r="C4665" s="1" t="s">
        <v>60</v>
      </c>
      <c r="D4665" s="1" t="s">
        <v>37</v>
      </c>
      <c r="E4665" s="1" t="s">
        <v>38</v>
      </c>
      <c r="F4665">
        <v>5</v>
      </c>
      <c r="G4665" s="2">
        <v>46088</v>
      </c>
      <c r="H4665" s="2">
        <v>46090</v>
      </c>
      <c r="I4665">
        <v>7353.51</v>
      </c>
      <c r="J4665">
        <v>3721.45</v>
      </c>
      <c r="K4665">
        <v>3349.31</v>
      </c>
      <c r="L4665">
        <v>372.14</v>
      </c>
      <c r="M4665" s="1" t="s">
        <v>21</v>
      </c>
      <c r="N4665" s="1" t="s">
        <v>22</v>
      </c>
      <c r="O4665" s="2">
        <v>46124</v>
      </c>
      <c r="P4665" s="2">
        <v>46124</v>
      </c>
      <c r="Q4665">
        <f>_xlfn.XLOOKUP(E4665,CPT!$A$2:$A$13,CPT!$D$2:$D$13)</f>
        <v>1450</v>
      </c>
      <c r="R4665" s="1">
        <f>_xlfn.XLOOKUP(C4665,Contract!$A$2:$A$9,Contract!$B$2:$B$9)</f>
        <v>0.45</v>
      </c>
      <c r="S4665" s="1">
        <f t="shared" si="288"/>
        <v>3262.5</v>
      </c>
      <c r="T4665" s="1">
        <f t="shared" si="289"/>
        <v>-458.94999999999982</v>
      </c>
      <c r="U4665" s="1" t="str">
        <f t="shared" si="290"/>
        <v>OK</v>
      </c>
      <c r="V4665" s="1" t="str">
        <f>_xlfn.XLOOKUP(C4665,Payers!$A$2:$A$9,Payers!$B$2:$B$9)</f>
        <v>Blue Horizon Commercial</v>
      </c>
      <c r="W4665" s="1" t="str">
        <f t="shared" si="291"/>
        <v>2026-03</v>
      </c>
    </row>
    <row r="4666" spans="1:23">
      <c r="A4666" s="1" t="s">
        <v>7299</v>
      </c>
      <c r="B4666" s="1" t="s">
        <v>3690</v>
      </c>
      <c r="C4666" s="1" t="s">
        <v>25</v>
      </c>
      <c r="D4666" s="1" t="s">
        <v>37</v>
      </c>
      <c r="E4666" s="1" t="s">
        <v>57</v>
      </c>
      <c r="F4666">
        <v>1</v>
      </c>
      <c r="G4666" s="2">
        <v>46179</v>
      </c>
      <c r="H4666" s="2">
        <v>46193</v>
      </c>
      <c r="I4666">
        <v>210.77</v>
      </c>
      <c r="J4666">
        <v>68.69</v>
      </c>
      <c r="K4666">
        <v>68.69</v>
      </c>
      <c r="L4666">
        <v>0</v>
      </c>
      <c r="M4666" s="1" t="s">
        <v>21</v>
      </c>
      <c r="N4666" s="1" t="s">
        <v>22</v>
      </c>
      <c r="O4666" s="2">
        <v>46208</v>
      </c>
      <c r="P4666" s="2">
        <v>46208</v>
      </c>
      <c r="Q4666">
        <f>_xlfn.XLOOKUP(E4666,CPT!$A$2:$A$13,CPT!$D$2:$D$13)</f>
        <v>210</v>
      </c>
      <c r="R4666" s="1">
        <f>_xlfn.XLOOKUP(C4666,Contract!$A$2:$A$9,Contract!$B$2:$B$9)</f>
        <v>0.36</v>
      </c>
      <c r="S4666" s="1">
        <f t="shared" si="288"/>
        <v>75.599999999999994</v>
      </c>
      <c r="T4666" s="1">
        <f t="shared" si="289"/>
        <v>6.9099999999999966</v>
      </c>
      <c r="U4666" s="1" t="str">
        <f t="shared" si="290"/>
        <v>Underpaid</v>
      </c>
      <c r="V4666" s="1" t="str">
        <f>_xlfn.XLOOKUP(C4666,Payers!$A$2:$A$9,Payers!$B$2:$B$9)</f>
        <v>Medicare Part B</v>
      </c>
      <c r="W4666" s="1" t="str">
        <f t="shared" si="291"/>
        <v>2026-06</v>
      </c>
    </row>
    <row r="4667" spans="1:23">
      <c r="A4667" s="1" t="s">
        <v>7300</v>
      </c>
      <c r="B4667" s="1" t="s">
        <v>1847</v>
      </c>
      <c r="C4667" s="1" t="s">
        <v>60</v>
      </c>
      <c r="D4667" s="1" t="s">
        <v>26</v>
      </c>
      <c r="E4667" s="1" t="s">
        <v>44</v>
      </c>
      <c r="F4667">
        <v>1</v>
      </c>
      <c r="G4667" s="2">
        <v>46168</v>
      </c>
      <c r="H4667" s="2">
        <v>46169</v>
      </c>
      <c r="I4667">
        <v>4862.38</v>
      </c>
      <c r="J4667">
        <v>2188.4</v>
      </c>
      <c r="K4667">
        <v>2188.4</v>
      </c>
      <c r="L4667">
        <v>0</v>
      </c>
      <c r="M4667" s="1" t="s">
        <v>21</v>
      </c>
      <c r="N4667" s="1" t="s">
        <v>22</v>
      </c>
      <c r="O4667" s="2">
        <v>46204</v>
      </c>
      <c r="P4667" s="2">
        <v>46204</v>
      </c>
      <c r="Q4667">
        <f>_xlfn.XLOOKUP(E4667,CPT!$A$2:$A$13,CPT!$D$2:$D$13)</f>
        <v>4800</v>
      </c>
      <c r="R4667" s="1">
        <f>_xlfn.XLOOKUP(C4667,Contract!$A$2:$A$9,Contract!$B$2:$B$9)</f>
        <v>0.45</v>
      </c>
      <c r="S4667" s="1">
        <f t="shared" si="288"/>
        <v>2160</v>
      </c>
      <c r="T4667" s="1">
        <f t="shared" si="289"/>
        <v>-28.400000000000091</v>
      </c>
      <c r="U4667" s="1" t="str">
        <f t="shared" si="290"/>
        <v>OK</v>
      </c>
      <c r="V4667" s="1" t="str">
        <f>_xlfn.XLOOKUP(C4667,Payers!$A$2:$A$9,Payers!$B$2:$B$9)</f>
        <v>Blue Horizon Commercial</v>
      </c>
      <c r="W4667" s="1" t="str">
        <f t="shared" si="291"/>
        <v>2026-05</v>
      </c>
    </row>
    <row r="4668" spans="1:23">
      <c r="A4668" s="1" t="s">
        <v>7301</v>
      </c>
      <c r="B4668" s="1" t="s">
        <v>5637</v>
      </c>
      <c r="C4668" s="1" t="s">
        <v>25</v>
      </c>
      <c r="D4668" s="1" t="s">
        <v>26</v>
      </c>
      <c r="E4668" s="1" t="s">
        <v>185</v>
      </c>
      <c r="F4668">
        <v>1</v>
      </c>
      <c r="G4668" s="2">
        <v>45957</v>
      </c>
      <c r="H4668" s="2">
        <v>45963</v>
      </c>
      <c r="I4668">
        <v>1117.7</v>
      </c>
      <c r="J4668">
        <v>395.22</v>
      </c>
      <c r="K4668">
        <v>355.7</v>
      </c>
      <c r="L4668">
        <v>39.520000000000003</v>
      </c>
      <c r="M4668" s="1" t="s">
        <v>21</v>
      </c>
      <c r="N4668" s="1" t="s">
        <v>22</v>
      </c>
      <c r="O4668" s="2">
        <v>45977</v>
      </c>
      <c r="P4668" s="2">
        <v>45977</v>
      </c>
      <c r="Q4668">
        <f>_xlfn.XLOOKUP(E4668,CPT!$A$2:$A$13,CPT!$D$2:$D$13)</f>
        <v>1150</v>
      </c>
      <c r="R4668" s="1">
        <f>_xlfn.XLOOKUP(C4668,Contract!$A$2:$A$9,Contract!$B$2:$B$9)</f>
        <v>0.36</v>
      </c>
      <c r="S4668" s="1">
        <f t="shared" si="288"/>
        <v>414</v>
      </c>
      <c r="T4668" s="1">
        <f t="shared" si="289"/>
        <v>18.779999999999973</v>
      </c>
      <c r="U4668" s="1" t="str">
        <f t="shared" si="290"/>
        <v>OK</v>
      </c>
      <c r="V4668" s="1" t="str">
        <f>_xlfn.XLOOKUP(C4668,Payers!$A$2:$A$9,Payers!$B$2:$B$9)</f>
        <v>Medicare Part B</v>
      </c>
      <c r="W4668" s="1" t="str">
        <f t="shared" si="291"/>
        <v>2025-10</v>
      </c>
    </row>
    <row r="4669" spans="1:23">
      <c r="A4669" s="1" t="s">
        <v>7302</v>
      </c>
      <c r="B4669" s="1" t="s">
        <v>7303</v>
      </c>
      <c r="C4669" s="1" t="s">
        <v>76</v>
      </c>
      <c r="D4669" s="1" t="s">
        <v>19</v>
      </c>
      <c r="E4669" s="1" t="s">
        <v>41</v>
      </c>
      <c r="F4669">
        <v>1</v>
      </c>
      <c r="G4669" s="2">
        <v>46282</v>
      </c>
      <c r="H4669" s="2">
        <v>46283</v>
      </c>
      <c r="I4669">
        <v>38.33</v>
      </c>
      <c r="M4669" s="1" t="s">
        <v>69</v>
      </c>
      <c r="N4669" s="1" t="s">
        <v>22</v>
      </c>
      <c r="O4669" s="2"/>
      <c r="P4669" s="2"/>
      <c r="Q4669">
        <f>_xlfn.XLOOKUP(E4669,CPT!$A$2:$A$13,CPT!$D$2:$D$13)</f>
        <v>38</v>
      </c>
      <c r="R4669" s="1">
        <f>_xlfn.XLOOKUP(C4669,Contract!$A$2:$A$9,Contract!$B$2:$B$9)</f>
        <v>0.43</v>
      </c>
      <c r="S4669" s="1">
        <f t="shared" si="288"/>
        <v>16.34</v>
      </c>
      <c r="T4669" s="1" t="str">
        <f t="shared" si="289"/>
        <v/>
      </c>
      <c r="U4669" s="1" t="str">
        <f t="shared" si="290"/>
        <v/>
      </c>
      <c r="V4669" s="1" t="str">
        <f>_xlfn.XLOOKUP(C4669,Payers!$A$2:$A$9,Payers!$B$2:$B$9)</f>
        <v>Summit Health Commercial</v>
      </c>
      <c r="W4669" s="1" t="str">
        <f t="shared" si="291"/>
        <v>2026-09</v>
      </c>
    </row>
    <row r="4670" spans="1:23">
      <c r="A4670" s="1" t="s">
        <v>7304</v>
      </c>
      <c r="B4670" s="1" t="s">
        <v>6922</v>
      </c>
      <c r="C4670" s="1" t="s">
        <v>18</v>
      </c>
      <c r="D4670" s="1" t="s">
        <v>26</v>
      </c>
      <c r="E4670" s="1" t="s">
        <v>41</v>
      </c>
      <c r="F4670">
        <v>1</v>
      </c>
      <c r="G4670" s="2">
        <v>45964</v>
      </c>
      <c r="H4670" s="2">
        <v>45971</v>
      </c>
      <c r="I4670">
        <v>38.11</v>
      </c>
      <c r="J4670">
        <v>14.08</v>
      </c>
      <c r="K4670">
        <v>14.08</v>
      </c>
      <c r="L4670">
        <v>0</v>
      </c>
      <c r="M4670" s="1" t="s">
        <v>21</v>
      </c>
      <c r="N4670" s="1" t="s">
        <v>22</v>
      </c>
      <c r="O4670" s="2">
        <v>46041</v>
      </c>
      <c r="P4670" s="2">
        <v>46041</v>
      </c>
      <c r="Q4670">
        <f>_xlfn.XLOOKUP(E4670,CPT!$A$2:$A$13,CPT!$D$2:$D$13)</f>
        <v>38</v>
      </c>
      <c r="R4670" s="1">
        <f>_xlfn.XLOOKUP(C4670,Contract!$A$2:$A$9,Contract!$B$2:$B$9)</f>
        <v>0.38</v>
      </c>
      <c r="S4670" s="1">
        <f t="shared" si="288"/>
        <v>14.44</v>
      </c>
      <c r="T4670" s="1">
        <f t="shared" si="289"/>
        <v>0.35999999999999943</v>
      </c>
      <c r="U4670" s="1" t="str">
        <f t="shared" si="290"/>
        <v>OK</v>
      </c>
      <c r="V4670" s="1" t="str">
        <f>_xlfn.XLOOKUP(C4670,Payers!$A$2:$A$9,Payers!$B$2:$B$9)</f>
        <v>Sunshine Medicare Advantage</v>
      </c>
      <c r="W4670" s="1" t="str">
        <f t="shared" si="291"/>
        <v>2025-11</v>
      </c>
    </row>
    <row r="4671" spans="1:23">
      <c r="A4671" s="1" t="s">
        <v>7305</v>
      </c>
      <c r="B4671" s="1" t="s">
        <v>914</v>
      </c>
      <c r="C4671" s="1" t="s">
        <v>25</v>
      </c>
      <c r="D4671" s="1" t="s">
        <v>19</v>
      </c>
      <c r="E4671" s="1" t="s">
        <v>20</v>
      </c>
      <c r="F4671">
        <v>1</v>
      </c>
      <c r="G4671" s="2">
        <v>46130</v>
      </c>
      <c r="H4671" s="2">
        <v>46137</v>
      </c>
      <c r="I4671">
        <v>145.87</v>
      </c>
      <c r="J4671">
        <v>46.6</v>
      </c>
      <c r="K4671">
        <v>37.28</v>
      </c>
      <c r="L4671">
        <v>9.32</v>
      </c>
      <c r="M4671" s="1" t="s">
        <v>21</v>
      </c>
      <c r="N4671" s="1" t="s">
        <v>22</v>
      </c>
      <c r="O4671" s="2">
        <v>46142</v>
      </c>
      <c r="P4671" s="2">
        <v>46142</v>
      </c>
      <c r="Q4671">
        <f>_xlfn.XLOOKUP(E4671,CPT!$A$2:$A$13,CPT!$D$2:$D$13)</f>
        <v>145</v>
      </c>
      <c r="R4671" s="1">
        <f>_xlfn.XLOOKUP(C4671,Contract!$A$2:$A$9,Contract!$B$2:$B$9)</f>
        <v>0.36</v>
      </c>
      <c r="S4671" s="1">
        <f t="shared" si="288"/>
        <v>52.2</v>
      </c>
      <c r="T4671" s="1">
        <f t="shared" si="289"/>
        <v>5.6000000000000014</v>
      </c>
      <c r="U4671" s="1" t="str">
        <f t="shared" si="290"/>
        <v>Underpaid</v>
      </c>
      <c r="V4671" s="1" t="str">
        <f>_xlfn.XLOOKUP(C4671,Payers!$A$2:$A$9,Payers!$B$2:$B$9)</f>
        <v>Medicare Part B</v>
      </c>
      <c r="W4671" s="1" t="str">
        <f t="shared" si="291"/>
        <v>2026-04</v>
      </c>
    </row>
    <row r="4672" spans="1:23">
      <c r="A4672" s="1" t="s">
        <v>7306</v>
      </c>
      <c r="B4672" s="1" t="s">
        <v>1065</v>
      </c>
      <c r="C4672" s="1" t="s">
        <v>52</v>
      </c>
      <c r="D4672" s="1" t="s">
        <v>19</v>
      </c>
      <c r="E4672" s="1" t="s">
        <v>88</v>
      </c>
      <c r="F4672">
        <v>1</v>
      </c>
      <c r="G4672" s="2">
        <v>46173</v>
      </c>
      <c r="H4672" s="2">
        <v>46178</v>
      </c>
      <c r="I4672">
        <v>253.87</v>
      </c>
      <c r="J4672">
        <v>124.62</v>
      </c>
      <c r="K4672">
        <v>112.16</v>
      </c>
      <c r="L4672">
        <v>12.46</v>
      </c>
      <c r="M4672" s="1" t="s">
        <v>21</v>
      </c>
      <c r="N4672" s="1" t="s">
        <v>22</v>
      </c>
      <c r="O4672" s="2">
        <v>46222</v>
      </c>
      <c r="P4672" s="2">
        <v>46222</v>
      </c>
      <c r="Q4672">
        <f>_xlfn.XLOOKUP(E4672,CPT!$A$2:$A$13,CPT!$D$2:$D$13)</f>
        <v>260</v>
      </c>
      <c r="R4672" s="1">
        <f>_xlfn.XLOOKUP(C4672,Contract!$A$2:$A$9,Contract!$B$2:$B$9)</f>
        <v>0.47</v>
      </c>
      <c r="S4672" s="1">
        <f t="shared" si="288"/>
        <v>122.2</v>
      </c>
      <c r="T4672" s="1">
        <f t="shared" si="289"/>
        <v>-2.4200000000000017</v>
      </c>
      <c r="U4672" s="1" t="str">
        <f t="shared" si="290"/>
        <v>OK</v>
      </c>
      <c r="V4672" s="1" t="str">
        <f>_xlfn.XLOOKUP(C4672,Payers!$A$2:$A$9,Payers!$B$2:$B$9)</f>
        <v>Keystone Commercial PPO</v>
      </c>
      <c r="W4672" s="1" t="str">
        <f t="shared" si="291"/>
        <v>2026-05</v>
      </c>
    </row>
    <row r="4673" spans="1:23">
      <c r="A4673" s="1" t="s">
        <v>7307</v>
      </c>
      <c r="B4673" s="1" t="s">
        <v>7308</v>
      </c>
      <c r="C4673" s="1" t="s">
        <v>25</v>
      </c>
      <c r="D4673" s="1" t="s">
        <v>19</v>
      </c>
      <c r="E4673" s="1" t="s">
        <v>20</v>
      </c>
      <c r="F4673">
        <v>1</v>
      </c>
      <c r="G4673" s="2">
        <v>46125</v>
      </c>
      <c r="H4673" s="2">
        <v>46132</v>
      </c>
      <c r="I4673">
        <v>144.12</v>
      </c>
      <c r="J4673">
        <v>51.36</v>
      </c>
      <c r="K4673">
        <v>51.36</v>
      </c>
      <c r="L4673">
        <v>0</v>
      </c>
      <c r="M4673" s="1" t="s">
        <v>21</v>
      </c>
      <c r="N4673" s="1" t="s">
        <v>22</v>
      </c>
      <c r="O4673" s="2">
        <v>46154</v>
      </c>
      <c r="P4673" s="2">
        <v>46154</v>
      </c>
      <c r="Q4673">
        <f>_xlfn.XLOOKUP(E4673,CPT!$A$2:$A$13,CPT!$D$2:$D$13)</f>
        <v>145</v>
      </c>
      <c r="R4673" s="1">
        <f>_xlfn.XLOOKUP(C4673,Contract!$A$2:$A$9,Contract!$B$2:$B$9)</f>
        <v>0.36</v>
      </c>
      <c r="S4673" s="1">
        <f t="shared" si="288"/>
        <v>52.2</v>
      </c>
      <c r="T4673" s="1">
        <f t="shared" si="289"/>
        <v>0.84000000000000341</v>
      </c>
      <c r="U4673" s="1" t="str">
        <f t="shared" si="290"/>
        <v>OK</v>
      </c>
      <c r="V4673" s="1" t="str">
        <f>_xlfn.XLOOKUP(C4673,Payers!$A$2:$A$9,Payers!$B$2:$B$9)</f>
        <v>Medicare Part B</v>
      </c>
      <c r="W4673" s="1" t="str">
        <f t="shared" si="291"/>
        <v>2026-04</v>
      </c>
    </row>
    <row r="4674" spans="1:23">
      <c r="A4674" s="1" t="s">
        <v>7309</v>
      </c>
      <c r="B4674" s="1" t="s">
        <v>7310</v>
      </c>
      <c r="C4674" s="1" t="s">
        <v>47</v>
      </c>
      <c r="D4674" s="1" t="s">
        <v>30</v>
      </c>
      <c r="E4674" s="1" t="s">
        <v>31</v>
      </c>
      <c r="F4674">
        <v>1</v>
      </c>
      <c r="G4674" s="2">
        <v>46148</v>
      </c>
      <c r="H4674" s="2">
        <v>46165</v>
      </c>
      <c r="I4674">
        <v>61.65</v>
      </c>
      <c r="J4674">
        <v>17.55</v>
      </c>
      <c r="K4674">
        <v>15.79</v>
      </c>
      <c r="L4674">
        <v>1.76</v>
      </c>
      <c r="M4674" s="1" t="s">
        <v>21</v>
      </c>
      <c r="N4674" s="1" t="s">
        <v>22</v>
      </c>
      <c r="O4674" s="2">
        <v>46215</v>
      </c>
      <c r="P4674" s="2">
        <v>46215</v>
      </c>
      <c r="Q4674">
        <f>_xlfn.XLOOKUP(E4674,CPT!$A$2:$A$13,CPT!$D$2:$D$13)</f>
        <v>62</v>
      </c>
      <c r="R4674" s="1">
        <f>_xlfn.XLOOKUP(C4674,Contract!$A$2:$A$9,Contract!$B$2:$B$9)</f>
        <v>0.28000000000000003</v>
      </c>
      <c r="S4674" s="1">
        <f t="shared" ref="S4674:S4737" si="292">ROUND(Q4674*F4674*R4674,2)</f>
        <v>17.36</v>
      </c>
      <c r="T4674" s="1">
        <f t="shared" ref="T4674:T4737" si="293">IF(M4674="Paid",S4674-J4674,"")</f>
        <v>-0.19000000000000128</v>
      </c>
      <c r="U4674" s="1" t="str">
        <f t="shared" ref="U4674:U4737" si="294">IF(M4674&lt;&gt;"Paid","",IF(T4674&gt;S4674*0.05,"Underpaid","OK"))</f>
        <v>OK</v>
      </c>
      <c r="V4674" s="1" t="str">
        <f>_xlfn.XLOOKUP(C4674,Payers!$A$2:$A$9,Payers!$B$2:$B$9)</f>
        <v>Coastal Medicaid MCO</v>
      </c>
      <c r="W4674" s="1" t="str">
        <f t="shared" ref="W4674:W4737" si="295">TEXT(G4674,"yyyy-mm")</f>
        <v>2026-05</v>
      </c>
    </row>
    <row r="4675" spans="1:23">
      <c r="A4675" s="1" t="s">
        <v>7311</v>
      </c>
      <c r="B4675" s="1" t="s">
        <v>7312</v>
      </c>
      <c r="C4675" s="1" t="s">
        <v>47</v>
      </c>
      <c r="D4675" s="1" t="s">
        <v>37</v>
      </c>
      <c r="E4675" s="1" t="s">
        <v>48</v>
      </c>
      <c r="F4675">
        <v>1</v>
      </c>
      <c r="G4675" s="2">
        <v>46055</v>
      </c>
      <c r="H4675" s="2">
        <v>46061</v>
      </c>
      <c r="I4675">
        <v>409.47</v>
      </c>
      <c r="J4675">
        <v>124.79</v>
      </c>
      <c r="K4675">
        <v>124.79</v>
      </c>
      <c r="L4675">
        <v>0</v>
      </c>
      <c r="M4675" s="1" t="s">
        <v>21</v>
      </c>
      <c r="N4675" s="1" t="s">
        <v>22</v>
      </c>
      <c r="O4675" s="2">
        <v>46118</v>
      </c>
      <c r="P4675" s="2">
        <v>46118</v>
      </c>
      <c r="Q4675">
        <f>_xlfn.XLOOKUP(E4675,CPT!$A$2:$A$13,CPT!$D$2:$D$13)</f>
        <v>420</v>
      </c>
      <c r="R4675" s="1">
        <f>_xlfn.XLOOKUP(C4675,Contract!$A$2:$A$9,Contract!$B$2:$B$9)</f>
        <v>0.28000000000000003</v>
      </c>
      <c r="S4675" s="1">
        <f t="shared" si="292"/>
        <v>117.6</v>
      </c>
      <c r="T4675" s="1">
        <f t="shared" si="293"/>
        <v>-7.1900000000000119</v>
      </c>
      <c r="U4675" s="1" t="str">
        <f t="shared" si="294"/>
        <v>OK</v>
      </c>
      <c r="V4675" s="1" t="str">
        <f>_xlfn.XLOOKUP(C4675,Payers!$A$2:$A$9,Payers!$B$2:$B$9)</f>
        <v>Coastal Medicaid MCO</v>
      </c>
      <c r="W4675" s="1" t="str">
        <f t="shared" si="295"/>
        <v>2026-02</v>
      </c>
    </row>
    <row r="4676" spans="1:23">
      <c r="A4676" s="1" t="s">
        <v>7313</v>
      </c>
      <c r="B4676" s="1" t="s">
        <v>4115</v>
      </c>
      <c r="C4676" s="1" t="s">
        <v>76</v>
      </c>
      <c r="D4676" s="1" t="s">
        <v>30</v>
      </c>
      <c r="E4676" s="1" t="s">
        <v>91</v>
      </c>
      <c r="F4676">
        <v>4</v>
      </c>
      <c r="G4676" s="2">
        <v>46056</v>
      </c>
      <c r="H4676" s="2">
        <v>46057</v>
      </c>
      <c r="I4676">
        <v>232.93</v>
      </c>
      <c r="J4676">
        <v>88.53</v>
      </c>
      <c r="K4676">
        <v>88.53</v>
      </c>
      <c r="L4676">
        <v>0</v>
      </c>
      <c r="M4676" s="1" t="s">
        <v>21</v>
      </c>
      <c r="N4676" s="1" t="s">
        <v>22</v>
      </c>
      <c r="O4676" s="2">
        <v>46112</v>
      </c>
      <c r="P4676" s="2">
        <v>46112</v>
      </c>
      <c r="Q4676">
        <f>_xlfn.XLOOKUP(E4676,CPT!$A$2:$A$13,CPT!$D$2:$D$13)</f>
        <v>58</v>
      </c>
      <c r="R4676" s="1">
        <f>_xlfn.XLOOKUP(C4676,Contract!$A$2:$A$9,Contract!$B$2:$B$9)</f>
        <v>0.43</v>
      </c>
      <c r="S4676" s="1">
        <f t="shared" si="292"/>
        <v>99.76</v>
      </c>
      <c r="T4676" s="1">
        <f t="shared" si="293"/>
        <v>11.230000000000004</v>
      </c>
      <c r="U4676" s="1" t="str">
        <f t="shared" si="294"/>
        <v>Underpaid</v>
      </c>
      <c r="V4676" s="1" t="str">
        <f>_xlfn.XLOOKUP(C4676,Payers!$A$2:$A$9,Payers!$B$2:$B$9)</f>
        <v>Summit Health Commercial</v>
      </c>
      <c r="W4676" s="1" t="str">
        <f t="shared" si="295"/>
        <v>2026-02</v>
      </c>
    </row>
    <row r="4677" spans="1:23">
      <c r="A4677" s="1" t="s">
        <v>7314</v>
      </c>
      <c r="B4677" s="1" t="s">
        <v>145</v>
      </c>
      <c r="C4677" s="1" t="s">
        <v>25</v>
      </c>
      <c r="D4677" s="1" t="s">
        <v>37</v>
      </c>
      <c r="E4677" s="1" t="s">
        <v>38</v>
      </c>
      <c r="F4677">
        <v>20</v>
      </c>
      <c r="G4677" s="2">
        <v>46190</v>
      </c>
      <c r="H4677" s="2">
        <v>46192</v>
      </c>
      <c r="I4677">
        <v>28266.18</v>
      </c>
      <c r="J4677">
        <v>9620.8799999999992</v>
      </c>
      <c r="K4677">
        <v>9620.8799999999992</v>
      </c>
      <c r="L4677">
        <v>0</v>
      </c>
      <c r="M4677" s="1" t="s">
        <v>21</v>
      </c>
      <c r="N4677" s="1" t="s">
        <v>22</v>
      </c>
      <c r="O4677" s="2">
        <v>46213</v>
      </c>
      <c r="P4677" s="2">
        <v>46213</v>
      </c>
      <c r="Q4677">
        <f>_xlfn.XLOOKUP(E4677,CPT!$A$2:$A$13,CPT!$D$2:$D$13)</f>
        <v>1450</v>
      </c>
      <c r="R4677" s="1">
        <f>_xlfn.XLOOKUP(C4677,Contract!$A$2:$A$9,Contract!$B$2:$B$9)</f>
        <v>0.36</v>
      </c>
      <c r="S4677" s="1">
        <f t="shared" si="292"/>
        <v>10440</v>
      </c>
      <c r="T4677" s="1">
        <f t="shared" si="293"/>
        <v>819.1200000000008</v>
      </c>
      <c r="U4677" s="1" t="str">
        <f t="shared" si="294"/>
        <v>Underpaid</v>
      </c>
      <c r="V4677" s="1" t="str">
        <f>_xlfn.XLOOKUP(C4677,Payers!$A$2:$A$9,Payers!$B$2:$B$9)</f>
        <v>Medicare Part B</v>
      </c>
      <c r="W4677" s="1" t="str">
        <f t="shared" si="295"/>
        <v>2026-06</v>
      </c>
    </row>
    <row r="4678" spans="1:23">
      <c r="A4678" s="1" t="s">
        <v>7315</v>
      </c>
      <c r="B4678" s="1" t="s">
        <v>4682</v>
      </c>
      <c r="C4678" s="1" t="s">
        <v>60</v>
      </c>
      <c r="D4678" s="1" t="s">
        <v>19</v>
      </c>
      <c r="E4678" s="1" t="s">
        <v>88</v>
      </c>
      <c r="F4678">
        <v>1</v>
      </c>
      <c r="G4678" s="2">
        <v>46048</v>
      </c>
      <c r="H4678" s="2">
        <v>46049</v>
      </c>
      <c r="I4678">
        <v>259.82</v>
      </c>
      <c r="J4678">
        <v>131.69</v>
      </c>
      <c r="K4678">
        <v>131.69</v>
      </c>
      <c r="L4678">
        <v>0</v>
      </c>
      <c r="M4678" s="1" t="s">
        <v>21</v>
      </c>
      <c r="N4678" s="1" t="s">
        <v>22</v>
      </c>
      <c r="O4678" s="2">
        <v>46068</v>
      </c>
      <c r="P4678" s="2">
        <v>46068</v>
      </c>
      <c r="Q4678">
        <f>_xlfn.XLOOKUP(E4678,CPT!$A$2:$A$13,CPT!$D$2:$D$13)</f>
        <v>260</v>
      </c>
      <c r="R4678" s="1">
        <f>_xlfn.XLOOKUP(C4678,Contract!$A$2:$A$9,Contract!$B$2:$B$9)</f>
        <v>0.45</v>
      </c>
      <c r="S4678" s="1">
        <f t="shared" si="292"/>
        <v>117</v>
      </c>
      <c r="T4678" s="1">
        <f t="shared" si="293"/>
        <v>-14.689999999999998</v>
      </c>
      <c r="U4678" s="1" t="str">
        <f t="shared" si="294"/>
        <v>OK</v>
      </c>
      <c r="V4678" s="1" t="str">
        <f>_xlfn.XLOOKUP(C4678,Payers!$A$2:$A$9,Payers!$B$2:$B$9)</f>
        <v>Blue Horizon Commercial</v>
      </c>
      <c r="W4678" s="1" t="str">
        <f t="shared" si="295"/>
        <v>2026-01</v>
      </c>
    </row>
    <row r="4679" spans="1:23">
      <c r="A4679" s="1" t="s">
        <v>7316</v>
      </c>
      <c r="B4679" s="1" t="s">
        <v>3222</v>
      </c>
      <c r="C4679" s="1" t="s">
        <v>60</v>
      </c>
      <c r="D4679" s="1" t="s">
        <v>26</v>
      </c>
      <c r="E4679" s="1" t="s">
        <v>57</v>
      </c>
      <c r="F4679">
        <v>1</v>
      </c>
      <c r="G4679" s="2">
        <v>46151</v>
      </c>
      <c r="H4679" s="2">
        <v>46153</v>
      </c>
      <c r="I4679">
        <v>204.03</v>
      </c>
      <c r="J4679">
        <v>90.79</v>
      </c>
      <c r="K4679">
        <v>81.709999999999994</v>
      </c>
      <c r="L4679">
        <v>9.08</v>
      </c>
      <c r="M4679" s="1" t="s">
        <v>21</v>
      </c>
      <c r="N4679" s="1" t="s">
        <v>22</v>
      </c>
      <c r="O4679" s="2">
        <v>46181</v>
      </c>
      <c r="P4679" s="2">
        <v>46181</v>
      </c>
      <c r="Q4679">
        <f>_xlfn.XLOOKUP(E4679,CPT!$A$2:$A$13,CPT!$D$2:$D$13)</f>
        <v>210</v>
      </c>
      <c r="R4679" s="1">
        <f>_xlfn.XLOOKUP(C4679,Contract!$A$2:$A$9,Contract!$B$2:$B$9)</f>
        <v>0.45</v>
      </c>
      <c r="S4679" s="1">
        <f t="shared" si="292"/>
        <v>94.5</v>
      </c>
      <c r="T4679" s="1">
        <f t="shared" si="293"/>
        <v>3.7099999999999937</v>
      </c>
      <c r="U4679" s="1" t="str">
        <f t="shared" si="294"/>
        <v>OK</v>
      </c>
      <c r="V4679" s="1" t="str">
        <f>_xlfn.XLOOKUP(C4679,Payers!$A$2:$A$9,Payers!$B$2:$B$9)</f>
        <v>Blue Horizon Commercial</v>
      </c>
      <c r="W4679" s="1" t="str">
        <f t="shared" si="295"/>
        <v>2026-05</v>
      </c>
    </row>
    <row r="4680" spans="1:23">
      <c r="A4680" s="1" t="s">
        <v>7317</v>
      </c>
      <c r="B4680" s="1" t="s">
        <v>6768</v>
      </c>
      <c r="C4680" s="1" t="s">
        <v>79</v>
      </c>
      <c r="D4680" s="1" t="s">
        <v>26</v>
      </c>
      <c r="E4680" s="1" t="s">
        <v>113</v>
      </c>
      <c r="F4680">
        <v>1</v>
      </c>
      <c r="G4680" s="2">
        <v>46203</v>
      </c>
      <c r="H4680" s="2">
        <v>46205</v>
      </c>
      <c r="I4680">
        <v>1038</v>
      </c>
      <c r="J4680">
        <v>1038</v>
      </c>
      <c r="K4680">
        <v>1038</v>
      </c>
      <c r="L4680">
        <v>0</v>
      </c>
      <c r="M4680" s="1" t="s">
        <v>21</v>
      </c>
      <c r="N4680" s="1" t="s">
        <v>22</v>
      </c>
      <c r="O4680" s="2">
        <v>46287</v>
      </c>
      <c r="P4680" s="2">
        <v>46287</v>
      </c>
      <c r="Q4680">
        <f>_xlfn.XLOOKUP(E4680,CPT!$A$2:$A$13,CPT!$D$2:$D$13)</f>
        <v>1050</v>
      </c>
      <c r="R4680" s="1">
        <f>_xlfn.XLOOKUP(C4680,Contract!$A$2:$A$9,Contract!$B$2:$B$9)</f>
        <v>1</v>
      </c>
      <c r="S4680" s="1">
        <f t="shared" si="292"/>
        <v>1050</v>
      </c>
      <c r="T4680" s="1">
        <f t="shared" si="293"/>
        <v>12</v>
      </c>
      <c r="U4680" s="1" t="str">
        <f t="shared" si="294"/>
        <v>OK</v>
      </c>
      <c r="V4680" s="1" t="str">
        <f>_xlfn.XLOOKUP(C4680,Payers!$A$2:$A$9,Payers!$B$2:$B$9)</f>
        <v>Self-Pay</v>
      </c>
      <c r="W4680" s="1" t="str">
        <f t="shared" si="295"/>
        <v>2026-06</v>
      </c>
    </row>
    <row r="4681" spans="1:23">
      <c r="A4681" s="1" t="s">
        <v>7318</v>
      </c>
      <c r="B4681" s="1" t="s">
        <v>7319</v>
      </c>
      <c r="C4681" s="1" t="s">
        <v>25</v>
      </c>
      <c r="D4681" s="1" t="s">
        <v>26</v>
      </c>
      <c r="E4681" s="1" t="s">
        <v>57</v>
      </c>
      <c r="F4681">
        <v>1</v>
      </c>
      <c r="G4681" s="2">
        <v>46270</v>
      </c>
      <c r="H4681" s="2">
        <v>46277</v>
      </c>
      <c r="I4681">
        <v>213.88</v>
      </c>
      <c r="J4681">
        <v>82.15</v>
      </c>
      <c r="K4681">
        <v>65.72</v>
      </c>
      <c r="L4681">
        <v>16.43</v>
      </c>
      <c r="M4681" s="1" t="s">
        <v>21</v>
      </c>
      <c r="N4681" s="1" t="s">
        <v>22</v>
      </c>
      <c r="O4681" s="2">
        <v>46295</v>
      </c>
      <c r="P4681" s="2">
        <v>46295</v>
      </c>
      <c r="Q4681">
        <f>_xlfn.XLOOKUP(E4681,CPT!$A$2:$A$13,CPT!$D$2:$D$13)</f>
        <v>210</v>
      </c>
      <c r="R4681" s="1">
        <f>_xlfn.XLOOKUP(C4681,Contract!$A$2:$A$9,Contract!$B$2:$B$9)</f>
        <v>0.36</v>
      </c>
      <c r="S4681" s="1">
        <f t="shared" si="292"/>
        <v>75.599999999999994</v>
      </c>
      <c r="T4681" s="1">
        <f t="shared" si="293"/>
        <v>-6.5500000000000114</v>
      </c>
      <c r="U4681" s="1" t="str">
        <f t="shared" si="294"/>
        <v>OK</v>
      </c>
      <c r="V4681" s="1" t="str">
        <f>_xlfn.XLOOKUP(C4681,Payers!$A$2:$A$9,Payers!$B$2:$B$9)</f>
        <v>Medicare Part B</v>
      </c>
      <c r="W4681" s="1" t="str">
        <f t="shared" si="295"/>
        <v>2026-09</v>
      </c>
    </row>
    <row r="4682" spans="1:23">
      <c r="A4682" s="1" t="s">
        <v>7320</v>
      </c>
      <c r="B4682" s="1" t="s">
        <v>7321</v>
      </c>
      <c r="C4682" s="1" t="s">
        <v>25</v>
      </c>
      <c r="D4682" s="1" t="s">
        <v>26</v>
      </c>
      <c r="E4682" s="1" t="s">
        <v>185</v>
      </c>
      <c r="F4682">
        <v>1</v>
      </c>
      <c r="G4682" s="2">
        <v>46206</v>
      </c>
      <c r="H4682" s="2">
        <v>46210</v>
      </c>
      <c r="I4682">
        <v>1127.51</v>
      </c>
      <c r="J4682">
        <v>377.82</v>
      </c>
      <c r="K4682">
        <v>302.26</v>
      </c>
      <c r="L4682">
        <v>75.56</v>
      </c>
      <c r="M4682" s="1" t="s">
        <v>21</v>
      </c>
      <c r="N4682" s="1" t="s">
        <v>22</v>
      </c>
      <c r="O4682" s="2">
        <v>46220</v>
      </c>
      <c r="P4682" s="2">
        <v>46220</v>
      </c>
      <c r="Q4682">
        <f>_xlfn.XLOOKUP(E4682,CPT!$A$2:$A$13,CPT!$D$2:$D$13)</f>
        <v>1150</v>
      </c>
      <c r="R4682" s="1">
        <f>_xlfn.XLOOKUP(C4682,Contract!$A$2:$A$9,Contract!$B$2:$B$9)</f>
        <v>0.36</v>
      </c>
      <c r="S4682" s="1">
        <f t="shared" si="292"/>
        <v>414</v>
      </c>
      <c r="T4682" s="1">
        <f t="shared" si="293"/>
        <v>36.180000000000007</v>
      </c>
      <c r="U4682" s="1" t="str">
        <f t="shared" si="294"/>
        <v>Underpaid</v>
      </c>
      <c r="V4682" s="1" t="str">
        <f>_xlfn.XLOOKUP(C4682,Payers!$A$2:$A$9,Payers!$B$2:$B$9)</f>
        <v>Medicare Part B</v>
      </c>
      <c r="W4682" s="1" t="str">
        <f t="shared" si="295"/>
        <v>2026-07</v>
      </c>
    </row>
    <row r="4683" spans="1:23">
      <c r="A4683" s="1" t="s">
        <v>7322</v>
      </c>
      <c r="B4683" s="1" t="s">
        <v>2554</v>
      </c>
      <c r="C4683" s="1" t="s">
        <v>60</v>
      </c>
      <c r="D4683" s="1" t="s">
        <v>26</v>
      </c>
      <c r="E4683" s="1" t="s">
        <v>185</v>
      </c>
      <c r="F4683">
        <v>1</v>
      </c>
      <c r="G4683" s="2">
        <v>46000</v>
      </c>
      <c r="H4683" s="2">
        <v>46009</v>
      </c>
      <c r="I4683">
        <v>1162.44</v>
      </c>
      <c r="M4683" s="1" t="s">
        <v>32</v>
      </c>
      <c r="N4683" s="1" t="s">
        <v>124</v>
      </c>
      <c r="O4683" s="2">
        <v>46054</v>
      </c>
      <c r="P4683" s="2"/>
      <c r="Q4683">
        <f>_xlfn.XLOOKUP(E4683,CPT!$A$2:$A$13,CPT!$D$2:$D$13)</f>
        <v>1150</v>
      </c>
      <c r="R4683" s="1">
        <f>_xlfn.XLOOKUP(C4683,Contract!$A$2:$A$9,Contract!$B$2:$B$9)</f>
        <v>0.45</v>
      </c>
      <c r="S4683" s="1">
        <f t="shared" si="292"/>
        <v>517.5</v>
      </c>
      <c r="T4683" s="1" t="str">
        <f t="shared" si="293"/>
        <v/>
      </c>
      <c r="U4683" s="1" t="str">
        <f t="shared" si="294"/>
        <v/>
      </c>
      <c r="V4683" s="1" t="str">
        <f>_xlfn.XLOOKUP(C4683,Payers!$A$2:$A$9,Payers!$B$2:$B$9)</f>
        <v>Blue Horizon Commercial</v>
      </c>
      <c r="W4683" s="1" t="str">
        <f t="shared" si="295"/>
        <v>2025-12</v>
      </c>
    </row>
    <row r="4684" spans="1:23">
      <c r="A4684" s="1" t="s">
        <v>7323</v>
      </c>
      <c r="B4684" s="1" t="s">
        <v>2212</v>
      </c>
      <c r="C4684" s="1" t="s">
        <v>60</v>
      </c>
      <c r="D4684" s="1" t="s">
        <v>26</v>
      </c>
      <c r="E4684" s="1" t="s">
        <v>57</v>
      </c>
      <c r="F4684">
        <v>1</v>
      </c>
      <c r="G4684" s="2">
        <v>46209</v>
      </c>
      <c r="H4684" s="2">
        <v>46210</v>
      </c>
      <c r="I4684">
        <v>205.21</v>
      </c>
      <c r="J4684">
        <v>100.05</v>
      </c>
      <c r="K4684">
        <v>80.040000000000006</v>
      </c>
      <c r="L4684">
        <v>20.010000000000002</v>
      </c>
      <c r="M4684" s="1" t="s">
        <v>21</v>
      </c>
      <c r="N4684" s="1" t="s">
        <v>22</v>
      </c>
      <c r="O4684" s="2">
        <v>46225</v>
      </c>
      <c r="P4684" s="2">
        <v>46225</v>
      </c>
      <c r="Q4684">
        <f>_xlfn.XLOOKUP(E4684,CPT!$A$2:$A$13,CPT!$D$2:$D$13)</f>
        <v>210</v>
      </c>
      <c r="R4684" s="1">
        <f>_xlfn.XLOOKUP(C4684,Contract!$A$2:$A$9,Contract!$B$2:$B$9)</f>
        <v>0.45</v>
      </c>
      <c r="S4684" s="1">
        <f t="shared" si="292"/>
        <v>94.5</v>
      </c>
      <c r="T4684" s="1">
        <f t="shared" si="293"/>
        <v>-5.5499999999999972</v>
      </c>
      <c r="U4684" s="1" t="str">
        <f t="shared" si="294"/>
        <v>OK</v>
      </c>
      <c r="V4684" s="1" t="str">
        <f>_xlfn.XLOOKUP(C4684,Payers!$A$2:$A$9,Payers!$B$2:$B$9)</f>
        <v>Blue Horizon Commercial</v>
      </c>
      <c r="W4684" s="1" t="str">
        <f t="shared" si="295"/>
        <v>2026-07</v>
      </c>
    </row>
    <row r="4685" spans="1:23">
      <c r="A4685" s="1" t="s">
        <v>7324</v>
      </c>
      <c r="B4685" s="1" t="s">
        <v>7325</v>
      </c>
      <c r="C4685" s="1" t="s">
        <v>36</v>
      </c>
      <c r="D4685" s="1" t="s">
        <v>19</v>
      </c>
      <c r="E4685" s="1" t="s">
        <v>57</v>
      </c>
      <c r="F4685">
        <v>1</v>
      </c>
      <c r="G4685" s="2">
        <v>46084</v>
      </c>
      <c r="H4685" s="2">
        <v>46089</v>
      </c>
      <c r="I4685">
        <v>206.9</v>
      </c>
      <c r="J4685">
        <v>59.97</v>
      </c>
      <c r="K4685">
        <v>47.98</v>
      </c>
      <c r="L4685">
        <v>11.99</v>
      </c>
      <c r="M4685" s="1" t="s">
        <v>21</v>
      </c>
      <c r="N4685" s="1" t="s">
        <v>22</v>
      </c>
      <c r="O4685" s="2">
        <v>46132</v>
      </c>
      <c r="P4685" s="2">
        <v>46132</v>
      </c>
      <c r="Q4685">
        <f>_xlfn.XLOOKUP(E4685,CPT!$A$2:$A$13,CPT!$D$2:$D$13)</f>
        <v>210</v>
      </c>
      <c r="R4685" s="1">
        <f>_xlfn.XLOOKUP(C4685,Contract!$A$2:$A$9,Contract!$B$2:$B$9)</f>
        <v>0.27</v>
      </c>
      <c r="S4685" s="1">
        <f t="shared" si="292"/>
        <v>56.7</v>
      </c>
      <c r="T4685" s="1">
        <f t="shared" si="293"/>
        <v>-3.269999999999996</v>
      </c>
      <c r="U4685" s="1" t="str">
        <f t="shared" si="294"/>
        <v>OK</v>
      </c>
      <c r="V4685" s="1" t="str">
        <f>_xlfn.XLOOKUP(C4685,Payers!$A$2:$A$9,Payers!$B$2:$B$9)</f>
        <v>Florida Medicaid</v>
      </c>
      <c r="W4685" s="1" t="str">
        <f t="shared" si="295"/>
        <v>2026-03</v>
      </c>
    </row>
    <row r="4686" spans="1:23">
      <c r="A4686" s="1" t="s">
        <v>7326</v>
      </c>
      <c r="B4686" s="1" t="s">
        <v>5945</v>
      </c>
      <c r="C4686" s="1" t="s">
        <v>60</v>
      </c>
      <c r="D4686" s="1" t="s">
        <v>37</v>
      </c>
      <c r="E4686" s="1" t="s">
        <v>48</v>
      </c>
      <c r="F4686">
        <v>1</v>
      </c>
      <c r="G4686" s="2">
        <v>46049</v>
      </c>
      <c r="H4686" s="2">
        <v>46051</v>
      </c>
      <c r="I4686">
        <v>428.56</v>
      </c>
      <c r="J4686">
        <v>222.55</v>
      </c>
      <c r="K4686">
        <v>222.55</v>
      </c>
      <c r="L4686">
        <v>0</v>
      </c>
      <c r="M4686" s="1" t="s">
        <v>21</v>
      </c>
      <c r="N4686" s="1" t="s">
        <v>22</v>
      </c>
      <c r="O4686" s="2">
        <v>46083</v>
      </c>
      <c r="P4686" s="2">
        <v>46083</v>
      </c>
      <c r="Q4686">
        <f>_xlfn.XLOOKUP(E4686,CPT!$A$2:$A$13,CPT!$D$2:$D$13)</f>
        <v>420</v>
      </c>
      <c r="R4686" s="1">
        <f>_xlfn.XLOOKUP(C4686,Contract!$A$2:$A$9,Contract!$B$2:$B$9)</f>
        <v>0.45</v>
      </c>
      <c r="S4686" s="1">
        <f t="shared" si="292"/>
        <v>189</v>
      </c>
      <c r="T4686" s="1">
        <f t="shared" si="293"/>
        <v>-33.550000000000011</v>
      </c>
      <c r="U4686" s="1" t="str">
        <f t="shared" si="294"/>
        <v>OK</v>
      </c>
      <c r="V4686" s="1" t="str">
        <f>_xlfn.XLOOKUP(C4686,Payers!$A$2:$A$9,Payers!$B$2:$B$9)</f>
        <v>Blue Horizon Commercial</v>
      </c>
      <c r="W4686" s="1" t="str">
        <f t="shared" si="295"/>
        <v>2026-01</v>
      </c>
    </row>
    <row r="4687" spans="1:23">
      <c r="A4687" s="1" t="s">
        <v>7327</v>
      </c>
      <c r="B4687" s="1" t="s">
        <v>4579</v>
      </c>
      <c r="C4687" s="1" t="s">
        <v>76</v>
      </c>
      <c r="D4687" s="1" t="s">
        <v>37</v>
      </c>
      <c r="E4687" s="1" t="s">
        <v>38</v>
      </c>
      <c r="F4687">
        <v>20</v>
      </c>
      <c r="G4687" s="2">
        <v>46129</v>
      </c>
      <c r="H4687" s="2">
        <v>46135</v>
      </c>
      <c r="I4687">
        <v>28682.09</v>
      </c>
      <c r="J4687">
        <v>11234.8</v>
      </c>
      <c r="K4687">
        <v>10111.32</v>
      </c>
      <c r="L4687">
        <v>1123.48</v>
      </c>
      <c r="M4687" s="1" t="s">
        <v>21</v>
      </c>
      <c r="N4687" s="1" t="s">
        <v>22</v>
      </c>
      <c r="O4687" s="2">
        <v>46149</v>
      </c>
      <c r="P4687" s="2">
        <v>46149</v>
      </c>
      <c r="Q4687">
        <f>_xlfn.XLOOKUP(E4687,CPT!$A$2:$A$13,CPT!$D$2:$D$13)</f>
        <v>1450</v>
      </c>
      <c r="R4687" s="1">
        <f>_xlfn.XLOOKUP(C4687,Contract!$A$2:$A$9,Contract!$B$2:$B$9)</f>
        <v>0.43</v>
      </c>
      <c r="S4687" s="1">
        <f t="shared" si="292"/>
        <v>12470</v>
      </c>
      <c r="T4687" s="1">
        <f t="shared" si="293"/>
        <v>1235.2000000000007</v>
      </c>
      <c r="U4687" s="1" t="str">
        <f t="shared" si="294"/>
        <v>Underpaid</v>
      </c>
      <c r="V4687" s="1" t="str">
        <f>_xlfn.XLOOKUP(C4687,Payers!$A$2:$A$9,Payers!$B$2:$B$9)</f>
        <v>Summit Health Commercial</v>
      </c>
      <c r="W4687" s="1" t="str">
        <f t="shared" si="295"/>
        <v>2026-04</v>
      </c>
    </row>
    <row r="4688" spans="1:23">
      <c r="A4688" s="1" t="s">
        <v>7328</v>
      </c>
      <c r="B4688" s="1" t="s">
        <v>1282</v>
      </c>
      <c r="C4688" s="1" t="s">
        <v>52</v>
      </c>
      <c r="D4688" s="1" t="s">
        <v>19</v>
      </c>
      <c r="E4688" s="1" t="s">
        <v>88</v>
      </c>
      <c r="F4688">
        <v>1</v>
      </c>
      <c r="G4688" s="2">
        <v>46293</v>
      </c>
      <c r="H4688" s="2">
        <v>46294</v>
      </c>
      <c r="I4688">
        <v>253.75</v>
      </c>
      <c r="M4688" s="1" t="s">
        <v>69</v>
      </c>
      <c r="N4688" s="1" t="s">
        <v>22</v>
      </c>
      <c r="O4688" s="2"/>
      <c r="P4688" s="2"/>
      <c r="Q4688">
        <f>_xlfn.XLOOKUP(E4688,CPT!$A$2:$A$13,CPT!$D$2:$D$13)</f>
        <v>260</v>
      </c>
      <c r="R4688" s="1">
        <f>_xlfn.XLOOKUP(C4688,Contract!$A$2:$A$9,Contract!$B$2:$B$9)</f>
        <v>0.47</v>
      </c>
      <c r="S4688" s="1">
        <f t="shared" si="292"/>
        <v>122.2</v>
      </c>
      <c r="T4688" s="1" t="str">
        <f t="shared" si="293"/>
        <v/>
      </c>
      <c r="U4688" s="1" t="str">
        <f t="shared" si="294"/>
        <v/>
      </c>
      <c r="V4688" s="1" t="str">
        <f>_xlfn.XLOOKUP(C4688,Payers!$A$2:$A$9,Payers!$B$2:$B$9)</f>
        <v>Keystone Commercial PPO</v>
      </c>
      <c r="W4688" s="1" t="str">
        <f t="shared" si="295"/>
        <v>2026-09</v>
      </c>
    </row>
    <row r="4689" spans="1:23">
      <c r="A4689" s="1" t="s">
        <v>7329</v>
      </c>
      <c r="B4689" s="1" t="s">
        <v>143</v>
      </c>
      <c r="C4689" s="1" t="s">
        <v>76</v>
      </c>
      <c r="D4689" s="1" t="s">
        <v>37</v>
      </c>
      <c r="E4689" s="1" t="s">
        <v>38</v>
      </c>
      <c r="F4689">
        <v>10</v>
      </c>
      <c r="G4689" s="2">
        <v>46279</v>
      </c>
      <c r="H4689" s="2">
        <v>46282</v>
      </c>
      <c r="I4689">
        <v>14669.7</v>
      </c>
      <c r="M4689" s="1" t="s">
        <v>69</v>
      </c>
      <c r="N4689" s="1" t="s">
        <v>22</v>
      </c>
      <c r="O4689" s="2"/>
      <c r="P4689" s="2"/>
      <c r="Q4689">
        <f>_xlfn.XLOOKUP(E4689,CPT!$A$2:$A$13,CPT!$D$2:$D$13)</f>
        <v>1450</v>
      </c>
      <c r="R4689" s="1">
        <f>_xlfn.XLOOKUP(C4689,Contract!$A$2:$A$9,Contract!$B$2:$B$9)</f>
        <v>0.43</v>
      </c>
      <c r="S4689" s="1">
        <f t="shared" si="292"/>
        <v>6235</v>
      </c>
      <c r="T4689" s="1" t="str">
        <f t="shared" si="293"/>
        <v/>
      </c>
      <c r="U4689" s="1" t="str">
        <f t="shared" si="294"/>
        <v/>
      </c>
      <c r="V4689" s="1" t="str">
        <f>_xlfn.XLOOKUP(C4689,Payers!$A$2:$A$9,Payers!$B$2:$B$9)</f>
        <v>Summit Health Commercial</v>
      </c>
      <c r="W4689" s="1" t="str">
        <f t="shared" si="295"/>
        <v>2026-09</v>
      </c>
    </row>
    <row r="4690" spans="1:23">
      <c r="A4690" s="1" t="s">
        <v>7330</v>
      </c>
      <c r="B4690" s="1" t="s">
        <v>2198</v>
      </c>
      <c r="C4690" s="1" t="s">
        <v>60</v>
      </c>
      <c r="D4690" s="1" t="s">
        <v>26</v>
      </c>
      <c r="E4690" s="1" t="s">
        <v>185</v>
      </c>
      <c r="F4690">
        <v>1</v>
      </c>
      <c r="G4690" s="2">
        <v>45934</v>
      </c>
      <c r="H4690" s="2">
        <v>45938</v>
      </c>
      <c r="I4690">
        <v>1127.44</v>
      </c>
      <c r="J4690">
        <v>454.06</v>
      </c>
      <c r="K4690">
        <v>454.06</v>
      </c>
      <c r="L4690">
        <v>0</v>
      </c>
      <c r="M4690" s="1" t="s">
        <v>21</v>
      </c>
      <c r="N4690" s="1" t="s">
        <v>22</v>
      </c>
      <c r="O4690" s="2">
        <v>45978</v>
      </c>
      <c r="P4690" s="2">
        <v>45978</v>
      </c>
      <c r="Q4690">
        <f>_xlfn.XLOOKUP(E4690,CPT!$A$2:$A$13,CPT!$D$2:$D$13)</f>
        <v>1150</v>
      </c>
      <c r="R4690" s="1">
        <f>_xlfn.XLOOKUP(C4690,Contract!$A$2:$A$9,Contract!$B$2:$B$9)</f>
        <v>0.45</v>
      </c>
      <c r="S4690" s="1">
        <f t="shared" si="292"/>
        <v>517.5</v>
      </c>
      <c r="T4690" s="1">
        <f t="shared" si="293"/>
        <v>63.44</v>
      </c>
      <c r="U4690" s="1" t="str">
        <f t="shared" si="294"/>
        <v>Underpaid</v>
      </c>
      <c r="V4690" s="1" t="str">
        <f>_xlfn.XLOOKUP(C4690,Payers!$A$2:$A$9,Payers!$B$2:$B$9)</f>
        <v>Blue Horizon Commercial</v>
      </c>
      <c r="W4690" s="1" t="str">
        <f t="shared" si="295"/>
        <v>2025-10</v>
      </c>
    </row>
    <row r="4691" spans="1:23">
      <c r="A4691" s="1" t="s">
        <v>7331</v>
      </c>
      <c r="B4691" s="1" t="s">
        <v>766</v>
      </c>
      <c r="C4691" s="1" t="s">
        <v>47</v>
      </c>
      <c r="D4691" s="1" t="s">
        <v>26</v>
      </c>
      <c r="E4691" s="1" t="s">
        <v>113</v>
      </c>
      <c r="F4691">
        <v>1</v>
      </c>
      <c r="G4691" s="2">
        <v>46257</v>
      </c>
      <c r="H4691" s="2">
        <v>46271</v>
      </c>
      <c r="I4691">
        <v>1037.8800000000001</v>
      </c>
      <c r="M4691" s="1" t="s">
        <v>32</v>
      </c>
      <c r="N4691" s="1" t="s">
        <v>33</v>
      </c>
      <c r="O4691" s="2">
        <v>46295</v>
      </c>
      <c r="P4691" s="2"/>
      <c r="Q4691">
        <f>_xlfn.XLOOKUP(E4691,CPT!$A$2:$A$13,CPT!$D$2:$D$13)</f>
        <v>1050</v>
      </c>
      <c r="R4691" s="1">
        <f>_xlfn.XLOOKUP(C4691,Contract!$A$2:$A$9,Contract!$B$2:$B$9)</f>
        <v>0.28000000000000003</v>
      </c>
      <c r="S4691" s="1">
        <f t="shared" si="292"/>
        <v>294</v>
      </c>
      <c r="T4691" s="1" t="str">
        <f t="shared" si="293"/>
        <v/>
      </c>
      <c r="U4691" s="1" t="str">
        <f t="shared" si="294"/>
        <v/>
      </c>
      <c r="V4691" s="1" t="str">
        <f>_xlfn.XLOOKUP(C4691,Payers!$A$2:$A$9,Payers!$B$2:$B$9)</f>
        <v>Coastal Medicaid MCO</v>
      </c>
      <c r="W4691" s="1" t="str">
        <f t="shared" si="295"/>
        <v>2026-08</v>
      </c>
    </row>
    <row r="4692" spans="1:23">
      <c r="A4692" s="1" t="s">
        <v>7332</v>
      </c>
      <c r="B4692" s="1" t="s">
        <v>5669</v>
      </c>
      <c r="C4692" s="1" t="s">
        <v>18</v>
      </c>
      <c r="D4692" s="1" t="s">
        <v>26</v>
      </c>
      <c r="E4692" s="1" t="s">
        <v>41</v>
      </c>
      <c r="F4692">
        <v>1</v>
      </c>
      <c r="G4692" s="2">
        <v>45990</v>
      </c>
      <c r="H4692" s="2">
        <v>45993</v>
      </c>
      <c r="I4692">
        <v>38.14</v>
      </c>
      <c r="J4692">
        <v>13.53</v>
      </c>
      <c r="K4692">
        <v>13.53</v>
      </c>
      <c r="L4692">
        <v>0</v>
      </c>
      <c r="M4692" s="1" t="s">
        <v>21</v>
      </c>
      <c r="N4692" s="1" t="s">
        <v>22</v>
      </c>
      <c r="O4692" s="2">
        <v>46043</v>
      </c>
      <c r="P4692" s="2">
        <v>46043</v>
      </c>
      <c r="Q4692">
        <f>_xlfn.XLOOKUP(E4692,CPT!$A$2:$A$13,CPT!$D$2:$D$13)</f>
        <v>38</v>
      </c>
      <c r="R4692" s="1">
        <f>_xlfn.XLOOKUP(C4692,Contract!$A$2:$A$9,Contract!$B$2:$B$9)</f>
        <v>0.38</v>
      </c>
      <c r="S4692" s="1">
        <f t="shared" si="292"/>
        <v>14.44</v>
      </c>
      <c r="T4692" s="1">
        <f t="shared" si="293"/>
        <v>0.91000000000000014</v>
      </c>
      <c r="U4692" s="1" t="str">
        <f t="shared" si="294"/>
        <v>Underpaid</v>
      </c>
      <c r="V4692" s="1" t="str">
        <f>_xlfn.XLOOKUP(C4692,Payers!$A$2:$A$9,Payers!$B$2:$B$9)</f>
        <v>Sunshine Medicare Advantage</v>
      </c>
      <c r="W4692" s="1" t="str">
        <f t="shared" si="295"/>
        <v>2025-11</v>
      </c>
    </row>
    <row r="4693" spans="1:23">
      <c r="A4693" s="1" t="s">
        <v>7333</v>
      </c>
      <c r="B4693" s="1" t="s">
        <v>388</v>
      </c>
      <c r="C4693" s="1" t="s">
        <v>25</v>
      </c>
      <c r="D4693" s="1" t="s">
        <v>19</v>
      </c>
      <c r="E4693" s="1" t="s">
        <v>57</v>
      </c>
      <c r="F4693">
        <v>1</v>
      </c>
      <c r="G4693" s="2">
        <v>45944</v>
      </c>
      <c r="H4693" s="2">
        <v>45953</v>
      </c>
      <c r="I4693">
        <v>205.87</v>
      </c>
      <c r="J4693">
        <v>82.94</v>
      </c>
      <c r="K4693">
        <v>66.349999999999994</v>
      </c>
      <c r="L4693">
        <v>16.59</v>
      </c>
      <c r="M4693" s="1" t="s">
        <v>21</v>
      </c>
      <c r="N4693" s="1" t="s">
        <v>22</v>
      </c>
      <c r="O4693" s="2">
        <v>45958</v>
      </c>
      <c r="P4693" s="2">
        <v>45958</v>
      </c>
      <c r="Q4693">
        <f>_xlfn.XLOOKUP(E4693,CPT!$A$2:$A$13,CPT!$D$2:$D$13)</f>
        <v>210</v>
      </c>
      <c r="R4693" s="1">
        <f>_xlfn.XLOOKUP(C4693,Contract!$A$2:$A$9,Contract!$B$2:$B$9)</f>
        <v>0.36</v>
      </c>
      <c r="S4693" s="1">
        <f t="shared" si="292"/>
        <v>75.599999999999994</v>
      </c>
      <c r="T4693" s="1">
        <f t="shared" si="293"/>
        <v>-7.3400000000000034</v>
      </c>
      <c r="U4693" s="1" t="str">
        <f t="shared" si="294"/>
        <v>OK</v>
      </c>
      <c r="V4693" s="1" t="str">
        <f>_xlfn.XLOOKUP(C4693,Payers!$A$2:$A$9,Payers!$B$2:$B$9)</f>
        <v>Medicare Part B</v>
      </c>
      <c r="W4693" s="1" t="str">
        <f t="shared" si="295"/>
        <v>2025-10</v>
      </c>
    </row>
    <row r="4694" spans="1:23">
      <c r="A4694" s="1" t="s">
        <v>7334</v>
      </c>
      <c r="B4694" s="1" t="s">
        <v>2010</v>
      </c>
      <c r="C4694" s="1" t="s">
        <v>60</v>
      </c>
      <c r="D4694" s="1" t="s">
        <v>37</v>
      </c>
      <c r="E4694" s="1" t="s">
        <v>38</v>
      </c>
      <c r="F4694">
        <v>10</v>
      </c>
      <c r="G4694" s="2">
        <v>46002</v>
      </c>
      <c r="H4694" s="2">
        <v>46003</v>
      </c>
      <c r="I4694">
        <v>14176.21</v>
      </c>
      <c r="J4694">
        <v>6875.06</v>
      </c>
      <c r="K4694">
        <v>6187.55</v>
      </c>
      <c r="L4694">
        <v>687.51</v>
      </c>
      <c r="M4694" s="1" t="s">
        <v>21</v>
      </c>
      <c r="N4694" s="1" t="s">
        <v>22</v>
      </c>
      <c r="O4694" s="2">
        <v>46041</v>
      </c>
      <c r="P4694" s="2">
        <v>46041</v>
      </c>
      <c r="Q4694">
        <f>_xlfn.XLOOKUP(E4694,CPT!$A$2:$A$13,CPT!$D$2:$D$13)</f>
        <v>1450</v>
      </c>
      <c r="R4694" s="1">
        <f>_xlfn.XLOOKUP(C4694,Contract!$A$2:$A$9,Contract!$B$2:$B$9)</f>
        <v>0.45</v>
      </c>
      <c r="S4694" s="1">
        <f t="shared" si="292"/>
        <v>6525</v>
      </c>
      <c r="T4694" s="1">
        <f t="shared" si="293"/>
        <v>-350.0600000000004</v>
      </c>
      <c r="U4694" s="1" t="str">
        <f t="shared" si="294"/>
        <v>OK</v>
      </c>
      <c r="V4694" s="1" t="str">
        <f>_xlfn.XLOOKUP(C4694,Payers!$A$2:$A$9,Payers!$B$2:$B$9)</f>
        <v>Blue Horizon Commercial</v>
      </c>
      <c r="W4694" s="1" t="str">
        <f t="shared" si="295"/>
        <v>2025-12</v>
      </c>
    </row>
    <row r="4695" spans="1:23">
      <c r="A4695" s="1" t="s">
        <v>7335</v>
      </c>
      <c r="B4695" s="1" t="s">
        <v>7336</v>
      </c>
      <c r="C4695" s="1" t="s">
        <v>25</v>
      </c>
      <c r="D4695" s="1" t="s">
        <v>30</v>
      </c>
      <c r="E4695" s="1" t="s">
        <v>31</v>
      </c>
      <c r="F4695">
        <v>1</v>
      </c>
      <c r="G4695" s="2">
        <v>46201</v>
      </c>
      <c r="H4695" s="2">
        <v>46203</v>
      </c>
      <c r="I4695">
        <v>61.22</v>
      </c>
      <c r="J4695">
        <v>24.43</v>
      </c>
      <c r="K4695">
        <v>24.43</v>
      </c>
      <c r="L4695">
        <v>0</v>
      </c>
      <c r="M4695" s="1" t="s">
        <v>21</v>
      </c>
      <c r="N4695" s="1" t="s">
        <v>22</v>
      </c>
      <c r="O4695" s="2">
        <v>46222</v>
      </c>
      <c r="P4695" s="2">
        <v>46222</v>
      </c>
      <c r="Q4695">
        <f>_xlfn.XLOOKUP(E4695,CPT!$A$2:$A$13,CPT!$D$2:$D$13)</f>
        <v>62</v>
      </c>
      <c r="R4695" s="1">
        <f>_xlfn.XLOOKUP(C4695,Contract!$A$2:$A$9,Contract!$B$2:$B$9)</f>
        <v>0.36</v>
      </c>
      <c r="S4695" s="1">
        <f t="shared" si="292"/>
        <v>22.32</v>
      </c>
      <c r="T4695" s="1">
        <f t="shared" si="293"/>
        <v>-2.1099999999999994</v>
      </c>
      <c r="U4695" s="1" t="str">
        <f t="shared" si="294"/>
        <v>OK</v>
      </c>
      <c r="V4695" s="1" t="str">
        <f>_xlfn.XLOOKUP(C4695,Payers!$A$2:$A$9,Payers!$B$2:$B$9)</f>
        <v>Medicare Part B</v>
      </c>
      <c r="W4695" s="1" t="str">
        <f t="shared" si="295"/>
        <v>2026-06</v>
      </c>
    </row>
    <row r="4696" spans="1:23">
      <c r="A4696" s="1" t="s">
        <v>7337</v>
      </c>
      <c r="B4696" s="1" t="s">
        <v>1592</v>
      </c>
      <c r="C4696" s="1" t="s">
        <v>76</v>
      </c>
      <c r="D4696" s="1" t="s">
        <v>19</v>
      </c>
      <c r="E4696" s="1" t="s">
        <v>57</v>
      </c>
      <c r="F4696">
        <v>1</v>
      </c>
      <c r="G4696" s="2">
        <v>46169</v>
      </c>
      <c r="H4696" s="2">
        <v>46179</v>
      </c>
      <c r="I4696">
        <v>214.09</v>
      </c>
      <c r="J4696">
        <v>80.12</v>
      </c>
      <c r="K4696">
        <v>80.12</v>
      </c>
      <c r="L4696">
        <v>0</v>
      </c>
      <c r="M4696" s="1" t="s">
        <v>21</v>
      </c>
      <c r="N4696" s="1" t="s">
        <v>22</v>
      </c>
      <c r="O4696" s="2">
        <v>46219</v>
      </c>
      <c r="P4696" s="2">
        <v>46219</v>
      </c>
      <c r="Q4696">
        <f>_xlfn.XLOOKUP(E4696,CPT!$A$2:$A$13,CPT!$D$2:$D$13)</f>
        <v>210</v>
      </c>
      <c r="R4696" s="1">
        <f>_xlfn.XLOOKUP(C4696,Contract!$A$2:$A$9,Contract!$B$2:$B$9)</f>
        <v>0.43</v>
      </c>
      <c r="S4696" s="1">
        <f t="shared" si="292"/>
        <v>90.3</v>
      </c>
      <c r="T4696" s="1">
        <f t="shared" si="293"/>
        <v>10.179999999999993</v>
      </c>
      <c r="U4696" s="1" t="str">
        <f t="shared" si="294"/>
        <v>Underpaid</v>
      </c>
      <c r="V4696" s="1" t="str">
        <f>_xlfn.XLOOKUP(C4696,Payers!$A$2:$A$9,Payers!$B$2:$B$9)</f>
        <v>Summit Health Commercial</v>
      </c>
      <c r="W4696" s="1" t="str">
        <f t="shared" si="295"/>
        <v>2026-05</v>
      </c>
    </row>
    <row r="4697" spans="1:23">
      <c r="A4697" s="1" t="s">
        <v>7338</v>
      </c>
      <c r="B4697" s="1" t="s">
        <v>530</v>
      </c>
      <c r="C4697" s="1" t="s">
        <v>60</v>
      </c>
      <c r="D4697" s="1" t="s">
        <v>19</v>
      </c>
      <c r="E4697" s="1" t="s">
        <v>88</v>
      </c>
      <c r="F4697">
        <v>1</v>
      </c>
      <c r="G4697" s="2">
        <v>46137</v>
      </c>
      <c r="H4697" s="2">
        <v>46141</v>
      </c>
      <c r="I4697">
        <v>260.23</v>
      </c>
      <c r="J4697">
        <v>115.72</v>
      </c>
      <c r="K4697">
        <v>92.58</v>
      </c>
      <c r="L4697">
        <v>23.14</v>
      </c>
      <c r="M4697" s="1" t="s">
        <v>21</v>
      </c>
      <c r="N4697" s="1" t="s">
        <v>22</v>
      </c>
      <c r="O4697" s="2">
        <v>46175</v>
      </c>
      <c r="P4697" s="2">
        <v>46175</v>
      </c>
      <c r="Q4697">
        <f>_xlfn.XLOOKUP(E4697,CPT!$A$2:$A$13,CPT!$D$2:$D$13)</f>
        <v>260</v>
      </c>
      <c r="R4697" s="1">
        <f>_xlfn.XLOOKUP(C4697,Contract!$A$2:$A$9,Contract!$B$2:$B$9)</f>
        <v>0.45</v>
      </c>
      <c r="S4697" s="1">
        <f t="shared" si="292"/>
        <v>117</v>
      </c>
      <c r="T4697" s="1">
        <f t="shared" si="293"/>
        <v>1.2800000000000011</v>
      </c>
      <c r="U4697" s="1" t="str">
        <f t="shared" si="294"/>
        <v>OK</v>
      </c>
      <c r="V4697" s="1" t="str">
        <f>_xlfn.XLOOKUP(C4697,Payers!$A$2:$A$9,Payers!$B$2:$B$9)</f>
        <v>Blue Horizon Commercial</v>
      </c>
      <c r="W4697" s="1" t="str">
        <f t="shared" si="295"/>
        <v>2026-04</v>
      </c>
    </row>
    <row r="4698" spans="1:23">
      <c r="A4698" s="1" t="s">
        <v>7339</v>
      </c>
      <c r="B4698" s="1" t="s">
        <v>1761</v>
      </c>
      <c r="C4698" s="1" t="s">
        <v>47</v>
      </c>
      <c r="D4698" s="1" t="s">
        <v>26</v>
      </c>
      <c r="E4698" s="1" t="s">
        <v>113</v>
      </c>
      <c r="F4698">
        <v>1</v>
      </c>
      <c r="G4698" s="2">
        <v>46031</v>
      </c>
      <c r="H4698" s="2">
        <v>46032</v>
      </c>
      <c r="I4698">
        <v>1026.1300000000001</v>
      </c>
      <c r="J4698">
        <v>272.79000000000002</v>
      </c>
      <c r="K4698">
        <v>245.51</v>
      </c>
      <c r="L4698">
        <v>27.28</v>
      </c>
      <c r="M4698" s="1" t="s">
        <v>21</v>
      </c>
      <c r="N4698" s="1" t="s">
        <v>22</v>
      </c>
      <c r="O4698" s="2">
        <v>46101</v>
      </c>
      <c r="P4698" s="2">
        <v>46101</v>
      </c>
      <c r="Q4698">
        <f>_xlfn.XLOOKUP(E4698,CPT!$A$2:$A$13,CPT!$D$2:$D$13)</f>
        <v>1050</v>
      </c>
      <c r="R4698" s="1">
        <f>_xlfn.XLOOKUP(C4698,Contract!$A$2:$A$9,Contract!$B$2:$B$9)</f>
        <v>0.28000000000000003</v>
      </c>
      <c r="S4698" s="1">
        <f t="shared" si="292"/>
        <v>294</v>
      </c>
      <c r="T4698" s="1">
        <f t="shared" si="293"/>
        <v>21.20999999999998</v>
      </c>
      <c r="U4698" s="1" t="str">
        <f t="shared" si="294"/>
        <v>Underpaid</v>
      </c>
      <c r="V4698" s="1" t="str">
        <f>_xlfn.XLOOKUP(C4698,Payers!$A$2:$A$9,Payers!$B$2:$B$9)</f>
        <v>Coastal Medicaid MCO</v>
      </c>
      <c r="W4698" s="1" t="str">
        <f t="shared" si="295"/>
        <v>2026-01</v>
      </c>
    </row>
    <row r="4699" spans="1:23">
      <c r="A4699" s="1" t="s">
        <v>7340</v>
      </c>
      <c r="B4699" s="1" t="s">
        <v>5151</v>
      </c>
      <c r="C4699" s="1" t="s">
        <v>60</v>
      </c>
      <c r="D4699" s="1" t="s">
        <v>19</v>
      </c>
      <c r="E4699" s="1" t="s">
        <v>57</v>
      </c>
      <c r="F4699">
        <v>1</v>
      </c>
      <c r="G4699" s="2">
        <v>46168</v>
      </c>
      <c r="H4699" s="2">
        <v>46181</v>
      </c>
      <c r="I4699">
        <v>213.59</v>
      </c>
      <c r="J4699">
        <v>101.95</v>
      </c>
      <c r="K4699">
        <v>91.75</v>
      </c>
      <c r="L4699">
        <v>10.199999999999999</v>
      </c>
      <c r="M4699" s="1" t="s">
        <v>21</v>
      </c>
      <c r="N4699" s="1" t="s">
        <v>22</v>
      </c>
      <c r="O4699" s="2">
        <v>46214</v>
      </c>
      <c r="P4699" s="2">
        <v>46214</v>
      </c>
      <c r="Q4699">
        <f>_xlfn.XLOOKUP(E4699,CPT!$A$2:$A$13,CPT!$D$2:$D$13)</f>
        <v>210</v>
      </c>
      <c r="R4699" s="1">
        <f>_xlfn.XLOOKUP(C4699,Contract!$A$2:$A$9,Contract!$B$2:$B$9)</f>
        <v>0.45</v>
      </c>
      <c r="S4699" s="1">
        <f t="shared" si="292"/>
        <v>94.5</v>
      </c>
      <c r="T4699" s="1">
        <f t="shared" si="293"/>
        <v>-7.4500000000000028</v>
      </c>
      <c r="U4699" s="1" t="str">
        <f t="shared" si="294"/>
        <v>OK</v>
      </c>
      <c r="V4699" s="1" t="str">
        <f>_xlfn.XLOOKUP(C4699,Payers!$A$2:$A$9,Payers!$B$2:$B$9)</f>
        <v>Blue Horizon Commercial</v>
      </c>
      <c r="W4699" s="1" t="str">
        <f t="shared" si="295"/>
        <v>2026-05</v>
      </c>
    </row>
    <row r="4700" spans="1:23">
      <c r="A4700" s="1" t="s">
        <v>7341</v>
      </c>
      <c r="B4700" s="1" t="s">
        <v>4798</v>
      </c>
      <c r="C4700" s="1" t="s">
        <v>47</v>
      </c>
      <c r="D4700" s="1" t="s">
        <v>30</v>
      </c>
      <c r="E4700" s="1" t="s">
        <v>91</v>
      </c>
      <c r="F4700">
        <v>2</v>
      </c>
      <c r="G4700" s="2">
        <v>46269</v>
      </c>
      <c r="H4700" s="2">
        <v>46271</v>
      </c>
      <c r="I4700">
        <v>116.75</v>
      </c>
      <c r="M4700" s="1" t="s">
        <v>69</v>
      </c>
      <c r="N4700" s="1" t="s">
        <v>22</v>
      </c>
      <c r="O4700" s="2"/>
      <c r="P4700" s="2"/>
      <c r="Q4700">
        <f>_xlfn.XLOOKUP(E4700,CPT!$A$2:$A$13,CPT!$D$2:$D$13)</f>
        <v>58</v>
      </c>
      <c r="R4700" s="1">
        <f>_xlfn.XLOOKUP(C4700,Contract!$A$2:$A$9,Contract!$B$2:$B$9)</f>
        <v>0.28000000000000003</v>
      </c>
      <c r="S4700" s="1">
        <f t="shared" si="292"/>
        <v>32.479999999999997</v>
      </c>
      <c r="T4700" s="1" t="str">
        <f t="shared" si="293"/>
        <v/>
      </c>
      <c r="U4700" s="1" t="str">
        <f t="shared" si="294"/>
        <v/>
      </c>
      <c r="V4700" s="1" t="str">
        <f>_xlfn.XLOOKUP(C4700,Payers!$A$2:$A$9,Payers!$B$2:$B$9)</f>
        <v>Coastal Medicaid MCO</v>
      </c>
      <c r="W4700" s="1" t="str">
        <f t="shared" si="295"/>
        <v>2026-09</v>
      </c>
    </row>
    <row r="4701" spans="1:23">
      <c r="A4701" s="1" t="s">
        <v>7342</v>
      </c>
      <c r="B4701" s="1" t="s">
        <v>1990</v>
      </c>
      <c r="C4701" s="1" t="s">
        <v>76</v>
      </c>
      <c r="D4701" s="1" t="s">
        <v>19</v>
      </c>
      <c r="E4701" s="1" t="s">
        <v>88</v>
      </c>
      <c r="F4701">
        <v>1</v>
      </c>
      <c r="G4701" s="2">
        <v>45992</v>
      </c>
      <c r="H4701" s="2">
        <v>45998</v>
      </c>
      <c r="I4701">
        <v>256.54000000000002</v>
      </c>
      <c r="J4701">
        <v>93.2</v>
      </c>
      <c r="K4701">
        <v>93.2</v>
      </c>
      <c r="L4701">
        <v>0</v>
      </c>
      <c r="M4701" s="1" t="s">
        <v>21</v>
      </c>
      <c r="N4701" s="1" t="s">
        <v>22</v>
      </c>
      <c r="O4701" s="2">
        <v>46041</v>
      </c>
      <c r="P4701" s="2">
        <v>46041</v>
      </c>
      <c r="Q4701">
        <f>_xlfn.XLOOKUP(E4701,CPT!$A$2:$A$13,CPT!$D$2:$D$13)</f>
        <v>260</v>
      </c>
      <c r="R4701" s="1">
        <f>_xlfn.XLOOKUP(C4701,Contract!$A$2:$A$9,Contract!$B$2:$B$9)</f>
        <v>0.43</v>
      </c>
      <c r="S4701" s="1">
        <f t="shared" si="292"/>
        <v>111.8</v>
      </c>
      <c r="T4701" s="1">
        <f t="shared" si="293"/>
        <v>18.599999999999994</v>
      </c>
      <c r="U4701" s="1" t="str">
        <f t="shared" si="294"/>
        <v>Underpaid</v>
      </c>
      <c r="V4701" s="1" t="str">
        <f>_xlfn.XLOOKUP(C4701,Payers!$A$2:$A$9,Payers!$B$2:$B$9)</f>
        <v>Summit Health Commercial</v>
      </c>
      <c r="W4701" s="1" t="str">
        <f t="shared" si="295"/>
        <v>2025-12</v>
      </c>
    </row>
    <row r="4702" spans="1:23">
      <c r="A4702" s="1" t="s">
        <v>7343</v>
      </c>
      <c r="B4702" s="1" t="s">
        <v>1407</v>
      </c>
      <c r="C4702" s="1" t="s">
        <v>18</v>
      </c>
      <c r="D4702" s="1" t="s">
        <v>37</v>
      </c>
      <c r="E4702" s="1" t="s">
        <v>38</v>
      </c>
      <c r="F4702">
        <v>20</v>
      </c>
      <c r="G4702" s="2">
        <v>46158</v>
      </c>
      <c r="H4702" s="2">
        <v>46161</v>
      </c>
      <c r="I4702">
        <v>28462.97</v>
      </c>
      <c r="J4702">
        <v>9524.19</v>
      </c>
      <c r="K4702">
        <v>9524.19</v>
      </c>
      <c r="L4702">
        <v>0</v>
      </c>
      <c r="M4702" s="1" t="s">
        <v>21</v>
      </c>
      <c r="N4702" s="1" t="s">
        <v>22</v>
      </c>
      <c r="O4702" s="2">
        <v>46213</v>
      </c>
      <c r="P4702" s="2">
        <v>46213</v>
      </c>
      <c r="Q4702">
        <f>_xlfn.XLOOKUP(E4702,CPT!$A$2:$A$13,CPT!$D$2:$D$13)</f>
        <v>1450</v>
      </c>
      <c r="R4702" s="1">
        <f>_xlfn.XLOOKUP(C4702,Contract!$A$2:$A$9,Contract!$B$2:$B$9)</f>
        <v>0.38</v>
      </c>
      <c r="S4702" s="1">
        <f t="shared" si="292"/>
        <v>11020</v>
      </c>
      <c r="T4702" s="1">
        <f t="shared" si="293"/>
        <v>1495.8099999999995</v>
      </c>
      <c r="U4702" s="1" t="str">
        <f t="shared" si="294"/>
        <v>Underpaid</v>
      </c>
      <c r="V4702" s="1" t="str">
        <f>_xlfn.XLOOKUP(C4702,Payers!$A$2:$A$9,Payers!$B$2:$B$9)</f>
        <v>Sunshine Medicare Advantage</v>
      </c>
      <c r="W4702" s="1" t="str">
        <f t="shared" si="295"/>
        <v>2026-05</v>
      </c>
    </row>
    <row r="4703" spans="1:23">
      <c r="A4703" s="1" t="s">
        <v>7344</v>
      </c>
      <c r="B4703" s="1" t="s">
        <v>7345</v>
      </c>
      <c r="C4703" s="1" t="s">
        <v>76</v>
      </c>
      <c r="D4703" s="1" t="s">
        <v>30</v>
      </c>
      <c r="E4703" s="1" t="s">
        <v>31</v>
      </c>
      <c r="F4703">
        <v>4</v>
      </c>
      <c r="G4703" s="2">
        <v>46270</v>
      </c>
      <c r="H4703" s="2">
        <v>46272</v>
      </c>
      <c r="I4703">
        <v>248.63</v>
      </c>
      <c r="M4703" s="1" t="s">
        <v>69</v>
      </c>
      <c r="N4703" s="1" t="s">
        <v>22</v>
      </c>
      <c r="O4703" s="2"/>
      <c r="P4703" s="2"/>
      <c r="Q4703">
        <f>_xlfn.XLOOKUP(E4703,CPT!$A$2:$A$13,CPT!$D$2:$D$13)</f>
        <v>62</v>
      </c>
      <c r="R4703" s="1">
        <f>_xlfn.XLOOKUP(C4703,Contract!$A$2:$A$9,Contract!$B$2:$B$9)</f>
        <v>0.43</v>
      </c>
      <c r="S4703" s="1">
        <f t="shared" si="292"/>
        <v>106.64</v>
      </c>
      <c r="T4703" s="1" t="str">
        <f t="shared" si="293"/>
        <v/>
      </c>
      <c r="U4703" s="1" t="str">
        <f t="shared" si="294"/>
        <v/>
      </c>
      <c r="V4703" s="1" t="str">
        <f>_xlfn.XLOOKUP(C4703,Payers!$A$2:$A$9,Payers!$B$2:$B$9)</f>
        <v>Summit Health Commercial</v>
      </c>
      <c r="W4703" s="1" t="str">
        <f t="shared" si="295"/>
        <v>2026-09</v>
      </c>
    </row>
    <row r="4704" spans="1:23">
      <c r="A4704" s="1" t="s">
        <v>7346</v>
      </c>
      <c r="B4704" s="1" t="s">
        <v>1385</v>
      </c>
      <c r="C4704" s="1" t="s">
        <v>18</v>
      </c>
      <c r="D4704" s="1" t="s">
        <v>37</v>
      </c>
      <c r="E4704" s="1" t="s">
        <v>38</v>
      </c>
      <c r="F4704">
        <v>20</v>
      </c>
      <c r="G4704" s="2">
        <v>46068</v>
      </c>
      <c r="H4704" s="2">
        <v>46070</v>
      </c>
      <c r="I4704">
        <v>28207.26</v>
      </c>
      <c r="M4704" s="1" t="s">
        <v>32</v>
      </c>
      <c r="N4704" s="1" t="s">
        <v>49</v>
      </c>
      <c r="O4704" s="2">
        <v>46106</v>
      </c>
      <c r="P4704" s="2"/>
      <c r="Q4704">
        <f>_xlfn.XLOOKUP(E4704,CPT!$A$2:$A$13,CPT!$D$2:$D$13)</f>
        <v>1450</v>
      </c>
      <c r="R4704" s="1">
        <f>_xlfn.XLOOKUP(C4704,Contract!$A$2:$A$9,Contract!$B$2:$B$9)</f>
        <v>0.38</v>
      </c>
      <c r="S4704" s="1">
        <f t="shared" si="292"/>
        <v>11020</v>
      </c>
      <c r="T4704" s="1" t="str">
        <f t="shared" si="293"/>
        <v/>
      </c>
      <c r="U4704" s="1" t="str">
        <f t="shared" si="294"/>
        <v/>
      </c>
      <c r="V4704" s="1" t="str">
        <f>_xlfn.XLOOKUP(C4704,Payers!$A$2:$A$9,Payers!$B$2:$B$9)</f>
        <v>Sunshine Medicare Advantage</v>
      </c>
      <c r="W4704" s="1" t="str">
        <f t="shared" si="295"/>
        <v>2026-02</v>
      </c>
    </row>
    <row r="4705" spans="1:23">
      <c r="A4705" s="1" t="s">
        <v>7347</v>
      </c>
      <c r="B4705" s="1" t="s">
        <v>2362</v>
      </c>
      <c r="C4705" s="1" t="s">
        <v>25</v>
      </c>
      <c r="D4705" s="1" t="s">
        <v>19</v>
      </c>
      <c r="E4705" s="1" t="s">
        <v>20</v>
      </c>
      <c r="F4705">
        <v>1</v>
      </c>
      <c r="G4705" s="2">
        <v>46126</v>
      </c>
      <c r="H4705" s="2">
        <v>46132</v>
      </c>
      <c r="I4705">
        <v>142.07</v>
      </c>
      <c r="J4705">
        <v>55.16</v>
      </c>
      <c r="K4705">
        <v>55.16</v>
      </c>
      <c r="L4705">
        <v>0</v>
      </c>
      <c r="M4705" s="1" t="s">
        <v>21</v>
      </c>
      <c r="N4705" s="1" t="s">
        <v>22</v>
      </c>
      <c r="O4705" s="2">
        <v>46148</v>
      </c>
      <c r="P4705" s="2">
        <v>46148</v>
      </c>
      <c r="Q4705">
        <f>_xlfn.XLOOKUP(E4705,CPT!$A$2:$A$13,CPT!$D$2:$D$13)</f>
        <v>145</v>
      </c>
      <c r="R4705" s="1">
        <f>_xlfn.XLOOKUP(C4705,Contract!$A$2:$A$9,Contract!$B$2:$B$9)</f>
        <v>0.36</v>
      </c>
      <c r="S4705" s="1">
        <f t="shared" si="292"/>
        <v>52.2</v>
      </c>
      <c r="T4705" s="1">
        <f t="shared" si="293"/>
        <v>-2.9599999999999937</v>
      </c>
      <c r="U4705" s="1" t="str">
        <f t="shared" si="294"/>
        <v>OK</v>
      </c>
      <c r="V4705" s="1" t="str">
        <f>_xlfn.XLOOKUP(C4705,Payers!$A$2:$A$9,Payers!$B$2:$B$9)</f>
        <v>Medicare Part B</v>
      </c>
      <c r="W4705" s="1" t="str">
        <f t="shared" si="295"/>
        <v>2026-04</v>
      </c>
    </row>
    <row r="4706" spans="1:23">
      <c r="A4706" s="1" t="s">
        <v>7348</v>
      </c>
      <c r="B4706" s="1" t="s">
        <v>1676</v>
      </c>
      <c r="C4706" s="1" t="s">
        <v>52</v>
      </c>
      <c r="D4706" s="1" t="s">
        <v>30</v>
      </c>
      <c r="E4706" s="1" t="s">
        <v>91</v>
      </c>
      <c r="F4706">
        <v>1</v>
      </c>
      <c r="G4706" s="2">
        <v>46226</v>
      </c>
      <c r="H4706" s="2">
        <v>46227</v>
      </c>
      <c r="I4706">
        <v>57.25</v>
      </c>
      <c r="J4706">
        <v>26.12</v>
      </c>
      <c r="K4706">
        <v>23.51</v>
      </c>
      <c r="L4706">
        <v>2.61</v>
      </c>
      <c r="M4706" s="1" t="s">
        <v>21</v>
      </c>
      <c r="N4706" s="1" t="s">
        <v>22</v>
      </c>
      <c r="O4706" s="2">
        <v>46280</v>
      </c>
      <c r="P4706" s="2">
        <v>46280</v>
      </c>
      <c r="Q4706">
        <f>_xlfn.XLOOKUP(E4706,CPT!$A$2:$A$13,CPT!$D$2:$D$13)</f>
        <v>58</v>
      </c>
      <c r="R4706" s="1">
        <f>_xlfn.XLOOKUP(C4706,Contract!$A$2:$A$9,Contract!$B$2:$B$9)</f>
        <v>0.47</v>
      </c>
      <c r="S4706" s="1">
        <f t="shared" si="292"/>
        <v>27.26</v>
      </c>
      <c r="T4706" s="1">
        <f t="shared" si="293"/>
        <v>1.1400000000000006</v>
      </c>
      <c r="U4706" s="1" t="str">
        <f t="shared" si="294"/>
        <v>OK</v>
      </c>
      <c r="V4706" s="1" t="str">
        <f>_xlfn.XLOOKUP(C4706,Payers!$A$2:$A$9,Payers!$B$2:$B$9)</f>
        <v>Keystone Commercial PPO</v>
      </c>
      <c r="W4706" s="1" t="str">
        <f t="shared" si="295"/>
        <v>2026-07</v>
      </c>
    </row>
    <row r="4707" spans="1:23">
      <c r="A4707" s="1" t="s">
        <v>7349</v>
      </c>
      <c r="B4707" s="1" t="s">
        <v>5826</v>
      </c>
      <c r="C4707" s="1" t="s">
        <v>18</v>
      </c>
      <c r="D4707" s="1" t="s">
        <v>19</v>
      </c>
      <c r="E4707" s="1" t="s">
        <v>88</v>
      </c>
      <c r="F4707">
        <v>1</v>
      </c>
      <c r="G4707" s="2">
        <v>45955</v>
      </c>
      <c r="H4707" s="2">
        <v>45958</v>
      </c>
      <c r="I4707">
        <v>262.32</v>
      </c>
      <c r="J4707">
        <v>108.84</v>
      </c>
      <c r="K4707">
        <v>87.07</v>
      </c>
      <c r="L4707">
        <v>21.77</v>
      </c>
      <c r="M4707" s="1" t="s">
        <v>21</v>
      </c>
      <c r="N4707" s="1" t="s">
        <v>22</v>
      </c>
      <c r="O4707" s="2">
        <v>46004</v>
      </c>
      <c r="P4707" s="2">
        <v>46004</v>
      </c>
      <c r="Q4707">
        <f>_xlfn.XLOOKUP(E4707,CPT!$A$2:$A$13,CPT!$D$2:$D$13)</f>
        <v>260</v>
      </c>
      <c r="R4707" s="1">
        <f>_xlfn.XLOOKUP(C4707,Contract!$A$2:$A$9,Contract!$B$2:$B$9)</f>
        <v>0.38</v>
      </c>
      <c r="S4707" s="1">
        <f t="shared" si="292"/>
        <v>98.8</v>
      </c>
      <c r="T4707" s="1">
        <f t="shared" si="293"/>
        <v>-10.040000000000006</v>
      </c>
      <c r="U4707" s="1" t="str">
        <f t="shared" si="294"/>
        <v>OK</v>
      </c>
      <c r="V4707" s="1" t="str">
        <f>_xlfn.XLOOKUP(C4707,Payers!$A$2:$A$9,Payers!$B$2:$B$9)</f>
        <v>Sunshine Medicare Advantage</v>
      </c>
      <c r="W4707" s="1" t="str">
        <f t="shared" si="295"/>
        <v>2025-10</v>
      </c>
    </row>
    <row r="4708" spans="1:23">
      <c r="A4708" s="1" t="s">
        <v>7350</v>
      </c>
      <c r="B4708" s="1" t="s">
        <v>327</v>
      </c>
      <c r="C4708" s="1" t="s">
        <v>60</v>
      </c>
      <c r="D4708" s="1" t="s">
        <v>26</v>
      </c>
      <c r="E4708" s="1" t="s">
        <v>41</v>
      </c>
      <c r="F4708">
        <v>1</v>
      </c>
      <c r="G4708" s="2">
        <v>46191</v>
      </c>
      <c r="H4708" s="2">
        <v>46193</v>
      </c>
      <c r="I4708">
        <v>38.979999999999997</v>
      </c>
      <c r="J4708">
        <v>15.55</v>
      </c>
      <c r="K4708">
        <v>13.99</v>
      </c>
      <c r="L4708">
        <v>1.56</v>
      </c>
      <c r="M4708" s="1" t="s">
        <v>21</v>
      </c>
      <c r="N4708" s="1" t="s">
        <v>22</v>
      </c>
      <c r="O4708" s="2">
        <v>46221</v>
      </c>
      <c r="P4708" s="2">
        <v>46221</v>
      </c>
      <c r="Q4708">
        <f>_xlfn.XLOOKUP(E4708,CPT!$A$2:$A$13,CPT!$D$2:$D$13)</f>
        <v>38</v>
      </c>
      <c r="R4708" s="1">
        <f>_xlfn.XLOOKUP(C4708,Contract!$A$2:$A$9,Contract!$B$2:$B$9)</f>
        <v>0.45</v>
      </c>
      <c r="S4708" s="1">
        <f t="shared" si="292"/>
        <v>17.100000000000001</v>
      </c>
      <c r="T4708" s="1">
        <f t="shared" si="293"/>
        <v>1.5500000000000007</v>
      </c>
      <c r="U4708" s="1" t="str">
        <f t="shared" si="294"/>
        <v>Underpaid</v>
      </c>
      <c r="V4708" s="1" t="str">
        <f>_xlfn.XLOOKUP(C4708,Payers!$A$2:$A$9,Payers!$B$2:$B$9)</f>
        <v>Blue Horizon Commercial</v>
      </c>
      <c r="W4708" s="1" t="str">
        <f t="shared" si="295"/>
        <v>2026-06</v>
      </c>
    </row>
    <row r="4709" spans="1:23">
      <c r="A4709" s="1" t="s">
        <v>7351</v>
      </c>
      <c r="B4709" s="1" t="s">
        <v>145</v>
      </c>
      <c r="C4709" s="1" t="s">
        <v>47</v>
      </c>
      <c r="D4709" s="1" t="s">
        <v>26</v>
      </c>
      <c r="E4709" s="1" t="s">
        <v>27</v>
      </c>
      <c r="F4709">
        <v>1</v>
      </c>
      <c r="G4709" s="2">
        <v>46094</v>
      </c>
      <c r="H4709" s="2">
        <v>46099</v>
      </c>
      <c r="I4709">
        <v>233.04</v>
      </c>
      <c r="J4709">
        <v>56.68</v>
      </c>
      <c r="K4709">
        <v>51.01</v>
      </c>
      <c r="L4709">
        <v>5.67</v>
      </c>
      <c r="M4709" s="1" t="s">
        <v>21</v>
      </c>
      <c r="N4709" s="1" t="s">
        <v>22</v>
      </c>
      <c r="O4709" s="2">
        <v>46165</v>
      </c>
      <c r="P4709" s="2">
        <v>46165</v>
      </c>
      <c r="Q4709">
        <f>_xlfn.XLOOKUP(E4709,CPT!$A$2:$A$13,CPT!$D$2:$D$13)</f>
        <v>240</v>
      </c>
      <c r="R4709" s="1">
        <f>_xlfn.XLOOKUP(C4709,Contract!$A$2:$A$9,Contract!$B$2:$B$9)</f>
        <v>0.28000000000000003</v>
      </c>
      <c r="S4709" s="1">
        <f t="shared" si="292"/>
        <v>67.2</v>
      </c>
      <c r="T4709" s="1">
        <f t="shared" si="293"/>
        <v>10.520000000000003</v>
      </c>
      <c r="U4709" s="1" t="str">
        <f t="shared" si="294"/>
        <v>Underpaid</v>
      </c>
      <c r="V4709" s="1" t="str">
        <f>_xlfn.XLOOKUP(C4709,Payers!$A$2:$A$9,Payers!$B$2:$B$9)</f>
        <v>Coastal Medicaid MCO</v>
      </c>
      <c r="W4709" s="1" t="str">
        <f t="shared" si="295"/>
        <v>2026-03</v>
      </c>
    </row>
    <row r="4710" spans="1:23">
      <c r="A4710" s="1" t="s">
        <v>7352</v>
      </c>
      <c r="B4710" s="1" t="s">
        <v>341</v>
      </c>
      <c r="C4710" s="1" t="s">
        <v>76</v>
      </c>
      <c r="D4710" s="1" t="s">
        <v>30</v>
      </c>
      <c r="E4710" s="1" t="s">
        <v>20</v>
      </c>
      <c r="F4710">
        <v>1</v>
      </c>
      <c r="G4710" s="2">
        <v>45986</v>
      </c>
      <c r="H4710" s="2">
        <v>45988</v>
      </c>
      <c r="I4710">
        <v>145.43</v>
      </c>
      <c r="J4710">
        <v>60.29</v>
      </c>
      <c r="K4710">
        <v>60.29</v>
      </c>
      <c r="L4710">
        <v>0</v>
      </c>
      <c r="M4710" s="1" t="s">
        <v>21</v>
      </c>
      <c r="N4710" s="1" t="s">
        <v>22</v>
      </c>
      <c r="O4710" s="2">
        <v>46018</v>
      </c>
      <c r="P4710" s="2">
        <v>46018</v>
      </c>
      <c r="Q4710">
        <f>_xlfn.XLOOKUP(E4710,CPT!$A$2:$A$13,CPT!$D$2:$D$13)</f>
        <v>145</v>
      </c>
      <c r="R4710" s="1">
        <f>_xlfn.XLOOKUP(C4710,Contract!$A$2:$A$9,Contract!$B$2:$B$9)</f>
        <v>0.43</v>
      </c>
      <c r="S4710" s="1">
        <f t="shared" si="292"/>
        <v>62.35</v>
      </c>
      <c r="T4710" s="1">
        <f t="shared" si="293"/>
        <v>2.0600000000000023</v>
      </c>
      <c r="U4710" s="1" t="str">
        <f t="shared" si="294"/>
        <v>OK</v>
      </c>
      <c r="V4710" s="1" t="str">
        <f>_xlfn.XLOOKUP(C4710,Payers!$A$2:$A$9,Payers!$B$2:$B$9)</f>
        <v>Summit Health Commercial</v>
      </c>
      <c r="W4710" s="1" t="str">
        <f t="shared" si="295"/>
        <v>2025-11</v>
      </c>
    </row>
    <row r="4711" spans="1:23">
      <c r="A4711" s="1" t="s">
        <v>7353</v>
      </c>
      <c r="B4711" s="1" t="s">
        <v>2926</v>
      </c>
      <c r="C4711" s="1" t="s">
        <v>76</v>
      </c>
      <c r="D4711" s="1" t="s">
        <v>19</v>
      </c>
      <c r="E4711" s="1" t="s">
        <v>41</v>
      </c>
      <c r="F4711">
        <v>1</v>
      </c>
      <c r="G4711" s="2">
        <v>46180</v>
      </c>
      <c r="H4711" s="2">
        <v>46181</v>
      </c>
      <c r="I4711">
        <v>38.369999999999997</v>
      </c>
      <c r="J4711">
        <v>14.83</v>
      </c>
      <c r="K4711">
        <v>14.83</v>
      </c>
      <c r="L4711">
        <v>0</v>
      </c>
      <c r="M4711" s="1" t="s">
        <v>21</v>
      </c>
      <c r="N4711" s="1" t="s">
        <v>22</v>
      </c>
      <c r="O4711" s="2">
        <v>46221</v>
      </c>
      <c r="P4711" s="2">
        <v>46221</v>
      </c>
      <c r="Q4711">
        <f>_xlfn.XLOOKUP(E4711,CPT!$A$2:$A$13,CPT!$D$2:$D$13)</f>
        <v>38</v>
      </c>
      <c r="R4711" s="1">
        <f>_xlfn.XLOOKUP(C4711,Contract!$A$2:$A$9,Contract!$B$2:$B$9)</f>
        <v>0.43</v>
      </c>
      <c r="S4711" s="1">
        <f t="shared" si="292"/>
        <v>16.34</v>
      </c>
      <c r="T4711" s="1">
        <f t="shared" si="293"/>
        <v>1.5099999999999998</v>
      </c>
      <c r="U4711" s="1" t="str">
        <f t="shared" si="294"/>
        <v>Underpaid</v>
      </c>
      <c r="V4711" s="1" t="str">
        <f>_xlfn.XLOOKUP(C4711,Payers!$A$2:$A$9,Payers!$B$2:$B$9)</f>
        <v>Summit Health Commercial</v>
      </c>
      <c r="W4711" s="1" t="str">
        <f t="shared" si="295"/>
        <v>2026-06</v>
      </c>
    </row>
    <row r="4712" spans="1:23">
      <c r="A4712" s="1" t="s">
        <v>7354</v>
      </c>
      <c r="B4712" s="1" t="s">
        <v>578</v>
      </c>
      <c r="C4712" s="1" t="s">
        <v>36</v>
      </c>
      <c r="D4712" s="1" t="s">
        <v>26</v>
      </c>
      <c r="E4712" s="1" t="s">
        <v>41</v>
      </c>
      <c r="F4712">
        <v>1</v>
      </c>
      <c r="G4712" s="2">
        <v>46180</v>
      </c>
      <c r="H4712" s="2">
        <v>46183</v>
      </c>
      <c r="I4712">
        <v>37.049999999999997</v>
      </c>
      <c r="J4712">
        <v>10.4</v>
      </c>
      <c r="K4712">
        <v>10.4</v>
      </c>
      <c r="L4712">
        <v>0</v>
      </c>
      <c r="M4712" s="1" t="s">
        <v>21</v>
      </c>
      <c r="N4712" s="1" t="s">
        <v>22</v>
      </c>
      <c r="O4712" s="2">
        <v>46198</v>
      </c>
      <c r="P4712" s="2">
        <v>46198</v>
      </c>
      <c r="Q4712">
        <f>_xlfn.XLOOKUP(E4712,CPT!$A$2:$A$13,CPT!$D$2:$D$13)</f>
        <v>38</v>
      </c>
      <c r="R4712" s="1">
        <f>_xlfn.XLOOKUP(C4712,Contract!$A$2:$A$9,Contract!$B$2:$B$9)</f>
        <v>0.27</v>
      </c>
      <c r="S4712" s="1">
        <f t="shared" si="292"/>
        <v>10.26</v>
      </c>
      <c r="T4712" s="1">
        <f t="shared" si="293"/>
        <v>-0.14000000000000057</v>
      </c>
      <c r="U4712" s="1" t="str">
        <f t="shared" si="294"/>
        <v>OK</v>
      </c>
      <c r="V4712" s="1" t="str">
        <f>_xlfn.XLOOKUP(C4712,Payers!$A$2:$A$9,Payers!$B$2:$B$9)</f>
        <v>Florida Medicaid</v>
      </c>
      <c r="W4712" s="1" t="str">
        <f t="shared" si="295"/>
        <v>2026-06</v>
      </c>
    </row>
    <row r="4713" spans="1:23">
      <c r="A4713" s="1" t="s">
        <v>7355</v>
      </c>
      <c r="B4713" s="1" t="s">
        <v>562</v>
      </c>
      <c r="C4713" s="1" t="s">
        <v>76</v>
      </c>
      <c r="D4713" s="1" t="s">
        <v>37</v>
      </c>
      <c r="E4713" s="1" t="s">
        <v>48</v>
      </c>
      <c r="F4713">
        <v>1</v>
      </c>
      <c r="G4713" s="2">
        <v>46237</v>
      </c>
      <c r="H4713" s="2">
        <v>46241</v>
      </c>
      <c r="I4713">
        <v>422.66</v>
      </c>
      <c r="M4713" s="1" t="s">
        <v>32</v>
      </c>
      <c r="N4713" s="1" t="s">
        <v>33</v>
      </c>
      <c r="O4713" s="2">
        <v>46268</v>
      </c>
      <c r="P4713" s="2"/>
      <c r="Q4713">
        <f>_xlfn.XLOOKUP(E4713,CPT!$A$2:$A$13,CPT!$D$2:$D$13)</f>
        <v>420</v>
      </c>
      <c r="R4713" s="1">
        <f>_xlfn.XLOOKUP(C4713,Contract!$A$2:$A$9,Contract!$B$2:$B$9)</f>
        <v>0.43</v>
      </c>
      <c r="S4713" s="1">
        <f t="shared" si="292"/>
        <v>180.6</v>
      </c>
      <c r="T4713" s="1" t="str">
        <f t="shared" si="293"/>
        <v/>
      </c>
      <c r="U4713" s="1" t="str">
        <f t="shared" si="294"/>
        <v/>
      </c>
      <c r="V4713" s="1" t="str">
        <f>_xlfn.XLOOKUP(C4713,Payers!$A$2:$A$9,Payers!$B$2:$B$9)</f>
        <v>Summit Health Commercial</v>
      </c>
      <c r="W4713" s="1" t="str">
        <f t="shared" si="295"/>
        <v>2026-08</v>
      </c>
    </row>
    <row r="4714" spans="1:23">
      <c r="A4714" s="1" t="s">
        <v>7356</v>
      </c>
      <c r="B4714" s="1" t="s">
        <v>4820</v>
      </c>
      <c r="C4714" s="1" t="s">
        <v>76</v>
      </c>
      <c r="D4714" s="1" t="s">
        <v>26</v>
      </c>
      <c r="E4714" s="1" t="s">
        <v>185</v>
      </c>
      <c r="F4714">
        <v>1</v>
      </c>
      <c r="G4714" s="2">
        <v>45982</v>
      </c>
      <c r="H4714" s="2">
        <v>45988</v>
      </c>
      <c r="I4714">
        <v>1121.3599999999999</v>
      </c>
      <c r="J4714">
        <v>486.94</v>
      </c>
      <c r="K4714">
        <v>486.94</v>
      </c>
      <c r="L4714">
        <v>0</v>
      </c>
      <c r="M4714" s="1" t="s">
        <v>21</v>
      </c>
      <c r="N4714" s="1" t="s">
        <v>22</v>
      </c>
      <c r="O4714" s="2">
        <v>46022</v>
      </c>
      <c r="P4714" s="2">
        <v>46022</v>
      </c>
      <c r="Q4714">
        <f>_xlfn.XLOOKUP(E4714,CPT!$A$2:$A$13,CPT!$D$2:$D$13)</f>
        <v>1150</v>
      </c>
      <c r="R4714" s="1">
        <f>_xlfn.XLOOKUP(C4714,Contract!$A$2:$A$9,Contract!$B$2:$B$9)</f>
        <v>0.43</v>
      </c>
      <c r="S4714" s="1">
        <f t="shared" si="292"/>
        <v>494.5</v>
      </c>
      <c r="T4714" s="1">
        <f t="shared" si="293"/>
        <v>7.5600000000000023</v>
      </c>
      <c r="U4714" s="1" t="str">
        <f t="shared" si="294"/>
        <v>OK</v>
      </c>
      <c r="V4714" s="1" t="str">
        <f>_xlfn.XLOOKUP(C4714,Payers!$A$2:$A$9,Payers!$B$2:$B$9)</f>
        <v>Summit Health Commercial</v>
      </c>
      <c r="W4714" s="1" t="str">
        <f t="shared" si="295"/>
        <v>2025-11</v>
      </c>
    </row>
    <row r="4715" spans="1:23">
      <c r="A4715" s="1" t="s">
        <v>7357</v>
      </c>
      <c r="B4715" s="1" t="s">
        <v>6179</v>
      </c>
      <c r="C4715" s="1" t="s">
        <v>76</v>
      </c>
      <c r="D4715" s="1" t="s">
        <v>26</v>
      </c>
      <c r="E4715" s="1" t="s">
        <v>113</v>
      </c>
      <c r="F4715">
        <v>1</v>
      </c>
      <c r="G4715" s="2">
        <v>46115</v>
      </c>
      <c r="H4715" s="2">
        <v>46117</v>
      </c>
      <c r="I4715">
        <v>1053.9100000000001</v>
      </c>
      <c r="J4715">
        <v>425.56</v>
      </c>
      <c r="K4715">
        <v>425.56</v>
      </c>
      <c r="L4715">
        <v>0</v>
      </c>
      <c r="M4715" s="1" t="s">
        <v>21</v>
      </c>
      <c r="N4715" s="1" t="s">
        <v>22</v>
      </c>
      <c r="O4715" s="2">
        <v>46151</v>
      </c>
      <c r="P4715" s="2">
        <v>46151</v>
      </c>
      <c r="Q4715">
        <f>_xlfn.XLOOKUP(E4715,CPT!$A$2:$A$13,CPT!$D$2:$D$13)</f>
        <v>1050</v>
      </c>
      <c r="R4715" s="1">
        <f>_xlfn.XLOOKUP(C4715,Contract!$A$2:$A$9,Contract!$B$2:$B$9)</f>
        <v>0.43</v>
      </c>
      <c r="S4715" s="1">
        <f t="shared" si="292"/>
        <v>451.5</v>
      </c>
      <c r="T4715" s="1">
        <f t="shared" si="293"/>
        <v>25.939999999999998</v>
      </c>
      <c r="U4715" s="1" t="str">
        <f t="shared" si="294"/>
        <v>Underpaid</v>
      </c>
      <c r="V4715" s="1" t="str">
        <f>_xlfn.XLOOKUP(C4715,Payers!$A$2:$A$9,Payers!$B$2:$B$9)</f>
        <v>Summit Health Commercial</v>
      </c>
      <c r="W4715" s="1" t="str">
        <f t="shared" si="295"/>
        <v>2026-04</v>
      </c>
    </row>
    <row r="4716" spans="1:23">
      <c r="A4716" s="1" t="s">
        <v>7358</v>
      </c>
      <c r="B4716" s="1" t="s">
        <v>243</v>
      </c>
      <c r="C4716" s="1" t="s">
        <v>79</v>
      </c>
      <c r="D4716" s="1" t="s">
        <v>19</v>
      </c>
      <c r="E4716" s="1" t="s">
        <v>20</v>
      </c>
      <c r="F4716">
        <v>1</v>
      </c>
      <c r="G4716" s="2">
        <v>46227</v>
      </c>
      <c r="H4716" s="2">
        <v>46239</v>
      </c>
      <c r="I4716">
        <v>148.16999999999999</v>
      </c>
      <c r="M4716" s="1" t="s">
        <v>69</v>
      </c>
      <c r="N4716" s="1" t="s">
        <v>22</v>
      </c>
      <c r="O4716" s="2"/>
      <c r="P4716" s="2"/>
      <c r="Q4716">
        <f>_xlfn.XLOOKUP(E4716,CPT!$A$2:$A$13,CPT!$D$2:$D$13)</f>
        <v>145</v>
      </c>
      <c r="R4716" s="1">
        <f>_xlfn.XLOOKUP(C4716,Contract!$A$2:$A$9,Contract!$B$2:$B$9)</f>
        <v>1</v>
      </c>
      <c r="S4716" s="1">
        <f t="shared" si="292"/>
        <v>145</v>
      </c>
      <c r="T4716" s="1" t="str">
        <f t="shared" si="293"/>
        <v/>
      </c>
      <c r="U4716" s="1" t="str">
        <f t="shared" si="294"/>
        <v/>
      </c>
      <c r="V4716" s="1" t="str">
        <f>_xlfn.XLOOKUP(C4716,Payers!$A$2:$A$9,Payers!$B$2:$B$9)</f>
        <v>Self-Pay</v>
      </c>
      <c r="W4716" s="1" t="str">
        <f t="shared" si="295"/>
        <v>2026-07</v>
      </c>
    </row>
    <row r="4717" spans="1:23">
      <c r="A4717" s="1" t="s">
        <v>7359</v>
      </c>
      <c r="B4717" s="1" t="s">
        <v>821</v>
      </c>
      <c r="C4717" s="1" t="s">
        <v>76</v>
      </c>
      <c r="D4717" s="1" t="s">
        <v>19</v>
      </c>
      <c r="E4717" s="1" t="s">
        <v>41</v>
      </c>
      <c r="F4717">
        <v>1</v>
      </c>
      <c r="G4717" s="2">
        <v>46133</v>
      </c>
      <c r="H4717" s="2">
        <v>46134</v>
      </c>
      <c r="I4717">
        <v>38.1</v>
      </c>
      <c r="J4717">
        <v>17.100000000000001</v>
      </c>
      <c r="K4717">
        <v>13.68</v>
      </c>
      <c r="L4717">
        <v>3.42</v>
      </c>
      <c r="M4717" s="1" t="s">
        <v>21</v>
      </c>
      <c r="N4717" s="1" t="s">
        <v>22</v>
      </c>
      <c r="O4717" s="2">
        <v>46150</v>
      </c>
      <c r="P4717" s="2">
        <v>46150</v>
      </c>
      <c r="Q4717">
        <f>_xlfn.XLOOKUP(E4717,CPT!$A$2:$A$13,CPT!$D$2:$D$13)</f>
        <v>38</v>
      </c>
      <c r="R4717" s="1">
        <f>_xlfn.XLOOKUP(C4717,Contract!$A$2:$A$9,Contract!$B$2:$B$9)</f>
        <v>0.43</v>
      </c>
      <c r="S4717" s="1">
        <f t="shared" si="292"/>
        <v>16.34</v>
      </c>
      <c r="T4717" s="1">
        <f t="shared" si="293"/>
        <v>-0.76000000000000156</v>
      </c>
      <c r="U4717" s="1" t="str">
        <f t="shared" si="294"/>
        <v>OK</v>
      </c>
      <c r="V4717" s="1" t="str">
        <f>_xlfn.XLOOKUP(C4717,Payers!$A$2:$A$9,Payers!$B$2:$B$9)</f>
        <v>Summit Health Commercial</v>
      </c>
      <c r="W4717" s="1" t="str">
        <f t="shared" si="295"/>
        <v>2026-04</v>
      </c>
    </row>
    <row r="4718" spans="1:23">
      <c r="A4718" s="1" t="s">
        <v>7360</v>
      </c>
      <c r="B4718" s="1" t="s">
        <v>7361</v>
      </c>
      <c r="C4718" s="1" t="s">
        <v>60</v>
      </c>
      <c r="D4718" s="1" t="s">
        <v>37</v>
      </c>
      <c r="E4718" s="1" t="s">
        <v>38</v>
      </c>
      <c r="F4718">
        <v>10</v>
      </c>
      <c r="G4718" s="2">
        <v>46144</v>
      </c>
      <c r="H4718" s="2">
        <v>46146</v>
      </c>
      <c r="I4718">
        <v>14359.35</v>
      </c>
      <c r="J4718">
        <v>5566.06</v>
      </c>
      <c r="K4718">
        <v>5566.06</v>
      </c>
      <c r="L4718">
        <v>0</v>
      </c>
      <c r="M4718" s="1" t="s">
        <v>21</v>
      </c>
      <c r="N4718" s="1" t="s">
        <v>22</v>
      </c>
      <c r="O4718" s="2">
        <v>46179</v>
      </c>
      <c r="P4718" s="2">
        <v>46179</v>
      </c>
      <c r="Q4718">
        <f>_xlfn.XLOOKUP(E4718,CPT!$A$2:$A$13,CPT!$D$2:$D$13)</f>
        <v>1450</v>
      </c>
      <c r="R4718" s="1">
        <f>_xlfn.XLOOKUP(C4718,Contract!$A$2:$A$9,Contract!$B$2:$B$9)</f>
        <v>0.45</v>
      </c>
      <c r="S4718" s="1">
        <f t="shared" si="292"/>
        <v>6525</v>
      </c>
      <c r="T4718" s="1">
        <f t="shared" si="293"/>
        <v>958.9399999999996</v>
      </c>
      <c r="U4718" s="1" t="str">
        <f t="shared" si="294"/>
        <v>Underpaid</v>
      </c>
      <c r="V4718" s="1" t="str">
        <f>_xlfn.XLOOKUP(C4718,Payers!$A$2:$A$9,Payers!$B$2:$B$9)</f>
        <v>Blue Horizon Commercial</v>
      </c>
      <c r="W4718" s="1" t="str">
        <f t="shared" si="295"/>
        <v>2026-05</v>
      </c>
    </row>
    <row r="4719" spans="1:23">
      <c r="A4719" s="1" t="s">
        <v>7362</v>
      </c>
      <c r="B4719" s="1" t="s">
        <v>2247</v>
      </c>
      <c r="C4719" s="1" t="s">
        <v>18</v>
      </c>
      <c r="D4719" s="1" t="s">
        <v>37</v>
      </c>
      <c r="E4719" s="1" t="s">
        <v>57</v>
      </c>
      <c r="F4719">
        <v>1</v>
      </c>
      <c r="G4719" s="2">
        <v>46119</v>
      </c>
      <c r="H4719" s="2">
        <v>46137</v>
      </c>
      <c r="I4719">
        <v>208.81</v>
      </c>
      <c r="J4719">
        <v>85.95</v>
      </c>
      <c r="K4719">
        <v>85.95</v>
      </c>
      <c r="L4719">
        <v>0</v>
      </c>
      <c r="M4719" s="1" t="s">
        <v>21</v>
      </c>
      <c r="N4719" s="1" t="s">
        <v>22</v>
      </c>
      <c r="O4719" s="2">
        <v>46216</v>
      </c>
      <c r="P4719" s="2">
        <v>46216</v>
      </c>
      <c r="Q4719">
        <f>_xlfn.XLOOKUP(E4719,CPT!$A$2:$A$13,CPT!$D$2:$D$13)</f>
        <v>210</v>
      </c>
      <c r="R4719" s="1">
        <f>_xlfn.XLOOKUP(C4719,Contract!$A$2:$A$9,Contract!$B$2:$B$9)</f>
        <v>0.38</v>
      </c>
      <c r="S4719" s="1">
        <f t="shared" si="292"/>
        <v>79.8</v>
      </c>
      <c r="T4719" s="1">
        <f t="shared" si="293"/>
        <v>-6.1500000000000057</v>
      </c>
      <c r="U4719" s="1" t="str">
        <f t="shared" si="294"/>
        <v>OK</v>
      </c>
      <c r="V4719" s="1" t="str">
        <f>_xlfn.XLOOKUP(C4719,Payers!$A$2:$A$9,Payers!$B$2:$B$9)</f>
        <v>Sunshine Medicare Advantage</v>
      </c>
      <c r="W4719" s="1" t="str">
        <f t="shared" si="295"/>
        <v>2026-04</v>
      </c>
    </row>
    <row r="4720" spans="1:23">
      <c r="A4720" s="1" t="s">
        <v>7363</v>
      </c>
      <c r="B4720" s="1" t="s">
        <v>1375</v>
      </c>
      <c r="C4720" s="1" t="s">
        <v>52</v>
      </c>
      <c r="D4720" s="1" t="s">
        <v>30</v>
      </c>
      <c r="E4720" s="1" t="s">
        <v>31</v>
      </c>
      <c r="F4720">
        <v>1</v>
      </c>
      <c r="G4720" s="2">
        <v>46109</v>
      </c>
      <c r="H4720" s="2">
        <v>46113</v>
      </c>
      <c r="I4720">
        <v>61.22</v>
      </c>
      <c r="J4720">
        <v>32.47</v>
      </c>
      <c r="K4720">
        <v>25.98</v>
      </c>
      <c r="L4720">
        <v>6.49</v>
      </c>
      <c r="M4720" s="1" t="s">
        <v>21</v>
      </c>
      <c r="N4720" s="1" t="s">
        <v>22</v>
      </c>
      <c r="O4720" s="2">
        <v>46172</v>
      </c>
      <c r="P4720" s="2">
        <v>46172</v>
      </c>
      <c r="Q4720">
        <f>_xlfn.XLOOKUP(E4720,CPT!$A$2:$A$13,CPT!$D$2:$D$13)</f>
        <v>62</v>
      </c>
      <c r="R4720" s="1">
        <f>_xlfn.XLOOKUP(C4720,Contract!$A$2:$A$9,Contract!$B$2:$B$9)</f>
        <v>0.47</v>
      </c>
      <c r="S4720" s="1">
        <f t="shared" si="292"/>
        <v>29.14</v>
      </c>
      <c r="T4720" s="1">
        <f t="shared" si="293"/>
        <v>-3.3299999999999983</v>
      </c>
      <c r="U4720" s="1" t="str">
        <f t="shared" si="294"/>
        <v>OK</v>
      </c>
      <c r="V4720" s="1" t="str">
        <f>_xlfn.XLOOKUP(C4720,Payers!$A$2:$A$9,Payers!$B$2:$B$9)</f>
        <v>Keystone Commercial PPO</v>
      </c>
      <c r="W4720" s="1" t="str">
        <f t="shared" si="295"/>
        <v>2026-03</v>
      </c>
    </row>
    <row r="4721" spans="1:23">
      <c r="A4721" s="1" t="s">
        <v>7364</v>
      </c>
      <c r="B4721" s="1" t="s">
        <v>293</v>
      </c>
      <c r="C4721" s="1" t="s">
        <v>36</v>
      </c>
      <c r="D4721" s="1" t="s">
        <v>30</v>
      </c>
      <c r="E4721" s="1" t="s">
        <v>91</v>
      </c>
      <c r="F4721">
        <v>3</v>
      </c>
      <c r="G4721" s="2">
        <v>46157</v>
      </c>
      <c r="H4721" s="2">
        <v>46159</v>
      </c>
      <c r="I4721">
        <v>176.96</v>
      </c>
      <c r="J4721">
        <v>49.66</v>
      </c>
      <c r="K4721">
        <v>49.66</v>
      </c>
      <c r="L4721">
        <v>0</v>
      </c>
      <c r="M4721" s="1" t="s">
        <v>21</v>
      </c>
      <c r="N4721" s="1" t="s">
        <v>22</v>
      </c>
      <c r="O4721" s="2">
        <v>46176</v>
      </c>
      <c r="P4721" s="2">
        <v>46176</v>
      </c>
      <c r="Q4721">
        <f>_xlfn.XLOOKUP(E4721,CPT!$A$2:$A$13,CPT!$D$2:$D$13)</f>
        <v>58</v>
      </c>
      <c r="R4721" s="1">
        <f>_xlfn.XLOOKUP(C4721,Contract!$A$2:$A$9,Contract!$B$2:$B$9)</f>
        <v>0.27</v>
      </c>
      <c r="S4721" s="1">
        <f t="shared" si="292"/>
        <v>46.98</v>
      </c>
      <c r="T4721" s="1">
        <f t="shared" si="293"/>
        <v>-2.6799999999999997</v>
      </c>
      <c r="U4721" s="1" t="str">
        <f t="shared" si="294"/>
        <v>OK</v>
      </c>
      <c r="V4721" s="1" t="str">
        <f>_xlfn.XLOOKUP(C4721,Payers!$A$2:$A$9,Payers!$B$2:$B$9)</f>
        <v>Florida Medicaid</v>
      </c>
      <c r="W4721" s="1" t="str">
        <f t="shared" si="295"/>
        <v>2026-05</v>
      </c>
    </row>
    <row r="4722" spans="1:23">
      <c r="A4722" s="1" t="s">
        <v>7365</v>
      </c>
      <c r="B4722" s="1" t="s">
        <v>4939</v>
      </c>
      <c r="C4722" s="1" t="s">
        <v>60</v>
      </c>
      <c r="D4722" s="1" t="s">
        <v>19</v>
      </c>
      <c r="E4722" s="1" t="s">
        <v>20</v>
      </c>
      <c r="F4722">
        <v>1</v>
      </c>
      <c r="G4722" s="2">
        <v>46046</v>
      </c>
      <c r="H4722" s="2">
        <v>46047</v>
      </c>
      <c r="I4722">
        <v>143.13</v>
      </c>
      <c r="J4722">
        <v>64.239999999999995</v>
      </c>
      <c r="K4722">
        <v>57.82</v>
      </c>
      <c r="L4722">
        <v>6.42</v>
      </c>
      <c r="M4722" s="1" t="s">
        <v>21</v>
      </c>
      <c r="N4722" s="1" t="s">
        <v>22</v>
      </c>
      <c r="O4722" s="2">
        <v>46075</v>
      </c>
      <c r="P4722" s="2">
        <v>46075</v>
      </c>
      <c r="Q4722">
        <f>_xlfn.XLOOKUP(E4722,CPT!$A$2:$A$13,CPT!$D$2:$D$13)</f>
        <v>145</v>
      </c>
      <c r="R4722" s="1">
        <f>_xlfn.XLOOKUP(C4722,Contract!$A$2:$A$9,Contract!$B$2:$B$9)</f>
        <v>0.45</v>
      </c>
      <c r="S4722" s="1">
        <f t="shared" si="292"/>
        <v>65.25</v>
      </c>
      <c r="T4722" s="1">
        <f t="shared" si="293"/>
        <v>1.0100000000000051</v>
      </c>
      <c r="U4722" s="1" t="str">
        <f t="shared" si="294"/>
        <v>OK</v>
      </c>
      <c r="V4722" s="1" t="str">
        <f>_xlfn.XLOOKUP(C4722,Payers!$A$2:$A$9,Payers!$B$2:$B$9)</f>
        <v>Blue Horizon Commercial</v>
      </c>
      <c r="W4722" s="1" t="str">
        <f t="shared" si="295"/>
        <v>2026-01</v>
      </c>
    </row>
    <row r="4723" spans="1:23">
      <c r="A4723" s="1" t="s">
        <v>7366</v>
      </c>
      <c r="B4723" s="1" t="s">
        <v>7367</v>
      </c>
      <c r="C4723" s="1" t="s">
        <v>60</v>
      </c>
      <c r="D4723" s="1" t="s">
        <v>19</v>
      </c>
      <c r="E4723" s="1" t="s">
        <v>88</v>
      </c>
      <c r="F4723">
        <v>1</v>
      </c>
      <c r="G4723" s="2">
        <v>46251</v>
      </c>
      <c r="H4723" s="2">
        <v>46254</v>
      </c>
      <c r="I4723">
        <v>261.77</v>
      </c>
      <c r="J4723">
        <v>99.68</v>
      </c>
      <c r="K4723">
        <v>99.68</v>
      </c>
      <c r="L4723">
        <v>0</v>
      </c>
      <c r="M4723" s="1" t="s">
        <v>21</v>
      </c>
      <c r="N4723" s="1" t="s">
        <v>22</v>
      </c>
      <c r="O4723" s="2">
        <v>46285</v>
      </c>
      <c r="P4723" s="2">
        <v>46285</v>
      </c>
      <c r="Q4723">
        <f>_xlfn.XLOOKUP(E4723,CPT!$A$2:$A$13,CPT!$D$2:$D$13)</f>
        <v>260</v>
      </c>
      <c r="R4723" s="1">
        <f>_xlfn.XLOOKUP(C4723,Contract!$A$2:$A$9,Contract!$B$2:$B$9)</f>
        <v>0.45</v>
      </c>
      <c r="S4723" s="1">
        <f t="shared" si="292"/>
        <v>117</v>
      </c>
      <c r="T4723" s="1">
        <f t="shared" si="293"/>
        <v>17.319999999999993</v>
      </c>
      <c r="U4723" s="1" t="str">
        <f t="shared" si="294"/>
        <v>Underpaid</v>
      </c>
      <c r="V4723" s="1" t="str">
        <f>_xlfn.XLOOKUP(C4723,Payers!$A$2:$A$9,Payers!$B$2:$B$9)</f>
        <v>Blue Horizon Commercial</v>
      </c>
      <c r="W4723" s="1" t="str">
        <f t="shared" si="295"/>
        <v>2026-08</v>
      </c>
    </row>
    <row r="4724" spans="1:23">
      <c r="A4724" s="1" t="s">
        <v>7368</v>
      </c>
      <c r="B4724" s="1" t="s">
        <v>1219</v>
      </c>
      <c r="C4724" s="1" t="s">
        <v>60</v>
      </c>
      <c r="D4724" s="1" t="s">
        <v>37</v>
      </c>
      <c r="E4724" s="1" t="s">
        <v>38</v>
      </c>
      <c r="F4724">
        <v>10</v>
      </c>
      <c r="G4724" s="2">
        <v>45961</v>
      </c>
      <c r="H4724" s="2">
        <v>45963</v>
      </c>
      <c r="I4724">
        <v>14692.65</v>
      </c>
      <c r="J4724">
        <v>5621.12</v>
      </c>
      <c r="K4724">
        <v>5621.12</v>
      </c>
      <c r="L4724">
        <v>0</v>
      </c>
      <c r="M4724" s="1" t="s">
        <v>21</v>
      </c>
      <c r="N4724" s="1" t="s">
        <v>22</v>
      </c>
      <c r="O4724" s="2">
        <v>45993</v>
      </c>
      <c r="P4724" s="2">
        <v>45993</v>
      </c>
      <c r="Q4724">
        <f>_xlfn.XLOOKUP(E4724,CPT!$A$2:$A$13,CPT!$D$2:$D$13)</f>
        <v>1450</v>
      </c>
      <c r="R4724" s="1">
        <f>_xlfn.XLOOKUP(C4724,Contract!$A$2:$A$9,Contract!$B$2:$B$9)</f>
        <v>0.45</v>
      </c>
      <c r="S4724" s="1">
        <f t="shared" si="292"/>
        <v>6525</v>
      </c>
      <c r="T4724" s="1">
        <f t="shared" si="293"/>
        <v>903.88000000000011</v>
      </c>
      <c r="U4724" s="1" t="str">
        <f t="shared" si="294"/>
        <v>Underpaid</v>
      </c>
      <c r="V4724" s="1" t="str">
        <f>_xlfn.XLOOKUP(C4724,Payers!$A$2:$A$9,Payers!$B$2:$B$9)</f>
        <v>Blue Horizon Commercial</v>
      </c>
      <c r="W4724" s="1" t="str">
        <f t="shared" si="295"/>
        <v>2025-10</v>
      </c>
    </row>
    <row r="4725" spans="1:23">
      <c r="A4725" s="1" t="s">
        <v>7369</v>
      </c>
      <c r="B4725" s="1" t="s">
        <v>7370</v>
      </c>
      <c r="C4725" s="1" t="s">
        <v>25</v>
      </c>
      <c r="D4725" s="1" t="s">
        <v>37</v>
      </c>
      <c r="E4725" s="1" t="s">
        <v>57</v>
      </c>
      <c r="F4725">
        <v>1</v>
      </c>
      <c r="G4725" s="2">
        <v>45986</v>
      </c>
      <c r="H4725" s="2">
        <v>45991</v>
      </c>
      <c r="I4725">
        <v>208.18</v>
      </c>
      <c r="J4725">
        <v>83.8</v>
      </c>
      <c r="K4725">
        <v>83.8</v>
      </c>
      <c r="L4725">
        <v>0</v>
      </c>
      <c r="M4725" s="1" t="s">
        <v>21</v>
      </c>
      <c r="N4725" s="1" t="s">
        <v>22</v>
      </c>
      <c r="O4725" s="2">
        <v>46007</v>
      </c>
      <c r="P4725" s="2">
        <v>46007</v>
      </c>
      <c r="Q4725">
        <f>_xlfn.XLOOKUP(E4725,CPT!$A$2:$A$13,CPT!$D$2:$D$13)</f>
        <v>210</v>
      </c>
      <c r="R4725" s="1">
        <f>_xlfn.XLOOKUP(C4725,Contract!$A$2:$A$9,Contract!$B$2:$B$9)</f>
        <v>0.36</v>
      </c>
      <c r="S4725" s="1">
        <f t="shared" si="292"/>
        <v>75.599999999999994</v>
      </c>
      <c r="T4725" s="1">
        <f t="shared" si="293"/>
        <v>-8.2000000000000028</v>
      </c>
      <c r="U4725" s="1" t="str">
        <f t="shared" si="294"/>
        <v>OK</v>
      </c>
      <c r="V4725" s="1" t="str">
        <f>_xlfn.XLOOKUP(C4725,Payers!$A$2:$A$9,Payers!$B$2:$B$9)</f>
        <v>Medicare Part B</v>
      </c>
      <c r="W4725" s="1" t="str">
        <f t="shared" si="295"/>
        <v>2025-11</v>
      </c>
    </row>
    <row r="4726" spans="1:23">
      <c r="A4726" s="1" t="s">
        <v>7371</v>
      </c>
      <c r="B4726" s="1" t="s">
        <v>7116</v>
      </c>
      <c r="C4726" s="1" t="s">
        <v>76</v>
      </c>
      <c r="D4726" s="1" t="s">
        <v>37</v>
      </c>
      <c r="E4726" s="1" t="s">
        <v>38</v>
      </c>
      <c r="F4726">
        <v>30</v>
      </c>
      <c r="G4726" s="2">
        <v>46058</v>
      </c>
      <c r="H4726" s="2">
        <v>46071</v>
      </c>
      <c r="I4726">
        <v>44049.87</v>
      </c>
      <c r="J4726">
        <v>16344.33</v>
      </c>
      <c r="K4726">
        <v>14709.9</v>
      </c>
      <c r="L4726">
        <v>1634.43</v>
      </c>
      <c r="M4726" s="1" t="s">
        <v>21</v>
      </c>
      <c r="N4726" s="1" t="s">
        <v>22</v>
      </c>
      <c r="O4726" s="2">
        <v>46101</v>
      </c>
      <c r="P4726" s="2">
        <v>46101</v>
      </c>
      <c r="Q4726">
        <f>_xlfn.XLOOKUP(E4726,CPT!$A$2:$A$13,CPT!$D$2:$D$13)</f>
        <v>1450</v>
      </c>
      <c r="R4726" s="1">
        <f>_xlfn.XLOOKUP(C4726,Contract!$A$2:$A$9,Contract!$B$2:$B$9)</f>
        <v>0.43</v>
      </c>
      <c r="S4726" s="1">
        <f t="shared" si="292"/>
        <v>18705</v>
      </c>
      <c r="T4726" s="1">
        <f t="shared" si="293"/>
        <v>2360.67</v>
      </c>
      <c r="U4726" s="1" t="str">
        <f t="shared" si="294"/>
        <v>Underpaid</v>
      </c>
      <c r="V4726" s="1" t="str">
        <f>_xlfn.XLOOKUP(C4726,Payers!$A$2:$A$9,Payers!$B$2:$B$9)</f>
        <v>Summit Health Commercial</v>
      </c>
      <c r="W4726" s="1" t="str">
        <f t="shared" si="295"/>
        <v>2026-02</v>
      </c>
    </row>
    <row r="4727" spans="1:23">
      <c r="A4727" s="1" t="s">
        <v>7372</v>
      </c>
      <c r="B4727" s="1" t="s">
        <v>2435</v>
      </c>
      <c r="C4727" s="1" t="s">
        <v>76</v>
      </c>
      <c r="D4727" s="1" t="s">
        <v>19</v>
      </c>
      <c r="E4727" s="1" t="s">
        <v>20</v>
      </c>
      <c r="F4727">
        <v>1</v>
      </c>
      <c r="G4727" s="2">
        <v>46283</v>
      </c>
      <c r="H4727" s="2">
        <v>46289</v>
      </c>
      <c r="I4727">
        <v>146.18</v>
      </c>
      <c r="M4727" s="1" t="s">
        <v>69</v>
      </c>
      <c r="N4727" s="1" t="s">
        <v>22</v>
      </c>
      <c r="O4727" s="2"/>
      <c r="P4727" s="2"/>
      <c r="Q4727">
        <f>_xlfn.XLOOKUP(E4727,CPT!$A$2:$A$13,CPT!$D$2:$D$13)</f>
        <v>145</v>
      </c>
      <c r="R4727" s="1">
        <f>_xlfn.XLOOKUP(C4727,Contract!$A$2:$A$9,Contract!$B$2:$B$9)</f>
        <v>0.43</v>
      </c>
      <c r="S4727" s="1">
        <f t="shared" si="292"/>
        <v>62.35</v>
      </c>
      <c r="T4727" s="1" t="str">
        <f t="shared" si="293"/>
        <v/>
      </c>
      <c r="U4727" s="1" t="str">
        <f t="shared" si="294"/>
        <v/>
      </c>
      <c r="V4727" s="1" t="str">
        <f>_xlfn.XLOOKUP(C4727,Payers!$A$2:$A$9,Payers!$B$2:$B$9)</f>
        <v>Summit Health Commercial</v>
      </c>
      <c r="W4727" s="1" t="str">
        <f t="shared" si="295"/>
        <v>2026-09</v>
      </c>
    </row>
    <row r="4728" spans="1:23">
      <c r="A4728" s="1" t="s">
        <v>7373</v>
      </c>
      <c r="B4728" s="1" t="s">
        <v>7374</v>
      </c>
      <c r="C4728" s="1" t="s">
        <v>76</v>
      </c>
      <c r="D4728" s="1" t="s">
        <v>19</v>
      </c>
      <c r="E4728" s="1" t="s">
        <v>41</v>
      </c>
      <c r="F4728">
        <v>1</v>
      </c>
      <c r="G4728" s="2">
        <v>45953</v>
      </c>
      <c r="H4728" s="2">
        <v>45957</v>
      </c>
      <c r="I4728">
        <v>38.979999999999997</v>
      </c>
      <c r="J4728">
        <v>15.58</v>
      </c>
      <c r="K4728">
        <v>15.58</v>
      </c>
      <c r="L4728">
        <v>0</v>
      </c>
      <c r="M4728" s="1" t="s">
        <v>21</v>
      </c>
      <c r="N4728" s="1" t="s">
        <v>22</v>
      </c>
      <c r="O4728" s="2">
        <v>45962</v>
      </c>
      <c r="P4728" s="2">
        <v>45962</v>
      </c>
      <c r="Q4728">
        <f>_xlfn.XLOOKUP(E4728,CPT!$A$2:$A$13,CPT!$D$2:$D$13)</f>
        <v>38</v>
      </c>
      <c r="R4728" s="1">
        <f>_xlfn.XLOOKUP(C4728,Contract!$A$2:$A$9,Contract!$B$2:$B$9)</f>
        <v>0.43</v>
      </c>
      <c r="S4728" s="1">
        <f t="shared" si="292"/>
        <v>16.34</v>
      </c>
      <c r="T4728" s="1">
        <f t="shared" si="293"/>
        <v>0.75999999999999979</v>
      </c>
      <c r="U4728" s="1" t="str">
        <f t="shared" si="294"/>
        <v>OK</v>
      </c>
      <c r="V4728" s="1" t="str">
        <f>_xlfn.XLOOKUP(C4728,Payers!$A$2:$A$9,Payers!$B$2:$B$9)</f>
        <v>Summit Health Commercial</v>
      </c>
      <c r="W4728" s="1" t="str">
        <f t="shared" si="295"/>
        <v>2025-10</v>
      </c>
    </row>
    <row r="4729" spans="1:23">
      <c r="A4729" s="1" t="s">
        <v>7375</v>
      </c>
      <c r="B4729" s="1" t="s">
        <v>629</v>
      </c>
      <c r="C4729" s="1" t="s">
        <v>25</v>
      </c>
      <c r="D4729" s="1" t="s">
        <v>26</v>
      </c>
      <c r="E4729" s="1" t="s">
        <v>41</v>
      </c>
      <c r="F4729">
        <v>1</v>
      </c>
      <c r="G4729" s="2">
        <v>45938</v>
      </c>
      <c r="H4729" s="2">
        <v>45945</v>
      </c>
      <c r="I4729">
        <v>38.83</v>
      </c>
      <c r="J4729">
        <v>14.08</v>
      </c>
      <c r="K4729">
        <v>14.08</v>
      </c>
      <c r="L4729">
        <v>0</v>
      </c>
      <c r="M4729" s="1" t="s">
        <v>21</v>
      </c>
      <c r="N4729" s="1" t="s">
        <v>22</v>
      </c>
      <c r="O4729" s="2">
        <v>45967</v>
      </c>
      <c r="P4729" s="2">
        <v>45967</v>
      </c>
      <c r="Q4729">
        <f>_xlfn.XLOOKUP(E4729,CPT!$A$2:$A$13,CPT!$D$2:$D$13)</f>
        <v>38</v>
      </c>
      <c r="R4729" s="1">
        <f>_xlfn.XLOOKUP(C4729,Contract!$A$2:$A$9,Contract!$B$2:$B$9)</f>
        <v>0.36</v>
      </c>
      <c r="S4729" s="1">
        <f t="shared" si="292"/>
        <v>13.68</v>
      </c>
      <c r="T4729" s="1">
        <f t="shared" si="293"/>
        <v>-0.40000000000000036</v>
      </c>
      <c r="U4729" s="1" t="str">
        <f t="shared" si="294"/>
        <v>OK</v>
      </c>
      <c r="V4729" s="1" t="str">
        <f>_xlfn.XLOOKUP(C4729,Payers!$A$2:$A$9,Payers!$B$2:$B$9)</f>
        <v>Medicare Part B</v>
      </c>
      <c r="W4729" s="1" t="str">
        <f t="shared" si="295"/>
        <v>2025-10</v>
      </c>
    </row>
    <row r="4730" spans="1:23">
      <c r="A4730" s="1" t="s">
        <v>7376</v>
      </c>
      <c r="B4730" s="1" t="s">
        <v>3293</v>
      </c>
      <c r="C4730" s="1" t="s">
        <v>52</v>
      </c>
      <c r="D4730" s="1" t="s">
        <v>37</v>
      </c>
      <c r="E4730" s="1" t="s">
        <v>48</v>
      </c>
      <c r="F4730">
        <v>1</v>
      </c>
      <c r="G4730" s="2">
        <v>46221</v>
      </c>
      <c r="H4730" s="2">
        <v>46226</v>
      </c>
      <c r="I4730">
        <v>419.25</v>
      </c>
      <c r="J4730">
        <v>190.61</v>
      </c>
      <c r="K4730">
        <v>152.49</v>
      </c>
      <c r="L4730">
        <v>38.119999999999997</v>
      </c>
      <c r="M4730" s="1" t="s">
        <v>21</v>
      </c>
      <c r="N4730" s="1" t="s">
        <v>22</v>
      </c>
      <c r="O4730" s="2">
        <v>46276</v>
      </c>
      <c r="P4730" s="2">
        <v>46276</v>
      </c>
      <c r="Q4730">
        <f>_xlfn.XLOOKUP(E4730,CPT!$A$2:$A$13,CPT!$D$2:$D$13)</f>
        <v>420</v>
      </c>
      <c r="R4730" s="1">
        <f>_xlfn.XLOOKUP(C4730,Contract!$A$2:$A$9,Contract!$B$2:$B$9)</f>
        <v>0.47</v>
      </c>
      <c r="S4730" s="1">
        <f t="shared" si="292"/>
        <v>197.4</v>
      </c>
      <c r="T4730" s="1">
        <f t="shared" si="293"/>
        <v>6.789999999999992</v>
      </c>
      <c r="U4730" s="1" t="str">
        <f t="shared" si="294"/>
        <v>OK</v>
      </c>
      <c r="V4730" s="1" t="str">
        <f>_xlfn.XLOOKUP(C4730,Payers!$A$2:$A$9,Payers!$B$2:$B$9)</f>
        <v>Keystone Commercial PPO</v>
      </c>
      <c r="W4730" s="1" t="str">
        <f t="shared" si="295"/>
        <v>2026-07</v>
      </c>
    </row>
    <row r="4731" spans="1:23">
      <c r="A4731" s="1" t="s">
        <v>7377</v>
      </c>
      <c r="B4731" s="1" t="s">
        <v>7378</v>
      </c>
      <c r="C4731" s="1" t="s">
        <v>60</v>
      </c>
      <c r="D4731" s="1" t="s">
        <v>37</v>
      </c>
      <c r="E4731" s="1" t="s">
        <v>57</v>
      </c>
      <c r="F4731">
        <v>1</v>
      </c>
      <c r="G4731" s="2">
        <v>46224</v>
      </c>
      <c r="H4731" s="2">
        <v>46233</v>
      </c>
      <c r="I4731">
        <v>214.33</v>
      </c>
      <c r="J4731">
        <v>110.79</v>
      </c>
      <c r="K4731">
        <v>88.63</v>
      </c>
      <c r="L4731">
        <v>22.16</v>
      </c>
      <c r="M4731" s="1" t="s">
        <v>21</v>
      </c>
      <c r="N4731" s="1" t="s">
        <v>22</v>
      </c>
      <c r="O4731" s="2">
        <v>46258</v>
      </c>
      <c r="P4731" s="2">
        <v>46258</v>
      </c>
      <c r="Q4731">
        <f>_xlfn.XLOOKUP(E4731,CPT!$A$2:$A$13,CPT!$D$2:$D$13)</f>
        <v>210</v>
      </c>
      <c r="R4731" s="1">
        <f>_xlfn.XLOOKUP(C4731,Contract!$A$2:$A$9,Contract!$B$2:$B$9)</f>
        <v>0.45</v>
      </c>
      <c r="S4731" s="1">
        <f t="shared" si="292"/>
        <v>94.5</v>
      </c>
      <c r="T4731" s="1">
        <f t="shared" si="293"/>
        <v>-16.290000000000006</v>
      </c>
      <c r="U4731" s="1" t="str">
        <f t="shared" si="294"/>
        <v>OK</v>
      </c>
      <c r="V4731" s="1" t="str">
        <f>_xlfn.XLOOKUP(C4731,Payers!$A$2:$A$9,Payers!$B$2:$B$9)</f>
        <v>Blue Horizon Commercial</v>
      </c>
      <c r="W4731" s="1" t="str">
        <f t="shared" si="295"/>
        <v>2026-07</v>
      </c>
    </row>
    <row r="4732" spans="1:23">
      <c r="A4732" s="1" t="s">
        <v>7379</v>
      </c>
      <c r="B4732" s="1" t="s">
        <v>7380</v>
      </c>
      <c r="C4732" s="1" t="s">
        <v>52</v>
      </c>
      <c r="D4732" s="1" t="s">
        <v>26</v>
      </c>
      <c r="E4732" s="1" t="s">
        <v>44</v>
      </c>
      <c r="F4732">
        <v>1</v>
      </c>
      <c r="G4732" s="2">
        <v>46255</v>
      </c>
      <c r="H4732" s="2">
        <v>46262</v>
      </c>
      <c r="I4732">
        <v>4778.21</v>
      </c>
      <c r="M4732" s="1" t="s">
        <v>69</v>
      </c>
      <c r="N4732" s="1" t="s">
        <v>22</v>
      </c>
      <c r="O4732" s="2"/>
      <c r="P4732" s="2"/>
      <c r="Q4732">
        <f>_xlfn.XLOOKUP(E4732,CPT!$A$2:$A$13,CPT!$D$2:$D$13)</f>
        <v>4800</v>
      </c>
      <c r="R4732" s="1">
        <f>_xlfn.XLOOKUP(C4732,Contract!$A$2:$A$9,Contract!$B$2:$B$9)</f>
        <v>0.47</v>
      </c>
      <c r="S4732" s="1">
        <f t="shared" si="292"/>
        <v>2256</v>
      </c>
      <c r="T4732" s="1" t="str">
        <f t="shared" si="293"/>
        <v/>
      </c>
      <c r="U4732" s="1" t="str">
        <f t="shared" si="294"/>
        <v/>
      </c>
      <c r="V4732" s="1" t="str">
        <f>_xlfn.XLOOKUP(C4732,Payers!$A$2:$A$9,Payers!$B$2:$B$9)</f>
        <v>Keystone Commercial PPO</v>
      </c>
      <c r="W4732" s="1" t="str">
        <f t="shared" si="295"/>
        <v>2026-08</v>
      </c>
    </row>
    <row r="4733" spans="1:23">
      <c r="A4733" s="1" t="s">
        <v>7381</v>
      </c>
      <c r="B4733" s="1" t="s">
        <v>2579</v>
      </c>
      <c r="C4733" s="1" t="s">
        <v>52</v>
      </c>
      <c r="D4733" s="1" t="s">
        <v>19</v>
      </c>
      <c r="E4733" s="1" t="s">
        <v>41</v>
      </c>
      <c r="F4733">
        <v>1</v>
      </c>
      <c r="G4733" s="2">
        <v>46094</v>
      </c>
      <c r="H4733" s="2">
        <v>46104</v>
      </c>
      <c r="I4733">
        <v>38.229999999999997</v>
      </c>
      <c r="J4733">
        <v>17.96</v>
      </c>
      <c r="K4733">
        <v>17.96</v>
      </c>
      <c r="L4733">
        <v>0</v>
      </c>
      <c r="M4733" s="1" t="s">
        <v>21</v>
      </c>
      <c r="N4733" s="1" t="s">
        <v>22</v>
      </c>
      <c r="O4733" s="2">
        <v>46119</v>
      </c>
      <c r="P4733" s="2">
        <v>46119</v>
      </c>
      <c r="Q4733">
        <f>_xlfn.XLOOKUP(E4733,CPT!$A$2:$A$13,CPT!$D$2:$D$13)</f>
        <v>38</v>
      </c>
      <c r="R4733" s="1">
        <f>_xlfn.XLOOKUP(C4733,Contract!$A$2:$A$9,Contract!$B$2:$B$9)</f>
        <v>0.47</v>
      </c>
      <c r="S4733" s="1">
        <f t="shared" si="292"/>
        <v>17.86</v>
      </c>
      <c r="T4733" s="1">
        <f t="shared" si="293"/>
        <v>-0.10000000000000142</v>
      </c>
      <c r="U4733" s="1" t="str">
        <f t="shared" si="294"/>
        <v>OK</v>
      </c>
      <c r="V4733" s="1" t="str">
        <f>_xlfn.XLOOKUP(C4733,Payers!$A$2:$A$9,Payers!$B$2:$B$9)</f>
        <v>Keystone Commercial PPO</v>
      </c>
      <c r="W4733" s="1" t="str">
        <f t="shared" si="295"/>
        <v>2026-03</v>
      </c>
    </row>
    <row r="4734" spans="1:23">
      <c r="A4734" s="1" t="s">
        <v>7382</v>
      </c>
      <c r="B4734" s="1" t="s">
        <v>7383</v>
      </c>
      <c r="C4734" s="1" t="s">
        <v>60</v>
      </c>
      <c r="D4734" s="1" t="s">
        <v>30</v>
      </c>
      <c r="E4734" s="1" t="s">
        <v>91</v>
      </c>
      <c r="F4734">
        <v>3</v>
      </c>
      <c r="G4734" s="2">
        <v>46141</v>
      </c>
      <c r="H4734" s="2">
        <v>46146</v>
      </c>
      <c r="I4734">
        <v>170.17</v>
      </c>
      <c r="J4734">
        <v>84.63</v>
      </c>
      <c r="K4734">
        <v>67.7</v>
      </c>
      <c r="L4734">
        <v>16.93</v>
      </c>
      <c r="M4734" s="1" t="s">
        <v>21</v>
      </c>
      <c r="N4734" s="1" t="s">
        <v>22</v>
      </c>
      <c r="O4734" s="2">
        <v>46175</v>
      </c>
      <c r="P4734" s="2">
        <v>46175</v>
      </c>
      <c r="Q4734">
        <f>_xlfn.XLOOKUP(E4734,CPT!$A$2:$A$13,CPT!$D$2:$D$13)</f>
        <v>58</v>
      </c>
      <c r="R4734" s="1">
        <f>_xlfn.XLOOKUP(C4734,Contract!$A$2:$A$9,Contract!$B$2:$B$9)</f>
        <v>0.45</v>
      </c>
      <c r="S4734" s="1">
        <f t="shared" si="292"/>
        <v>78.3</v>
      </c>
      <c r="T4734" s="1">
        <f t="shared" si="293"/>
        <v>-6.3299999999999983</v>
      </c>
      <c r="U4734" s="1" t="str">
        <f t="shared" si="294"/>
        <v>OK</v>
      </c>
      <c r="V4734" s="1" t="str">
        <f>_xlfn.XLOOKUP(C4734,Payers!$A$2:$A$9,Payers!$B$2:$B$9)</f>
        <v>Blue Horizon Commercial</v>
      </c>
      <c r="W4734" s="1" t="str">
        <f t="shared" si="295"/>
        <v>2026-04</v>
      </c>
    </row>
    <row r="4735" spans="1:23">
      <c r="A4735" s="1" t="s">
        <v>7384</v>
      </c>
      <c r="B4735" s="1" t="s">
        <v>599</v>
      </c>
      <c r="C4735" s="1" t="s">
        <v>47</v>
      </c>
      <c r="D4735" s="1" t="s">
        <v>26</v>
      </c>
      <c r="E4735" s="1" t="s">
        <v>88</v>
      </c>
      <c r="F4735">
        <v>1</v>
      </c>
      <c r="G4735" s="2">
        <v>46020</v>
      </c>
      <c r="H4735" s="2">
        <v>46024</v>
      </c>
      <c r="I4735">
        <v>258.97000000000003</v>
      </c>
      <c r="J4735">
        <v>68.61</v>
      </c>
      <c r="K4735">
        <v>68.61</v>
      </c>
      <c r="L4735">
        <v>0</v>
      </c>
      <c r="M4735" s="1" t="s">
        <v>21</v>
      </c>
      <c r="N4735" s="1" t="s">
        <v>22</v>
      </c>
      <c r="O4735" s="2">
        <v>46098</v>
      </c>
      <c r="P4735" s="2">
        <v>46098</v>
      </c>
      <c r="Q4735">
        <f>_xlfn.XLOOKUP(E4735,CPT!$A$2:$A$13,CPT!$D$2:$D$13)</f>
        <v>260</v>
      </c>
      <c r="R4735" s="1">
        <f>_xlfn.XLOOKUP(C4735,Contract!$A$2:$A$9,Contract!$B$2:$B$9)</f>
        <v>0.28000000000000003</v>
      </c>
      <c r="S4735" s="1">
        <f t="shared" si="292"/>
        <v>72.8</v>
      </c>
      <c r="T4735" s="1">
        <f t="shared" si="293"/>
        <v>4.1899999999999977</v>
      </c>
      <c r="U4735" s="1" t="str">
        <f t="shared" si="294"/>
        <v>Underpaid</v>
      </c>
      <c r="V4735" s="1" t="str">
        <f>_xlfn.XLOOKUP(C4735,Payers!$A$2:$A$9,Payers!$B$2:$B$9)</f>
        <v>Coastal Medicaid MCO</v>
      </c>
      <c r="W4735" s="1" t="str">
        <f t="shared" si="295"/>
        <v>2025-12</v>
      </c>
    </row>
    <row r="4736" spans="1:23">
      <c r="A4736" s="1" t="s">
        <v>7385</v>
      </c>
      <c r="B4736" s="1" t="s">
        <v>2952</v>
      </c>
      <c r="C4736" s="1" t="s">
        <v>25</v>
      </c>
      <c r="D4736" s="1" t="s">
        <v>26</v>
      </c>
      <c r="E4736" s="1" t="s">
        <v>44</v>
      </c>
      <c r="F4736">
        <v>1</v>
      </c>
      <c r="G4736" s="2">
        <v>46119</v>
      </c>
      <c r="H4736" s="2">
        <v>46122</v>
      </c>
      <c r="I4736">
        <v>4731.32</v>
      </c>
      <c r="J4736">
        <v>1838.55</v>
      </c>
      <c r="K4736">
        <v>1838.55</v>
      </c>
      <c r="L4736">
        <v>0</v>
      </c>
      <c r="M4736" s="1" t="s">
        <v>21</v>
      </c>
      <c r="N4736" s="1" t="s">
        <v>22</v>
      </c>
      <c r="O4736" s="2">
        <v>46148</v>
      </c>
      <c r="P4736" s="2">
        <v>46148</v>
      </c>
      <c r="Q4736">
        <f>_xlfn.XLOOKUP(E4736,CPT!$A$2:$A$13,CPT!$D$2:$D$13)</f>
        <v>4800</v>
      </c>
      <c r="R4736" s="1">
        <f>_xlfn.XLOOKUP(C4736,Contract!$A$2:$A$9,Contract!$B$2:$B$9)</f>
        <v>0.36</v>
      </c>
      <c r="S4736" s="1">
        <f t="shared" si="292"/>
        <v>1728</v>
      </c>
      <c r="T4736" s="1">
        <f t="shared" si="293"/>
        <v>-110.54999999999995</v>
      </c>
      <c r="U4736" s="1" t="str">
        <f t="shared" si="294"/>
        <v>OK</v>
      </c>
      <c r="V4736" s="1" t="str">
        <f>_xlfn.XLOOKUP(C4736,Payers!$A$2:$A$9,Payers!$B$2:$B$9)</f>
        <v>Medicare Part B</v>
      </c>
      <c r="W4736" s="1" t="str">
        <f t="shared" si="295"/>
        <v>2026-04</v>
      </c>
    </row>
    <row r="4737" spans="1:23">
      <c r="A4737" s="1" t="s">
        <v>7386</v>
      </c>
      <c r="B4737" s="1" t="s">
        <v>3803</v>
      </c>
      <c r="C4737" s="1" t="s">
        <v>60</v>
      </c>
      <c r="D4737" s="1" t="s">
        <v>26</v>
      </c>
      <c r="E4737" s="1" t="s">
        <v>57</v>
      </c>
      <c r="F4737">
        <v>1</v>
      </c>
      <c r="G4737" s="2">
        <v>46101</v>
      </c>
      <c r="H4737" s="2">
        <v>46104</v>
      </c>
      <c r="I4737">
        <v>210.18</v>
      </c>
      <c r="J4737">
        <v>84.8</v>
      </c>
      <c r="K4737">
        <v>84.8</v>
      </c>
      <c r="L4737">
        <v>0</v>
      </c>
      <c r="M4737" s="1" t="s">
        <v>21</v>
      </c>
      <c r="N4737" s="1" t="s">
        <v>22</v>
      </c>
      <c r="O4737" s="2">
        <v>46150</v>
      </c>
      <c r="P4737" s="2">
        <v>46150</v>
      </c>
      <c r="Q4737">
        <f>_xlfn.XLOOKUP(E4737,CPT!$A$2:$A$13,CPT!$D$2:$D$13)</f>
        <v>210</v>
      </c>
      <c r="R4737" s="1">
        <f>_xlfn.XLOOKUP(C4737,Contract!$A$2:$A$9,Contract!$B$2:$B$9)</f>
        <v>0.45</v>
      </c>
      <c r="S4737" s="1">
        <f t="shared" si="292"/>
        <v>94.5</v>
      </c>
      <c r="T4737" s="1">
        <f t="shared" si="293"/>
        <v>9.7000000000000028</v>
      </c>
      <c r="U4737" s="1" t="str">
        <f t="shared" si="294"/>
        <v>Underpaid</v>
      </c>
      <c r="V4737" s="1" t="str">
        <f>_xlfn.XLOOKUP(C4737,Payers!$A$2:$A$9,Payers!$B$2:$B$9)</f>
        <v>Blue Horizon Commercial</v>
      </c>
      <c r="W4737" s="1" t="str">
        <f t="shared" si="295"/>
        <v>2026-03</v>
      </c>
    </row>
    <row r="4738" spans="1:23">
      <c r="A4738" s="1" t="s">
        <v>7387</v>
      </c>
      <c r="B4738" s="1" t="s">
        <v>7388</v>
      </c>
      <c r="C4738" s="1" t="s">
        <v>47</v>
      </c>
      <c r="D4738" s="1" t="s">
        <v>30</v>
      </c>
      <c r="E4738" s="1" t="s">
        <v>20</v>
      </c>
      <c r="F4738">
        <v>1</v>
      </c>
      <c r="G4738" s="2">
        <v>46232</v>
      </c>
      <c r="H4738" s="2">
        <v>46234</v>
      </c>
      <c r="I4738">
        <v>146.36000000000001</v>
      </c>
      <c r="J4738">
        <v>40.83</v>
      </c>
      <c r="K4738">
        <v>40.83</v>
      </c>
      <c r="L4738">
        <v>0</v>
      </c>
      <c r="M4738" s="1" t="s">
        <v>21</v>
      </c>
      <c r="N4738" s="1" t="s">
        <v>22</v>
      </c>
      <c r="O4738" s="2">
        <v>46285</v>
      </c>
      <c r="P4738" s="2">
        <v>46285</v>
      </c>
      <c r="Q4738">
        <f>_xlfn.XLOOKUP(E4738,CPT!$A$2:$A$13,CPT!$D$2:$D$13)</f>
        <v>145</v>
      </c>
      <c r="R4738" s="1">
        <f>_xlfn.XLOOKUP(C4738,Contract!$A$2:$A$9,Contract!$B$2:$B$9)</f>
        <v>0.28000000000000003</v>
      </c>
      <c r="S4738" s="1">
        <f t="shared" ref="S4738:S4801" si="296">ROUND(Q4738*F4738*R4738,2)</f>
        <v>40.6</v>
      </c>
      <c r="T4738" s="1">
        <f t="shared" ref="T4738:T4801" si="297">IF(M4738="Paid",S4738-J4738,"")</f>
        <v>-0.22999999999999687</v>
      </c>
      <c r="U4738" s="1" t="str">
        <f t="shared" ref="U4738:U4801" si="298">IF(M4738&lt;&gt;"Paid","",IF(T4738&gt;S4738*0.05,"Underpaid","OK"))</f>
        <v>OK</v>
      </c>
      <c r="V4738" s="1" t="str">
        <f>_xlfn.XLOOKUP(C4738,Payers!$A$2:$A$9,Payers!$B$2:$B$9)</f>
        <v>Coastal Medicaid MCO</v>
      </c>
      <c r="W4738" s="1" t="str">
        <f t="shared" ref="W4738:W4801" si="299">TEXT(G4738,"yyyy-mm")</f>
        <v>2026-07</v>
      </c>
    </row>
    <row r="4739" spans="1:23">
      <c r="A4739" s="1" t="s">
        <v>7389</v>
      </c>
      <c r="B4739" s="1" t="s">
        <v>7390</v>
      </c>
      <c r="C4739" s="1" t="s">
        <v>52</v>
      </c>
      <c r="D4739" s="1" t="s">
        <v>30</v>
      </c>
      <c r="E4739" s="1" t="s">
        <v>31</v>
      </c>
      <c r="F4739">
        <v>4</v>
      </c>
      <c r="G4739" s="2">
        <v>46229</v>
      </c>
      <c r="H4739" s="2">
        <v>46234</v>
      </c>
      <c r="I4739">
        <v>241.58</v>
      </c>
      <c r="J4739">
        <v>111.21</v>
      </c>
      <c r="K4739">
        <v>111.21</v>
      </c>
      <c r="L4739">
        <v>0</v>
      </c>
      <c r="M4739" s="1" t="s">
        <v>21</v>
      </c>
      <c r="N4739" s="1" t="s">
        <v>22</v>
      </c>
      <c r="O4739" s="2">
        <v>46272</v>
      </c>
      <c r="P4739" s="2">
        <v>46272</v>
      </c>
      <c r="Q4739">
        <f>_xlfn.XLOOKUP(E4739,CPT!$A$2:$A$13,CPT!$D$2:$D$13)</f>
        <v>62</v>
      </c>
      <c r="R4739" s="1">
        <f>_xlfn.XLOOKUP(C4739,Contract!$A$2:$A$9,Contract!$B$2:$B$9)</f>
        <v>0.47</v>
      </c>
      <c r="S4739" s="1">
        <f t="shared" si="296"/>
        <v>116.56</v>
      </c>
      <c r="T4739" s="1">
        <f t="shared" si="297"/>
        <v>5.3500000000000085</v>
      </c>
      <c r="U4739" s="1" t="str">
        <f t="shared" si="298"/>
        <v>OK</v>
      </c>
      <c r="V4739" s="1" t="str">
        <f>_xlfn.XLOOKUP(C4739,Payers!$A$2:$A$9,Payers!$B$2:$B$9)</f>
        <v>Keystone Commercial PPO</v>
      </c>
      <c r="W4739" s="1" t="str">
        <f t="shared" si="299"/>
        <v>2026-07</v>
      </c>
    </row>
    <row r="4740" spans="1:23">
      <c r="A4740" s="1" t="s">
        <v>7391</v>
      </c>
      <c r="B4740" s="1" t="s">
        <v>1808</v>
      </c>
      <c r="C4740" s="1" t="s">
        <v>76</v>
      </c>
      <c r="D4740" s="1" t="s">
        <v>37</v>
      </c>
      <c r="E4740" s="1" t="s">
        <v>38</v>
      </c>
      <c r="F4740">
        <v>10</v>
      </c>
      <c r="G4740" s="2">
        <v>46075</v>
      </c>
      <c r="H4740" s="2">
        <v>46077</v>
      </c>
      <c r="I4740">
        <v>14737.45</v>
      </c>
      <c r="M4740" s="1" t="s">
        <v>32</v>
      </c>
      <c r="N4740" s="1" t="s">
        <v>168</v>
      </c>
      <c r="O4740" s="2">
        <v>46109</v>
      </c>
      <c r="P4740" s="2"/>
      <c r="Q4740">
        <f>_xlfn.XLOOKUP(E4740,CPT!$A$2:$A$13,CPT!$D$2:$D$13)</f>
        <v>1450</v>
      </c>
      <c r="R4740" s="1">
        <f>_xlfn.XLOOKUP(C4740,Contract!$A$2:$A$9,Contract!$B$2:$B$9)</f>
        <v>0.43</v>
      </c>
      <c r="S4740" s="1">
        <f t="shared" si="296"/>
        <v>6235</v>
      </c>
      <c r="T4740" s="1" t="str">
        <f t="shared" si="297"/>
        <v/>
      </c>
      <c r="U4740" s="1" t="str">
        <f t="shared" si="298"/>
        <v/>
      </c>
      <c r="V4740" s="1" t="str">
        <f>_xlfn.XLOOKUP(C4740,Payers!$A$2:$A$9,Payers!$B$2:$B$9)</f>
        <v>Summit Health Commercial</v>
      </c>
      <c r="W4740" s="1" t="str">
        <f t="shared" si="299"/>
        <v>2026-02</v>
      </c>
    </row>
    <row r="4741" spans="1:23">
      <c r="A4741" s="1" t="s">
        <v>7392</v>
      </c>
      <c r="B4741" s="1" t="s">
        <v>2539</v>
      </c>
      <c r="C4741" s="1" t="s">
        <v>76</v>
      </c>
      <c r="D4741" s="1" t="s">
        <v>26</v>
      </c>
      <c r="E4741" s="1" t="s">
        <v>41</v>
      </c>
      <c r="F4741">
        <v>1</v>
      </c>
      <c r="G4741" s="2">
        <v>45994</v>
      </c>
      <c r="H4741" s="2">
        <v>45997</v>
      </c>
      <c r="I4741">
        <v>37.11</v>
      </c>
      <c r="J4741">
        <v>14.84</v>
      </c>
      <c r="K4741">
        <v>13.36</v>
      </c>
      <c r="L4741">
        <v>1.48</v>
      </c>
      <c r="M4741" s="1" t="s">
        <v>21</v>
      </c>
      <c r="N4741" s="1" t="s">
        <v>22</v>
      </c>
      <c r="O4741" s="2">
        <v>46028</v>
      </c>
      <c r="P4741" s="2">
        <v>46028</v>
      </c>
      <c r="Q4741">
        <f>_xlfn.XLOOKUP(E4741,CPT!$A$2:$A$13,CPT!$D$2:$D$13)</f>
        <v>38</v>
      </c>
      <c r="R4741" s="1">
        <f>_xlfn.XLOOKUP(C4741,Contract!$A$2:$A$9,Contract!$B$2:$B$9)</f>
        <v>0.43</v>
      </c>
      <c r="S4741" s="1">
        <f t="shared" si="296"/>
        <v>16.34</v>
      </c>
      <c r="T4741" s="1">
        <f t="shared" si="297"/>
        <v>1.5</v>
      </c>
      <c r="U4741" s="1" t="str">
        <f t="shared" si="298"/>
        <v>Underpaid</v>
      </c>
      <c r="V4741" s="1" t="str">
        <f>_xlfn.XLOOKUP(C4741,Payers!$A$2:$A$9,Payers!$B$2:$B$9)</f>
        <v>Summit Health Commercial</v>
      </c>
      <c r="W4741" s="1" t="str">
        <f t="shared" si="299"/>
        <v>2025-12</v>
      </c>
    </row>
    <row r="4742" spans="1:23">
      <c r="A4742" s="1" t="s">
        <v>7393</v>
      </c>
      <c r="B4742" s="1" t="s">
        <v>7040</v>
      </c>
      <c r="C4742" s="1" t="s">
        <v>76</v>
      </c>
      <c r="D4742" s="1" t="s">
        <v>19</v>
      </c>
      <c r="E4742" s="1" t="s">
        <v>57</v>
      </c>
      <c r="F4742">
        <v>1</v>
      </c>
      <c r="G4742" s="2">
        <v>46147</v>
      </c>
      <c r="H4742" s="2">
        <v>46154</v>
      </c>
      <c r="I4742">
        <v>208.41</v>
      </c>
      <c r="J4742">
        <v>76.540000000000006</v>
      </c>
      <c r="K4742">
        <v>76.540000000000006</v>
      </c>
      <c r="L4742">
        <v>0</v>
      </c>
      <c r="M4742" s="1" t="s">
        <v>21</v>
      </c>
      <c r="N4742" s="1" t="s">
        <v>22</v>
      </c>
      <c r="O4742" s="2">
        <v>46182</v>
      </c>
      <c r="P4742" s="2">
        <v>46182</v>
      </c>
      <c r="Q4742">
        <f>_xlfn.XLOOKUP(E4742,CPT!$A$2:$A$13,CPT!$D$2:$D$13)</f>
        <v>210</v>
      </c>
      <c r="R4742" s="1">
        <f>_xlfn.XLOOKUP(C4742,Contract!$A$2:$A$9,Contract!$B$2:$B$9)</f>
        <v>0.43</v>
      </c>
      <c r="S4742" s="1">
        <f t="shared" si="296"/>
        <v>90.3</v>
      </c>
      <c r="T4742" s="1">
        <f t="shared" si="297"/>
        <v>13.759999999999991</v>
      </c>
      <c r="U4742" s="1" t="str">
        <f t="shared" si="298"/>
        <v>Underpaid</v>
      </c>
      <c r="V4742" s="1" t="str">
        <f>_xlfn.XLOOKUP(C4742,Payers!$A$2:$A$9,Payers!$B$2:$B$9)</f>
        <v>Summit Health Commercial</v>
      </c>
      <c r="W4742" s="1" t="str">
        <f t="shared" si="299"/>
        <v>2026-05</v>
      </c>
    </row>
    <row r="4743" spans="1:23">
      <c r="A4743" s="1" t="s">
        <v>7394</v>
      </c>
      <c r="B4743" s="1" t="s">
        <v>2125</v>
      </c>
      <c r="C4743" s="1" t="s">
        <v>18</v>
      </c>
      <c r="D4743" s="1" t="s">
        <v>37</v>
      </c>
      <c r="E4743" s="1" t="s">
        <v>57</v>
      </c>
      <c r="F4743">
        <v>1</v>
      </c>
      <c r="G4743" s="2">
        <v>46164</v>
      </c>
      <c r="H4743" s="2">
        <v>46165</v>
      </c>
      <c r="I4743">
        <v>205.95</v>
      </c>
      <c r="J4743">
        <v>70.540000000000006</v>
      </c>
      <c r="K4743">
        <v>56.43</v>
      </c>
      <c r="L4743">
        <v>14.11</v>
      </c>
      <c r="M4743" s="1" t="s">
        <v>21</v>
      </c>
      <c r="N4743" s="1" t="s">
        <v>22</v>
      </c>
      <c r="O4743" s="2">
        <v>46212</v>
      </c>
      <c r="P4743" s="2">
        <v>46212</v>
      </c>
      <c r="Q4743">
        <f>_xlfn.XLOOKUP(E4743,CPT!$A$2:$A$13,CPT!$D$2:$D$13)</f>
        <v>210</v>
      </c>
      <c r="R4743" s="1">
        <f>_xlfn.XLOOKUP(C4743,Contract!$A$2:$A$9,Contract!$B$2:$B$9)</f>
        <v>0.38</v>
      </c>
      <c r="S4743" s="1">
        <f t="shared" si="296"/>
        <v>79.8</v>
      </c>
      <c r="T4743" s="1">
        <f t="shared" si="297"/>
        <v>9.2599999999999909</v>
      </c>
      <c r="U4743" s="1" t="str">
        <f t="shared" si="298"/>
        <v>Underpaid</v>
      </c>
      <c r="V4743" s="1" t="str">
        <f>_xlfn.XLOOKUP(C4743,Payers!$A$2:$A$9,Payers!$B$2:$B$9)</f>
        <v>Sunshine Medicare Advantage</v>
      </c>
      <c r="W4743" s="1" t="str">
        <f t="shared" si="299"/>
        <v>2026-05</v>
      </c>
    </row>
    <row r="4744" spans="1:23">
      <c r="A4744" s="1" t="s">
        <v>7395</v>
      </c>
      <c r="B4744" s="1" t="s">
        <v>7246</v>
      </c>
      <c r="C4744" s="1" t="s">
        <v>76</v>
      </c>
      <c r="D4744" s="1" t="s">
        <v>26</v>
      </c>
      <c r="E4744" s="1" t="s">
        <v>41</v>
      </c>
      <c r="F4744">
        <v>1</v>
      </c>
      <c r="G4744" s="2">
        <v>45982</v>
      </c>
      <c r="H4744" s="2">
        <v>45990</v>
      </c>
      <c r="I4744">
        <v>37.71</v>
      </c>
      <c r="J4744">
        <v>13.92</v>
      </c>
      <c r="K4744">
        <v>11.14</v>
      </c>
      <c r="L4744">
        <v>2.78</v>
      </c>
      <c r="M4744" s="1" t="s">
        <v>21</v>
      </c>
      <c r="N4744" s="1" t="s">
        <v>22</v>
      </c>
      <c r="O4744" s="2">
        <v>46016</v>
      </c>
      <c r="P4744" s="2">
        <v>46016</v>
      </c>
      <c r="Q4744">
        <f>_xlfn.XLOOKUP(E4744,CPT!$A$2:$A$13,CPT!$D$2:$D$13)</f>
        <v>38</v>
      </c>
      <c r="R4744" s="1">
        <f>_xlfn.XLOOKUP(C4744,Contract!$A$2:$A$9,Contract!$B$2:$B$9)</f>
        <v>0.43</v>
      </c>
      <c r="S4744" s="1">
        <f t="shared" si="296"/>
        <v>16.34</v>
      </c>
      <c r="T4744" s="1">
        <f t="shared" si="297"/>
        <v>2.42</v>
      </c>
      <c r="U4744" s="1" t="str">
        <f t="shared" si="298"/>
        <v>Underpaid</v>
      </c>
      <c r="V4744" s="1" t="str">
        <f>_xlfn.XLOOKUP(C4744,Payers!$A$2:$A$9,Payers!$B$2:$B$9)</f>
        <v>Summit Health Commercial</v>
      </c>
      <c r="W4744" s="1" t="str">
        <f t="shared" si="299"/>
        <v>2025-11</v>
      </c>
    </row>
    <row r="4745" spans="1:23">
      <c r="A4745" s="1" t="s">
        <v>7396</v>
      </c>
      <c r="B4745" s="1" t="s">
        <v>827</v>
      </c>
      <c r="C4745" s="1" t="s">
        <v>76</v>
      </c>
      <c r="D4745" s="1" t="s">
        <v>19</v>
      </c>
      <c r="E4745" s="1" t="s">
        <v>20</v>
      </c>
      <c r="F4745">
        <v>1</v>
      </c>
      <c r="G4745" s="2">
        <v>46101</v>
      </c>
      <c r="H4745" s="2">
        <v>46105</v>
      </c>
      <c r="I4745">
        <v>146.88</v>
      </c>
      <c r="J4745">
        <v>67.02</v>
      </c>
      <c r="K4745">
        <v>67.02</v>
      </c>
      <c r="L4745">
        <v>0</v>
      </c>
      <c r="M4745" s="1" t="s">
        <v>21</v>
      </c>
      <c r="N4745" s="1" t="s">
        <v>22</v>
      </c>
      <c r="O4745" s="2">
        <v>46125</v>
      </c>
      <c r="P4745" s="2">
        <v>46125</v>
      </c>
      <c r="Q4745">
        <f>_xlfn.XLOOKUP(E4745,CPT!$A$2:$A$13,CPT!$D$2:$D$13)</f>
        <v>145</v>
      </c>
      <c r="R4745" s="1">
        <f>_xlfn.XLOOKUP(C4745,Contract!$A$2:$A$9,Contract!$B$2:$B$9)</f>
        <v>0.43</v>
      </c>
      <c r="S4745" s="1">
        <f t="shared" si="296"/>
        <v>62.35</v>
      </c>
      <c r="T4745" s="1">
        <f t="shared" si="297"/>
        <v>-4.6699999999999946</v>
      </c>
      <c r="U4745" s="1" t="str">
        <f t="shared" si="298"/>
        <v>OK</v>
      </c>
      <c r="V4745" s="1" t="str">
        <f>_xlfn.XLOOKUP(C4745,Payers!$A$2:$A$9,Payers!$B$2:$B$9)</f>
        <v>Summit Health Commercial</v>
      </c>
      <c r="W4745" s="1" t="str">
        <f t="shared" si="299"/>
        <v>2026-03</v>
      </c>
    </row>
    <row r="4746" spans="1:23">
      <c r="A4746" s="1" t="s">
        <v>7397</v>
      </c>
      <c r="B4746" s="1" t="s">
        <v>7398</v>
      </c>
      <c r="C4746" s="1" t="s">
        <v>47</v>
      </c>
      <c r="D4746" s="1" t="s">
        <v>30</v>
      </c>
      <c r="E4746" s="1" t="s">
        <v>20</v>
      </c>
      <c r="F4746">
        <v>1</v>
      </c>
      <c r="G4746" s="2">
        <v>46212</v>
      </c>
      <c r="H4746" s="2">
        <v>46228</v>
      </c>
      <c r="I4746">
        <v>148.77000000000001</v>
      </c>
      <c r="M4746" s="1" t="s">
        <v>32</v>
      </c>
      <c r="N4746" s="1" t="s">
        <v>33</v>
      </c>
      <c r="O4746" s="2">
        <v>46286</v>
      </c>
      <c r="P4746" s="2"/>
      <c r="Q4746">
        <f>_xlfn.XLOOKUP(E4746,CPT!$A$2:$A$13,CPT!$D$2:$D$13)</f>
        <v>145</v>
      </c>
      <c r="R4746" s="1">
        <f>_xlfn.XLOOKUP(C4746,Contract!$A$2:$A$9,Contract!$B$2:$B$9)</f>
        <v>0.28000000000000003</v>
      </c>
      <c r="S4746" s="1">
        <f t="shared" si="296"/>
        <v>40.6</v>
      </c>
      <c r="T4746" s="1" t="str">
        <f t="shared" si="297"/>
        <v/>
      </c>
      <c r="U4746" s="1" t="str">
        <f t="shared" si="298"/>
        <v/>
      </c>
      <c r="V4746" s="1" t="str">
        <f>_xlfn.XLOOKUP(C4746,Payers!$A$2:$A$9,Payers!$B$2:$B$9)</f>
        <v>Coastal Medicaid MCO</v>
      </c>
      <c r="W4746" s="1" t="str">
        <f t="shared" si="299"/>
        <v>2026-07</v>
      </c>
    </row>
    <row r="4747" spans="1:23">
      <c r="A4747" s="1" t="s">
        <v>7399</v>
      </c>
      <c r="B4747" s="1" t="s">
        <v>3257</v>
      </c>
      <c r="C4747" s="1" t="s">
        <v>47</v>
      </c>
      <c r="D4747" s="1" t="s">
        <v>26</v>
      </c>
      <c r="E4747" s="1" t="s">
        <v>88</v>
      </c>
      <c r="F4747">
        <v>1</v>
      </c>
      <c r="G4747" s="2">
        <v>46255</v>
      </c>
      <c r="H4747" s="2">
        <v>46257</v>
      </c>
      <c r="I4747">
        <v>253.6</v>
      </c>
      <c r="M4747" s="1" t="s">
        <v>69</v>
      </c>
      <c r="N4747" s="1" t="s">
        <v>22</v>
      </c>
      <c r="O4747" s="2"/>
      <c r="P4747" s="2"/>
      <c r="Q4747">
        <f>_xlfn.XLOOKUP(E4747,CPT!$A$2:$A$13,CPT!$D$2:$D$13)</f>
        <v>260</v>
      </c>
      <c r="R4747" s="1">
        <f>_xlfn.XLOOKUP(C4747,Contract!$A$2:$A$9,Contract!$B$2:$B$9)</f>
        <v>0.28000000000000003</v>
      </c>
      <c r="S4747" s="1">
        <f t="shared" si="296"/>
        <v>72.8</v>
      </c>
      <c r="T4747" s="1" t="str">
        <f t="shared" si="297"/>
        <v/>
      </c>
      <c r="U4747" s="1" t="str">
        <f t="shared" si="298"/>
        <v/>
      </c>
      <c r="V4747" s="1" t="str">
        <f>_xlfn.XLOOKUP(C4747,Payers!$A$2:$A$9,Payers!$B$2:$B$9)</f>
        <v>Coastal Medicaid MCO</v>
      </c>
      <c r="W4747" s="1" t="str">
        <f t="shared" si="299"/>
        <v>2026-08</v>
      </c>
    </row>
    <row r="4748" spans="1:23">
      <c r="A4748" s="1" t="s">
        <v>7400</v>
      </c>
      <c r="B4748" s="1" t="s">
        <v>6437</v>
      </c>
      <c r="C4748" s="1" t="s">
        <v>76</v>
      </c>
      <c r="D4748" s="1" t="s">
        <v>30</v>
      </c>
      <c r="E4748" s="1" t="s">
        <v>91</v>
      </c>
      <c r="F4748">
        <v>1</v>
      </c>
      <c r="G4748" s="2">
        <v>46107</v>
      </c>
      <c r="H4748" s="2">
        <v>46108</v>
      </c>
      <c r="I4748">
        <v>57.3</v>
      </c>
      <c r="J4748">
        <v>27.23</v>
      </c>
      <c r="K4748">
        <v>27.23</v>
      </c>
      <c r="L4748">
        <v>0</v>
      </c>
      <c r="M4748" s="1" t="s">
        <v>21</v>
      </c>
      <c r="N4748" s="1" t="s">
        <v>22</v>
      </c>
      <c r="O4748" s="2">
        <v>46148</v>
      </c>
      <c r="P4748" s="2">
        <v>46148</v>
      </c>
      <c r="Q4748">
        <f>_xlfn.XLOOKUP(E4748,CPT!$A$2:$A$13,CPT!$D$2:$D$13)</f>
        <v>58</v>
      </c>
      <c r="R4748" s="1">
        <f>_xlfn.XLOOKUP(C4748,Contract!$A$2:$A$9,Contract!$B$2:$B$9)</f>
        <v>0.43</v>
      </c>
      <c r="S4748" s="1">
        <f t="shared" si="296"/>
        <v>24.94</v>
      </c>
      <c r="T4748" s="1">
        <f t="shared" si="297"/>
        <v>-2.2899999999999991</v>
      </c>
      <c r="U4748" s="1" t="str">
        <f t="shared" si="298"/>
        <v>OK</v>
      </c>
      <c r="V4748" s="1" t="str">
        <f>_xlfn.XLOOKUP(C4748,Payers!$A$2:$A$9,Payers!$B$2:$B$9)</f>
        <v>Summit Health Commercial</v>
      </c>
      <c r="W4748" s="1" t="str">
        <f t="shared" si="299"/>
        <v>2026-03</v>
      </c>
    </row>
    <row r="4749" spans="1:23">
      <c r="A4749" s="1" t="s">
        <v>7401</v>
      </c>
      <c r="B4749" s="1" t="s">
        <v>1322</v>
      </c>
      <c r="C4749" s="1" t="s">
        <v>18</v>
      </c>
      <c r="D4749" s="1" t="s">
        <v>37</v>
      </c>
      <c r="E4749" s="1" t="s">
        <v>48</v>
      </c>
      <c r="F4749">
        <v>1</v>
      </c>
      <c r="G4749" s="2">
        <v>45975</v>
      </c>
      <c r="H4749" s="2">
        <v>45978</v>
      </c>
      <c r="I4749">
        <v>416.19</v>
      </c>
      <c r="M4749" s="1" t="s">
        <v>32</v>
      </c>
      <c r="N4749" s="1" t="s">
        <v>33</v>
      </c>
      <c r="O4749" s="2">
        <v>46024</v>
      </c>
      <c r="P4749" s="2"/>
      <c r="Q4749">
        <f>_xlfn.XLOOKUP(E4749,CPT!$A$2:$A$13,CPT!$D$2:$D$13)</f>
        <v>420</v>
      </c>
      <c r="R4749" s="1">
        <f>_xlfn.XLOOKUP(C4749,Contract!$A$2:$A$9,Contract!$B$2:$B$9)</f>
        <v>0.38</v>
      </c>
      <c r="S4749" s="1">
        <f t="shared" si="296"/>
        <v>159.6</v>
      </c>
      <c r="T4749" s="1" t="str">
        <f t="shared" si="297"/>
        <v/>
      </c>
      <c r="U4749" s="1" t="str">
        <f t="shared" si="298"/>
        <v/>
      </c>
      <c r="V4749" s="1" t="str">
        <f>_xlfn.XLOOKUP(C4749,Payers!$A$2:$A$9,Payers!$B$2:$B$9)</f>
        <v>Sunshine Medicare Advantage</v>
      </c>
      <c r="W4749" s="1" t="str">
        <f t="shared" si="299"/>
        <v>2025-11</v>
      </c>
    </row>
    <row r="4750" spans="1:23">
      <c r="A4750" s="1" t="s">
        <v>7402</v>
      </c>
      <c r="B4750" s="1" t="s">
        <v>6186</v>
      </c>
      <c r="C4750" s="1" t="s">
        <v>76</v>
      </c>
      <c r="D4750" s="1" t="s">
        <v>19</v>
      </c>
      <c r="E4750" s="1" t="s">
        <v>88</v>
      </c>
      <c r="F4750">
        <v>1</v>
      </c>
      <c r="G4750" s="2">
        <v>46097</v>
      </c>
      <c r="H4750" s="2">
        <v>46104</v>
      </c>
      <c r="I4750">
        <v>255</v>
      </c>
      <c r="J4750">
        <v>92.1</v>
      </c>
      <c r="K4750">
        <v>82.89</v>
      </c>
      <c r="L4750">
        <v>9.2100000000000009</v>
      </c>
      <c r="M4750" s="1" t="s">
        <v>21</v>
      </c>
      <c r="N4750" s="1" t="s">
        <v>22</v>
      </c>
      <c r="O4750" s="2">
        <v>46140</v>
      </c>
      <c r="P4750" s="2">
        <v>46140</v>
      </c>
      <c r="Q4750">
        <f>_xlfn.XLOOKUP(E4750,CPT!$A$2:$A$13,CPT!$D$2:$D$13)</f>
        <v>260</v>
      </c>
      <c r="R4750" s="1">
        <f>_xlfn.XLOOKUP(C4750,Contract!$A$2:$A$9,Contract!$B$2:$B$9)</f>
        <v>0.43</v>
      </c>
      <c r="S4750" s="1">
        <f t="shared" si="296"/>
        <v>111.8</v>
      </c>
      <c r="T4750" s="1">
        <f t="shared" si="297"/>
        <v>19.700000000000003</v>
      </c>
      <c r="U4750" s="1" t="str">
        <f t="shared" si="298"/>
        <v>Underpaid</v>
      </c>
      <c r="V4750" s="1" t="str">
        <f>_xlfn.XLOOKUP(C4750,Payers!$A$2:$A$9,Payers!$B$2:$B$9)</f>
        <v>Summit Health Commercial</v>
      </c>
      <c r="W4750" s="1" t="str">
        <f t="shared" si="299"/>
        <v>2026-03</v>
      </c>
    </row>
    <row r="4751" spans="1:23">
      <c r="A4751" s="1" t="s">
        <v>7403</v>
      </c>
      <c r="B4751" s="1" t="s">
        <v>877</v>
      </c>
      <c r="C4751" s="1" t="s">
        <v>60</v>
      </c>
      <c r="D4751" s="1" t="s">
        <v>19</v>
      </c>
      <c r="E4751" s="1" t="s">
        <v>41</v>
      </c>
      <c r="F4751">
        <v>1</v>
      </c>
      <c r="G4751" s="2">
        <v>46132</v>
      </c>
      <c r="H4751" s="2">
        <v>46136</v>
      </c>
      <c r="I4751">
        <v>38.340000000000003</v>
      </c>
      <c r="J4751">
        <v>17.93</v>
      </c>
      <c r="K4751">
        <v>14.34</v>
      </c>
      <c r="L4751">
        <v>3.59</v>
      </c>
      <c r="M4751" s="1" t="s">
        <v>21</v>
      </c>
      <c r="N4751" s="1" t="s">
        <v>22</v>
      </c>
      <c r="O4751" s="2">
        <v>46163</v>
      </c>
      <c r="P4751" s="2">
        <v>46163</v>
      </c>
      <c r="Q4751">
        <f>_xlfn.XLOOKUP(E4751,CPT!$A$2:$A$13,CPT!$D$2:$D$13)</f>
        <v>38</v>
      </c>
      <c r="R4751" s="1">
        <f>_xlfn.XLOOKUP(C4751,Contract!$A$2:$A$9,Contract!$B$2:$B$9)</f>
        <v>0.45</v>
      </c>
      <c r="S4751" s="1">
        <f t="shared" si="296"/>
        <v>17.100000000000001</v>
      </c>
      <c r="T4751" s="1">
        <f t="shared" si="297"/>
        <v>-0.82999999999999829</v>
      </c>
      <c r="U4751" s="1" t="str">
        <f t="shared" si="298"/>
        <v>OK</v>
      </c>
      <c r="V4751" s="1" t="str">
        <f>_xlfn.XLOOKUP(C4751,Payers!$A$2:$A$9,Payers!$B$2:$B$9)</f>
        <v>Blue Horizon Commercial</v>
      </c>
      <c r="W4751" s="1" t="str">
        <f t="shared" si="299"/>
        <v>2026-04</v>
      </c>
    </row>
    <row r="4752" spans="1:23">
      <c r="A4752" s="1" t="s">
        <v>7404</v>
      </c>
      <c r="B4752" s="1" t="s">
        <v>2090</v>
      </c>
      <c r="C4752" s="1" t="s">
        <v>36</v>
      </c>
      <c r="D4752" s="1" t="s">
        <v>19</v>
      </c>
      <c r="E4752" s="1" t="s">
        <v>20</v>
      </c>
      <c r="F4752">
        <v>1</v>
      </c>
      <c r="G4752" s="2">
        <v>46037</v>
      </c>
      <c r="H4752" s="2">
        <v>46039</v>
      </c>
      <c r="I4752">
        <v>142.94999999999999</v>
      </c>
      <c r="J4752">
        <v>35.880000000000003</v>
      </c>
      <c r="K4752">
        <v>28.7</v>
      </c>
      <c r="L4752">
        <v>7.18</v>
      </c>
      <c r="M4752" s="1" t="s">
        <v>21</v>
      </c>
      <c r="N4752" s="1" t="s">
        <v>22</v>
      </c>
      <c r="O4752" s="2">
        <v>46088</v>
      </c>
      <c r="P4752" s="2">
        <v>46088</v>
      </c>
      <c r="Q4752">
        <f>_xlfn.XLOOKUP(E4752,CPT!$A$2:$A$13,CPT!$D$2:$D$13)</f>
        <v>145</v>
      </c>
      <c r="R4752" s="1">
        <f>_xlfn.XLOOKUP(C4752,Contract!$A$2:$A$9,Contract!$B$2:$B$9)</f>
        <v>0.27</v>
      </c>
      <c r="S4752" s="1">
        <f t="shared" si="296"/>
        <v>39.15</v>
      </c>
      <c r="T4752" s="1">
        <f t="shared" si="297"/>
        <v>3.269999999999996</v>
      </c>
      <c r="U4752" s="1" t="str">
        <f t="shared" si="298"/>
        <v>Underpaid</v>
      </c>
      <c r="V4752" s="1" t="str">
        <f>_xlfn.XLOOKUP(C4752,Payers!$A$2:$A$9,Payers!$B$2:$B$9)</f>
        <v>Florida Medicaid</v>
      </c>
      <c r="W4752" s="1" t="str">
        <f t="shared" si="299"/>
        <v>2026-01</v>
      </c>
    </row>
    <row r="4753" spans="1:23">
      <c r="A4753" s="1" t="s">
        <v>7405</v>
      </c>
      <c r="B4753" s="1" t="s">
        <v>7406</v>
      </c>
      <c r="C4753" s="1" t="s">
        <v>18</v>
      </c>
      <c r="D4753" s="1" t="s">
        <v>37</v>
      </c>
      <c r="E4753" s="1" t="s">
        <v>38</v>
      </c>
      <c r="F4753">
        <v>10</v>
      </c>
      <c r="G4753" s="2">
        <v>46092</v>
      </c>
      <c r="H4753" s="2">
        <v>46093</v>
      </c>
      <c r="I4753">
        <v>14366.11</v>
      </c>
      <c r="M4753" s="1" t="s">
        <v>32</v>
      </c>
      <c r="N4753" s="1" t="s">
        <v>315</v>
      </c>
      <c r="O4753" s="2">
        <v>46129</v>
      </c>
      <c r="P4753" s="2"/>
      <c r="Q4753">
        <f>_xlfn.XLOOKUP(E4753,CPT!$A$2:$A$13,CPT!$D$2:$D$13)</f>
        <v>1450</v>
      </c>
      <c r="R4753" s="1">
        <f>_xlfn.XLOOKUP(C4753,Contract!$A$2:$A$9,Contract!$B$2:$B$9)</f>
        <v>0.38</v>
      </c>
      <c r="S4753" s="1">
        <f t="shared" si="296"/>
        <v>5510</v>
      </c>
      <c r="T4753" s="1" t="str">
        <f t="shared" si="297"/>
        <v/>
      </c>
      <c r="U4753" s="1" t="str">
        <f t="shared" si="298"/>
        <v/>
      </c>
      <c r="V4753" s="1" t="str">
        <f>_xlfn.XLOOKUP(C4753,Payers!$A$2:$A$9,Payers!$B$2:$B$9)</f>
        <v>Sunshine Medicare Advantage</v>
      </c>
      <c r="W4753" s="1" t="str">
        <f t="shared" si="299"/>
        <v>2026-03</v>
      </c>
    </row>
    <row r="4754" spans="1:23">
      <c r="A4754" s="1" t="s">
        <v>7407</v>
      </c>
      <c r="B4754" s="1" t="s">
        <v>5602</v>
      </c>
      <c r="C4754" s="1" t="s">
        <v>60</v>
      </c>
      <c r="D4754" s="1" t="s">
        <v>30</v>
      </c>
      <c r="E4754" s="1" t="s">
        <v>91</v>
      </c>
      <c r="F4754">
        <v>1</v>
      </c>
      <c r="G4754" s="2">
        <v>46124</v>
      </c>
      <c r="H4754" s="2">
        <v>46128</v>
      </c>
      <c r="I4754">
        <v>58.34</v>
      </c>
      <c r="J4754">
        <v>25.14</v>
      </c>
      <c r="K4754">
        <v>20.11</v>
      </c>
      <c r="L4754">
        <v>5.03</v>
      </c>
      <c r="M4754" s="1" t="s">
        <v>21</v>
      </c>
      <c r="N4754" s="1" t="s">
        <v>22</v>
      </c>
      <c r="O4754" s="2">
        <v>46157</v>
      </c>
      <c r="P4754" s="2">
        <v>46157</v>
      </c>
      <c r="Q4754">
        <f>_xlfn.XLOOKUP(E4754,CPT!$A$2:$A$13,CPT!$D$2:$D$13)</f>
        <v>58</v>
      </c>
      <c r="R4754" s="1">
        <f>_xlfn.XLOOKUP(C4754,Contract!$A$2:$A$9,Contract!$B$2:$B$9)</f>
        <v>0.45</v>
      </c>
      <c r="S4754" s="1">
        <f t="shared" si="296"/>
        <v>26.1</v>
      </c>
      <c r="T4754" s="1">
        <f t="shared" si="297"/>
        <v>0.96000000000000085</v>
      </c>
      <c r="U4754" s="1" t="str">
        <f t="shared" si="298"/>
        <v>OK</v>
      </c>
      <c r="V4754" s="1" t="str">
        <f>_xlfn.XLOOKUP(C4754,Payers!$A$2:$A$9,Payers!$B$2:$B$9)</f>
        <v>Blue Horizon Commercial</v>
      </c>
      <c r="W4754" s="1" t="str">
        <f t="shared" si="299"/>
        <v>2026-04</v>
      </c>
    </row>
    <row r="4755" spans="1:23">
      <c r="A4755" s="1" t="s">
        <v>7408</v>
      </c>
      <c r="B4755" s="1" t="s">
        <v>2341</v>
      </c>
      <c r="C4755" s="1" t="s">
        <v>25</v>
      </c>
      <c r="D4755" s="1" t="s">
        <v>26</v>
      </c>
      <c r="E4755" s="1" t="s">
        <v>185</v>
      </c>
      <c r="F4755">
        <v>1</v>
      </c>
      <c r="G4755" s="2">
        <v>46229</v>
      </c>
      <c r="H4755" s="2">
        <v>46230</v>
      </c>
      <c r="I4755">
        <v>1122.6600000000001</v>
      </c>
      <c r="J4755">
        <v>466.17</v>
      </c>
      <c r="K4755">
        <v>419.55</v>
      </c>
      <c r="L4755">
        <v>46.62</v>
      </c>
      <c r="M4755" s="1" t="s">
        <v>21</v>
      </c>
      <c r="N4755" s="1" t="s">
        <v>22</v>
      </c>
      <c r="O4755" s="2">
        <v>46244</v>
      </c>
      <c r="P4755" s="2">
        <v>46244</v>
      </c>
      <c r="Q4755">
        <f>_xlfn.XLOOKUP(E4755,CPT!$A$2:$A$13,CPT!$D$2:$D$13)</f>
        <v>1150</v>
      </c>
      <c r="R4755" s="1">
        <f>_xlfn.XLOOKUP(C4755,Contract!$A$2:$A$9,Contract!$B$2:$B$9)</f>
        <v>0.36</v>
      </c>
      <c r="S4755" s="1">
        <f t="shared" si="296"/>
        <v>414</v>
      </c>
      <c r="T4755" s="1">
        <f t="shared" si="297"/>
        <v>-52.170000000000016</v>
      </c>
      <c r="U4755" s="1" t="str">
        <f t="shared" si="298"/>
        <v>OK</v>
      </c>
      <c r="V4755" s="1" t="str">
        <f>_xlfn.XLOOKUP(C4755,Payers!$A$2:$A$9,Payers!$B$2:$B$9)</f>
        <v>Medicare Part B</v>
      </c>
      <c r="W4755" s="1" t="str">
        <f t="shared" si="299"/>
        <v>2026-07</v>
      </c>
    </row>
    <row r="4756" spans="1:23">
      <c r="A4756" s="1" t="s">
        <v>7409</v>
      </c>
      <c r="B4756" s="1" t="s">
        <v>7410</v>
      </c>
      <c r="C4756" s="1" t="s">
        <v>76</v>
      </c>
      <c r="D4756" s="1" t="s">
        <v>26</v>
      </c>
      <c r="E4756" s="1" t="s">
        <v>27</v>
      </c>
      <c r="F4756">
        <v>1</v>
      </c>
      <c r="G4756" s="2">
        <v>46172</v>
      </c>
      <c r="H4756" s="2">
        <v>46178</v>
      </c>
      <c r="I4756">
        <v>243.04</v>
      </c>
      <c r="J4756">
        <v>106.35</v>
      </c>
      <c r="K4756">
        <v>106.35</v>
      </c>
      <c r="L4756">
        <v>0</v>
      </c>
      <c r="M4756" s="1" t="s">
        <v>21</v>
      </c>
      <c r="N4756" s="1" t="s">
        <v>22</v>
      </c>
      <c r="O4756" s="2">
        <v>46210</v>
      </c>
      <c r="P4756" s="2">
        <v>46210</v>
      </c>
      <c r="Q4756">
        <f>_xlfn.XLOOKUP(E4756,CPT!$A$2:$A$13,CPT!$D$2:$D$13)</f>
        <v>240</v>
      </c>
      <c r="R4756" s="1">
        <f>_xlfn.XLOOKUP(C4756,Contract!$A$2:$A$9,Contract!$B$2:$B$9)</f>
        <v>0.43</v>
      </c>
      <c r="S4756" s="1">
        <f t="shared" si="296"/>
        <v>103.2</v>
      </c>
      <c r="T4756" s="1">
        <f t="shared" si="297"/>
        <v>-3.1499999999999915</v>
      </c>
      <c r="U4756" s="1" t="str">
        <f t="shared" si="298"/>
        <v>OK</v>
      </c>
      <c r="V4756" s="1" t="str">
        <f>_xlfn.XLOOKUP(C4756,Payers!$A$2:$A$9,Payers!$B$2:$B$9)</f>
        <v>Summit Health Commercial</v>
      </c>
      <c r="W4756" s="1" t="str">
        <f t="shared" si="299"/>
        <v>2026-05</v>
      </c>
    </row>
    <row r="4757" spans="1:23">
      <c r="A4757" s="1" t="s">
        <v>7411</v>
      </c>
      <c r="B4757" s="1" t="s">
        <v>6483</v>
      </c>
      <c r="C4757" s="1" t="s">
        <v>47</v>
      </c>
      <c r="D4757" s="1" t="s">
        <v>26</v>
      </c>
      <c r="E4757" s="1" t="s">
        <v>113</v>
      </c>
      <c r="F4757">
        <v>1</v>
      </c>
      <c r="G4757" s="2">
        <v>46053</v>
      </c>
      <c r="H4757" s="2">
        <v>46059</v>
      </c>
      <c r="I4757">
        <v>1054.19</v>
      </c>
      <c r="M4757" s="1" t="s">
        <v>32</v>
      </c>
      <c r="N4757" s="1" t="s">
        <v>315</v>
      </c>
      <c r="O4757" s="2">
        <v>46122</v>
      </c>
      <c r="P4757" s="2"/>
      <c r="Q4757">
        <f>_xlfn.XLOOKUP(E4757,CPT!$A$2:$A$13,CPT!$D$2:$D$13)</f>
        <v>1050</v>
      </c>
      <c r="R4757" s="1">
        <f>_xlfn.XLOOKUP(C4757,Contract!$A$2:$A$9,Contract!$B$2:$B$9)</f>
        <v>0.28000000000000003</v>
      </c>
      <c r="S4757" s="1">
        <f t="shared" si="296"/>
        <v>294</v>
      </c>
      <c r="T4757" s="1" t="str">
        <f t="shared" si="297"/>
        <v/>
      </c>
      <c r="U4757" s="1" t="str">
        <f t="shared" si="298"/>
        <v/>
      </c>
      <c r="V4757" s="1" t="str">
        <f>_xlfn.XLOOKUP(C4757,Payers!$A$2:$A$9,Payers!$B$2:$B$9)</f>
        <v>Coastal Medicaid MCO</v>
      </c>
      <c r="W4757" s="1" t="str">
        <f t="shared" si="299"/>
        <v>2026-01</v>
      </c>
    </row>
    <row r="4758" spans="1:23">
      <c r="A4758" s="1" t="s">
        <v>7412</v>
      </c>
      <c r="B4758" s="1" t="s">
        <v>651</v>
      </c>
      <c r="C4758" s="1" t="s">
        <v>18</v>
      </c>
      <c r="D4758" s="1" t="s">
        <v>19</v>
      </c>
      <c r="E4758" s="1" t="s">
        <v>41</v>
      </c>
      <c r="F4758">
        <v>1</v>
      </c>
      <c r="G4758" s="2">
        <v>45992</v>
      </c>
      <c r="H4758" s="2">
        <v>45997</v>
      </c>
      <c r="I4758">
        <v>37.11</v>
      </c>
      <c r="J4758">
        <v>12.73</v>
      </c>
      <c r="K4758">
        <v>12.73</v>
      </c>
      <c r="L4758">
        <v>0</v>
      </c>
      <c r="M4758" s="1" t="s">
        <v>21</v>
      </c>
      <c r="N4758" s="1" t="s">
        <v>22</v>
      </c>
      <c r="O4758" s="2">
        <v>46043</v>
      </c>
      <c r="P4758" s="2">
        <v>46043</v>
      </c>
      <c r="Q4758">
        <f>_xlfn.XLOOKUP(E4758,CPT!$A$2:$A$13,CPT!$D$2:$D$13)</f>
        <v>38</v>
      </c>
      <c r="R4758" s="1">
        <f>_xlfn.XLOOKUP(C4758,Contract!$A$2:$A$9,Contract!$B$2:$B$9)</f>
        <v>0.38</v>
      </c>
      <c r="S4758" s="1">
        <f t="shared" si="296"/>
        <v>14.44</v>
      </c>
      <c r="T4758" s="1">
        <f t="shared" si="297"/>
        <v>1.7099999999999991</v>
      </c>
      <c r="U4758" s="1" t="str">
        <f t="shared" si="298"/>
        <v>Underpaid</v>
      </c>
      <c r="V4758" s="1" t="str">
        <f>_xlfn.XLOOKUP(C4758,Payers!$A$2:$A$9,Payers!$B$2:$B$9)</f>
        <v>Sunshine Medicare Advantage</v>
      </c>
      <c r="W4758" s="1" t="str">
        <f t="shared" si="299"/>
        <v>2025-12</v>
      </c>
    </row>
    <row r="4759" spans="1:23">
      <c r="A4759" s="1" t="s">
        <v>7413</v>
      </c>
      <c r="B4759" s="1" t="s">
        <v>7414</v>
      </c>
      <c r="C4759" s="1" t="s">
        <v>60</v>
      </c>
      <c r="D4759" s="1" t="s">
        <v>19</v>
      </c>
      <c r="E4759" s="1" t="s">
        <v>57</v>
      </c>
      <c r="F4759">
        <v>1</v>
      </c>
      <c r="G4759" s="2">
        <v>45944</v>
      </c>
      <c r="H4759" s="2">
        <v>45953</v>
      </c>
      <c r="I4759">
        <v>209.09</v>
      </c>
      <c r="J4759">
        <v>82.75</v>
      </c>
      <c r="K4759">
        <v>82.75</v>
      </c>
      <c r="L4759">
        <v>0</v>
      </c>
      <c r="M4759" s="1" t="s">
        <v>21</v>
      </c>
      <c r="N4759" s="1" t="s">
        <v>22</v>
      </c>
      <c r="O4759" s="2">
        <v>45991</v>
      </c>
      <c r="P4759" s="2">
        <v>45991</v>
      </c>
      <c r="Q4759">
        <f>_xlfn.XLOOKUP(E4759,CPT!$A$2:$A$13,CPT!$D$2:$D$13)</f>
        <v>210</v>
      </c>
      <c r="R4759" s="1">
        <f>_xlfn.XLOOKUP(C4759,Contract!$A$2:$A$9,Contract!$B$2:$B$9)</f>
        <v>0.45</v>
      </c>
      <c r="S4759" s="1">
        <f t="shared" si="296"/>
        <v>94.5</v>
      </c>
      <c r="T4759" s="1">
        <f t="shared" si="297"/>
        <v>11.75</v>
      </c>
      <c r="U4759" s="1" t="str">
        <f t="shared" si="298"/>
        <v>Underpaid</v>
      </c>
      <c r="V4759" s="1" t="str">
        <f>_xlfn.XLOOKUP(C4759,Payers!$A$2:$A$9,Payers!$B$2:$B$9)</f>
        <v>Blue Horizon Commercial</v>
      </c>
      <c r="W4759" s="1" t="str">
        <f t="shared" si="299"/>
        <v>2025-10</v>
      </c>
    </row>
    <row r="4760" spans="1:23">
      <c r="A4760" s="1" t="s">
        <v>7415</v>
      </c>
      <c r="B4760" s="1" t="s">
        <v>6005</v>
      </c>
      <c r="C4760" s="1" t="s">
        <v>76</v>
      </c>
      <c r="D4760" s="1" t="s">
        <v>19</v>
      </c>
      <c r="E4760" s="1" t="s">
        <v>88</v>
      </c>
      <c r="F4760">
        <v>1</v>
      </c>
      <c r="G4760" s="2">
        <v>46143</v>
      </c>
      <c r="H4760" s="2">
        <v>46144</v>
      </c>
      <c r="I4760">
        <v>259.89999999999998</v>
      </c>
      <c r="J4760">
        <v>98.05</v>
      </c>
      <c r="K4760">
        <v>78.44</v>
      </c>
      <c r="L4760">
        <v>19.61</v>
      </c>
      <c r="M4760" s="1" t="s">
        <v>21</v>
      </c>
      <c r="N4760" s="1" t="s">
        <v>22</v>
      </c>
      <c r="O4760" s="2">
        <v>46173</v>
      </c>
      <c r="P4760" s="2">
        <v>46173</v>
      </c>
      <c r="Q4760">
        <f>_xlfn.XLOOKUP(E4760,CPT!$A$2:$A$13,CPT!$D$2:$D$13)</f>
        <v>260</v>
      </c>
      <c r="R4760" s="1">
        <f>_xlfn.XLOOKUP(C4760,Contract!$A$2:$A$9,Contract!$B$2:$B$9)</f>
        <v>0.43</v>
      </c>
      <c r="S4760" s="1">
        <f t="shared" si="296"/>
        <v>111.8</v>
      </c>
      <c r="T4760" s="1">
        <f t="shared" si="297"/>
        <v>13.75</v>
      </c>
      <c r="U4760" s="1" t="str">
        <f t="shared" si="298"/>
        <v>Underpaid</v>
      </c>
      <c r="V4760" s="1" t="str">
        <f>_xlfn.XLOOKUP(C4760,Payers!$A$2:$A$9,Payers!$B$2:$B$9)</f>
        <v>Summit Health Commercial</v>
      </c>
      <c r="W4760" s="1" t="str">
        <f t="shared" si="299"/>
        <v>2026-05</v>
      </c>
    </row>
    <row r="4761" spans="1:23">
      <c r="A4761" s="1" t="s">
        <v>7416</v>
      </c>
      <c r="B4761" s="1" t="s">
        <v>7417</v>
      </c>
      <c r="C4761" s="1" t="s">
        <v>52</v>
      </c>
      <c r="D4761" s="1" t="s">
        <v>30</v>
      </c>
      <c r="E4761" s="1" t="s">
        <v>31</v>
      </c>
      <c r="F4761">
        <v>1</v>
      </c>
      <c r="G4761" s="2">
        <v>46244</v>
      </c>
      <c r="H4761" s="2">
        <v>46256</v>
      </c>
      <c r="I4761">
        <v>61.02</v>
      </c>
      <c r="J4761">
        <v>26.58</v>
      </c>
      <c r="K4761">
        <v>26.58</v>
      </c>
      <c r="L4761">
        <v>0</v>
      </c>
      <c r="M4761" s="1" t="s">
        <v>21</v>
      </c>
      <c r="N4761" s="1" t="s">
        <v>22</v>
      </c>
      <c r="O4761" s="2">
        <v>46286</v>
      </c>
      <c r="P4761" s="2">
        <v>46286</v>
      </c>
      <c r="Q4761">
        <f>_xlfn.XLOOKUP(E4761,CPT!$A$2:$A$13,CPT!$D$2:$D$13)</f>
        <v>62</v>
      </c>
      <c r="R4761" s="1">
        <f>_xlfn.XLOOKUP(C4761,Contract!$A$2:$A$9,Contract!$B$2:$B$9)</f>
        <v>0.47</v>
      </c>
      <c r="S4761" s="1">
        <f t="shared" si="296"/>
        <v>29.14</v>
      </c>
      <c r="T4761" s="1">
        <f t="shared" si="297"/>
        <v>2.5600000000000023</v>
      </c>
      <c r="U4761" s="1" t="str">
        <f t="shared" si="298"/>
        <v>Underpaid</v>
      </c>
      <c r="V4761" s="1" t="str">
        <f>_xlfn.XLOOKUP(C4761,Payers!$A$2:$A$9,Payers!$B$2:$B$9)</f>
        <v>Keystone Commercial PPO</v>
      </c>
      <c r="W4761" s="1" t="str">
        <f t="shared" si="299"/>
        <v>2026-08</v>
      </c>
    </row>
    <row r="4762" spans="1:23">
      <c r="A4762" s="1" t="s">
        <v>7418</v>
      </c>
      <c r="B4762" s="1" t="s">
        <v>1977</v>
      </c>
      <c r="C4762" s="1" t="s">
        <v>76</v>
      </c>
      <c r="D4762" s="1" t="s">
        <v>26</v>
      </c>
      <c r="E4762" s="1" t="s">
        <v>185</v>
      </c>
      <c r="F4762">
        <v>1</v>
      </c>
      <c r="G4762" s="2">
        <v>46152</v>
      </c>
      <c r="H4762" s="2">
        <v>46158</v>
      </c>
      <c r="I4762">
        <v>1127.06</v>
      </c>
      <c r="J4762">
        <v>514.73</v>
      </c>
      <c r="K4762">
        <v>514.73</v>
      </c>
      <c r="L4762">
        <v>0</v>
      </c>
      <c r="M4762" s="1" t="s">
        <v>21</v>
      </c>
      <c r="N4762" s="1" t="s">
        <v>22</v>
      </c>
      <c r="O4762" s="2">
        <v>46184</v>
      </c>
      <c r="P4762" s="2">
        <v>46184</v>
      </c>
      <c r="Q4762">
        <f>_xlfn.XLOOKUP(E4762,CPT!$A$2:$A$13,CPT!$D$2:$D$13)</f>
        <v>1150</v>
      </c>
      <c r="R4762" s="1">
        <f>_xlfn.XLOOKUP(C4762,Contract!$A$2:$A$9,Contract!$B$2:$B$9)</f>
        <v>0.43</v>
      </c>
      <c r="S4762" s="1">
        <f t="shared" si="296"/>
        <v>494.5</v>
      </c>
      <c r="T4762" s="1">
        <f t="shared" si="297"/>
        <v>-20.230000000000018</v>
      </c>
      <c r="U4762" s="1" t="str">
        <f t="shared" si="298"/>
        <v>OK</v>
      </c>
      <c r="V4762" s="1" t="str">
        <f>_xlfn.XLOOKUP(C4762,Payers!$A$2:$A$9,Payers!$B$2:$B$9)</f>
        <v>Summit Health Commercial</v>
      </c>
      <c r="W4762" s="1" t="str">
        <f t="shared" si="299"/>
        <v>2026-05</v>
      </c>
    </row>
    <row r="4763" spans="1:23">
      <c r="A4763" s="1" t="s">
        <v>7419</v>
      </c>
      <c r="B4763" s="1" t="s">
        <v>7420</v>
      </c>
      <c r="C4763" s="1" t="s">
        <v>60</v>
      </c>
      <c r="D4763" s="1" t="s">
        <v>26</v>
      </c>
      <c r="E4763" s="1" t="s">
        <v>41</v>
      </c>
      <c r="F4763">
        <v>1</v>
      </c>
      <c r="G4763" s="2">
        <v>46060</v>
      </c>
      <c r="H4763" s="2">
        <v>46067</v>
      </c>
      <c r="I4763">
        <v>37.1</v>
      </c>
      <c r="J4763">
        <v>14.57</v>
      </c>
      <c r="K4763">
        <v>11.66</v>
      </c>
      <c r="L4763">
        <v>2.91</v>
      </c>
      <c r="M4763" s="1" t="s">
        <v>21</v>
      </c>
      <c r="N4763" s="1" t="s">
        <v>22</v>
      </c>
      <c r="O4763" s="2">
        <v>46072</v>
      </c>
      <c r="P4763" s="2">
        <v>46072</v>
      </c>
      <c r="Q4763">
        <f>_xlfn.XLOOKUP(E4763,CPT!$A$2:$A$13,CPT!$D$2:$D$13)</f>
        <v>38</v>
      </c>
      <c r="R4763" s="1">
        <f>_xlfn.XLOOKUP(C4763,Contract!$A$2:$A$9,Contract!$B$2:$B$9)</f>
        <v>0.45</v>
      </c>
      <c r="S4763" s="1">
        <f t="shared" si="296"/>
        <v>17.100000000000001</v>
      </c>
      <c r="T4763" s="1">
        <f t="shared" si="297"/>
        <v>2.5300000000000011</v>
      </c>
      <c r="U4763" s="1" t="str">
        <f t="shared" si="298"/>
        <v>Underpaid</v>
      </c>
      <c r="V4763" s="1" t="str">
        <f>_xlfn.XLOOKUP(C4763,Payers!$A$2:$A$9,Payers!$B$2:$B$9)</f>
        <v>Blue Horizon Commercial</v>
      </c>
      <c r="W4763" s="1" t="str">
        <f t="shared" si="299"/>
        <v>2026-02</v>
      </c>
    </row>
    <row r="4764" spans="1:23">
      <c r="A4764" s="1" t="s">
        <v>7421</v>
      </c>
      <c r="B4764" s="1" t="s">
        <v>5449</v>
      </c>
      <c r="C4764" s="1" t="s">
        <v>25</v>
      </c>
      <c r="D4764" s="1" t="s">
        <v>26</v>
      </c>
      <c r="E4764" s="1" t="s">
        <v>41</v>
      </c>
      <c r="F4764">
        <v>1</v>
      </c>
      <c r="G4764" s="2">
        <v>46019</v>
      </c>
      <c r="H4764" s="2">
        <v>46024</v>
      </c>
      <c r="I4764">
        <v>37.04</v>
      </c>
      <c r="J4764">
        <v>12.86</v>
      </c>
      <c r="K4764">
        <v>10.29</v>
      </c>
      <c r="L4764">
        <v>2.57</v>
      </c>
      <c r="M4764" s="1" t="s">
        <v>21</v>
      </c>
      <c r="N4764" s="1" t="s">
        <v>22</v>
      </c>
      <c r="O4764" s="2">
        <v>46048</v>
      </c>
      <c r="P4764" s="2">
        <v>46048</v>
      </c>
      <c r="Q4764">
        <f>_xlfn.XLOOKUP(E4764,CPT!$A$2:$A$13,CPT!$D$2:$D$13)</f>
        <v>38</v>
      </c>
      <c r="R4764" s="1">
        <f>_xlfn.XLOOKUP(C4764,Contract!$A$2:$A$9,Contract!$B$2:$B$9)</f>
        <v>0.36</v>
      </c>
      <c r="S4764" s="1">
        <f t="shared" si="296"/>
        <v>13.68</v>
      </c>
      <c r="T4764" s="1">
        <f t="shared" si="297"/>
        <v>0.82000000000000028</v>
      </c>
      <c r="U4764" s="1" t="str">
        <f t="shared" si="298"/>
        <v>Underpaid</v>
      </c>
      <c r="V4764" s="1" t="str">
        <f>_xlfn.XLOOKUP(C4764,Payers!$A$2:$A$9,Payers!$B$2:$B$9)</f>
        <v>Medicare Part B</v>
      </c>
      <c r="W4764" s="1" t="str">
        <f t="shared" si="299"/>
        <v>2025-12</v>
      </c>
    </row>
    <row r="4765" spans="1:23">
      <c r="A4765" s="1" t="s">
        <v>7422</v>
      </c>
      <c r="B4765" s="1" t="s">
        <v>7423</v>
      </c>
      <c r="C4765" s="1" t="s">
        <v>60</v>
      </c>
      <c r="D4765" s="1" t="s">
        <v>19</v>
      </c>
      <c r="E4765" s="1" t="s">
        <v>41</v>
      </c>
      <c r="F4765">
        <v>1</v>
      </c>
      <c r="G4765" s="2">
        <v>46198</v>
      </c>
      <c r="H4765" s="2">
        <v>46203</v>
      </c>
      <c r="I4765">
        <v>37.840000000000003</v>
      </c>
      <c r="J4765">
        <v>18.07</v>
      </c>
      <c r="K4765">
        <v>14.46</v>
      </c>
      <c r="L4765">
        <v>3.61</v>
      </c>
      <c r="M4765" s="1" t="s">
        <v>21</v>
      </c>
      <c r="N4765" s="1" t="s">
        <v>22</v>
      </c>
      <c r="O4765" s="2">
        <v>46246</v>
      </c>
      <c r="P4765" s="2">
        <v>46246</v>
      </c>
      <c r="Q4765">
        <f>_xlfn.XLOOKUP(E4765,CPT!$A$2:$A$13,CPT!$D$2:$D$13)</f>
        <v>38</v>
      </c>
      <c r="R4765" s="1">
        <f>_xlfn.XLOOKUP(C4765,Contract!$A$2:$A$9,Contract!$B$2:$B$9)</f>
        <v>0.45</v>
      </c>
      <c r="S4765" s="1">
        <f t="shared" si="296"/>
        <v>17.100000000000001</v>
      </c>
      <c r="T4765" s="1">
        <f t="shared" si="297"/>
        <v>-0.96999999999999886</v>
      </c>
      <c r="U4765" s="1" t="str">
        <f t="shared" si="298"/>
        <v>OK</v>
      </c>
      <c r="V4765" s="1" t="str">
        <f>_xlfn.XLOOKUP(C4765,Payers!$A$2:$A$9,Payers!$B$2:$B$9)</f>
        <v>Blue Horizon Commercial</v>
      </c>
      <c r="W4765" s="1" t="str">
        <f t="shared" si="299"/>
        <v>2026-06</v>
      </c>
    </row>
    <row r="4766" spans="1:23">
      <c r="A4766" s="1" t="s">
        <v>7424</v>
      </c>
      <c r="B4766" s="1" t="s">
        <v>2305</v>
      </c>
      <c r="C4766" s="1" t="s">
        <v>60</v>
      </c>
      <c r="D4766" s="1" t="s">
        <v>26</v>
      </c>
      <c r="E4766" s="1" t="s">
        <v>41</v>
      </c>
      <c r="F4766">
        <v>1</v>
      </c>
      <c r="G4766" s="2">
        <v>46002</v>
      </c>
      <c r="H4766" s="2">
        <v>46004</v>
      </c>
      <c r="I4766">
        <v>39.04</v>
      </c>
      <c r="J4766">
        <v>15.93</v>
      </c>
      <c r="K4766">
        <v>15.93</v>
      </c>
      <c r="L4766">
        <v>0</v>
      </c>
      <c r="M4766" s="1" t="s">
        <v>21</v>
      </c>
      <c r="N4766" s="1" t="s">
        <v>22</v>
      </c>
      <c r="O4766" s="2">
        <v>46042</v>
      </c>
      <c r="P4766" s="2">
        <v>46042</v>
      </c>
      <c r="Q4766">
        <f>_xlfn.XLOOKUP(E4766,CPT!$A$2:$A$13,CPT!$D$2:$D$13)</f>
        <v>38</v>
      </c>
      <c r="R4766" s="1">
        <f>_xlfn.XLOOKUP(C4766,Contract!$A$2:$A$9,Contract!$B$2:$B$9)</f>
        <v>0.45</v>
      </c>
      <c r="S4766" s="1">
        <f t="shared" si="296"/>
        <v>17.100000000000001</v>
      </c>
      <c r="T4766" s="1">
        <f t="shared" si="297"/>
        <v>1.1700000000000017</v>
      </c>
      <c r="U4766" s="1" t="str">
        <f t="shared" si="298"/>
        <v>Underpaid</v>
      </c>
      <c r="V4766" s="1" t="str">
        <f>_xlfn.XLOOKUP(C4766,Payers!$A$2:$A$9,Payers!$B$2:$B$9)</f>
        <v>Blue Horizon Commercial</v>
      </c>
      <c r="W4766" s="1" t="str">
        <f t="shared" si="299"/>
        <v>2025-12</v>
      </c>
    </row>
    <row r="4767" spans="1:23">
      <c r="A4767" s="1" t="s">
        <v>7425</v>
      </c>
      <c r="B4767" s="1" t="s">
        <v>2280</v>
      </c>
      <c r="C4767" s="1" t="s">
        <v>60</v>
      </c>
      <c r="D4767" s="1" t="s">
        <v>19</v>
      </c>
      <c r="E4767" s="1" t="s">
        <v>20</v>
      </c>
      <c r="F4767">
        <v>1</v>
      </c>
      <c r="G4767" s="2">
        <v>46059</v>
      </c>
      <c r="H4767" s="2">
        <v>46061</v>
      </c>
      <c r="I4767">
        <v>141.56</v>
      </c>
      <c r="J4767">
        <v>64.13</v>
      </c>
      <c r="K4767">
        <v>51.3</v>
      </c>
      <c r="L4767">
        <v>12.83</v>
      </c>
      <c r="M4767" s="1" t="s">
        <v>21</v>
      </c>
      <c r="N4767" s="1" t="s">
        <v>22</v>
      </c>
      <c r="O4767" s="2">
        <v>46087</v>
      </c>
      <c r="P4767" s="2">
        <v>46087</v>
      </c>
      <c r="Q4767">
        <f>_xlfn.XLOOKUP(E4767,CPT!$A$2:$A$13,CPT!$D$2:$D$13)</f>
        <v>145</v>
      </c>
      <c r="R4767" s="1">
        <f>_xlfn.XLOOKUP(C4767,Contract!$A$2:$A$9,Contract!$B$2:$B$9)</f>
        <v>0.45</v>
      </c>
      <c r="S4767" s="1">
        <f t="shared" si="296"/>
        <v>65.25</v>
      </c>
      <c r="T4767" s="1">
        <f t="shared" si="297"/>
        <v>1.1200000000000045</v>
      </c>
      <c r="U4767" s="1" t="str">
        <f t="shared" si="298"/>
        <v>OK</v>
      </c>
      <c r="V4767" s="1" t="str">
        <f>_xlfn.XLOOKUP(C4767,Payers!$A$2:$A$9,Payers!$B$2:$B$9)</f>
        <v>Blue Horizon Commercial</v>
      </c>
      <c r="W4767" s="1" t="str">
        <f t="shared" si="299"/>
        <v>2026-02</v>
      </c>
    </row>
    <row r="4768" spans="1:23">
      <c r="A4768" s="1" t="s">
        <v>7426</v>
      </c>
      <c r="B4768" s="1" t="s">
        <v>7427</v>
      </c>
      <c r="C4768" s="1" t="s">
        <v>76</v>
      </c>
      <c r="D4768" s="1" t="s">
        <v>19</v>
      </c>
      <c r="E4768" s="1" t="s">
        <v>41</v>
      </c>
      <c r="F4768">
        <v>1</v>
      </c>
      <c r="G4768" s="2">
        <v>45934</v>
      </c>
      <c r="H4768" s="2">
        <v>45937</v>
      </c>
      <c r="I4768">
        <v>37.49</v>
      </c>
      <c r="J4768">
        <v>15.74</v>
      </c>
      <c r="K4768">
        <v>15.74</v>
      </c>
      <c r="L4768">
        <v>0</v>
      </c>
      <c r="M4768" s="1" t="s">
        <v>21</v>
      </c>
      <c r="N4768" s="1" t="s">
        <v>22</v>
      </c>
      <c r="O4768" s="2">
        <v>45966</v>
      </c>
      <c r="P4768" s="2">
        <v>45966</v>
      </c>
      <c r="Q4768">
        <f>_xlfn.XLOOKUP(E4768,CPT!$A$2:$A$13,CPT!$D$2:$D$13)</f>
        <v>38</v>
      </c>
      <c r="R4768" s="1">
        <f>_xlfn.XLOOKUP(C4768,Contract!$A$2:$A$9,Contract!$B$2:$B$9)</f>
        <v>0.43</v>
      </c>
      <c r="S4768" s="1">
        <f t="shared" si="296"/>
        <v>16.34</v>
      </c>
      <c r="T4768" s="1">
        <f t="shared" si="297"/>
        <v>0.59999999999999964</v>
      </c>
      <c r="U4768" s="1" t="str">
        <f t="shared" si="298"/>
        <v>OK</v>
      </c>
      <c r="V4768" s="1" t="str">
        <f>_xlfn.XLOOKUP(C4768,Payers!$A$2:$A$9,Payers!$B$2:$B$9)</f>
        <v>Summit Health Commercial</v>
      </c>
      <c r="W4768" s="1" t="str">
        <f t="shared" si="299"/>
        <v>2025-10</v>
      </c>
    </row>
    <row r="4769" spans="1:23">
      <c r="A4769" s="1" t="s">
        <v>7428</v>
      </c>
      <c r="B4769" s="1" t="s">
        <v>310</v>
      </c>
      <c r="C4769" s="1" t="s">
        <v>18</v>
      </c>
      <c r="D4769" s="1" t="s">
        <v>19</v>
      </c>
      <c r="E4769" s="1" t="s">
        <v>88</v>
      </c>
      <c r="F4769">
        <v>1</v>
      </c>
      <c r="G4769" s="2">
        <v>45948</v>
      </c>
      <c r="H4769" s="2">
        <v>45950</v>
      </c>
      <c r="I4769">
        <v>258.23</v>
      </c>
      <c r="J4769">
        <v>90.07</v>
      </c>
      <c r="K4769">
        <v>90.07</v>
      </c>
      <c r="L4769">
        <v>0</v>
      </c>
      <c r="M4769" s="1" t="s">
        <v>21</v>
      </c>
      <c r="N4769" s="1" t="s">
        <v>22</v>
      </c>
      <c r="O4769" s="2">
        <v>46013</v>
      </c>
      <c r="P4769" s="2">
        <v>46013</v>
      </c>
      <c r="Q4769">
        <f>_xlfn.XLOOKUP(E4769,CPT!$A$2:$A$13,CPT!$D$2:$D$13)</f>
        <v>260</v>
      </c>
      <c r="R4769" s="1">
        <f>_xlfn.XLOOKUP(C4769,Contract!$A$2:$A$9,Contract!$B$2:$B$9)</f>
        <v>0.38</v>
      </c>
      <c r="S4769" s="1">
        <f t="shared" si="296"/>
        <v>98.8</v>
      </c>
      <c r="T4769" s="1">
        <f t="shared" si="297"/>
        <v>8.730000000000004</v>
      </c>
      <c r="U4769" s="1" t="str">
        <f t="shared" si="298"/>
        <v>Underpaid</v>
      </c>
      <c r="V4769" s="1" t="str">
        <f>_xlfn.XLOOKUP(C4769,Payers!$A$2:$A$9,Payers!$B$2:$B$9)</f>
        <v>Sunshine Medicare Advantage</v>
      </c>
      <c r="W4769" s="1" t="str">
        <f t="shared" si="299"/>
        <v>2025-10</v>
      </c>
    </row>
    <row r="4770" spans="1:23">
      <c r="A4770" s="1" t="s">
        <v>7429</v>
      </c>
      <c r="B4770" s="1" t="s">
        <v>388</v>
      </c>
      <c r="C4770" s="1" t="s">
        <v>36</v>
      </c>
      <c r="D4770" s="1" t="s">
        <v>26</v>
      </c>
      <c r="E4770" s="1" t="s">
        <v>185</v>
      </c>
      <c r="F4770">
        <v>1</v>
      </c>
      <c r="G4770" s="2">
        <v>46270</v>
      </c>
      <c r="H4770" s="2">
        <v>46272</v>
      </c>
      <c r="I4770">
        <v>1152.5899999999999</v>
      </c>
      <c r="M4770" s="1" t="s">
        <v>69</v>
      </c>
      <c r="N4770" s="1" t="s">
        <v>22</v>
      </c>
      <c r="O4770" s="2"/>
      <c r="P4770" s="2"/>
      <c r="Q4770">
        <f>_xlfn.XLOOKUP(E4770,CPT!$A$2:$A$13,CPT!$D$2:$D$13)</f>
        <v>1150</v>
      </c>
      <c r="R4770" s="1">
        <f>_xlfn.XLOOKUP(C4770,Contract!$A$2:$A$9,Contract!$B$2:$B$9)</f>
        <v>0.27</v>
      </c>
      <c r="S4770" s="1">
        <f t="shared" si="296"/>
        <v>310.5</v>
      </c>
      <c r="T4770" s="1" t="str">
        <f t="shared" si="297"/>
        <v/>
      </c>
      <c r="U4770" s="1" t="str">
        <f t="shared" si="298"/>
        <v/>
      </c>
      <c r="V4770" s="1" t="str">
        <f>_xlfn.XLOOKUP(C4770,Payers!$A$2:$A$9,Payers!$B$2:$B$9)</f>
        <v>Florida Medicaid</v>
      </c>
      <c r="W4770" s="1" t="str">
        <f t="shared" si="299"/>
        <v>2026-09</v>
      </c>
    </row>
    <row r="4771" spans="1:23">
      <c r="A4771" s="1" t="s">
        <v>7430</v>
      </c>
      <c r="B4771" s="1" t="s">
        <v>7431</v>
      </c>
      <c r="C4771" s="1" t="s">
        <v>18</v>
      </c>
      <c r="D4771" s="1" t="s">
        <v>37</v>
      </c>
      <c r="E4771" s="1" t="s">
        <v>57</v>
      </c>
      <c r="F4771">
        <v>1</v>
      </c>
      <c r="G4771" s="2">
        <v>46161</v>
      </c>
      <c r="H4771" s="2">
        <v>46172</v>
      </c>
      <c r="I4771">
        <v>209.78</v>
      </c>
      <c r="J4771">
        <v>71.16</v>
      </c>
      <c r="K4771">
        <v>71.16</v>
      </c>
      <c r="L4771">
        <v>0</v>
      </c>
      <c r="M4771" s="1" t="s">
        <v>21</v>
      </c>
      <c r="N4771" s="1" t="s">
        <v>22</v>
      </c>
      <c r="O4771" s="2">
        <v>46219</v>
      </c>
      <c r="P4771" s="2">
        <v>46219</v>
      </c>
      <c r="Q4771">
        <f>_xlfn.XLOOKUP(E4771,CPT!$A$2:$A$13,CPT!$D$2:$D$13)</f>
        <v>210</v>
      </c>
      <c r="R4771" s="1">
        <f>_xlfn.XLOOKUP(C4771,Contract!$A$2:$A$9,Contract!$B$2:$B$9)</f>
        <v>0.38</v>
      </c>
      <c r="S4771" s="1">
        <f t="shared" si="296"/>
        <v>79.8</v>
      </c>
      <c r="T4771" s="1">
        <f t="shared" si="297"/>
        <v>8.64</v>
      </c>
      <c r="U4771" s="1" t="str">
        <f t="shared" si="298"/>
        <v>Underpaid</v>
      </c>
      <c r="V4771" s="1" t="str">
        <f>_xlfn.XLOOKUP(C4771,Payers!$A$2:$A$9,Payers!$B$2:$B$9)</f>
        <v>Sunshine Medicare Advantage</v>
      </c>
      <c r="W4771" s="1" t="str">
        <f t="shared" si="299"/>
        <v>2026-05</v>
      </c>
    </row>
    <row r="4772" spans="1:23">
      <c r="A4772" s="1" t="s">
        <v>7432</v>
      </c>
      <c r="B4772" s="1" t="s">
        <v>1341</v>
      </c>
      <c r="C4772" s="1" t="s">
        <v>60</v>
      </c>
      <c r="D4772" s="1" t="s">
        <v>26</v>
      </c>
      <c r="E4772" s="1" t="s">
        <v>113</v>
      </c>
      <c r="F4772">
        <v>1</v>
      </c>
      <c r="G4772" s="2">
        <v>46150</v>
      </c>
      <c r="H4772" s="2">
        <v>46152</v>
      </c>
      <c r="I4772">
        <v>1045.18</v>
      </c>
      <c r="J4772">
        <v>412.32</v>
      </c>
      <c r="K4772">
        <v>412.32</v>
      </c>
      <c r="L4772">
        <v>0</v>
      </c>
      <c r="M4772" s="1" t="s">
        <v>21</v>
      </c>
      <c r="N4772" s="1" t="s">
        <v>22</v>
      </c>
      <c r="O4772" s="2">
        <v>46175</v>
      </c>
      <c r="P4772" s="2">
        <v>46175</v>
      </c>
      <c r="Q4772">
        <f>_xlfn.XLOOKUP(E4772,CPT!$A$2:$A$13,CPT!$D$2:$D$13)</f>
        <v>1050</v>
      </c>
      <c r="R4772" s="1">
        <f>_xlfn.XLOOKUP(C4772,Contract!$A$2:$A$9,Contract!$B$2:$B$9)</f>
        <v>0.45</v>
      </c>
      <c r="S4772" s="1">
        <f t="shared" si="296"/>
        <v>472.5</v>
      </c>
      <c r="T4772" s="1">
        <f t="shared" si="297"/>
        <v>60.180000000000007</v>
      </c>
      <c r="U4772" s="1" t="str">
        <f t="shared" si="298"/>
        <v>Underpaid</v>
      </c>
      <c r="V4772" s="1" t="str">
        <f>_xlfn.XLOOKUP(C4772,Payers!$A$2:$A$9,Payers!$B$2:$B$9)</f>
        <v>Blue Horizon Commercial</v>
      </c>
      <c r="W4772" s="1" t="str">
        <f t="shared" si="299"/>
        <v>2026-05</v>
      </c>
    </row>
    <row r="4773" spans="1:23">
      <c r="A4773" s="1" t="s">
        <v>7433</v>
      </c>
      <c r="B4773" s="1" t="s">
        <v>2547</v>
      </c>
      <c r="C4773" s="1" t="s">
        <v>52</v>
      </c>
      <c r="D4773" s="1" t="s">
        <v>26</v>
      </c>
      <c r="E4773" s="1" t="s">
        <v>44</v>
      </c>
      <c r="F4773">
        <v>1</v>
      </c>
      <c r="G4773" s="2">
        <v>45994</v>
      </c>
      <c r="H4773" s="2">
        <v>46003</v>
      </c>
      <c r="I4773">
        <v>4730.6099999999997</v>
      </c>
      <c r="J4773">
        <v>2218.4699999999998</v>
      </c>
      <c r="K4773">
        <v>1996.62</v>
      </c>
      <c r="L4773">
        <v>221.85</v>
      </c>
      <c r="M4773" s="1" t="s">
        <v>21</v>
      </c>
      <c r="N4773" s="1" t="s">
        <v>22</v>
      </c>
      <c r="O4773" s="2">
        <v>46051</v>
      </c>
      <c r="P4773" s="2">
        <v>46051</v>
      </c>
      <c r="Q4773">
        <f>_xlfn.XLOOKUP(E4773,CPT!$A$2:$A$13,CPT!$D$2:$D$13)</f>
        <v>4800</v>
      </c>
      <c r="R4773" s="1">
        <f>_xlfn.XLOOKUP(C4773,Contract!$A$2:$A$9,Contract!$B$2:$B$9)</f>
        <v>0.47</v>
      </c>
      <c r="S4773" s="1">
        <f t="shared" si="296"/>
        <v>2256</v>
      </c>
      <c r="T4773" s="1">
        <f t="shared" si="297"/>
        <v>37.5300000000002</v>
      </c>
      <c r="U4773" s="1" t="str">
        <f t="shared" si="298"/>
        <v>OK</v>
      </c>
      <c r="V4773" s="1" t="str">
        <f>_xlfn.XLOOKUP(C4773,Payers!$A$2:$A$9,Payers!$B$2:$B$9)</f>
        <v>Keystone Commercial PPO</v>
      </c>
      <c r="W4773" s="1" t="str">
        <f t="shared" si="299"/>
        <v>2025-12</v>
      </c>
    </row>
    <row r="4774" spans="1:23">
      <c r="A4774" s="1" t="s">
        <v>7434</v>
      </c>
      <c r="B4774" s="1" t="s">
        <v>7435</v>
      </c>
      <c r="C4774" s="1" t="s">
        <v>52</v>
      </c>
      <c r="D4774" s="1" t="s">
        <v>26</v>
      </c>
      <c r="E4774" s="1" t="s">
        <v>57</v>
      </c>
      <c r="F4774">
        <v>1</v>
      </c>
      <c r="G4774" s="2">
        <v>46109</v>
      </c>
      <c r="H4774" s="2">
        <v>46112</v>
      </c>
      <c r="I4774">
        <v>205.87</v>
      </c>
      <c r="J4774">
        <v>111.74</v>
      </c>
      <c r="K4774">
        <v>89.39</v>
      </c>
      <c r="L4774">
        <v>22.35</v>
      </c>
      <c r="M4774" s="1" t="s">
        <v>21</v>
      </c>
      <c r="N4774" s="1" t="s">
        <v>22</v>
      </c>
      <c r="O4774" s="2">
        <v>46157</v>
      </c>
      <c r="P4774" s="2">
        <v>46157</v>
      </c>
      <c r="Q4774">
        <f>_xlfn.XLOOKUP(E4774,CPT!$A$2:$A$13,CPT!$D$2:$D$13)</f>
        <v>210</v>
      </c>
      <c r="R4774" s="1">
        <f>_xlfn.XLOOKUP(C4774,Contract!$A$2:$A$9,Contract!$B$2:$B$9)</f>
        <v>0.47</v>
      </c>
      <c r="S4774" s="1">
        <f t="shared" si="296"/>
        <v>98.7</v>
      </c>
      <c r="T4774" s="1">
        <f t="shared" si="297"/>
        <v>-13.039999999999992</v>
      </c>
      <c r="U4774" s="1" t="str">
        <f t="shared" si="298"/>
        <v>OK</v>
      </c>
      <c r="V4774" s="1" t="str">
        <f>_xlfn.XLOOKUP(C4774,Payers!$A$2:$A$9,Payers!$B$2:$B$9)</f>
        <v>Keystone Commercial PPO</v>
      </c>
      <c r="W4774" s="1" t="str">
        <f t="shared" si="299"/>
        <v>2026-03</v>
      </c>
    </row>
    <row r="4775" spans="1:23">
      <c r="A4775" s="1" t="s">
        <v>7436</v>
      </c>
      <c r="B4775" s="1" t="s">
        <v>3843</v>
      </c>
      <c r="C4775" s="1" t="s">
        <v>47</v>
      </c>
      <c r="D4775" s="1" t="s">
        <v>26</v>
      </c>
      <c r="E4775" s="1" t="s">
        <v>88</v>
      </c>
      <c r="F4775">
        <v>1</v>
      </c>
      <c r="G4775" s="2">
        <v>46217</v>
      </c>
      <c r="H4775" s="2">
        <v>46220</v>
      </c>
      <c r="I4775">
        <v>265.54000000000002</v>
      </c>
      <c r="M4775" s="1" t="s">
        <v>69</v>
      </c>
      <c r="N4775" s="1" t="s">
        <v>22</v>
      </c>
      <c r="O4775" s="2"/>
      <c r="P4775" s="2"/>
      <c r="Q4775">
        <f>_xlfn.XLOOKUP(E4775,CPT!$A$2:$A$13,CPT!$D$2:$D$13)</f>
        <v>260</v>
      </c>
      <c r="R4775" s="1">
        <f>_xlfn.XLOOKUP(C4775,Contract!$A$2:$A$9,Contract!$B$2:$B$9)</f>
        <v>0.28000000000000003</v>
      </c>
      <c r="S4775" s="1">
        <f t="shared" si="296"/>
        <v>72.8</v>
      </c>
      <c r="T4775" s="1" t="str">
        <f t="shared" si="297"/>
        <v/>
      </c>
      <c r="U4775" s="1" t="str">
        <f t="shared" si="298"/>
        <v/>
      </c>
      <c r="V4775" s="1" t="str">
        <f>_xlfn.XLOOKUP(C4775,Payers!$A$2:$A$9,Payers!$B$2:$B$9)</f>
        <v>Coastal Medicaid MCO</v>
      </c>
      <c r="W4775" s="1" t="str">
        <f t="shared" si="299"/>
        <v>2026-07</v>
      </c>
    </row>
    <row r="4776" spans="1:23">
      <c r="A4776" s="1" t="s">
        <v>7437</v>
      </c>
      <c r="B4776" s="1" t="s">
        <v>3540</v>
      </c>
      <c r="C4776" s="1" t="s">
        <v>60</v>
      </c>
      <c r="D4776" s="1" t="s">
        <v>19</v>
      </c>
      <c r="E4776" s="1" t="s">
        <v>57</v>
      </c>
      <c r="F4776">
        <v>1</v>
      </c>
      <c r="G4776" s="2">
        <v>45949</v>
      </c>
      <c r="H4776" s="2">
        <v>45950</v>
      </c>
      <c r="I4776">
        <v>211.01</v>
      </c>
      <c r="J4776">
        <v>83.58</v>
      </c>
      <c r="K4776">
        <v>75.22</v>
      </c>
      <c r="L4776">
        <v>8.36</v>
      </c>
      <c r="M4776" s="1" t="s">
        <v>21</v>
      </c>
      <c r="N4776" s="1" t="s">
        <v>22</v>
      </c>
      <c r="O4776" s="2">
        <v>45968</v>
      </c>
      <c r="P4776" s="2">
        <v>45968</v>
      </c>
      <c r="Q4776">
        <f>_xlfn.XLOOKUP(E4776,CPT!$A$2:$A$13,CPT!$D$2:$D$13)</f>
        <v>210</v>
      </c>
      <c r="R4776" s="1">
        <f>_xlfn.XLOOKUP(C4776,Contract!$A$2:$A$9,Contract!$B$2:$B$9)</f>
        <v>0.45</v>
      </c>
      <c r="S4776" s="1">
        <f t="shared" si="296"/>
        <v>94.5</v>
      </c>
      <c r="T4776" s="1">
        <f t="shared" si="297"/>
        <v>10.920000000000002</v>
      </c>
      <c r="U4776" s="1" t="str">
        <f t="shared" si="298"/>
        <v>Underpaid</v>
      </c>
      <c r="V4776" s="1" t="str">
        <f>_xlfn.XLOOKUP(C4776,Payers!$A$2:$A$9,Payers!$B$2:$B$9)</f>
        <v>Blue Horizon Commercial</v>
      </c>
      <c r="W4776" s="1" t="str">
        <f t="shared" si="299"/>
        <v>2025-10</v>
      </c>
    </row>
    <row r="4777" spans="1:23">
      <c r="A4777" s="1" t="s">
        <v>7438</v>
      </c>
      <c r="B4777" s="1" t="s">
        <v>4974</v>
      </c>
      <c r="C4777" s="1" t="s">
        <v>76</v>
      </c>
      <c r="D4777" s="1" t="s">
        <v>26</v>
      </c>
      <c r="E4777" s="1" t="s">
        <v>41</v>
      </c>
      <c r="F4777">
        <v>1</v>
      </c>
      <c r="G4777" s="2">
        <v>46063</v>
      </c>
      <c r="H4777" s="2">
        <v>46064</v>
      </c>
      <c r="I4777">
        <v>37.979999999999997</v>
      </c>
      <c r="M4777" s="1" t="s">
        <v>32</v>
      </c>
      <c r="N4777" s="1" t="s">
        <v>33</v>
      </c>
      <c r="O4777" s="2">
        <v>46082</v>
      </c>
      <c r="P4777" s="2"/>
      <c r="Q4777">
        <f>_xlfn.XLOOKUP(E4777,CPT!$A$2:$A$13,CPT!$D$2:$D$13)</f>
        <v>38</v>
      </c>
      <c r="R4777" s="1">
        <f>_xlfn.XLOOKUP(C4777,Contract!$A$2:$A$9,Contract!$B$2:$B$9)</f>
        <v>0.43</v>
      </c>
      <c r="S4777" s="1">
        <f t="shared" si="296"/>
        <v>16.34</v>
      </c>
      <c r="T4777" s="1" t="str">
        <f t="shared" si="297"/>
        <v/>
      </c>
      <c r="U4777" s="1" t="str">
        <f t="shared" si="298"/>
        <v/>
      </c>
      <c r="V4777" s="1" t="str">
        <f>_xlfn.XLOOKUP(C4777,Payers!$A$2:$A$9,Payers!$B$2:$B$9)</f>
        <v>Summit Health Commercial</v>
      </c>
      <c r="W4777" s="1" t="str">
        <f t="shared" si="299"/>
        <v>2026-02</v>
      </c>
    </row>
    <row r="4778" spans="1:23">
      <c r="A4778" s="1" t="s">
        <v>7439</v>
      </c>
      <c r="B4778" s="1" t="s">
        <v>3302</v>
      </c>
      <c r="C4778" s="1" t="s">
        <v>60</v>
      </c>
      <c r="D4778" s="1" t="s">
        <v>37</v>
      </c>
      <c r="E4778" s="1" t="s">
        <v>38</v>
      </c>
      <c r="F4778">
        <v>10</v>
      </c>
      <c r="G4778" s="2">
        <v>46237</v>
      </c>
      <c r="H4778" s="2">
        <v>46245</v>
      </c>
      <c r="I4778">
        <v>14799.23</v>
      </c>
      <c r="J4778">
        <v>7259.81</v>
      </c>
      <c r="K4778">
        <v>7259.81</v>
      </c>
      <c r="L4778">
        <v>0</v>
      </c>
      <c r="M4778" s="1" t="s">
        <v>21</v>
      </c>
      <c r="N4778" s="1" t="s">
        <v>22</v>
      </c>
      <c r="O4778" s="2">
        <v>46281</v>
      </c>
      <c r="P4778" s="2">
        <v>46281</v>
      </c>
      <c r="Q4778">
        <f>_xlfn.XLOOKUP(E4778,CPT!$A$2:$A$13,CPT!$D$2:$D$13)</f>
        <v>1450</v>
      </c>
      <c r="R4778" s="1">
        <f>_xlfn.XLOOKUP(C4778,Contract!$A$2:$A$9,Contract!$B$2:$B$9)</f>
        <v>0.45</v>
      </c>
      <c r="S4778" s="1">
        <f t="shared" si="296"/>
        <v>6525</v>
      </c>
      <c r="T4778" s="1">
        <f t="shared" si="297"/>
        <v>-734.8100000000004</v>
      </c>
      <c r="U4778" s="1" t="str">
        <f t="shared" si="298"/>
        <v>OK</v>
      </c>
      <c r="V4778" s="1" t="str">
        <f>_xlfn.XLOOKUP(C4778,Payers!$A$2:$A$9,Payers!$B$2:$B$9)</f>
        <v>Blue Horizon Commercial</v>
      </c>
      <c r="W4778" s="1" t="str">
        <f t="shared" si="299"/>
        <v>2026-08</v>
      </c>
    </row>
    <row r="4779" spans="1:23">
      <c r="A4779" s="1" t="s">
        <v>7440</v>
      </c>
      <c r="B4779" s="1" t="s">
        <v>7441</v>
      </c>
      <c r="C4779" s="1" t="s">
        <v>36</v>
      </c>
      <c r="D4779" s="1" t="s">
        <v>37</v>
      </c>
      <c r="E4779" s="1" t="s">
        <v>57</v>
      </c>
      <c r="F4779">
        <v>1</v>
      </c>
      <c r="G4779" s="2">
        <v>46272</v>
      </c>
      <c r="H4779" s="2">
        <v>46273</v>
      </c>
      <c r="I4779">
        <v>206.86</v>
      </c>
      <c r="J4779">
        <v>47.75</v>
      </c>
      <c r="K4779">
        <v>47.75</v>
      </c>
      <c r="L4779">
        <v>0</v>
      </c>
      <c r="M4779" s="1" t="s">
        <v>21</v>
      </c>
      <c r="N4779" s="1" t="s">
        <v>22</v>
      </c>
      <c r="O4779" s="2">
        <v>46290</v>
      </c>
      <c r="P4779" s="2">
        <v>46290</v>
      </c>
      <c r="Q4779">
        <f>_xlfn.XLOOKUP(E4779,CPT!$A$2:$A$13,CPT!$D$2:$D$13)</f>
        <v>210</v>
      </c>
      <c r="R4779" s="1">
        <f>_xlfn.XLOOKUP(C4779,Contract!$A$2:$A$9,Contract!$B$2:$B$9)</f>
        <v>0.27</v>
      </c>
      <c r="S4779" s="1">
        <f t="shared" si="296"/>
        <v>56.7</v>
      </c>
      <c r="T4779" s="1">
        <f t="shared" si="297"/>
        <v>8.9500000000000028</v>
      </c>
      <c r="U4779" s="1" t="str">
        <f t="shared" si="298"/>
        <v>Underpaid</v>
      </c>
      <c r="V4779" s="1" t="str">
        <f>_xlfn.XLOOKUP(C4779,Payers!$A$2:$A$9,Payers!$B$2:$B$9)</f>
        <v>Florida Medicaid</v>
      </c>
      <c r="W4779" s="1" t="str">
        <f t="shared" si="299"/>
        <v>2026-09</v>
      </c>
    </row>
    <row r="4780" spans="1:23">
      <c r="A4780" s="1" t="s">
        <v>7442</v>
      </c>
      <c r="B4780" s="1" t="s">
        <v>7443</v>
      </c>
      <c r="C4780" s="1" t="s">
        <v>25</v>
      </c>
      <c r="D4780" s="1" t="s">
        <v>26</v>
      </c>
      <c r="E4780" s="1" t="s">
        <v>88</v>
      </c>
      <c r="F4780">
        <v>1</v>
      </c>
      <c r="G4780" s="2">
        <v>46263</v>
      </c>
      <c r="H4780" s="2">
        <v>46268</v>
      </c>
      <c r="I4780">
        <v>259.5</v>
      </c>
      <c r="M4780" s="1" t="s">
        <v>32</v>
      </c>
      <c r="N4780" s="1" t="s">
        <v>124</v>
      </c>
      <c r="O4780" s="2">
        <v>46276</v>
      </c>
      <c r="P4780" s="2"/>
      <c r="Q4780">
        <f>_xlfn.XLOOKUP(E4780,CPT!$A$2:$A$13,CPT!$D$2:$D$13)</f>
        <v>260</v>
      </c>
      <c r="R4780" s="1">
        <f>_xlfn.XLOOKUP(C4780,Contract!$A$2:$A$9,Contract!$B$2:$B$9)</f>
        <v>0.36</v>
      </c>
      <c r="S4780" s="1">
        <f t="shared" si="296"/>
        <v>93.6</v>
      </c>
      <c r="T4780" s="1" t="str">
        <f t="shared" si="297"/>
        <v/>
      </c>
      <c r="U4780" s="1" t="str">
        <f t="shared" si="298"/>
        <v/>
      </c>
      <c r="V4780" s="1" t="str">
        <f>_xlfn.XLOOKUP(C4780,Payers!$A$2:$A$9,Payers!$B$2:$B$9)</f>
        <v>Medicare Part B</v>
      </c>
      <c r="W4780" s="1" t="str">
        <f t="shared" si="299"/>
        <v>2026-08</v>
      </c>
    </row>
    <row r="4781" spans="1:23">
      <c r="A4781" s="1" t="s">
        <v>7444</v>
      </c>
      <c r="B4781" s="1" t="s">
        <v>4653</v>
      </c>
      <c r="C4781" s="1" t="s">
        <v>76</v>
      </c>
      <c r="D4781" s="1" t="s">
        <v>19</v>
      </c>
      <c r="E4781" s="1" t="s">
        <v>57</v>
      </c>
      <c r="F4781">
        <v>1</v>
      </c>
      <c r="G4781" s="2">
        <v>45937</v>
      </c>
      <c r="H4781" s="2">
        <v>45946</v>
      </c>
      <c r="I4781">
        <v>210.08</v>
      </c>
      <c r="J4781">
        <v>92.2</v>
      </c>
      <c r="K4781">
        <v>92.2</v>
      </c>
      <c r="L4781">
        <v>0</v>
      </c>
      <c r="M4781" s="1" t="s">
        <v>21</v>
      </c>
      <c r="N4781" s="1" t="s">
        <v>22</v>
      </c>
      <c r="O4781" s="2">
        <v>45978</v>
      </c>
      <c r="P4781" s="2">
        <v>45978</v>
      </c>
      <c r="Q4781">
        <f>_xlfn.XLOOKUP(E4781,CPT!$A$2:$A$13,CPT!$D$2:$D$13)</f>
        <v>210</v>
      </c>
      <c r="R4781" s="1">
        <f>_xlfn.XLOOKUP(C4781,Contract!$A$2:$A$9,Contract!$B$2:$B$9)</f>
        <v>0.43</v>
      </c>
      <c r="S4781" s="1">
        <f t="shared" si="296"/>
        <v>90.3</v>
      </c>
      <c r="T4781" s="1">
        <f t="shared" si="297"/>
        <v>-1.9000000000000057</v>
      </c>
      <c r="U4781" s="1" t="str">
        <f t="shared" si="298"/>
        <v>OK</v>
      </c>
      <c r="V4781" s="1" t="str">
        <f>_xlfn.XLOOKUP(C4781,Payers!$A$2:$A$9,Payers!$B$2:$B$9)</f>
        <v>Summit Health Commercial</v>
      </c>
      <c r="W4781" s="1" t="str">
        <f t="shared" si="299"/>
        <v>2025-10</v>
      </c>
    </row>
    <row r="4782" spans="1:23">
      <c r="A4782" s="1" t="s">
        <v>7445</v>
      </c>
      <c r="B4782" s="1" t="s">
        <v>4885</v>
      </c>
      <c r="C4782" s="1" t="s">
        <v>60</v>
      </c>
      <c r="D4782" s="1" t="s">
        <v>26</v>
      </c>
      <c r="E4782" s="1" t="s">
        <v>185</v>
      </c>
      <c r="F4782">
        <v>1</v>
      </c>
      <c r="G4782" s="2">
        <v>46114</v>
      </c>
      <c r="H4782" s="2">
        <v>46115</v>
      </c>
      <c r="I4782">
        <v>1121.31</v>
      </c>
      <c r="J4782">
        <v>506.19</v>
      </c>
      <c r="K4782">
        <v>506.19</v>
      </c>
      <c r="L4782">
        <v>0</v>
      </c>
      <c r="M4782" s="1" t="s">
        <v>21</v>
      </c>
      <c r="N4782" s="1" t="s">
        <v>22</v>
      </c>
      <c r="O4782" s="2">
        <v>46161</v>
      </c>
      <c r="P4782" s="2">
        <v>46161</v>
      </c>
      <c r="Q4782">
        <f>_xlfn.XLOOKUP(E4782,CPT!$A$2:$A$13,CPT!$D$2:$D$13)</f>
        <v>1150</v>
      </c>
      <c r="R4782" s="1">
        <f>_xlfn.XLOOKUP(C4782,Contract!$A$2:$A$9,Contract!$B$2:$B$9)</f>
        <v>0.45</v>
      </c>
      <c r="S4782" s="1">
        <f t="shared" si="296"/>
        <v>517.5</v>
      </c>
      <c r="T4782" s="1">
        <f t="shared" si="297"/>
        <v>11.310000000000002</v>
      </c>
      <c r="U4782" s="1" t="str">
        <f t="shared" si="298"/>
        <v>OK</v>
      </c>
      <c r="V4782" s="1" t="str">
        <f>_xlfn.XLOOKUP(C4782,Payers!$A$2:$A$9,Payers!$B$2:$B$9)</f>
        <v>Blue Horizon Commercial</v>
      </c>
      <c r="W4782" s="1" t="str">
        <f t="shared" si="299"/>
        <v>2026-04</v>
      </c>
    </row>
    <row r="4783" spans="1:23">
      <c r="A4783" s="1" t="s">
        <v>7446</v>
      </c>
      <c r="B4783" s="1" t="s">
        <v>1678</v>
      </c>
      <c r="C4783" s="1" t="s">
        <v>79</v>
      </c>
      <c r="D4783" s="1" t="s">
        <v>19</v>
      </c>
      <c r="E4783" s="1" t="s">
        <v>41</v>
      </c>
      <c r="F4783">
        <v>1</v>
      </c>
      <c r="G4783" s="2">
        <v>46079</v>
      </c>
      <c r="H4783" s="2">
        <v>46090</v>
      </c>
      <c r="I4783">
        <v>38.18</v>
      </c>
      <c r="M4783" s="1" t="s">
        <v>69</v>
      </c>
      <c r="N4783" s="1" t="s">
        <v>22</v>
      </c>
      <c r="O4783" s="2"/>
      <c r="P4783" s="2"/>
      <c r="Q4783">
        <f>_xlfn.XLOOKUP(E4783,CPT!$A$2:$A$13,CPT!$D$2:$D$13)</f>
        <v>38</v>
      </c>
      <c r="R4783" s="1">
        <f>_xlfn.XLOOKUP(C4783,Contract!$A$2:$A$9,Contract!$B$2:$B$9)</f>
        <v>1</v>
      </c>
      <c r="S4783" s="1">
        <f t="shared" si="296"/>
        <v>38</v>
      </c>
      <c r="T4783" s="1" t="str">
        <f t="shared" si="297"/>
        <v/>
      </c>
      <c r="U4783" s="1" t="str">
        <f t="shared" si="298"/>
        <v/>
      </c>
      <c r="V4783" s="1" t="str">
        <f>_xlfn.XLOOKUP(C4783,Payers!$A$2:$A$9,Payers!$B$2:$B$9)</f>
        <v>Self-Pay</v>
      </c>
      <c r="W4783" s="1" t="str">
        <f t="shared" si="299"/>
        <v>2026-02</v>
      </c>
    </row>
    <row r="4784" spans="1:23">
      <c r="A4784" s="1" t="s">
        <v>7447</v>
      </c>
      <c r="B4784" s="1" t="s">
        <v>2143</v>
      </c>
      <c r="C4784" s="1" t="s">
        <v>60</v>
      </c>
      <c r="D4784" s="1" t="s">
        <v>30</v>
      </c>
      <c r="E4784" s="1" t="s">
        <v>31</v>
      </c>
      <c r="F4784">
        <v>3</v>
      </c>
      <c r="G4784" s="2">
        <v>46082</v>
      </c>
      <c r="H4784" s="2">
        <v>46084</v>
      </c>
      <c r="I4784">
        <v>188.46</v>
      </c>
      <c r="J4784">
        <v>89.38</v>
      </c>
      <c r="K4784">
        <v>89.38</v>
      </c>
      <c r="L4784">
        <v>0</v>
      </c>
      <c r="M4784" s="1" t="s">
        <v>21</v>
      </c>
      <c r="N4784" s="1" t="s">
        <v>22</v>
      </c>
      <c r="O4784" s="2">
        <v>46111</v>
      </c>
      <c r="P4784" s="2">
        <v>46111</v>
      </c>
      <c r="Q4784">
        <f>_xlfn.XLOOKUP(E4784,CPT!$A$2:$A$13,CPT!$D$2:$D$13)</f>
        <v>62</v>
      </c>
      <c r="R4784" s="1">
        <f>_xlfn.XLOOKUP(C4784,Contract!$A$2:$A$9,Contract!$B$2:$B$9)</f>
        <v>0.45</v>
      </c>
      <c r="S4784" s="1">
        <f t="shared" si="296"/>
        <v>83.7</v>
      </c>
      <c r="T4784" s="1">
        <f t="shared" si="297"/>
        <v>-5.6799999999999926</v>
      </c>
      <c r="U4784" s="1" t="str">
        <f t="shared" si="298"/>
        <v>OK</v>
      </c>
      <c r="V4784" s="1" t="str">
        <f>_xlfn.XLOOKUP(C4784,Payers!$A$2:$A$9,Payers!$B$2:$B$9)</f>
        <v>Blue Horizon Commercial</v>
      </c>
      <c r="W4784" s="1" t="str">
        <f t="shared" si="299"/>
        <v>2026-03</v>
      </c>
    </row>
    <row r="4785" spans="1:23">
      <c r="A4785" s="1" t="s">
        <v>7448</v>
      </c>
      <c r="B4785" s="1" t="s">
        <v>3381</v>
      </c>
      <c r="C4785" s="1" t="s">
        <v>52</v>
      </c>
      <c r="D4785" s="1" t="s">
        <v>26</v>
      </c>
      <c r="E4785" s="1" t="s">
        <v>27</v>
      </c>
      <c r="F4785">
        <v>1</v>
      </c>
      <c r="G4785" s="2">
        <v>46073</v>
      </c>
      <c r="H4785" s="2">
        <v>46074</v>
      </c>
      <c r="I4785">
        <v>240.3</v>
      </c>
      <c r="J4785">
        <v>120.56</v>
      </c>
      <c r="K4785">
        <v>96.45</v>
      </c>
      <c r="L4785">
        <v>24.11</v>
      </c>
      <c r="M4785" s="1" t="s">
        <v>21</v>
      </c>
      <c r="N4785" s="1" t="s">
        <v>22</v>
      </c>
      <c r="O4785" s="2">
        <v>46116</v>
      </c>
      <c r="P4785" s="2">
        <v>46116</v>
      </c>
      <c r="Q4785">
        <f>_xlfn.XLOOKUP(E4785,CPT!$A$2:$A$13,CPT!$D$2:$D$13)</f>
        <v>240</v>
      </c>
      <c r="R4785" s="1">
        <f>_xlfn.XLOOKUP(C4785,Contract!$A$2:$A$9,Contract!$B$2:$B$9)</f>
        <v>0.47</v>
      </c>
      <c r="S4785" s="1">
        <f t="shared" si="296"/>
        <v>112.8</v>
      </c>
      <c r="T4785" s="1">
        <f t="shared" si="297"/>
        <v>-7.7600000000000051</v>
      </c>
      <c r="U4785" s="1" t="str">
        <f t="shared" si="298"/>
        <v>OK</v>
      </c>
      <c r="V4785" s="1" t="str">
        <f>_xlfn.XLOOKUP(C4785,Payers!$A$2:$A$9,Payers!$B$2:$B$9)</f>
        <v>Keystone Commercial PPO</v>
      </c>
      <c r="W4785" s="1" t="str">
        <f t="shared" si="299"/>
        <v>2026-02</v>
      </c>
    </row>
    <row r="4786" spans="1:23">
      <c r="A4786" s="1" t="s">
        <v>7449</v>
      </c>
      <c r="B4786" s="1" t="s">
        <v>1684</v>
      </c>
      <c r="C4786" s="1" t="s">
        <v>25</v>
      </c>
      <c r="D4786" s="1" t="s">
        <v>30</v>
      </c>
      <c r="E4786" s="1" t="s">
        <v>91</v>
      </c>
      <c r="F4786">
        <v>1</v>
      </c>
      <c r="G4786" s="2">
        <v>45969</v>
      </c>
      <c r="H4786" s="2">
        <v>45981</v>
      </c>
      <c r="I4786">
        <v>57.35</v>
      </c>
      <c r="J4786">
        <v>22.72</v>
      </c>
      <c r="K4786">
        <v>20.45</v>
      </c>
      <c r="L4786">
        <v>2.27</v>
      </c>
      <c r="M4786" s="1" t="s">
        <v>21</v>
      </c>
      <c r="N4786" s="1" t="s">
        <v>22</v>
      </c>
      <c r="O4786" s="2">
        <v>46002</v>
      </c>
      <c r="P4786" s="2">
        <v>46002</v>
      </c>
      <c r="Q4786">
        <f>_xlfn.XLOOKUP(E4786,CPT!$A$2:$A$13,CPT!$D$2:$D$13)</f>
        <v>58</v>
      </c>
      <c r="R4786" s="1">
        <f>_xlfn.XLOOKUP(C4786,Contract!$A$2:$A$9,Contract!$B$2:$B$9)</f>
        <v>0.36</v>
      </c>
      <c r="S4786" s="1">
        <f t="shared" si="296"/>
        <v>20.88</v>
      </c>
      <c r="T4786" s="1">
        <f t="shared" si="297"/>
        <v>-1.8399999999999999</v>
      </c>
      <c r="U4786" s="1" t="str">
        <f t="shared" si="298"/>
        <v>OK</v>
      </c>
      <c r="V4786" s="1" t="str">
        <f>_xlfn.XLOOKUP(C4786,Payers!$A$2:$A$9,Payers!$B$2:$B$9)</f>
        <v>Medicare Part B</v>
      </c>
      <c r="W4786" s="1" t="str">
        <f t="shared" si="299"/>
        <v>2025-11</v>
      </c>
    </row>
    <row r="4787" spans="1:23">
      <c r="A4787" s="1" t="s">
        <v>7450</v>
      </c>
      <c r="B4787" s="1" t="s">
        <v>1849</v>
      </c>
      <c r="C4787" s="1" t="s">
        <v>36</v>
      </c>
      <c r="D4787" s="1" t="s">
        <v>19</v>
      </c>
      <c r="E4787" s="1" t="s">
        <v>88</v>
      </c>
      <c r="F4787">
        <v>1</v>
      </c>
      <c r="G4787" s="2">
        <v>45972</v>
      </c>
      <c r="H4787" s="2">
        <v>45974</v>
      </c>
      <c r="I4787">
        <v>264.49</v>
      </c>
      <c r="J4787">
        <v>74.86</v>
      </c>
      <c r="K4787">
        <v>74.86</v>
      </c>
      <c r="L4787">
        <v>0</v>
      </c>
      <c r="M4787" s="1" t="s">
        <v>21</v>
      </c>
      <c r="N4787" s="1" t="s">
        <v>22</v>
      </c>
      <c r="O4787" s="2">
        <v>45997</v>
      </c>
      <c r="P4787" s="2">
        <v>45997</v>
      </c>
      <c r="Q4787">
        <f>_xlfn.XLOOKUP(E4787,CPT!$A$2:$A$13,CPT!$D$2:$D$13)</f>
        <v>260</v>
      </c>
      <c r="R4787" s="1">
        <f>_xlfn.XLOOKUP(C4787,Contract!$A$2:$A$9,Contract!$B$2:$B$9)</f>
        <v>0.27</v>
      </c>
      <c r="S4787" s="1">
        <f t="shared" si="296"/>
        <v>70.2</v>
      </c>
      <c r="T4787" s="1">
        <f t="shared" si="297"/>
        <v>-4.6599999999999966</v>
      </c>
      <c r="U4787" s="1" t="str">
        <f t="shared" si="298"/>
        <v>OK</v>
      </c>
      <c r="V4787" s="1" t="str">
        <f>_xlfn.XLOOKUP(C4787,Payers!$A$2:$A$9,Payers!$B$2:$B$9)</f>
        <v>Florida Medicaid</v>
      </c>
      <c r="W4787" s="1" t="str">
        <f t="shared" si="299"/>
        <v>2025-11</v>
      </c>
    </row>
    <row r="4788" spans="1:23">
      <c r="A4788" s="1" t="s">
        <v>7451</v>
      </c>
      <c r="B4788" s="1" t="s">
        <v>2719</v>
      </c>
      <c r="C4788" s="1" t="s">
        <v>25</v>
      </c>
      <c r="D4788" s="1" t="s">
        <v>19</v>
      </c>
      <c r="E4788" s="1" t="s">
        <v>20</v>
      </c>
      <c r="F4788">
        <v>1</v>
      </c>
      <c r="G4788" s="2">
        <v>45973</v>
      </c>
      <c r="H4788" s="2">
        <v>45978</v>
      </c>
      <c r="I4788">
        <v>147.1</v>
      </c>
      <c r="J4788">
        <v>48.54</v>
      </c>
      <c r="K4788">
        <v>48.54</v>
      </c>
      <c r="L4788">
        <v>0</v>
      </c>
      <c r="M4788" s="1" t="s">
        <v>21</v>
      </c>
      <c r="N4788" s="1" t="s">
        <v>22</v>
      </c>
      <c r="O4788" s="2">
        <v>45998</v>
      </c>
      <c r="P4788" s="2">
        <v>45998</v>
      </c>
      <c r="Q4788">
        <f>_xlfn.XLOOKUP(E4788,CPT!$A$2:$A$13,CPT!$D$2:$D$13)</f>
        <v>145</v>
      </c>
      <c r="R4788" s="1">
        <f>_xlfn.XLOOKUP(C4788,Contract!$A$2:$A$9,Contract!$B$2:$B$9)</f>
        <v>0.36</v>
      </c>
      <c r="S4788" s="1">
        <f t="shared" si="296"/>
        <v>52.2</v>
      </c>
      <c r="T4788" s="1">
        <f t="shared" si="297"/>
        <v>3.6600000000000037</v>
      </c>
      <c r="U4788" s="1" t="str">
        <f t="shared" si="298"/>
        <v>Underpaid</v>
      </c>
      <c r="V4788" s="1" t="str">
        <f>_xlfn.XLOOKUP(C4788,Payers!$A$2:$A$9,Payers!$B$2:$B$9)</f>
        <v>Medicare Part B</v>
      </c>
      <c r="W4788" s="1" t="str">
        <f t="shared" si="299"/>
        <v>2025-11</v>
      </c>
    </row>
    <row r="4789" spans="1:23">
      <c r="A4789" s="1" t="s">
        <v>7452</v>
      </c>
      <c r="B4789" s="1" t="s">
        <v>285</v>
      </c>
      <c r="C4789" s="1" t="s">
        <v>25</v>
      </c>
      <c r="D4789" s="1" t="s">
        <v>19</v>
      </c>
      <c r="E4789" s="1" t="s">
        <v>20</v>
      </c>
      <c r="F4789">
        <v>1</v>
      </c>
      <c r="G4789" s="2">
        <v>46171</v>
      </c>
      <c r="H4789" s="2">
        <v>46173</v>
      </c>
      <c r="I4789">
        <v>142.21</v>
      </c>
      <c r="J4789">
        <v>55.23</v>
      </c>
      <c r="K4789">
        <v>55.23</v>
      </c>
      <c r="L4789">
        <v>0</v>
      </c>
      <c r="M4789" s="1" t="s">
        <v>21</v>
      </c>
      <c r="N4789" s="1" t="s">
        <v>22</v>
      </c>
      <c r="O4789" s="2">
        <v>46196</v>
      </c>
      <c r="P4789" s="2">
        <v>46196</v>
      </c>
      <c r="Q4789">
        <f>_xlfn.XLOOKUP(E4789,CPT!$A$2:$A$13,CPT!$D$2:$D$13)</f>
        <v>145</v>
      </c>
      <c r="R4789" s="1">
        <f>_xlfn.XLOOKUP(C4789,Contract!$A$2:$A$9,Contract!$B$2:$B$9)</f>
        <v>0.36</v>
      </c>
      <c r="S4789" s="1">
        <f t="shared" si="296"/>
        <v>52.2</v>
      </c>
      <c r="T4789" s="1">
        <f t="shared" si="297"/>
        <v>-3.029999999999994</v>
      </c>
      <c r="U4789" s="1" t="str">
        <f t="shared" si="298"/>
        <v>OK</v>
      </c>
      <c r="V4789" s="1" t="str">
        <f>_xlfn.XLOOKUP(C4789,Payers!$A$2:$A$9,Payers!$B$2:$B$9)</f>
        <v>Medicare Part B</v>
      </c>
      <c r="W4789" s="1" t="str">
        <f t="shared" si="299"/>
        <v>2026-05</v>
      </c>
    </row>
    <row r="4790" spans="1:23">
      <c r="A4790" s="1" t="s">
        <v>7453</v>
      </c>
      <c r="B4790" s="1" t="s">
        <v>6191</v>
      </c>
      <c r="C4790" s="1" t="s">
        <v>47</v>
      </c>
      <c r="D4790" s="1" t="s">
        <v>26</v>
      </c>
      <c r="E4790" s="1" t="s">
        <v>41</v>
      </c>
      <c r="F4790">
        <v>1</v>
      </c>
      <c r="G4790" s="2">
        <v>46261</v>
      </c>
      <c r="H4790" s="2">
        <v>46264</v>
      </c>
      <c r="I4790">
        <v>39.11</v>
      </c>
      <c r="M4790" s="1" t="s">
        <v>69</v>
      </c>
      <c r="N4790" s="1" t="s">
        <v>22</v>
      </c>
      <c r="O4790" s="2"/>
      <c r="P4790" s="2"/>
      <c r="Q4790">
        <f>_xlfn.XLOOKUP(E4790,CPT!$A$2:$A$13,CPT!$D$2:$D$13)</f>
        <v>38</v>
      </c>
      <c r="R4790" s="1">
        <f>_xlfn.XLOOKUP(C4790,Contract!$A$2:$A$9,Contract!$B$2:$B$9)</f>
        <v>0.28000000000000003</v>
      </c>
      <c r="S4790" s="1">
        <f t="shared" si="296"/>
        <v>10.64</v>
      </c>
      <c r="T4790" s="1" t="str">
        <f t="shared" si="297"/>
        <v/>
      </c>
      <c r="U4790" s="1" t="str">
        <f t="shared" si="298"/>
        <v/>
      </c>
      <c r="V4790" s="1" t="str">
        <f>_xlfn.XLOOKUP(C4790,Payers!$A$2:$A$9,Payers!$B$2:$B$9)</f>
        <v>Coastal Medicaid MCO</v>
      </c>
      <c r="W4790" s="1" t="str">
        <f t="shared" si="299"/>
        <v>2026-08</v>
      </c>
    </row>
    <row r="4791" spans="1:23">
      <c r="A4791" s="1" t="s">
        <v>7454</v>
      </c>
      <c r="B4791" s="1" t="s">
        <v>7455</v>
      </c>
      <c r="C4791" s="1" t="s">
        <v>76</v>
      </c>
      <c r="D4791" s="1" t="s">
        <v>19</v>
      </c>
      <c r="E4791" s="1" t="s">
        <v>20</v>
      </c>
      <c r="F4791">
        <v>1</v>
      </c>
      <c r="G4791" s="2">
        <v>45963</v>
      </c>
      <c r="H4791" s="2">
        <v>45964</v>
      </c>
      <c r="I4791">
        <v>143.63</v>
      </c>
      <c r="J4791">
        <v>54.06</v>
      </c>
      <c r="K4791">
        <v>48.65</v>
      </c>
      <c r="L4791">
        <v>5.41</v>
      </c>
      <c r="M4791" s="1" t="s">
        <v>21</v>
      </c>
      <c r="N4791" s="1" t="s">
        <v>22</v>
      </c>
      <c r="O4791" s="2">
        <v>45989</v>
      </c>
      <c r="P4791" s="2">
        <v>45989</v>
      </c>
      <c r="Q4791">
        <f>_xlfn.XLOOKUP(E4791,CPT!$A$2:$A$13,CPT!$D$2:$D$13)</f>
        <v>145</v>
      </c>
      <c r="R4791" s="1">
        <f>_xlfn.XLOOKUP(C4791,Contract!$A$2:$A$9,Contract!$B$2:$B$9)</f>
        <v>0.43</v>
      </c>
      <c r="S4791" s="1">
        <f t="shared" si="296"/>
        <v>62.35</v>
      </c>
      <c r="T4791" s="1">
        <f t="shared" si="297"/>
        <v>8.2899999999999991</v>
      </c>
      <c r="U4791" s="1" t="str">
        <f t="shared" si="298"/>
        <v>Underpaid</v>
      </c>
      <c r="V4791" s="1" t="str">
        <f>_xlfn.XLOOKUP(C4791,Payers!$A$2:$A$9,Payers!$B$2:$B$9)</f>
        <v>Summit Health Commercial</v>
      </c>
      <c r="W4791" s="1" t="str">
        <f t="shared" si="299"/>
        <v>2025-11</v>
      </c>
    </row>
    <row r="4792" spans="1:23">
      <c r="A4792" s="1" t="s">
        <v>7456</v>
      </c>
      <c r="B4792" s="1" t="s">
        <v>5148</v>
      </c>
      <c r="C4792" s="1" t="s">
        <v>47</v>
      </c>
      <c r="D4792" s="1" t="s">
        <v>26</v>
      </c>
      <c r="E4792" s="1" t="s">
        <v>41</v>
      </c>
      <c r="F4792">
        <v>1</v>
      </c>
      <c r="G4792" s="2">
        <v>46250</v>
      </c>
      <c r="H4792" s="2">
        <v>46255</v>
      </c>
      <c r="I4792">
        <v>37.200000000000003</v>
      </c>
      <c r="M4792" s="1" t="s">
        <v>69</v>
      </c>
      <c r="N4792" s="1" t="s">
        <v>22</v>
      </c>
      <c r="O4792" s="2"/>
      <c r="P4792" s="2"/>
      <c r="Q4792">
        <f>_xlfn.XLOOKUP(E4792,CPT!$A$2:$A$13,CPT!$D$2:$D$13)</f>
        <v>38</v>
      </c>
      <c r="R4792" s="1">
        <f>_xlfn.XLOOKUP(C4792,Contract!$A$2:$A$9,Contract!$B$2:$B$9)</f>
        <v>0.28000000000000003</v>
      </c>
      <c r="S4792" s="1">
        <f t="shared" si="296"/>
        <v>10.64</v>
      </c>
      <c r="T4792" s="1" t="str">
        <f t="shared" si="297"/>
        <v/>
      </c>
      <c r="U4792" s="1" t="str">
        <f t="shared" si="298"/>
        <v/>
      </c>
      <c r="V4792" s="1" t="str">
        <f>_xlfn.XLOOKUP(C4792,Payers!$A$2:$A$9,Payers!$B$2:$B$9)</f>
        <v>Coastal Medicaid MCO</v>
      </c>
      <c r="W4792" s="1" t="str">
        <f t="shared" si="299"/>
        <v>2026-08</v>
      </c>
    </row>
    <row r="4793" spans="1:23">
      <c r="A4793" s="1" t="s">
        <v>7457</v>
      </c>
      <c r="B4793" s="1" t="s">
        <v>6989</v>
      </c>
      <c r="C4793" s="1" t="s">
        <v>76</v>
      </c>
      <c r="D4793" s="1" t="s">
        <v>37</v>
      </c>
      <c r="E4793" s="1" t="s">
        <v>48</v>
      </c>
      <c r="F4793">
        <v>1</v>
      </c>
      <c r="G4793" s="2">
        <v>45992</v>
      </c>
      <c r="H4793" s="2">
        <v>45993</v>
      </c>
      <c r="I4793">
        <v>414.42</v>
      </c>
      <c r="J4793">
        <v>199.28</v>
      </c>
      <c r="K4793">
        <v>199.28</v>
      </c>
      <c r="L4793">
        <v>0</v>
      </c>
      <c r="M4793" s="1" t="s">
        <v>21</v>
      </c>
      <c r="N4793" s="1" t="s">
        <v>22</v>
      </c>
      <c r="O4793" s="2">
        <v>46029</v>
      </c>
      <c r="P4793" s="2">
        <v>46029</v>
      </c>
      <c r="Q4793">
        <f>_xlfn.XLOOKUP(E4793,CPT!$A$2:$A$13,CPT!$D$2:$D$13)</f>
        <v>420</v>
      </c>
      <c r="R4793" s="1">
        <f>_xlfn.XLOOKUP(C4793,Contract!$A$2:$A$9,Contract!$B$2:$B$9)</f>
        <v>0.43</v>
      </c>
      <c r="S4793" s="1">
        <f t="shared" si="296"/>
        <v>180.6</v>
      </c>
      <c r="T4793" s="1">
        <f t="shared" si="297"/>
        <v>-18.680000000000007</v>
      </c>
      <c r="U4793" s="1" t="str">
        <f t="shared" si="298"/>
        <v>OK</v>
      </c>
      <c r="V4793" s="1" t="str">
        <f>_xlfn.XLOOKUP(C4793,Payers!$A$2:$A$9,Payers!$B$2:$B$9)</f>
        <v>Summit Health Commercial</v>
      </c>
      <c r="W4793" s="1" t="str">
        <f t="shared" si="299"/>
        <v>2025-12</v>
      </c>
    </row>
    <row r="4794" spans="1:23">
      <c r="A4794" s="1" t="s">
        <v>7458</v>
      </c>
      <c r="B4794" s="1" t="s">
        <v>7459</v>
      </c>
      <c r="C4794" s="1" t="s">
        <v>60</v>
      </c>
      <c r="D4794" s="1" t="s">
        <v>37</v>
      </c>
      <c r="E4794" s="1" t="s">
        <v>57</v>
      </c>
      <c r="F4794">
        <v>1</v>
      </c>
      <c r="G4794" s="2">
        <v>46210</v>
      </c>
      <c r="H4794" s="2">
        <v>46211</v>
      </c>
      <c r="I4794">
        <v>204.43</v>
      </c>
      <c r="M4794" s="1" t="s">
        <v>32</v>
      </c>
      <c r="N4794" s="1" t="s">
        <v>281</v>
      </c>
      <c r="O4794" s="2">
        <v>46242</v>
      </c>
      <c r="P4794" s="2"/>
      <c r="Q4794">
        <f>_xlfn.XLOOKUP(E4794,CPT!$A$2:$A$13,CPT!$D$2:$D$13)</f>
        <v>210</v>
      </c>
      <c r="R4794" s="1">
        <f>_xlfn.XLOOKUP(C4794,Contract!$A$2:$A$9,Contract!$B$2:$B$9)</f>
        <v>0.45</v>
      </c>
      <c r="S4794" s="1">
        <f t="shared" si="296"/>
        <v>94.5</v>
      </c>
      <c r="T4794" s="1" t="str">
        <f t="shared" si="297"/>
        <v/>
      </c>
      <c r="U4794" s="1" t="str">
        <f t="shared" si="298"/>
        <v/>
      </c>
      <c r="V4794" s="1" t="str">
        <f>_xlfn.XLOOKUP(C4794,Payers!$A$2:$A$9,Payers!$B$2:$B$9)</f>
        <v>Blue Horizon Commercial</v>
      </c>
      <c r="W4794" s="1" t="str">
        <f t="shared" si="299"/>
        <v>2026-07</v>
      </c>
    </row>
    <row r="4795" spans="1:23">
      <c r="A4795" s="1" t="s">
        <v>7460</v>
      </c>
      <c r="B4795" s="1" t="s">
        <v>7461</v>
      </c>
      <c r="C4795" s="1" t="s">
        <v>36</v>
      </c>
      <c r="D4795" s="1" t="s">
        <v>37</v>
      </c>
      <c r="E4795" s="1" t="s">
        <v>57</v>
      </c>
      <c r="F4795">
        <v>1</v>
      </c>
      <c r="G4795" s="2">
        <v>46091</v>
      </c>
      <c r="H4795" s="2">
        <v>46094</v>
      </c>
      <c r="I4795">
        <v>204.71</v>
      </c>
      <c r="J4795">
        <v>55.29</v>
      </c>
      <c r="K4795">
        <v>44.23</v>
      </c>
      <c r="L4795">
        <v>11.06</v>
      </c>
      <c r="M4795" s="1" t="s">
        <v>21</v>
      </c>
      <c r="N4795" s="1" t="s">
        <v>22</v>
      </c>
      <c r="O4795" s="2">
        <v>46142</v>
      </c>
      <c r="P4795" s="2">
        <v>46142</v>
      </c>
      <c r="Q4795">
        <f>_xlfn.XLOOKUP(E4795,CPT!$A$2:$A$13,CPT!$D$2:$D$13)</f>
        <v>210</v>
      </c>
      <c r="R4795" s="1">
        <f>_xlfn.XLOOKUP(C4795,Contract!$A$2:$A$9,Contract!$B$2:$B$9)</f>
        <v>0.27</v>
      </c>
      <c r="S4795" s="1">
        <f t="shared" si="296"/>
        <v>56.7</v>
      </c>
      <c r="T4795" s="1">
        <f t="shared" si="297"/>
        <v>1.4100000000000037</v>
      </c>
      <c r="U4795" s="1" t="str">
        <f t="shared" si="298"/>
        <v>OK</v>
      </c>
      <c r="V4795" s="1" t="str">
        <f>_xlfn.XLOOKUP(C4795,Payers!$A$2:$A$9,Payers!$B$2:$B$9)</f>
        <v>Florida Medicaid</v>
      </c>
      <c r="W4795" s="1" t="str">
        <f t="shared" si="299"/>
        <v>2026-03</v>
      </c>
    </row>
    <row r="4796" spans="1:23">
      <c r="A4796" s="1" t="s">
        <v>7462</v>
      </c>
      <c r="B4796" s="1" t="s">
        <v>7463</v>
      </c>
      <c r="C4796" s="1" t="s">
        <v>47</v>
      </c>
      <c r="D4796" s="1" t="s">
        <v>37</v>
      </c>
      <c r="E4796" s="1" t="s">
        <v>48</v>
      </c>
      <c r="F4796">
        <v>1</v>
      </c>
      <c r="G4796" s="2">
        <v>45964</v>
      </c>
      <c r="H4796" s="2">
        <v>45968</v>
      </c>
      <c r="I4796">
        <v>432.37</v>
      </c>
      <c r="J4796">
        <v>134.61000000000001</v>
      </c>
      <c r="K4796">
        <v>134.61000000000001</v>
      </c>
      <c r="L4796">
        <v>0</v>
      </c>
      <c r="M4796" s="1" t="s">
        <v>21</v>
      </c>
      <c r="N4796" s="1" t="s">
        <v>22</v>
      </c>
      <c r="O4796" s="2">
        <v>46010</v>
      </c>
      <c r="P4796" s="2">
        <v>46010</v>
      </c>
      <c r="Q4796">
        <f>_xlfn.XLOOKUP(E4796,CPT!$A$2:$A$13,CPT!$D$2:$D$13)</f>
        <v>420</v>
      </c>
      <c r="R4796" s="1">
        <f>_xlfn.XLOOKUP(C4796,Contract!$A$2:$A$9,Contract!$B$2:$B$9)</f>
        <v>0.28000000000000003</v>
      </c>
      <c r="S4796" s="1">
        <f t="shared" si="296"/>
        <v>117.6</v>
      </c>
      <c r="T4796" s="1">
        <f t="shared" si="297"/>
        <v>-17.010000000000019</v>
      </c>
      <c r="U4796" s="1" t="str">
        <f t="shared" si="298"/>
        <v>OK</v>
      </c>
      <c r="V4796" s="1" t="str">
        <f>_xlfn.XLOOKUP(C4796,Payers!$A$2:$A$9,Payers!$B$2:$B$9)</f>
        <v>Coastal Medicaid MCO</v>
      </c>
      <c r="W4796" s="1" t="str">
        <f t="shared" si="299"/>
        <v>2025-11</v>
      </c>
    </row>
    <row r="4797" spans="1:23">
      <c r="A4797" s="1" t="s">
        <v>7464</v>
      </c>
      <c r="B4797" s="1" t="s">
        <v>7465</v>
      </c>
      <c r="C4797" s="1" t="s">
        <v>76</v>
      </c>
      <c r="D4797" s="1" t="s">
        <v>30</v>
      </c>
      <c r="E4797" s="1" t="s">
        <v>91</v>
      </c>
      <c r="F4797">
        <v>3</v>
      </c>
      <c r="G4797" s="2">
        <v>46062</v>
      </c>
      <c r="H4797" s="2">
        <v>46063</v>
      </c>
      <c r="I4797">
        <v>178.75</v>
      </c>
      <c r="J4797">
        <v>71.010000000000005</v>
      </c>
      <c r="K4797">
        <v>71.010000000000005</v>
      </c>
      <c r="L4797">
        <v>0</v>
      </c>
      <c r="M4797" s="1" t="s">
        <v>21</v>
      </c>
      <c r="N4797" s="1" t="s">
        <v>22</v>
      </c>
      <c r="O4797" s="2">
        <v>46102</v>
      </c>
      <c r="P4797" s="2">
        <v>46102</v>
      </c>
      <c r="Q4797">
        <f>_xlfn.XLOOKUP(E4797,CPT!$A$2:$A$13,CPT!$D$2:$D$13)</f>
        <v>58</v>
      </c>
      <c r="R4797" s="1">
        <f>_xlfn.XLOOKUP(C4797,Contract!$A$2:$A$9,Contract!$B$2:$B$9)</f>
        <v>0.43</v>
      </c>
      <c r="S4797" s="1">
        <f t="shared" si="296"/>
        <v>74.819999999999993</v>
      </c>
      <c r="T4797" s="1">
        <f t="shared" si="297"/>
        <v>3.8099999999999881</v>
      </c>
      <c r="U4797" s="1" t="str">
        <f t="shared" si="298"/>
        <v>Underpaid</v>
      </c>
      <c r="V4797" s="1" t="str">
        <f>_xlfn.XLOOKUP(C4797,Payers!$A$2:$A$9,Payers!$B$2:$B$9)</f>
        <v>Summit Health Commercial</v>
      </c>
      <c r="W4797" s="1" t="str">
        <f t="shared" si="299"/>
        <v>2026-02</v>
      </c>
    </row>
    <row r="4798" spans="1:23">
      <c r="A4798" s="1" t="s">
        <v>7466</v>
      </c>
      <c r="B4798" s="1" t="s">
        <v>1407</v>
      </c>
      <c r="C4798" s="1" t="s">
        <v>79</v>
      </c>
      <c r="D4798" s="1" t="s">
        <v>30</v>
      </c>
      <c r="E4798" s="1" t="s">
        <v>31</v>
      </c>
      <c r="F4798">
        <v>3</v>
      </c>
      <c r="G4798" s="2">
        <v>46144</v>
      </c>
      <c r="H4798" s="2">
        <v>46273</v>
      </c>
      <c r="I4798">
        <v>184.06</v>
      </c>
      <c r="M4798" s="1" t="s">
        <v>69</v>
      </c>
      <c r="N4798" s="1" t="s">
        <v>22</v>
      </c>
      <c r="O4798" s="2"/>
      <c r="P4798" s="2"/>
      <c r="Q4798">
        <f>_xlfn.XLOOKUP(E4798,CPT!$A$2:$A$13,CPT!$D$2:$D$13)</f>
        <v>62</v>
      </c>
      <c r="R4798" s="1">
        <f>_xlfn.XLOOKUP(C4798,Contract!$A$2:$A$9,Contract!$B$2:$B$9)</f>
        <v>1</v>
      </c>
      <c r="S4798" s="1">
        <f t="shared" si="296"/>
        <v>186</v>
      </c>
      <c r="T4798" s="1" t="str">
        <f t="shared" si="297"/>
        <v/>
      </c>
      <c r="U4798" s="1" t="str">
        <f t="shared" si="298"/>
        <v/>
      </c>
      <c r="V4798" s="1" t="str">
        <f>_xlfn.XLOOKUP(C4798,Payers!$A$2:$A$9,Payers!$B$2:$B$9)</f>
        <v>Self-Pay</v>
      </c>
      <c r="W4798" s="1" t="str">
        <f t="shared" si="299"/>
        <v>2026-05</v>
      </c>
    </row>
    <row r="4799" spans="1:23">
      <c r="A4799" s="1" t="s">
        <v>7467</v>
      </c>
      <c r="B4799" s="1" t="s">
        <v>2695</v>
      </c>
      <c r="C4799" s="1" t="s">
        <v>25</v>
      </c>
      <c r="D4799" s="1" t="s">
        <v>26</v>
      </c>
      <c r="E4799" s="1" t="s">
        <v>113</v>
      </c>
      <c r="F4799">
        <v>1</v>
      </c>
      <c r="G4799" s="2">
        <v>46017</v>
      </c>
      <c r="H4799" s="2">
        <v>46019</v>
      </c>
      <c r="I4799">
        <v>1043.03</v>
      </c>
      <c r="M4799" s="1" t="s">
        <v>32</v>
      </c>
      <c r="N4799" s="1" t="s">
        <v>124</v>
      </c>
      <c r="O4799" s="2">
        <v>46050</v>
      </c>
      <c r="P4799" s="2"/>
      <c r="Q4799">
        <f>_xlfn.XLOOKUP(E4799,CPT!$A$2:$A$13,CPT!$D$2:$D$13)</f>
        <v>1050</v>
      </c>
      <c r="R4799" s="1">
        <f>_xlfn.XLOOKUP(C4799,Contract!$A$2:$A$9,Contract!$B$2:$B$9)</f>
        <v>0.36</v>
      </c>
      <c r="S4799" s="1">
        <f t="shared" si="296"/>
        <v>378</v>
      </c>
      <c r="T4799" s="1" t="str">
        <f t="shared" si="297"/>
        <v/>
      </c>
      <c r="U4799" s="1" t="str">
        <f t="shared" si="298"/>
        <v/>
      </c>
      <c r="V4799" s="1" t="str">
        <f>_xlfn.XLOOKUP(C4799,Payers!$A$2:$A$9,Payers!$B$2:$B$9)</f>
        <v>Medicare Part B</v>
      </c>
      <c r="W4799" s="1" t="str">
        <f t="shared" si="299"/>
        <v>2025-12</v>
      </c>
    </row>
    <row r="4800" spans="1:23">
      <c r="A4800" s="1" t="s">
        <v>7468</v>
      </c>
      <c r="B4800" s="1" t="s">
        <v>7469</v>
      </c>
      <c r="C4800" s="1" t="s">
        <v>60</v>
      </c>
      <c r="D4800" s="1" t="s">
        <v>30</v>
      </c>
      <c r="E4800" s="1" t="s">
        <v>20</v>
      </c>
      <c r="F4800">
        <v>1</v>
      </c>
      <c r="G4800" s="2">
        <v>46151</v>
      </c>
      <c r="H4800" s="2">
        <v>46274</v>
      </c>
      <c r="I4800">
        <v>143.07</v>
      </c>
      <c r="M4800" s="1" t="s">
        <v>32</v>
      </c>
      <c r="N4800" s="1" t="s">
        <v>137</v>
      </c>
      <c r="O4800" s="2">
        <v>46294</v>
      </c>
      <c r="P4800" s="2"/>
      <c r="Q4800">
        <f>_xlfn.XLOOKUP(E4800,CPT!$A$2:$A$13,CPT!$D$2:$D$13)</f>
        <v>145</v>
      </c>
      <c r="R4800" s="1">
        <f>_xlfn.XLOOKUP(C4800,Contract!$A$2:$A$9,Contract!$B$2:$B$9)</f>
        <v>0.45</v>
      </c>
      <c r="S4800" s="1">
        <f t="shared" si="296"/>
        <v>65.25</v>
      </c>
      <c r="T4800" s="1" t="str">
        <f t="shared" si="297"/>
        <v/>
      </c>
      <c r="U4800" s="1" t="str">
        <f t="shared" si="298"/>
        <v/>
      </c>
      <c r="V4800" s="1" t="str">
        <f>_xlfn.XLOOKUP(C4800,Payers!$A$2:$A$9,Payers!$B$2:$B$9)</f>
        <v>Blue Horizon Commercial</v>
      </c>
      <c r="W4800" s="1" t="str">
        <f t="shared" si="299"/>
        <v>2026-05</v>
      </c>
    </row>
    <row r="4801" spans="1:23">
      <c r="A4801" s="1" t="s">
        <v>7470</v>
      </c>
      <c r="B4801" s="1" t="s">
        <v>2435</v>
      </c>
      <c r="C4801" s="1" t="s">
        <v>79</v>
      </c>
      <c r="D4801" s="1" t="s">
        <v>26</v>
      </c>
      <c r="E4801" s="1" t="s">
        <v>44</v>
      </c>
      <c r="F4801">
        <v>1</v>
      </c>
      <c r="G4801" s="2">
        <v>46240</v>
      </c>
      <c r="H4801" s="2">
        <v>46248</v>
      </c>
      <c r="I4801">
        <v>4702.72</v>
      </c>
      <c r="M4801" s="1" t="s">
        <v>69</v>
      </c>
      <c r="N4801" s="1" t="s">
        <v>22</v>
      </c>
      <c r="O4801" s="2"/>
      <c r="P4801" s="2"/>
      <c r="Q4801">
        <f>_xlfn.XLOOKUP(E4801,CPT!$A$2:$A$13,CPT!$D$2:$D$13)</f>
        <v>4800</v>
      </c>
      <c r="R4801" s="1">
        <f>_xlfn.XLOOKUP(C4801,Contract!$A$2:$A$9,Contract!$B$2:$B$9)</f>
        <v>1</v>
      </c>
      <c r="S4801" s="1">
        <f t="shared" si="296"/>
        <v>4800</v>
      </c>
      <c r="T4801" s="1" t="str">
        <f t="shared" si="297"/>
        <v/>
      </c>
      <c r="U4801" s="1" t="str">
        <f t="shared" si="298"/>
        <v/>
      </c>
      <c r="V4801" s="1" t="str">
        <f>_xlfn.XLOOKUP(C4801,Payers!$A$2:$A$9,Payers!$B$2:$B$9)</f>
        <v>Self-Pay</v>
      </c>
      <c r="W4801" s="1" t="str">
        <f t="shared" si="299"/>
        <v>2026-08</v>
      </c>
    </row>
    <row r="4802" spans="1:23">
      <c r="A4802" s="1" t="s">
        <v>7471</v>
      </c>
      <c r="B4802" s="1" t="s">
        <v>7472</v>
      </c>
      <c r="C4802" s="1" t="s">
        <v>76</v>
      </c>
      <c r="D4802" s="1" t="s">
        <v>26</v>
      </c>
      <c r="E4802" s="1" t="s">
        <v>113</v>
      </c>
      <c r="F4802">
        <v>1</v>
      </c>
      <c r="G4802" s="2">
        <v>46070</v>
      </c>
      <c r="H4802" s="2">
        <v>46072</v>
      </c>
      <c r="I4802">
        <v>1040.79</v>
      </c>
      <c r="J4802">
        <v>457.94</v>
      </c>
      <c r="K4802">
        <v>366.35</v>
      </c>
      <c r="L4802">
        <v>91.59</v>
      </c>
      <c r="M4802" s="1" t="s">
        <v>21</v>
      </c>
      <c r="N4802" s="1" t="s">
        <v>22</v>
      </c>
      <c r="O4802" s="2">
        <v>46111</v>
      </c>
      <c r="P4802" s="2">
        <v>46111</v>
      </c>
      <c r="Q4802">
        <f>_xlfn.XLOOKUP(E4802,CPT!$A$2:$A$13,CPT!$D$2:$D$13)</f>
        <v>1050</v>
      </c>
      <c r="R4802" s="1">
        <f>_xlfn.XLOOKUP(C4802,Contract!$A$2:$A$9,Contract!$B$2:$B$9)</f>
        <v>0.43</v>
      </c>
      <c r="S4802" s="1">
        <f t="shared" ref="S4802:S4865" si="300">ROUND(Q4802*F4802*R4802,2)</f>
        <v>451.5</v>
      </c>
      <c r="T4802" s="1">
        <f t="shared" ref="T4802:T4865" si="301">IF(M4802="Paid",S4802-J4802,"")</f>
        <v>-6.4399999999999977</v>
      </c>
      <c r="U4802" s="1" t="str">
        <f t="shared" ref="U4802:U4865" si="302">IF(M4802&lt;&gt;"Paid","",IF(T4802&gt;S4802*0.05,"Underpaid","OK"))</f>
        <v>OK</v>
      </c>
      <c r="V4802" s="1" t="str">
        <f>_xlfn.XLOOKUP(C4802,Payers!$A$2:$A$9,Payers!$B$2:$B$9)</f>
        <v>Summit Health Commercial</v>
      </c>
      <c r="W4802" s="1" t="str">
        <f t="shared" ref="W4802:W4865" si="303">TEXT(G4802,"yyyy-mm")</f>
        <v>2026-02</v>
      </c>
    </row>
    <row r="4803" spans="1:23">
      <c r="A4803" s="1" t="s">
        <v>7473</v>
      </c>
      <c r="B4803" s="1" t="s">
        <v>1648</v>
      </c>
      <c r="C4803" s="1" t="s">
        <v>76</v>
      </c>
      <c r="D4803" s="1" t="s">
        <v>37</v>
      </c>
      <c r="E4803" s="1" t="s">
        <v>48</v>
      </c>
      <c r="F4803">
        <v>1</v>
      </c>
      <c r="G4803" s="2">
        <v>46220</v>
      </c>
      <c r="H4803" s="2">
        <v>46222</v>
      </c>
      <c r="I4803">
        <v>431.71</v>
      </c>
      <c r="J4803">
        <v>185.13</v>
      </c>
      <c r="K4803">
        <v>185.13</v>
      </c>
      <c r="L4803">
        <v>0</v>
      </c>
      <c r="M4803" s="1" t="s">
        <v>21</v>
      </c>
      <c r="N4803" s="1" t="s">
        <v>22</v>
      </c>
      <c r="O4803" s="2">
        <v>46258</v>
      </c>
      <c r="P4803" s="2">
        <v>46258</v>
      </c>
      <c r="Q4803">
        <f>_xlfn.XLOOKUP(E4803,CPT!$A$2:$A$13,CPT!$D$2:$D$13)</f>
        <v>420</v>
      </c>
      <c r="R4803" s="1">
        <f>_xlfn.XLOOKUP(C4803,Contract!$A$2:$A$9,Contract!$B$2:$B$9)</f>
        <v>0.43</v>
      </c>
      <c r="S4803" s="1">
        <f t="shared" si="300"/>
        <v>180.6</v>
      </c>
      <c r="T4803" s="1">
        <f t="shared" si="301"/>
        <v>-4.5300000000000011</v>
      </c>
      <c r="U4803" s="1" t="str">
        <f t="shared" si="302"/>
        <v>OK</v>
      </c>
      <c r="V4803" s="1" t="str">
        <f>_xlfn.XLOOKUP(C4803,Payers!$A$2:$A$9,Payers!$B$2:$B$9)</f>
        <v>Summit Health Commercial</v>
      </c>
      <c r="W4803" s="1" t="str">
        <f t="shared" si="303"/>
        <v>2026-07</v>
      </c>
    </row>
    <row r="4804" spans="1:23">
      <c r="A4804" s="1" t="s">
        <v>7474</v>
      </c>
      <c r="B4804" s="1" t="s">
        <v>121</v>
      </c>
      <c r="C4804" s="1" t="s">
        <v>25</v>
      </c>
      <c r="D4804" s="1" t="s">
        <v>30</v>
      </c>
      <c r="E4804" s="1" t="s">
        <v>20</v>
      </c>
      <c r="F4804">
        <v>1</v>
      </c>
      <c r="G4804" s="2">
        <v>45994</v>
      </c>
      <c r="H4804" s="2">
        <v>45998</v>
      </c>
      <c r="I4804">
        <v>140.71</v>
      </c>
      <c r="J4804">
        <v>56.54</v>
      </c>
      <c r="K4804">
        <v>56.54</v>
      </c>
      <c r="L4804">
        <v>0</v>
      </c>
      <c r="M4804" s="1" t="s">
        <v>21</v>
      </c>
      <c r="N4804" s="1" t="s">
        <v>22</v>
      </c>
      <c r="O4804" s="2">
        <v>46024</v>
      </c>
      <c r="P4804" s="2">
        <v>46024</v>
      </c>
      <c r="Q4804">
        <f>_xlfn.XLOOKUP(E4804,CPT!$A$2:$A$13,CPT!$D$2:$D$13)</f>
        <v>145</v>
      </c>
      <c r="R4804" s="1">
        <f>_xlfn.XLOOKUP(C4804,Contract!$A$2:$A$9,Contract!$B$2:$B$9)</f>
        <v>0.36</v>
      </c>
      <c r="S4804" s="1">
        <f t="shared" si="300"/>
        <v>52.2</v>
      </c>
      <c r="T4804" s="1">
        <f t="shared" si="301"/>
        <v>-4.3399999999999963</v>
      </c>
      <c r="U4804" s="1" t="str">
        <f t="shared" si="302"/>
        <v>OK</v>
      </c>
      <c r="V4804" s="1" t="str">
        <f>_xlfn.XLOOKUP(C4804,Payers!$A$2:$A$9,Payers!$B$2:$B$9)</f>
        <v>Medicare Part B</v>
      </c>
      <c r="W4804" s="1" t="str">
        <f t="shared" si="303"/>
        <v>2025-12</v>
      </c>
    </row>
    <row r="4805" spans="1:23">
      <c r="A4805" s="1" t="s">
        <v>7475</v>
      </c>
      <c r="B4805" s="1" t="s">
        <v>7476</v>
      </c>
      <c r="C4805" s="1" t="s">
        <v>52</v>
      </c>
      <c r="D4805" s="1" t="s">
        <v>26</v>
      </c>
      <c r="E4805" s="1" t="s">
        <v>27</v>
      </c>
      <c r="F4805">
        <v>1</v>
      </c>
      <c r="G4805" s="2">
        <v>46252</v>
      </c>
      <c r="H4805" s="2">
        <v>46253</v>
      </c>
      <c r="I4805">
        <v>244.54</v>
      </c>
      <c r="M4805" s="1" t="s">
        <v>69</v>
      </c>
      <c r="N4805" s="1" t="s">
        <v>22</v>
      </c>
      <c r="O4805" s="2"/>
      <c r="P4805" s="2"/>
      <c r="Q4805">
        <f>_xlfn.XLOOKUP(E4805,CPT!$A$2:$A$13,CPT!$D$2:$D$13)</f>
        <v>240</v>
      </c>
      <c r="R4805" s="1">
        <f>_xlfn.XLOOKUP(C4805,Contract!$A$2:$A$9,Contract!$B$2:$B$9)</f>
        <v>0.47</v>
      </c>
      <c r="S4805" s="1">
        <f t="shared" si="300"/>
        <v>112.8</v>
      </c>
      <c r="T4805" s="1" t="str">
        <f t="shared" si="301"/>
        <v/>
      </c>
      <c r="U4805" s="1" t="str">
        <f t="shared" si="302"/>
        <v/>
      </c>
      <c r="V4805" s="1" t="str">
        <f>_xlfn.XLOOKUP(C4805,Payers!$A$2:$A$9,Payers!$B$2:$B$9)</f>
        <v>Keystone Commercial PPO</v>
      </c>
      <c r="W4805" s="1" t="str">
        <f t="shared" si="303"/>
        <v>2026-08</v>
      </c>
    </row>
    <row r="4806" spans="1:23">
      <c r="A4806" s="1" t="s">
        <v>7477</v>
      </c>
      <c r="B4806" s="1" t="s">
        <v>7478</v>
      </c>
      <c r="C4806" s="1" t="s">
        <v>76</v>
      </c>
      <c r="D4806" s="1" t="s">
        <v>37</v>
      </c>
      <c r="E4806" s="1" t="s">
        <v>38</v>
      </c>
      <c r="F4806">
        <v>20</v>
      </c>
      <c r="G4806" s="2">
        <v>46019</v>
      </c>
      <c r="H4806" s="2">
        <v>46023</v>
      </c>
      <c r="I4806">
        <v>28713.63</v>
      </c>
      <c r="M4806" s="1" t="s">
        <v>32</v>
      </c>
      <c r="N4806" s="1" t="s">
        <v>33</v>
      </c>
      <c r="O4806" s="2">
        <v>46051</v>
      </c>
      <c r="P4806" s="2"/>
      <c r="Q4806">
        <f>_xlfn.XLOOKUP(E4806,CPT!$A$2:$A$13,CPT!$D$2:$D$13)</f>
        <v>1450</v>
      </c>
      <c r="R4806" s="1">
        <f>_xlfn.XLOOKUP(C4806,Contract!$A$2:$A$9,Contract!$B$2:$B$9)</f>
        <v>0.43</v>
      </c>
      <c r="S4806" s="1">
        <f t="shared" si="300"/>
        <v>12470</v>
      </c>
      <c r="T4806" s="1" t="str">
        <f t="shared" si="301"/>
        <v/>
      </c>
      <c r="U4806" s="1" t="str">
        <f t="shared" si="302"/>
        <v/>
      </c>
      <c r="V4806" s="1" t="str">
        <f>_xlfn.XLOOKUP(C4806,Payers!$A$2:$A$9,Payers!$B$2:$B$9)</f>
        <v>Summit Health Commercial</v>
      </c>
      <c r="W4806" s="1" t="str">
        <f t="shared" si="303"/>
        <v>2025-12</v>
      </c>
    </row>
    <row r="4807" spans="1:23">
      <c r="A4807" s="1" t="s">
        <v>7479</v>
      </c>
      <c r="B4807" s="1" t="s">
        <v>5331</v>
      </c>
      <c r="C4807" s="1" t="s">
        <v>60</v>
      </c>
      <c r="D4807" s="1" t="s">
        <v>30</v>
      </c>
      <c r="E4807" s="1" t="s">
        <v>20</v>
      </c>
      <c r="F4807">
        <v>1</v>
      </c>
      <c r="G4807" s="2">
        <v>46188</v>
      </c>
      <c r="H4807" s="2">
        <v>46190</v>
      </c>
      <c r="I4807">
        <v>148.13</v>
      </c>
      <c r="J4807">
        <v>72.53</v>
      </c>
      <c r="K4807">
        <v>72.53</v>
      </c>
      <c r="L4807">
        <v>0</v>
      </c>
      <c r="M4807" s="1" t="s">
        <v>21</v>
      </c>
      <c r="N4807" s="1" t="s">
        <v>22</v>
      </c>
      <c r="O4807" s="2">
        <v>46215</v>
      </c>
      <c r="P4807" s="2">
        <v>46215</v>
      </c>
      <c r="Q4807">
        <f>_xlfn.XLOOKUP(E4807,CPT!$A$2:$A$13,CPT!$D$2:$D$13)</f>
        <v>145</v>
      </c>
      <c r="R4807" s="1">
        <f>_xlfn.XLOOKUP(C4807,Contract!$A$2:$A$9,Contract!$B$2:$B$9)</f>
        <v>0.45</v>
      </c>
      <c r="S4807" s="1">
        <f t="shared" si="300"/>
        <v>65.25</v>
      </c>
      <c r="T4807" s="1">
        <f t="shared" si="301"/>
        <v>-7.2800000000000011</v>
      </c>
      <c r="U4807" s="1" t="str">
        <f t="shared" si="302"/>
        <v>OK</v>
      </c>
      <c r="V4807" s="1" t="str">
        <f>_xlfn.XLOOKUP(C4807,Payers!$A$2:$A$9,Payers!$B$2:$B$9)</f>
        <v>Blue Horizon Commercial</v>
      </c>
      <c r="W4807" s="1" t="str">
        <f t="shared" si="303"/>
        <v>2026-06</v>
      </c>
    </row>
    <row r="4808" spans="1:23">
      <c r="A4808" s="1" t="s">
        <v>7480</v>
      </c>
      <c r="B4808" s="1" t="s">
        <v>2732</v>
      </c>
      <c r="C4808" s="1" t="s">
        <v>47</v>
      </c>
      <c r="D4808" s="1" t="s">
        <v>26</v>
      </c>
      <c r="E4808" s="1" t="s">
        <v>41</v>
      </c>
      <c r="F4808">
        <v>1</v>
      </c>
      <c r="G4808" s="2">
        <v>46107</v>
      </c>
      <c r="H4808" s="2">
        <v>46116</v>
      </c>
      <c r="I4808">
        <v>38.25</v>
      </c>
      <c r="M4808" s="1" t="s">
        <v>32</v>
      </c>
      <c r="N4808" s="1" t="s">
        <v>33</v>
      </c>
      <c r="O4808" s="2">
        <v>46171</v>
      </c>
      <c r="P4808" s="2"/>
      <c r="Q4808">
        <f>_xlfn.XLOOKUP(E4808,CPT!$A$2:$A$13,CPT!$D$2:$D$13)</f>
        <v>38</v>
      </c>
      <c r="R4808" s="1">
        <f>_xlfn.XLOOKUP(C4808,Contract!$A$2:$A$9,Contract!$B$2:$B$9)</f>
        <v>0.28000000000000003</v>
      </c>
      <c r="S4808" s="1">
        <f t="shared" si="300"/>
        <v>10.64</v>
      </c>
      <c r="T4808" s="1" t="str">
        <f t="shared" si="301"/>
        <v/>
      </c>
      <c r="U4808" s="1" t="str">
        <f t="shared" si="302"/>
        <v/>
      </c>
      <c r="V4808" s="1" t="str">
        <f>_xlfn.XLOOKUP(C4808,Payers!$A$2:$A$9,Payers!$B$2:$B$9)</f>
        <v>Coastal Medicaid MCO</v>
      </c>
      <c r="W4808" s="1" t="str">
        <f t="shared" si="303"/>
        <v>2026-03</v>
      </c>
    </row>
    <row r="4809" spans="1:23">
      <c r="A4809" s="1" t="s">
        <v>7481</v>
      </c>
      <c r="B4809" s="1" t="s">
        <v>5643</v>
      </c>
      <c r="C4809" s="1" t="s">
        <v>60</v>
      </c>
      <c r="D4809" s="1" t="s">
        <v>19</v>
      </c>
      <c r="E4809" s="1" t="s">
        <v>88</v>
      </c>
      <c r="F4809">
        <v>1</v>
      </c>
      <c r="G4809" s="2">
        <v>46131</v>
      </c>
      <c r="H4809" s="2">
        <v>46135</v>
      </c>
      <c r="I4809">
        <v>253.19</v>
      </c>
      <c r="J4809">
        <v>96.84</v>
      </c>
      <c r="K4809">
        <v>96.84</v>
      </c>
      <c r="L4809">
        <v>0</v>
      </c>
      <c r="M4809" s="1" t="s">
        <v>21</v>
      </c>
      <c r="N4809" s="1" t="s">
        <v>22</v>
      </c>
      <c r="O4809" s="2">
        <v>46170</v>
      </c>
      <c r="P4809" s="2">
        <v>46170</v>
      </c>
      <c r="Q4809">
        <f>_xlfn.XLOOKUP(E4809,CPT!$A$2:$A$13,CPT!$D$2:$D$13)</f>
        <v>260</v>
      </c>
      <c r="R4809" s="1">
        <f>_xlfn.XLOOKUP(C4809,Contract!$A$2:$A$9,Contract!$B$2:$B$9)</f>
        <v>0.45</v>
      </c>
      <c r="S4809" s="1">
        <f t="shared" si="300"/>
        <v>117</v>
      </c>
      <c r="T4809" s="1">
        <f t="shared" si="301"/>
        <v>20.159999999999997</v>
      </c>
      <c r="U4809" s="1" t="str">
        <f t="shared" si="302"/>
        <v>Underpaid</v>
      </c>
      <c r="V4809" s="1" t="str">
        <f>_xlfn.XLOOKUP(C4809,Payers!$A$2:$A$9,Payers!$B$2:$B$9)</f>
        <v>Blue Horizon Commercial</v>
      </c>
      <c r="W4809" s="1" t="str">
        <f t="shared" si="303"/>
        <v>2026-04</v>
      </c>
    </row>
    <row r="4810" spans="1:23">
      <c r="A4810" s="1" t="s">
        <v>7482</v>
      </c>
      <c r="B4810" s="1" t="s">
        <v>5733</v>
      </c>
      <c r="C4810" s="1" t="s">
        <v>60</v>
      </c>
      <c r="D4810" s="1" t="s">
        <v>37</v>
      </c>
      <c r="E4810" s="1" t="s">
        <v>48</v>
      </c>
      <c r="F4810">
        <v>1</v>
      </c>
      <c r="G4810" s="2">
        <v>46231</v>
      </c>
      <c r="H4810" s="2">
        <v>46233</v>
      </c>
      <c r="I4810">
        <v>431.51</v>
      </c>
      <c r="J4810">
        <v>182.14</v>
      </c>
      <c r="K4810">
        <v>163.93</v>
      </c>
      <c r="L4810">
        <v>18.21</v>
      </c>
      <c r="M4810" s="1" t="s">
        <v>21</v>
      </c>
      <c r="N4810" s="1" t="s">
        <v>22</v>
      </c>
      <c r="O4810" s="2">
        <v>46266</v>
      </c>
      <c r="P4810" s="2">
        <v>46266</v>
      </c>
      <c r="Q4810">
        <f>_xlfn.XLOOKUP(E4810,CPT!$A$2:$A$13,CPT!$D$2:$D$13)</f>
        <v>420</v>
      </c>
      <c r="R4810" s="1">
        <f>_xlfn.XLOOKUP(C4810,Contract!$A$2:$A$9,Contract!$B$2:$B$9)</f>
        <v>0.45</v>
      </c>
      <c r="S4810" s="1">
        <f t="shared" si="300"/>
        <v>189</v>
      </c>
      <c r="T4810" s="1">
        <f t="shared" si="301"/>
        <v>6.8600000000000136</v>
      </c>
      <c r="U4810" s="1" t="str">
        <f t="shared" si="302"/>
        <v>OK</v>
      </c>
      <c r="V4810" s="1" t="str">
        <f>_xlfn.XLOOKUP(C4810,Payers!$A$2:$A$9,Payers!$B$2:$B$9)</f>
        <v>Blue Horizon Commercial</v>
      </c>
      <c r="W4810" s="1" t="str">
        <f t="shared" si="303"/>
        <v>2026-07</v>
      </c>
    </row>
    <row r="4811" spans="1:23">
      <c r="A4811" s="1" t="s">
        <v>7483</v>
      </c>
      <c r="B4811" s="1" t="s">
        <v>7484</v>
      </c>
      <c r="C4811" s="1" t="s">
        <v>76</v>
      </c>
      <c r="D4811" s="1" t="s">
        <v>30</v>
      </c>
      <c r="E4811" s="1" t="s">
        <v>91</v>
      </c>
      <c r="F4811">
        <v>3</v>
      </c>
      <c r="G4811" s="2">
        <v>46213</v>
      </c>
      <c r="H4811" s="2">
        <v>46219</v>
      </c>
      <c r="I4811">
        <v>173.55</v>
      </c>
      <c r="J4811">
        <v>76.09</v>
      </c>
      <c r="K4811">
        <v>76.09</v>
      </c>
      <c r="L4811">
        <v>0</v>
      </c>
      <c r="M4811" s="1" t="s">
        <v>21</v>
      </c>
      <c r="N4811" s="1" t="s">
        <v>22</v>
      </c>
      <c r="O4811" s="2">
        <v>46243</v>
      </c>
      <c r="P4811" s="2">
        <v>46243</v>
      </c>
      <c r="Q4811">
        <f>_xlfn.XLOOKUP(E4811,CPT!$A$2:$A$13,CPT!$D$2:$D$13)</f>
        <v>58</v>
      </c>
      <c r="R4811" s="1">
        <f>_xlfn.XLOOKUP(C4811,Contract!$A$2:$A$9,Contract!$B$2:$B$9)</f>
        <v>0.43</v>
      </c>
      <c r="S4811" s="1">
        <f t="shared" si="300"/>
        <v>74.819999999999993</v>
      </c>
      <c r="T4811" s="1">
        <f t="shared" si="301"/>
        <v>-1.2700000000000102</v>
      </c>
      <c r="U4811" s="1" t="str">
        <f t="shared" si="302"/>
        <v>OK</v>
      </c>
      <c r="V4811" s="1" t="str">
        <f>_xlfn.XLOOKUP(C4811,Payers!$A$2:$A$9,Payers!$B$2:$B$9)</f>
        <v>Summit Health Commercial</v>
      </c>
      <c r="W4811" s="1" t="str">
        <f t="shared" si="303"/>
        <v>2026-07</v>
      </c>
    </row>
    <row r="4812" spans="1:23">
      <c r="A4812" s="1" t="s">
        <v>7485</v>
      </c>
      <c r="B4812" s="1" t="s">
        <v>4820</v>
      </c>
      <c r="C4812" s="1" t="s">
        <v>18</v>
      </c>
      <c r="D4812" s="1" t="s">
        <v>30</v>
      </c>
      <c r="E4812" s="1" t="s">
        <v>91</v>
      </c>
      <c r="F4812">
        <v>1</v>
      </c>
      <c r="G4812" s="2">
        <v>46179</v>
      </c>
      <c r="H4812" s="2">
        <v>46187</v>
      </c>
      <c r="I4812">
        <v>58.7</v>
      </c>
      <c r="M4812" s="1" t="s">
        <v>32</v>
      </c>
      <c r="N4812" s="1" t="s">
        <v>49</v>
      </c>
      <c r="O4812" s="2">
        <v>46252</v>
      </c>
      <c r="P4812" s="2"/>
      <c r="Q4812">
        <f>_xlfn.XLOOKUP(E4812,CPT!$A$2:$A$13,CPT!$D$2:$D$13)</f>
        <v>58</v>
      </c>
      <c r="R4812" s="1">
        <f>_xlfn.XLOOKUP(C4812,Contract!$A$2:$A$9,Contract!$B$2:$B$9)</f>
        <v>0.38</v>
      </c>
      <c r="S4812" s="1">
        <f t="shared" si="300"/>
        <v>22.04</v>
      </c>
      <c r="T4812" s="1" t="str">
        <f t="shared" si="301"/>
        <v/>
      </c>
      <c r="U4812" s="1" t="str">
        <f t="shared" si="302"/>
        <v/>
      </c>
      <c r="V4812" s="1" t="str">
        <f>_xlfn.XLOOKUP(C4812,Payers!$A$2:$A$9,Payers!$B$2:$B$9)</f>
        <v>Sunshine Medicare Advantage</v>
      </c>
      <c r="W4812" s="1" t="str">
        <f t="shared" si="303"/>
        <v>2026-06</v>
      </c>
    </row>
    <row r="4813" spans="1:23">
      <c r="A4813" s="1" t="s">
        <v>7486</v>
      </c>
      <c r="B4813" s="1" t="s">
        <v>2529</v>
      </c>
      <c r="C4813" s="1" t="s">
        <v>47</v>
      </c>
      <c r="D4813" s="1" t="s">
        <v>19</v>
      </c>
      <c r="E4813" s="1" t="s">
        <v>41</v>
      </c>
      <c r="F4813">
        <v>1</v>
      </c>
      <c r="G4813" s="2">
        <v>46108</v>
      </c>
      <c r="H4813" s="2">
        <v>46109</v>
      </c>
      <c r="I4813">
        <v>38.65</v>
      </c>
      <c r="J4813">
        <v>10.039999999999999</v>
      </c>
      <c r="K4813">
        <v>10.039999999999999</v>
      </c>
      <c r="L4813">
        <v>0</v>
      </c>
      <c r="M4813" s="1" t="s">
        <v>21</v>
      </c>
      <c r="N4813" s="1" t="s">
        <v>22</v>
      </c>
      <c r="O4813" s="2">
        <v>46143</v>
      </c>
      <c r="P4813" s="2">
        <v>46143</v>
      </c>
      <c r="Q4813">
        <f>_xlfn.XLOOKUP(E4813,CPT!$A$2:$A$13,CPT!$D$2:$D$13)</f>
        <v>38</v>
      </c>
      <c r="R4813" s="1">
        <f>_xlfn.XLOOKUP(C4813,Contract!$A$2:$A$9,Contract!$B$2:$B$9)</f>
        <v>0.28000000000000003</v>
      </c>
      <c r="S4813" s="1">
        <f t="shared" si="300"/>
        <v>10.64</v>
      </c>
      <c r="T4813" s="1">
        <f t="shared" si="301"/>
        <v>0.60000000000000142</v>
      </c>
      <c r="U4813" s="1" t="str">
        <f t="shared" si="302"/>
        <v>Underpaid</v>
      </c>
      <c r="V4813" s="1" t="str">
        <f>_xlfn.XLOOKUP(C4813,Payers!$A$2:$A$9,Payers!$B$2:$B$9)</f>
        <v>Coastal Medicaid MCO</v>
      </c>
      <c r="W4813" s="1" t="str">
        <f t="shared" si="303"/>
        <v>2026-03</v>
      </c>
    </row>
    <row r="4814" spans="1:23">
      <c r="A4814" s="1" t="s">
        <v>7487</v>
      </c>
      <c r="B4814" s="1" t="s">
        <v>7488</v>
      </c>
      <c r="C4814" s="1" t="s">
        <v>52</v>
      </c>
      <c r="D4814" s="1" t="s">
        <v>19</v>
      </c>
      <c r="E4814" s="1" t="s">
        <v>57</v>
      </c>
      <c r="F4814">
        <v>1</v>
      </c>
      <c r="G4814" s="2">
        <v>46098</v>
      </c>
      <c r="H4814" s="2">
        <v>46105</v>
      </c>
      <c r="I4814">
        <v>204.24</v>
      </c>
      <c r="J4814">
        <v>96.85</v>
      </c>
      <c r="K4814">
        <v>96.85</v>
      </c>
      <c r="L4814">
        <v>0</v>
      </c>
      <c r="M4814" s="1" t="s">
        <v>21</v>
      </c>
      <c r="N4814" s="1" t="s">
        <v>22</v>
      </c>
      <c r="O4814" s="2">
        <v>46162</v>
      </c>
      <c r="P4814" s="2">
        <v>46162</v>
      </c>
      <c r="Q4814">
        <f>_xlfn.XLOOKUP(E4814,CPT!$A$2:$A$13,CPT!$D$2:$D$13)</f>
        <v>210</v>
      </c>
      <c r="R4814" s="1">
        <f>_xlfn.XLOOKUP(C4814,Contract!$A$2:$A$9,Contract!$B$2:$B$9)</f>
        <v>0.47</v>
      </c>
      <c r="S4814" s="1">
        <f t="shared" si="300"/>
        <v>98.7</v>
      </c>
      <c r="T4814" s="1">
        <f t="shared" si="301"/>
        <v>1.8500000000000085</v>
      </c>
      <c r="U4814" s="1" t="str">
        <f t="shared" si="302"/>
        <v>OK</v>
      </c>
      <c r="V4814" s="1" t="str">
        <f>_xlfn.XLOOKUP(C4814,Payers!$A$2:$A$9,Payers!$B$2:$B$9)</f>
        <v>Keystone Commercial PPO</v>
      </c>
      <c r="W4814" s="1" t="str">
        <f t="shared" si="303"/>
        <v>2026-03</v>
      </c>
    </row>
    <row r="4815" spans="1:23">
      <c r="A4815" s="1" t="s">
        <v>7489</v>
      </c>
      <c r="B4815" s="1" t="s">
        <v>4378</v>
      </c>
      <c r="C4815" s="1" t="s">
        <v>52</v>
      </c>
      <c r="D4815" s="1" t="s">
        <v>26</v>
      </c>
      <c r="E4815" s="1" t="s">
        <v>44</v>
      </c>
      <c r="F4815">
        <v>1</v>
      </c>
      <c r="G4815" s="2">
        <v>46018</v>
      </c>
      <c r="H4815" s="2">
        <v>46028</v>
      </c>
      <c r="I4815">
        <v>4715.42</v>
      </c>
      <c r="J4815">
        <v>2129.69</v>
      </c>
      <c r="K4815">
        <v>1703.75</v>
      </c>
      <c r="L4815">
        <v>425.94</v>
      </c>
      <c r="M4815" s="1" t="s">
        <v>21</v>
      </c>
      <c r="N4815" s="1" t="s">
        <v>22</v>
      </c>
      <c r="O4815" s="2">
        <v>46060</v>
      </c>
      <c r="P4815" s="2">
        <v>46060</v>
      </c>
      <c r="Q4815">
        <f>_xlfn.XLOOKUP(E4815,CPT!$A$2:$A$13,CPT!$D$2:$D$13)</f>
        <v>4800</v>
      </c>
      <c r="R4815" s="1">
        <f>_xlfn.XLOOKUP(C4815,Contract!$A$2:$A$9,Contract!$B$2:$B$9)</f>
        <v>0.47</v>
      </c>
      <c r="S4815" s="1">
        <f t="shared" si="300"/>
        <v>2256</v>
      </c>
      <c r="T4815" s="1">
        <f t="shared" si="301"/>
        <v>126.30999999999995</v>
      </c>
      <c r="U4815" s="1" t="str">
        <f t="shared" si="302"/>
        <v>Underpaid</v>
      </c>
      <c r="V4815" s="1" t="str">
        <f>_xlfn.XLOOKUP(C4815,Payers!$A$2:$A$9,Payers!$B$2:$B$9)</f>
        <v>Keystone Commercial PPO</v>
      </c>
      <c r="W4815" s="1" t="str">
        <f t="shared" si="303"/>
        <v>2025-12</v>
      </c>
    </row>
    <row r="4816" spans="1:23">
      <c r="A4816" s="1" t="s">
        <v>7490</v>
      </c>
      <c r="B4816" s="1" t="s">
        <v>1002</v>
      </c>
      <c r="C4816" s="1" t="s">
        <v>79</v>
      </c>
      <c r="D4816" s="1" t="s">
        <v>26</v>
      </c>
      <c r="E4816" s="1" t="s">
        <v>41</v>
      </c>
      <c r="F4816">
        <v>1</v>
      </c>
      <c r="G4816" s="2">
        <v>46019</v>
      </c>
      <c r="H4816" s="2">
        <v>46021</v>
      </c>
      <c r="I4816">
        <v>38.82</v>
      </c>
      <c r="J4816">
        <v>38.82</v>
      </c>
      <c r="K4816">
        <v>38.82</v>
      </c>
      <c r="L4816">
        <v>0</v>
      </c>
      <c r="M4816" s="1" t="s">
        <v>21</v>
      </c>
      <c r="N4816" s="1" t="s">
        <v>22</v>
      </c>
      <c r="O4816" s="2">
        <v>46103</v>
      </c>
      <c r="P4816" s="2">
        <v>46103</v>
      </c>
      <c r="Q4816">
        <f>_xlfn.XLOOKUP(E4816,CPT!$A$2:$A$13,CPT!$D$2:$D$13)</f>
        <v>38</v>
      </c>
      <c r="R4816" s="1">
        <f>_xlfn.XLOOKUP(C4816,Contract!$A$2:$A$9,Contract!$B$2:$B$9)</f>
        <v>1</v>
      </c>
      <c r="S4816" s="1">
        <f t="shared" si="300"/>
        <v>38</v>
      </c>
      <c r="T4816" s="1">
        <f t="shared" si="301"/>
        <v>-0.82000000000000028</v>
      </c>
      <c r="U4816" s="1" t="str">
        <f t="shared" si="302"/>
        <v>OK</v>
      </c>
      <c r="V4816" s="1" t="str">
        <f>_xlfn.XLOOKUP(C4816,Payers!$A$2:$A$9,Payers!$B$2:$B$9)</f>
        <v>Self-Pay</v>
      </c>
      <c r="W4816" s="1" t="str">
        <f t="shared" si="303"/>
        <v>2025-12</v>
      </c>
    </row>
    <row r="4817" spans="1:23">
      <c r="A4817" s="1" t="s">
        <v>7491</v>
      </c>
      <c r="B4817" s="1" t="s">
        <v>1207</v>
      </c>
      <c r="C4817" s="1" t="s">
        <v>25</v>
      </c>
      <c r="D4817" s="1" t="s">
        <v>26</v>
      </c>
      <c r="E4817" s="1" t="s">
        <v>185</v>
      </c>
      <c r="F4817">
        <v>1</v>
      </c>
      <c r="G4817" s="2">
        <v>46064</v>
      </c>
      <c r="H4817" s="2">
        <v>46071</v>
      </c>
      <c r="I4817">
        <v>1180.21</v>
      </c>
      <c r="J4817">
        <v>475.4</v>
      </c>
      <c r="K4817">
        <v>475.4</v>
      </c>
      <c r="L4817">
        <v>0</v>
      </c>
      <c r="M4817" s="1" t="s">
        <v>21</v>
      </c>
      <c r="N4817" s="1" t="s">
        <v>22</v>
      </c>
      <c r="O4817" s="2">
        <v>46085</v>
      </c>
      <c r="P4817" s="2">
        <v>46085</v>
      </c>
      <c r="Q4817">
        <f>_xlfn.XLOOKUP(E4817,CPT!$A$2:$A$13,CPT!$D$2:$D$13)</f>
        <v>1150</v>
      </c>
      <c r="R4817" s="1">
        <f>_xlfn.XLOOKUP(C4817,Contract!$A$2:$A$9,Contract!$B$2:$B$9)</f>
        <v>0.36</v>
      </c>
      <c r="S4817" s="1">
        <f t="shared" si="300"/>
        <v>414</v>
      </c>
      <c r="T4817" s="1">
        <f t="shared" si="301"/>
        <v>-61.399999999999977</v>
      </c>
      <c r="U4817" s="1" t="str">
        <f t="shared" si="302"/>
        <v>OK</v>
      </c>
      <c r="V4817" s="1" t="str">
        <f>_xlfn.XLOOKUP(C4817,Payers!$A$2:$A$9,Payers!$B$2:$B$9)</f>
        <v>Medicare Part B</v>
      </c>
      <c r="W4817" s="1" t="str">
        <f t="shared" si="303"/>
        <v>2026-02</v>
      </c>
    </row>
    <row r="4818" spans="1:23">
      <c r="A4818" s="1" t="s">
        <v>7492</v>
      </c>
      <c r="B4818" s="1" t="s">
        <v>1069</v>
      </c>
      <c r="C4818" s="1" t="s">
        <v>60</v>
      </c>
      <c r="D4818" s="1" t="s">
        <v>30</v>
      </c>
      <c r="E4818" s="1" t="s">
        <v>20</v>
      </c>
      <c r="F4818">
        <v>1</v>
      </c>
      <c r="G4818" s="2">
        <v>46034</v>
      </c>
      <c r="H4818" s="2">
        <v>46042</v>
      </c>
      <c r="I4818">
        <v>146.27000000000001</v>
      </c>
      <c r="J4818">
        <v>56.64</v>
      </c>
      <c r="K4818">
        <v>56.64</v>
      </c>
      <c r="L4818">
        <v>0</v>
      </c>
      <c r="M4818" s="1" t="s">
        <v>21</v>
      </c>
      <c r="N4818" s="1" t="s">
        <v>22</v>
      </c>
      <c r="O4818" s="2">
        <v>46061</v>
      </c>
      <c r="P4818" s="2">
        <v>46061</v>
      </c>
      <c r="Q4818">
        <f>_xlfn.XLOOKUP(E4818,CPT!$A$2:$A$13,CPT!$D$2:$D$13)</f>
        <v>145</v>
      </c>
      <c r="R4818" s="1">
        <f>_xlfn.XLOOKUP(C4818,Contract!$A$2:$A$9,Contract!$B$2:$B$9)</f>
        <v>0.45</v>
      </c>
      <c r="S4818" s="1">
        <f t="shared" si="300"/>
        <v>65.25</v>
      </c>
      <c r="T4818" s="1">
        <f t="shared" si="301"/>
        <v>8.61</v>
      </c>
      <c r="U4818" s="1" t="str">
        <f t="shared" si="302"/>
        <v>Underpaid</v>
      </c>
      <c r="V4818" s="1" t="str">
        <f>_xlfn.XLOOKUP(C4818,Payers!$A$2:$A$9,Payers!$B$2:$B$9)</f>
        <v>Blue Horizon Commercial</v>
      </c>
      <c r="W4818" s="1" t="str">
        <f t="shared" si="303"/>
        <v>2026-01</v>
      </c>
    </row>
    <row r="4819" spans="1:23">
      <c r="A4819" s="1" t="s">
        <v>7493</v>
      </c>
      <c r="B4819" s="1" t="s">
        <v>3644</v>
      </c>
      <c r="C4819" s="1" t="s">
        <v>18</v>
      </c>
      <c r="D4819" s="1" t="s">
        <v>26</v>
      </c>
      <c r="E4819" s="1" t="s">
        <v>44</v>
      </c>
      <c r="F4819">
        <v>1</v>
      </c>
      <c r="G4819" s="2">
        <v>46172</v>
      </c>
      <c r="H4819" s="2">
        <v>46173</v>
      </c>
      <c r="I4819">
        <v>4867.45</v>
      </c>
      <c r="J4819">
        <v>1887.6</v>
      </c>
      <c r="K4819">
        <v>1698.84</v>
      </c>
      <c r="L4819">
        <v>188.76</v>
      </c>
      <c r="M4819" s="1" t="s">
        <v>21</v>
      </c>
      <c r="N4819" s="1" t="s">
        <v>22</v>
      </c>
      <c r="O4819" s="2">
        <v>46256</v>
      </c>
      <c r="P4819" s="2">
        <v>46256</v>
      </c>
      <c r="Q4819">
        <f>_xlfn.XLOOKUP(E4819,CPT!$A$2:$A$13,CPT!$D$2:$D$13)</f>
        <v>4800</v>
      </c>
      <c r="R4819" s="1">
        <f>_xlfn.XLOOKUP(C4819,Contract!$A$2:$A$9,Contract!$B$2:$B$9)</f>
        <v>0.38</v>
      </c>
      <c r="S4819" s="1">
        <f t="shared" si="300"/>
        <v>1824</v>
      </c>
      <c r="T4819" s="1">
        <f t="shared" si="301"/>
        <v>-63.599999999999909</v>
      </c>
      <c r="U4819" s="1" t="str">
        <f t="shared" si="302"/>
        <v>OK</v>
      </c>
      <c r="V4819" s="1" t="str">
        <f>_xlfn.XLOOKUP(C4819,Payers!$A$2:$A$9,Payers!$B$2:$B$9)</f>
        <v>Sunshine Medicare Advantage</v>
      </c>
      <c r="W4819" s="1" t="str">
        <f t="shared" si="303"/>
        <v>2026-05</v>
      </c>
    </row>
    <row r="4820" spans="1:23">
      <c r="A4820" s="1" t="s">
        <v>7494</v>
      </c>
      <c r="B4820" s="1" t="s">
        <v>3088</v>
      </c>
      <c r="C4820" s="1" t="s">
        <v>60</v>
      </c>
      <c r="D4820" s="1" t="s">
        <v>26</v>
      </c>
      <c r="E4820" s="1" t="s">
        <v>44</v>
      </c>
      <c r="F4820">
        <v>1</v>
      </c>
      <c r="G4820" s="2">
        <v>46137</v>
      </c>
      <c r="H4820" s="2">
        <v>46140</v>
      </c>
      <c r="I4820">
        <v>4740.97</v>
      </c>
      <c r="J4820">
        <v>2076.83</v>
      </c>
      <c r="K4820">
        <v>1661.46</v>
      </c>
      <c r="L4820">
        <v>415.37</v>
      </c>
      <c r="M4820" s="1" t="s">
        <v>21</v>
      </c>
      <c r="N4820" s="1" t="s">
        <v>22</v>
      </c>
      <c r="O4820" s="2">
        <v>46186</v>
      </c>
      <c r="P4820" s="2">
        <v>46186</v>
      </c>
      <c r="Q4820">
        <f>_xlfn.XLOOKUP(E4820,CPT!$A$2:$A$13,CPT!$D$2:$D$13)</f>
        <v>4800</v>
      </c>
      <c r="R4820" s="1">
        <f>_xlfn.XLOOKUP(C4820,Contract!$A$2:$A$9,Contract!$B$2:$B$9)</f>
        <v>0.45</v>
      </c>
      <c r="S4820" s="1">
        <f t="shared" si="300"/>
        <v>2160</v>
      </c>
      <c r="T4820" s="1">
        <f t="shared" si="301"/>
        <v>83.170000000000073</v>
      </c>
      <c r="U4820" s="1" t="str">
        <f t="shared" si="302"/>
        <v>OK</v>
      </c>
      <c r="V4820" s="1" t="str">
        <f>_xlfn.XLOOKUP(C4820,Payers!$A$2:$A$9,Payers!$B$2:$B$9)</f>
        <v>Blue Horizon Commercial</v>
      </c>
      <c r="W4820" s="1" t="str">
        <f t="shared" si="303"/>
        <v>2026-04</v>
      </c>
    </row>
    <row r="4821" spans="1:23">
      <c r="A4821" s="1" t="s">
        <v>7495</v>
      </c>
      <c r="B4821" s="1" t="s">
        <v>5924</v>
      </c>
      <c r="C4821" s="1" t="s">
        <v>18</v>
      </c>
      <c r="D4821" s="1" t="s">
        <v>26</v>
      </c>
      <c r="E4821" s="1" t="s">
        <v>88</v>
      </c>
      <c r="F4821">
        <v>1</v>
      </c>
      <c r="G4821" s="2">
        <v>46063</v>
      </c>
      <c r="H4821" s="2">
        <v>46074</v>
      </c>
      <c r="I4821">
        <v>260.67</v>
      </c>
      <c r="M4821" s="1" t="s">
        <v>32</v>
      </c>
      <c r="N4821" s="1" t="s">
        <v>124</v>
      </c>
      <c r="O4821" s="2">
        <v>46114</v>
      </c>
      <c r="P4821" s="2"/>
      <c r="Q4821">
        <f>_xlfn.XLOOKUP(E4821,CPT!$A$2:$A$13,CPT!$D$2:$D$13)</f>
        <v>260</v>
      </c>
      <c r="R4821" s="1">
        <f>_xlfn.XLOOKUP(C4821,Contract!$A$2:$A$9,Contract!$B$2:$B$9)</f>
        <v>0.38</v>
      </c>
      <c r="S4821" s="1">
        <f t="shared" si="300"/>
        <v>98.8</v>
      </c>
      <c r="T4821" s="1" t="str">
        <f t="shared" si="301"/>
        <v/>
      </c>
      <c r="U4821" s="1" t="str">
        <f t="shared" si="302"/>
        <v/>
      </c>
      <c r="V4821" s="1" t="str">
        <f>_xlfn.XLOOKUP(C4821,Payers!$A$2:$A$9,Payers!$B$2:$B$9)</f>
        <v>Sunshine Medicare Advantage</v>
      </c>
      <c r="W4821" s="1" t="str">
        <f t="shared" si="303"/>
        <v>2026-02</v>
      </c>
    </row>
    <row r="4822" spans="1:23">
      <c r="A4822" s="1" t="s">
        <v>7496</v>
      </c>
      <c r="B4822" s="1" t="s">
        <v>62</v>
      </c>
      <c r="C4822" s="1" t="s">
        <v>76</v>
      </c>
      <c r="D4822" s="1" t="s">
        <v>19</v>
      </c>
      <c r="E4822" s="1" t="s">
        <v>20</v>
      </c>
      <c r="F4822">
        <v>1</v>
      </c>
      <c r="G4822" s="2">
        <v>46030</v>
      </c>
      <c r="H4822" s="2">
        <v>46031</v>
      </c>
      <c r="I4822">
        <v>146.30000000000001</v>
      </c>
      <c r="M4822" s="1" t="s">
        <v>32</v>
      </c>
      <c r="N4822" s="1" t="s">
        <v>49</v>
      </c>
      <c r="O4822" s="2">
        <v>46038</v>
      </c>
      <c r="P4822" s="2"/>
      <c r="Q4822">
        <f>_xlfn.XLOOKUP(E4822,CPT!$A$2:$A$13,CPT!$D$2:$D$13)</f>
        <v>145</v>
      </c>
      <c r="R4822" s="1">
        <f>_xlfn.XLOOKUP(C4822,Contract!$A$2:$A$9,Contract!$B$2:$B$9)</f>
        <v>0.43</v>
      </c>
      <c r="S4822" s="1">
        <f t="shared" si="300"/>
        <v>62.35</v>
      </c>
      <c r="T4822" s="1" t="str">
        <f t="shared" si="301"/>
        <v/>
      </c>
      <c r="U4822" s="1" t="str">
        <f t="shared" si="302"/>
        <v/>
      </c>
      <c r="V4822" s="1" t="str">
        <f>_xlfn.XLOOKUP(C4822,Payers!$A$2:$A$9,Payers!$B$2:$B$9)</f>
        <v>Summit Health Commercial</v>
      </c>
      <c r="W4822" s="1" t="str">
        <f t="shared" si="303"/>
        <v>2026-01</v>
      </c>
    </row>
    <row r="4823" spans="1:23">
      <c r="A4823" s="1" t="s">
        <v>7497</v>
      </c>
      <c r="B4823" s="1" t="s">
        <v>5339</v>
      </c>
      <c r="C4823" s="1" t="s">
        <v>60</v>
      </c>
      <c r="D4823" s="1" t="s">
        <v>26</v>
      </c>
      <c r="E4823" s="1" t="s">
        <v>88</v>
      </c>
      <c r="F4823">
        <v>1</v>
      </c>
      <c r="G4823" s="2">
        <v>46010</v>
      </c>
      <c r="H4823" s="2">
        <v>46011</v>
      </c>
      <c r="I4823">
        <v>265.76</v>
      </c>
      <c r="J4823">
        <v>134.4</v>
      </c>
      <c r="K4823">
        <v>120.96</v>
      </c>
      <c r="L4823">
        <v>13.44</v>
      </c>
      <c r="M4823" s="1" t="s">
        <v>21</v>
      </c>
      <c r="N4823" s="1" t="s">
        <v>22</v>
      </c>
      <c r="O4823" s="2">
        <v>46048</v>
      </c>
      <c r="P4823" s="2">
        <v>46048</v>
      </c>
      <c r="Q4823">
        <f>_xlfn.XLOOKUP(E4823,CPT!$A$2:$A$13,CPT!$D$2:$D$13)</f>
        <v>260</v>
      </c>
      <c r="R4823" s="1">
        <f>_xlfn.XLOOKUP(C4823,Contract!$A$2:$A$9,Contract!$B$2:$B$9)</f>
        <v>0.45</v>
      </c>
      <c r="S4823" s="1">
        <f t="shared" si="300"/>
        <v>117</v>
      </c>
      <c r="T4823" s="1">
        <f t="shared" si="301"/>
        <v>-17.400000000000006</v>
      </c>
      <c r="U4823" s="1" t="str">
        <f t="shared" si="302"/>
        <v>OK</v>
      </c>
      <c r="V4823" s="1" t="str">
        <f>_xlfn.XLOOKUP(C4823,Payers!$A$2:$A$9,Payers!$B$2:$B$9)</f>
        <v>Blue Horizon Commercial</v>
      </c>
      <c r="W4823" s="1" t="str">
        <f t="shared" si="303"/>
        <v>2025-12</v>
      </c>
    </row>
    <row r="4824" spans="1:23">
      <c r="A4824" s="1" t="s">
        <v>7498</v>
      </c>
      <c r="B4824" s="1" t="s">
        <v>6133</v>
      </c>
      <c r="C4824" s="1" t="s">
        <v>47</v>
      </c>
      <c r="D4824" s="1" t="s">
        <v>19</v>
      </c>
      <c r="E4824" s="1" t="s">
        <v>20</v>
      </c>
      <c r="F4824">
        <v>1</v>
      </c>
      <c r="G4824" s="2">
        <v>46119</v>
      </c>
      <c r="H4824" s="2">
        <v>46120</v>
      </c>
      <c r="I4824">
        <v>141.52000000000001</v>
      </c>
      <c r="J4824">
        <v>45.17</v>
      </c>
      <c r="K4824">
        <v>45.17</v>
      </c>
      <c r="L4824">
        <v>0</v>
      </c>
      <c r="M4824" s="1" t="s">
        <v>21</v>
      </c>
      <c r="N4824" s="1" t="s">
        <v>22</v>
      </c>
      <c r="O4824" s="2">
        <v>46175</v>
      </c>
      <c r="P4824" s="2">
        <v>46175</v>
      </c>
      <c r="Q4824">
        <f>_xlfn.XLOOKUP(E4824,CPT!$A$2:$A$13,CPT!$D$2:$D$13)</f>
        <v>145</v>
      </c>
      <c r="R4824" s="1">
        <f>_xlfn.XLOOKUP(C4824,Contract!$A$2:$A$9,Contract!$B$2:$B$9)</f>
        <v>0.28000000000000003</v>
      </c>
      <c r="S4824" s="1">
        <f t="shared" si="300"/>
        <v>40.6</v>
      </c>
      <c r="T4824" s="1">
        <f t="shared" si="301"/>
        <v>-4.57</v>
      </c>
      <c r="U4824" s="1" t="str">
        <f t="shared" si="302"/>
        <v>OK</v>
      </c>
      <c r="V4824" s="1" t="str">
        <f>_xlfn.XLOOKUP(C4824,Payers!$A$2:$A$9,Payers!$B$2:$B$9)</f>
        <v>Coastal Medicaid MCO</v>
      </c>
      <c r="W4824" s="1" t="str">
        <f t="shared" si="303"/>
        <v>2026-04</v>
      </c>
    </row>
    <row r="4825" spans="1:23">
      <c r="A4825" s="1" t="s">
        <v>7499</v>
      </c>
      <c r="B4825" s="1" t="s">
        <v>4199</v>
      </c>
      <c r="C4825" s="1" t="s">
        <v>25</v>
      </c>
      <c r="D4825" s="1" t="s">
        <v>19</v>
      </c>
      <c r="E4825" s="1" t="s">
        <v>20</v>
      </c>
      <c r="F4825">
        <v>1</v>
      </c>
      <c r="G4825" s="2">
        <v>46086</v>
      </c>
      <c r="H4825" s="2">
        <v>46091</v>
      </c>
      <c r="I4825">
        <v>142.97</v>
      </c>
      <c r="J4825">
        <v>49.32</v>
      </c>
      <c r="K4825">
        <v>39.46</v>
      </c>
      <c r="L4825">
        <v>9.86</v>
      </c>
      <c r="M4825" s="1" t="s">
        <v>21</v>
      </c>
      <c r="N4825" s="1" t="s">
        <v>22</v>
      </c>
      <c r="O4825" s="2">
        <v>46104</v>
      </c>
      <c r="P4825" s="2">
        <v>46104</v>
      </c>
      <c r="Q4825">
        <f>_xlfn.XLOOKUP(E4825,CPT!$A$2:$A$13,CPT!$D$2:$D$13)</f>
        <v>145</v>
      </c>
      <c r="R4825" s="1">
        <f>_xlfn.XLOOKUP(C4825,Contract!$A$2:$A$9,Contract!$B$2:$B$9)</f>
        <v>0.36</v>
      </c>
      <c r="S4825" s="1">
        <f t="shared" si="300"/>
        <v>52.2</v>
      </c>
      <c r="T4825" s="1">
        <f t="shared" si="301"/>
        <v>2.8800000000000026</v>
      </c>
      <c r="U4825" s="1" t="str">
        <f t="shared" si="302"/>
        <v>Underpaid</v>
      </c>
      <c r="V4825" s="1" t="str">
        <f>_xlfn.XLOOKUP(C4825,Payers!$A$2:$A$9,Payers!$B$2:$B$9)</f>
        <v>Medicare Part B</v>
      </c>
      <c r="W4825" s="1" t="str">
        <f t="shared" si="303"/>
        <v>2026-03</v>
      </c>
    </row>
    <row r="4826" spans="1:23">
      <c r="A4826" s="1" t="s">
        <v>7500</v>
      </c>
      <c r="B4826" s="1" t="s">
        <v>2265</v>
      </c>
      <c r="C4826" s="1" t="s">
        <v>18</v>
      </c>
      <c r="D4826" s="1" t="s">
        <v>37</v>
      </c>
      <c r="E4826" s="1" t="s">
        <v>57</v>
      </c>
      <c r="F4826">
        <v>1</v>
      </c>
      <c r="G4826" s="2">
        <v>46123</v>
      </c>
      <c r="H4826" s="2">
        <v>46124</v>
      </c>
      <c r="I4826">
        <v>205.6</v>
      </c>
      <c r="J4826">
        <v>68.94</v>
      </c>
      <c r="K4826">
        <v>68.94</v>
      </c>
      <c r="L4826">
        <v>0</v>
      </c>
      <c r="M4826" s="1" t="s">
        <v>21</v>
      </c>
      <c r="N4826" s="1" t="s">
        <v>22</v>
      </c>
      <c r="O4826" s="2">
        <v>46150</v>
      </c>
      <c r="P4826" s="2">
        <v>46150</v>
      </c>
      <c r="Q4826">
        <f>_xlfn.XLOOKUP(E4826,CPT!$A$2:$A$13,CPT!$D$2:$D$13)</f>
        <v>210</v>
      </c>
      <c r="R4826" s="1">
        <f>_xlfn.XLOOKUP(C4826,Contract!$A$2:$A$9,Contract!$B$2:$B$9)</f>
        <v>0.38</v>
      </c>
      <c r="S4826" s="1">
        <f t="shared" si="300"/>
        <v>79.8</v>
      </c>
      <c r="T4826" s="1">
        <f t="shared" si="301"/>
        <v>10.86</v>
      </c>
      <c r="U4826" s="1" t="str">
        <f t="shared" si="302"/>
        <v>Underpaid</v>
      </c>
      <c r="V4826" s="1" t="str">
        <f>_xlfn.XLOOKUP(C4826,Payers!$A$2:$A$9,Payers!$B$2:$B$9)</f>
        <v>Sunshine Medicare Advantage</v>
      </c>
      <c r="W4826" s="1" t="str">
        <f t="shared" si="303"/>
        <v>2026-04</v>
      </c>
    </row>
    <row r="4827" spans="1:23">
      <c r="A4827" s="1" t="s">
        <v>7501</v>
      </c>
      <c r="B4827" s="1" t="s">
        <v>2629</v>
      </c>
      <c r="C4827" s="1" t="s">
        <v>18</v>
      </c>
      <c r="D4827" s="1" t="s">
        <v>26</v>
      </c>
      <c r="E4827" s="1" t="s">
        <v>185</v>
      </c>
      <c r="F4827">
        <v>1</v>
      </c>
      <c r="G4827" s="2">
        <v>46176</v>
      </c>
      <c r="H4827" s="2">
        <v>46177</v>
      </c>
      <c r="I4827">
        <v>1163.25</v>
      </c>
      <c r="J4827">
        <v>437.24</v>
      </c>
      <c r="K4827">
        <v>349.79</v>
      </c>
      <c r="L4827">
        <v>87.45</v>
      </c>
      <c r="M4827" s="1" t="s">
        <v>21</v>
      </c>
      <c r="N4827" s="1" t="s">
        <v>22</v>
      </c>
      <c r="O4827" s="2">
        <v>46231</v>
      </c>
      <c r="P4827" s="2">
        <v>46231</v>
      </c>
      <c r="Q4827">
        <f>_xlfn.XLOOKUP(E4827,CPT!$A$2:$A$13,CPT!$D$2:$D$13)</f>
        <v>1150</v>
      </c>
      <c r="R4827" s="1">
        <f>_xlfn.XLOOKUP(C4827,Contract!$A$2:$A$9,Contract!$B$2:$B$9)</f>
        <v>0.38</v>
      </c>
      <c r="S4827" s="1">
        <f t="shared" si="300"/>
        <v>437</v>
      </c>
      <c r="T4827" s="1">
        <f t="shared" si="301"/>
        <v>-0.24000000000000909</v>
      </c>
      <c r="U4827" s="1" t="str">
        <f t="shared" si="302"/>
        <v>OK</v>
      </c>
      <c r="V4827" s="1" t="str">
        <f>_xlfn.XLOOKUP(C4827,Payers!$A$2:$A$9,Payers!$B$2:$B$9)</f>
        <v>Sunshine Medicare Advantage</v>
      </c>
      <c r="W4827" s="1" t="str">
        <f t="shared" si="303"/>
        <v>2026-06</v>
      </c>
    </row>
    <row r="4828" spans="1:23">
      <c r="A4828" s="1" t="s">
        <v>7502</v>
      </c>
      <c r="B4828" s="1" t="s">
        <v>5702</v>
      </c>
      <c r="C4828" s="1" t="s">
        <v>18</v>
      </c>
      <c r="D4828" s="1" t="s">
        <v>30</v>
      </c>
      <c r="E4828" s="1" t="s">
        <v>20</v>
      </c>
      <c r="F4828">
        <v>1</v>
      </c>
      <c r="G4828" s="2">
        <v>46019</v>
      </c>
      <c r="H4828" s="2">
        <v>46020</v>
      </c>
      <c r="I4828">
        <v>142.46</v>
      </c>
      <c r="M4828" s="1" t="s">
        <v>32</v>
      </c>
      <c r="N4828" s="1" t="s">
        <v>49</v>
      </c>
      <c r="O4828" s="2">
        <v>46088</v>
      </c>
      <c r="P4828" s="2"/>
      <c r="Q4828">
        <f>_xlfn.XLOOKUP(E4828,CPT!$A$2:$A$13,CPT!$D$2:$D$13)</f>
        <v>145</v>
      </c>
      <c r="R4828" s="1">
        <f>_xlfn.XLOOKUP(C4828,Contract!$A$2:$A$9,Contract!$B$2:$B$9)</f>
        <v>0.38</v>
      </c>
      <c r="S4828" s="1">
        <f t="shared" si="300"/>
        <v>55.1</v>
      </c>
      <c r="T4828" s="1" t="str">
        <f t="shared" si="301"/>
        <v/>
      </c>
      <c r="U4828" s="1" t="str">
        <f t="shared" si="302"/>
        <v/>
      </c>
      <c r="V4828" s="1" t="str">
        <f>_xlfn.XLOOKUP(C4828,Payers!$A$2:$A$9,Payers!$B$2:$B$9)</f>
        <v>Sunshine Medicare Advantage</v>
      </c>
      <c r="W4828" s="1" t="str">
        <f t="shared" si="303"/>
        <v>2025-12</v>
      </c>
    </row>
    <row r="4829" spans="1:23">
      <c r="A4829" s="1" t="s">
        <v>7503</v>
      </c>
      <c r="B4829" s="1" t="s">
        <v>7504</v>
      </c>
      <c r="C4829" s="1" t="s">
        <v>25</v>
      </c>
      <c r="D4829" s="1" t="s">
        <v>26</v>
      </c>
      <c r="E4829" s="1" t="s">
        <v>57</v>
      </c>
      <c r="F4829">
        <v>1</v>
      </c>
      <c r="G4829" s="2">
        <v>46029</v>
      </c>
      <c r="H4829" s="2">
        <v>46037</v>
      </c>
      <c r="I4829">
        <v>212.97</v>
      </c>
      <c r="J4829">
        <v>86.59</v>
      </c>
      <c r="K4829">
        <v>69.27</v>
      </c>
      <c r="L4829">
        <v>17.32</v>
      </c>
      <c r="M4829" s="1" t="s">
        <v>21</v>
      </c>
      <c r="N4829" s="1" t="s">
        <v>22</v>
      </c>
      <c r="O4829" s="2">
        <v>46053</v>
      </c>
      <c r="P4829" s="2">
        <v>46053</v>
      </c>
      <c r="Q4829">
        <f>_xlfn.XLOOKUP(E4829,CPT!$A$2:$A$13,CPT!$D$2:$D$13)</f>
        <v>210</v>
      </c>
      <c r="R4829" s="1">
        <f>_xlfn.XLOOKUP(C4829,Contract!$A$2:$A$9,Contract!$B$2:$B$9)</f>
        <v>0.36</v>
      </c>
      <c r="S4829" s="1">
        <f t="shared" si="300"/>
        <v>75.599999999999994</v>
      </c>
      <c r="T4829" s="1">
        <f t="shared" si="301"/>
        <v>-10.990000000000009</v>
      </c>
      <c r="U4829" s="1" t="str">
        <f t="shared" si="302"/>
        <v>OK</v>
      </c>
      <c r="V4829" s="1" t="str">
        <f>_xlfn.XLOOKUP(C4829,Payers!$A$2:$A$9,Payers!$B$2:$B$9)</f>
        <v>Medicare Part B</v>
      </c>
      <c r="W4829" s="1" t="str">
        <f t="shared" si="303"/>
        <v>2026-01</v>
      </c>
    </row>
    <row r="4830" spans="1:23">
      <c r="A4830" s="1" t="s">
        <v>7505</v>
      </c>
      <c r="B4830" s="1" t="s">
        <v>7506</v>
      </c>
      <c r="C4830" s="1" t="s">
        <v>60</v>
      </c>
      <c r="D4830" s="1" t="s">
        <v>37</v>
      </c>
      <c r="E4830" s="1" t="s">
        <v>38</v>
      </c>
      <c r="F4830">
        <v>10</v>
      </c>
      <c r="G4830" s="2">
        <v>46093</v>
      </c>
      <c r="H4830" s="2">
        <v>46097</v>
      </c>
      <c r="I4830">
        <v>14898.96</v>
      </c>
      <c r="J4830">
        <v>7423.33</v>
      </c>
      <c r="K4830">
        <v>7423.33</v>
      </c>
      <c r="L4830">
        <v>0</v>
      </c>
      <c r="M4830" s="1" t="s">
        <v>21</v>
      </c>
      <c r="N4830" s="1" t="s">
        <v>22</v>
      </c>
      <c r="O4830" s="2">
        <v>46136</v>
      </c>
      <c r="P4830" s="2">
        <v>46136</v>
      </c>
      <c r="Q4830">
        <f>_xlfn.XLOOKUP(E4830,CPT!$A$2:$A$13,CPT!$D$2:$D$13)</f>
        <v>1450</v>
      </c>
      <c r="R4830" s="1">
        <f>_xlfn.XLOOKUP(C4830,Contract!$A$2:$A$9,Contract!$B$2:$B$9)</f>
        <v>0.45</v>
      </c>
      <c r="S4830" s="1">
        <f t="shared" si="300"/>
        <v>6525</v>
      </c>
      <c r="T4830" s="1">
        <f t="shared" si="301"/>
        <v>-898.32999999999993</v>
      </c>
      <c r="U4830" s="1" t="str">
        <f t="shared" si="302"/>
        <v>OK</v>
      </c>
      <c r="V4830" s="1" t="str">
        <f>_xlfn.XLOOKUP(C4830,Payers!$A$2:$A$9,Payers!$B$2:$B$9)</f>
        <v>Blue Horizon Commercial</v>
      </c>
      <c r="W4830" s="1" t="str">
        <f t="shared" si="303"/>
        <v>2026-03</v>
      </c>
    </row>
    <row r="4831" spans="1:23">
      <c r="A4831" s="1" t="s">
        <v>7507</v>
      </c>
      <c r="B4831" s="1" t="s">
        <v>7508</v>
      </c>
      <c r="C4831" s="1" t="s">
        <v>52</v>
      </c>
      <c r="D4831" s="1" t="s">
        <v>26</v>
      </c>
      <c r="E4831" s="1" t="s">
        <v>44</v>
      </c>
      <c r="F4831">
        <v>1</v>
      </c>
      <c r="G4831" s="2">
        <v>46253</v>
      </c>
      <c r="H4831" s="2">
        <v>46254</v>
      </c>
      <c r="I4831">
        <v>4729.92</v>
      </c>
      <c r="J4831">
        <v>2372.84</v>
      </c>
      <c r="K4831">
        <v>2372.84</v>
      </c>
      <c r="L4831">
        <v>0</v>
      </c>
      <c r="M4831" s="1" t="s">
        <v>21</v>
      </c>
      <c r="N4831" s="1" t="s">
        <v>22</v>
      </c>
      <c r="O4831" s="2">
        <v>46268</v>
      </c>
      <c r="P4831" s="2">
        <v>46268</v>
      </c>
      <c r="Q4831">
        <f>_xlfn.XLOOKUP(E4831,CPT!$A$2:$A$13,CPT!$D$2:$D$13)</f>
        <v>4800</v>
      </c>
      <c r="R4831" s="1">
        <f>_xlfn.XLOOKUP(C4831,Contract!$A$2:$A$9,Contract!$B$2:$B$9)</f>
        <v>0.47</v>
      </c>
      <c r="S4831" s="1">
        <f t="shared" si="300"/>
        <v>2256</v>
      </c>
      <c r="T4831" s="1">
        <f t="shared" si="301"/>
        <v>-116.84000000000015</v>
      </c>
      <c r="U4831" s="1" t="str">
        <f t="shared" si="302"/>
        <v>OK</v>
      </c>
      <c r="V4831" s="1" t="str">
        <f>_xlfn.XLOOKUP(C4831,Payers!$A$2:$A$9,Payers!$B$2:$B$9)</f>
        <v>Keystone Commercial PPO</v>
      </c>
      <c r="W4831" s="1" t="str">
        <f t="shared" si="303"/>
        <v>2026-08</v>
      </c>
    </row>
    <row r="4832" spans="1:23">
      <c r="A4832" s="1" t="s">
        <v>7509</v>
      </c>
      <c r="B4832" s="1" t="s">
        <v>7510</v>
      </c>
      <c r="C4832" s="1" t="s">
        <v>47</v>
      </c>
      <c r="D4832" s="1" t="s">
        <v>37</v>
      </c>
      <c r="E4832" s="1" t="s">
        <v>48</v>
      </c>
      <c r="F4832">
        <v>1</v>
      </c>
      <c r="G4832" s="2">
        <v>46286</v>
      </c>
      <c r="H4832" s="2">
        <v>46288</v>
      </c>
      <c r="I4832">
        <v>429.15</v>
      </c>
      <c r="M4832" s="1" t="s">
        <v>69</v>
      </c>
      <c r="N4832" s="1" t="s">
        <v>22</v>
      </c>
      <c r="O4832" s="2"/>
      <c r="P4832" s="2"/>
      <c r="Q4832">
        <f>_xlfn.XLOOKUP(E4832,CPT!$A$2:$A$13,CPT!$D$2:$D$13)</f>
        <v>420</v>
      </c>
      <c r="R4832" s="1">
        <f>_xlfn.XLOOKUP(C4832,Contract!$A$2:$A$9,Contract!$B$2:$B$9)</f>
        <v>0.28000000000000003</v>
      </c>
      <c r="S4832" s="1">
        <f t="shared" si="300"/>
        <v>117.6</v>
      </c>
      <c r="T4832" s="1" t="str">
        <f t="shared" si="301"/>
        <v/>
      </c>
      <c r="U4832" s="1" t="str">
        <f t="shared" si="302"/>
        <v/>
      </c>
      <c r="V4832" s="1" t="str">
        <f>_xlfn.XLOOKUP(C4832,Payers!$A$2:$A$9,Payers!$B$2:$B$9)</f>
        <v>Coastal Medicaid MCO</v>
      </c>
      <c r="W4832" s="1" t="str">
        <f t="shared" si="303"/>
        <v>2026-09</v>
      </c>
    </row>
    <row r="4833" spans="1:23">
      <c r="A4833" s="1" t="s">
        <v>7511</v>
      </c>
      <c r="B4833" s="1" t="s">
        <v>6059</v>
      </c>
      <c r="C4833" s="1" t="s">
        <v>36</v>
      </c>
      <c r="D4833" s="1" t="s">
        <v>19</v>
      </c>
      <c r="E4833" s="1" t="s">
        <v>20</v>
      </c>
      <c r="F4833">
        <v>1</v>
      </c>
      <c r="G4833" s="2">
        <v>46026</v>
      </c>
      <c r="H4833" s="2">
        <v>46027</v>
      </c>
      <c r="I4833">
        <v>146.29</v>
      </c>
      <c r="J4833">
        <v>43.53</v>
      </c>
      <c r="K4833">
        <v>34.82</v>
      </c>
      <c r="L4833">
        <v>8.7100000000000009</v>
      </c>
      <c r="M4833" s="1" t="s">
        <v>21</v>
      </c>
      <c r="N4833" s="1" t="s">
        <v>22</v>
      </c>
      <c r="O4833" s="2">
        <v>46070</v>
      </c>
      <c r="P4833" s="2">
        <v>46070</v>
      </c>
      <c r="Q4833">
        <f>_xlfn.XLOOKUP(E4833,CPT!$A$2:$A$13,CPT!$D$2:$D$13)</f>
        <v>145</v>
      </c>
      <c r="R4833" s="1">
        <f>_xlfn.XLOOKUP(C4833,Contract!$A$2:$A$9,Contract!$B$2:$B$9)</f>
        <v>0.27</v>
      </c>
      <c r="S4833" s="1">
        <f t="shared" si="300"/>
        <v>39.15</v>
      </c>
      <c r="T4833" s="1">
        <f t="shared" si="301"/>
        <v>-4.3800000000000026</v>
      </c>
      <c r="U4833" s="1" t="str">
        <f t="shared" si="302"/>
        <v>OK</v>
      </c>
      <c r="V4833" s="1" t="str">
        <f>_xlfn.XLOOKUP(C4833,Payers!$A$2:$A$9,Payers!$B$2:$B$9)</f>
        <v>Florida Medicaid</v>
      </c>
      <c r="W4833" s="1" t="str">
        <f t="shared" si="303"/>
        <v>2026-01</v>
      </c>
    </row>
    <row r="4834" spans="1:23">
      <c r="A4834" s="1" t="s">
        <v>7512</v>
      </c>
      <c r="B4834" s="1" t="s">
        <v>6337</v>
      </c>
      <c r="C4834" s="1" t="s">
        <v>76</v>
      </c>
      <c r="D4834" s="1" t="s">
        <v>30</v>
      </c>
      <c r="E4834" s="1" t="s">
        <v>20</v>
      </c>
      <c r="F4834">
        <v>1</v>
      </c>
      <c r="G4834" s="2">
        <v>45941</v>
      </c>
      <c r="H4834" s="2">
        <v>45949</v>
      </c>
      <c r="I4834">
        <v>142.38999999999999</v>
      </c>
      <c r="J4834">
        <v>63.39</v>
      </c>
      <c r="K4834">
        <v>63.39</v>
      </c>
      <c r="L4834">
        <v>0</v>
      </c>
      <c r="M4834" s="1" t="s">
        <v>21</v>
      </c>
      <c r="N4834" s="1" t="s">
        <v>22</v>
      </c>
      <c r="O4834" s="2">
        <v>45991</v>
      </c>
      <c r="P4834" s="2">
        <v>45991</v>
      </c>
      <c r="Q4834">
        <f>_xlfn.XLOOKUP(E4834,CPT!$A$2:$A$13,CPT!$D$2:$D$13)</f>
        <v>145</v>
      </c>
      <c r="R4834" s="1">
        <f>_xlfn.XLOOKUP(C4834,Contract!$A$2:$A$9,Contract!$B$2:$B$9)</f>
        <v>0.43</v>
      </c>
      <c r="S4834" s="1">
        <f t="shared" si="300"/>
        <v>62.35</v>
      </c>
      <c r="T4834" s="1">
        <f t="shared" si="301"/>
        <v>-1.0399999999999991</v>
      </c>
      <c r="U4834" s="1" t="str">
        <f t="shared" si="302"/>
        <v>OK</v>
      </c>
      <c r="V4834" s="1" t="str">
        <f>_xlfn.XLOOKUP(C4834,Payers!$A$2:$A$9,Payers!$B$2:$B$9)</f>
        <v>Summit Health Commercial</v>
      </c>
      <c r="W4834" s="1" t="str">
        <f t="shared" si="303"/>
        <v>2025-10</v>
      </c>
    </row>
    <row r="4835" spans="1:23">
      <c r="A4835" s="1" t="s">
        <v>7513</v>
      </c>
      <c r="B4835" s="1" t="s">
        <v>6422</v>
      </c>
      <c r="C4835" s="1" t="s">
        <v>18</v>
      </c>
      <c r="D4835" s="1" t="s">
        <v>19</v>
      </c>
      <c r="E4835" s="1" t="s">
        <v>57</v>
      </c>
      <c r="F4835">
        <v>1</v>
      </c>
      <c r="G4835" s="2">
        <v>45935</v>
      </c>
      <c r="H4835" s="2">
        <v>45942</v>
      </c>
      <c r="I4835">
        <v>205.8</v>
      </c>
      <c r="M4835" s="1" t="s">
        <v>32</v>
      </c>
      <c r="N4835" s="1" t="s">
        <v>33</v>
      </c>
      <c r="O4835" s="2">
        <v>46014</v>
      </c>
      <c r="P4835" s="2"/>
      <c r="Q4835">
        <f>_xlfn.XLOOKUP(E4835,CPT!$A$2:$A$13,CPT!$D$2:$D$13)</f>
        <v>210</v>
      </c>
      <c r="R4835" s="1">
        <f>_xlfn.XLOOKUP(C4835,Contract!$A$2:$A$9,Contract!$B$2:$B$9)</f>
        <v>0.38</v>
      </c>
      <c r="S4835" s="1">
        <f t="shared" si="300"/>
        <v>79.8</v>
      </c>
      <c r="T4835" s="1" t="str">
        <f t="shared" si="301"/>
        <v/>
      </c>
      <c r="U4835" s="1" t="str">
        <f t="shared" si="302"/>
        <v/>
      </c>
      <c r="V4835" s="1" t="str">
        <f>_xlfn.XLOOKUP(C4835,Payers!$A$2:$A$9,Payers!$B$2:$B$9)</f>
        <v>Sunshine Medicare Advantage</v>
      </c>
      <c r="W4835" s="1" t="str">
        <f t="shared" si="303"/>
        <v>2025-10</v>
      </c>
    </row>
    <row r="4836" spans="1:23">
      <c r="A4836" s="1" t="s">
        <v>7514</v>
      </c>
      <c r="B4836" s="1" t="s">
        <v>4559</v>
      </c>
      <c r="C4836" s="1" t="s">
        <v>52</v>
      </c>
      <c r="D4836" s="1" t="s">
        <v>37</v>
      </c>
      <c r="E4836" s="1" t="s">
        <v>48</v>
      </c>
      <c r="F4836">
        <v>1</v>
      </c>
      <c r="G4836" s="2">
        <v>46135</v>
      </c>
      <c r="H4836" s="2">
        <v>46136</v>
      </c>
      <c r="I4836">
        <v>415.32</v>
      </c>
      <c r="J4836">
        <v>202.11</v>
      </c>
      <c r="K4836">
        <v>181.9</v>
      </c>
      <c r="L4836">
        <v>20.21</v>
      </c>
      <c r="M4836" s="1" t="s">
        <v>21</v>
      </c>
      <c r="N4836" s="1" t="s">
        <v>22</v>
      </c>
      <c r="O4836" s="2">
        <v>46189</v>
      </c>
      <c r="P4836" s="2">
        <v>46189</v>
      </c>
      <c r="Q4836">
        <f>_xlfn.XLOOKUP(E4836,CPT!$A$2:$A$13,CPT!$D$2:$D$13)</f>
        <v>420</v>
      </c>
      <c r="R4836" s="1">
        <f>_xlfn.XLOOKUP(C4836,Contract!$A$2:$A$9,Contract!$B$2:$B$9)</f>
        <v>0.47</v>
      </c>
      <c r="S4836" s="1">
        <f t="shared" si="300"/>
        <v>197.4</v>
      </c>
      <c r="T4836" s="1">
        <f t="shared" si="301"/>
        <v>-4.710000000000008</v>
      </c>
      <c r="U4836" s="1" t="str">
        <f t="shared" si="302"/>
        <v>OK</v>
      </c>
      <c r="V4836" s="1" t="str">
        <f>_xlfn.XLOOKUP(C4836,Payers!$A$2:$A$9,Payers!$B$2:$B$9)</f>
        <v>Keystone Commercial PPO</v>
      </c>
      <c r="W4836" s="1" t="str">
        <f t="shared" si="303"/>
        <v>2026-04</v>
      </c>
    </row>
    <row r="4837" spans="1:23">
      <c r="A4837" s="1" t="s">
        <v>7515</v>
      </c>
      <c r="B4837" s="1" t="s">
        <v>314</v>
      </c>
      <c r="C4837" s="1" t="s">
        <v>60</v>
      </c>
      <c r="D4837" s="1" t="s">
        <v>26</v>
      </c>
      <c r="E4837" s="1" t="s">
        <v>88</v>
      </c>
      <c r="F4837">
        <v>1</v>
      </c>
      <c r="G4837" s="2">
        <v>46266</v>
      </c>
      <c r="H4837" s="2">
        <v>46268</v>
      </c>
      <c r="I4837">
        <v>264.23</v>
      </c>
      <c r="M4837" s="1" t="s">
        <v>69</v>
      </c>
      <c r="N4837" s="1" t="s">
        <v>22</v>
      </c>
      <c r="O4837" s="2"/>
      <c r="P4837" s="2"/>
      <c r="Q4837">
        <f>_xlfn.XLOOKUP(E4837,CPT!$A$2:$A$13,CPT!$D$2:$D$13)</f>
        <v>260</v>
      </c>
      <c r="R4837" s="1">
        <f>_xlfn.XLOOKUP(C4837,Contract!$A$2:$A$9,Contract!$B$2:$B$9)</f>
        <v>0.45</v>
      </c>
      <c r="S4837" s="1">
        <f t="shared" si="300"/>
        <v>117</v>
      </c>
      <c r="T4837" s="1" t="str">
        <f t="shared" si="301"/>
        <v/>
      </c>
      <c r="U4837" s="1" t="str">
        <f t="shared" si="302"/>
        <v/>
      </c>
      <c r="V4837" s="1" t="str">
        <f>_xlfn.XLOOKUP(C4837,Payers!$A$2:$A$9,Payers!$B$2:$B$9)</f>
        <v>Blue Horizon Commercial</v>
      </c>
      <c r="W4837" s="1" t="str">
        <f t="shared" si="303"/>
        <v>2026-09</v>
      </c>
    </row>
    <row r="4838" spans="1:23">
      <c r="A4838" s="1" t="s">
        <v>7516</v>
      </c>
      <c r="B4838" s="1" t="s">
        <v>2430</v>
      </c>
      <c r="C4838" s="1" t="s">
        <v>47</v>
      </c>
      <c r="D4838" s="1" t="s">
        <v>37</v>
      </c>
      <c r="E4838" s="1" t="s">
        <v>38</v>
      </c>
      <c r="F4838">
        <v>5</v>
      </c>
      <c r="G4838" s="2">
        <v>46138</v>
      </c>
      <c r="H4838" s="2">
        <v>46140</v>
      </c>
      <c r="I4838">
        <v>7348.78</v>
      </c>
      <c r="J4838">
        <v>2078.46</v>
      </c>
      <c r="K4838">
        <v>2078.46</v>
      </c>
      <c r="L4838">
        <v>0</v>
      </c>
      <c r="M4838" s="1" t="s">
        <v>21</v>
      </c>
      <c r="N4838" s="1" t="s">
        <v>22</v>
      </c>
      <c r="O4838" s="2">
        <v>46223</v>
      </c>
      <c r="P4838" s="2">
        <v>46223</v>
      </c>
      <c r="Q4838">
        <f>_xlfn.XLOOKUP(E4838,CPT!$A$2:$A$13,CPT!$D$2:$D$13)</f>
        <v>1450</v>
      </c>
      <c r="R4838" s="1">
        <f>_xlfn.XLOOKUP(C4838,Contract!$A$2:$A$9,Contract!$B$2:$B$9)</f>
        <v>0.28000000000000003</v>
      </c>
      <c r="S4838" s="1">
        <f t="shared" si="300"/>
        <v>2030</v>
      </c>
      <c r="T4838" s="1">
        <f t="shared" si="301"/>
        <v>-48.460000000000036</v>
      </c>
      <c r="U4838" s="1" t="str">
        <f t="shared" si="302"/>
        <v>OK</v>
      </c>
      <c r="V4838" s="1" t="str">
        <f>_xlfn.XLOOKUP(C4838,Payers!$A$2:$A$9,Payers!$B$2:$B$9)</f>
        <v>Coastal Medicaid MCO</v>
      </c>
      <c r="W4838" s="1" t="str">
        <f t="shared" si="303"/>
        <v>2026-04</v>
      </c>
    </row>
    <row r="4839" spans="1:23">
      <c r="A4839" s="1" t="s">
        <v>7517</v>
      </c>
      <c r="B4839" s="1" t="s">
        <v>7518</v>
      </c>
      <c r="C4839" s="1" t="s">
        <v>76</v>
      </c>
      <c r="D4839" s="1" t="s">
        <v>26</v>
      </c>
      <c r="E4839" s="1" t="s">
        <v>41</v>
      </c>
      <c r="F4839">
        <v>1</v>
      </c>
      <c r="G4839" s="2">
        <v>46069</v>
      </c>
      <c r="H4839" s="2">
        <v>46076</v>
      </c>
      <c r="I4839">
        <v>38.31</v>
      </c>
      <c r="J4839">
        <v>17.850000000000001</v>
      </c>
      <c r="K4839">
        <v>16.059999999999999</v>
      </c>
      <c r="L4839">
        <v>1.79</v>
      </c>
      <c r="M4839" s="1" t="s">
        <v>21</v>
      </c>
      <c r="N4839" s="1" t="s">
        <v>22</v>
      </c>
      <c r="O4839" s="2">
        <v>46104</v>
      </c>
      <c r="P4839" s="2">
        <v>46104</v>
      </c>
      <c r="Q4839">
        <f>_xlfn.XLOOKUP(E4839,CPT!$A$2:$A$13,CPT!$D$2:$D$13)</f>
        <v>38</v>
      </c>
      <c r="R4839" s="1">
        <f>_xlfn.XLOOKUP(C4839,Contract!$A$2:$A$9,Contract!$B$2:$B$9)</f>
        <v>0.43</v>
      </c>
      <c r="S4839" s="1">
        <f t="shared" si="300"/>
        <v>16.34</v>
      </c>
      <c r="T4839" s="1">
        <f t="shared" si="301"/>
        <v>-1.5100000000000016</v>
      </c>
      <c r="U4839" s="1" t="str">
        <f t="shared" si="302"/>
        <v>OK</v>
      </c>
      <c r="V4839" s="1" t="str">
        <f>_xlfn.XLOOKUP(C4839,Payers!$A$2:$A$9,Payers!$B$2:$B$9)</f>
        <v>Summit Health Commercial</v>
      </c>
      <c r="W4839" s="1" t="str">
        <f t="shared" si="303"/>
        <v>2026-02</v>
      </c>
    </row>
    <row r="4840" spans="1:23">
      <c r="A4840" s="1" t="s">
        <v>7519</v>
      </c>
      <c r="B4840" s="1" t="s">
        <v>1860</v>
      </c>
      <c r="C4840" s="1" t="s">
        <v>36</v>
      </c>
      <c r="D4840" s="1" t="s">
        <v>26</v>
      </c>
      <c r="E4840" s="1" t="s">
        <v>185</v>
      </c>
      <c r="F4840">
        <v>1</v>
      </c>
      <c r="G4840" s="2">
        <v>46133</v>
      </c>
      <c r="H4840" s="2">
        <v>46140</v>
      </c>
      <c r="I4840">
        <v>1169.2</v>
      </c>
      <c r="J4840">
        <v>296.16000000000003</v>
      </c>
      <c r="K4840">
        <v>296.16000000000003</v>
      </c>
      <c r="L4840">
        <v>0</v>
      </c>
      <c r="M4840" s="1" t="s">
        <v>21</v>
      </c>
      <c r="N4840" s="1" t="s">
        <v>22</v>
      </c>
      <c r="O4840" s="2">
        <v>46171</v>
      </c>
      <c r="P4840" s="2">
        <v>46171</v>
      </c>
      <c r="Q4840">
        <f>_xlfn.XLOOKUP(E4840,CPT!$A$2:$A$13,CPT!$D$2:$D$13)</f>
        <v>1150</v>
      </c>
      <c r="R4840" s="1">
        <f>_xlfn.XLOOKUP(C4840,Contract!$A$2:$A$9,Contract!$B$2:$B$9)</f>
        <v>0.27</v>
      </c>
      <c r="S4840" s="1">
        <f t="shared" si="300"/>
        <v>310.5</v>
      </c>
      <c r="T4840" s="1">
        <f t="shared" si="301"/>
        <v>14.339999999999975</v>
      </c>
      <c r="U4840" s="1" t="str">
        <f t="shared" si="302"/>
        <v>OK</v>
      </c>
      <c r="V4840" s="1" t="str">
        <f>_xlfn.XLOOKUP(C4840,Payers!$A$2:$A$9,Payers!$B$2:$B$9)</f>
        <v>Florida Medicaid</v>
      </c>
      <c r="W4840" s="1" t="str">
        <f t="shared" si="303"/>
        <v>2026-04</v>
      </c>
    </row>
    <row r="4841" spans="1:23">
      <c r="A4841" s="1" t="s">
        <v>7520</v>
      </c>
      <c r="B4841" s="1" t="s">
        <v>1400</v>
      </c>
      <c r="C4841" s="1" t="s">
        <v>60</v>
      </c>
      <c r="D4841" s="1" t="s">
        <v>19</v>
      </c>
      <c r="E4841" s="1" t="s">
        <v>41</v>
      </c>
      <c r="F4841">
        <v>1</v>
      </c>
      <c r="G4841" s="2">
        <v>46231</v>
      </c>
      <c r="H4841" s="2">
        <v>46232</v>
      </c>
      <c r="I4841">
        <v>37.07</v>
      </c>
      <c r="J4841">
        <v>16.579999999999998</v>
      </c>
      <c r="K4841">
        <v>16.579999999999998</v>
      </c>
      <c r="L4841">
        <v>0</v>
      </c>
      <c r="M4841" s="1" t="s">
        <v>21</v>
      </c>
      <c r="N4841" s="1" t="s">
        <v>22</v>
      </c>
      <c r="O4841" s="2">
        <v>46271</v>
      </c>
      <c r="P4841" s="2">
        <v>46271</v>
      </c>
      <c r="Q4841">
        <f>_xlfn.XLOOKUP(E4841,CPT!$A$2:$A$13,CPT!$D$2:$D$13)</f>
        <v>38</v>
      </c>
      <c r="R4841" s="1">
        <f>_xlfn.XLOOKUP(C4841,Contract!$A$2:$A$9,Contract!$B$2:$B$9)</f>
        <v>0.45</v>
      </c>
      <c r="S4841" s="1">
        <f t="shared" si="300"/>
        <v>17.100000000000001</v>
      </c>
      <c r="T4841" s="1">
        <f t="shared" si="301"/>
        <v>0.52000000000000313</v>
      </c>
      <c r="U4841" s="1" t="str">
        <f t="shared" si="302"/>
        <v>OK</v>
      </c>
      <c r="V4841" s="1" t="str">
        <f>_xlfn.XLOOKUP(C4841,Payers!$A$2:$A$9,Payers!$B$2:$B$9)</f>
        <v>Blue Horizon Commercial</v>
      </c>
      <c r="W4841" s="1" t="str">
        <f t="shared" si="303"/>
        <v>2026-07</v>
      </c>
    </row>
    <row r="4842" spans="1:23">
      <c r="A4842" s="1" t="s">
        <v>7521</v>
      </c>
      <c r="B4842" s="1" t="s">
        <v>4021</v>
      </c>
      <c r="C4842" s="1" t="s">
        <v>76</v>
      </c>
      <c r="D4842" s="1" t="s">
        <v>37</v>
      </c>
      <c r="E4842" s="1" t="s">
        <v>38</v>
      </c>
      <c r="F4842">
        <v>10</v>
      </c>
      <c r="G4842" s="2">
        <v>46204</v>
      </c>
      <c r="H4842" s="2">
        <v>46211</v>
      </c>
      <c r="I4842">
        <v>14448.39</v>
      </c>
      <c r="J4842">
        <v>5437.36</v>
      </c>
      <c r="K4842">
        <v>4893.62</v>
      </c>
      <c r="L4842">
        <v>543.74</v>
      </c>
      <c r="M4842" s="1" t="s">
        <v>21</v>
      </c>
      <c r="N4842" s="1" t="s">
        <v>22</v>
      </c>
      <c r="O4842" s="2">
        <v>46243</v>
      </c>
      <c r="P4842" s="2">
        <v>46243</v>
      </c>
      <c r="Q4842">
        <f>_xlfn.XLOOKUP(E4842,CPT!$A$2:$A$13,CPT!$D$2:$D$13)</f>
        <v>1450</v>
      </c>
      <c r="R4842" s="1">
        <f>_xlfn.XLOOKUP(C4842,Contract!$A$2:$A$9,Contract!$B$2:$B$9)</f>
        <v>0.43</v>
      </c>
      <c r="S4842" s="1">
        <f t="shared" si="300"/>
        <v>6235</v>
      </c>
      <c r="T4842" s="1">
        <f t="shared" si="301"/>
        <v>797.64000000000033</v>
      </c>
      <c r="U4842" s="1" t="str">
        <f t="shared" si="302"/>
        <v>Underpaid</v>
      </c>
      <c r="V4842" s="1" t="str">
        <f>_xlfn.XLOOKUP(C4842,Payers!$A$2:$A$9,Payers!$B$2:$B$9)</f>
        <v>Summit Health Commercial</v>
      </c>
      <c r="W4842" s="1" t="str">
        <f t="shared" si="303"/>
        <v>2026-07</v>
      </c>
    </row>
    <row r="4843" spans="1:23">
      <c r="A4843" s="1" t="s">
        <v>7522</v>
      </c>
      <c r="B4843" s="1" t="s">
        <v>7523</v>
      </c>
      <c r="C4843" s="1" t="s">
        <v>47</v>
      </c>
      <c r="D4843" s="1" t="s">
        <v>26</v>
      </c>
      <c r="E4843" s="1" t="s">
        <v>41</v>
      </c>
      <c r="F4843">
        <v>1</v>
      </c>
      <c r="G4843" s="2">
        <v>46257</v>
      </c>
      <c r="H4843" s="2">
        <v>46267</v>
      </c>
      <c r="I4843">
        <v>38.96</v>
      </c>
      <c r="M4843" s="1" t="s">
        <v>69</v>
      </c>
      <c r="N4843" s="1" t="s">
        <v>22</v>
      </c>
      <c r="O4843" s="2"/>
      <c r="P4843" s="2"/>
      <c r="Q4843">
        <f>_xlfn.XLOOKUP(E4843,CPT!$A$2:$A$13,CPT!$D$2:$D$13)</f>
        <v>38</v>
      </c>
      <c r="R4843" s="1">
        <f>_xlfn.XLOOKUP(C4843,Contract!$A$2:$A$9,Contract!$B$2:$B$9)</f>
        <v>0.28000000000000003</v>
      </c>
      <c r="S4843" s="1">
        <f t="shared" si="300"/>
        <v>10.64</v>
      </c>
      <c r="T4843" s="1" t="str">
        <f t="shared" si="301"/>
        <v/>
      </c>
      <c r="U4843" s="1" t="str">
        <f t="shared" si="302"/>
        <v/>
      </c>
      <c r="V4843" s="1" t="str">
        <f>_xlfn.XLOOKUP(C4843,Payers!$A$2:$A$9,Payers!$B$2:$B$9)</f>
        <v>Coastal Medicaid MCO</v>
      </c>
      <c r="W4843" s="1" t="str">
        <f t="shared" si="303"/>
        <v>2026-08</v>
      </c>
    </row>
    <row r="4844" spans="1:23">
      <c r="A4844" s="1" t="s">
        <v>7524</v>
      </c>
      <c r="B4844" s="1" t="s">
        <v>7525</v>
      </c>
      <c r="C4844" s="1" t="s">
        <v>36</v>
      </c>
      <c r="D4844" s="1" t="s">
        <v>26</v>
      </c>
      <c r="E4844" s="1" t="s">
        <v>57</v>
      </c>
      <c r="F4844">
        <v>1</v>
      </c>
      <c r="G4844" s="2">
        <v>45936</v>
      </c>
      <c r="H4844" s="2">
        <v>45943</v>
      </c>
      <c r="I4844">
        <v>214.08</v>
      </c>
      <c r="J4844">
        <v>64.290000000000006</v>
      </c>
      <c r="K4844">
        <v>51.43</v>
      </c>
      <c r="L4844">
        <v>12.86</v>
      </c>
      <c r="M4844" s="1" t="s">
        <v>21</v>
      </c>
      <c r="N4844" s="1" t="s">
        <v>22</v>
      </c>
      <c r="O4844" s="2">
        <v>45988</v>
      </c>
      <c r="P4844" s="2">
        <v>45988</v>
      </c>
      <c r="Q4844">
        <f>_xlfn.XLOOKUP(E4844,CPT!$A$2:$A$13,CPT!$D$2:$D$13)</f>
        <v>210</v>
      </c>
      <c r="R4844" s="1">
        <f>_xlfn.XLOOKUP(C4844,Contract!$A$2:$A$9,Contract!$B$2:$B$9)</f>
        <v>0.27</v>
      </c>
      <c r="S4844" s="1">
        <f t="shared" si="300"/>
        <v>56.7</v>
      </c>
      <c r="T4844" s="1">
        <f t="shared" si="301"/>
        <v>-7.5900000000000034</v>
      </c>
      <c r="U4844" s="1" t="str">
        <f t="shared" si="302"/>
        <v>OK</v>
      </c>
      <c r="V4844" s="1" t="str">
        <f>_xlfn.XLOOKUP(C4844,Payers!$A$2:$A$9,Payers!$B$2:$B$9)</f>
        <v>Florida Medicaid</v>
      </c>
      <c r="W4844" s="1" t="str">
        <f t="shared" si="303"/>
        <v>2025-10</v>
      </c>
    </row>
    <row r="4845" spans="1:23">
      <c r="A4845" s="1" t="s">
        <v>7526</v>
      </c>
      <c r="B4845" s="1" t="s">
        <v>2598</v>
      </c>
      <c r="C4845" s="1" t="s">
        <v>25</v>
      </c>
      <c r="D4845" s="1" t="s">
        <v>26</v>
      </c>
      <c r="E4845" s="1" t="s">
        <v>44</v>
      </c>
      <c r="F4845">
        <v>1</v>
      </c>
      <c r="G4845" s="2">
        <v>46040</v>
      </c>
      <c r="H4845" s="2">
        <v>46044</v>
      </c>
      <c r="I4845">
        <v>4729.53</v>
      </c>
      <c r="M4845" s="1" t="s">
        <v>32</v>
      </c>
      <c r="N4845" s="1" t="s">
        <v>33</v>
      </c>
      <c r="O4845" s="2">
        <v>46074</v>
      </c>
      <c r="P4845" s="2"/>
      <c r="Q4845">
        <f>_xlfn.XLOOKUP(E4845,CPT!$A$2:$A$13,CPT!$D$2:$D$13)</f>
        <v>4800</v>
      </c>
      <c r="R4845" s="1">
        <f>_xlfn.XLOOKUP(C4845,Contract!$A$2:$A$9,Contract!$B$2:$B$9)</f>
        <v>0.36</v>
      </c>
      <c r="S4845" s="1">
        <f t="shared" si="300"/>
        <v>1728</v>
      </c>
      <c r="T4845" s="1" t="str">
        <f t="shared" si="301"/>
        <v/>
      </c>
      <c r="U4845" s="1" t="str">
        <f t="shared" si="302"/>
        <v/>
      </c>
      <c r="V4845" s="1" t="str">
        <f>_xlfn.XLOOKUP(C4845,Payers!$A$2:$A$9,Payers!$B$2:$B$9)</f>
        <v>Medicare Part B</v>
      </c>
      <c r="W4845" s="1" t="str">
        <f t="shared" si="303"/>
        <v>2026-01</v>
      </c>
    </row>
    <row r="4846" spans="1:23">
      <c r="A4846" s="1" t="s">
        <v>7527</v>
      </c>
      <c r="B4846" s="1" t="s">
        <v>5697</v>
      </c>
      <c r="C4846" s="1" t="s">
        <v>18</v>
      </c>
      <c r="D4846" s="1" t="s">
        <v>30</v>
      </c>
      <c r="E4846" s="1" t="s">
        <v>31</v>
      </c>
      <c r="F4846">
        <v>3</v>
      </c>
      <c r="G4846" s="2">
        <v>46258</v>
      </c>
      <c r="H4846" s="2">
        <v>46262</v>
      </c>
      <c r="I4846">
        <v>191.04</v>
      </c>
      <c r="M4846" s="1" t="s">
        <v>69</v>
      </c>
      <c r="N4846" s="1" t="s">
        <v>22</v>
      </c>
      <c r="O4846" s="2"/>
      <c r="P4846" s="2"/>
      <c r="Q4846">
        <f>_xlfn.XLOOKUP(E4846,CPT!$A$2:$A$13,CPT!$D$2:$D$13)</f>
        <v>62</v>
      </c>
      <c r="R4846" s="1">
        <f>_xlfn.XLOOKUP(C4846,Contract!$A$2:$A$9,Contract!$B$2:$B$9)</f>
        <v>0.38</v>
      </c>
      <c r="S4846" s="1">
        <f t="shared" si="300"/>
        <v>70.680000000000007</v>
      </c>
      <c r="T4846" s="1" t="str">
        <f t="shared" si="301"/>
        <v/>
      </c>
      <c r="U4846" s="1" t="str">
        <f t="shared" si="302"/>
        <v/>
      </c>
      <c r="V4846" s="1" t="str">
        <f>_xlfn.XLOOKUP(C4846,Payers!$A$2:$A$9,Payers!$B$2:$B$9)</f>
        <v>Sunshine Medicare Advantage</v>
      </c>
      <c r="W4846" s="1" t="str">
        <f t="shared" si="303"/>
        <v>2026-08</v>
      </c>
    </row>
    <row r="4847" spans="1:23">
      <c r="A4847" s="1" t="s">
        <v>7528</v>
      </c>
      <c r="B4847" s="1" t="s">
        <v>3182</v>
      </c>
      <c r="C4847" s="1" t="s">
        <v>76</v>
      </c>
      <c r="D4847" s="1" t="s">
        <v>30</v>
      </c>
      <c r="E4847" s="1" t="s">
        <v>20</v>
      </c>
      <c r="F4847">
        <v>1</v>
      </c>
      <c r="G4847" s="2">
        <v>46157</v>
      </c>
      <c r="H4847" s="2">
        <v>46160</v>
      </c>
      <c r="I4847">
        <v>142.71</v>
      </c>
      <c r="J4847">
        <v>57.97</v>
      </c>
      <c r="K4847">
        <v>52.17</v>
      </c>
      <c r="L4847">
        <v>5.8</v>
      </c>
      <c r="M4847" s="1" t="s">
        <v>21</v>
      </c>
      <c r="N4847" s="1" t="s">
        <v>22</v>
      </c>
      <c r="O4847" s="2">
        <v>46201</v>
      </c>
      <c r="P4847" s="2">
        <v>46201</v>
      </c>
      <c r="Q4847">
        <f>_xlfn.XLOOKUP(E4847,CPT!$A$2:$A$13,CPT!$D$2:$D$13)</f>
        <v>145</v>
      </c>
      <c r="R4847" s="1">
        <f>_xlfn.XLOOKUP(C4847,Contract!$A$2:$A$9,Contract!$B$2:$B$9)</f>
        <v>0.43</v>
      </c>
      <c r="S4847" s="1">
        <f t="shared" si="300"/>
        <v>62.35</v>
      </c>
      <c r="T4847" s="1">
        <f t="shared" si="301"/>
        <v>4.3800000000000026</v>
      </c>
      <c r="U4847" s="1" t="str">
        <f t="shared" si="302"/>
        <v>Underpaid</v>
      </c>
      <c r="V4847" s="1" t="str">
        <f>_xlfn.XLOOKUP(C4847,Payers!$A$2:$A$9,Payers!$B$2:$B$9)</f>
        <v>Summit Health Commercial</v>
      </c>
      <c r="W4847" s="1" t="str">
        <f t="shared" si="303"/>
        <v>2026-05</v>
      </c>
    </row>
    <row r="4848" spans="1:23">
      <c r="A4848" s="1" t="s">
        <v>7529</v>
      </c>
      <c r="B4848" s="1" t="s">
        <v>1698</v>
      </c>
      <c r="C4848" s="1" t="s">
        <v>76</v>
      </c>
      <c r="D4848" s="1" t="s">
        <v>19</v>
      </c>
      <c r="E4848" s="1" t="s">
        <v>20</v>
      </c>
      <c r="F4848">
        <v>1</v>
      </c>
      <c r="G4848" s="2">
        <v>46281</v>
      </c>
      <c r="H4848" s="2">
        <v>46284</v>
      </c>
      <c r="I4848">
        <v>141.4</v>
      </c>
      <c r="J4848">
        <v>60.49</v>
      </c>
      <c r="K4848">
        <v>48.39</v>
      </c>
      <c r="L4848">
        <v>12.1</v>
      </c>
      <c r="M4848" s="1" t="s">
        <v>21</v>
      </c>
      <c r="N4848" s="1" t="s">
        <v>22</v>
      </c>
      <c r="O4848" s="2">
        <v>46294</v>
      </c>
      <c r="P4848" s="2">
        <v>46294</v>
      </c>
      <c r="Q4848">
        <f>_xlfn.XLOOKUP(E4848,CPT!$A$2:$A$13,CPT!$D$2:$D$13)</f>
        <v>145</v>
      </c>
      <c r="R4848" s="1">
        <f>_xlfn.XLOOKUP(C4848,Contract!$A$2:$A$9,Contract!$B$2:$B$9)</f>
        <v>0.43</v>
      </c>
      <c r="S4848" s="1">
        <f t="shared" si="300"/>
        <v>62.35</v>
      </c>
      <c r="T4848" s="1">
        <f t="shared" si="301"/>
        <v>1.8599999999999994</v>
      </c>
      <c r="U4848" s="1" t="str">
        <f t="shared" si="302"/>
        <v>OK</v>
      </c>
      <c r="V4848" s="1" t="str">
        <f>_xlfn.XLOOKUP(C4848,Payers!$A$2:$A$9,Payers!$B$2:$B$9)</f>
        <v>Summit Health Commercial</v>
      </c>
      <c r="W4848" s="1" t="str">
        <f t="shared" si="303"/>
        <v>2026-09</v>
      </c>
    </row>
    <row r="4849" spans="1:23">
      <c r="A4849" s="1" t="s">
        <v>7530</v>
      </c>
      <c r="B4849" s="1" t="s">
        <v>2083</v>
      </c>
      <c r="C4849" s="1" t="s">
        <v>18</v>
      </c>
      <c r="D4849" s="1" t="s">
        <v>26</v>
      </c>
      <c r="E4849" s="1" t="s">
        <v>41</v>
      </c>
      <c r="F4849">
        <v>1</v>
      </c>
      <c r="G4849" s="2">
        <v>46013</v>
      </c>
      <c r="H4849" s="2">
        <v>46022</v>
      </c>
      <c r="I4849">
        <v>38.4</v>
      </c>
      <c r="M4849" s="1" t="s">
        <v>32</v>
      </c>
      <c r="N4849" s="1" t="s">
        <v>33</v>
      </c>
      <c r="O4849" s="2">
        <v>46100</v>
      </c>
      <c r="P4849" s="2"/>
      <c r="Q4849">
        <f>_xlfn.XLOOKUP(E4849,CPT!$A$2:$A$13,CPT!$D$2:$D$13)</f>
        <v>38</v>
      </c>
      <c r="R4849" s="1">
        <f>_xlfn.XLOOKUP(C4849,Contract!$A$2:$A$9,Contract!$B$2:$B$9)</f>
        <v>0.38</v>
      </c>
      <c r="S4849" s="1">
        <f t="shared" si="300"/>
        <v>14.44</v>
      </c>
      <c r="T4849" s="1" t="str">
        <f t="shared" si="301"/>
        <v/>
      </c>
      <c r="U4849" s="1" t="str">
        <f t="shared" si="302"/>
        <v/>
      </c>
      <c r="V4849" s="1" t="str">
        <f>_xlfn.XLOOKUP(C4849,Payers!$A$2:$A$9,Payers!$B$2:$B$9)</f>
        <v>Sunshine Medicare Advantage</v>
      </c>
      <c r="W4849" s="1" t="str">
        <f t="shared" si="303"/>
        <v>2025-12</v>
      </c>
    </row>
    <row r="4850" spans="1:23">
      <c r="A4850" s="1" t="s">
        <v>7531</v>
      </c>
      <c r="B4850" s="1" t="s">
        <v>3735</v>
      </c>
      <c r="C4850" s="1" t="s">
        <v>76</v>
      </c>
      <c r="D4850" s="1" t="s">
        <v>26</v>
      </c>
      <c r="E4850" s="1" t="s">
        <v>44</v>
      </c>
      <c r="F4850">
        <v>1</v>
      </c>
      <c r="G4850" s="2">
        <v>46110</v>
      </c>
      <c r="H4850" s="2">
        <v>46118</v>
      </c>
      <c r="I4850">
        <v>4679.99</v>
      </c>
      <c r="J4850">
        <v>2064.52</v>
      </c>
      <c r="K4850">
        <v>2064.52</v>
      </c>
      <c r="L4850">
        <v>0</v>
      </c>
      <c r="M4850" s="1" t="s">
        <v>21</v>
      </c>
      <c r="N4850" s="1" t="s">
        <v>22</v>
      </c>
      <c r="O4850" s="2">
        <v>46142</v>
      </c>
      <c r="P4850" s="2">
        <v>46142</v>
      </c>
      <c r="Q4850">
        <f>_xlfn.XLOOKUP(E4850,CPT!$A$2:$A$13,CPT!$D$2:$D$13)</f>
        <v>4800</v>
      </c>
      <c r="R4850" s="1">
        <f>_xlfn.XLOOKUP(C4850,Contract!$A$2:$A$9,Contract!$B$2:$B$9)</f>
        <v>0.43</v>
      </c>
      <c r="S4850" s="1">
        <f t="shared" si="300"/>
        <v>2064</v>
      </c>
      <c r="T4850" s="1">
        <f t="shared" si="301"/>
        <v>-0.51999999999998181</v>
      </c>
      <c r="U4850" s="1" t="str">
        <f t="shared" si="302"/>
        <v>OK</v>
      </c>
      <c r="V4850" s="1" t="str">
        <f>_xlfn.XLOOKUP(C4850,Payers!$A$2:$A$9,Payers!$B$2:$B$9)</f>
        <v>Summit Health Commercial</v>
      </c>
      <c r="W4850" s="1" t="str">
        <f t="shared" si="303"/>
        <v>2026-03</v>
      </c>
    </row>
    <row r="4851" spans="1:23">
      <c r="A4851" s="1" t="s">
        <v>7532</v>
      </c>
      <c r="B4851" s="1" t="s">
        <v>2106</v>
      </c>
      <c r="C4851" s="1" t="s">
        <v>60</v>
      </c>
      <c r="D4851" s="1" t="s">
        <v>26</v>
      </c>
      <c r="E4851" s="1" t="s">
        <v>41</v>
      </c>
      <c r="F4851">
        <v>1</v>
      </c>
      <c r="G4851" s="2">
        <v>46209</v>
      </c>
      <c r="H4851" s="2">
        <v>46211</v>
      </c>
      <c r="I4851">
        <v>37.46</v>
      </c>
      <c r="J4851">
        <v>14.25</v>
      </c>
      <c r="K4851">
        <v>14.25</v>
      </c>
      <c r="L4851">
        <v>0</v>
      </c>
      <c r="M4851" s="1" t="s">
        <v>21</v>
      </c>
      <c r="N4851" s="1" t="s">
        <v>22</v>
      </c>
      <c r="O4851" s="2">
        <v>46249</v>
      </c>
      <c r="P4851" s="2">
        <v>46249</v>
      </c>
      <c r="Q4851">
        <f>_xlfn.XLOOKUP(E4851,CPT!$A$2:$A$13,CPT!$D$2:$D$13)</f>
        <v>38</v>
      </c>
      <c r="R4851" s="1">
        <f>_xlfn.XLOOKUP(C4851,Contract!$A$2:$A$9,Contract!$B$2:$B$9)</f>
        <v>0.45</v>
      </c>
      <c r="S4851" s="1">
        <f t="shared" si="300"/>
        <v>17.100000000000001</v>
      </c>
      <c r="T4851" s="1">
        <f t="shared" si="301"/>
        <v>2.8500000000000014</v>
      </c>
      <c r="U4851" s="1" t="str">
        <f t="shared" si="302"/>
        <v>Underpaid</v>
      </c>
      <c r="V4851" s="1" t="str">
        <f>_xlfn.XLOOKUP(C4851,Payers!$A$2:$A$9,Payers!$B$2:$B$9)</f>
        <v>Blue Horizon Commercial</v>
      </c>
      <c r="W4851" s="1" t="str">
        <f t="shared" si="303"/>
        <v>2026-07</v>
      </c>
    </row>
    <row r="4852" spans="1:23">
      <c r="A4852" s="1" t="s">
        <v>7533</v>
      </c>
      <c r="B4852" s="1" t="s">
        <v>2314</v>
      </c>
      <c r="C4852" s="1" t="s">
        <v>47</v>
      </c>
      <c r="D4852" s="1" t="s">
        <v>26</v>
      </c>
      <c r="E4852" s="1" t="s">
        <v>88</v>
      </c>
      <c r="F4852">
        <v>1</v>
      </c>
      <c r="G4852" s="2">
        <v>46282</v>
      </c>
      <c r="H4852" s="2">
        <v>46287</v>
      </c>
      <c r="I4852">
        <v>264.68</v>
      </c>
      <c r="M4852" s="1" t="s">
        <v>69</v>
      </c>
      <c r="N4852" s="1" t="s">
        <v>22</v>
      </c>
      <c r="O4852" s="2"/>
      <c r="P4852" s="2"/>
      <c r="Q4852">
        <f>_xlfn.XLOOKUP(E4852,CPT!$A$2:$A$13,CPT!$D$2:$D$13)</f>
        <v>260</v>
      </c>
      <c r="R4852" s="1">
        <f>_xlfn.XLOOKUP(C4852,Contract!$A$2:$A$9,Contract!$B$2:$B$9)</f>
        <v>0.28000000000000003</v>
      </c>
      <c r="S4852" s="1">
        <f t="shared" si="300"/>
        <v>72.8</v>
      </c>
      <c r="T4852" s="1" t="str">
        <f t="shared" si="301"/>
        <v/>
      </c>
      <c r="U4852" s="1" t="str">
        <f t="shared" si="302"/>
        <v/>
      </c>
      <c r="V4852" s="1" t="str">
        <f>_xlfn.XLOOKUP(C4852,Payers!$A$2:$A$9,Payers!$B$2:$B$9)</f>
        <v>Coastal Medicaid MCO</v>
      </c>
      <c r="W4852" s="1" t="str">
        <f t="shared" si="303"/>
        <v>2026-09</v>
      </c>
    </row>
    <row r="4853" spans="1:23">
      <c r="A4853" s="1" t="s">
        <v>7534</v>
      </c>
      <c r="B4853" s="1" t="s">
        <v>7535</v>
      </c>
      <c r="C4853" s="1" t="s">
        <v>76</v>
      </c>
      <c r="D4853" s="1" t="s">
        <v>30</v>
      </c>
      <c r="E4853" s="1" t="s">
        <v>20</v>
      </c>
      <c r="F4853">
        <v>1</v>
      </c>
      <c r="G4853" s="2">
        <v>46214</v>
      </c>
      <c r="H4853" s="2">
        <v>46218</v>
      </c>
      <c r="I4853">
        <v>145.63999999999999</v>
      </c>
      <c r="J4853">
        <v>66.16</v>
      </c>
      <c r="K4853">
        <v>66.16</v>
      </c>
      <c r="L4853">
        <v>0</v>
      </c>
      <c r="M4853" s="1" t="s">
        <v>21</v>
      </c>
      <c r="N4853" s="1" t="s">
        <v>22</v>
      </c>
      <c r="O4853" s="2">
        <v>46254</v>
      </c>
      <c r="P4853" s="2">
        <v>46254</v>
      </c>
      <c r="Q4853">
        <f>_xlfn.XLOOKUP(E4853,CPT!$A$2:$A$13,CPT!$D$2:$D$13)</f>
        <v>145</v>
      </c>
      <c r="R4853" s="1">
        <f>_xlfn.XLOOKUP(C4853,Contract!$A$2:$A$9,Contract!$B$2:$B$9)</f>
        <v>0.43</v>
      </c>
      <c r="S4853" s="1">
        <f t="shared" si="300"/>
        <v>62.35</v>
      </c>
      <c r="T4853" s="1">
        <f t="shared" si="301"/>
        <v>-3.8099999999999952</v>
      </c>
      <c r="U4853" s="1" t="str">
        <f t="shared" si="302"/>
        <v>OK</v>
      </c>
      <c r="V4853" s="1" t="str">
        <f>_xlfn.XLOOKUP(C4853,Payers!$A$2:$A$9,Payers!$B$2:$B$9)</f>
        <v>Summit Health Commercial</v>
      </c>
      <c r="W4853" s="1" t="str">
        <f t="shared" si="303"/>
        <v>2026-07</v>
      </c>
    </row>
    <row r="4854" spans="1:23">
      <c r="A4854" s="1" t="s">
        <v>7536</v>
      </c>
      <c r="B4854" s="1" t="s">
        <v>2571</v>
      </c>
      <c r="C4854" s="1" t="s">
        <v>18</v>
      </c>
      <c r="D4854" s="1" t="s">
        <v>37</v>
      </c>
      <c r="E4854" s="1" t="s">
        <v>38</v>
      </c>
      <c r="F4854">
        <v>5</v>
      </c>
      <c r="G4854" s="2">
        <v>46089</v>
      </c>
      <c r="H4854" s="2">
        <v>46092</v>
      </c>
      <c r="I4854">
        <v>7384.59</v>
      </c>
      <c r="J4854">
        <v>2905.56</v>
      </c>
      <c r="K4854">
        <v>2324.4499999999998</v>
      </c>
      <c r="L4854">
        <v>581.11</v>
      </c>
      <c r="M4854" s="1" t="s">
        <v>21</v>
      </c>
      <c r="N4854" s="1" t="s">
        <v>22</v>
      </c>
      <c r="O4854" s="2">
        <v>46170</v>
      </c>
      <c r="P4854" s="2">
        <v>46170</v>
      </c>
      <c r="Q4854">
        <f>_xlfn.XLOOKUP(E4854,CPT!$A$2:$A$13,CPT!$D$2:$D$13)</f>
        <v>1450</v>
      </c>
      <c r="R4854" s="1">
        <f>_xlfn.XLOOKUP(C4854,Contract!$A$2:$A$9,Contract!$B$2:$B$9)</f>
        <v>0.38</v>
      </c>
      <c r="S4854" s="1">
        <f t="shared" si="300"/>
        <v>2755</v>
      </c>
      <c r="T4854" s="1">
        <f t="shared" si="301"/>
        <v>-150.55999999999995</v>
      </c>
      <c r="U4854" s="1" t="str">
        <f t="shared" si="302"/>
        <v>OK</v>
      </c>
      <c r="V4854" s="1" t="str">
        <f>_xlfn.XLOOKUP(C4854,Payers!$A$2:$A$9,Payers!$B$2:$B$9)</f>
        <v>Sunshine Medicare Advantage</v>
      </c>
      <c r="W4854" s="1" t="str">
        <f t="shared" si="303"/>
        <v>2026-03</v>
      </c>
    </row>
    <row r="4855" spans="1:23">
      <c r="A4855" s="1" t="s">
        <v>7537</v>
      </c>
      <c r="B4855" s="1" t="s">
        <v>1745</v>
      </c>
      <c r="C4855" s="1" t="s">
        <v>60</v>
      </c>
      <c r="D4855" s="1" t="s">
        <v>26</v>
      </c>
      <c r="E4855" s="1" t="s">
        <v>27</v>
      </c>
      <c r="F4855">
        <v>1</v>
      </c>
      <c r="G4855" s="2">
        <v>46015</v>
      </c>
      <c r="H4855" s="2">
        <v>46018</v>
      </c>
      <c r="I4855">
        <v>238.25</v>
      </c>
      <c r="J4855">
        <v>113.34</v>
      </c>
      <c r="K4855">
        <v>113.34</v>
      </c>
      <c r="L4855">
        <v>0</v>
      </c>
      <c r="M4855" s="1" t="s">
        <v>21</v>
      </c>
      <c r="N4855" s="1" t="s">
        <v>22</v>
      </c>
      <c r="O4855" s="2">
        <v>46050</v>
      </c>
      <c r="P4855" s="2">
        <v>46050</v>
      </c>
      <c r="Q4855">
        <f>_xlfn.XLOOKUP(E4855,CPT!$A$2:$A$13,CPT!$D$2:$D$13)</f>
        <v>240</v>
      </c>
      <c r="R4855" s="1">
        <f>_xlfn.XLOOKUP(C4855,Contract!$A$2:$A$9,Contract!$B$2:$B$9)</f>
        <v>0.45</v>
      </c>
      <c r="S4855" s="1">
        <f t="shared" si="300"/>
        <v>108</v>
      </c>
      <c r="T4855" s="1">
        <f t="shared" si="301"/>
        <v>-5.3400000000000034</v>
      </c>
      <c r="U4855" s="1" t="str">
        <f t="shared" si="302"/>
        <v>OK</v>
      </c>
      <c r="V4855" s="1" t="str">
        <f>_xlfn.XLOOKUP(C4855,Payers!$A$2:$A$9,Payers!$B$2:$B$9)</f>
        <v>Blue Horizon Commercial</v>
      </c>
      <c r="W4855" s="1" t="str">
        <f t="shared" si="303"/>
        <v>2025-12</v>
      </c>
    </row>
    <row r="4856" spans="1:23">
      <c r="A4856" s="1" t="s">
        <v>7538</v>
      </c>
      <c r="B4856" s="1" t="s">
        <v>7539</v>
      </c>
      <c r="C4856" s="1" t="s">
        <v>52</v>
      </c>
      <c r="D4856" s="1" t="s">
        <v>26</v>
      </c>
      <c r="E4856" s="1" t="s">
        <v>41</v>
      </c>
      <c r="F4856">
        <v>1</v>
      </c>
      <c r="G4856" s="2">
        <v>46044</v>
      </c>
      <c r="H4856" s="2">
        <v>46052</v>
      </c>
      <c r="I4856">
        <v>37.61</v>
      </c>
      <c r="J4856">
        <v>17.27</v>
      </c>
      <c r="K4856">
        <v>15.54</v>
      </c>
      <c r="L4856">
        <v>1.73</v>
      </c>
      <c r="M4856" s="1" t="s">
        <v>21</v>
      </c>
      <c r="N4856" s="1" t="s">
        <v>22</v>
      </c>
      <c r="O4856" s="2">
        <v>46080</v>
      </c>
      <c r="P4856" s="2">
        <v>46080</v>
      </c>
      <c r="Q4856">
        <f>_xlfn.XLOOKUP(E4856,CPT!$A$2:$A$13,CPT!$D$2:$D$13)</f>
        <v>38</v>
      </c>
      <c r="R4856" s="1">
        <f>_xlfn.XLOOKUP(C4856,Contract!$A$2:$A$9,Contract!$B$2:$B$9)</f>
        <v>0.47</v>
      </c>
      <c r="S4856" s="1">
        <f t="shared" si="300"/>
        <v>17.86</v>
      </c>
      <c r="T4856" s="1">
        <f t="shared" si="301"/>
        <v>0.58999999999999986</v>
      </c>
      <c r="U4856" s="1" t="str">
        <f t="shared" si="302"/>
        <v>OK</v>
      </c>
      <c r="V4856" s="1" t="str">
        <f>_xlfn.XLOOKUP(C4856,Payers!$A$2:$A$9,Payers!$B$2:$B$9)</f>
        <v>Keystone Commercial PPO</v>
      </c>
      <c r="W4856" s="1" t="str">
        <f t="shared" si="303"/>
        <v>2026-01</v>
      </c>
    </row>
    <row r="4857" spans="1:23">
      <c r="A4857" s="1" t="s">
        <v>7540</v>
      </c>
      <c r="B4857" s="1" t="s">
        <v>40</v>
      </c>
      <c r="C4857" s="1" t="s">
        <v>60</v>
      </c>
      <c r="D4857" s="1" t="s">
        <v>26</v>
      </c>
      <c r="E4857" s="1" t="s">
        <v>88</v>
      </c>
      <c r="F4857">
        <v>1</v>
      </c>
      <c r="G4857" s="2">
        <v>46042</v>
      </c>
      <c r="H4857" s="2">
        <v>46052</v>
      </c>
      <c r="I4857">
        <v>257.88</v>
      </c>
      <c r="M4857" s="1" t="s">
        <v>32</v>
      </c>
      <c r="N4857" s="1" t="s">
        <v>33</v>
      </c>
      <c r="O4857" s="2">
        <v>46091</v>
      </c>
      <c r="P4857" s="2"/>
      <c r="Q4857">
        <f>_xlfn.XLOOKUP(E4857,CPT!$A$2:$A$13,CPT!$D$2:$D$13)</f>
        <v>260</v>
      </c>
      <c r="R4857" s="1">
        <f>_xlfn.XLOOKUP(C4857,Contract!$A$2:$A$9,Contract!$B$2:$B$9)</f>
        <v>0.45</v>
      </c>
      <c r="S4857" s="1">
        <f t="shared" si="300"/>
        <v>117</v>
      </c>
      <c r="T4857" s="1" t="str">
        <f t="shared" si="301"/>
        <v/>
      </c>
      <c r="U4857" s="1" t="str">
        <f t="shared" si="302"/>
        <v/>
      </c>
      <c r="V4857" s="1" t="str">
        <f>_xlfn.XLOOKUP(C4857,Payers!$A$2:$A$9,Payers!$B$2:$B$9)</f>
        <v>Blue Horizon Commercial</v>
      </c>
      <c r="W4857" s="1" t="str">
        <f t="shared" si="303"/>
        <v>2026-01</v>
      </c>
    </row>
    <row r="4858" spans="1:23">
      <c r="A4858" s="1" t="s">
        <v>7541</v>
      </c>
      <c r="B4858" s="1" t="s">
        <v>7542</v>
      </c>
      <c r="C4858" s="1" t="s">
        <v>76</v>
      </c>
      <c r="D4858" s="1" t="s">
        <v>19</v>
      </c>
      <c r="E4858" s="1" t="s">
        <v>88</v>
      </c>
      <c r="F4858">
        <v>1</v>
      </c>
      <c r="G4858" s="2">
        <v>46228</v>
      </c>
      <c r="H4858" s="2">
        <v>46229</v>
      </c>
      <c r="I4858">
        <v>255.67</v>
      </c>
      <c r="J4858">
        <v>103.46</v>
      </c>
      <c r="K4858">
        <v>103.46</v>
      </c>
      <c r="L4858">
        <v>0</v>
      </c>
      <c r="M4858" s="1" t="s">
        <v>21</v>
      </c>
      <c r="N4858" s="1" t="s">
        <v>22</v>
      </c>
      <c r="O4858" s="2">
        <v>46253</v>
      </c>
      <c r="P4858" s="2">
        <v>46253</v>
      </c>
      <c r="Q4858">
        <f>_xlfn.XLOOKUP(E4858,CPT!$A$2:$A$13,CPT!$D$2:$D$13)</f>
        <v>260</v>
      </c>
      <c r="R4858" s="1">
        <f>_xlfn.XLOOKUP(C4858,Contract!$A$2:$A$9,Contract!$B$2:$B$9)</f>
        <v>0.43</v>
      </c>
      <c r="S4858" s="1">
        <f t="shared" si="300"/>
        <v>111.8</v>
      </c>
      <c r="T4858" s="1">
        <f t="shared" si="301"/>
        <v>8.3400000000000034</v>
      </c>
      <c r="U4858" s="1" t="str">
        <f t="shared" si="302"/>
        <v>Underpaid</v>
      </c>
      <c r="V4858" s="1" t="str">
        <f>_xlfn.XLOOKUP(C4858,Payers!$A$2:$A$9,Payers!$B$2:$B$9)</f>
        <v>Summit Health Commercial</v>
      </c>
      <c r="W4858" s="1" t="str">
        <f t="shared" si="303"/>
        <v>2026-07</v>
      </c>
    </row>
    <row r="4859" spans="1:23">
      <c r="A4859" s="1" t="s">
        <v>7543</v>
      </c>
      <c r="B4859" s="1" t="s">
        <v>7544</v>
      </c>
      <c r="C4859" s="1" t="s">
        <v>60</v>
      </c>
      <c r="D4859" s="1" t="s">
        <v>26</v>
      </c>
      <c r="E4859" s="1" t="s">
        <v>27</v>
      </c>
      <c r="F4859">
        <v>1</v>
      </c>
      <c r="G4859" s="2">
        <v>45992</v>
      </c>
      <c r="H4859" s="2">
        <v>45998</v>
      </c>
      <c r="I4859">
        <v>233.87</v>
      </c>
      <c r="J4859">
        <v>99.69</v>
      </c>
      <c r="K4859">
        <v>79.75</v>
      </c>
      <c r="L4859">
        <v>19.940000000000001</v>
      </c>
      <c r="M4859" s="1" t="s">
        <v>21</v>
      </c>
      <c r="N4859" s="1" t="s">
        <v>22</v>
      </c>
      <c r="O4859" s="2">
        <v>46028</v>
      </c>
      <c r="P4859" s="2">
        <v>46028</v>
      </c>
      <c r="Q4859">
        <f>_xlfn.XLOOKUP(E4859,CPT!$A$2:$A$13,CPT!$D$2:$D$13)</f>
        <v>240</v>
      </c>
      <c r="R4859" s="1">
        <f>_xlfn.XLOOKUP(C4859,Contract!$A$2:$A$9,Contract!$B$2:$B$9)</f>
        <v>0.45</v>
      </c>
      <c r="S4859" s="1">
        <f t="shared" si="300"/>
        <v>108</v>
      </c>
      <c r="T4859" s="1">
        <f t="shared" si="301"/>
        <v>8.3100000000000023</v>
      </c>
      <c r="U4859" s="1" t="str">
        <f t="shared" si="302"/>
        <v>Underpaid</v>
      </c>
      <c r="V4859" s="1" t="str">
        <f>_xlfn.XLOOKUP(C4859,Payers!$A$2:$A$9,Payers!$B$2:$B$9)</f>
        <v>Blue Horizon Commercial</v>
      </c>
      <c r="W4859" s="1" t="str">
        <f t="shared" si="303"/>
        <v>2025-12</v>
      </c>
    </row>
    <row r="4860" spans="1:23">
      <c r="A4860" s="1" t="s">
        <v>7545</v>
      </c>
      <c r="B4860" s="1" t="s">
        <v>568</v>
      </c>
      <c r="C4860" s="1" t="s">
        <v>76</v>
      </c>
      <c r="D4860" s="1" t="s">
        <v>26</v>
      </c>
      <c r="E4860" s="1" t="s">
        <v>44</v>
      </c>
      <c r="F4860">
        <v>1</v>
      </c>
      <c r="G4860" s="2">
        <v>46094</v>
      </c>
      <c r="H4860" s="2">
        <v>46095</v>
      </c>
      <c r="I4860">
        <v>4938.4399999999996</v>
      </c>
      <c r="J4860">
        <v>2419.29</v>
      </c>
      <c r="K4860">
        <v>2177.36</v>
      </c>
      <c r="L4860">
        <v>241.93</v>
      </c>
      <c r="M4860" s="1" t="s">
        <v>21</v>
      </c>
      <c r="N4860" s="1" t="s">
        <v>22</v>
      </c>
      <c r="O4860" s="2">
        <v>46125</v>
      </c>
      <c r="P4860" s="2">
        <v>46125</v>
      </c>
      <c r="Q4860">
        <f>_xlfn.XLOOKUP(E4860,CPT!$A$2:$A$13,CPT!$D$2:$D$13)</f>
        <v>4800</v>
      </c>
      <c r="R4860" s="1">
        <f>_xlfn.XLOOKUP(C4860,Contract!$A$2:$A$9,Contract!$B$2:$B$9)</f>
        <v>0.43</v>
      </c>
      <c r="S4860" s="1">
        <f t="shared" si="300"/>
        <v>2064</v>
      </c>
      <c r="T4860" s="1">
        <f t="shared" si="301"/>
        <v>-355.28999999999996</v>
      </c>
      <c r="U4860" s="1" t="str">
        <f t="shared" si="302"/>
        <v>OK</v>
      </c>
      <c r="V4860" s="1" t="str">
        <f>_xlfn.XLOOKUP(C4860,Payers!$A$2:$A$9,Payers!$B$2:$B$9)</f>
        <v>Summit Health Commercial</v>
      </c>
      <c r="W4860" s="1" t="str">
        <f t="shared" si="303"/>
        <v>2026-03</v>
      </c>
    </row>
    <row r="4861" spans="1:23">
      <c r="A4861" s="1" t="s">
        <v>7546</v>
      </c>
      <c r="B4861" s="1" t="s">
        <v>926</v>
      </c>
      <c r="C4861" s="1" t="s">
        <v>60</v>
      </c>
      <c r="D4861" s="1" t="s">
        <v>19</v>
      </c>
      <c r="E4861" s="1" t="s">
        <v>20</v>
      </c>
      <c r="F4861">
        <v>1</v>
      </c>
      <c r="G4861" s="2">
        <v>46236</v>
      </c>
      <c r="H4861" s="2">
        <v>46238</v>
      </c>
      <c r="I4861">
        <v>143.13</v>
      </c>
      <c r="J4861">
        <v>64.87</v>
      </c>
      <c r="K4861">
        <v>64.87</v>
      </c>
      <c r="L4861">
        <v>0</v>
      </c>
      <c r="M4861" s="1" t="s">
        <v>21</v>
      </c>
      <c r="N4861" s="1" t="s">
        <v>22</v>
      </c>
      <c r="O4861" s="2">
        <v>46253</v>
      </c>
      <c r="P4861" s="2">
        <v>46253</v>
      </c>
      <c r="Q4861">
        <f>_xlfn.XLOOKUP(E4861,CPT!$A$2:$A$13,CPT!$D$2:$D$13)</f>
        <v>145</v>
      </c>
      <c r="R4861" s="1">
        <f>_xlfn.XLOOKUP(C4861,Contract!$A$2:$A$9,Contract!$B$2:$B$9)</f>
        <v>0.45</v>
      </c>
      <c r="S4861" s="1">
        <f t="shared" si="300"/>
        <v>65.25</v>
      </c>
      <c r="T4861" s="1">
        <f t="shared" si="301"/>
        <v>0.37999999999999545</v>
      </c>
      <c r="U4861" s="1" t="str">
        <f t="shared" si="302"/>
        <v>OK</v>
      </c>
      <c r="V4861" s="1" t="str">
        <f>_xlfn.XLOOKUP(C4861,Payers!$A$2:$A$9,Payers!$B$2:$B$9)</f>
        <v>Blue Horizon Commercial</v>
      </c>
      <c r="W4861" s="1" t="str">
        <f t="shared" si="303"/>
        <v>2026-08</v>
      </c>
    </row>
    <row r="4862" spans="1:23">
      <c r="A4862" s="1" t="s">
        <v>7547</v>
      </c>
      <c r="B4862" s="1" t="s">
        <v>7548</v>
      </c>
      <c r="C4862" s="1" t="s">
        <v>60</v>
      </c>
      <c r="D4862" s="1" t="s">
        <v>19</v>
      </c>
      <c r="E4862" s="1" t="s">
        <v>41</v>
      </c>
      <c r="F4862">
        <v>1</v>
      </c>
      <c r="G4862" s="2">
        <v>46217</v>
      </c>
      <c r="H4862" s="2">
        <v>46224</v>
      </c>
      <c r="I4862">
        <v>38.01</v>
      </c>
      <c r="J4862">
        <v>19.559999999999999</v>
      </c>
      <c r="K4862">
        <v>15.65</v>
      </c>
      <c r="L4862">
        <v>3.91</v>
      </c>
      <c r="M4862" s="1" t="s">
        <v>21</v>
      </c>
      <c r="N4862" s="1" t="s">
        <v>22</v>
      </c>
      <c r="O4862" s="2">
        <v>46238</v>
      </c>
      <c r="P4862" s="2">
        <v>46238</v>
      </c>
      <c r="Q4862">
        <f>_xlfn.XLOOKUP(E4862,CPT!$A$2:$A$13,CPT!$D$2:$D$13)</f>
        <v>38</v>
      </c>
      <c r="R4862" s="1">
        <f>_xlfn.XLOOKUP(C4862,Contract!$A$2:$A$9,Contract!$B$2:$B$9)</f>
        <v>0.45</v>
      </c>
      <c r="S4862" s="1">
        <f t="shared" si="300"/>
        <v>17.100000000000001</v>
      </c>
      <c r="T4862" s="1">
        <f t="shared" si="301"/>
        <v>-2.4599999999999973</v>
      </c>
      <c r="U4862" s="1" t="str">
        <f t="shared" si="302"/>
        <v>OK</v>
      </c>
      <c r="V4862" s="1" t="str">
        <f>_xlfn.XLOOKUP(C4862,Payers!$A$2:$A$9,Payers!$B$2:$B$9)</f>
        <v>Blue Horizon Commercial</v>
      </c>
      <c r="W4862" s="1" t="str">
        <f t="shared" si="303"/>
        <v>2026-07</v>
      </c>
    </row>
    <row r="4863" spans="1:23">
      <c r="A4863" s="1" t="s">
        <v>7549</v>
      </c>
      <c r="B4863" s="1" t="s">
        <v>7550</v>
      </c>
      <c r="C4863" s="1" t="s">
        <v>60</v>
      </c>
      <c r="D4863" s="1" t="s">
        <v>19</v>
      </c>
      <c r="E4863" s="1" t="s">
        <v>20</v>
      </c>
      <c r="F4863">
        <v>1</v>
      </c>
      <c r="G4863" s="2">
        <v>46135</v>
      </c>
      <c r="H4863" s="2">
        <v>46137</v>
      </c>
      <c r="I4863">
        <v>146.15</v>
      </c>
      <c r="J4863">
        <v>73.69</v>
      </c>
      <c r="K4863">
        <v>73.69</v>
      </c>
      <c r="L4863">
        <v>0</v>
      </c>
      <c r="M4863" s="1" t="s">
        <v>21</v>
      </c>
      <c r="N4863" s="1" t="s">
        <v>22</v>
      </c>
      <c r="O4863" s="2">
        <v>46157</v>
      </c>
      <c r="P4863" s="2">
        <v>46157</v>
      </c>
      <c r="Q4863">
        <f>_xlfn.XLOOKUP(E4863,CPT!$A$2:$A$13,CPT!$D$2:$D$13)</f>
        <v>145</v>
      </c>
      <c r="R4863" s="1">
        <f>_xlfn.XLOOKUP(C4863,Contract!$A$2:$A$9,Contract!$B$2:$B$9)</f>
        <v>0.45</v>
      </c>
      <c r="S4863" s="1">
        <f t="shared" si="300"/>
        <v>65.25</v>
      </c>
      <c r="T4863" s="1">
        <f t="shared" si="301"/>
        <v>-8.4399999999999977</v>
      </c>
      <c r="U4863" s="1" t="str">
        <f t="shared" si="302"/>
        <v>OK</v>
      </c>
      <c r="V4863" s="1" t="str">
        <f>_xlfn.XLOOKUP(C4863,Payers!$A$2:$A$9,Payers!$B$2:$B$9)</f>
        <v>Blue Horizon Commercial</v>
      </c>
      <c r="W4863" s="1" t="str">
        <f t="shared" si="303"/>
        <v>2026-04</v>
      </c>
    </row>
    <row r="4864" spans="1:23">
      <c r="A4864" s="1" t="s">
        <v>7551</v>
      </c>
      <c r="B4864" s="1" t="s">
        <v>5872</v>
      </c>
      <c r="C4864" s="1" t="s">
        <v>18</v>
      </c>
      <c r="D4864" s="1" t="s">
        <v>19</v>
      </c>
      <c r="E4864" s="1" t="s">
        <v>88</v>
      </c>
      <c r="F4864">
        <v>1</v>
      </c>
      <c r="G4864" s="2">
        <v>45947</v>
      </c>
      <c r="H4864" s="2">
        <v>45952</v>
      </c>
      <c r="I4864">
        <v>257.10000000000002</v>
      </c>
      <c r="J4864">
        <v>96.05</v>
      </c>
      <c r="K4864">
        <v>96.05</v>
      </c>
      <c r="L4864">
        <v>0</v>
      </c>
      <c r="M4864" s="1" t="s">
        <v>21</v>
      </c>
      <c r="N4864" s="1" t="s">
        <v>22</v>
      </c>
      <c r="O4864" s="2">
        <v>46033</v>
      </c>
      <c r="P4864" s="2">
        <v>46033</v>
      </c>
      <c r="Q4864">
        <f>_xlfn.XLOOKUP(E4864,CPT!$A$2:$A$13,CPT!$D$2:$D$13)</f>
        <v>260</v>
      </c>
      <c r="R4864" s="1">
        <f>_xlfn.XLOOKUP(C4864,Contract!$A$2:$A$9,Contract!$B$2:$B$9)</f>
        <v>0.38</v>
      </c>
      <c r="S4864" s="1">
        <f t="shared" si="300"/>
        <v>98.8</v>
      </c>
      <c r="T4864" s="1">
        <f t="shared" si="301"/>
        <v>2.75</v>
      </c>
      <c r="U4864" s="1" t="str">
        <f t="shared" si="302"/>
        <v>OK</v>
      </c>
      <c r="V4864" s="1" t="str">
        <f>_xlfn.XLOOKUP(C4864,Payers!$A$2:$A$9,Payers!$B$2:$B$9)</f>
        <v>Sunshine Medicare Advantage</v>
      </c>
      <c r="W4864" s="1" t="str">
        <f t="shared" si="303"/>
        <v>2025-10</v>
      </c>
    </row>
    <row r="4865" spans="1:23">
      <c r="A4865" s="1" t="s">
        <v>7552</v>
      </c>
      <c r="B4865" s="1" t="s">
        <v>2231</v>
      </c>
      <c r="C4865" s="1" t="s">
        <v>25</v>
      </c>
      <c r="D4865" s="1" t="s">
        <v>30</v>
      </c>
      <c r="E4865" s="1" t="s">
        <v>31</v>
      </c>
      <c r="F4865">
        <v>2</v>
      </c>
      <c r="G4865" s="2">
        <v>45940</v>
      </c>
      <c r="H4865" s="2">
        <v>45943</v>
      </c>
      <c r="I4865">
        <v>125.03</v>
      </c>
      <c r="J4865">
        <v>38.42</v>
      </c>
      <c r="K4865">
        <v>34.58</v>
      </c>
      <c r="L4865">
        <v>3.84</v>
      </c>
      <c r="M4865" s="1" t="s">
        <v>21</v>
      </c>
      <c r="N4865" s="1" t="s">
        <v>22</v>
      </c>
      <c r="O4865" s="2">
        <v>45957</v>
      </c>
      <c r="P4865" s="2">
        <v>45957</v>
      </c>
      <c r="Q4865">
        <f>_xlfn.XLOOKUP(E4865,CPT!$A$2:$A$13,CPT!$D$2:$D$13)</f>
        <v>62</v>
      </c>
      <c r="R4865" s="1">
        <f>_xlfn.XLOOKUP(C4865,Contract!$A$2:$A$9,Contract!$B$2:$B$9)</f>
        <v>0.36</v>
      </c>
      <c r="S4865" s="1">
        <f t="shared" si="300"/>
        <v>44.64</v>
      </c>
      <c r="T4865" s="1">
        <f t="shared" si="301"/>
        <v>6.2199999999999989</v>
      </c>
      <c r="U4865" s="1" t="str">
        <f t="shared" si="302"/>
        <v>Underpaid</v>
      </c>
      <c r="V4865" s="1" t="str">
        <f>_xlfn.XLOOKUP(C4865,Payers!$A$2:$A$9,Payers!$B$2:$B$9)</f>
        <v>Medicare Part B</v>
      </c>
      <c r="W4865" s="1" t="str">
        <f t="shared" si="303"/>
        <v>2025-10</v>
      </c>
    </row>
    <row r="4866" spans="1:23">
      <c r="A4866" s="1" t="s">
        <v>7553</v>
      </c>
      <c r="B4866" s="1" t="s">
        <v>7554</v>
      </c>
      <c r="C4866" s="1" t="s">
        <v>76</v>
      </c>
      <c r="D4866" s="1" t="s">
        <v>26</v>
      </c>
      <c r="E4866" s="1" t="s">
        <v>27</v>
      </c>
      <c r="F4866">
        <v>1</v>
      </c>
      <c r="G4866" s="2">
        <v>45933</v>
      </c>
      <c r="H4866" s="2">
        <v>45936</v>
      </c>
      <c r="I4866">
        <v>245.57</v>
      </c>
      <c r="J4866">
        <v>96.06</v>
      </c>
      <c r="K4866">
        <v>96.06</v>
      </c>
      <c r="L4866">
        <v>0</v>
      </c>
      <c r="M4866" s="1" t="s">
        <v>21</v>
      </c>
      <c r="N4866" s="1" t="s">
        <v>22</v>
      </c>
      <c r="O4866" s="2">
        <v>45977</v>
      </c>
      <c r="P4866" s="2">
        <v>45977</v>
      </c>
      <c r="Q4866">
        <f>_xlfn.XLOOKUP(E4866,CPT!$A$2:$A$13,CPT!$D$2:$D$13)</f>
        <v>240</v>
      </c>
      <c r="R4866" s="1">
        <f>_xlfn.XLOOKUP(C4866,Contract!$A$2:$A$9,Contract!$B$2:$B$9)</f>
        <v>0.43</v>
      </c>
      <c r="S4866" s="1">
        <f t="shared" ref="S4866:S4929" si="304">ROUND(Q4866*F4866*R4866,2)</f>
        <v>103.2</v>
      </c>
      <c r="T4866" s="1">
        <f t="shared" ref="T4866:T4929" si="305">IF(M4866="Paid",S4866-J4866,"")</f>
        <v>7.1400000000000006</v>
      </c>
      <c r="U4866" s="1" t="str">
        <f t="shared" ref="U4866:U4929" si="306">IF(M4866&lt;&gt;"Paid","",IF(T4866&gt;S4866*0.05,"Underpaid","OK"))</f>
        <v>Underpaid</v>
      </c>
      <c r="V4866" s="1" t="str">
        <f>_xlfn.XLOOKUP(C4866,Payers!$A$2:$A$9,Payers!$B$2:$B$9)</f>
        <v>Summit Health Commercial</v>
      </c>
      <c r="W4866" s="1" t="str">
        <f t="shared" ref="W4866:W4929" si="307">TEXT(G4866,"yyyy-mm")</f>
        <v>2025-10</v>
      </c>
    </row>
    <row r="4867" spans="1:23">
      <c r="A4867" s="1" t="s">
        <v>7555</v>
      </c>
      <c r="B4867" s="1" t="s">
        <v>2065</v>
      </c>
      <c r="C4867" s="1" t="s">
        <v>76</v>
      </c>
      <c r="D4867" s="1" t="s">
        <v>30</v>
      </c>
      <c r="E4867" s="1" t="s">
        <v>20</v>
      </c>
      <c r="F4867">
        <v>1</v>
      </c>
      <c r="G4867" s="2">
        <v>45982</v>
      </c>
      <c r="H4867" s="2">
        <v>46099</v>
      </c>
      <c r="I4867">
        <v>148.81</v>
      </c>
      <c r="M4867" s="1" t="s">
        <v>32</v>
      </c>
      <c r="N4867" s="1" t="s">
        <v>137</v>
      </c>
      <c r="O4867" s="2">
        <v>46125</v>
      </c>
      <c r="P4867" s="2"/>
      <c r="Q4867">
        <f>_xlfn.XLOOKUP(E4867,CPT!$A$2:$A$13,CPT!$D$2:$D$13)</f>
        <v>145</v>
      </c>
      <c r="R4867" s="1">
        <f>_xlfn.XLOOKUP(C4867,Contract!$A$2:$A$9,Contract!$B$2:$B$9)</f>
        <v>0.43</v>
      </c>
      <c r="S4867" s="1">
        <f t="shared" si="304"/>
        <v>62.35</v>
      </c>
      <c r="T4867" s="1" t="str">
        <f t="shared" si="305"/>
        <v/>
      </c>
      <c r="U4867" s="1" t="str">
        <f t="shared" si="306"/>
        <v/>
      </c>
      <c r="V4867" s="1" t="str">
        <f>_xlfn.XLOOKUP(C4867,Payers!$A$2:$A$9,Payers!$B$2:$B$9)</f>
        <v>Summit Health Commercial</v>
      </c>
      <c r="W4867" s="1" t="str">
        <f t="shared" si="307"/>
        <v>2025-11</v>
      </c>
    </row>
    <row r="4868" spans="1:23">
      <c r="A4868" s="1" t="s">
        <v>7556</v>
      </c>
      <c r="B4868" s="1" t="s">
        <v>7557</v>
      </c>
      <c r="C4868" s="1" t="s">
        <v>52</v>
      </c>
      <c r="D4868" s="1" t="s">
        <v>26</v>
      </c>
      <c r="E4868" s="1" t="s">
        <v>44</v>
      </c>
      <c r="F4868">
        <v>1</v>
      </c>
      <c r="G4868" s="2">
        <v>46075</v>
      </c>
      <c r="H4868" s="2">
        <v>46077</v>
      </c>
      <c r="I4868">
        <v>4838.3</v>
      </c>
      <c r="J4868">
        <v>2285.69</v>
      </c>
      <c r="K4868">
        <v>1828.55</v>
      </c>
      <c r="L4868">
        <v>457.14</v>
      </c>
      <c r="M4868" s="1" t="s">
        <v>21</v>
      </c>
      <c r="N4868" s="1" t="s">
        <v>22</v>
      </c>
      <c r="O4868" s="2">
        <v>46123</v>
      </c>
      <c r="P4868" s="2">
        <v>46123</v>
      </c>
      <c r="Q4868">
        <f>_xlfn.XLOOKUP(E4868,CPT!$A$2:$A$13,CPT!$D$2:$D$13)</f>
        <v>4800</v>
      </c>
      <c r="R4868" s="1">
        <f>_xlfn.XLOOKUP(C4868,Contract!$A$2:$A$9,Contract!$B$2:$B$9)</f>
        <v>0.47</v>
      </c>
      <c r="S4868" s="1">
        <f t="shared" si="304"/>
        <v>2256</v>
      </c>
      <c r="T4868" s="1">
        <f t="shared" si="305"/>
        <v>-29.690000000000055</v>
      </c>
      <c r="U4868" s="1" t="str">
        <f t="shared" si="306"/>
        <v>OK</v>
      </c>
      <c r="V4868" s="1" t="str">
        <f>_xlfn.XLOOKUP(C4868,Payers!$A$2:$A$9,Payers!$B$2:$B$9)</f>
        <v>Keystone Commercial PPO</v>
      </c>
      <c r="W4868" s="1" t="str">
        <f t="shared" si="307"/>
        <v>2026-02</v>
      </c>
    </row>
    <row r="4869" spans="1:23">
      <c r="A4869" s="1" t="s">
        <v>7558</v>
      </c>
      <c r="B4869" s="1" t="s">
        <v>3495</v>
      </c>
      <c r="C4869" s="1" t="s">
        <v>36</v>
      </c>
      <c r="D4869" s="1" t="s">
        <v>30</v>
      </c>
      <c r="E4869" s="1" t="s">
        <v>91</v>
      </c>
      <c r="F4869">
        <v>1</v>
      </c>
      <c r="G4869" s="2">
        <v>45970</v>
      </c>
      <c r="H4869" s="2">
        <v>45973</v>
      </c>
      <c r="I4869">
        <v>58.69</v>
      </c>
      <c r="J4869">
        <v>16.3</v>
      </c>
      <c r="K4869">
        <v>16.3</v>
      </c>
      <c r="L4869">
        <v>0</v>
      </c>
      <c r="M4869" s="1" t="s">
        <v>21</v>
      </c>
      <c r="N4869" s="1" t="s">
        <v>22</v>
      </c>
      <c r="O4869" s="2">
        <v>46013</v>
      </c>
      <c r="P4869" s="2">
        <v>46013</v>
      </c>
      <c r="Q4869">
        <f>_xlfn.XLOOKUP(E4869,CPT!$A$2:$A$13,CPT!$D$2:$D$13)</f>
        <v>58</v>
      </c>
      <c r="R4869" s="1">
        <f>_xlfn.XLOOKUP(C4869,Contract!$A$2:$A$9,Contract!$B$2:$B$9)</f>
        <v>0.27</v>
      </c>
      <c r="S4869" s="1">
        <f t="shared" si="304"/>
        <v>15.66</v>
      </c>
      <c r="T4869" s="1">
        <f t="shared" si="305"/>
        <v>-0.64000000000000057</v>
      </c>
      <c r="U4869" s="1" t="str">
        <f t="shared" si="306"/>
        <v>OK</v>
      </c>
      <c r="V4869" s="1" t="str">
        <f>_xlfn.XLOOKUP(C4869,Payers!$A$2:$A$9,Payers!$B$2:$B$9)</f>
        <v>Florida Medicaid</v>
      </c>
      <c r="W4869" s="1" t="str">
        <f t="shared" si="307"/>
        <v>2025-11</v>
      </c>
    </row>
    <row r="4870" spans="1:23">
      <c r="A4870" s="1" t="s">
        <v>7559</v>
      </c>
      <c r="B4870" s="1" t="s">
        <v>6429</v>
      </c>
      <c r="C4870" s="1" t="s">
        <v>25</v>
      </c>
      <c r="D4870" s="1" t="s">
        <v>19</v>
      </c>
      <c r="E4870" s="1" t="s">
        <v>20</v>
      </c>
      <c r="F4870">
        <v>1</v>
      </c>
      <c r="G4870" s="2">
        <v>46134</v>
      </c>
      <c r="H4870" s="2">
        <v>46136</v>
      </c>
      <c r="I4870">
        <v>145.47999999999999</v>
      </c>
      <c r="M4870" s="1" t="s">
        <v>32</v>
      </c>
      <c r="N4870" s="1" t="s">
        <v>168</v>
      </c>
      <c r="O4870" s="2">
        <v>46152</v>
      </c>
      <c r="P4870" s="2"/>
      <c r="Q4870">
        <f>_xlfn.XLOOKUP(E4870,CPT!$A$2:$A$13,CPT!$D$2:$D$13)</f>
        <v>145</v>
      </c>
      <c r="R4870" s="1">
        <f>_xlfn.XLOOKUP(C4870,Contract!$A$2:$A$9,Contract!$B$2:$B$9)</f>
        <v>0.36</v>
      </c>
      <c r="S4870" s="1">
        <f t="shared" si="304"/>
        <v>52.2</v>
      </c>
      <c r="T4870" s="1" t="str">
        <f t="shared" si="305"/>
        <v/>
      </c>
      <c r="U4870" s="1" t="str">
        <f t="shared" si="306"/>
        <v/>
      </c>
      <c r="V4870" s="1" t="str">
        <f>_xlfn.XLOOKUP(C4870,Payers!$A$2:$A$9,Payers!$B$2:$B$9)</f>
        <v>Medicare Part B</v>
      </c>
      <c r="W4870" s="1" t="str">
        <f t="shared" si="307"/>
        <v>2026-04</v>
      </c>
    </row>
    <row r="4871" spans="1:23">
      <c r="A4871" s="1" t="s">
        <v>7560</v>
      </c>
      <c r="B4871" s="1" t="s">
        <v>3540</v>
      </c>
      <c r="C4871" s="1" t="s">
        <v>76</v>
      </c>
      <c r="D4871" s="1" t="s">
        <v>30</v>
      </c>
      <c r="E4871" s="1" t="s">
        <v>20</v>
      </c>
      <c r="F4871">
        <v>1</v>
      </c>
      <c r="G4871" s="2">
        <v>46259</v>
      </c>
      <c r="H4871" s="2">
        <v>46261</v>
      </c>
      <c r="I4871">
        <v>145.84</v>
      </c>
      <c r="J4871">
        <v>68.37</v>
      </c>
      <c r="K4871">
        <v>68.37</v>
      </c>
      <c r="L4871">
        <v>0</v>
      </c>
      <c r="M4871" s="1" t="s">
        <v>21</v>
      </c>
      <c r="N4871" s="1" t="s">
        <v>22</v>
      </c>
      <c r="O4871" s="2">
        <v>46286</v>
      </c>
      <c r="P4871" s="2">
        <v>46286</v>
      </c>
      <c r="Q4871">
        <f>_xlfn.XLOOKUP(E4871,CPT!$A$2:$A$13,CPT!$D$2:$D$13)</f>
        <v>145</v>
      </c>
      <c r="R4871" s="1">
        <f>_xlfn.XLOOKUP(C4871,Contract!$A$2:$A$9,Contract!$B$2:$B$9)</f>
        <v>0.43</v>
      </c>
      <c r="S4871" s="1">
        <f t="shared" si="304"/>
        <v>62.35</v>
      </c>
      <c r="T4871" s="1">
        <f t="shared" si="305"/>
        <v>-6.0200000000000031</v>
      </c>
      <c r="U4871" s="1" t="str">
        <f t="shared" si="306"/>
        <v>OK</v>
      </c>
      <c r="V4871" s="1" t="str">
        <f>_xlfn.XLOOKUP(C4871,Payers!$A$2:$A$9,Payers!$B$2:$B$9)</f>
        <v>Summit Health Commercial</v>
      </c>
      <c r="W4871" s="1" t="str">
        <f t="shared" si="307"/>
        <v>2026-08</v>
      </c>
    </row>
    <row r="4872" spans="1:23">
      <c r="A4872" s="1" t="s">
        <v>7561</v>
      </c>
      <c r="B4872" s="1" t="s">
        <v>3856</v>
      </c>
      <c r="C4872" s="1" t="s">
        <v>76</v>
      </c>
      <c r="D4872" s="1" t="s">
        <v>30</v>
      </c>
      <c r="E4872" s="1" t="s">
        <v>20</v>
      </c>
      <c r="F4872">
        <v>1</v>
      </c>
      <c r="G4872" s="2">
        <v>46170</v>
      </c>
      <c r="H4872" s="2">
        <v>46207</v>
      </c>
      <c r="I4872">
        <v>148.30000000000001</v>
      </c>
      <c r="J4872">
        <v>59.02</v>
      </c>
      <c r="K4872">
        <v>47.22</v>
      </c>
      <c r="L4872">
        <v>11.8</v>
      </c>
      <c r="M4872" s="1" t="s">
        <v>21</v>
      </c>
      <c r="N4872" s="1" t="s">
        <v>22</v>
      </c>
      <c r="O4872" s="2">
        <v>46232</v>
      </c>
      <c r="P4872" s="2">
        <v>46232</v>
      </c>
      <c r="Q4872">
        <f>_xlfn.XLOOKUP(E4872,CPT!$A$2:$A$13,CPT!$D$2:$D$13)</f>
        <v>145</v>
      </c>
      <c r="R4872" s="1">
        <f>_xlfn.XLOOKUP(C4872,Contract!$A$2:$A$9,Contract!$B$2:$B$9)</f>
        <v>0.43</v>
      </c>
      <c r="S4872" s="1">
        <f t="shared" si="304"/>
        <v>62.35</v>
      </c>
      <c r="T4872" s="1">
        <f t="shared" si="305"/>
        <v>3.3299999999999983</v>
      </c>
      <c r="U4872" s="1" t="str">
        <f t="shared" si="306"/>
        <v>Underpaid</v>
      </c>
      <c r="V4872" s="1" t="str">
        <f>_xlfn.XLOOKUP(C4872,Payers!$A$2:$A$9,Payers!$B$2:$B$9)</f>
        <v>Summit Health Commercial</v>
      </c>
      <c r="W4872" s="1" t="str">
        <f t="shared" si="307"/>
        <v>2026-05</v>
      </c>
    </row>
    <row r="4873" spans="1:23">
      <c r="A4873" s="1" t="s">
        <v>7562</v>
      </c>
      <c r="B4873" s="1" t="s">
        <v>6668</v>
      </c>
      <c r="C4873" s="1" t="s">
        <v>76</v>
      </c>
      <c r="D4873" s="1" t="s">
        <v>30</v>
      </c>
      <c r="E4873" s="1" t="s">
        <v>20</v>
      </c>
      <c r="F4873">
        <v>1</v>
      </c>
      <c r="G4873" s="2">
        <v>46156</v>
      </c>
      <c r="H4873" s="2">
        <v>46164</v>
      </c>
      <c r="I4873">
        <v>145.49</v>
      </c>
      <c r="J4873">
        <v>59.83</v>
      </c>
      <c r="K4873">
        <v>59.83</v>
      </c>
      <c r="L4873">
        <v>0</v>
      </c>
      <c r="M4873" s="1" t="s">
        <v>21</v>
      </c>
      <c r="N4873" s="1" t="s">
        <v>22</v>
      </c>
      <c r="O4873" s="2">
        <v>46198</v>
      </c>
      <c r="P4873" s="2">
        <v>46198</v>
      </c>
      <c r="Q4873">
        <f>_xlfn.XLOOKUP(E4873,CPT!$A$2:$A$13,CPT!$D$2:$D$13)</f>
        <v>145</v>
      </c>
      <c r="R4873" s="1">
        <f>_xlfn.XLOOKUP(C4873,Contract!$A$2:$A$9,Contract!$B$2:$B$9)</f>
        <v>0.43</v>
      </c>
      <c r="S4873" s="1">
        <f t="shared" si="304"/>
        <v>62.35</v>
      </c>
      <c r="T4873" s="1">
        <f t="shared" si="305"/>
        <v>2.5200000000000031</v>
      </c>
      <c r="U4873" s="1" t="str">
        <f t="shared" si="306"/>
        <v>OK</v>
      </c>
      <c r="V4873" s="1" t="str">
        <f>_xlfn.XLOOKUP(C4873,Payers!$A$2:$A$9,Payers!$B$2:$B$9)</f>
        <v>Summit Health Commercial</v>
      </c>
      <c r="W4873" s="1" t="str">
        <f t="shared" si="307"/>
        <v>2026-05</v>
      </c>
    </row>
    <row r="4874" spans="1:23">
      <c r="A4874" s="1" t="s">
        <v>7563</v>
      </c>
      <c r="B4874" s="1" t="s">
        <v>2130</v>
      </c>
      <c r="C4874" s="1" t="s">
        <v>60</v>
      </c>
      <c r="D4874" s="1" t="s">
        <v>26</v>
      </c>
      <c r="E4874" s="1" t="s">
        <v>41</v>
      </c>
      <c r="F4874">
        <v>1</v>
      </c>
      <c r="G4874" s="2">
        <v>46138</v>
      </c>
      <c r="H4874" s="2">
        <v>46140</v>
      </c>
      <c r="I4874">
        <v>38.700000000000003</v>
      </c>
      <c r="J4874">
        <v>20.07</v>
      </c>
      <c r="K4874">
        <v>16.059999999999999</v>
      </c>
      <c r="L4874">
        <v>4.01</v>
      </c>
      <c r="M4874" s="1" t="s">
        <v>21</v>
      </c>
      <c r="N4874" s="1" t="s">
        <v>22</v>
      </c>
      <c r="O4874" s="2">
        <v>46170</v>
      </c>
      <c r="P4874" s="2">
        <v>46170</v>
      </c>
      <c r="Q4874">
        <f>_xlfn.XLOOKUP(E4874,CPT!$A$2:$A$13,CPT!$D$2:$D$13)</f>
        <v>38</v>
      </c>
      <c r="R4874" s="1">
        <f>_xlfn.XLOOKUP(C4874,Contract!$A$2:$A$9,Contract!$B$2:$B$9)</f>
        <v>0.45</v>
      </c>
      <c r="S4874" s="1">
        <f t="shared" si="304"/>
        <v>17.100000000000001</v>
      </c>
      <c r="T4874" s="1">
        <f t="shared" si="305"/>
        <v>-2.9699999999999989</v>
      </c>
      <c r="U4874" s="1" t="str">
        <f t="shared" si="306"/>
        <v>OK</v>
      </c>
      <c r="V4874" s="1" t="str">
        <f>_xlfn.XLOOKUP(C4874,Payers!$A$2:$A$9,Payers!$B$2:$B$9)</f>
        <v>Blue Horizon Commercial</v>
      </c>
      <c r="W4874" s="1" t="str">
        <f t="shared" si="307"/>
        <v>2026-04</v>
      </c>
    </row>
    <row r="4875" spans="1:23">
      <c r="A4875" s="1" t="s">
        <v>7564</v>
      </c>
      <c r="B4875" s="1" t="s">
        <v>7565</v>
      </c>
      <c r="C4875" s="1" t="s">
        <v>76</v>
      </c>
      <c r="D4875" s="1" t="s">
        <v>19</v>
      </c>
      <c r="E4875" s="1" t="s">
        <v>41</v>
      </c>
      <c r="F4875">
        <v>1</v>
      </c>
      <c r="G4875" s="2">
        <v>46211</v>
      </c>
      <c r="H4875" s="2">
        <v>46214</v>
      </c>
      <c r="I4875">
        <v>37.229999999999997</v>
      </c>
      <c r="J4875">
        <v>17.07</v>
      </c>
      <c r="K4875">
        <v>17.07</v>
      </c>
      <c r="L4875">
        <v>0</v>
      </c>
      <c r="M4875" s="1" t="s">
        <v>21</v>
      </c>
      <c r="N4875" s="1" t="s">
        <v>22</v>
      </c>
      <c r="O4875" s="2">
        <v>46248</v>
      </c>
      <c r="P4875" s="2">
        <v>46248</v>
      </c>
      <c r="Q4875">
        <f>_xlfn.XLOOKUP(E4875,CPT!$A$2:$A$13,CPT!$D$2:$D$13)</f>
        <v>38</v>
      </c>
      <c r="R4875" s="1">
        <f>_xlfn.XLOOKUP(C4875,Contract!$A$2:$A$9,Contract!$B$2:$B$9)</f>
        <v>0.43</v>
      </c>
      <c r="S4875" s="1">
        <f t="shared" si="304"/>
        <v>16.34</v>
      </c>
      <c r="T4875" s="1">
        <f t="shared" si="305"/>
        <v>-0.73000000000000043</v>
      </c>
      <c r="U4875" s="1" t="str">
        <f t="shared" si="306"/>
        <v>OK</v>
      </c>
      <c r="V4875" s="1" t="str">
        <f>_xlfn.XLOOKUP(C4875,Payers!$A$2:$A$9,Payers!$B$2:$B$9)</f>
        <v>Summit Health Commercial</v>
      </c>
      <c r="W4875" s="1" t="str">
        <f t="shared" si="307"/>
        <v>2026-07</v>
      </c>
    </row>
    <row r="4876" spans="1:23">
      <c r="A4876" s="1" t="s">
        <v>7566</v>
      </c>
      <c r="B4876" s="1" t="s">
        <v>4423</v>
      </c>
      <c r="C4876" s="1" t="s">
        <v>60</v>
      </c>
      <c r="D4876" s="1" t="s">
        <v>26</v>
      </c>
      <c r="E4876" s="1" t="s">
        <v>88</v>
      </c>
      <c r="F4876">
        <v>1</v>
      </c>
      <c r="G4876" s="2">
        <v>45972</v>
      </c>
      <c r="H4876" s="2">
        <v>45977</v>
      </c>
      <c r="I4876">
        <v>252.62</v>
      </c>
      <c r="J4876">
        <v>115.68</v>
      </c>
      <c r="K4876">
        <v>104.11</v>
      </c>
      <c r="L4876">
        <v>11.57</v>
      </c>
      <c r="M4876" s="1" t="s">
        <v>21</v>
      </c>
      <c r="N4876" s="1" t="s">
        <v>22</v>
      </c>
      <c r="O4876" s="2">
        <v>46006</v>
      </c>
      <c r="P4876" s="2">
        <v>46006</v>
      </c>
      <c r="Q4876">
        <f>_xlfn.XLOOKUP(E4876,CPT!$A$2:$A$13,CPT!$D$2:$D$13)</f>
        <v>260</v>
      </c>
      <c r="R4876" s="1">
        <f>_xlfn.XLOOKUP(C4876,Contract!$A$2:$A$9,Contract!$B$2:$B$9)</f>
        <v>0.45</v>
      </c>
      <c r="S4876" s="1">
        <f t="shared" si="304"/>
        <v>117</v>
      </c>
      <c r="T4876" s="1">
        <f t="shared" si="305"/>
        <v>1.3199999999999932</v>
      </c>
      <c r="U4876" s="1" t="str">
        <f t="shared" si="306"/>
        <v>OK</v>
      </c>
      <c r="V4876" s="1" t="str">
        <f>_xlfn.XLOOKUP(C4876,Payers!$A$2:$A$9,Payers!$B$2:$B$9)</f>
        <v>Blue Horizon Commercial</v>
      </c>
      <c r="W4876" s="1" t="str">
        <f t="shared" si="307"/>
        <v>2025-11</v>
      </c>
    </row>
    <row r="4877" spans="1:23">
      <c r="A4877" s="1" t="s">
        <v>7567</v>
      </c>
      <c r="B4877" s="1" t="s">
        <v>4037</v>
      </c>
      <c r="C4877" s="1" t="s">
        <v>76</v>
      </c>
      <c r="D4877" s="1" t="s">
        <v>37</v>
      </c>
      <c r="E4877" s="1" t="s">
        <v>38</v>
      </c>
      <c r="F4877">
        <v>5</v>
      </c>
      <c r="G4877" s="2">
        <v>45958</v>
      </c>
      <c r="H4877" s="2">
        <v>45959</v>
      </c>
      <c r="I4877">
        <v>7071.54</v>
      </c>
      <c r="J4877">
        <v>3161.29</v>
      </c>
      <c r="K4877">
        <v>2845.16</v>
      </c>
      <c r="L4877">
        <v>316.13</v>
      </c>
      <c r="M4877" s="1" t="s">
        <v>21</v>
      </c>
      <c r="N4877" s="1" t="s">
        <v>22</v>
      </c>
      <c r="O4877" s="2">
        <v>45995</v>
      </c>
      <c r="P4877" s="2">
        <v>45995</v>
      </c>
      <c r="Q4877">
        <f>_xlfn.XLOOKUP(E4877,CPT!$A$2:$A$13,CPT!$D$2:$D$13)</f>
        <v>1450</v>
      </c>
      <c r="R4877" s="1">
        <f>_xlfn.XLOOKUP(C4877,Contract!$A$2:$A$9,Contract!$B$2:$B$9)</f>
        <v>0.43</v>
      </c>
      <c r="S4877" s="1">
        <f t="shared" si="304"/>
        <v>3117.5</v>
      </c>
      <c r="T4877" s="1">
        <f t="shared" si="305"/>
        <v>-43.789999999999964</v>
      </c>
      <c r="U4877" s="1" t="str">
        <f t="shared" si="306"/>
        <v>OK</v>
      </c>
      <c r="V4877" s="1" t="str">
        <f>_xlfn.XLOOKUP(C4877,Payers!$A$2:$A$9,Payers!$B$2:$B$9)</f>
        <v>Summit Health Commercial</v>
      </c>
      <c r="W4877" s="1" t="str">
        <f t="shared" si="307"/>
        <v>2025-10</v>
      </c>
    </row>
    <row r="4878" spans="1:23">
      <c r="A4878" s="1" t="s">
        <v>7568</v>
      </c>
      <c r="B4878" s="1" t="s">
        <v>7461</v>
      </c>
      <c r="C4878" s="1" t="s">
        <v>60</v>
      </c>
      <c r="D4878" s="1" t="s">
        <v>26</v>
      </c>
      <c r="E4878" s="1" t="s">
        <v>27</v>
      </c>
      <c r="F4878">
        <v>1</v>
      </c>
      <c r="G4878" s="2">
        <v>46091</v>
      </c>
      <c r="H4878" s="2">
        <v>46095</v>
      </c>
      <c r="I4878">
        <v>242.69</v>
      </c>
      <c r="M4878" s="1" t="s">
        <v>32</v>
      </c>
      <c r="N4878" s="1" t="s">
        <v>98</v>
      </c>
      <c r="O4878" s="2">
        <v>46127</v>
      </c>
      <c r="P4878" s="2"/>
      <c r="Q4878">
        <f>_xlfn.XLOOKUP(E4878,CPT!$A$2:$A$13,CPT!$D$2:$D$13)</f>
        <v>240</v>
      </c>
      <c r="R4878" s="1">
        <f>_xlfn.XLOOKUP(C4878,Contract!$A$2:$A$9,Contract!$B$2:$B$9)</f>
        <v>0.45</v>
      </c>
      <c r="S4878" s="1">
        <f t="shared" si="304"/>
        <v>108</v>
      </c>
      <c r="T4878" s="1" t="str">
        <f t="shared" si="305"/>
        <v/>
      </c>
      <c r="U4878" s="1" t="str">
        <f t="shared" si="306"/>
        <v/>
      </c>
      <c r="V4878" s="1" t="str">
        <f>_xlfn.XLOOKUP(C4878,Payers!$A$2:$A$9,Payers!$B$2:$B$9)</f>
        <v>Blue Horizon Commercial</v>
      </c>
      <c r="W4878" s="1" t="str">
        <f t="shared" si="307"/>
        <v>2026-03</v>
      </c>
    </row>
    <row r="4879" spans="1:23">
      <c r="A4879" s="1" t="s">
        <v>7569</v>
      </c>
      <c r="B4879" s="1" t="s">
        <v>2018</v>
      </c>
      <c r="C4879" s="1" t="s">
        <v>36</v>
      </c>
      <c r="D4879" s="1" t="s">
        <v>19</v>
      </c>
      <c r="E4879" s="1" t="s">
        <v>88</v>
      </c>
      <c r="F4879">
        <v>1</v>
      </c>
      <c r="G4879" s="2">
        <v>46175</v>
      </c>
      <c r="H4879" s="2">
        <v>46178</v>
      </c>
      <c r="I4879">
        <v>263.89</v>
      </c>
      <c r="M4879" s="1" t="s">
        <v>32</v>
      </c>
      <c r="N4879" s="1" t="s">
        <v>124</v>
      </c>
      <c r="O4879" s="2">
        <v>46212</v>
      </c>
      <c r="P4879" s="2"/>
      <c r="Q4879">
        <f>_xlfn.XLOOKUP(E4879,CPT!$A$2:$A$13,CPT!$D$2:$D$13)</f>
        <v>260</v>
      </c>
      <c r="R4879" s="1">
        <f>_xlfn.XLOOKUP(C4879,Contract!$A$2:$A$9,Contract!$B$2:$B$9)</f>
        <v>0.27</v>
      </c>
      <c r="S4879" s="1">
        <f t="shared" si="304"/>
        <v>70.2</v>
      </c>
      <c r="T4879" s="1" t="str">
        <f t="shared" si="305"/>
        <v/>
      </c>
      <c r="U4879" s="1" t="str">
        <f t="shared" si="306"/>
        <v/>
      </c>
      <c r="V4879" s="1" t="str">
        <f>_xlfn.XLOOKUP(C4879,Payers!$A$2:$A$9,Payers!$B$2:$B$9)</f>
        <v>Florida Medicaid</v>
      </c>
      <c r="W4879" s="1" t="str">
        <f t="shared" si="307"/>
        <v>2026-06</v>
      </c>
    </row>
    <row r="4880" spans="1:23">
      <c r="A4880" s="1" t="s">
        <v>7570</v>
      </c>
      <c r="B4880" s="1" t="s">
        <v>3000</v>
      </c>
      <c r="C4880" s="1" t="s">
        <v>76</v>
      </c>
      <c r="D4880" s="1" t="s">
        <v>26</v>
      </c>
      <c r="E4880" s="1" t="s">
        <v>41</v>
      </c>
      <c r="F4880">
        <v>1</v>
      </c>
      <c r="G4880" s="2">
        <v>46099</v>
      </c>
      <c r="H4880" s="2">
        <v>46104</v>
      </c>
      <c r="I4880">
        <v>37.49</v>
      </c>
      <c r="J4880">
        <v>13.84</v>
      </c>
      <c r="K4880">
        <v>13.84</v>
      </c>
      <c r="L4880">
        <v>0</v>
      </c>
      <c r="M4880" s="1" t="s">
        <v>21</v>
      </c>
      <c r="N4880" s="1" t="s">
        <v>22</v>
      </c>
      <c r="O4880" s="2">
        <v>46142</v>
      </c>
      <c r="P4880" s="2">
        <v>46142</v>
      </c>
      <c r="Q4880">
        <f>_xlfn.XLOOKUP(E4880,CPT!$A$2:$A$13,CPT!$D$2:$D$13)</f>
        <v>38</v>
      </c>
      <c r="R4880" s="1">
        <f>_xlfn.XLOOKUP(C4880,Contract!$A$2:$A$9,Contract!$B$2:$B$9)</f>
        <v>0.43</v>
      </c>
      <c r="S4880" s="1">
        <f t="shared" si="304"/>
        <v>16.34</v>
      </c>
      <c r="T4880" s="1">
        <f t="shared" si="305"/>
        <v>2.5</v>
      </c>
      <c r="U4880" s="1" t="str">
        <f t="shared" si="306"/>
        <v>Underpaid</v>
      </c>
      <c r="V4880" s="1" t="str">
        <f>_xlfn.XLOOKUP(C4880,Payers!$A$2:$A$9,Payers!$B$2:$B$9)</f>
        <v>Summit Health Commercial</v>
      </c>
      <c r="W4880" s="1" t="str">
        <f t="shared" si="307"/>
        <v>2026-03</v>
      </c>
    </row>
    <row r="4881" spans="1:23">
      <c r="A4881" s="1" t="s">
        <v>7571</v>
      </c>
      <c r="B4881" s="1" t="s">
        <v>7572</v>
      </c>
      <c r="C4881" s="1" t="s">
        <v>25</v>
      </c>
      <c r="D4881" s="1" t="s">
        <v>26</v>
      </c>
      <c r="E4881" s="1" t="s">
        <v>44</v>
      </c>
      <c r="F4881">
        <v>1</v>
      </c>
      <c r="G4881" s="2">
        <v>46135</v>
      </c>
      <c r="H4881" s="2">
        <v>46139</v>
      </c>
      <c r="I4881">
        <v>4772.84</v>
      </c>
      <c r="M4881" s="1" t="s">
        <v>32</v>
      </c>
      <c r="N4881" s="1" t="s">
        <v>168</v>
      </c>
      <c r="O4881" s="2">
        <v>46163</v>
      </c>
      <c r="P4881" s="2"/>
      <c r="Q4881">
        <f>_xlfn.XLOOKUP(E4881,CPT!$A$2:$A$13,CPT!$D$2:$D$13)</f>
        <v>4800</v>
      </c>
      <c r="R4881" s="1">
        <f>_xlfn.XLOOKUP(C4881,Contract!$A$2:$A$9,Contract!$B$2:$B$9)</f>
        <v>0.36</v>
      </c>
      <c r="S4881" s="1">
        <f t="shared" si="304"/>
        <v>1728</v>
      </c>
      <c r="T4881" s="1" t="str">
        <f t="shared" si="305"/>
        <v/>
      </c>
      <c r="U4881" s="1" t="str">
        <f t="shared" si="306"/>
        <v/>
      </c>
      <c r="V4881" s="1" t="str">
        <f>_xlfn.XLOOKUP(C4881,Payers!$A$2:$A$9,Payers!$B$2:$B$9)</f>
        <v>Medicare Part B</v>
      </c>
      <c r="W4881" s="1" t="str">
        <f t="shared" si="307"/>
        <v>2026-04</v>
      </c>
    </row>
    <row r="4882" spans="1:23">
      <c r="A4882" s="1" t="s">
        <v>7573</v>
      </c>
      <c r="B4882" s="1" t="s">
        <v>720</v>
      </c>
      <c r="C4882" s="1" t="s">
        <v>18</v>
      </c>
      <c r="D4882" s="1" t="s">
        <v>26</v>
      </c>
      <c r="E4882" s="1" t="s">
        <v>88</v>
      </c>
      <c r="F4882">
        <v>1</v>
      </c>
      <c r="G4882" s="2">
        <v>46198</v>
      </c>
      <c r="H4882" s="2">
        <v>46213</v>
      </c>
      <c r="I4882">
        <v>262.31</v>
      </c>
      <c r="J4882">
        <v>97.53</v>
      </c>
      <c r="K4882">
        <v>87.78</v>
      </c>
      <c r="L4882">
        <v>9.75</v>
      </c>
      <c r="M4882" s="1" t="s">
        <v>21</v>
      </c>
      <c r="N4882" s="1" t="s">
        <v>22</v>
      </c>
      <c r="O4882" s="2">
        <v>46261</v>
      </c>
      <c r="P4882" s="2">
        <v>46261</v>
      </c>
      <c r="Q4882">
        <f>_xlfn.XLOOKUP(E4882,CPT!$A$2:$A$13,CPT!$D$2:$D$13)</f>
        <v>260</v>
      </c>
      <c r="R4882" s="1">
        <f>_xlfn.XLOOKUP(C4882,Contract!$A$2:$A$9,Contract!$B$2:$B$9)</f>
        <v>0.38</v>
      </c>
      <c r="S4882" s="1">
        <f t="shared" si="304"/>
        <v>98.8</v>
      </c>
      <c r="T4882" s="1">
        <f t="shared" si="305"/>
        <v>1.269999999999996</v>
      </c>
      <c r="U4882" s="1" t="str">
        <f t="shared" si="306"/>
        <v>OK</v>
      </c>
      <c r="V4882" s="1" t="str">
        <f>_xlfn.XLOOKUP(C4882,Payers!$A$2:$A$9,Payers!$B$2:$B$9)</f>
        <v>Sunshine Medicare Advantage</v>
      </c>
      <c r="W4882" s="1" t="str">
        <f t="shared" si="307"/>
        <v>2026-06</v>
      </c>
    </row>
    <row r="4883" spans="1:23">
      <c r="A4883" s="1" t="s">
        <v>7574</v>
      </c>
      <c r="B4883" s="1" t="s">
        <v>1179</v>
      </c>
      <c r="C4883" s="1" t="s">
        <v>60</v>
      </c>
      <c r="D4883" s="1" t="s">
        <v>37</v>
      </c>
      <c r="E4883" s="1" t="s">
        <v>48</v>
      </c>
      <c r="F4883">
        <v>1</v>
      </c>
      <c r="G4883" s="2">
        <v>46156</v>
      </c>
      <c r="H4883" s="2">
        <v>46165</v>
      </c>
      <c r="I4883">
        <v>431.24</v>
      </c>
      <c r="M4883" s="1" t="s">
        <v>32</v>
      </c>
      <c r="N4883" s="1" t="s">
        <v>315</v>
      </c>
      <c r="O4883" s="2">
        <v>46187</v>
      </c>
      <c r="P4883" s="2"/>
      <c r="Q4883">
        <f>_xlfn.XLOOKUP(E4883,CPT!$A$2:$A$13,CPT!$D$2:$D$13)</f>
        <v>420</v>
      </c>
      <c r="R4883" s="1">
        <f>_xlfn.XLOOKUP(C4883,Contract!$A$2:$A$9,Contract!$B$2:$B$9)</f>
        <v>0.45</v>
      </c>
      <c r="S4883" s="1">
        <f t="shared" si="304"/>
        <v>189</v>
      </c>
      <c r="T4883" s="1" t="str">
        <f t="shared" si="305"/>
        <v/>
      </c>
      <c r="U4883" s="1" t="str">
        <f t="shared" si="306"/>
        <v/>
      </c>
      <c r="V4883" s="1" t="str">
        <f>_xlfn.XLOOKUP(C4883,Payers!$A$2:$A$9,Payers!$B$2:$B$9)</f>
        <v>Blue Horizon Commercial</v>
      </c>
      <c r="W4883" s="1" t="str">
        <f t="shared" si="307"/>
        <v>2026-05</v>
      </c>
    </row>
    <row r="4884" spans="1:23">
      <c r="A4884" s="1" t="s">
        <v>7575</v>
      </c>
      <c r="B4884" s="1" t="s">
        <v>724</v>
      </c>
      <c r="C4884" s="1" t="s">
        <v>79</v>
      </c>
      <c r="D4884" s="1" t="s">
        <v>30</v>
      </c>
      <c r="E4884" s="1" t="s">
        <v>20</v>
      </c>
      <c r="F4884">
        <v>1</v>
      </c>
      <c r="G4884" s="2">
        <v>46130</v>
      </c>
      <c r="H4884" s="2">
        <v>46233</v>
      </c>
      <c r="I4884">
        <v>146.74</v>
      </c>
      <c r="M4884" s="1" t="s">
        <v>69</v>
      </c>
      <c r="N4884" s="1" t="s">
        <v>22</v>
      </c>
      <c r="O4884" s="2"/>
      <c r="P4884" s="2"/>
      <c r="Q4884">
        <f>_xlfn.XLOOKUP(E4884,CPT!$A$2:$A$13,CPT!$D$2:$D$13)</f>
        <v>145</v>
      </c>
      <c r="R4884" s="1">
        <f>_xlfn.XLOOKUP(C4884,Contract!$A$2:$A$9,Contract!$B$2:$B$9)</f>
        <v>1</v>
      </c>
      <c r="S4884" s="1">
        <f t="shared" si="304"/>
        <v>145</v>
      </c>
      <c r="T4884" s="1" t="str">
        <f t="shared" si="305"/>
        <v/>
      </c>
      <c r="U4884" s="1" t="str">
        <f t="shared" si="306"/>
        <v/>
      </c>
      <c r="V4884" s="1" t="str">
        <f>_xlfn.XLOOKUP(C4884,Payers!$A$2:$A$9,Payers!$B$2:$B$9)</f>
        <v>Self-Pay</v>
      </c>
      <c r="W4884" s="1" t="str">
        <f t="shared" si="307"/>
        <v>2026-04</v>
      </c>
    </row>
    <row r="4885" spans="1:23">
      <c r="A4885" s="1" t="s">
        <v>7576</v>
      </c>
      <c r="B4885" s="1" t="s">
        <v>4947</v>
      </c>
      <c r="C4885" s="1" t="s">
        <v>52</v>
      </c>
      <c r="D4885" s="1" t="s">
        <v>19</v>
      </c>
      <c r="E4885" s="1" t="s">
        <v>57</v>
      </c>
      <c r="F4885">
        <v>1</v>
      </c>
      <c r="G4885" s="2">
        <v>45998</v>
      </c>
      <c r="H4885" s="2">
        <v>46002</v>
      </c>
      <c r="I4885">
        <v>212</v>
      </c>
      <c r="J4885">
        <v>112.89</v>
      </c>
      <c r="K4885">
        <v>101.6</v>
      </c>
      <c r="L4885">
        <v>11.29</v>
      </c>
      <c r="M4885" s="1" t="s">
        <v>21</v>
      </c>
      <c r="N4885" s="1" t="s">
        <v>22</v>
      </c>
      <c r="O4885" s="2">
        <v>46077</v>
      </c>
      <c r="P4885" s="2">
        <v>46077</v>
      </c>
      <c r="Q4885">
        <f>_xlfn.XLOOKUP(E4885,CPT!$A$2:$A$13,CPT!$D$2:$D$13)</f>
        <v>210</v>
      </c>
      <c r="R4885" s="1">
        <f>_xlfn.XLOOKUP(C4885,Contract!$A$2:$A$9,Contract!$B$2:$B$9)</f>
        <v>0.47</v>
      </c>
      <c r="S4885" s="1">
        <f t="shared" si="304"/>
        <v>98.7</v>
      </c>
      <c r="T4885" s="1">
        <f t="shared" si="305"/>
        <v>-14.189999999999998</v>
      </c>
      <c r="U4885" s="1" t="str">
        <f t="shared" si="306"/>
        <v>OK</v>
      </c>
      <c r="V4885" s="1" t="str">
        <f>_xlfn.XLOOKUP(C4885,Payers!$A$2:$A$9,Payers!$B$2:$B$9)</f>
        <v>Keystone Commercial PPO</v>
      </c>
      <c r="W4885" s="1" t="str">
        <f t="shared" si="307"/>
        <v>2025-12</v>
      </c>
    </row>
    <row r="4886" spans="1:23">
      <c r="A4886" s="1" t="s">
        <v>7577</v>
      </c>
      <c r="B4886" s="1" t="s">
        <v>7578</v>
      </c>
      <c r="C4886" s="1" t="s">
        <v>47</v>
      </c>
      <c r="D4886" s="1" t="s">
        <v>37</v>
      </c>
      <c r="E4886" s="1" t="s">
        <v>57</v>
      </c>
      <c r="F4886">
        <v>1</v>
      </c>
      <c r="G4886" s="2">
        <v>46165</v>
      </c>
      <c r="H4886" s="2">
        <v>46167</v>
      </c>
      <c r="I4886">
        <v>211.25</v>
      </c>
      <c r="J4886">
        <v>51.27</v>
      </c>
      <c r="K4886">
        <v>51.27</v>
      </c>
      <c r="L4886">
        <v>0</v>
      </c>
      <c r="M4886" s="1" t="s">
        <v>21</v>
      </c>
      <c r="N4886" s="1" t="s">
        <v>22</v>
      </c>
      <c r="O4886" s="2">
        <v>46230</v>
      </c>
      <c r="P4886" s="2">
        <v>46230</v>
      </c>
      <c r="Q4886">
        <f>_xlfn.XLOOKUP(E4886,CPT!$A$2:$A$13,CPT!$D$2:$D$13)</f>
        <v>210</v>
      </c>
      <c r="R4886" s="1">
        <f>_xlfn.XLOOKUP(C4886,Contract!$A$2:$A$9,Contract!$B$2:$B$9)</f>
        <v>0.28000000000000003</v>
      </c>
      <c r="S4886" s="1">
        <f t="shared" si="304"/>
        <v>58.8</v>
      </c>
      <c r="T4886" s="1">
        <f t="shared" si="305"/>
        <v>7.529999999999994</v>
      </c>
      <c r="U4886" s="1" t="str">
        <f t="shared" si="306"/>
        <v>Underpaid</v>
      </c>
      <c r="V4886" s="1" t="str">
        <f>_xlfn.XLOOKUP(C4886,Payers!$A$2:$A$9,Payers!$B$2:$B$9)</f>
        <v>Coastal Medicaid MCO</v>
      </c>
      <c r="W4886" s="1" t="str">
        <f t="shared" si="307"/>
        <v>2026-05</v>
      </c>
    </row>
    <row r="4887" spans="1:23">
      <c r="A4887" s="1" t="s">
        <v>7579</v>
      </c>
      <c r="B4887" s="1" t="s">
        <v>2349</v>
      </c>
      <c r="C4887" s="1" t="s">
        <v>36</v>
      </c>
      <c r="D4887" s="1" t="s">
        <v>30</v>
      </c>
      <c r="E4887" s="1" t="s">
        <v>31</v>
      </c>
      <c r="F4887">
        <v>1</v>
      </c>
      <c r="G4887" s="2">
        <v>46151</v>
      </c>
      <c r="H4887" s="2">
        <v>46157</v>
      </c>
      <c r="I4887">
        <v>63.47</v>
      </c>
      <c r="J4887">
        <v>17.23</v>
      </c>
      <c r="K4887">
        <v>17.23</v>
      </c>
      <c r="L4887">
        <v>0</v>
      </c>
      <c r="M4887" s="1" t="s">
        <v>21</v>
      </c>
      <c r="N4887" s="1" t="s">
        <v>22</v>
      </c>
      <c r="O4887" s="2">
        <v>46210</v>
      </c>
      <c r="P4887" s="2">
        <v>46210</v>
      </c>
      <c r="Q4887">
        <f>_xlfn.XLOOKUP(E4887,CPT!$A$2:$A$13,CPT!$D$2:$D$13)</f>
        <v>62</v>
      </c>
      <c r="R4887" s="1">
        <f>_xlfn.XLOOKUP(C4887,Contract!$A$2:$A$9,Contract!$B$2:$B$9)</f>
        <v>0.27</v>
      </c>
      <c r="S4887" s="1">
        <f t="shared" si="304"/>
        <v>16.739999999999998</v>
      </c>
      <c r="T4887" s="1">
        <f t="shared" si="305"/>
        <v>-0.49000000000000199</v>
      </c>
      <c r="U4887" s="1" t="str">
        <f t="shared" si="306"/>
        <v>OK</v>
      </c>
      <c r="V4887" s="1" t="str">
        <f>_xlfn.XLOOKUP(C4887,Payers!$A$2:$A$9,Payers!$B$2:$B$9)</f>
        <v>Florida Medicaid</v>
      </c>
      <c r="W4887" s="1" t="str">
        <f t="shared" si="307"/>
        <v>2026-05</v>
      </c>
    </row>
    <row r="4888" spans="1:23">
      <c r="A4888" s="1" t="s">
        <v>7580</v>
      </c>
      <c r="B4888" s="1" t="s">
        <v>2633</v>
      </c>
      <c r="C4888" s="1" t="s">
        <v>25</v>
      </c>
      <c r="D4888" s="1" t="s">
        <v>26</v>
      </c>
      <c r="E4888" s="1" t="s">
        <v>41</v>
      </c>
      <c r="F4888">
        <v>1</v>
      </c>
      <c r="G4888" s="2">
        <v>46235</v>
      </c>
      <c r="H4888" s="2">
        <v>46236</v>
      </c>
      <c r="I4888">
        <v>37.94</v>
      </c>
      <c r="J4888">
        <v>14.64</v>
      </c>
      <c r="K4888">
        <v>11.71</v>
      </c>
      <c r="L4888">
        <v>2.93</v>
      </c>
      <c r="M4888" s="1" t="s">
        <v>21</v>
      </c>
      <c r="N4888" s="1" t="s">
        <v>22</v>
      </c>
      <c r="O4888" s="2">
        <v>46246</v>
      </c>
      <c r="P4888" s="2">
        <v>46246</v>
      </c>
      <c r="Q4888">
        <f>_xlfn.XLOOKUP(E4888,CPT!$A$2:$A$13,CPT!$D$2:$D$13)</f>
        <v>38</v>
      </c>
      <c r="R4888" s="1">
        <f>_xlfn.XLOOKUP(C4888,Contract!$A$2:$A$9,Contract!$B$2:$B$9)</f>
        <v>0.36</v>
      </c>
      <c r="S4888" s="1">
        <f t="shared" si="304"/>
        <v>13.68</v>
      </c>
      <c r="T4888" s="1">
        <f t="shared" si="305"/>
        <v>-0.96000000000000085</v>
      </c>
      <c r="U4888" s="1" t="str">
        <f t="shared" si="306"/>
        <v>OK</v>
      </c>
      <c r="V4888" s="1" t="str">
        <f>_xlfn.XLOOKUP(C4888,Payers!$A$2:$A$9,Payers!$B$2:$B$9)</f>
        <v>Medicare Part B</v>
      </c>
      <c r="W4888" s="1" t="str">
        <f t="shared" si="307"/>
        <v>2026-08</v>
      </c>
    </row>
    <row r="4889" spans="1:23">
      <c r="A4889" s="1" t="s">
        <v>7581</v>
      </c>
      <c r="B4889" s="1" t="s">
        <v>7582</v>
      </c>
      <c r="C4889" s="1" t="s">
        <v>60</v>
      </c>
      <c r="D4889" s="1" t="s">
        <v>19</v>
      </c>
      <c r="E4889" s="1" t="s">
        <v>57</v>
      </c>
      <c r="F4889">
        <v>1</v>
      </c>
      <c r="G4889" s="2">
        <v>46006</v>
      </c>
      <c r="H4889" s="2">
        <v>46019</v>
      </c>
      <c r="I4889">
        <v>205.58</v>
      </c>
      <c r="J4889">
        <v>92.91</v>
      </c>
      <c r="K4889">
        <v>92.91</v>
      </c>
      <c r="L4889">
        <v>0</v>
      </c>
      <c r="M4889" s="1" t="s">
        <v>21</v>
      </c>
      <c r="N4889" s="1" t="s">
        <v>22</v>
      </c>
      <c r="O4889" s="2">
        <v>46043</v>
      </c>
      <c r="P4889" s="2">
        <v>46043</v>
      </c>
      <c r="Q4889">
        <f>_xlfn.XLOOKUP(E4889,CPT!$A$2:$A$13,CPT!$D$2:$D$13)</f>
        <v>210</v>
      </c>
      <c r="R4889" s="1">
        <f>_xlfn.XLOOKUP(C4889,Contract!$A$2:$A$9,Contract!$B$2:$B$9)</f>
        <v>0.45</v>
      </c>
      <c r="S4889" s="1">
        <f t="shared" si="304"/>
        <v>94.5</v>
      </c>
      <c r="T4889" s="1">
        <f t="shared" si="305"/>
        <v>1.5900000000000034</v>
      </c>
      <c r="U4889" s="1" t="str">
        <f t="shared" si="306"/>
        <v>OK</v>
      </c>
      <c r="V4889" s="1" t="str">
        <f>_xlfn.XLOOKUP(C4889,Payers!$A$2:$A$9,Payers!$B$2:$B$9)</f>
        <v>Blue Horizon Commercial</v>
      </c>
      <c r="W4889" s="1" t="str">
        <f t="shared" si="307"/>
        <v>2025-12</v>
      </c>
    </row>
    <row r="4890" spans="1:23">
      <c r="A4890" s="1" t="s">
        <v>7583</v>
      </c>
      <c r="B4890" s="1" t="s">
        <v>1507</v>
      </c>
      <c r="C4890" s="1" t="s">
        <v>36</v>
      </c>
      <c r="D4890" s="1" t="s">
        <v>19</v>
      </c>
      <c r="E4890" s="1" t="s">
        <v>57</v>
      </c>
      <c r="F4890">
        <v>1</v>
      </c>
      <c r="G4890" s="2">
        <v>46094</v>
      </c>
      <c r="H4890" s="2">
        <v>46101</v>
      </c>
      <c r="I4890">
        <v>214.03</v>
      </c>
      <c r="J4890">
        <v>65.069999999999993</v>
      </c>
      <c r="K4890">
        <v>65.069999999999993</v>
      </c>
      <c r="L4890">
        <v>0</v>
      </c>
      <c r="M4890" s="1" t="s">
        <v>21</v>
      </c>
      <c r="N4890" s="1" t="s">
        <v>22</v>
      </c>
      <c r="O4890" s="2">
        <v>46139</v>
      </c>
      <c r="P4890" s="2">
        <v>46139</v>
      </c>
      <c r="Q4890">
        <f>_xlfn.XLOOKUP(E4890,CPT!$A$2:$A$13,CPT!$D$2:$D$13)</f>
        <v>210</v>
      </c>
      <c r="R4890" s="1">
        <f>_xlfn.XLOOKUP(C4890,Contract!$A$2:$A$9,Contract!$B$2:$B$9)</f>
        <v>0.27</v>
      </c>
      <c r="S4890" s="1">
        <f t="shared" si="304"/>
        <v>56.7</v>
      </c>
      <c r="T4890" s="1">
        <f t="shared" si="305"/>
        <v>-8.3699999999999903</v>
      </c>
      <c r="U4890" s="1" t="str">
        <f t="shared" si="306"/>
        <v>OK</v>
      </c>
      <c r="V4890" s="1" t="str">
        <f>_xlfn.XLOOKUP(C4890,Payers!$A$2:$A$9,Payers!$B$2:$B$9)</f>
        <v>Florida Medicaid</v>
      </c>
      <c r="W4890" s="1" t="str">
        <f t="shared" si="307"/>
        <v>2026-03</v>
      </c>
    </row>
    <row r="4891" spans="1:23">
      <c r="A4891" s="1" t="s">
        <v>7584</v>
      </c>
      <c r="B4891" s="1" t="s">
        <v>2148</v>
      </c>
      <c r="C4891" s="1" t="s">
        <v>76</v>
      </c>
      <c r="D4891" s="1" t="s">
        <v>26</v>
      </c>
      <c r="E4891" s="1" t="s">
        <v>185</v>
      </c>
      <c r="F4891">
        <v>1</v>
      </c>
      <c r="G4891" s="2">
        <v>46068</v>
      </c>
      <c r="H4891" s="2">
        <v>46074</v>
      </c>
      <c r="I4891">
        <v>1120.43</v>
      </c>
      <c r="J4891">
        <v>413.1</v>
      </c>
      <c r="K4891">
        <v>413.1</v>
      </c>
      <c r="L4891">
        <v>0</v>
      </c>
      <c r="M4891" s="1" t="s">
        <v>21</v>
      </c>
      <c r="N4891" s="1" t="s">
        <v>22</v>
      </c>
      <c r="O4891" s="2">
        <v>46100</v>
      </c>
      <c r="P4891" s="2">
        <v>46100</v>
      </c>
      <c r="Q4891">
        <f>_xlfn.XLOOKUP(E4891,CPT!$A$2:$A$13,CPT!$D$2:$D$13)</f>
        <v>1150</v>
      </c>
      <c r="R4891" s="1">
        <f>_xlfn.XLOOKUP(C4891,Contract!$A$2:$A$9,Contract!$B$2:$B$9)</f>
        <v>0.43</v>
      </c>
      <c r="S4891" s="1">
        <f t="shared" si="304"/>
        <v>494.5</v>
      </c>
      <c r="T4891" s="1">
        <f t="shared" si="305"/>
        <v>81.399999999999977</v>
      </c>
      <c r="U4891" s="1" t="str">
        <f t="shared" si="306"/>
        <v>Underpaid</v>
      </c>
      <c r="V4891" s="1" t="str">
        <f>_xlfn.XLOOKUP(C4891,Payers!$A$2:$A$9,Payers!$B$2:$B$9)</f>
        <v>Summit Health Commercial</v>
      </c>
      <c r="W4891" s="1" t="str">
        <f t="shared" si="307"/>
        <v>2026-02</v>
      </c>
    </row>
    <row r="4892" spans="1:23">
      <c r="A4892" s="1" t="s">
        <v>7585</v>
      </c>
      <c r="B4892" s="1" t="s">
        <v>3266</v>
      </c>
      <c r="C4892" s="1" t="s">
        <v>76</v>
      </c>
      <c r="D4892" s="1" t="s">
        <v>19</v>
      </c>
      <c r="E4892" s="1" t="s">
        <v>20</v>
      </c>
      <c r="F4892">
        <v>1</v>
      </c>
      <c r="G4892" s="2">
        <v>46209</v>
      </c>
      <c r="H4892" s="2">
        <v>46213</v>
      </c>
      <c r="I4892">
        <v>145.72999999999999</v>
      </c>
      <c r="J4892">
        <v>65.58</v>
      </c>
      <c r="K4892">
        <v>65.58</v>
      </c>
      <c r="L4892">
        <v>0</v>
      </c>
      <c r="M4892" s="1" t="s">
        <v>21</v>
      </c>
      <c r="N4892" s="1" t="s">
        <v>22</v>
      </c>
      <c r="O4892" s="2">
        <v>46250</v>
      </c>
      <c r="P4892" s="2">
        <v>46250</v>
      </c>
      <c r="Q4892">
        <f>_xlfn.XLOOKUP(E4892,CPT!$A$2:$A$13,CPT!$D$2:$D$13)</f>
        <v>145</v>
      </c>
      <c r="R4892" s="1">
        <f>_xlfn.XLOOKUP(C4892,Contract!$A$2:$A$9,Contract!$B$2:$B$9)</f>
        <v>0.43</v>
      </c>
      <c r="S4892" s="1">
        <f t="shared" si="304"/>
        <v>62.35</v>
      </c>
      <c r="T4892" s="1">
        <f t="shared" si="305"/>
        <v>-3.2299999999999969</v>
      </c>
      <c r="U4892" s="1" t="str">
        <f t="shared" si="306"/>
        <v>OK</v>
      </c>
      <c r="V4892" s="1" t="str">
        <f>_xlfn.XLOOKUP(C4892,Payers!$A$2:$A$9,Payers!$B$2:$B$9)</f>
        <v>Summit Health Commercial</v>
      </c>
      <c r="W4892" s="1" t="str">
        <f t="shared" si="307"/>
        <v>2026-07</v>
      </c>
    </row>
    <row r="4893" spans="1:23">
      <c r="A4893" s="1" t="s">
        <v>7586</v>
      </c>
      <c r="B4893" s="1" t="s">
        <v>3102</v>
      </c>
      <c r="C4893" s="1" t="s">
        <v>76</v>
      </c>
      <c r="D4893" s="1" t="s">
        <v>26</v>
      </c>
      <c r="E4893" s="1" t="s">
        <v>41</v>
      </c>
      <c r="F4893">
        <v>1</v>
      </c>
      <c r="G4893" s="2">
        <v>46133</v>
      </c>
      <c r="H4893" s="2">
        <v>46137</v>
      </c>
      <c r="I4893">
        <v>37.130000000000003</v>
      </c>
      <c r="J4893">
        <v>13.63</v>
      </c>
      <c r="K4893">
        <v>13.63</v>
      </c>
      <c r="L4893">
        <v>0</v>
      </c>
      <c r="M4893" s="1" t="s">
        <v>21</v>
      </c>
      <c r="N4893" s="1" t="s">
        <v>22</v>
      </c>
      <c r="O4893" s="2">
        <v>46168</v>
      </c>
      <c r="P4893" s="2">
        <v>46168</v>
      </c>
      <c r="Q4893">
        <f>_xlfn.XLOOKUP(E4893,CPT!$A$2:$A$13,CPT!$D$2:$D$13)</f>
        <v>38</v>
      </c>
      <c r="R4893" s="1">
        <f>_xlfn.XLOOKUP(C4893,Contract!$A$2:$A$9,Contract!$B$2:$B$9)</f>
        <v>0.43</v>
      </c>
      <c r="S4893" s="1">
        <f t="shared" si="304"/>
        <v>16.34</v>
      </c>
      <c r="T4893" s="1">
        <f t="shared" si="305"/>
        <v>2.7099999999999991</v>
      </c>
      <c r="U4893" s="1" t="str">
        <f t="shared" si="306"/>
        <v>Underpaid</v>
      </c>
      <c r="V4893" s="1" t="str">
        <f>_xlfn.XLOOKUP(C4893,Payers!$A$2:$A$9,Payers!$B$2:$B$9)</f>
        <v>Summit Health Commercial</v>
      </c>
      <c r="W4893" s="1" t="str">
        <f t="shared" si="307"/>
        <v>2026-04</v>
      </c>
    </row>
    <row r="4894" spans="1:23">
      <c r="A4894" s="1" t="s">
        <v>7587</v>
      </c>
      <c r="B4894" s="1" t="s">
        <v>4557</v>
      </c>
      <c r="C4894" s="1" t="s">
        <v>60</v>
      </c>
      <c r="D4894" s="1" t="s">
        <v>19</v>
      </c>
      <c r="E4894" s="1" t="s">
        <v>57</v>
      </c>
      <c r="F4894">
        <v>1</v>
      </c>
      <c r="G4894" s="2">
        <v>45987</v>
      </c>
      <c r="H4894" s="2">
        <v>45989</v>
      </c>
      <c r="I4894">
        <v>206.72</v>
      </c>
      <c r="J4894">
        <v>98.61</v>
      </c>
      <c r="K4894">
        <v>98.61</v>
      </c>
      <c r="L4894">
        <v>0</v>
      </c>
      <c r="M4894" s="1" t="s">
        <v>21</v>
      </c>
      <c r="N4894" s="1" t="s">
        <v>22</v>
      </c>
      <c r="O4894" s="2">
        <v>46014</v>
      </c>
      <c r="P4894" s="2">
        <v>46014</v>
      </c>
      <c r="Q4894">
        <f>_xlfn.XLOOKUP(E4894,CPT!$A$2:$A$13,CPT!$D$2:$D$13)</f>
        <v>210</v>
      </c>
      <c r="R4894" s="1">
        <f>_xlfn.XLOOKUP(C4894,Contract!$A$2:$A$9,Contract!$B$2:$B$9)</f>
        <v>0.45</v>
      </c>
      <c r="S4894" s="1">
        <f t="shared" si="304"/>
        <v>94.5</v>
      </c>
      <c r="T4894" s="1">
        <f t="shared" si="305"/>
        <v>-4.1099999999999994</v>
      </c>
      <c r="U4894" s="1" t="str">
        <f t="shared" si="306"/>
        <v>OK</v>
      </c>
      <c r="V4894" s="1" t="str">
        <f>_xlfn.XLOOKUP(C4894,Payers!$A$2:$A$9,Payers!$B$2:$B$9)</f>
        <v>Blue Horizon Commercial</v>
      </c>
      <c r="W4894" s="1" t="str">
        <f t="shared" si="307"/>
        <v>2025-11</v>
      </c>
    </row>
    <row r="4895" spans="1:23">
      <c r="A4895" s="1" t="s">
        <v>7588</v>
      </c>
      <c r="B4895" s="1" t="s">
        <v>7589</v>
      </c>
      <c r="C4895" s="1" t="s">
        <v>25</v>
      </c>
      <c r="D4895" s="1" t="s">
        <v>37</v>
      </c>
      <c r="E4895" s="1" t="s">
        <v>48</v>
      </c>
      <c r="F4895">
        <v>1</v>
      </c>
      <c r="G4895" s="2">
        <v>46085</v>
      </c>
      <c r="H4895" s="2">
        <v>46086</v>
      </c>
      <c r="I4895">
        <v>413.89</v>
      </c>
      <c r="J4895">
        <v>158.94</v>
      </c>
      <c r="K4895">
        <v>143.05000000000001</v>
      </c>
      <c r="L4895">
        <v>15.89</v>
      </c>
      <c r="M4895" s="1" t="s">
        <v>21</v>
      </c>
      <c r="N4895" s="1" t="s">
        <v>22</v>
      </c>
      <c r="O4895" s="2">
        <v>46096</v>
      </c>
      <c r="P4895" s="2">
        <v>46096</v>
      </c>
      <c r="Q4895">
        <f>_xlfn.XLOOKUP(E4895,CPT!$A$2:$A$13,CPT!$D$2:$D$13)</f>
        <v>420</v>
      </c>
      <c r="R4895" s="1">
        <f>_xlfn.XLOOKUP(C4895,Contract!$A$2:$A$9,Contract!$B$2:$B$9)</f>
        <v>0.36</v>
      </c>
      <c r="S4895" s="1">
        <f t="shared" si="304"/>
        <v>151.19999999999999</v>
      </c>
      <c r="T4895" s="1">
        <f t="shared" si="305"/>
        <v>-7.7400000000000091</v>
      </c>
      <c r="U4895" s="1" t="str">
        <f t="shared" si="306"/>
        <v>OK</v>
      </c>
      <c r="V4895" s="1" t="str">
        <f>_xlfn.XLOOKUP(C4895,Payers!$A$2:$A$9,Payers!$B$2:$B$9)</f>
        <v>Medicare Part B</v>
      </c>
      <c r="W4895" s="1" t="str">
        <f t="shared" si="307"/>
        <v>2026-03</v>
      </c>
    </row>
    <row r="4896" spans="1:23">
      <c r="A4896" s="1" t="s">
        <v>7590</v>
      </c>
      <c r="B4896" s="1" t="s">
        <v>2005</v>
      </c>
      <c r="C4896" s="1" t="s">
        <v>25</v>
      </c>
      <c r="D4896" s="1" t="s">
        <v>30</v>
      </c>
      <c r="E4896" s="1" t="s">
        <v>20</v>
      </c>
      <c r="F4896">
        <v>1</v>
      </c>
      <c r="G4896" s="2">
        <v>46183</v>
      </c>
      <c r="H4896" s="2">
        <v>46189</v>
      </c>
      <c r="I4896">
        <v>147.63</v>
      </c>
      <c r="J4896">
        <v>50.55</v>
      </c>
      <c r="K4896">
        <v>50.55</v>
      </c>
      <c r="L4896">
        <v>0</v>
      </c>
      <c r="M4896" s="1" t="s">
        <v>21</v>
      </c>
      <c r="N4896" s="1" t="s">
        <v>22</v>
      </c>
      <c r="O4896" s="2">
        <v>46204</v>
      </c>
      <c r="P4896" s="2">
        <v>46204</v>
      </c>
      <c r="Q4896">
        <f>_xlfn.XLOOKUP(E4896,CPT!$A$2:$A$13,CPT!$D$2:$D$13)</f>
        <v>145</v>
      </c>
      <c r="R4896" s="1">
        <f>_xlfn.XLOOKUP(C4896,Contract!$A$2:$A$9,Contract!$B$2:$B$9)</f>
        <v>0.36</v>
      </c>
      <c r="S4896" s="1">
        <f t="shared" si="304"/>
        <v>52.2</v>
      </c>
      <c r="T4896" s="1">
        <f t="shared" si="305"/>
        <v>1.6500000000000057</v>
      </c>
      <c r="U4896" s="1" t="str">
        <f t="shared" si="306"/>
        <v>OK</v>
      </c>
      <c r="V4896" s="1" t="str">
        <f>_xlfn.XLOOKUP(C4896,Payers!$A$2:$A$9,Payers!$B$2:$B$9)</f>
        <v>Medicare Part B</v>
      </c>
      <c r="W4896" s="1" t="str">
        <f t="shared" si="307"/>
        <v>2026-06</v>
      </c>
    </row>
    <row r="4897" spans="1:23">
      <c r="A4897" s="1" t="s">
        <v>7591</v>
      </c>
      <c r="B4897" s="1" t="s">
        <v>355</v>
      </c>
      <c r="C4897" s="1" t="s">
        <v>25</v>
      </c>
      <c r="D4897" s="1" t="s">
        <v>19</v>
      </c>
      <c r="E4897" s="1" t="s">
        <v>88</v>
      </c>
      <c r="F4897">
        <v>1</v>
      </c>
      <c r="G4897" s="2">
        <v>46199</v>
      </c>
      <c r="H4897" s="2">
        <v>46215</v>
      </c>
      <c r="I4897">
        <v>255.51</v>
      </c>
      <c r="J4897">
        <v>101.9</v>
      </c>
      <c r="K4897">
        <v>101.9</v>
      </c>
      <c r="L4897">
        <v>0</v>
      </c>
      <c r="M4897" s="1" t="s">
        <v>21</v>
      </c>
      <c r="N4897" s="1" t="s">
        <v>22</v>
      </c>
      <c r="O4897" s="2">
        <v>46227</v>
      </c>
      <c r="P4897" s="2">
        <v>46227</v>
      </c>
      <c r="Q4897">
        <f>_xlfn.XLOOKUP(E4897,CPT!$A$2:$A$13,CPT!$D$2:$D$13)</f>
        <v>260</v>
      </c>
      <c r="R4897" s="1">
        <f>_xlfn.XLOOKUP(C4897,Contract!$A$2:$A$9,Contract!$B$2:$B$9)</f>
        <v>0.36</v>
      </c>
      <c r="S4897" s="1">
        <f t="shared" si="304"/>
        <v>93.6</v>
      </c>
      <c r="T4897" s="1">
        <f t="shared" si="305"/>
        <v>-8.3000000000000114</v>
      </c>
      <c r="U4897" s="1" t="str">
        <f t="shared" si="306"/>
        <v>OK</v>
      </c>
      <c r="V4897" s="1" t="str">
        <f>_xlfn.XLOOKUP(C4897,Payers!$A$2:$A$9,Payers!$B$2:$B$9)</f>
        <v>Medicare Part B</v>
      </c>
      <c r="W4897" s="1" t="str">
        <f t="shared" si="307"/>
        <v>2026-06</v>
      </c>
    </row>
    <row r="4898" spans="1:23">
      <c r="A4898" s="1" t="s">
        <v>7592</v>
      </c>
      <c r="B4898" s="1" t="s">
        <v>7593</v>
      </c>
      <c r="C4898" s="1" t="s">
        <v>76</v>
      </c>
      <c r="D4898" s="1" t="s">
        <v>26</v>
      </c>
      <c r="E4898" s="1" t="s">
        <v>88</v>
      </c>
      <c r="F4898">
        <v>1</v>
      </c>
      <c r="G4898" s="2">
        <v>45933</v>
      </c>
      <c r="H4898" s="2">
        <v>45940</v>
      </c>
      <c r="I4898">
        <v>265.16000000000003</v>
      </c>
      <c r="J4898">
        <v>118.26</v>
      </c>
      <c r="K4898">
        <v>94.61</v>
      </c>
      <c r="L4898">
        <v>23.65</v>
      </c>
      <c r="M4898" s="1" t="s">
        <v>21</v>
      </c>
      <c r="N4898" s="1" t="s">
        <v>22</v>
      </c>
      <c r="O4898" s="2">
        <v>45965</v>
      </c>
      <c r="P4898" s="2">
        <v>45965</v>
      </c>
      <c r="Q4898">
        <f>_xlfn.XLOOKUP(E4898,CPT!$A$2:$A$13,CPT!$D$2:$D$13)</f>
        <v>260</v>
      </c>
      <c r="R4898" s="1">
        <f>_xlfn.XLOOKUP(C4898,Contract!$A$2:$A$9,Contract!$B$2:$B$9)</f>
        <v>0.43</v>
      </c>
      <c r="S4898" s="1">
        <f t="shared" si="304"/>
        <v>111.8</v>
      </c>
      <c r="T4898" s="1">
        <f t="shared" si="305"/>
        <v>-6.460000000000008</v>
      </c>
      <c r="U4898" s="1" t="str">
        <f t="shared" si="306"/>
        <v>OK</v>
      </c>
      <c r="V4898" s="1" t="str">
        <f>_xlfn.XLOOKUP(C4898,Payers!$A$2:$A$9,Payers!$B$2:$B$9)</f>
        <v>Summit Health Commercial</v>
      </c>
      <c r="W4898" s="1" t="str">
        <f t="shared" si="307"/>
        <v>2025-10</v>
      </c>
    </row>
    <row r="4899" spans="1:23">
      <c r="A4899" s="1" t="s">
        <v>7594</v>
      </c>
      <c r="B4899" s="1" t="s">
        <v>3206</v>
      </c>
      <c r="C4899" s="1" t="s">
        <v>18</v>
      </c>
      <c r="D4899" s="1" t="s">
        <v>37</v>
      </c>
      <c r="E4899" s="1" t="s">
        <v>48</v>
      </c>
      <c r="F4899">
        <v>1</v>
      </c>
      <c r="G4899" s="2">
        <v>46190</v>
      </c>
      <c r="H4899" s="2">
        <v>46193</v>
      </c>
      <c r="I4899">
        <v>416.36</v>
      </c>
      <c r="J4899">
        <v>181.8</v>
      </c>
      <c r="K4899">
        <v>163.62</v>
      </c>
      <c r="L4899">
        <v>18.18</v>
      </c>
      <c r="M4899" s="1" t="s">
        <v>21</v>
      </c>
      <c r="N4899" s="1" t="s">
        <v>22</v>
      </c>
      <c r="O4899" s="2">
        <v>46248</v>
      </c>
      <c r="P4899" s="2">
        <v>46248</v>
      </c>
      <c r="Q4899">
        <f>_xlfn.XLOOKUP(E4899,CPT!$A$2:$A$13,CPT!$D$2:$D$13)</f>
        <v>420</v>
      </c>
      <c r="R4899" s="1">
        <f>_xlfn.XLOOKUP(C4899,Contract!$A$2:$A$9,Contract!$B$2:$B$9)</f>
        <v>0.38</v>
      </c>
      <c r="S4899" s="1">
        <f t="shared" si="304"/>
        <v>159.6</v>
      </c>
      <c r="T4899" s="1">
        <f t="shared" si="305"/>
        <v>-22.200000000000017</v>
      </c>
      <c r="U4899" s="1" t="str">
        <f t="shared" si="306"/>
        <v>OK</v>
      </c>
      <c r="V4899" s="1" t="str">
        <f>_xlfn.XLOOKUP(C4899,Payers!$A$2:$A$9,Payers!$B$2:$B$9)</f>
        <v>Sunshine Medicare Advantage</v>
      </c>
      <c r="W4899" s="1" t="str">
        <f t="shared" si="307"/>
        <v>2026-06</v>
      </c>
    </row>
    <row r="4900" spans="1:23">
      <c r="A4900" s="1" t="s">
        <v>7595</v>
      </c>
      <c r="B4900" s="1" t="s">
        <v>1419</v>
      </c>
      <c r="C4900" s="1" t="s">
        <v>60</v>
      </c>
      <c r="D4900" s="1" t="s">
        <v>30</v>
      </c>
      <c r="E4900" s="1" t="s">
        <v>31</v>
      </c>
      <c r="F4900">
        <v>3</v>
      </c>
      <c r="G4900" s="2">
        <v>46044</v>
      </c>
      <c r="H4900" s="2">
        <v>46050</v>
      </c>
      <c r="I4900">
        <v>182.78</v>
      </c>
      <c r="M4900" s="1" t="s">
        <v>32</v>
      </c>
      <c r="N4900" s="1" t="s">
        <v>33</v>
      </c>
      <c r="O4900" s="2">
        <v>46089</v>
      </c>
      <c r="P4900" s="2"/>
      <c r="Q4900">
        <f>_xlfn.XLOOKUP(E4900,CPT!$A$2:$A$13,CPT!$D$2:$D$13)</f>
        <v>62</v>
      </c>
      <c r="R4900" s="1">
        <f>_xlfn.XLOOKUP(C4900,Contract!$A$2:$A$9,Contract!$B$2:$B$9)</f>
        <v>0.45</v>
      </c>
      <c r="S4900" s="1">
        <f t="shared" si="304"/>
        <v>83.7</v>
      </c>
      <c r="T4900" s="1" t="str">
        <f t="shared" si="305"/>
        <v/>
      </c>
      <c r="U4900" s="1" t="str">
        <f t="shared" si="306"/>
        <v/>
      </c>
      <c r="V4900" s="1" t="str">
        <f>_xlfn.XLOOKUP(C4900,Payers!$A$2:$A$9,Payers!$B$2:$B$9)</f>
        <v>Blue Horizon Commercial</v>
      </c>
      <c r="W4900" s="1" t="str">
        <f t="shared" si="307"/>
        <v>2026-01</v>
      </c>
    </row>
    <row r="4901" spans="1:23">
      <c r="A4901" s="1" t="s">
        <v>7596</v>
      </c>
      <c r="B4901" s="1" t="s">
        <v>7228</v>
      </c>
      <c r="C4901" s="1" t="s">
        <v>25</v>
      </c>
      <c r="D4901" s="1" t="s">
        <v>26</v>
      </c>
      <c r="E4901" s="1" t="s">
        <v>113</v>
      </c>
      <c r="F4901">
        <v>1</v>
      </c>
      <c r="G4901" s="2">
        <v>46079</v>
      </c>
      <c r="H4901" s="2">
        <v>46082</v>
      </c>
      <c r="I4901">
        <v>1061.28</v>
      </c>
      <c r="J4901">
        <v>435.78</v>
      </c>
      <c r="K4901">
        <v>435.78</v>
      </c>
      <c r="L4901">
        <v>0</v>
      </c>
      <c r="M4901" s="1" t="s">
        <v>21</v>
      </c>
      <c r="N4901" s="1" t="s">
        <v>22</v>
      </c>
      <c r="O4901" s="2">
        <v>46099</v>
      </c>
      <c r="P4901" s="2">
        <v>46099</v>
      </c>
      <c r="Q4901">
        <f>_xlfn.XLOOKUP(E4901,CPT!$A$2:$A$13,CPT!$D$2:$D$13)</f>
        <v>1050</v>
      </c>
      <c r="R4901" s="1">
        <f>_xlfn.XLOOKUP(C4901,Contract!$A$2:$A$9,Contract!$B$2:$B$9)</f>
        <v>0.36</v>
      </c>
      <c r="S4901" s="1">
        <f t="shared" si="304"/>
        <v>378</v>
      </c>
      <c r="T4901" s="1">
        <f t="shared" si="305"/>
        <v>-57.779999999999973</v>
      </c>
      <c r="U4901" s="1" t="str">
        <f t="shared" si="306"/>
        <v>OK</v>
      </c>
      <c r="V4901" s="1" t="str">
        <f>_xlfn.XLOOKUP(C4901,Payers!$A$2:$A$9,Payers!$B$2:$B$9)</f>
        <v>Medicare Part B</v>
      </c>
      <c r="W4901" s="1" t="str">
        <f t="shared" si="307"/>
        <v>2026-02</v>
      </c>
    </row>
    <row r="4902" spans="1:23">
      <c r="A4902" s="1" t="s">
        <v>7597</v>
      </c>
      <c r="B4902" s="1" t="s">
        <v>4909</v>
      </c>
      <c r="C4902" s="1" t="s">
        <v>60</v>
      </c>
      <c r="D4902" s="1" t="s">
        <v>30</v>
      </c>
      <c r="E4902" s="1" t="s">
        <v>20</v>
      </c>
      <c r="F4902">
        <v>1</v>
      </c>
      <c r="G4902" s="2">
        <v>46277</v>
      </c>
      <c r="H4902" s="2">
        <v>46280</v>
      </c>
      <c r="I4902">
        <v>148.49</v>
      </c>
      <c r="M4902" s="1" t="s">
        <v>69</v>
      </c>
      <c r="N4902" s="1" t="s">
        <v>22</v>
      </c>
      <c r="O4902" s="2"/>
      <c r="P4902" s="2"/>
      <c r="Q4902">
        <f>_xlfn.XLOOKUP(E4902,CPT!$A$2:$A$13,CPT!$D$2:$D$13)</f>
        <v>145</v>
      </c>
      <c r="R4902" s="1">
        <f>_xlfn.XLOOKUP(C4902,Contract!$A$2:$A$9,Contract!$B$2:$B$9)</f>
        <v>0.45</v>
      </c>
      <c r="S4902" s="1">
        <f t="shared" si="304"/>
        <v>65.25</v>
      </c>
      <c r="T4902" s="1" t="str">
        <f t="shared" si="305"/>
        <v/>
      </c>
      <c r="U4902" s="1" t="str">
        <f t="shared" si="306"/>
        <v/>
      </c>
      <c r="V4902" s="1" t="str">
        <f>_xlfn.XLOOKUP(C4902,Payers!$A$2:$A$9,Payers!$B$2:$B$9)</f>
        <v>Blue Horizon Commercial</v>
      </c>
      <c r="W4902" s="1" t="str">
        <f t="shared" si="307"/>
        <v>2026-09</v>
      </c>
    </row>
    <row r="4903" spans="1:23">
      <c r="A4903" s="1" t="s">
        <v>7598</v>
      </c>
      <c r="B4903" s="1" t="s">
        <v>614</v>
      </c>
      <c r="C4903" s="1" t="s">
        <v>25</v>
      </c>
      <c r="D4903" s="1" t="s">
        <v>26</v>
      </c>
      <c r="E4903" s="1" t="s">
        <v>185</v>
      </c>
      <c r="F4903">
        <v>1</v>
      </c>
      <c r="G4903" s="2">
        <v>46163</v>
      </c>
      <c r="H4903" s="2">
        <v>46164</v>
      </c>
      <c r="I4903">
        <v>1138.1099999999999</v>
      </c>
      <c r="J4903">
        <v>377.27</v>
      </c>
      <c r="K4903">
        <v>301.82</v>
      </c>
      <c r="L4903">
        <v>75.45</v>
      </c>
      <c r="M4903" s="1" t="s">
        <v>21</v>
      </c>
      <c r="N4903" s="1" t="s">
        <v>22</v>
      </c>
      <c r="O4903" s="2">
        <v>46175</v>
      </c>
      <c r="P4903" s="2">
        <v>46175</v>
      </c>
      <c r="Q4903">
        <f>_xlfn.XLOOKUP(E4903,CPT!$A$2:$A$13,CPT!$D$2:$D$13)</f>
        <v>1150</v>
      </c>
      <c r="R4903" s="1">
        <f>_xlfn.XLOOKUP(C4903,Contract!$A$2:$A$9,Contract!$B$2:$B$9)</f>
        <v>0.36</v>
      </c>
      <c r="S4903" s="1">
        <f t="shared" si="304"/>
        <v>414</v>
      </c>
      <c r="T4903" s="1">
        <f t="shared" si="305"/>
        <v>36.730000000000018</v>
      </c>
      <c r="U4903" s="1" t="str">
        <f t="shared" si="306"/>
        <v>Underpaid</v>
      </c>
      <c r="V4903" s="1" t="str">
        <f>_xlfn.XLOOKUP(C4903,Payers!$A$2:$A$9,Payers!$B$2:$B$9)</f>
        <v>Medicare Part B</v>
      </c>
      <c r="W4903" s="1" t="str">
        <f t="shared" si="307"/>
        <v>2026-05</v>
      </c>
    </row>
    <row r="4904" spans="1:23">
      <c r="A4904" s="1" t="s">
        <v>7599</v>
      </c>
      <c r="B4904" s="1" t="s">
        <v>7600</v>
      </c>
      <c r="C4904" s="1" t="s">
        <v>36</v>
      </c>
      <c r="D4904" s="1" t="s">
        <v>26</v>
      </c>
      <c r="E4904" s="1" t="s">
        <v>113</v>
      </c>
      <c r="F4904">
        <v>1</v>
      </c>
      <c r="G4904" s="2">
        <v>46285</v>
      </c>
      <c r="H4904" s="2">
        <v>46286</v>
      </c>
      <c r="I4904">
        <v>1070.81</v>
      </c>
      <c r="M4904" s="1" t="s">
        <v>69</v>
      </c>
      <c r="N4904" s="1" t="s">
        <v>22</v>
      </c>
      <c r="O4904" s="2"/>
      <c r="P4904" s="2"/>
      <c r="Q4904">
        <f>_xlfn.XLOOKUP(E4904,CPT!$A$2:$A$13,CPT!$D$2:$D$13)</f>
        <v>1050</v>
      </c>
      <c r="R4904" s="1">
        <f>_xlfn.XLOOKUP(C4904,Contract!$A$2:$A$9,Contract!$B$2:$B$9)</f>
        <v>0.27</v>
      </c>
      <c r="S4904" s="1">
        <f t="shared" si="304"/>
        <v>283.5</v>
      </c>
      <c r="T4904" s="1" t="str">
        <f t="shared" si="305"/>
        <v/>
      </c>
      <c r="U4904" s="1" t="str">
        <f t="shared" si="306"/>
        <v/>
      </c>
      <c r="V4904" s="1" t="str">
        <f>_xlfn.XLOOKUP(C4904,Payers!$A$2:$A$9,Payers!$B$2:$B$9)</f>
        <v>Florida Medicaid</v>
      </c>
      <c r="W4904" s="1" t="str">
        <f t="shared" si="307"/>
        <v>2026-09</v>
      </c>
    </row>
    <row r="4905" spans="1:23">
      <c r="A4905" s="1" t="s">
        <v>7601</v>
      </c>
      <c r="B4905" s="1" t="s">
        <v>6563</v>
      </c>
      <c r="C4905" s="1" t="s">
        <v>60</v>
      </c>
      <c r="D4905" s="1" t="s">
        <v>19</v>
      </c>
      <c r="E4905" s="1" t="s">
        <v>88</v>
      </c>
      <c r="F4905">
        <v>1</v>
      </c>
      <c r="G4905" s="2">
        <v>46145</v>
      </c>
      <c r="H4905" s="2">
        <v>46147</v>
      </c>
      <c r="I4905">
        <v>259.27</v>
      </c>
      <c r="J4905">
        <v>123.63</v>
      </c>
      <c r="K4905">
        <v>123.63</v>
      </c>
      <c r="L4905">
        <v>0</v>
      </c>
      <c r="M4905" s="1" t="s">
        <v>21</v>
      </c>
      <c r="N4905" s="1" t="s">
        <v>22</v>
      </c>
      <c r="O4905" s="2">
        <v>46166</v>
      </c>
      <c r="P4905" s="2">
        <v>46166</v>
      </c>
      <c r="Q4905">
        <f>_xlfn.XLOOKUP(E4905,CPT!$A$2:$A$13,CPT!$D$2:$D$13)</f>
        <v>260</v>
      </c>
      <c r="R4905" s="1">
        <f>_xlfn.XLOOKUP(C4905,Contract!$A$2:$A$9,Contract!$B$2:$B$9)</f>
        <v>0.45</v>
      </c>
      <c r="S4905" s="1">
        <f t="shared" si="304"/>
        <v>117</v>
      </c>
      <c r="T4905" s="1">
        <f t="shared" si="305"/>
        <v>-6.6299999999999955</v>
      </c>
      <c r="U4905" s="1" t="str">
        <f t="shared" si="306"/>
        <v>OK</v>
      </c>
      <c r="V4905" s="1" t="str">
        <f>_xlfn.XLOOKUP(C4905,Payers!$A$2:$A$9,Payers!$B$2:$B$9)</f>
        <v>Blue Horizon Commercial</v>
      </c>
      <c r="W4905" s="1" t="str">
        <f t="shared" si="307"/>
        <v>2026-05</v>
      </c>
    </row>
    <row r="4906" spans="1:23">
      <c r="A4906" s="1" t="s">
        <v>7602</v>
      </c>
      <c r="B4906" s="1" t="s">
        <v>3465</v>
      </c>
      <c r="C4906" s="1" t="s">
        <v>18</v>
      </c>
      <c r="D4906" s="1" t="s">
        <v>37</v>
      </c>
      <c r="E4906" s="1" t="s">
        <v>38</v>
      </c>
      <c r="F4906">
        <v>30</v>
      </c>
      <c r="G4906" s="2">
        <v>46180</v>
      </c>
      <c r="H4906" s="2">
        <v>46188</v>
      </c>
      <c r="I4906">
        <v>43550.55</v>
      </c>
      <c r="J4906">
        <v>14337.94</v>
      </c>
      <c r="K4906">
        <v>12904.15</v>
      </c>
      <c r="L4906">
        <v>1433.79</v>
      </c>
      <c r="M4906" s="1" t="s">
        <v>21</v>
      </c>
      <c r="N4906" s="1" t="s">
        <v>22</v>
      </c>
      <c r="O4906" s="2">
        <v>46249</v>
      </c>
      <c r="P4906" s="2">
        <v>46249</v>
      </c>
      <c r="Q4906">
        <f>_xlfn.XLOOKUP(E4906,CPT!$A$2:$A$13,CPT!$D$2:$D$13)</f>
        <v>1450</v>
      </c>
      <c r="R4906" s="1">
        <f>_xlfn.XLOOKUP(C4906,Contract!$A$2:$A$9,Contract!$B$2:$B$9)</f>
        <v>0.38</v>
      </c>
      <c r="S4906" s="1">
        <f t="shared" si="304"/>
        <v>16530</v>
      </c>
      <c r="T4906" s="1">
        <f t="shared" si="305"/>
        <v>2192.0599999999995</v>
      </c>
      <c r="U4906" s="1" t="str">
        <f t="shared" si="306"/>
        <v>Underpaid</v>
      </c>
      <c r="V4906" s="1" t="str">
        <f>_xlfn.XLOOKUP(C4906,Payers!$A$2:$A$9,Payers!$B$2:$B$9)</f>
        <v>Sunshine Medicare Advantage</v>
      </c>
      <c r="W4906" s="1" t="str">
        <f t="shared" si="307"/>
        <v>2026-06</v>
      </c>
    </row>
    <row r="4907" spans="1:23">
      <c r="A4907" s="1" t="s">
        <v>7603</v>
      </c>
      <c r="B4907" s="1" t="s">
        <v>2826</v>
      </c>
      <c r="C4907" s="1" t="s">
        <v>60</v>
      </c>
      <c r="D4907" s="1" t="s">
        <v>19</v>
      </c>
      <c r="E4907" s="1" t="s">
        <v>57</v>
      </c>
      <c r="F4907">
        <v>1</v>
      </c>
      <c r="G4907" s="2">
        <v>46277</v>
      </c>
      <c r="H4907" s="2">
        <v>46293</v>
      </c>
      <c r="I4907">
        <v>212.9</v>
      </c>
      <c r="M4907" s="1" t="s">
        <v>69</v>
      </c>
      <c r="N4907" s="1" t="s">
        <v>22</v>
      </c>
      <c r="O4907" s="2"/>
      <c r="P4907" s="2"/>
      <c r="Q4907">
        <f>_xlfn.XLOOKUP(E4907,CPT!$A$2:$A$13,CPT!$D$2:$D$13)</f>
        <v>210</v>
      </c>
      <c r="R4907" s="1">
        <f>_xlfn.XLOOKUP(C4907,Contract!$A$2:$A$9,Contract!$B$2:$B$9)</f>
        <v>0.45</v>
      </c>
      <c r="S4907" s="1">
        <f t="shared" si="304"/>
        <v>94.5</v>
      </c>
      <c r="T4907" s="1" t="str">
        <f t="shared" si="305"/>
        <v/>
      </c>
      <c r="U4907" s="1" t="str">
        <f t="shared" si="306"/>
        <v/>
      </c>
      <c r="V4907" s="1" t="str">
        <f>_xlfn.XLOOKUP(C4907,Payers!$A$2:$A$9,Payers!$B$2:$B$9)</f>
        <v>Blue Horizon Commercial</v>
      </c>
      <c r="W4907" s="1" t="str">
        <f t="shared" si="307"/>
        <v>2026-09</v>
      </c>
    </row>
    <row r="4908" spans="1:23">
      <c r="A4908" s="1" t="s">
        <v>7604</v>
      </c>
      <c r="B4908" s="1" t="s">
        <v>3076</v>
      </c>
      <c r="C4908" s="1" t="s">
        <v>25</v>
      </c>
      <c r="D4908" s="1" t="s">
        <v>30</v>
      </c>
      <c r="E4908" s="1" t="s">
        <v>31</v>
      </c>
      <c r="F4908">
        <v>1</v>
      </c>
      <c r="G4908" s="2">
        <v>46030</v>
      </c>
      <c r="H4908" s="2">
        <v>46032</v>
      </c>
      <c r="I4908">
        <v>63.03</v>
      </c>
      <c r="J4908">
        <v>20.51</v>
      </c>
      <c r="K4908">
        <v>20.51</v>
      </c>
      <c r="L4908">
        <v>0</v>
      </c>
      <c r="M4908" s="1" t="s">
        <v>21</v>
      </c>
      <c r="N4908" s="1" t="s">
        <v>22</v>
      </c>
      <c r="O4908" s="2">
        <v>46047</v>
      </c>
      <c r="P4908" s="2">
        <v>46047</v>
      </c>
      <c r="Q4908">
        <f>_xlfn.XLOOKUP(E4908,CPT!$A$2:$A$13,CPT!$D$2:$D$13)</f>
        <v>62</v>
      </c>
      <c r="R4908" s="1">
        <f>_xlfn.XLOOKUP(C4908,Contract!$A$2:$A$9,Contract!$B$2:$B$9)</f>
        <v>0.36</v>
      </c>
      <c r="S4908" s="1">
        <f t="shared" si="304"/>
        <v>22.32</v>
      </c>
      <c r="T4908" s="1">
        <f t="shared" si="305"/>
        <v>1.8099999999999987</v>
      </c>
      <c r="U4908" s="1" t="str">
        <f t="shared" si="306"/>
        <v>Underpaid</v>
      </c>
      <c r="V4908" s="1" t="str">
        <f>_xlfn.XLOOKUP(C4908,Payers!$A$2:$A$9,Payers!$B$2:$B$9)</f>
        <v>Medicare Part B</v>
      </c>
      <c r="W4908" s="1" t="str">
        <f t="shared" si="307"/>
        <v>2026-01</v>
      </c>
    </row>
    <row r="4909" spans="1:23">
      <c r="A4909" s="1" t="s">
        <v>7605</v>
      </c>
      <c r="B4909" s="1" t="s">
        <v>4497</v>
      </c>
      <c r="C4909" s="1" t="s">
        <v>47</v>
      </c>
      <c r="D4909" s="1" t="s">
        <v>37</v>
      </c>
      <c r="E4909" s="1" t="s">
        <v>57</v>
      </c>
      <c r="F4909">
        <v>1</v>
      </c>
      <c r="G4909" s="2">
        <v>46251</v>
      </c>
      <c r="H4909" s="2">
        <v>46261</v>
      </c>
      <c r="I4909">
        <v>214.51</v>
      </c>
      <c r="M4909" s="1" t="s">
        <v>69</v>
      </c>
      <c r="N4909" s="1" t="s">
        <v>22</v>
      </c>
      <c r="O4909" s="2"/>
      <c r="P4909" s="2"/>
      <c r="Q4909">
        <f>_xlfn.XLOOKUP(E4909,CPT!$A$2:$A$13,CPT!$D$2:$D$13)</f>
        <v>210</v>
      </c>
      <c r="R4909" s="1">
        <f>_xlfn.XLOOKUP(C4909,Contract!$A$2:$A$9,Contract!$B$2:$B$9)</f>
        <v>0.28000000000000003</v>
      </c>
      <c r="S4909" s="1">
        <f t="shared" si="304"/>
        <v>58.8</v>
      </c>
      <c r="T4909" s="1" t="str">
        <f t="shared" si="305"/>
        <v/>
      </c>
      <c r="U4909" s="1" t="str">
        <f t="shared" si="306"/>
        <v/>
      </c>
      <c r="V4909" s="1" t="str">
        <f>_xlfn.XLOOKUP(C4909,Payers!$A$2:$A$9,Payers!$B$2:$B$9)</f>
        <v>Coastal Medicaid MCO</v>
      </c>
      <c r="W4909" s="1" t="str">
        <f t="shared" si="307"/>
        <v>2026-08</v>
      </c>
    </row>
    <row r="4910" spans="1:23">
      <c r="A4910" s="1" t="s">
        <v>7606</v>
      </c>
      <c r="B4910" s="1" t="s">
        <v>1278</v>
      </c>
      <c r="C4910" s="1" t="s">
        <v>25</v>
      </c>
      <c r="D4910" s="1" t="s">
        <v>19</v>
      </c>
      <c r="E4910" s="1" t="s">
        <v>88</v>
      </c>
      <c r="F4910">
        <v>1</v>
      </c>
      <c r="G4910" s="2">
        <v>46220</v>
      </c>
      <c r="H4910" s="2">
        <v>46221</v>
      </c>
      <c r="I4910">
        <v>259.41000000000003</v>
      </c>
      <c r="J4910">
        <v>95.81</v>
      </c>
      <c r="K4910">
        <v>95.81</v>
      </c>
      <c r="L4910">
        <v>0</v>
      </c>
      <c r="M4910" s="1" t="s">
        <v>21</v>
      </c>
      <c r="N4910" s="1" t="s">
        <v>22</v>
      </c>
      <c r="O4910" s="2">
        <v>46243</v>
      </c>
      <c r="P4910" s="2">
        <v>46243</v>
      </c>
      <c r="Q4910">
        <f>_xlfn.XLOOKUP(E4910,CPT!$A$2:$A$13,CPT!$D$2:$D$13)</f>
        <v>260</v>
      </c>
      <c r="R4910" s="1">
        <f>_xlfn.XLOOKUP(C4910,Contract!$A$2:$A$9,Contract!$B$2:$B$9)</f>
        <v>0.36</v>
      </c>
      <c r="S4910" s="1">
        <f t="shared" si="304"/>
        <v>93.6</v>
      </c>
      <c r="T4910" s="1">
        <f t="shared" si="305"/>
        <v>-2.210000000000008</v>
      </c>
      <c r="U4910" s="1" t="str">
        <f t="shared" si="306"/>
        <v>OK</v>
      </c>
      <c r="V4910" s="1" t="str">
        <f>_xlfn.XLOOKUP(C4910,Payers!$A$2:$A$9,Payers!$B$2:$B$9)</f>
        <v>Medicare Part B</v>
      </c>
      <c r="W4910" s="1" t="str">
        <f t="shared" si="307"/>
        <v>2026-07</v>
      </c>
    </row>
    <row r="4911" spans="1:23">
      <c r="A4911" s="1" t="s">
        <v>7607</v>
      </c>
      <c r="B4911" s="1" t="s">
        <v>347</v>
      </c>
      <c r="C4911" s="1" t="s">
        <v>25</v>
      </c>
      <c r="D4911" s="1" t="s">
        <v>19</v>
      </c>
      <c r="E4911" s="1" t="s">
        <v>20</v>
      </c>
      <c r="F4911">
        <v>1</v>
      </c>
      <c r="G4911" s="2">
        <v>46145</v>
      </c>
      <c r="H4911" s="2">
        <v>46147</v>
      </c>
      <c r="I4911">
        <v>142.19999999999999</v>
      </c>
      <c r="J4911">
        <v>50.55</v>
      </c>
      <c r="K4911">
        <v>40.44</v>
      </c>
      <c r="L4911">
        <v>10.11</v>
      </c>
      <c r="M4911" s="1" t="s">
        <v>21</v>
      </c>
      <c r="N4911" s="1" t="s">
        <v>22</v>
      </c>
      <c r="O4911" s="2">
        <v>46160</v>
      </c>
      <c r="P4911" s="2">
        <v>46160</v>
      </c>
      <c r="Q4911">
        <f>_xlfn.XLOOKUP(E4911,CPT!$A$2:$A$13,CPT!$D$2:$D$13)</f>
        <v>145</v>
      </c>
      <c r="R4911" s="1">
        <f>_xlfn.XLOOKUP(C4911,Contract!$A$2:$A$9,Contract!$B$2:$B$9)</f>
        <v>0.36</v>
      </c>
      <c r="S4911" s="1">
        <f t="shared" si="304"/>
        <v>52.2</v>
      </c>
      <c r="T4911" s="1">
        <f t="shared" si="305"/>
        <v>1.6500000000000057</v>
      </c>
      <c r="U4911" s="1" t="str">
        <f t="shared" si="306"/>
        <v>OK</v>
      </c>
      <c r="V4911" s="1" t="str">
        <f>_xlfn.XLOOKUP(C4911,Payers!$A$2:$A$9,Payers!$B$2:$B$9)</f>
        <v>Medicare Part B</v>
      </c>
      <c r="W4911" s="1" t="str">
        <f t="shared" si="307"/>
        <v>2026-05</v>
      </c>
    </row>
    <row r="4912" spans="1:23">
      <c r="A4912" s="1" t="s">
        <v>7608</v>
      </c>
      <c r="B4912" s="1" t="s">
        <v>1798</v>
      </c>
      <c r="C4912" s="1" t="s">
        <v>25</v>
      </c>
      <c r="D4912" s="1" t="s">
        <v>30</v>
      </c>
      <c r="E4912" s="1" t="s">
        <v>31</v>
      </c>
      <c r="F4912">
        <v>3</v>
      </c>
      <c r="G4912" s="2">
        <v>46129</v>
      </c>
      <c r="H4912" s="2">
        <v>46133</v>
      </c>
      <c r="I4912">
        <v>181.17</v>
      </c>
      <c r="J4912">
        <v>55.87</v>
      </c>
      <c r="K4912">
        <v>44.7</v>
      </c>
      <c r="L4912">
        <v>11.17</v>
      </c>
      <c r="M4912" s="1" t="s">
        <v>21</v>
      </c>
      <c r="N4912" s="1" t="s">
        <v>22</v>
      </c>
      <c r="O4912" s="2">
        <v>46146</v>
      </c>
      <c r="P4912" s="2">
        <v>46146</v>
      </c>
      <c r="Q4912">
        <f>_xlfn.XLOOKUP(E4912,CPT!$A$2:$A$13,CPT!$D$2:$D$13)</f>
        <v>62</v>
      </c>
      <c r="R4912" s="1">
        <f>_xlfn.XLOOKUP(C4912,Contract!$A$2:$A$9,Contract!$B$2:$B$9)</f>
        <v>0.36</v>
      </c>
      <c r="S4912" s="1">
        <f t="shared" si="304"/>
        <v>66.959999999999994</v>
      </c>
      <c r="T4912" s="1">
        <f t="shared" si="305"/>
        <v>11.089999999999996</v>
      </c>
      <c r="U4912" s="1" t="str">
        <f t="shared" si="306"/>
        <v>Underpaid</v>
      </c>
      <c r="V4912" s="1" t="str">
        <f>_xlfn.XLOOKUP(C4912,Payers!$A$2:$A$9,Payers!$B$2:$B$9)</f>
        <v>Medicare Part B</v>
      </c>
      <c r="W4912" s="1" t="str">
        <f t="shared" si="307"/>
        <v>2026-04</v>
      </c>
    </row>
    <row r="4913" spans="1:23">
      <c r="A4913" s="1" t="s">
        <v>7609</v>
      </c>
      <c r="B4913" s="1" t="s">
        <v>1387</v>
      </c>
      <c r="C4913" s="1" t="s">
        <v>76</v>
      </c>
      <c r="D4913" s="1" t="s">
        <v>30</v>
      </c>
      <c r="E4913" s="1" t="s">
        <v>91</v>
      </c>
      <c r="F4913">
        <v>3</v>
      </c>
      <c r="G4913" s="2">
        <v>46071</v>
      </c>
      <c r="H4913" s="2">
        <v>46172</v>
      </c>
      <c r="I4913">
        <v>169.45</v>
      </c>
      <c r="M4913" s="1" t="s">
        <v>32</v>
      </c>
      <c r="N4913" s="1" t="s">
        <v>137</v>
      </c>
      <c r="O4913" s="2">
        <v>46192</v>
      </c>
      <c r="P4913" s="2"/>
      <c r="Q4913">
        <f>_xlfn.XLOOKUP(E4913,CPT!$A$2:$A$13,CPT!$D$2:$D$13)</f>
        <v>58</v>
      </c>
      <c r="R4913" s="1">
        <f>_xlfn.XLOOKUP(C4913,Contract!$A$2:$A$9,Contract!$B$2:$B$9)</f>
        <v>0.43</v>
      </c>
      <c r="S4913" s="1">
        <f t="shared" si="304"/>
        <v>74.819999999999993</v>
      </c>
      <c r="T4913" s="1" t="str">
        <f t="shared" si="305"/>
        <v/>
      </c>
      <c r="U4913" s="1" t="str">
        <f t="shared" si="306"/>
        <v/>
      </c>
      <c r="V4913" s="1" t="str">
        <f>_xlfn.XLOOKUP(C4913,Payers!$A$2:$A$9,Payers!$B$2:$B$9)</f>
        <v>Summit Health Commercial</v>
      </c>
      <c r="W4913" s="1" t="str">
        <f t="shared" si="307"/>
        <v>2026-02</v>
      </c>
    </row>
    <row r="4914" spans="1:23">
      <c r="A4914" s="1" t="s">
        <v>7610</v>
      </c>
      <c r="B4914" s="1" t="s">
        <v>7611</v>
      </c>
      <c r="C4914" s="1" t="s">
        <v>76</v>
      </c>
      <c r="D4914" s="1" t="s">
        <v>37</v>
      </c>
      <c r="E4914" s="1" t="s">
        <v>38</v>
      </c>
      <c r="F4914">
        <v>10</v>
      </c>
      <c r="G4914" s="2">
        <v>46166</v>
      </c>
      <c r="H4914" s="2">
        <v>46167</v>
      </c>
      <c r="I4914">
        <v>14077.82</v>
      </c>
      <c r="J4914">
        <v>5169.09</v>
      </c>
      <c r="K4914">
        <v>4652.18</v>
      </c>
      <c r="L4914">
        <v>516.91</v>
      </c>
      <c r="M4914" s="1" t="s">
        <v>21</v>
      </c>
      <c r="N4914" s="1" t="s">
        <v>22</v>
      </c>
      <c r="O4914" s="2">
        <v>46190</v>
      </c>
      <c r="P4914" s="2">
        <v>46190</v>
      </c>
      <c r="Q4914">
        <f>_xlfn.XLOOKUP(E4914,CPT!$A$2:$A$13,CPT!$D$2:$D$13)</f>
        <v>1450</v>
      </c>
      <c r="R4914" s="1">
        <f>_xlfn.XLOOKUP(C4914,Contract!$A$2:$A$9,Contract!$B$2:$B$9)</f>
        <v>0.43</v>
      </c>
      <c r="S4914" s="1">
        <f t="shared" si="304"/>
        <v>6235</v>
      </c>
      <c r="T4914" s="1">
        <f t="shared" si="305"/>
        <v>1065.9099999999999</v>
      </c>
      <c r="U4914" s="1" t="str">
        <f t="shared" si="306"/>
        <v>Underpaid</v>
      </c>
      <c r="V4914" s="1" t="str">
        <f>_xlfn.XLOOKUP(C4914,Payers!$A$2:$A$9,Payers!$B$2:$B$9)</f>
        <v>Summit Health Commercial</v>
      </c>
      <c r="W4914" s="1" t="str">
        <f t="shared" si="307"/>
        <v>2026-05</v>
      </c>
    </row>
    <row r="4915" spans="1:23">
      <c r="A4915" s="1" t="s">
        <v>7612</v>
      </c>
      <c r="B4915" s="1" t="s">
        <v>2814</v>
      </c>
      <c r="C4915" s="1" t="s">
        <v>60</v>
      </c>
      <c r="D4915" s="1" t="s">
        <v>30</v>
      </c>
      <c r="E4915" s="1" t="s">
        <v>31</v>
      </c>
      <c r="F4915">
        <v>4</v>
      </c>
      <c r="G4915" s="2">
        <v>46259</v>
      </c>
      <c r="H4915" s="2">
        <v>46274</v>
      </c>
      <c r="I4915">
        <v>247.63</v>
      </c>
      <c r="M4915" s="1" t="s">
        <v>69</v>
      </c>
      <c r="N4915" s="1" t="s">
        <v>22</v>
      </c>
      <c r="O4915" s="2"/>
      <c r="P4915" s="2"/>
      <c r="Q4915">
        <f>_xlfn.XLOOKUP(E4915,CPT!$A$2:$A$13,CPT!$D$2:$D$13)</f>
        <v>62</v>
      </c>
      <c r="R4915" s="1">
        <f>_xlfn.XLOOKUP(C4915,Contract!$A$2:$A$9,Contract!$B$2:$B$9)</f>
        <v>0.45</v>
      </c>
      <c r="S4915" s="1">
        <f t="shared" si="304"/>
        <v>111.6</v>
      </c>
      <c r="T4915" s="1" t="str">
        <f t="shared" si="305"/>
        <v/>
      </c>
      <c r="U4915" s="1" t="str">
        <f t="shared" si="306"/>
        <v/>
      </c>
      <c r="V4915" s="1" t="str">
        <f>_xlfn.XLOOKUP(C4915,Payers!$A$2:$A$9,Payers!$B$2:$B$9)</f>
        <v>Blue Horizon Commercial</v>
      </c>
      <c r="W4915" s="1" t="str">
        <f t="shared" si="307"/>
        <v>2026-08</v>
      </c>
    </row>
    <row r="4916" spans="1:23">
      <c r="A4916" s="1" t="s">
        <v>7613</v>
      </c>
      <c r="B4916" s="1" t="s">
        <v>227</v>
      </c>
      <c r="C4916" s="1" t="s">
        <v>76</v>
      </c>
      <c r="D4916" s="1" t="s">
        <v>26</v>
      </c>
      <c r="E4916" s="1" t="s">
        <v>41</v>
      </c>
      <c r="F4916">
        <v>1</v>
      </c>
      <c r="G4916" s="2">
        <v>46017</v>
      </c>
      <c r="H4916" s="2">
        <v>46030</v>
      </c>
      <c r="I4916">
        <v>37.97</v>
      </c>
      <c r="J4916">
        <v>18.21</v>
      </c>
      <c r="K4916">
        <v>18.21</v>
      </c>
      <c r="L4916">
        <v>0</v>
      </c>
      <c r="M4916" s="1" t="s">
        <v>21</v>
      </c>
      <c r="N4916" s="1" t="s">
        <v>22</v>
      </c>
      <c r="O4916" s="2">
        <v>46064</v>
      </c>
      <c r="P4916" s="2">
        <v>46064</v>
      </c>
      <c r="Q4916">
        <f>_xlfn.XLOOKUP(E4916,CPT!$A$2:$A$13,CPT!$D$2:$D$13)</f>
        <v>38</v>
      </c>
      <c r="R4916" s="1">
        <f>_xlfn.XLOOKUP(C4916,Contract!$A$2:$A$9,Contract!$B$2:$B$9)</f>
        <v>0.43</v>
      </c>
      <c r="S4916" s="1">
        <f t="shared" si="304"/>
        <v>16.34</v>
      </c>
      <c r="T4916" s="1">
        <f t="shared" si="305"/>
        <v>-1.870000000000001</v>
      </c>
      <c r="U4916" s="1" t="str">
        <f t="shared" si="306"/>
        <v>OK</v>
      </c>
      <c r="V4916" s="1" t="str">
        <f>_xlfn.XLOOKUP(C4916,Payers!$A$2:$A$9,Payers!$B$2:$B$9)</f>
        <v>Summit Health Commercial</v>
      </c>
      <c r="W4916" s="1" t="str">
        <f t="shared" si="307"/>
        <v>2025-12</v>
      </c>
    </row>
    <row r="4917" spans="1:23">
      <c r="A4917" s="1" t="s">
        <v>7614</v>
      </c>
      <c r="B4917" s="1" t="s">
        <v>7615</v>
      </c>
      <c r="C4917" s="1" t="s">
        <v>60</v>
      </c>
      <c r="D4917" s="1" t="s">
        <v>26</v>
      </c>
      <c r="E4917" s="1" t="s">
        <v>185</v>
      </c>
      <c r="F4917">
        <v>1</v>
      </c>
      <c r="G4917" s="2">
        <v>46128</v>
      </c>
      <c r="H4917" s="2">
        <v>46136</v>
      </c>
      <c r="I4917">
        <v>1141.98</v>
      </c>
      <c r="J4917">
        <v>500.77</v>
      </c>
      <c r="K4917">
        <v>400.62</v>
      </c>
      <c r="L4917">
        <v>100.15</v>
      </c>
      <c r="M4917" s="1" t="s">
        <v>21</v>
      </c>
      <c r="N4917" s="1" t="s">
        <v>22</v>
      </c>
      <c r="O4917" s="2">
        <v>46166</v>
      </c>
      <c r="P4917" s="2">
        <v>46166</v>
      </c>
      <c r="Q4917">
        <f>_xlfn.XLOOKUP(E4917,CPT!$A$2:$A$13,CPT!$D$2:$D$13)</f>
        <v>1150</v>
      </c>
      <c r="R4917" s="1">
        <f>_xlfn.XLOOKUP(C4917,Contract!$A$2:$A$9,Contract!$B$2:$B$9)</f>
        <v>0.45</v>
      </c>
      <c r="S4917" s="1">
        <f t="shared" si="304"/>
        <v>517.5</v>
      </c>
      <c r="T4917" s="1">
        <f t="shared" si="305"/>
        <v>16.730000000000018</v>
      </c>
      <c r="U4917" s="1" t="str">
        <f t="shared" si="306"/>
        <v>OK</v>
      </c>
      <c r="V4917" s="1" t="str">
        <f>_xlfn.XLOOKUP(C4917,Payers!$A$2:$A$9,Payers!$B$2:$B$9)</f>
        <v>Blue Horizon Commercial</v>
      </c>
      <c r="W4917" s="1" t="str">
        <f t="shared" si="307"/>
        <v>2026-04</v>
      </c>
    </row>
    <row r="4918" spans="1:23">
      <c r="A4918" s="1" t="s">
        <v>7616</v>
      </c>
      <c r="B4918" s="1" t="s">
        <v>5228</v>
      </c>
      <c r="C4918" s="1" t="s">
        <v>60</v>
      </c>
      <c r="D4918" s="1" t="s">
        <v>19</v>
      </c>
      <c r="E4918" s="1" t="s">
        <v>41</v>
      </c>
      <c r="F4918">
        <v>1</v>
      </c>
      <c r="G4918" s="2">
        <v>46156</v>
      </c>
      <c r="H4918" s="2">
        <v>46161</v>
      </c>
      <c r="I4918">
        <v>37.92</v>
      </c>
      <c r="J4918">
        <v>15.87</v>
      </c>
      <c r="K4918">
        <v>14.28</v>
      </c>
      <c r="L4918">
        <v>1.59</v>
      </c>
      <c r="M4918" s="1" t="s">
        <v>21</v>
      </c>
      <c r="N4918" s="1" t="s">
        <v>22</v>
      </c>
      <c r="O4918" s="2">
        <v>46194</v>
      </c>
      <c r="P4918" s="2">
        <v>46194</v>
      </c>
      <c r="Q4918">
        <f>_xlfn.XLOOKUP(E4918,CPT!$A$2:$A$13,CPT!$D$2:$D$13)</f>
        <v>38</v>
      </c>
      <c r="R4918" s="1">
        <f>_xlfn.XLOOKUP(C4918,Contract!$A$2:$A$9,Contract!$B$2:$B$9)</f>
        <v>0.45</v>
      </c>
      <c r="S4918" s="1">
        <f t="shared" si="304"/>
        <v>17.100000000000001</v>
      </c>
      <c r="T4918" s="1">
        <f t="shared" si="305"/>
        <v>1.2300000000000022</v>
      </c>
      <c r="U4918" s="1" t="str">
        <f t="shared" si="306"/>
        <v>Underpaid</v>
      </c>
      <c r="V4918" s="1" t="str">
        <f>_xlfn.XLOOKUP(C4918,Payers!$A$2:$A$9,Payers!$B$2:$B$9)</f>
        <v>Blue Horizon Commercial</v>
      </c>
      <c r="W4918" s="1" t="str">
        <f t="shared" si="307"/>
        <v>2026-05</v>
      </c>
    </row>
    <row r="4919" spans="1:23">
      <c r="A4919" s="1" t="s">
        <v>7617</v>
      </c>
      <c r="B4919" s="1" t="s">
        <v>4636</v>
      </c>
      <c r="C4919" s="1" t="s">
        <v>25</v>
      </c>
      <c r="D4919" s="1" t="s">
        <v>30</v>
      </c>
      <c r="E4919" s="1" t="s">
        <v>91</v>
      </c>
      <c r="F4919">
        <v>1</v>
      </c>
      <c r="G4919" s="2">
        <v>46156</v>
      </c>
      <c r="H4919" s="2">
        <v>46162</v>
      </c>
      <c r="I4919">
        <v>59.38</v>
      </c>
      <c r="J4919">
        <v>19.600000000000001</v>
      </c>
      <c r="K4919">
        <v>15.68</v>
      </c>
      <c r="L4919">
        <v>3.92</v>
      </c>
      <c r="M4919" s="1" t="s">
        <v>21</v>
      </c>
      <c r="N4919" s="1" t="s">
        <v>22</v>
      </c>
      <c r="O4919" s="2">
        <v>46180</v>
      </c>
      <c r="P4919" s="2">
        <v>46180</v>
      </c>
      <c r="Q4919">
        <f>_xlfn.XLOOKUP(E4919,CPT!$A$2:$A$13,CPT!$D$2:$D$13)</f>
        <v>58</v>
      </c>
      <c r="R4919" s="1">
        <f>_xlfn.XLOOKUP(C4919,Contract!$A$2:$A$9,Contract!$B$2:$B$9)</f>
        <v>0.36</v>
      </c>
      <c r="S4919" s="1">
        <f t="shared" si="304"/>
        <v>20.88</v>
      </c>
      <c r="T4919" s="1">
        <f t="shared" si="305"/>
        <v>1.2799999999999976</v>
      </c>
      <c r="U4919" s="1" t="str">
        <f t="shared" si="306"/>
        <v>Underpaid</v>
      </c>
      <c r="V4919" s="1" t="str">
        <f>_xlfn.XLOOKUP(C4919,Payers!$A$2:$A$9,Payers!$B$2:$B$9)</f>
        <v>Medicare Part B</v>
      </c>
      <c r="W4919" s="1" t="str">
        <f t="shared" si="307"/>
        <v>2026-05</v>
      </c>
    </row>
    <row r="4920" spans="1:23">
      <c r="A4920" s="1" t="s">
        <v>7618</v>
      </c>
      <c r="B4920" s="1" t="s">
        <v>7619</v>
      </c>
      <c r="C4920" s="1" t="s">
        <v>60</v>
      </c>
      <c r="D4920" s="1" t="s">
        <v>37</v>
      </c>
      <c r="E4920" s="1" t="s">
        <v>57</v>
      </c>
      <c r="F4920">
        <v>1</v>
      </c>
      <c r="G4920" s="2">
        <v>45978</v>
      </c>
      <c r="H4920" s="2">
        <v>45981</v>
      </c>
      <c r="I4920">
        <v>213.32</v>
      </c>
      <c r="J4920">
        <v>104.01</v>
      </c>
      <c r="K4920">
        <v>104.01</v>
      </c>
      <c r="L4920">
        <v>0</v>
      </c>
      <c r="M4920" s="1" t="s">
        <v>21</v>
      </c>
      <c r="N4920" s="1" t="s">
        <v>22</v>
      </c>
      <c r="O4920" s="2">
        <v>46002</v>
      </c>
      <c r="P4920" s="2">
        <v>46002</v>
      </c>
      <c r="Q4920">
        <f>_xlfn.XLOOKUP(E4920,CPT!$A$2:$A$13,CPT!$D$2:$D$13)</f>
        <v>210</v>
      </c>
      <c r="R4920" s="1">
        <f>_xlfn.XLOOKUP(C4920,Contract!$A$2:$A$9,Contract!$B$2:$B$9)</f>
        <v>0.45</v>
      </c>
      <c r="S4920" s="1">
        <f t="shared" si="304"/>
        <v>94.5</v>
      </c>
      <c r="T4920" s="1">
        <f t="shared" si="305"/>
        <v>-9.5100000000000051</v>
      </c>
      <c r="U4920" s="1" t="str">
        <f t="shared" si="306"/>
        <v>OK</v>
      </c>
      <c r="V4920" s="1" t="str">
        <f>_xlfn.XLOOKUP(C4920,Payers!$A$2:$A$9,Payers!$B$2:$B$9)</f>
        <v>Blue Horizon Commercial</v>
      </c>
      <c r="W4920" s="1" t="str">
        <f t="shared" si="307"/>
        <v>2025-11</v>
      </c>
    </row>
    <row r="4921" spans="1:23">
      <c r="A4921" s="1" t="s">
        <v>7620</v>
      </c>
      <c r="B4921" s="1" t="s">
        <v>556</v>
      </c>
      <c r="C4921" s="1" t="s">
        <v>36</v>
      </c>
      <c r="D4921" s="1" t="s">
        <v>30</v>
      </c>
      <c r="E4921" s="1" t="s">
        <v>31</v>
      </c>
      <c r="F4921">
        <v>1</v>
      </c>
      <c r="G4921" s="2">
        <v>45942</v>
      </c>
      <c r="H4921" s="2">
        <v>45947</v>
      </c>
      <c r="I4921">
        <v>61.93</v>
      </c>
      <c r="J4921">
        <v>14.73</v>
      </c>
      <c r="K4921">
        <v>14.73</v>
      </c>
      <c r="L4921">
        <v>0</v>
      </c>
      <c r="M4921" s="1" t="s">
        <v>21</v>
      </c>
      <c r="N4921" s="1" t="s">
        <v>22</v>
      </c>
      <c r="O4921" s="2">
        <v>46004</v>
      </c>
      <c r="P4921" s="2">
        <v>46004</v>
      </c>
      <c r="Q4921">
        <f>_xlfn.XLOOKUP(E4921,CPT!$A$2:$A$13,CPT!$D$2:$D$13)</f>
        <v>62</v>
      </c>
      <c r="R4921" s="1">
        <f>_xlfn.XLOOKUP(C4921,Contract!$A$2:$A$9,Contract!$B$2:$B$9)</f>
        <v>0.27</v>
      </c>
      <c r="S4921" s="1">
        <f t="shared" si="304"/>
        <v>16.739999999999998</v>
      </c>
      <c r="T4921" s="1">
        <f t="shared" si="305"/>
        <v>2.009999999999998</v>
      </c>
      <c r="U4921" s="1" t="str">
        <f t="shared" si="306"/>
        <v>Underpaid</v>
      </c>
      <c r="V4921" s="1" t="str">
        <f>_xlfn.XLOOKUP(C4921,Payers!$A$2:$A$9,Payers!$B$2:$B$9)</f>
        <v>Florida Medicaid</v>
      </c>
      <c r="W4921" s="1" t="str">
        <f t="shared" si="307"/>
        <v>2025-10</v>
      </c>
    </row>
    <row r="4922" spans="1:23">
      <c r="A4922" s="1" t="s">
        <v>7621</v>
      </c>
      <c r="B4922" s="1" t="s">
        <v>2902</v>
      </c>
      <c r="C4922" s="1" t="s">
        <v>25</v>
      </c>
      <c r="D4922" s="1" t="s">
        <v>19</v>
      </c>
      <c r="E4922" s="1" t="s">
        <v>41</v>
      </c>
      <c r="F4922">
        <v>1</v>
      </c>
      <c r="G4922" s="2">
        <v>45967</v>
      </c>
      <c r="H4922" s="2">
        <v>45970</v>
      </c>
      <c r="I4922">
        <v>38.200000000000003</v>
      </c>
      <c r="J4922">
        <v>12.5</v>
      </c>
      <c r="K4922">
        <v>12.5</v>
      </c>
      <c r="L4922">
        <v>0</v>
      </c>
      <c r="M4922" s="1" t="s">
        <v>21</v>
      </c>
      <c r="N4922" s="1" t="s">
        <v>22</v>
      </c>
      <c r="O4922" s="2">
        <v>45989</v>
      </c>
      <c r="P4922" s="2">
        <v>45989</v>
      </c>
      <c r="Q4922">
        <f>_xlfn.XLOOKUP(E4922,CPT!$A$2:$A$13,CPT!$D$2:$D$13)</f>
        <v>38</v>
      </c>
      <c r="R4922" s="1">
        <f>_xlfn.XLOOKUP(C4922,Contract!$A$2:$A$9,Contract!$B$2:$B$9)</f>
        <v>0.36</v>
      </c>
      <c r="S4922" s="1">
        <f t="shared" si="304"/>
        <v>13.68</v>
      </c>
      <c r="T4922" s="1">
        <f t="shared" si="305"/>
        <v>1.1799999999999997</v>
      </c>
      <c r="U4922" s="1" t="str">
        <f t="shared" si="306"/>
        <v>Underpaid</v>
      </c>
      <c r="V4922" s="1" t="str">
        <f>_xlfn.XLOOKUP(C4922,Payers!$A$2:$A$9,Payers!$B$2:$B$9)</f>
        <v>Medicare Part B</v>
      </c>
      <c r="W4922" s="1" t="str">
        <f t="shared" si="307"/>
        <v>2025-11</v>
      </c>
    </row>
    <row r="4923" spans="1:23">
      <c r="A4923" s="1" t="s">
        <v>7622</v>
      </c>
      <c r="B4923" s="1" t="s">
        <v>1493</v>
      </c>
      <c r="C4923" s="1" t="s">
        <v>18</v>
      </c>
      <c r="D4923" s="1" t="s">
        <v>26</v>
      </c>
      <c r="E4923" s="1" t="s">
        <v>27</v>
      </c>
      <c r="F4923">
        <v>1</v>
      </c>
      <c r="G4923" s="2">
        <v>46013</v>
      </c>
      <c r="H4923" s="2">
        <v>46022</v>
      </c>
      <c r="I4923">
        <v>239.64</v>
      </c>
      <c r="J4923">
        <v>102.32</v>
      </c>
      <c r="K4923">
        <v>92.09</v>
      </c>
      <c r="L4923">
        <v>10.23</v>
      </c>
      <c r="M4923" s="1" t="s">
        <v>21</v>
      </c>
      <c r="N4923" s="1" t="s">
        <v>22</v>
      </c>
      <c r="O4923" s="2">
        <v>46086</v>
      </c>
      <c r="P4923" s="2">
        <v>46086</v>
      </c>
      <c r="Q4923">
        <f>_xlfn.XLOOKUP(E4923,CPT!$A$2:$A$13,CPT!$D$2:$D$13)</f>
        <v>240</v>
      </c>
      <c r="R4923" s="1">
        <f>_xlfn.XLOOKUP(C4923,Contract!$A$2:$A$9,Contract!$B$2:$B$9)</f>
        <v>0.38</v>
      </c>
      <c r="S4923" s="1">
        <f t="shared" si="304"/>
        <v>91.2</v>
      </c>
      <c r="T4923" s="1">
        <f t="shared" si="305"/>
        <v>-11.11999999999999</v>
      </c>
      <c r="U4923" s="1" t="str">
        <f t="shared" si="306"/>
        <v>OK</v>
      </c>
      <c r="V4923" s="1" t="str">
        <f>_xlfn.XLOOKUP(C4923,Payers!$A$2:$A$9,Payers!$B$2:$B$9)</f>
        <v>Sunshine Medicare Advantage</v>
      </c>
      <c r="W4923" s="1" t="str">
        <f t="shared" si="307"/>
        <v>2025-12</v>
      </c>
    </row>
    <row r="4924" spans="1:23">
      <c r="A4924" s="1" t="s">
        <v>7623</v>
      </c>
      <c r="B4924" s="1" t="s">
        <v>4351</v>
      </c>
      <c r="C4924" s="1" t="s">
        <v>79</v>
      </c>
      <c r="D4924" s="1" t="s">
        <v>37</v>
      </c>
      <c r="E4924" s="1" t="s">
        <v>57</v>
      </c>
      <c r="F4924">
        <v>1</v>
      </c>
      <c r="G4924" s="2">
        <v>46075</v>
      </c>
      <c r="H4924" s="2">
        <v>46087</v>
      </c>
      <c r="I4924">
        <v>215.19</v>
      </c>
      <c r="J4924">
        <v>215.19</v>
      </c>
      <c r="K4924">
        <v>215.19</v>
      </c>
      <c r="L4924">
        <v>0</v>
      </c>
      <c r="M4924" s="1" t="s">
        <v>21</v>
      </c>
      <c r="N4924" s="1" t="s">
        <v>22</v>
      </c>
      <c r="O4924" s="2">
        <v>46192</v>
      </c>
      <c r="P4924" s="2">
        <v>46192</v>
      </c>
      <c r="Q4924">
        <f>_xlfn.XLOOKUP(E4924,CPT!$A$2:$A$13,CPT!$D$2:$D$13)</f>
        <v>210</v>
      </c>
      <c r="R4924" s="1">
        <f>_xlfn.XLOOKUP(C4924,Contract!$A$2:$A$9,Contract!$B$2:$B$9)</f>
        <v>1</v>
      </c>
      <c r="S4924" s="1">
        <f t="shared" si="304"/>
        <v>210</v>
      </c>
      <c r="T4924" s="1">
        <f t="shared" si="305"/>
        <v>-5.1899999999999977</v>
      </c>
      <c r="U4924" s="1" t="str">
        <f t="shared" si="306"/>
        <v>OK</v>
      </c>
      <c r="V4924" s="1" t="str">
        <f>_xlfn.XLOOKUP(C4924,Payers!$A$2:$A$9,Payers!$B$2:$B$9)</f>
        <v>Self-Pay</v>
      </c>
      <c r="W4924" s="1" t="str">
        <f t="shared" si="307"/>
        <v>2026-02</v>
      </c>
    </row>
    <row r="4925" spans="1:23">
      <c r="A4925" s="1" t="s">
        <v>7624</v>
      </c>
      <c r="B4925" s="1" t="s">
        <v>7625</v>
      </c>
      <c r="C4925" s="1" t="s">
        <v>36</v>
      </c>
      <c r="D4925" s="1" t="s">
        <v>26</v>
      </c>
      <c r="E4925" s="1" t="s">
        <v>113</v>
      </c>
      <c r="F4925">
        <v>1</v>
      </c>
      <c r="G4925" s="2">
        <v>46282</v>
      </c>
      <c r="H4925" s="2">
        <v>46289</v>
      </c>
      <c r="I4925">
        <v>1047.46</v>
      </c>
      <c r="M4925" s="1" t="s">
        <v>69</v>
      </c>
      <c r="N4925" s="1" t="s">
        <v>22</v>
      </c>
      <c r="O4925" s="2"/>
      <c r="P4925" s="2"/>
      <c r="Q4925">
        <f>_xlfn.XLOOKUP(E4925,CPT!$A$2:$A$13,CPT!$D$2:$D$13)</f>
        <v>1050</v>
      </c>
      <c r="R4925" s="1">
        <f>_xlfn.XLOOKUP(C4925,Contract!$A$2:$A$9,Contract!$B$2:$B$9)</f>
        <v>0.27</v>
      </c>
      <c r="S4925" s="1">
        <f t="shared" si="304"/>
        <v>283.5</v>
      </c>
      <c r="T4925" s="1" t="str">
        <f t="shared" si="305"/>
        <v/>
      </c>
      <c r="U4925" s="1" t="str">
        <f t="shared" si="306"/>
        <v/>
      </c>
      <c r="V4925" s="1" t="str">
        <f>_xlfn.XLOOKUP(C4925,Payers!$A$2:$A$9,Payers!$B$2:$B$9)</f>
        <v>Florida Medicaid</v>
      </c>
      <c r="W4925" s="1" t="str">
        <f t="shared" si="307"/>
        <v>2026-09</v>
      </c>
    </row>
    <row r="4926" spans="1:23">
      <c r="A4926" s="1" t="s">
        <v>7626</v>
      </c>
      <c r="B4926" s="1" t="s">
        <v>7627</v>
      </c>
      <c r="C4926" s="1" t="s">
        <v>25</v>
      </c>
      <c r="D4926" s="1" t="s">
        <v>19</v>
      </c>
      <c r="E4926" s="1" t="s">
        <v>41</v>
      </c>
      <c r="F4926">
        <v>1</v>
      </c>
      <c r="G4926" s="2">
        <v>46226</v>
      </c>
      <c r="H4926" s="2">
        <v>46227</v>
      </c>
      <c r="I4926">
        <v>38.56</v>
      </c>
      <c r="M4926" s="1" t="s">
        <v>32</v>
      </c>
      <c r="N4926" s="1" t="s">
        <v>168</v>
      </c>
      <c r="O4926" s="2">
        <v>46237</v>
      </c>
      <c r="P4926" s="2"/>
      <c r="Q4926">
        <f>_xlfn.XLOOKUP(E4926,CPT!$A$2:$A$13,CPT!$D$2:$D$13)</f>
        <v>38</v>
      </c>
      <c r="R4926" s="1">
        <f>_xlfn.XLOOKUP(C4926,Contract!$A$2:$A$9,Contract!$B$2:$B$9)</f>
        <v>0.36</v>
      </c>
      <c r="S4926" s="1">
        <f t="shared" si="304"/>
        <v>13.68</v>
      </c>
      <c r="T4926" s="1" t="str">
        <f t="shared" si="305"/>
        <v/>
      </c>
      <c r="U4926" s="1" t="str">
        <f t="shared" si="306"/>
        <v/>
      </c>
      <c r="V4926" s="1" t="str">
        <f>_xlfn.XLOOKUP(C4926,Payers!$A$2:$A$9,Payers!$B$2:$B$9)</f>
        <v>Medicare Part B</v>
      </c>
      <c r="W4926" s="1" t="str">
        <f t="shared" si="307"/>
        <v>2026-07</v>
      </c>
    </row>
    <row r="4927" spans="1:23">
      <c r="A4927" s="1" t="s">
        <v>7628</v>
      </c>
      <c r="B4927" s="1" t="s">
        <v>1291</v>
      </c>
      <c r="C4927" s="1" t="s">
        <v>60</v>
      </c>
      <c r="D4927" s="1" t="s">
        <v>26</v>
      </c>
      <c r="E4927" s="1" t="s">
        <v>113</v>
      </c>
      <c r="F4927">
        <v>1</v>
      </c>
      <c r="G4927" s="2">
        <v>46218</v>
      </c>
      <c r="H4927" s="2">
        <v>46234</v>
      </c>
      <c r="I4927">
        <v>1026.75</v>
      </c>
      <c r="J4927">
        <v>519.21</v>
      </c>
      <c r="K4927">
        <v>519.21</v>
      </c>
      <c r="L4927">
        <v>0</v>
      </c>
      <c r="M4927" s="1" t="s">
        <v>21</v>
      </c>
      <c r="N4927" s="1" t="s">
        <v>22</v>
      </c>
      <c r="O4927" s="2">
        <v>46263</v>
      </c>
      <c r="P4927" s="2">
        <v>46263</v>
      </c>
      <c r="Q4927">
        <f>_xlfn.XLOOKUP(E4927,CPT!$A$2:$A$13,CPT!$D$2:$D$13)</f>
        <v>1050</v>
      </c>
      <c r="R4927" s="1">
        <f>_xlfn.XLOOKUP(C4927,Contract!$A$2:$A$9,Contract!$B$2:$B$9)</f>
        <v>0.45</v>
      </c>
      <c r="S4927" s="1">
        <f t="shared" si="304"/>
        <v>472.5</v>
      </c>
      <c r="T4927" s="1">
        <f t="shared" si="305"/>
        <v>-46.710000000000036</v>
      </c>
      <c r="U4927" s="1" t="str">
        <f t="shared" si="306"/>
        <v>OK</v>
      </c>
      <c r="V4927" s="1" t="str">
        <f>_xlfn.XLOOKUP(C4927,Payers!$A$2:$A$9,Payers!$B$2:$B$9)</f>
        <v>Blue Horizon Commercial</v>
      </c>
      <c r="W4927" s="1" t="str">
        <f t="shared" si="307"/>
        <v>2026-07</v>
      </c>
    </row>
    <row r="4928" spans="1:23">
      <c r="A4928" s="1" t="s">
        <v>7629</v>
      </c>
      <c r="B4928" s="1" t="s">
        <v>2037</v>
      </c>
      <c r="C4928" s="1" t="s">
        <v>25</v>
      </c>
      <c r="D4928" s="1" t="s">
        <v>19</v>
      </c>
      <c r="E4928" s="1" t="s">
        <v>41</v>
      </c>
      <c r="F4928">
        <v>1</v>
      </c>
      <c r="G4928" s="2">
        <v>46238</v>
      </c>
      <c r="H4928" s="2">
        <v>46241</v>
      </c>
      <c r="I4928">
        <v>37.020000000000003</v>
      </c>
      <c r="M4928" s="1" t="s">
        <v>32</v>
      </c>
      <c r="N4928" s="1" t="s">
        <v>49</v>
      </c>
      <c r="O4928" s="2">
        <v>46262</v>
      </c>
      <c r="P4928" s="2"/>
      <c r="Q4928">
        <f>_xlfn.XLOOKUP(E4928,CPT!$A$2:$A$13,CPT!$D$2:$D$13)</f>
        <v>38</v>
      </c>
      <c r="R4928" s="1">
        <f>_xlfn.XLOOKUP(C4928,Contract!$A$2:$A$9,Contract!$B$2:$B$9)</f>
        <v>0.36</v>
      </c>
      <c r="S4928" s="1">
        <f t="shared" si="304"/>
        <v>13.68</v>
      </c>
      <c r="T4928" s="1" t="str">
        <f t="shared" si="305"/>
        <v/>
      </c>
      <c r="U4928" s="1" t="str">
        <f t="shared" si="306"/>
        <v/>
      </c>
      <c r="V4928" s="1" t="str">
        <f>_xlfn.XLOOKUP(C4928,Payers!$A$2:$A$9,Payers!$B$2:$B$9)</f>
        <v>Medicare Part B</v>
      </c>
      <c r="W4928" s="1" t="str">
        <f t="shared" si="307"/>
        <v>2026-08</v>
      </c>
    </row>
    <row r="4929" spans="1:23">
      <c r="A4929" s="1" t="s">
        <v>7630</v>
      </c>
      <c r="B4929" s="1" t="s">
        <v>1942</v>
      </c>
      <c r="C4929" s="1" t="s">
        <v>60</v>
      </c>
      <c r="D4929" s="1" t="s">
        <v>37</v>
      </c>
      <c r="E4929" s="1" t="s">
        <v>57</v>
      </c>
      <c r="F4929">
        <v>1</v>
      </c>
      <c r="G4929" s="2">
        <v>46153</v>
      </c>
      <c r="H4929" s="2">
        <v>46154</v>
      </c>
      <c r="I4929">
        <v>209.73</v>
      </c>
      <c r="J4929">
        <v>91.11</v>
      </c>
      <c r="K4929">
        <v>91.11</v>
      </c>
      <c r="L4929">
        <v>0</v>
      </c>
      <c r="M4929" s="1" t="s">
        <v>21</v>
      </c>
      <c r="N4929" s="1" t="s">
        <v>22</v>
      </c>
      <c r="O4929" s="2">
        <v>46178</v>
      </c>
      <c r="P4929" s="2">
        <v>46178</v>
      </c>
      <c r="Q4929">
        <f>_xlfn.XLOOKUP(E4929,CPT!$A$2:$A$13,CPT!$D$2:$D$13)</f>
        <v>210</v>
      </c>
      <c r="R4929" s="1">
        <f>_xlfn.XLOOKUP(C4929,Contract!$A$2:$A$9,Contract!$B$2:$B$9)</f>
        <v>0.45</v>
      </c>
      <c r="S4929" s="1">
        <f t="shared" si="304"/>
        <v>94.5</v>
      </c>
      <c r="T4929" s="1">
        <f t="shared" si="305"/>
        <v>3.3900000000000006</v>
      </c>
      <c r="U4929" s="1" t="str">
        <f t="shared" si="306"/>
        <v>OK</v>
      </c>
      <c r="V4929" s="1" t="str">
        <f>_xlfn.XLOOKUP(C4929,Payers!$A$2:$A$9,Payers!$B$2:$B$9)</f>
        <v>Blue Horizon Commercial</v>
      </c>
      <c r="W4929" s="1" t="str">
        <f t="shared" si="307"/>
        <v>2026-05</v>
      </c>
    </row>
    <row r="4930" spans="1:23">
      <c r="A4930" s="1" t="s">
        <v>7631</v>
      </c>
      <c r="B4930" s="1" t="s">
        <v>7632</v>
      </c>
      <c r="C4930" s="1" t="s">
        <v>18</v>
      </c>
      <c r="D4930" s="1" t="s">
        <v>26</v>
      </c>
      <c r="E4930" s="1" t="s">
        <v>44</v>
      </c>
      <c r="F4930">
        <v>1</v>
      </c>
      <c r="G4930" s="2">
        <v>46242</v>
      </c>
      <c r="H4930" s="2">
        <v>46244</v>
      </c>
      <c r="I4930">
        <v>4713.54</v>
      </c>
      <c r="M4930" s="1" t="s">
        <v>32</v>
      </c>
      <c r="N4930" s="1" t="s">
        <v>124</v>
      </c>
      <c r="O4930" s="2">
        <v>46293</v>
      </c>
      <c r="P4930" s="2"/>
      <c r="Q4930">
        <f>_xlfn.XLOOKUP(E4930,CPT!$A$2:$A$13,CPT!$D$2:$D$13)</f>
        <v>4800</v>
      </c>
      <c r="R4930" s="1">
        <f>_xlfn.XLOOKUP(C4930,Contract!$A$2:$A$9,Contract!$B$2:$B$9)</f>
        <v>0.38</v>
      </c>
      <c r="S4930" s="1">
        <f t="shared" ref="S4930:S4993" si="308">ROUND(Q4930*F4930*R4930,2)</f>
        <v>1824</v>
      </c>
      <c r="T4930" s="1" t="str">
        <f t="shared" ref="T4930:T4993" si="309">IF(M4930="Paid",S4930-J4930,"")</f>
        <v/>
      </c>
      <c r="U4930" s="1" t="str">
        <f t="shared" ref="U4930:U4993" si="310">IF(M4930&lt;&gt;"Paid","",IF(T4930&gt;S4930*0.05,"Underpaid","OK"))</f>
        <v/>
      </c>
      <c r="V4930" s="1" t="str">
        <f>_xlfn.XLOOKUP(C4930,Payers!$A$2:$A$9,Payers!$B$2:$B$9)</f>
        <v>Sunshine Medicare Advantage</v>
      </c>
      <c r="W4930" s="1" t="str">
        <f t="shared" ref="W4930:W4993" si="311">TEXT(G4930,"yyyy-mm")</f>
        <v>2026-08</v>
      </c>
    </row>
    <row r="4931" spans="1:23">
      <c r="A4931" s="1" t="s">
        <v>7633</v>
      </c>
      <c r="B4931" s="1" t="s">
        <v>1194</v>
      </c>
      <c r="C4931" s="1" t="s">
        <v>60</v>
      </c>
      <c r="D4931" s="1" t="s">
        <v>19</v>
      </c>
      <c r="E4931" s="1" t="s">
        <v>88</v>
      </c>
      <c r="F4931">
        <v>1</v>
      </c>
      <c r="G4931" s="2">
        <v>45981</v>
      </c>
      <c r="H4931" s="2">
        <v>45983</v>
      </c>
      <c r="I4931">
        <v>265.72000000000003</v>
      </c>
      <c r="J4931">
        <v>103.15</v>
      </c>
      <c r="K4931">
        <v>92.83</v>
      </c>
      <c r="L4931">
        <v>10.32</v>
      </c>
      <c r="M4931" s="1" t="s">
        <v>21</v>
      </c>
      <c r="N4931" s="1" t="s">
        <v>22</v>
      </c>
      <c r="O4931" s="2">
        <v>46016</v>
      </c>
      <c r="P4931" s="2">
        <v>46016</v>
      </c>
      <c r="Q4931">
        <f>_xlfn.XLOOKUP(E4931,CPT!$A$2:$A$13,CPT!$D$2:$D$13)</f>
        <v>260</v>
      </c>
      <c r="R4931" s="1">
        <f>_xlfn.XLOOKUP(C4931,Contract!$A$2:$A$9,Contract!$B$2:$B$9)</f>
        <v>0.45</v>
      </c>
      <c r="S4931" s="1">
        <f t="shared" si="308"/>
        <v>117</v>
      </c>
      <c r="T4931" s="1">
        <f t="shared" si="309"/>
        <v>13.849999999999994</v>
      </c>
      <c r="U4931" s="1" t="str">
        <f t="shared" si="310"/>
        <v>Underpaid</v>
      </c>
      <c r="V4931" s="1" t="str">
        <f>_xlfn.XLOOKUP(C4931,Payers!$A$2:$A$9,Payers!$B$2:$B$9)</f>
        <v>Blue Horizon Commercial</v>
      </c>
      <c r="W4931" s="1" t="str">
        <f t="shared" si="311"/>
        <v>2025-11</v>
      </c>
    </row>
    <row r="4932" spans="1:23">
      <c r="A4932" s="1" t="s">
        <v>7634</v>
      </c>
      <c r="B4932" s="1" t="s">
        <v>7635</v>
      </c>
      <c r="C4932" s="1" t="s">
        <v>79</v>
      </c>
      <c r="D4932" s="1" t="s">
        <v>26</v>
      </c>
      <c r="E4932" s="1" t="s">
        <v>27</v>
      </c>
      <c r="F4932">
        <v>1</v>
      </c>
      <c r="G4932" s="2">
        <v>46207</v>
      </c>
      <c r="H4932" s="2">
        <v>46213</v>
      </c>
      <c r="I4932">
        <v>235.06</v>
      </c>
      <c r="M4932" s="1" t="s">
        <v>69</v>
      </c>
      <c r="N4932" s="1" t="s">
        <v>22</v>
      </c>
      <c r="O4932" s="2"/>
      <c r="P4932" s="2"/>
      <c r="Q4932">
        <f>_xlfn.XLOOKUP(E4932,CPT!$A$2:$A$13,CPT!$D$2:$D$13)</f>
        <v>240</v>
      </c>
      <c r="R4932" s="1">
        <f>_xlfn.XLOOKUP(C4932,Contract!$A$2:$A$9,Contract!$B$2:$B$9)</f>
        <v>1</v>
      </c>
      <c r="S4932" s="1">
        <f t="shared" si="308"/>
        <v>240</v>
      </c>
      <c r="T4932" s="1" t="str">
        <f t="shared" si="309"/>
        <v/>
      </c>
      <c r="U4932" s="1" t="str">
        <f t="shared" si="310"/>
        <v/>
      </c>
      <c r="V4932" s="1" t="str">
        <f>_xlfn.XLOOKUP(C4932,Payers!$A$2:$A$9,Payers!$B$2:$B$9)</f>
        <v>Self-Pay</v>
      </c>
      <c r="W4932" s="1" t="str">
        <f t="shared" si="311"/>
        <v>2026-07</v>
      </c>
    </row>
    <row r="4933" spans="1:23">
      <c r="A4933" s="1" t="s">
        <v>7636</v>
      </c>
      <c r="B4933" s="1" t="s">
        <v>6890</v>
      </c>
      <c r="C4933" s="1" t="s">
        <v>52</v>
      </c>
      <c r="D4933" s="1" t="s">
        <v>19</v>
      </c>
      <c r="E4933" s="1" t="s">
        <v>41</v>
      </c>
      <c r="F4933">
        <v>1</v>
      </c>
      <c r="G4933" s="2">
        <v>45944</v>
      </c>
      <c r="H4933" s="2">
        <v>45945</v>
      </c>
      <c r="I4933">
        <v>37.299999999999997</v>
      </c>
      <c r="M4933" s="1" t="s">
        <v>32</v>
      </c>
      <c r="N4933" s="1" t="s">
        <v>168</v>
      </c>
      <c r="O4933" s="2">
        <v>46018</v>
      </c>
      <c r="P4933" s="2"/>
      <c r="Q4933">
        <f>_xlfn.XLOOKUP(E4933,CPT!$A$2:$A$13,CPT!$D$2:$D$13)</f>
        <v>38</v>
      </c>
      <c r="R4933" s="1">
        <f>_xlfn.XLOOKUP(C4933,Contract!$A$2:$A$9,Contract!$B$2:$B$9)</f>
        <v>0.47</v>
      </c>
      <c r="S4933" s="1">
        <f t="shared" si="308"/>
        <v>17.86</v>
      </c>
      <c r="T4933" s="1" t="str">
        <f t="shared" si="309"/>
        <v/>
      </c>
      <c r="U4933" s="1" t="str">
        <f t="shared" si="310"/>
        <v/>
      </c>
      <c r="V4933" s="1" t="str">
        <f>_xlfn.XLOOKUP(C4933,Payers!$A$2:$A$9,Payers!$B$2:$B$9)</f>
        <v>Keystone Commercial PPO</v>
      </c>
      <c r="W4933" s="1" t="str">
        <f t="shared" si="311"/>
        <v>2025-10</v>
      </c>
    </row>
    <row r="4934" spans="1:23">
      <c r="A4934" s="1" t="s">
        <v>7637</v>
      </c>
      <c r="B4934" s="1" t="s">
        <v>5288</v>
      </c>
      <c r="C4934" s="1" t="s">
        <v>25</v>
      </c>
      <c r="D4934" s="1" t="s">
        <v>30</v>
      </c>
      <c r="E4934" s="1" t="s">
        <v>20</v>
      </c>
      <c r="F4934">
        <v>1</v>
      </c>
      <c r="G4934" s="2">
        <v>46063</v>
      </c>
      <c r="H4934" s="2">
        <v>46065</v>
      </c>
      <c r="I4934">
        <v>145.26</v>
      </c>
      <c r="J4934">
        <v>56.14</v>
      </c>
      <c r="K4934">
        <v>56.14</v>
      </c>
      <c r="L4934">
        <v>0</v>
      </c>
      <c r="M4934" s="1" t="s">
        <v>21</v>
      </c>
      <c r="N4934" s="1" t="s">
        <v>22</v>
      </c>
      <c r="O4934" s="2">
        <v>46075</v>
      </c>
      <c r="P4934" s="2">
        <v>46075</v>
      </c>
      <c r="Q4934">
        <f>_xlfn.XLOOKUP(E4934,CPT!$A$2:$A$13,CPT!$D$2:$D$13)</f>
        <v>145</v>
      </c>
      <c r="R4934" s="1">
        <f>_xlfn.XLOOKUP(C4934,Contract!$A$2:$A$9,Contract!$B$2:$B$9)</f>
        <v>0.36</v>
      </c>
      <c r="S4934" s="1">
        <f t="shared" si="308"/>
        <v>52.2</v>
      </c>
      <c r="T4934" s="1">
        <f t="shared" si="309"/>
        <v>-3.9399999999999977</v>
      </c>
      <c r="U4934" s="1" t="str">
        <f t="shared" si="310"/>
        <v>OK</v>
      </c>
      <c r="V4934" s="1" t="str">
        <f>_xlfn.XLOOKUP(C4934,Payers!$A$2:$A$9,Payers!$B$2:$B$9)</f>
        <v>Medicare Part B</v>
      </c>
      <c r="W4934" s="1" t="str">
        <f t="shared" si="311"/>
        <v>2026-02</v>
      </c>
    </row>
    <row r="4935" spans="1:23">
      <c r="A4935" s="1" t="s">
        <v>7638</v>
      </c>
      <c r="B4935" s="1" t="s">
        <v>5416</v>
      </c>
      <c r="C4935" s="1" t="s">
        <v>60</v>
      </c>
      <c r="D4935" s="1" t="s">
        <v>26</v>
      </c>
      <c r="E4935" s="1" t="s">
        <v>185</v>
      </c>
      <c r="F4935">
        <v>1</v>
      </c>
      <c r="G4935" s="2">
        <v>46009</v>
      </c>
      <c r="H4935" s="2">
        <v>46015</v>
      </c>
      <c r="I4935">
        <v>1115.7</v>
      </c>
      <c r="J4935">
        <v>521.04999999999995</v>
      </c>
      <c r="K4935">
        <v>416.84</v>
      </c>
      <c r="L4935">
        <v>104.21</v>
      </c>
      <c r="M4935" s="1" t="s">
        <v>21</v>
      </c>
      <c r="N4935" s="1" t="s">
        <v>22</v>
      </c>
      <c r="O4935" s="2">
        <v>46043</v>
      </c>
      <c r="P4935" s="2">
        <v>46043</v>
      </c>
      <c r="Q4935">
        <f>_xlfn.XLOOKUP(E4935,CPT!$A$2:$A$13,CPT!$D$2:$D$13)</f>
        <v>1150</v>
      </c>
      <c r="R4935" s="1">
        <f>_xlfn.XLOOKUP(C4935,Contract!$A$2:$A$9,Contract!$B$2:$B$9)</f>
        <v>0.45</v>
      </c>
      <c r="S4935" s="1">
        <f t="shared" si="308"/>
        <v>517.5</v>
      </c>
      <c r="T4935" s="1">
        <f t="shared" si="309"/>
        <v>-3.5499999999999545</v>
      </c>
      <c r="U4935" s="1" t="str">
        <f t="shared" si="310"/>
        <v>OK</v>
      </c>
      <c r="V4935" s="1" t="str">
        <f>_xlfn.XLOOKUP(C4935,Payers!$A$2:$A$9,Payers!$B$2:$B$9)</f>
        <v>Blue Horizon Commercial</v>
      </c>
      <c r="W4935" s="1" t="str">
        <f t="shared" si="311"/>
        <v>2025-12</v>
      </c>
    </row>
    <row r="4936" spans="1:23">
      <c r="A4936" s="1" t="s">
        <v>7639</v>
      </c>
      <c r="B4936" s="1" t="s">
        <v>849</v>
      </c>
      <c r="C4936" s="1" t="s">
        <v>76</v>
      </c>
      <c r="D4936" s="1" t="s">
        <v>26</v>
      </c>
      <c r="E4936" s="1" t="s">
        <v>27</v>
      </c>
      <c r="F4936">
        <v>1</v>
      </c>
      <c r="G4936" s="2">
        <v>46222</v>
      </c>
      <c r="H4936" s="2">
        <v>46224</v>
      </c>
      <c r="I4936">
        <v>236.58</v>
      </c>
      <c r="J4936">
        <v>94.53</v>
      </c>
      <c r="K4936">
        <v>94.53</v>
      </c>
      <c r="L4936">
        <v>0</v>
      </c>
      <c r="M4936" s="1" t="s">
        <v>21</v>
      </c>
      <c r="N4936" s="1" t="s">
        <v>22</v>
      </c>
      <c r="O4936" s="2">
        <v>46250</v>
      </c>
      <c r="P4936" s="2">
        <v>46250</v>
      </c>
      <c r="Q4936">
        <f>_xlfn.XLOOKUP(E4936,CPT!$A$2:$A$13,CPT!$D$2:$D$13)</f>
        <v>240</v>
      </c>
      <c r="R4936" s="1">
        <f>_xlfn.XLOOKUP(C4936,Contract!$A$2:$A$9,Contract!$B$2:$B$9)</f>
        <v>0.43</v>
      </c>
      <c r="S4936" s="1">
        <f t="shared" si="308"/>
        <v>103.2</v>
      </c>
      <c r="T4936" s="1">
        <f t="shared" si="309"/>
        <v>8.6700000000000017</v>
      </c>
      <c r="U4936" s="1" t="str">
        <f t="shared" si="310"/>
        <v>Underpaid</v>
      </c>
      <c r="V4936" s="1" t="str">
        <f>_xlfn.XLOOKUP(C4936,Payers!$A$2:$A$9,Payers!$B$2:$B$9)</f>
        <v>Summit Health Commercial</v>
      </c>
      <c r="W4936" s="1" t="str">
        <f t="shared" si="311"/>
        <v>2026-07</v>
      </c>
    </row>
    <row r="4937" spans="1:23">
      <c r="A4937" s="1" t="s">
        <v>7640</v>
      </c>
      <c r="B4937" s="1" t="s">
        <v>73</v>
      </c>
      <c r="C4937" s="1" t="s">
        <v>60</v>
      </c>
      <c r="D4937" s="1" t="s">
        <v>26</v>
      </c>
      <c r="E4937" s="1" t="s">
        <v>88</v>
      </c>
      <c r="F4937">
        <v>1</v>
      </c>
      <c r="G4937" s="2">
        <v>46167</v>
      </c>
      <c r="H4937" s="2">
        <v>46168</v>
      </c>
      <c r="I4937">
        <v>257.87</v>
      </c>
      <c r="J4937">
        <v>127.38</v>
      </c>
      <c r="K4937">
        <v>101.9</v>
      </c>
      <c r="L4937">
        <v>25.48</v>
      </c>
      <c r="M4937" s="1" t="s">
        <v>21</v>
      </c>
      <c r="N4937" s="1" t="s">
        <v>22</v>
      </c>
      <c r="O4937" s="2">
        <v>46185</v>
      </c>
      <c r="P4937" s="2">
        <v>46185</v>
      </c>
      <c r="Q4937">
        <f>_xlfn.XLOOKUP(E4937,CPT!$A$2:$A$13,CPT!$D$2:$D$13)</f>
        <v>260</v>
      </c>
      <c r="R4937" s="1">
        <f>_xlfn.XLOOKUP(C4937,Contract!$A$2:$A$9,Contract!$B$2:$B$9)</f>
        <v>0.45</v>
      </c>
      <c r="S4937" s="1">
        <f t="shared" si="308"/>
        <v>117</v>
      </c>
      <c r="T4937" s="1">
        <f t="shared" si="309"/>
        <v>-10.379999999999995</v>
      </c>
      <c r="U4937" s="1" t="str">
        <f t="shared" si="310"/>
        <v>OK</v>
      </c>
      <c r="V4937" s="1" t="str">
        <f>_xlfn.XLOOKUP(C4937,Payers!$A$2:$A$9,Payers!$B$2:$B$9)</f>
        <v>Blue Horizon Commercial</v>
      </c>
      <c r="W4937" s="1" t="str">
        <f t="shared" si="311"/>
        <v>2026-05</v>
      </c>
    </row>
    <row r="4938" spans="1:23">
      <c r="A4938" s="1" t="s">
        <v>7641</v>
      </c>
      <c r="B4938" s="1" t="s">
        <v>2130</v>
      </c>
      <c r="C4938" s="1" t="s">
        <v>52</v>
      </c>
      <c r="D4938" s="1" t="s">
        <v>26</v>
      </c>
      <c r="E4938" s="1" t="s">
        <v>185</v>
      </c>
      <c r="F4938">
        <v>1</v>
      </c>
      <c r="G4938" s="2">
        <v>46268</v>
      </c>
      <c r="H4938" s="2">
        <v>46269</v>
      </c>
      <c r="I4938">
        <v>1164.27</v>
      </c>
      <c r="M4938" s="1" t="s">
        <v>69</v>
      </c>
      <c r="N4938" s="1" t="s">
        <v>22</v>
      </c>
      <c r="O4938" s="2"/>
      <c r="P4938" s="2"/>
      <c r="Q4938">
        <f>_xlfn.XLOOKUP(E4938,CPT!$A$2:$A$13,CPT!$D$2:$D$13)</f>
        <v>1150</v>
      </c>
      <c r="R4938" s="1">
        <f>_xlfn.XLOOKUP(C4938,Contract!$A$2:$A$9,Contract!$B$2:$B$9)</f>
        <v>0.47</v>
      </c>
      <c r="S4938" s="1">
        <f t="shared" si="308"/>
        <v>540.5</v>
      </c>
      <c r="T4938" s="1" t="str">
        <f t="shared" si="309"/>
        <v/>
      </c>
      <c r="U4938" s="1" t="str">
        <f t="shared" si="310"/>
        <v/>
      </c>
      <c r="V4938" s="1" t="str">
        <f>_xlfn.XLOOKUP(C4938,Payers!$A$2:$A$9,Payers!$B$2:$B$9)</f>
        <v>Keystone Commercial PPO</v>
      </c>
      <c r="W4938" s="1" t="str">
        <f t="shared" si="311"/>
        <v>2026-09</v>
      </c>
    </row>
    <row r="4939" spans="1:23">
      <c r="A4939" s="1" t="s">
        <v>7642</v>
      </c>
      <c r="B4939" s="1" t="s">
        <v>7643</v>
      </c>
      <c r="C4939" s="1" t="s">
        <v>60</v>
      </c>
      <c r="D4939" s="1" t="s">
        <v>37</v>
      </c>
      <c r="E4939" s="1" t="s">
        <v>38</v>
      </c>
      <c r="F4939">
        <v>20</v>
      </c>
      <c r="G4939" s="2">
        <v>46017</v>
      </c>
      <c r="H4939" s="2">
        <v>46019</v>
      </c>
      <c r="I4939">
        <v>28598.2</v>
      </c>
      <c r="J4939">
        <v>14106.92</v>
      </c>
      <c r="K4939">
        <v>12696.23</v>
      </c>
      <c r="L4939">
        <v>1410.69</v>
      </c>
      <c r="M4939" s="1" t="s">
        <v>21</v>
      </c>
      <c r="N4939" s="1" t="s">
        <v>22</v>
      </c>
      <c r="O4939" s="2">
        <v>46060</v>
      </c>
      <c r="P4939" s="2">
        <v>46060</v>
      </c>
      <c r="Q4939">
        <f>_xlfn.XLOOKUP(E4939,CPT!$A$2:$A$13,CPT!$D$2:$D$13)</f>
        <v>1450</v>
      </c>
      <c r="R4939" s="1">
        <f>_xlfn.XLOOKUP(C4939,Contract!$A$2:$A$9,Contract!$B$2:$B$9)</f>
        <v>0.45</v>
      </c>
      <c r="S4939" s="1">
        <f t="shared" si="308"/>
        <v>13050</v>
      </c>
      <c r="T4939" s="1">
        <f t="shared" si="309"/>
        <v>-1056.92</v>
      </c>
      <c r="U4939" s="1" t="str">
        <f t="shared" si="310"/>
        <v>OK</v>
      </c>
      <c r="V4939" s="1" t="str">
        <f>_xlfn.XLOOKUP(C4939,Payers!$A$2:$A$9,Payers!$B$2:$B$9)</f>
        <v>Blue Horizon Commercial</v>
      </c>
      <c r="W4939" s="1" t="str">
        <f t="shared" si="311"/>
        <v>2025-12</v>
      </c>
    </row>
    <row r="4940" spans="1:23">
      <c r="A4940" s="1" t="s">
        <v>7644</v>
      </c>
      <c r="B4940" s="1" t="s">
        <v>7645</v>
      </c>
      <c r="C4940" s="1" t="s">
        <v>60</v>
      </c>
      <c r="D4940" s="1" t="s">
        <v>26</v>
      </c>
      <c r="E4940" s="1" t="s">
        <v>41</v>
      </c>
      <c r="F4940">
        <v>1</v>
      </c>
      <c r="G4940" s="2">
        <v>46226</v>
      </c>
      <c r="H4940" s="2">
        <v>46227</v>
      </c>
      <c r="I4940">
        <v>37.58</v>
      </c>
      <c r="J4940">
        <v>16.53</v>
      </c>
      <c r="K4940">
        <v>13.22</v>
      </c>
      <c r="L4940">
        <v>3.31</v>
      </c>
      <c r="M4940" s="1" t="s">
        <v>21</v>
      </c>
      <c r="N4940" s="1" t="s">
        <v>22</v>
      </c>
      <c r="O4940" s="2">
        <v>46259</v>
      </c>
      <c r="P4940" s="2">
        <v>46259</v>
      </c>
      <c r="Q4940">
        <f>_xlfn.XLOOKUP(E4940,CPT!$A$2:$A$13,CPT!$D$2:$D$13)</f>
        <v>38</v>
      </c>
      <c r="R4940" s="1">
        <f>_xlfn.XLOOKUP(C4940,Contract!$A$2:$A$9,Contract!$B$2:$B$9)</f>
        <v>0.45</v>
      </c>
      <c r="S4940" s="1">
        <f t="shared" si="308"/>
        <v>17.100000000000001</v>
      </c>
      <c r="T4940" s="1">
        <f t="shared" si="309"/>
        <v>0.57000000000000028</v>
      </c>
      <c r="U4940" s="1" t="str">
        <f t="shared" si="310"/>
        <v>OK</v>
      </c>
      <c r="V4940" s="1" t="str">
        <f>_xlfn.XLOOKUP(C4940,Payers!$A$2:$A$9,Payers!$B$2:$B$9)</f>
        <v>Blue Horizon Commercial</v>
      </c>
      <c r="W4940" s="1" t="str">
        <f t="shared" si="311"/>
        <v>2026-07</v>
      </c>
    </row>
    <row r="4941" spans="1:23">
      <c r="A4941" s="1" t="s">
        <v>7646</v>
      </c>
      <c r="B4941" s="1" t="s">
        <v>4728</v>
      </c>
      <c r="C4941" s="1" t="s">
        <v>60</v>
      </c>
      <c r="D4941" s="1" t="s">
        <v>37</v>
      </c>
      <c r="E4941" s="1" t="s">
        <v>57</v>
      </c>
      <c r="F4941">
        <v>1</v>
      </c>
      <c r="G4941" s="2">
        <v>45936</v>
      </c>
      <c r="H4941" s="2">
        <v>45938</v>
      </c>
      <c r="I4941">
        <v>215.79</v>
      </c>
      <c r="M4941" s="1" t="s">
        <v>32</v>
      </c>
      <c r="N4941" s="1" t="s">
        <v>33</v>
      </c>
      <c r="O4941" s="2">
        <v>45965</v>
      </c>
      <c r="P4941" s="2"/>
      <c r="Q4941">
        <f>_xlfn.XLOOKUP(E4941,CPT!$A$2:$A$13,CPT!$D$2:$D$13)</f>
        <v>210</v>
      </c>
      <c r="R4941" s="1">
        <f>_xlfn.XLOOKUP(C4941,Contract!$A$2:$A$9,Contract!$B$2:$B$9)</f>
        <v>0.45</v>
      </c>
      <c r="S4941" s="1">
        <f t="shared" si="308"/>
        <v>94.5</v>
      </c>
      <c r="T4941" s="1" t="str">
        <f t="shared" si="309"/>
        <v/>
      </c>
      <c r="U4941" s="1" t="str">
        <f t="shared" si="310"/>
        <v/>
      </c>
      <c r="V4941" s="1" t="str">
        <f>_xlfn.XLOOKUP(C4941,Payers!$A$2:$A$9,Payers!$B$2:$B$9)</f>
        <v>Blue Horizon Commercial</v>
      </c>
      <c r="W4941" s="1" t="str">
        <f t="shared" si="311"/>
        <v>2025-10</v>
      </c>
    </row>
    <row r="4942" spans="1:23">
      <c r="A4942" s="1" t="s">
        <v>7647</v>
      </c>
      <c r="B4942" s="1" t="s">
        <v>7648</v>
      </c>
      <c r="C4942" s="1" t="s">
        <v>25</v>
      </c>
      <c r="D4942" s="1" t="s">
        <v>26</v>
      </c>
      <c r="E4942" s="1" t="s">
        <v>41</v>
      </c>
      <c r="F4942">
        <v>1</v>
      </c>
      <c r="G4942" s="2">
        <v>45950</v>
      </c>
      <c r="H4942" s="2">
        <v>45953</v>
      </c>
      <c r="I4942">
        <v>37.909999999999997</v>
      </c>
      <c r="J4942">
        <v>14.15</v>
      </c>
      <c r="K4942">
        <v>12.73</v>
      </c>
      <c r="L4942">
        <v>1.42</v>
      </c>
      <c r="M4942" s="1" t="s">
        <v>21</v>
      </c>
      <c r="N4942" s="1" t="s">
        <v>22</v>
      </c>
      <c r="O4942" s="2">
        <v>45969</v>
      </c>
      <c r="P4942" s="2">
        <v>45969</v>
      </c>
      <c r="Q4942">
        <f>_xlfn.XLOOKUP(E4942,CPT!$A$2:$A$13,CPT!$D$2:$D$13)</f>
        <v>38</v>
      </c>
      <c r="R4942" s="1">
        <f>_xlfn.XLOOKUP(C4942,Contract!$A$2:$A$9,Contract!$B$2:$B$9)</f>
        <v>0.36</v>
      </c>
      <c r="S4942" s="1">
        <f t="shared" si="308"/>
        <v>13.68</v>
      </c>
      <c r="T4942" s="1">
        <f t="shared" si="309"/>
        <v>-0.47000000000000064</v>
      </c>
      <c r="U4942" s="1" t="str">
        <f t="shared" si="310"/>
        <v>OK</v>
      </c>
      <c r="V4942" s="1" t="str">
        <f>_xlfn.XLOOKUP(C4942,Payers!$A$2:$A$9,Payers!$B$2:$B$9)</f>
        <v>Medicare Part B</v>
      </c>
      <c r="W4942" s="1" t="str">
        <f t="shared" si="311"/>
        <v>2025-10</v>
      </c>
    </row>
    <row r="4943" spans="1:23">
      <c r="A4943" s="1" t="s">
        <v>7649</v>
      </c>
      <c r="B4943" s="1" t="s">
        <v>3597</v>
      </c>
      <c r="C4943" s="1" t="s">
        <v>60</v>
      </c>
      <c r="D4943" s="1" t="s">
        <v>26</v>
      </c>
      <c r="E4943" s="1" t="s">
        <v>113</v>
      </c>
      <c r="F4943">
        <v>1</v>
      </c>
      <c r="G4943" s="2">
        <v>46255</v>
      </c>
      <c r="H4943" s="2">
        <v>46257</v>
      </c>
      <c r="I4943">
        <v>1060.57</v>
      </c>
      <c r="J4943">
        <v>503.81</v>
      </c>
      <c r="K4943">
        <v>503.81</v>
      </c>
      <c r="L4943">
        <v>0</v>
      </c>
      <c r="M4943" s="1" t="s">
        <v>21</v>
      </c>
      <c r="N4943" s="1" t="s">
        <v>22</v>
      </c>
      <c r="O4943" s="2">
        <v>46275</v>
      </c>
      <c r="P4943" s="2">
        <v>46275</v>
      </c>
      <c r="Q4943">
        <f>_xlfn.XLOOKUP(E4943,CPT!$A$2:$A$13,CPT!$D$2:$D$13)</f>
        <v>1050</v>
      </c>
      <c r="R4943" s="1">
        <f>_xlfn.XLOOKUP(C4943,Contract!$A$2:$A$9,Contract!$B$2:$B$9)</f>
        <v>0.45</v>
      </c>
      <c r="S4943" s="1">
        <f t="shared" si="308"/>
        <v>472.5</v>
      </c>
      <c r="T4943" s="1">
        <f t="shared" si="309"/>
        <v>-31.310000000000002</v>
      </c>
      <c r="U4943" s="1" t="str">
        <f t="shared" si="310"/>
        <v>OK</v>
      </c>
      <c r="V4943" s="1" t="str">
        <f>_xlfn.XLOOKUP(C4943,Payers!$A$2:$A$9,Payers!$B$2:$B$9)</f>
        <v>Blue Horizon Commercial</v>
      </c>
      <c r="W4943" s="1" t="str">
        <f t="shared" si="311"/>
        <v>2026-08</v>
      </c>
    </row>
    <row r="4944" spans="1:23">
      <c r="A4944" s="1" t="s">
        <v>7650</v>
      </c>
      <c r="B4944" s="1" t="s">
        <v>2012</v>
      </c>
      <c r="C4944" s="1" t="s">
        <v>76</v>
      </c>
      <c r="D4944" s="1" t="s">
        <v>26</v>
      </c>
      <c r="E4944" s="1" t="s">
        <v>27</v>
      </c>
      <c r="F4944">
        <v>1</v>
      </c>
      <c r="G4944" s="2">
        <v>46101</v>
      </c>
      <c r="H4944" s="2">
        <v>46109</v>
      </c>
      <c r="I4944">
        <v>233.08</v>
      </c>
      <c r="J4944">
        <v>92.85</v>
      </c>
      <c r="K4944">
        <v>83.56</v>
      </c>
      <c r="L4944">
        <v>9.2899999999999991</v>
      </c>
      <c r="M4944" s="1" t="s">
        <v>21</v>
      </c>
      <c r="N4944" s="1" t="s">
        <v>22</v>
      </c>
      <c r="O4944" s="2">
        <v>46132</v>
      </c>
      <c r="P4944" s="2">
        <v>46132</v>
      </c>
      <c r="Q4944">
        <f>_xlfn.XLOOKUP(E4944,CPT!$A$2:$A$13,CPT!$D$2:$D$13)</f>
        <v>240</v>
      </c>
      <c r="R4944" s="1">
        <f>_xlfn.XLOOKUP(C4944,Contract!$A$2:$A$9,Contract!$B$2:$B$9)</f>
        <v>0.43</v>
      </c>
      <c r="S4944" s="1">
        <f t="shared" si="308"/>
        <v>103.2</v>
      </c>
      <c r="T4944" s="1">
        <f t="shared" si="309"/>
        <v>10.350000000000009</v>
      </c>
      <c r="U4944" s="1" t="str">
        <f t="shared" si="310"/>
        <v>Underpaid</v>
      </c>
      <c r="V4944" s="1" t="str">
        <f>_xlfn.XLOOKUP(C4944,Payers!$A$2:$A$9,Payers!$B$2:$B$9)</f>
        <v>Summit Health Commercial</v>
      </c>
      <c r="W4944" s="1" t="str">
        <f t="shared" si="311"/>
        <v>2026-03</v>
      </c>
    </row>
    <row r="4945" spans="1:23">
      <c r="A4945" s="1" t="s">
        <v>7651</v>
      </c>
      <c r="B4945" s="1" t="s">
        <v>6282</v>
      </c>
      <c r="C4945" s="1" t="s">
        <v>25</v>
      </c>
      <c r="D4945" s="1" t="s">
        <v>26</v>
      </c>
      <c r="E4945" s="1" t="s">
        <v>57</v>
      </c>
      <c r="F4945">
        <v>1</v>
      </c>
      <c r="G4945" s="2">
        <v>46098</v>
      </c>
      <c r="H4945" s="2">
        <v>46099</v>
      </c>
      <c r="I4945">
        <v>212.69</v>
      </c>
      <c r="J4945">
        <v>84.61</v>
      </c>
      <c r="K4945">
        <v>84.61</v>
      </c>
      <c r="L4945">
        <v>0</v>
      </c>
      <c r="M4945" s="1" t="s">
        <v>21</v>
      </c>
      <c r="N4945" s="1" t="s">
        <v>22</v>
      </c>
      <c r="O4945" s="2">
        <v>46131</v>
      </c>
      <c r="P4945" s="2">
        <v>46131</v>
      </c>
      <c r="Q4945">
        <f>_xlfn.XLOOKUP(E4945,CPT!$A$2:$A$13,CPT!$D$2:$D$13)</f>
        <v>210</v>
      </c>
      <c r="R4945" s="1">
        <f>_xlfn.XLOOKUP(C4945,Contract!$A$2:$A$9,Contract!$B$2:$B$9)</f>
        <v>0.36</v>
      </c>
      <c r="S4945" s="1">
        <f t="shared" si="308"/>
        <v>75.599999999999994</v>
      </c>
      <c r="T4945" s="1">
        <f t="shared" si="309"/>
        <v>-9.0100000000000051</v>
      </c>
      <c r="U4945" s="1" t="str">
        <f t="shared" si="310"/>
        <v>OK</v>
      </c>
      <c r="V4945" s="1" t="str">
        <f>_xlfn.XLOOKUP(C4945,Payers!$A$2:$A$9,Payers!$B$2:$B$9)</f>
        <v>Medicare Part B</v>
      </c>
      <c r="W4945" s="1" t="str">
        <f t="shared" si="311"/>
        <v>2026-03</v>
      </c>
    </row>
    <row r="4946" spans="1:23">
      <c r="A4946" s="1" t="s">
        <v>7652</v>
      </c>
      <c r="B4946" s="1" t="s">
        <v>3473</v>
      </c>
      <c r="C4946" s="1" t="s">
        <v>25</v>
      </c>
      <c r="D4946" s="1" t="s">
        <v>30</v>
      </c>
      <c r="E4946" s="1" t="s">
        <v>31</v>
      </c>
      <c r="F4946">
        <v>3</v>
      </c>
      <c r="G4946" s="2">
        <v>46084</v>
      </c>
      <c r="H4946" s="2">
        <v>46085</v>
      </c>
      <c r="I4946">
        <v>187.5</v>
      </c>
      <c r="J4946">
        <v>72.44</v>
      </c>
      <c r="K4946">
        <v>72.44</v>
      </c>
      <c r="L4946">
        <v>0</v>
      </c>
      <c r="M4946" s="1" t="s">
        <v>21</v>
      </c>
      <c r="N4946" s="1" t="s">
        <v>22</v>
      </c>
      <c r="O4946" s="2">
        <v>46100</v>
      </c>
      <c r="P4946" s="2">
        <v>46100</v>
      </c>
      <c r="Q4946">
        <f>_xlfn.XLOOKUP(E4946,CPT!$A$2:$A$13,CPT!$D$2:$D$13)</f>
        <v>62</v>
      </c>
      <c r="R4946" s="1">
        <f>_xlfn.XLOOKUP(C4946,Contract!$A$2:$A$9,Contract!$B$2:$B$9)</f>
        <v>0.36</v>
      </c>
      <c r="S4946" s="1">
        <f t="shared" si="308"/>
        <v>66.959999999999994</v>
      </c>
      <c r="T4946" s="1">
        <f t="shared" si="309"/>
        <v>-5.480000000000004</v>
      </c>
      <c r="U4946" s="1" t="str">
        <f t="shared" si="310"/>
        <v>OK</v>
      </c>
      <c r="V4946" s="1" t="str">
        <f>_xlfn.XLOOKUP(C4946,Payers!$A$2:$A$9,Payers!$B$2:$B$9)</f>
        <v>Medicare Part B</v>
      </c>
      <c r="W4946" s="1" t="str">
        <f t="shared" si="311"/>
        <v>2026-03</v>
      </c>
    </row>
    <row r="4947" spans="1:23">
      <c r="A4947" s="1" t="s">
        <v>7653</v>
      </c>
      <c r="B4947" s="1" t="s">
        <v>7654</v>
      </c>
      <c r="C4947" s="1" t="s">
        <v>36</v>
      </c>
      <c r="D4947" s="1" t="s">
        <v>26</v>
      </c>
      <c r="E4947" s="1" t="s">
        <v>44</v>
      </c>
      <c r="F4947">
        <v>1</v>
      </c>
      <c r="G4947" s="2">
        <v>46048</v>
      </c>
      <c r="H4947" s="2">
        <v>46053</v>
      </c>
      <c r="I4947">
        <v>4753.1400000000003</v>
      </c>
      <c r="J4947">
        <v>1325.76</v>
      </c>
      <c r="K4947">
        <v>1325.76</v>
      </c>
      <c r="L4947">
        <v>0</v>
      </c>
      <c r="M4947" s="1" t="s">
        <v>21</v>
      </c>
      <c r="N4947" s="1" t="s">
        <v>22</v>
      </c>
      <c r="O4947" s="2">
        <v>46100</v>
      </c>
      <c r="P4947" s="2">
        <v>46100</v>
      </c>
      <c r="Q4947">
        <f>_xlfn.XLOOKUP(E4947,CPT!$A$2:$A$13,CPT!$D$2:$D$13)</f>
        <v>4800</v>
      </c>
      <c r="R4947" s="1">
        <f>_xlfn.XLOOKUP(C4947,Contract!$A$2:$A$9,Contract!$B$2:$B$9)</f>
        <v>0.27</v>
      </c>
      <c r="S4947" s="1">
        <f t="shared" si="308"/>
        <v>1296</v>
      </c>
      <c r="T4947" s="1">
        <f t="shared" si="309"/>
        <v>-29.759999999999991</v>
      </c>
      <c r="U4947" s="1" t="str">
        <f t="shared" si="310"/>
        <v>OK</v>
      </c>
      <c r="V4947" s="1" t="str">
        <f>_xlfn.XLOOKUP(C4947,Payers!$A$2:$A$9,Payers!$B$2:$B$9)</f>
        <v>Florida Medicaid</v>
      </c>
      <c r="W4947" s="1" t="str">
        <f t="shared" si="311"/>
        <v>2026-01</v>
      </c>
    </row>
    <row r="4948" spans="1:23">
      <c r="A4948" s="1" t="s">
        <v>7655</v>
      </c>
      <c r="B4948" s="1" t="s">
        <v>7656</v>
      </c>
      <c r="C4948" s="1" t="s">
        <v>60</v>
      </c>
      <c r="D4948" s="1" t="s">
        <v>26</v>
      </c>
      <c r="E4948" s="1" t="s">
        <v>44</v>
      </c>
      <c r="F4948">
        <v>1</v>
      </c>
      <c r="G4948" s="2">
        <v>45948</v>
      </c>
      <c r="H4948" s="2">
        <v>45955</v>
      </c>
      <c r="I4948">
        <v>4811.84</v>
      </c>
      <c r="J4948">
        <v>1963.89</v>
      </c>
      <c r="K4948">
        <v>1767.5</v>
      </c>
      <c r="L4948">
        <v>196.39</v>
      </c>
      <c r="M4948" s="1" t="s">
        <v>21</v>
      </c>
      <c r="N4948" s="1" t="s">
        <v>22</v>
      </c>
      <c r="O4948" s="2">
        <v>45974</v>
      </c>
      <c r="P4948" s="2">
        <v>45974</v>
      </c>
      <c r="Q4948">
        <f>_xlfn.XLOOKUP(E4948,CPT!$A$2:$A$13,CPT!$D$2:$D$13)</f>
        <v>4800</v>
      </c>
      <c r="R4948" s="1">
        <f>_xlfn.XLOOKUP(C4948,Contract!$A$2:$A$9,Contract!$B$2:$B$9)</f>
        <v>0.45</v>
      </c>
      <c r="S4948" s="1">
        <f t="shared" si="308"/>
        <v>2160</v>
      </c>
      <c r="T4948" s="1">
        <f t="shared" si="309"/>
        <v>196.1099999999999</v>
      </c>
      <c r="U4948" s="1" t="str">
        <f t="shared" si="310"/>
        <v>Underpaid</v>
      </c>
      <c r="V4948" s="1" t="str">
        <f>_xlfn.XLOOKUP(C4948,Payers!$A$2:$A$9,Payers!$B$2:$B$9)</f>
        <v>Blue Horizon Commercial</v>
      </c>
      <c r="W4948" s="1" t="str">
        <f t="shared" si="311"/>
        <v>2025-10</v>
      </c>
    </row>
    <row r="4949" spans="1:23">
      <c r="A4949" s="1" t="s">
        <v>7657</v>
      </c>
      <c r="B4949" s="1" t="s">
        <v>4822</v>
      </c>
      <c r="C4949" s="1" t="s">
        <v>60</v>
      </c>
      <c r="D4949" s="1" t="s">
        <v>37</v>
      </c>
      <c r="E4949" s="1" t="s">
        <v>48</v>
      </c>
      <c r="F4949">
        <v>1</v>
      </c>
      <c r="G4949" s="2">
        <v>46022</v>
      </c>
      <c r="H4949" s="2">
        <v>46023</v>
      </c>
      <c r="I4949">
        <v>418.03</v>
      </c>
      <c r="J4949">
        <v>194.47</v>
      </c>
      <c r="K4949">
        <v>155.58000000000001</v>
      </c>
      <c r="L4949">
        <v>38.89</v>
      </c>
      <c r="M4949" s="1" t="s">
        <v>21</v>
      </c>
      <c r="N4949" s="1" t="s">
        <v>22</v>
      </c>
      <c r="O4949" s="2">
        <v>46039</v>
      </c>
      <c r="P4949" s="2">
        <v>46039</v>
      </c>
      <c r="Q4949">
        <f>_xlfn.XLOOKUP(E4949,CPT!$A$2:$A$13,CPT!$D$2:$D$13)</f>
        <v>420</v>
      </c>
      <c r="R4949" s="1">
        <f>_xlfn.XLOOKUP(C4949,Contract!$A$2:$A$9,Contract!$B$2:$B$9)</f>
        <v>0.45</v>
      </c>
      <c r="S4949" s="1">
        <f t="shared" si="308"/>
        <v>189</v>
      </c>
      <c r="T4949" s="1">
        <f t="shared" si="309"/>
        <v>-5.4699999999999989</v>
      </c>
      <c r="U4949" s="1" t="str">
        <f t="shared" si="310"/>
        <v>OK</v>
      </c>
      <c r="V4949" s="1" t="str">
        <f>_xlfn.XLOOKUP(C4949,Payers!$A$2:$A$9,Payers!$B$2:$B$9)</f>
        <v>Blue Horizon Commercial</v>
      </c>
      <c r="W4949" s="1" t="str">
        <f t="shared" si="311"/>
        <v>2025-12</v>
      </c>
    </row>
    <row r="4950" spans="1:23">
      <c r="A4950" s="1" t="s">
        <v>7658</v>
      </c>
      <c r="B4950" s="1" t="s">
        <v>1485</v>
      </c>
      <c r="C4950" s="1" t="s">
        <v>36</v>
      </c>
      <c r="D4950" s="1" t="s">
        <v>30</v>
      </c>
      <c r="E4950" s="1" t="s">
        <v>20</v>
      </c>
      <c r="F4950">
        <v>1</v>
      </c>
      <c r="G4950" s="2">
        <v>46030</v>
      </c>
      <c r="H4950" s="2">
        <v>46034</v>
      </c>
      <c r="I4950">
        <v>148.37</v>
      </c>
      <c r="J4950">
        <v>45.46</v>
      </c>
      <c r="K4950">
        <v>36.369999999999997</v>
      </c>
      <c r="L4950">
        <v>9.09</v>
      </c>
      <c r="M4950" s="1" t="s">
        <v>21</v>
      </c>
      <c r="N4950" s="1" t="s">
        <v>22</v>
      </c>
      <c r="O4950" s="2">
        <v>46080</v>
      </c>
      <c r="P4950" s="2">
        <v>46080</v>
      </c>
      <c r="Q4950">
        <f>_xlfn.XLOOKUP(E4950,CPT!$A$2:$A$13,CPT!$D$2:$D$13)</f>
        <v>145</v>
      </c>
      <c r="R4950" s="1">
        <f>_xlfn.XLOOKUP(C4950,Contract!$A$2:$A$9,Contract!$B$2:$B$9)</f>
        <v>0.27</v>
      </c>
      <c r="S4950" s="1">
        <f t="shared" si="308"/>
        <v>39.15</v>
      </c>
      <c r="T4950" s="1">
        <f t="shared" si="309"/>
        <v>-6.3100000000000023</v>
      </c>
      <c r="U4950" s="1" t="str">
        <f t="shared" si="310"/>
        <v>OK</v>
      </c>
      <c r="V4950" s="1" t="str">
        <f>_xlfn.XLOOKUP(C4950,Payers!$A$2:$A$9,Payers!$B$2:$B$9)</f>
        <v>Florida Medicaid</v>
      </c>
      <c r="W4950" s="1" t="str">
        <f t="shared" si="311"/>
        <v>2026-01</v>
      </c>
    </row>
    <row r="4951" spans="1:23">
      <c r="A4951" s="1" t="s">
        <v>7659</v>
      </c>
      <c r="B4951" s="1" t="s">
        <v>1497</v>
      </c>
      <c r="C4951" s="1" t="s">
        <v>76</v>
      </c>
      <c r="D4951" s="1" t="s">
        <v>19</v>
      </c>
      <c r="E4951" s="1" t="s">
        <v>41</v>
      </c>
      <c r="F4951">
        <v>1</v>
      </c>
      <c r="G4951" s="2">
        <v>45984</v>
      </c>
      <c r="H4951" s="2">
        <v>45997</v>
      </c>
      <c r="I4951">
        <v>38.17</v>
      </c>
      <c r="J4951">
        <v>16.59</v>
      </c>
      <c r="K4951">
        <v>14.93</v>
      </c>
      <c r="L4951">
        <v>1.66</v>
      </c>
      <c r="M4951" s="1" t="s">
        <v>21</v>
      </c>
      <c r="N4951" s="1" t="s">
        <v>22</v>
      </c>
      <c r="O4951" s="2">
        <v>46020</v>
      </c>
      <c r="P4951" s="2">
        <v>46020</v>
      </c>
      <c r="Q4951">
        <f>_xlfn.XLOOKUP(E4951,CPT!$A$2:$A$13,CPT!$D$2:$D$13)</f>
        <v>38</v>
      </c>
      <c r="R4951" s="1">
        <f>_xlfn.XLOOKUP(C4951,Contract!$A$2:$A$9,Contract!$B$2:$B$9)</f>
        <v>0.43</v>
      </c>
      <c r="S4951" s="1">
        <f t="shared" si="308"/>
        <v>16.34</v>
      </c>
      <c r="T4951" s="1">
        <f t="shared" si="309"/>
        <v>-0.25</v>
      </c>
      <c r="U4951" s="1" t="str">
        <f t="shared" si="310"/>
        <v>OK</v>
      </c>
      <c r="V4951" s="1" t="str">
        <f>_xlfn.XLOOKUP(C4951,Payers!$A$2:$A$9,Payers!$B$2:$B$9)</f>
        <v>Summit Health Commercial</v>
      </c>
      <c r="W4951" s="1" t="str">
        <f t="shared" si="311"/>
        <v>2025-11</v>
      </c>
    </row>
    <row r="4952" spans="1:23">
      <c r="A4952" s="1" t="s">
        <v>7660</v>
      </c>
      <c r="B4952" s="1" t="s">
        <v>7661</v>
      </c>
      <c r="C4952" s="1" t="s">
        <v>60</v>
      </c>
      <c r="D4952" s="1" t="s">
        <v>26</v>
      </c>
      <c r="E4952" s="1" t="s">
        <v>113</v>
      </c>
      <c r="F4952">
        <v>1</v>
      </c>
      <c r="G4952" s="2">
        <v>46023</v>
      </c>
      <c r="H4952" s="2">
        <v>46028</v>
      </c>
      <c r="I4952">
        <v>1023.76</v>
      </c>
      <c r="J4952">
        <v>498.63</v>
      </c>
      <c r="K4952">
        <v>398.9</v>
      </c>
      <c r="L4952">
        <v>99.73</v>
      </c>
      <c r="M4952" s="1" t="s">
        <v>21</v>
      </c>
      <c r="N4952" s="1" t="s">
        <v>22</v>
      </c>
      <c r="O4952" s="2">
        <v>46053</v>
      </c>
      <c r="P4952" s="2">
        <v>46053</v>
      </c>
      <c r="Q4952">
        <f>_xlfn.XLOOKUP(E4952,CPT!$A$2:$A$13,CPT!$D$2:$D$13)</f>
        <v>1050</v>
      </c>
      <c r="R4952" s="1">
        <f>_xlfn.XLOOKUP(C4952,Contract!$A$2:$A$9,Contract!$B$2:$B$9)</f>
        <v>0.45</v>
      </c>
      <c r="S4952" s="1">
        <f t="shared" si="308"/>
        <v>472.5</v>
      </c>
      <c r="T4952" s="1">
        <f t="shared" si="309"/>
        <v>-26.129999999999995</v>
      </c>
      <c r="U4952" s="1" t="str">
        <f t="shared" si="310"/>
        <v>OK</v>
      </c>
      <c r="V4952" s="1" t="str">
        <f>_xlfn.XLOOKUP(C4952,Payers!$A$2:$A$9,Payers!$B$2:$B$9)</f>
        <v>Blue Horizon Commercial</v>
      </c>
      <c r="W4952" s="1" t="str">
        <f t="shared" si="311"/>
        <v>2026-01</v>
      </c>
    </row>
    <row r="4953" spans="1:23">
      <c r="A4953" s="1" t="s">
        <v>7662</v>
      </c>
      <c r="B4953" s="1" t="s">
        <v>7663</v>
      </c>
      <c r="C4953" s="1" t="s">
        <v>60</v>
      </c>
      <c r="D4953" s="1" t="s">
        <v>19</v>
      </c>
      <c r="E4953" s="1" t="s">
        <v>41</v>
      </c>
      <c r="F4953">
        <v>1</v>
      </c>
      <c r="G4953" s="2">
        <v>46257</v>
      </c>
      <c r="H4953" s="2">
        <v>46263</v>
      </c>
      <c r="I4953">
        <v>38.67</v>
      </c>
      <c r="M4953" s="1" t="s">
        <v>69</v>
      </c>
      <c r="N4953" s="1" t="s">
        <v>22</v>
      </c>
      <c r="O4953" s="2"/>
      <c r="P4953" s="2"/>
      <c r="Q4953">
        <f>_xlfn.XLOOKUP(E4953,CPT!$A$2:$A$13,CPT!$D$2:$D$13)</f>
        <v>38</v>
      </c>
      <c r="R4953" s="1">
        <f>_xlfn.XLOOKUP(C4953,Contract!$A$2:$A$9,Contract!$B$2:$B$9)</f>
        <v>0.45</v>
      </c>
      <c r="S4953" s="1">
        <f t="shared" si="308"/>
        <v>17.100000000000001</v>
      </c>
      <c r="T4953" s="1" t="str">
        <f t="shared" si="309"/>
        <v/>
      </c>
      <c r="U4953" s="1" t="str">
        <f t="shared" si="310"/>
        <v/>
      </c>
      <c r="V4953" s="1" t="str">
        <f>_xlfn.XLOOKUP(C4953,Payers!$A$2:$A$9,Payers!$B$2:$B$9)</f>
        <v>Blue Horizon Commercial</v>
      </c>
      <c r="W4953" s="1" t="str">
        <f t="shared" si="311"/>
        <v>2026-08</v>
      </c>
    </row>
    <row r="4954" spans="1:23">
      <c r="A4954" s="1" t="s">
        <v>7664</v>
      </c>
      <c r="B4954" s="1" t="s">
        <v>4601</v>
      </c>
      <c r="C4954" s="1" t="s">
        <v>76</v>
      </c>
      <c r="D4954" s="1" t="s">
        <v>26</v>
      </c>
      <c r="E4954" s="1" t="s">
        <v>44</v>
      </c>
      <c r="F4954">
        <v>1</v>
      </c>
      <c r="G4954" s="2">
        <v>46143</v>
      </c>
      <c r="H4954" s="2">
        <v>46155</v>
      </c>
      <c r="I4954">
        <v>4737.67</v>
      </c>
      <c r="M4954" s="1" t="s">
        <v>32</v>
      </c>
      <c r="N4954" s="1" t="s">
        <v>315</v>
      </c>
      <c r="O4954" s="2">
        <v>46184</v>
      </c>
      <c r="P4954" s="2"/>
      <c r="Q4954">
        <f>_xlfn.XLOOKUP(E4954,CPT!$A$2:$A$13,CPT!$D$2:$D$13)</f>
        <v>4800</v>
      </c>
      <c r="R4954" s="1">
        <f>_xlfn.XLOOKUP(C4954,Contract!$A$2:$A$9,Contract!$B$2:$B$9)</f>
        <v>0.43</v>
      </c>
      <c r="S4954" s="1">
        <f t="shared" si="308"/>
        <v>2064</v>
      </c>
      <c r="T4954" s="1" t="str">
        <f t="shared" si="309"/>
        <v/>
      </c>
      <c r="U4954" s="1" t="str">
        <f t="shared" si="310"/>
        <v/>
      </c>
      <c r="V4954" s="1" t="str">
        <f>_xlfn.XLOOKUP(C4954,Payers!$A$2:$A$9,Payers!$B$2:$B$9)</f>
        <v>Summit Health Commercial</v>
      </c>
      <c r="W4954" s="1" t="str">
        <f t="shared" si="311"/>
        <v>2026-05</v>
      </c>
    </row>
    <row r="4955" spans="1:23">
      <c r="A4955" s="1" t="s">
        <v>7665</v>
      </c>
      <c r="B4955" s="1" t="s">
        <v>1563</v>
      </c>
      <c r="C4955" s="1" t="s">
        <v>60</v>
      </c>
      <c r="D4955" s="1" t="s">
        <v>26</v>
      </c>
      <c r="E4955" s="1" t="s">
        <v>185</v>
      </c>
      <c r="F4955">
        <v>1</v>
      </c>
      <c r="G4955" s="2">
        <v>46163</v>
      </c>
      <c r="H4955" s="2">
        <v>46164</v>
      </c>
      <c r="I4955">
        <v>1119.04</v>
      </c>
      <c r="J4955">
        <v>553.17999999999995</v>
      </c>
      <c r="K4955">
        <v>442.54</v>
      </c>
      <c r="L4955">
        <v>110.64</v>
      </c>
      <c r="M4955" s="1" t="s">
        <v>21</v>
      </c>
      <c r="N4955" s="1" t="s">
        <v>22</v>
      </c>
      <c r="O4955" s="2">
        <v>46194</v>
      </c>
      <c r="P4955" s="2">
        <v>46194</v>
      </c>
      <c r="Q4955">
        <f>_xlfn.XLOOKUP(E4955,CPT!$A$2:$A$13,CPT!$D$2:$D$13)</f>
        <v>1150</v>
      </c>
      <c r="R4955" s="1">
        <f>_xlfn.XLOOKUP(C4955,Contract!$A$2:$A$9,Contract!$B$2:$B$9)</f>
        <v>0.45</v>
      </c>
      <c r="S4955" s="1">
        <f t="shared" si="308"/>
        <v>517.5</v>
      </c>
      <c r="T4955" s="1">
        <f t="shared" si="309"/>
        <v>-35.67999999999995</v>
      </c>
      <c r="U4955" s="1" t="str">
        <f t="shared" si="310"/>
        <v>OK</v>
      </c>
      <c r="V4955" s="1" t="str">
        <f>_xlfn.XLOOKUP(C4955,Payers!$A$2:$A$9,Payers!$B$2:$B$9)</f>
        <v>Blue Horizon Commercial</v>
      </c>
      <c r="W4955" s="1" t="str">
        <f t="shared" si="311"/>
        <v>2026-05</v>
      </c>
    </row>
    <row r="4956" spans="1:23">
      <c r="A4956" s="1" t="s">
        <v>7666</v>
      </c>
      <c r="B4956" s="1" t="s">
        <v>1636</v>
      </c>
      <c r="C4956" s="1" t="s">
        <v>25</v>
      </c>
      <c r="D4956" s="1" t="s">
        <v>19</v>
      </c>
      <c r="E4956" s="1" t="s">
        <v>20</v>
      </c>
      <c r="F4956">
        <v>1</v>
      </c>
      <c r="G4956" s="2">
        <v>46119</v>
      </c>
      <c r="H4956" s="2">
        <v>46137</v>
      </c>
      <c r="I4956">
        <v>141.74</v>
      </c>
      <c r="J4956">
        <v>43.51</v>
      </c>
      <c r="K4956">
        <v>43.51</v>
      </c>
      <c r="L4956">
        <v>0</v>
      </c>
      <c r="M4956" s="1" t="s">
        <v>21</v>
      </c>
      <c r="N4956" s="1" t="s">
        <v>22</v>
      </c>
      <c r="O4956" s="2">
        <v>46151</v>
      </c>
      <c r="P4956" s="2">
        <v>46151</v>
      </c>
      <c r="Q4956">
        <f>_xlfn.XLOOKUP(E4956,CPT!$A$2:$A$13,CPT!$D$2:$D$13)</f>
        <v>145</v>
      </c>
      <c r="R4956" s="1">
        <f>_xlfn.XLOOKUP(C4956,Contract!$A$2:$A$9,Contract!$B$2:$B$9)</f>
        <v>0.36</v>
      </c>
      <c r="S4956" s="1">
        <f t="shared" si="308"/>
        <v>52.2</v>
      </c>
      <c r="T4956" s="1">
        <f t="shared" si="309"/>
        <v>8.6900000000000048</v>
      </c>
      <c r="U4956" s="1" t="str">
        <f t="shared" si="310"/>
        <v>Underpaid</v>
      </c>
      <c r="V4956" s="1" t="str">
        <f>_xlfn.XLOOKUP(C4956,Payers!$A$2:$A$9,Payers!$B$2:$B$9)</f>
        <v>Medicare Part B</v>
      </c>
      <c r="W4956" s="1" t="str">
        <f t="shared" si="311"/>
        <v>2026-04</v>
      </c>
    </row>
    <row r="4957" spans="1:23">
      <c r="A4957" s="1" t="s">
        <v>7667</v>
      </c>
      <c r="B4957" s="1" t="s">
        <v>217</v>
      </c>
      <c r="C4957" s="1" t="s">
        <v>18</v>
      </c>
      <c r="D4957" s="1" t="s">
        <v>26</v>
      </c>
      <c r="E4957" s="1" t="s">
        <v>41</v>
      </c>
      <c r="F4957">
        <v>1</v>
      </c>
      <c r="G4957" s="2">
        <v>46073</v>
      </c>
      <c r="H4957" s="2">
        <v>46084</v>
      </c>
      <c r="I4957">
        <v>38.99</v>
      </c>
      <c r="M4957" s="1" t="s">
        <v>32</v>
      </c>
      <c r="N4957" s="1" t="s">
        <v>49</v>
      </c>
      <c r="O4957" s="2">
        <v>46131</v>
      </c>
      <c r="P4957" s="2"/>
      <c r="Q4957">
        <f>_xlfn.XLOOKUP(E4957,CPT!$A$2:$A$13,CPT!$D$2:$D$13)</f>
        <v>38</v>
      </c>
      <c r="R4957" s="1">
        <f>_xlfn.XLOOKUP(C4957,Contract!$A$2:$A$9,Contract!$B$2:$B$9)</f>
        <v>0.38</v>
      </c>
      <c r="S4957" s="1">
        <f t="shared" si="308"/>
        <v>14.44</v>
      </c>
      <c r="T4957" s="1" t="str">
        <f t="shared" si="309"/>
        <v/>
      </c>
      <c r="U4957" s="1" t="str">
        <f t="shared" si="310"/>
        <v/>
      </c>
      <c r="V4957" s="1" t="str">
        <f>_xlfn.XLOOKUP(C4957,Payers!$A$2:$A$9,Payers!$B$2:$B$9)</f>
        <v>Sunshine Medicare Advantage</v>
      </c>
      <c r="W4957" s="1" t="str">
        <f t="shared" si="311"/>
        <v>2026-02</v>
      </c>
    </row>
    <row r="4958" spans="1:23">
      <c r="A4958" s="1" t="s">
        <v>7668</v>
      </c>
      <c r="B4958" s="1" t="s">
        <v>1173</v>
      </c>
      <c r="C4958" s="1" t="s">
        <v>76</v>
      </c>
      <c r="D4958" s="1" t="s">
        <v>26</v>
      </c>
      <c r="E4958" s="1" t="s">
        <v>57</v>
      </c>
      <c r="F4958">
        <v>1</v>
      </c>
      <c r="G4958" s="2">
        <v>46102</v>
      </c>
      <c r="H4958" s="2">
        <v>46109</v>
      </c>
      <c r="I4958">
        <v>207.84</v>
      </c>
      <c r="J4958">
        <v>89.42</v>
      </c>
      <c r="K4958">
        <v>89.42</v>
      </c>
      <c r="L4958">
        <v>0</v>
      </c>
      <c r="M4958" s="1" t="s">
        <v>21</v>
      </c>
      <c r="N4958" s="1" t="s">
        <v>22</v>
      </c>
      <c r="O4958" s="2">
        <v>46139</v>
      </c>
      <c r="P4958" s="2">
        <v>46139</v>
      </c>
      <c r="Q4958">
        <f>_xlfn.XLOOKUP(E4958,CPT!$A$2:$A$13,CPT!$D$2:$D$13)</f>
        <v>210</v>
      </c>
      <c r="R4958" s="1">
        <f>_xlfn.XLOOKUP(C4958,Contract!$A$2:$A$9,Contract!$B$2:$B$9)</f>
        <v>0.43</v>
      </c>
      <c r="S4958" s="1">
        <f t="shared" si="308"/>
        <v>90.3</v>
      </c>
      <c r="T4958" s="1">
        <f t="shared" si="309"/>
        <v>0.87999999999999545</v>
      </c>
      <c r="U4958" s="1" t="str">
        <f t="shared" si="310"/>
        <v>OK</v>
      </c>
      <c r="V4958" s="1" t="str">
        <f>_xlfn.XLOOKUP(C4958,Payers!$A$2:$A$9,Payers!$B$2:$B$9)</f>
        <v>Summit Health Commercial</v>
      </c>
      <c r="W4958" s="1" t="str">
        <f t="shared" si="311"/>
        <v>2026-03</v>
      </c>
    </row>
    <row r="4959" spans="1:23">
      <c r="A4959" s="1" t="s">
        <v>7669</v>
      </c>
      <c r="B4959" s="1" t="s">
        <v>696</v>
      </c>
      <c r="C4959" s="1" t="s">
        <v>76</v>
      </c>
      <c r="D4959" s="1" t="s">
        <v>19</v>
      </c>
      <c r="E4959" s="1" t="s">
        <v>57</v>
      </c>
      <c r="F4959">
        <v>1</v>
      </c>
      <c r="G4959" s="2">
        <v>46077</v>
      </c>
      <c r="H4959" s="2">
        <v>46088</v>
      </c>
      <c r="I4959">
        <v>210.14</v>
      </c>
      <c r="J4959">
        <v>89.88</v>
      </c>
      <c r="K4959">
        <v>89.88</v>
      </c>
      <c r="L4959">
        <v>0</v>
      </c>
      <c r="M4959" s="1" t="s">
        <v>21</v>
      </c>
      <c r="N4959" s="1" t="s">
        <v>22</v>
      </c>
      <c r="O4959" s="2">
        <v>46113</v>
      </c>
      <c r="P4959" s="2">
        <v>46113</v>
      </c>
      <c r="Q4959">
        <f>_xlfn.XLOOKUP(E4959,CPT!$A$2:$A$13,CPT!$D$2:$D$13)</f>
        <v>210</v>
      </c>
      <c r="R4959" s="1">
        <f>_xlfn.XLOOKUP(C4959,Contract!$A$2:$A$9,Contract!$B$2:$B$9)</f>
        <v>0.43</v>
      </c>
      <c r="S4959" s="1">
        <f t="shared" si="308"/>
        <v>90.3</v>
      </c>
      <c r="T4959" s="1">
        <f t="shared" si="309"/>
        <v>0.42000000000000171</v>
      </c>
      <c r="U4959" s="1" t="str">
        <f t="shared" si="310"/>
        <v>OK</v>
      </c>
      <c r="V4959" s="1" t="str">
        <f>_xlfn.XLOOKUP(C4959,Payers!$A$2:$A$9,Payers!$B$2:$B$9)</f>
        <v>Summit Health Commercial</v>
      </c>
      <c r="W4959" s="1" t="str">
        <f t="shared" si="311"/>
        <v>2026-02</v>
      </c>
    </row>
    <row r="4960" spans="1:23">
      <c r="A4960" s="1" t="s">
        <v>7670</v>
      </c>
      <c r="B4960" s="1" t="s">
        <v>1813</v>
      </c>
      <c r="C4960" s="1" t="s">
        <v>76</v>
      </c>
      <c r="D4960" s="1" t="s">
        <v>26</v>
      </c>
      <c r="E4960" s="1" t="s">
        <v>44</v>
      </c>
      <c r="F4960">
        <v>1</v>
      </c>
      <c r="G4960" s="2">
        <v>46153</v>
      </c>
      <c r="H4960" s="2">
        <v>46155</v>
      </c>
      <c r="I4960">
        <v>4748.7</v>
      </c>
      <c r="J4960">
        <v>2292.88</v>
      </c>
      <c r="K4960">
        <v>2292.88</v>
      </c>
      <c r="L4960">
        <v>0</v>
      </c>
      <c r="M4960" s="1" t="s">
        <v>21</v>
      </c>
      <c r="N4960" s="1" t="s">
        <v>22</v>
      </c>
      <c r="O4960" s="2">
        <v>46187</v>
      </c>
      <c r="P4960" s="2">
        <v>46187</v>
      </c>
      <c r="Q4960">
        <f>_xlfn.XLOOKUP(E4960,CPT!$A$2:$A$13,CPT!$D$2:$D$13)</f>
        <v>4800</v>
      </c>
      <c r="R4960" s="1">
        <f>_xlfn.XLOOKUP(C4960,Contract!$A$2:$A$9,Contract!$B$2:$B$9)</f>
        <v>0.43</v>
      </c>
      <c r="S4960" s="1">
        <f t="shared" si="308"/>
        <v>2064</v>
      </c>
      <c r="T4960" s="1">
        <f t="shared" si="309"/>
        <v>-228.88000000000011</v>
      </c>
      <c r="U4960" s="1" t="str">
        <f t="shared" si="310"/>
        <v>OK</v>
      </c>
      <c r="V4960" s="1" t="str">
        <f>_xlfn.XLOOKUP(C4960,Payers!$A$2:$A$9,Payers!$B$2:$B$9)</f>
        <v>Summit Health Commercial</v>
      </c>
      <c r="W4960" s="1" t="str">
        <f t="shared" si="311"/>
        <v>2026-05</v>
      </c>
    </row>
    <row r="4961" spans="1:23">
      <c r="A4961" s="1" t="s">
        <v>7671</v>
      </c>
      <c r="B4961" s="1" t="s">
        <v>7672</v>
      </c>
      <c r="C4961" s="1" t="s">
        <v>47</v>
      </c>
      <c r="D4961" s="1" t="s">
        <v>26</v>
      </c>
      <c r="E4961" s="1" t="s">
        <v>27</v>
      </c>
      <c r="F4961">
        <v>1</v>
      </c>
      <c r="G4961" s="2">
        <v>45931</v>
      </c>
      <c r="H4961" s="2">
        <v>45932</v>
      </c>
      <c r="I4961">
        <v>233.37</v>
      </c>
      <c r="M4961" s="1" t="s">
        <v>32</v>
      </c>
      <c r="N4961" s="1" t="s">
        <v>124</v>
      </c>
      <c r="O4961" s="2">
        <v>45988</v>
      </c>
      <c r="P4961" s="2"/>
      <c r="Q4961">
        <f>_xlfn.XLOOKUP(E4961,CPT!$A$2:$A$13,CPT!$D$2:$D$13)</f>
        <v>240</v>
      </c>
      <c r="R4961" s="1">
        <f>_xlfn.XLOOKUP(C4961,Contract!$A$2:$A$9,Contract!$B$2:$B$9)</f>
        <v>0.28000000000000003</v>
      </c>
      <c r="S4961" s="1">
        <f t="shared" si="308"/>
        <v>67.2</v>
      </c>
      <c r="T4961" s="1" t="str">
        <f t="shared" si="309"/>
        <v/>
      </c>
      <c r="U4961" s="1" t="str">
        <f t="shared" si="310"/>
        <v/>
      </c>
      <c r="V4961" s="1" t="str">
        <f>_xlfn.XLOOKUP(C4961,Payers!$A$2:$A$9,Payers!$B$2:$B$9)</f>
        <v>Coastal Medicaid MCO</v>
      </c>
      <c r="W4961" s="1" t="str">
        <f t="shared" si="311"/>
        <v>2025-10</v>
      </c>
    </row>
    <row r="4962" spans="1:23">
      <c r="A4962" s="1" t="s">
        <v>7673</v>
      </c>
      <c r="B4962" s="1" t="s">
        <v>7674</v>
      </c>
      <c r="C4962" s="1" t="s">
        <v>76</v>
      </c>
      <c r="D4962" s="1" t="s">
        <v>30</v>
      </c>
      <c r="E4962" s="1" t="s">
        <v>91</v>
      </c>
      <c r="F4962">
        <v>4</v>
      </c>
      <c r="G4962" s="2">
        <v>46250</v>
      </c>
      <c r="H4962" s="2">
        <v>46251</v>
      </c>
      <c r="I4962">
        <v>233.12</v>
      </c>
      <c r="J4962">
        <v>99.48</v>
      </c>
      <c r="K4962">
        <v>99.48</v>
      </c>
      <c r="L4962">
        <v>0</v>
      </c>
      <c r="M4962" s="1" t="s">
        <v>21</v>
      </c>
      <c r="N4962" s="1" t="s">
        <v>22</v>
      </c>
      <c r="O4962" s="2">
        <v>46273</v>
      </c>
      <c r="P4962" s="2">
        <v>46273</v>
      </c>
      <c r="Q4962">
        <f>_xlfn.XLOOKUP(E4962,CPT!$A$2:$A$13,CPT!$D$2:$D$13)</f>
        <v>58</v>
      </c>
      <c r="R4962" s="1">
        <f>_xlfn.XLOOKUP(C4962,Contract!$A$2:$A$9,Contract!$B$2:$B$9)</f>
        <v>0.43</v>
      </c>
      <c r="S4962" s="1">
        <f t="shared" si="308"/>
        <v>99.76</v>
      </c>
      <c r="T4962" s="1">
        <f t="shared" si="309"/>
        <v>0.28000000000000114</v>
      </c>
      <c r="U4962" s="1" t="str">
        <f t="shared" si="310"/>
        <v>OK</v>
      </c>
      <c r="V4962" s="1" t="str">
        <f>_xlfn.XLOOKUP(C4962,Payers!$A$2:$A$9,Payers!$B$2:$B$9)</f>
        <v>Summit Health Commercial</v>
      </c>
      <c r="W4962" s="1" t="str">
        <f t="shared" si="311"/>
        <v>2026-08</v>
      </c>
    </row>
    <row r="4963" spans="1:23">
      <c r="A4963" s="1" t="s">
        <v>7675</v>
      </c>
      <c r="B4963" s="1" t="s">
        <v>5792</v>
      </c>
      <c r="C4963" s="1" t="s">
        <v>18</v>
      </c>
      <c r="D4963" s="1" t="s">
        <v>30</v>
      </c>
      <c r="E4963" s="1" t="s">
        <v>20</v>
      </c>
      <c r="F4963">
        <v>1</v>
      </c>
      <c r="G4963" s="2">
        <v>46013</v>
      </c>
      <c r="H4963" s="2">
        <v>46019</v>
      </c>
      <c r="I4963">
        <v>143.72999999999999</v>
      </c>
      <c r="J4963">
        <v>56.24</v>
      </c>
      <c r="K4963">
        <v>50.62</v>
      </c>
      <c r="L4963">
        <v>5.62</v>
      </c>
      <c r="M4963" s="1" t="s">
        <v>21</v>
      </c>
      <c r="N4963" s="1" t="s">
        <v>22</v>
      </c>
      <c r="O4963" s="2">
        <v>46072</v>
      </c>
      <c r="P4963" s="2">
        <v>46072</v>
      </c>
      <c r="Q4963">
        <f>_xlfn.XLOOKUP(E4963,CPT!$A$2:$A$13,CPT!$D$2:$D$13)</f>
        <v>145</v>
      </c>
      <c r="R4963" s="1">
        <f>_xlfn.XLOOKUP(C4963,Contract!$A$2:$A$9,Contract!$B$2:$B$9)</f>
        <v>0.38</v>
      </c>
      <c r="S4963" s="1">
        <f t="shared" si="308"/>
        <v>55.1</v>
      </c>
      <c r="T4963" s="1">
        <f t="shared" si="309"/>
        <v>-1.1400000000000006</v>
      </c>
      <c r="U4963" s="1" t="str">
        <f t="shared" si="310"/>
        <v>OK</v>
      </c>
      <c r="V4963" s="1" t="str">
        <f>_xlfn.XLOOKUP(C4963,Payers!$A$2:$A$9,Payers!$B$2:$B$9)</f>
        <v>Sunshine Medicare Advantage</v>
      </c>
      <c r="W4963" s="1" t="str">
        <f t="shared" si="311"/>
        <v>2025-12</v>
      </c>
    </row>
    <row r="4964" spans="1:23">
      <c r="A4964" s="1" t="s">
        <v>7676</v>
      </c>
      <c r="B4964" s="1" t="s">
        <v>2042</v>
      </c>
      <c r="C4964" s="1" t="s">
        <v>76</v>
      </c>
      <c r="D4964" s="1" t="s">
        <v>19</v>
      </c>
      <c r="E4964" s="1" t="s">
        <v>41</v>
      </c>
      <c r="F4964">
        <v>1</v>
      </c>
      <c r="G4964" s="2">
        <v>46230</v>
      </c>
      <c r="H4964" s="2">
        <v>46231</v>
      </c>
      <c r="I4964">
        <v>39.090000000000003</v>
      </c>
      <c r="J4964">
        <v>19.100000000000001</v>
      </c>
      <c r="K4964">
        <v>15.28</v>
      </c>
      <c r="L4964">
        <v>3.82</v>
      </c>
      <c r="M4964" s="1" t="s">
        <v>21</v>
      </c>
      <c r="N4964" s="1" t="s">
        <v>22</v>
      </c>
      <c r="O4964" s="2">
        <v>46253</v>
      </c>
      <c r="P4964" s="2">
        <v>46253</v>
      </c>
      <c r="Q4964">
        <f>_xlfn.XLOOKUP(E4964,CPT!$A$2:$A$13,CPT!$D$2:$D$13)</f>
        <v>38</v>
      </c>
      <c r="R4964" s="1">
        <f>_xlfn.XLOOKUP(C4964,Contract!$A$2:$A$9,Contract!$B$2:$B$9)</f>
        <v>0.43</v>
      </c>
      <c r="S4964" s="1">
        <f t="shared" si="308"/>
        <v>16.34</v>
      </c>
      <c r="T4964" s="1">
        <f t="shared" si="309"/>
        <v>-2.7600000000000016</v>
      </c>
      <c r="U4964" s="1" t="str">
        <f t="shared" si="310"/>
        <v>OK</v>
      </c>
      <c r="V4964" s="1" t="str">
        <f>_xlfn.XLOOKUP(C4964,Payers!$A$2:$A$9,Payers!$B$2:$B$9)</f>
        <v>Summit Health Commercial</v>
      </c>
      <c r="W4964" s="1" t="str">
        <f t="shared" si="311"/>
        <v>2026-07</v>
      </c>
    </row>
    <row r="4965" spans="1:23">
      <c r="A4965" s="1" t="s">
        <v>7677</v>
      </c>
      <c r="B4965" s="1" t="s">
        <v>2836</v>
      </c>
      <c r="C4965" s="1" t="s">
        <v>60</v>
      </c>
      <c r="D4965" s="1" t="s">
        <v>19</v>
      </c>
      <c r="E4965" s="1" t="s">
        <v>88</v>
      </c>
      <c r="F4965">
        <v>1</v>
      </c>
      <c r="G4965" s="2">
        <v>46028</v>
      </c>
      <c r="H4965" s="2">
        <v>46029</v>
      </c>
      <c r="I4965">
        <v>255.52</v>
      </c>
      <c r="J4965">
        <v>98.83</v>
      </c>
      <c r="K4965">
        <v>79.06</v>
      </c>
      <c r="L4965">
        <v>19.77</v>
      </c>
      <c r="M4965" s="1" t="s">
        <v>21</v>
      </c>
      <c r="N4965" s="1" t="s">
        <v>22</v>
      </c>
      <c r="O4965" s="2">
        <v>46058</v>
      </c>
      <c r="P4965" s="2">
        <v>46058</v>
      </c>
      <c r="Q4965">
        <f>_xlfn.XLOOKUP(E4965,CPT!$A$2:$A$13,CPT!$D$2:$D$13)</f>
        <v>260</v>
      </c>
      <c r="R4965" s="1">
        <f>_xlfn.XLOOKUP(C4965,Contract!$A$2:$A$9,Contract!$B$2:$B$9)</f>
        <v>0.45</v>
      </c>
      <c r="S4965" s="1">
        <f t="shared" si="308"/>
        <v>117</v>
      </c>
      <c r="T4965" s="1">
        <f t="shared" si="309"/>
        <v>18.170000000000002</v>
      </c>
      <c r="U4965" s="1" t="str">
        <f t="shared" si="310"/>
        <v>Underpaid</v>
      </c>
      <c r="V4965" s="1" t="str">
        <f>_xlfn.XLOOKUP(C4965,Payers!$A$2:$A$9,Payers!$B$2:$B$9)</f>
        <v>Blue Horizon Commercial</v>
      </c>
      <c r="W4965" s="1" t="str">
        <f t="shared" si="311"/>
        <v>2026-01</v>
      </c>
    </row>
    <row r="4966" spans="1:23">
      <c r="A4966" s="1" t="s">
        <v>7678</v>
      </c>
      <c r="B4966" s="1" t="s">
        <v>7679</v>
      </c>
      <c r="C4966" s="1" t="s">
        <v>52</v>
      </c>
      <c r="D4966" s="1" t="s">
        <v>26</v>
      </c>
      <c r="E4966" s="1" t="s">
        <v>113</v>
      </c>
      <c r="F4966">
        <v>1</v>
      </c>
      <c r="G4966" s="2">
        <v>46081</v>
      </c>
      <c r="H4966" s="2">
        <v>46082</v>
      </c>
      <c r="I4966">
        <v>1037.94</v>
      </c>
      <c r="M4966" s="1" t="s">
        <v>32</v>
      </c>
      <c r="N4966" s="1" t="s">
        <v>124</v>
      </c>
      <c r="O4966" s="2">
        <v>46126</v>
      </c>
      <c r="P4966" s="2"/>
      <c r="Q4966">
        <f>_xlfn.XLOOKUP(E4966,CPT!$A$2:$A$13,CPT!$D$2:$D$13)</f>
        <v>1050</v>
      </c>
      <c r="R4966" s="1">
        <f>_xlfn.XLOOKUP(C4966,Contract!$A$2:$A$9,Contract!$B$2:$B$9)</f>
        <v>0.47</v>
      </c>
      <c r="S4966" s="1">
        <f t="shared" si="308"/>
        <v>493.5</v>
      </c>
      <c r="T4966" s="1" t="str">
        <f t="shared" si="309"/>
        <v/>
      </c>
      <c r="U4966" s="1" t="str">
        <f t="shared" si="310"/>
        <v/>
      </c>
      <c r="V4966" s="1" t="str">
        <f>_xlfn.XLOOKUP(C4966,Payers!$A$2:$A$9,Payers!$B$2:$B$9)</f>
        <v>Keystone Commercial PPO</v>
      </c>
      <c r="W4966" s="1" t="str">
        <f t="shared" si="311"/>
        <v>2026-02</v>
      </c>
    </row>
    <row r="4967" spans="1:23">
      <c r="A4967" s="1" t="s">
        <v>7680</v>
      </c>
      <c r="B4967" s="1" t="s">
        <v>1245</v>
      </c>
      <c r="C4967" s="1" t="s">
        <v>47</v>
      </c>
      <c r="D4967" s="1" t="s">
        <v>30</v>
      </c>
      <c r="E4967" s="1" t="s">
        <v>31</v>
      </c>
      <c r="F4967">
        <v>1</v>
      </c>
      <c r="G4967" s="2">
        <v>46035</v>
      </c>
      <c r="H4967" s="2">
        <v>46037</v>
      </c>
      <c r="I4967">
        <v>60.57</v>
      </c>
      <c r="M4967" s="1" t="s">
        <v>32</v>
      </c>
      <c r="N4967" s="1" t="s">
        <v>124</v>
      </c>
      <c r="O4967" s="2">
        <v>46107</v>
      </c>
      <c r="P4967" s="2"/>
      <c r="Q4967">
        <f>_xlfn.XLOOKUP(E4967,CPT!$A$2:$A$13,CPT!$D$2:$D$13)</f>
        <v>62</v>
      </c>
      <c r="R4967" s="1">
        <f>_xlfn.XLOOKUP(C4967,Contract!$A$2:$A$9,Contract!$B$2:$B$9)</f>
        <v>0.28000000000000003</v>
      </c>
      <c r="S4967" s="1">
        <f t="shared" si="308"/>
        <v>17.36</v>
      </c>
      <c r="T4967" s="1" t="str">
        <f t="shared" si="309"/>
        <v/>
      </c>
      <c r="U4967" s="1" t="str">
        <f t="shared" si="310"/>
        <v/>
      </c>
      <c r="V4967" s="1" t="str">
        <f>_xlfn.XLOOKUP(C4967,Payers!$A$2:$A$9,Payers!$B$2:$B$9)</f>
        <v>Coastal Medicaid MCO</v>
      </c>
      <c r="W4967" s="1" t="str">
        <f t="shared" si="311"/>
        <v>2026-01</v>
      </c>
    </row>
    <row r="4968" spans="1:23">
      <c r="A4968" s="1" t="s">
        <v>7681</v>
      </c>
      <c r="B4968" s="1" t="s">
        <v>883</v>
      </c>
      <c r="C4968" s="1" t="s">
        <v>76</v>
      </c>
      <c r="D4968" s="1" t="s">
        <v>19</v>
      </c>
      <c r="E4968" s="1" t="s">
        <v>41</v>
      </c>
      <c r="F4968">
        <v>1</v>
      </c>
      <c r="G4968" s="2">
        <v>46083</v>
      </c>
      <c r="H4968" s="2">
        <v>46085</v>
      </c>
      <c r="I4968">
        <v>37.1</v>
      </c>
      <c r="J4968">
        <v>15.41</v>
      </c>
      <c r="K4968">
        <v>15.41</v>
      </c>
      <c r="L4968">
        <v>0</v>
      </c>
      <c r="M4968" s="1" t="s">
        <v>21</v>
      </c>
      <c r="N4968" s="1" t="s">
        <v>22</v>
      </c>
      <c r="O4968" s="2">
        <v>46106</v>
      </c>
      <c r="P4968" s="2">
        <v>46106</v>
      </c>
      <c r="Q4968">
        <f>_xlfn.XLOOKUP(E4968,CPT!$A$2:$A$13,CPT!$D$2:$D$13)</f>
        <v>38</v>
      </c>
      <c r="R4968" s="1">
        <f>_xlfn.XLOOKUP(C4968,Contract!$A$2:$A$9,Contract!$B$2:$B$9)</f>
        <v>0.43</v>
      </c>
      <c r="S4968" s="1">
        <f t="shared" si="308"/>
        <v>16.34</v>
      </c>
      <c r="T4968" s="1">
        <f t="shared" si="309"/>
        <v>0.92999999999999972</v>
      </c>
      <c r="U4968" s="1" t="str">
        <f t="shared" si="310"/>
        <v>Underpaid</v>
      </c>
      <c r="V4968" s="1" t="str">
        <f>_xlfn.XLOOKUP(C4968,Payers!$A$2:$A$9,Payers!$B$2:$B$9)</f>
        <v>Summit Health Commercial</v>
      </c>
      <c r="W4968" s="1" t="str">
        <f t="shared" si="311"/>
        <v>2026-03</v>
      </c>
    </row>
    <row r="4969" spans="1:23">
      <c r="A4969" s="1" t="s">
        <v>7682</v>
      </c>
      <c r="B4969" s="1" t="s">
        <v>7683</v>
      </c>
      <c r="C4969" s="1" t="s">
        <v>18</v>
      </c>
      <c r="D4969" s="1" t="s">
        <v>19</v>
      </c>
      <c r="E4969" s="1" t="s">
        <v>41</v>
      </c>
      <c r="F4969">
        <v>1</v>
      </c>
      <c r="G4969" s="2">
        <v>46029</v>
      </c>
      <c r="H4969" s="2">
        <v>46030</v>
      </c>
      <c r="I4969">
        <v>39.03</v>
      </c>
      <c r="J4969">
        <v>12.76</v>
      </c>
      <c r="K4969">
        <v>11.48</v>
      </c>
      <c r="L4969">
        <v>1.28</v>
      </c>
      <c r="M4969" s="1" t="s">
        <v>21</v>
      </c>
      <c r="N4969" s="1" t="s">
        <v>22</v>
      </c>
      <c r="O4969" s="2">
        <v>46097</v>
      </c>
      <c r="P4969" s="2">
        <v>46097</v>
      </c>
      <c r="Q4969">
        <f>_xlfn.XLOOKUP(E4969,CPT!$A$2:$A$13,CPT!$D$2:$D$13)</f>
        <v>38</v>
      </c>
      <c r="R4969" s="1">
        <f>_xlfn.XLOOKUP(C4969,Contract!$A$2:$A$9,Contract!$B$2:$B$9)</f>
        <v>0.38</v>
      </c>
      <c r="S4969" s="1">
        <f t="shared" si="308"/>
        <v>14.44</v>
      </c>
      <c r="T4969" s="1">
        <f t="shared" si="309"/>
        <v>1.6799999999999997</v>
      </c>
      <c r="U4969" s="1" t="str">
        <f t="shared" si="310"/>
        <v>Underpaid</v>
      </c>
      <c r="V4969" s="1" t="str">
        <f>_xlfn.XLOOKUP(C4969,Payers!$A$2:$A$9,Payers!$B$2:$B$9)</f>
        <v>Sunshine Medicare Advantage</v>
      </c>
      <c r="W4969" s="1" t="str">
        <f t="shared" si="311"/>
        <v>2026-01</v>
      </c>
    </row>
    <row r="4970" spans="1:23">
      <c r="A4970" s="1" t="s">
        <v>7684</v>
      </c>
      <c r="B4970" s="1" t="s">
        <v>900</v>
      </c>
      <c r="C4970" s="1" t="s">
        <v>60</v>
      </c>
      <c r="D4970" s="1" t="s">
        <v>19</v>
      </c>
      <c r="E4970" s="1" t="s">
        <v>41</v>
      </c>
      <c r="F4970">
        <v>1</v>
      </c>
      <c r="G4970" s="2">
        <v>46115</v>
      </c>
      <c r="H4970" s="2">
        <v>46117</v>
      </c>
      <c r="I4970">
        <v>37.700000000000003</v>
      </c>
      <c r="J4970">
        <v>14.41</v>
      </c>
      <c r="K4970">
        <v>14.41</v>
      </c>
      <c r="L4970">
        <v>0</v>
      </c>
      <c r="M4970" s="1" t="s">
        <v>21</v>
      </c>
      <c r="N4970" s="1" t="s">
        <v>22</v>
      </c>
      <c r="O4970" s="2">
        <v>46152</v>
      </c>
      <c r="P4970" s="2">
        <v>46152</v>
      </c>
      <c r="Q4970">
        <f>_xlfn.XLOOKUP(E4970,CPT!$A$2:$A$13,CPT!$D$2:$D$13)</f>
        <v>38</v>
      </c>
      <c r="R4970" s="1">
        <f>_xlfn.XLOOKUP(C4970,Contract!$A$2:$A$9,Contract!$B$2:$B$9)</f>
        <v>0.45</v>
      </c>
      <c r="S4970" s="1">
        <f t="shared" si="308"/>
        <v>17.100000000000001</v>
      </c>
      <c r="T4970" s="1">
        <f t="shared" si="309"/>
        <v>2.6900000000000013</v>
      </c>
      <c r="U4970" s="1" t="str">
        <f t="shared" si="310"/>
        <v>Underpaid</v>
      </c>
      <c r="V4970" s="1" t="str">
        <f>_xlfn.XLOOKUP(C4970,Payers!$A$2:$A$9,Payers!$B$2:$B$9)</f>
        <v>Blue Horizon Commercial</v>
      </c>
      <c r="W4970" s="1" t="str">
        <f t="shared" si="311"/>
        <v>2026-04</v>
      </c>
    </row>
    <row r="4971" spans="1:23">
      <c r="A4971" s="1" t="s">
        <v>7685</v>
      </c>
      <c r="B4971" s="1" t="s">
        <v>7686</v>
      </c>
      <c r="C4971" s="1" t="s">
        <v>18</v>
      </c>
      <c r="D4971" s="1" t="s">
        <v>30</v>
      </c>
      <c r="E4971" s="1" t="s">
        <v>20</v>
      </c>
      <c r="F4971">
        <v>1</v>
      </c>
      <c r="G4971" s="2">
        <v>46109</v>
      </c>
      <c r="H4971" s="2">
        <v>46110</v>
      </c>
      <c r="I4971">
        <v>141.77000000000001</v>
      </c>
      <c r="J4971">
        <v>49.78</v>
      </c>
      <c r="K4971">
        <v>49.78</v>
      </c>
      <c r="L4971">
        <v>0</v>
      </c>
      <c r="M4971" s="1" t="s">
        <v>21</v>
      </c>
      <c r="N4971" s="1" t="s">
        <v>22</v>
      </c>
      <c r="O4971" s="2">
        <v>46179</v>
      </c>
      <c r="P4971" s="2">
        <v>46179</v>
      </c>
      <c r="Q4971">
        <f>_xlfn.XLOOKUP(E4971,CPT!$A$2:$A$13,CPT!$D$2:$D$13)</f>
        <v>145</v>
      </c>
      <c r="R4971" s="1">
        <f>_xlfn.XLOOKUP(C4971,Contract!$A$2:$A$9,Contract!$B$2:$B$9)</f>
        <v>0.38</v>
      </c>
      <c r="S4971" s="1">
        <f t="shared" si="308"/>
        <v>55.1</v>
      </c>
      <c r="T4971" s="1">
        <f t="shared" si="309"/>
        <v>5.32</v>
      </c>
      <c r="U4971" s="1" t="str">
        <f t="shared" si="310"/>
        <v>Underpaid</v>
      </c>
      <c r="V4971" s="1" t="str">
        <f>_xlfn.XLOOKUP(C4971,Payers!$A$2:$A$9,Payers!$B$2:$B$9)</f>
        <v>Sunshine Medicare Advantage</v>
      </c>
      <c r="W4971" s="1" t="str">
        <f t="shared" si="311"/>
        <v>2026-03</v>
      </c>
    </row>
    <row r="4972" spans="1:23">
      <c r="A4972" s="1" t="s">
        <v>7687</v>
      </c>
      <c r="B4972" s="1" t="s">
        <v>5368</v>
      </c>
      <c r="C4972" s="1" t="s">
        <v>76</v>
      </c>
      <c r="D4972" s="1" t="s">
        <v>37</v>
      </c>
      <c r="E4972" s="1" t="s">
        <v>48</v>
      </c>
      <c r="F4972">
        <v>1</v>
      </c>
      <c r="G4972" s="2">
        <v>46222</v>
      </c>
      <c r="H4972" s="2">
        <v>46223</v>
      </c>
      <c r="I4972">
        <v>425.81</v>
      </c>
      <c r="J4972">
        <v>189.03</v>
      </c>
      <c r="K4972">
        <v>189.03</v>
      </c>
      <c r="L4972">
        <v>0</v>
      </c>
      <c r="M4972" s="1" t="s">
        <v>21</v>
      </c>
      <c r="N4972" s="1" t="s">
        <v>22</v>
      </c>
      <c r="O4972" s="2">
        <v>46253</v>
      </c>
      <c r="P4972" s="2">
        <v>46253</v>
      </c>
      <c r="Q4972">
        <f>_xlfn.XLOOKUP(E4972,CPT!$A$2:$A$13,CPT!$D$2:$D$13)</f>
        <v>420</v>
      </c>
      <c r="R4972" s="1">
        <f>_xlfn.XLOOKUP(C4972,Contract!$A$2:$A$9,Contract!$B$2:$B$9)</f>
        <v>0.43</v>
      </c>
      <c r="S4972" s="1">
        <f t="shared" si="308"/>
        <v>180.6</v>
      </c>
      <c r="T4972" s="1">
        <f t="shared" si="309"/>
        <v>-8.4300000000000068</v>
      </c>
      <c r="U4972" s="1" t="str">
        <f t="shared" si="310"/>
        <v>OK</v>
      </c>
      <c r="V4972" s="1" t="str">
        <f>_xlfn.XLOOKUP(C4972,Payers!$A$2:$A$9,Payers!$B$2:$B$9)</f>
        <v>Summit Health Commercial</v>
      </c>
      <c r="W4972" s="1" t="str">
        <f t="shared" si="311"/>
        <v>2026-07</v>
      </c>
    </row>
    <row r="4973" spans="1:23">
      <c r="A4973" s="1" t="s">
        <v>7688</v>
      </c>
      <c r="B4973" s="1" t="s">
        <v>5211</v>
      </c>
      <c r="C4973" s="1" t="s">
        <v>47</v>
      </c>
      <c r="D4973" s="1" t="s">
        <v>26</v>
      </c>
      <c r="E4973" s="1" t="s">
        <v>44</v>
      </c>
      <c r="F4973">
        <v>1</v>
      </c>
      <c r="G4973" s="2">
        <v>45933</v>
      </c>
      <c r="H4973" s="2">
        <v>45938</v>
      </c>
      <c r="I4973">
        <v>4695.41</v>
      </c>
      <c r="M4973" s="1" t="s">
        <v>32</v>
      </c>
      <c r="N4973" s="1" t="s">
        <v>49</v>
      </c>
      <c r="O4973" s="2">
        <v>46012</v>
      </c>
      <c r="P4973" s="2"/>
      <c r="Q4973">
        <f>_xlfn.XLOOKUP(E4973,CPT!$A$2:$A$13,CPT!$D$2:$D$13)</f>
        <v>4800</v>
      </c>
      <c r="R4973" s="1">
        <f>_xlfn.XLOOKUP(C4973,Contract!$A$2:$A$9,Contract!$B$2:$B$9)</f>
        <v>0.28000000000000003</v>
      </c>
      <c r="S4973" s="1">
        <f t="shared" si="308"/>
        <v>1344</v>
      </c>
      <c r="T4973" s="1" t="str">
        <f t="shared" si="309"/>
        <v/>
      </c>
      <c r="U4973" s="1" t="str">
        <f t="shared" si="310"/>
        <v/>
      </c>
      <c r="V4973" s="1" t="str">
        <f>_xlfn.XLOOKUP(C4973,Payers!$A$2:$A$9,Payers!$B$2:$B$9)</f>
        <v>Coastal Medicaid MCO</v>
      </c>
      <c r="W4973" s="1" t="str">
        <f t="shared" si="311"/>
        <v>2025-10</v>
      </c>
    </row>
    <row r="4974" spans="1:23">
      <c r="A4974" s="1" t="s">
        <v>7689</v>
      </c>
      <c r="B4974" s="1" t="s">
        <v>3012</v>
      </c>
      <c r="C4974" s="1" t="s">
        <v>60</v>
      </c>
      <c r="D4974" s="1" t="s">
        <v>30</v>
      </c>
      <c r="E4974" s="1" t="s">
        <v>31</v>
      </c>
      <c r="F4974">
        <v>1</v>
      </c>
      <c r="G4974" s="2">
        <v>45981</v>
      </c>
      <c r="H4974" s="2">
        <v>45984</v>
      </c>
      <c r="I4974">
        <v>60.27</v>
      </c>
      <c r="J4974">
        <v>24.12</v>
      </c>
      <c r="K4974">
        <v>21.71</v>
      </c>
      <c r="L4974">
        <v>2.41</v>
      </c>
      <c r="M4974" s="1" t="s">
        <v>21</v>
      </c>
      <c r="N4974" s="1" t="s">
        <v>22</v>
      </c>
      <c r="O4974" s="2">
        <v>46014</v>
      </c>
      <c r="P4974" s="2">
        <v>46014</v>
      </c>
      <c r="Q4974">
        <f>_xlfn.XLOOKUP(E4974,CPT!$A$2:$A$13,CPT!$D$2:$D$13)</f>
        <v>62</v>
      </c>
      <c r="R4974" s="1">
        <f>_xlfn.XLOOKUP(C4974,Contract!$A$2:$A$9,Contract!$B$2:$B$9)</f>
        <v>0.45</v>
      </c>
      <c r="S4974" s="1">
        <f t="shared" si="308"/>
        <v>27.9</v>
      </c>
      <c r="T4974" s="1">
        <f t="shared" si="309"/>
        <v>3.7799999999999976</v>
      </c>
      <c r="U4974" s="1" t="str">
        <f t="shared" si="310"/>
        <v>Underpaid</v>
      </c>
      <c r="V4974" s="1" t="str">
        <f>_xlfn.XLOOKUP(C4974,Payers!$A$2:$A$9,Payers!$B$2:$B$9)</f>
        <v>Blue Horizon Commercial</v>
      </c>
      <c r="W4974" s="1" t="str">
        <f t="shared" si="311"/>
        <v>2025-11</v>
      </c>
    </row>
    <row r="4975" spans="1:23">
      <c r="A4975" s="1" t="s">
        <v>7690</v>
      </c>
      <c r="B4975" s="1" t="s">
        <v>1349</v>
      </c>
      <c r="C4975" s="1" t="s">
        <v>60</v>
      </c>
      <c r="D4975" s="1" t="s">
        <v>19</v>
      </c>
      <c r="E4975" s="1" t="s">
        <v>88</v>
      </c>
      <c r="F4975">
        <v>1</v>
      </c>
      <c r="G4975" s="2">
        <v>46277</v>
      </c>
      <c r="H4975" s="2">
        <v>46282</v>
      </c>
      <c r="I4975">
        <v>266.89</v>
      </c>
      <c r="M4975" s="1" t="s">
        <v>69</v>
      </c>
      <c r="N4975" s="1" t="s">
        <v>22</v>
      </c>
      <c r="O4975" s="2"/>
      <c r="P4975" s="2"/>
      <c r="Q4975">
        <f>_xlfn.XLOOKUP(E4975,CPT!$A$2:$A$13,CPT!$D$2:$D$13)</f>
        <v>260</v>
      </c>
      <c r="R4975" s="1">
        <f>_xlfn.XLOOKUP(C4975,Contract!$A$2:$A$9,Contract!$B$2:$B$9)</f>
        <v>0.45</v>
      </c>
      <c r="S4975" s="1">
        <f t="shared" si="308"/>
        <v>117</v>
      </c>
      <c r="T4975" s="1" t="str">
        <f t="shared" si="309"/>
        <v/>
      </c>
      <c r="U4975" s="1" t="str">
        <f t="shared" si="310"/>
        <v/>
      </c>
      <c r="V4975" s="1" t="str">
        <f>_xlfn.XLOOKUP(C4975,Payers!$A$2:$A$9,Payers!$B$2:$B$9)</f>
        <v>Blue Horizon Commercial</v>
      </c>
      <c r="W4975" s="1" t="str">
        <f t="shared" si="311"/>
        <v>2026-09</v>
      </c>
    </row>
    <row r="4976" spans="1:23">
      <c r="A4976" s="1" t="s">
        <v>7691</v>
      </c>
      <c r="B4976" s="1" t="s">
        <v>3117</v>
      </c>
      <c r="C4976" s="1" t="s">
        <v>25</v>
      </c>
      <c r="D4976" s="1" t="s">
        <v>26</v>
      </c>
      <c r="E4976" s="1" t="s">
        <v>57</v>
      </c>
      <c r="F4976">
        <v>1</v>
      </c>
      <c r="G4976" s="2">
        <v>46260</v>
      </c>
      <c r="H4976" s="2">
        <v>46262</v>
      </c>
      <c r="I4976">
        <v>207.76</v>
      </c>
      <c r="J4976">
        <v>73.86</v>
      </c>
      <c r="K4976">
        <v>59.09</v>
      </c>
      <c r="L4976">
        <v>14.77</v>
      </c>
      <c r="M4976" s="1" t="s">
        <v>21</v>
      </c>
      <c r="N4976" s="1" t="s">
        <v>22</v>
      </c>
      <c r="O4976" s="2">
        <v>46293</v>
      </c>
      <c r="P4976" s="2">
        <v>46293</v>
      </c>
      <c r="Q4976">
        <f>_xlfn.XLOOKUP(E4976,CPT!$A$2:$A$13,CPT!$D$2:$D$13)</f>
        <v>210</v>
      </c>
      <c r="R4976" s="1">
        <f>_xlfn.XLOOKUP(C4976,Contract!$A$2:$A$9,Contract!$B$2:$B$9)</f>
        <v>0.36</v>
      </c>
      <c r="S4976" s="1">
        <f t="shared" si="308"/>
        <v>75.599999999999994</v>
      </c>
      <c r="T4976" s="1">
        <f t="shared" si="309"/>
        <v>1.7399999999999949</v>
      </c>
      <c r="U4976" s="1" t="str">
        <f t="shared" si="310"/>
        <v>OK</v>
      </c>
      <c r="V4976" s="1" t="str">
        <f>_xlfn.XLOOKUP(C4976,Payers!$A$2:$A$9,Payers!$B$2:$B$9)</f>
        <v>Medicare Part B</v>
      </c>
      <c r="W4976" s="1" t="str">
        <f t="shared" si="311"/>
        <v>2026-08</v>
      </c>
    </row>
    <row r="4977" spans="1:23">
      <c r="A4977" s="1" t="s">
        <v>7692</v>
      </c>
      <c r="B4977" s="1" t="s">
        <v>7693</v>
      </c>
      <c r="C4977" s="1" t="s">
        <v>60</v>
      </c>
      <c r="D4977" s="1" t="s">
        <v>26</v>
      </c>
      <c r="E4977" s="1" t="s">
        <v>41</v>
      </c>
      <c r="F4977">
        <v>1</v>
      </c>
      <c r="G4977" s="2">
        <v>46041</v>
      </c>
      <c r="H4977" s="2">
        <v>46048</v>
      </c>
      <c r="I4977">
        <v>38.450000000000003</v>
      </c>
      <c r="J4977">
        <v>17.7</v>
      </c>
      <c r="K4977">
        <v>17.7</v>
      </c>
      <c r="L4977">
        <v>0</v>
      </c>
      <c r="M4977" s="1" t="s">
        <v>21</v>
      </c>
      <c r="N4977" s="1" t="s">
        <v>22</v>
      </c>
      <c r="O4977" s="2">
        <v>46078</v>
      </c>
      <c r="P4977" s="2">
        <v>46078</v>
      </c>
      <c r="Q4977">
        <f>_xlfn.XLOOKUP(E4977,CPT!$A$2:$A$13,CPT!$D$2:$D$13)</f>
        <v>38</v>
      </c>
      <c r="R4977" s="1">
        <f>_xlfn.XLOOKUP(C4977,Contract!$A$2:$A$9,Contract!$B$2:$B$9)</f>
        <v>0.45</v>
      </c>
      <c r="S4977" s="1">
        <f t="shared" si="308"/>
        <v>17.100000000000001</v>
      </c>
      <c r="T4977" s="1">
        <f t="shared" si="309"/>
        <v>-0.59999999999999787</v>
      </c>
      <c r="U4977" s="1" t="str">
        <f t="shared" si="310"/>
        <v>OK</v>
      </c>
      <c r="V4977" s="1" t="str">
        <f>_xlfn.XLOOKUP(C4977,Payers!$A$2:$A$9,Payers!$B$2:$B$9)</f>
        <v>Blue Horizon Commercial</v>
      </c>
      <c r="W4977" s="1" t="str">
        <f t="shared" si="311"/>
        <v>2026-01</v>
      </c>
    </row>
    <row r="4978" spans="1:23">
      <c r="A4978" s="1" t="s">
        <v>7694</v>
      </c>
      <c r="B4978" s="1" t="s">
        <v>2550</v>
      </c>
      <c r="C4978" s="1" t="s">
        <v>76</v>
      </c>
      <c r="D4978" s="1" t="s">
        <v>30</v>
      </c>
      <c r="E4978" s="1" t="s">
        <v>91</v>
      </c>
      <c r="F4978">
        <v>4</v>
      </c>
      <c r="G4978" s="2">
        <v>46195</v>
      </c>
      <c r="H4978" s="2">
        <v>46201</v>
      </c>
      <c r="I4978">
        <v>231.9</v>
      </c>
      <c r="J4978">
        <v>107.7</v>
      </c>
      <c r="K4978">
        <v>96.93</v>
      </c>
      <c r="L4978">
        <v>10.77</v>
      </c>
      <c r="M4978" s="1" t="s">
        <v>21</v>
      </c>
      <c r="N4978" s="1" t="s">
        <v>22</v>
      </c>
      <c r="O4978" s="2">
        <v>46235</v>
      </c>
      <c r="P4978" s="2">
        <v>46235</v>
      </c>
      <c r="Q4978">
        <f>_xlfn.XLOOKUP(E4978,CPT!$A$2:$A$13,CPT!$D$2:$D$13)</f>
        <v>58</v>
      </c>
      <c r="R4978" s="1">
        <f>_xlfn.XLOOKUP(C4978,Contract!$A$2:$A$9,Contract!$B$2:$B$9)</f>
        <v>0.43</v>
      </c>
      <c r="S4978" s="1">
        <f t="shared" si="308"/>
        <v>99.76</v>
      </c>
      <c r="T4978" s="1">
        <f t="shared" si="309"/>
        <v>-7.9399999999999977</v>
      </c>
      <c r="U4978" s="1" t="str">
        <f t="shared" si="310"/>
        <v>OK</v>
      </c>
      <c r="V4978" s="1" t="str">
        <f>_xlfn.XLOOKUP(C4978,Payers!$A$2:$A$9,Payers!$B$2:$B$9)</f>
        <v>Summit Health Commercial</v>
      </c>
      <c r="W4978" s="1" t="str">
        <f t="shared" si="311"/>
        <v>2026-06</v>
      </c>
    </row>
    <row r="4979" spans="1:23">
      <c r="A4979" s="1" t="s">
        <v>7695</v>
      </c>
      <c r="B4979" s="1" t="s">
        <v>1953</v>
      </c>
      <c r="C4979" s="1" t="s">
        <v>25</v>
      </c>
      <c r="D4979" s="1" t="s">
        <v>19</v>
      </c>
      <c r="E4979" s="1" t="s">
        <v>88</v>
      </c>
      <c r="F4979">
        <v>1</v>
      </c>
      <c r="G4979" s="2">
        <v>45958</v>
      </c>
      <c r="H4979" s="2">
        <v>45961</v>
      </c>
      <c r="I4979">
        <v>256.94</v>
      </c>
      <c r="M4979" s="1" t="s">
        <v>32</v>
      </c>
      <c r="N4979" s="1" t="s">
        <v>98</v>
      </c>
      <c r="O4979" s="2">
        <v>45970</v>
      </c>
      <c r="P4979" s="2"/>
      <c r="Q4979">
        <f>_xlfn.XLOOKUP(E4979,CPT!$A$2:$A$13,CPT!$D$2:$D$13)</f>
        <v>260</v>
      </c>
      <c r="R4979" s="1">
        <f>_xlfn.XLOOKUP(C4979,Contract!$A$2:$A$9,Contract!$B$2:$B$9)</f>
        <v>0.36</v>
      </c>
      <c r="S4979" s="1">
        <f t="shared" si="308"/>
        <v>93.6</v>
      </c>
      <c r="T4979" s="1" t="str">
        <f t="shared" si="309"/>
        <v/>
      </c>
      <c r="U4979" s="1" t="str">
        <f t="shared" si="310"/>
        <v/>
      </c>
      <c r="V4979" s="1" t="str">
        <f>_xlfn.XLOOKUP(C4979,Payers!$A$2:$A$9,Payers!$B$2:$B$9)</f>
        <v>Medicare Part B</v>
      </c>
      <c r="W4979" s="1" t="str">
        <f t="shared" si="311"/>
        <v>2025-10</v>
      </c>
    </row>
    <row r="4980" spans="1:23">
      <c r="A4980" s="1" t="s">
        <v>7696</v>
      </c>
      <c r="B4980" s="1" t="s">
        <v>7697</v>
      </c>
      <c r="C4980" s="1" t="s">
        <v>47</v>
      </c>
      <c r="D4980" s="1" t="s">
        <v>19</v>
      </c>
      <c r="E4980" s="1" t="s">
        <v>41</v>
      </c>
      <c r="F4980">
        <v>1</v>
      </c>
      <c r="G4980" s="2">
        <v>46018</v>
      </c>
      <c r="H4980" s="2">
        <v>46019</v>
      </c>
      <c r="I4980">
        <v>37.69</v>
      </c>
      <c r="M4980" s="1" t="s">
        <v>32</v>
      </c>
      <c r="N4980" s="1" t="s">
        <v>281</v>
      </c>
      <c r="O4980" s="2">
        <v>46070</v>
      </c>
      <c r="P4980" s="2"/>
      <c r="Q4980">
        <f>_xlfn.XLOOKUP(E4980,CPT!$A$2:$A$13,CPT!$D$2:$D$13)</f>
        <v>38</v>
      </c>
      <c r="R4980" s="1">
        <f>_xlfn.XLOOKUP(C4980,Contract!$A$2:$A$9,Contract!$B$2:$B$9)</f>
        <v>0.28000000000000003</v>
      </c>
      <c r="S4980" s="1">
        <f t="shared" si="308"/>
        <v>10.64</v>
      </c>
      <c r="T4980" s="1" t="str">
        <f t="shared" si="309"/>
        <v/>
      </c>
      <c r="U4980" s="1" t="str">
        <f t="shared" si="310"/>
        <v/>
      </c>
      <c r="V4980" s="1" t="str">
        <f>_xlfn.XLOOKUP(C4980,Payers!$A$2:$A$9,Payers!$B$2:$B$9)</f>
        <v>Coastal Medicaid MCO</v>
      </c>
      <c r="W4980" s="1" t="str">
        <f t="shared" si="311"/>
        <v>2025-12</v>
      </c>
    </row>
    <row r="4981" spans="1:23">
      <c r="A4981" s="1" t="s">
        <v>7698</v>
      </c>
      <c r="B4981" s="1" t="s">
        <v>1625</v>
      </c>
      <c r="C4981" s="1" t="s">
        <v>76</v>
      </c>
      <c r="D4981" s="1" t="s">
        <v>19</v>
      </c>
      <c r="E4981" s="1" t="s">
        <v>57</v>
      </c>
      <c r="F4981">
        <v>1</v>
      </c>
      <c r="G4981" s="2">
        <v>46038</v>
      </c>
      <c r="H4981" s="2">
        <v>46048</v>
      </c>
      <c r="I4981">
        <v>209.44</v>
      </c>
      <c r="J4981">
        <v>79.42</v>
      </c>
      <c r="K4981">
        <v>79.42</v>
      </c>
      <c r="L4981">
        <v>0</v>
      </c>
      <c r="M4981" s="1" t="s">
        <v>21</v>
      </c>
      <c r="N4981" s="1" t="s">
        <v>22</v>
      </c>
      <c r="O4981" s="2">
        <v>46077</v>
      </c>
      <c r="P4981" s="2">
        <v>46077</v>
      </c>
      <c r="Q4981">
        <f>_xlfn.XLOOKUP(E4981,CPT!$A$2:$A$13,CPT!$D$2:$D$13)</f>
        <v>210</v>
      </c>
      <c r="R4981" s="1">
        <f>_xlfn.XLOOKUP(C4981,Contract!$A$2:$A$9,Contract!$B$2:$B$9)</f>
        <v>0.43</v>
      </c>
      <c r="S4981" s="1">
        <f t="shared" si="308"/>
        <v>90.3</v>
      </c>
      <c r="T4981" s="1">
        <f t="shared" si="309"/>
        <v>10.879999999999995</v>
      </c>
      <c r="U4981" s="1" t="str">
        <f t="shared" si="310"/>
        <v>Underpaid</v>
      </c>
      <c r="V4981" s="1" t="str">
        <f>_xlfn.XLOOKUP(C4981,Payers!$A$2:$A$9,Payers!$B$2:$B$9)</f>
        <v>Summit Health Commercial</v>
      </c>
      <c r="W4981" s="1" t="str">
        <f t="shared" si="311"/>
        <v>2026-01</v>
      </c>
    </row>
    <row r="4982" spans="1:23">
      <c r="A4982" s="1" t="s">
        <v>7699</v>
      </c>
      <c r="B4982" s="1" t="s">
        <v>478</v>
      </c>
      <c r="C4982" s="1" t="s">
        <v>76</v>
      </c>
      <c r="D4982" s="1" t="s">
        <v>26</v>
      </c>
      <c r="E4982" s="1" t="s">
        <v>113</v>
      </c>
      <c r="F4982">
        <v>1</v>
      </c>
      <c r="G4982" s="2">
        <v>46178</v>
      </c>
      <c r="H4982" s="2">
        <v>46185</v>
      </c>
      <c r="I4982">
        <v>1041.4000000000001</v>
      </c>
      <c r="M4982" s="1" t="s">
        <v>32</v>
      </c>
      <c r="N4982" s="1" t="s">
        <v>49</v>
      </c>
      <c r="O4982" s="2">
        <v>46232</v>
      </c>
      <c r="P4982" s="2"/>
      <c r="Q4982">
        <f>_xlfn.XLOOKUP(E4982,CPT!$A$2:$A$13,CPT!$D$2:$D$13)</f>
        <v>1050</v>
      </c>
      <c r="R4982" s="1">
        <f>_xlfn.XLOOKUP(C4982,Contract!$A$2:$A$9,Contract!$B$2:$B$9)</f>
        <v>0.43</v>
      </c>
      <c r="S4982" s="1">
        <f t="shared" si="308"/>
        <v>451.5</v>
      </c>
      <c r="T4982" s="1" t="str">
        <f t="shared" si="309"/>
        <v/>
      </c>
      <c r="U4982" s="1" t="str">
        <f t="shared" si="310"/>
        <v/>
      </c>
      <c r="V4982" s="1" t="str">
        <f>_xlfn.XLOOKUP(C4982,Payers!$A$2:$A$9,Payers!$B$2:$B$9)</f>
        <v>Summit Health Commercial</v>
      </c>
      <c r="W4982" s="1" t="str">
        <f t="shared" si="311"/>
        <v>2026-06</v>
      </c>
    </row>
    <row r="4983" spans="1:23">
      <c r="A4983" s="1" t="s">
        <v>7700</v>
      </c>
      <c r="B4983" s="1" t="s">
        <v>4974</v>
      </c>
      <c r="C4983" s="1" t="s">
        <v>18</v>
      </c>
      <c r="D4983" s="1" t="s">
        <v>30</v>
      </c>
      <c r="E4983" s="1" t="s">
        <v>31</v>
      </c>
      <c r="F4983">
        <v>1</v>
      </c>
      <c r="G4983" s="2">
        <v>45941</v>
      </c>
      <c r="H4983" s="2">
        <v>46038</v>
      </c>
      <c r="I4983">
        <v>62.95</v>
      </c>
      <c r="M4983" s="1" t="s">
        <v>32</v>
      </c>
      <c r="N4983" s="1" t="s">
        <v>137</v>
      </c>
      <c r="O4983" s="2">
        <v>46086</v>
      </c>
      <c r="P4983" s="2"/>
      <c r="Q4983">
        <f>_xlfn.XLOOKUP(E4983,CPT!$A$2:$A$13,CPT!$D$2:$D$13)</f>
        <v>62</v>
      </c>
      <c r="R4983" s="1">
        <f>_xlfn.XLOOKUP(C4983,Contract!$A$2:$A$9,Contract!$B$2:$B$9)</f>
        <v>0.38</v>
      </c>
      <c r="S4983" s="1">
        <f t="shared" si="308"/>
        <v>23.56</v>
      </c>
      <c r="T4983" s="1" t="str">
        <f t="shared" si="309"/>
        <v/>
      </c>
      <c r="U4983" s="1" t="str">
        <f t="shared" si="310"/>
        <v/>
      </c>
      <c r="V4983" s="1" t="str">
        <f>_xlfn.XLOOKUP(C4983,Payers!$A$2:$A$9,Payers!$B$2:$B$9)</f>
        <v>Sunshine Medicare Advantage</v>
      </c>
      <c r="W4983" s="1" t="str">
        <f t="shared" si="311"/>
        <v>2025-10</v>
      </c>
    </row>
    <row r="4984" spans="1:23">
      <c r="A4984" s="1" t="s">
        <v>7701</v>
      </c>
      <c r="B4984" s="1" t="s">
        <v>711</v>
      </c>
      <c r="C4984" s="1" t="s">
        <v>36</v>
      </c>
      <c r="D4984" s="1" t="s">
        <v>19</v>
      </c>
      <c r="E4984" s="1" t="s">
        <v>57</v>
      </c>
      <c r="F4984">
        <v>1</v>
      </c>
      <c r="G4984" s="2">
        <v>45952</v>
      </c>
      <c r="H4984" s="2">
        <v>45960</v>
      </c>
      <c r="I4984">
        <v>212.06</v>
      </c>
      <c r="J4984">
        <v>49.33</v>
      </c>
      <c r="K4984">
        <v>39.46</v>
      </c>
      <c r="L4984">
        <v>9.8699999999999992</v>
      </c>
      <c r="M4984" s="1" t="s">
        <v>21</v>
      </c>
      <c r="N4984" s="1" t="s">
        <v>22</v>
      </c>
      <c r="O4984" s="2">
        <v>45986</v>
      </c>
      <c r="P4984" s="2">
        <v>45986</v>
      </c>
      <c r="Q4984">
        <f>_xlfn.XLOOKUP(E4984,CPT!$A$2:$A$13,CPT!$D$2:$D$13)</f>
        <v>210</v>
      </c>
      <c r="R4984" s="1">
        <f>_xlfn.XLOOKUP(C4984,Contract!$A$2:$A$9,Contract!$B$2:$B$9)</f>
        <v>0.27</v>
      </c>
      <c r="S4984" s="1">
        <f t="shared" si="308"/>
        <v>56.7</v>
      </c>
      <c r="T4984" s="1">
        <f t="shared" si="309"/>
        <v>7.3700000000000045</v>
      </c>
      <c r="U4984" s="1" t="str">
        <f t="shared" si="310"/>
        <v>Underpaid</v>
      </c>
      <c r="V4984" s="1" t="str">
        <f>_xlfn.XLOOKUP(C4984,Payers!$A$2:$A$9,Payers!$B$2:$B$9)</f>
        <v>Florida Medicaid</v>
      </c>
      <c r="W4984" s="1" t="str">
        <f t="shared" si="311"/>
        <v>2025-10</v>
      </c>
    </row>
    <row r="4985" spans="1:23">
      <c r="A4985" s="1" t="s">
        <v>7702</v>
      </c>
      <c r="B4985" s="1" t="s">
        <v>1837</v>
      </c>
      <c r="C4985" s="1" t="s">
        <v>76</v>
      </c>
      <c r="D4985" s="1" t="s">
        <v>26</v>
      </c>
      <c r="E4985" s="1" t="s">
        <v>27</v>
      </c>
      <c r="F4985">
        <v>1</v>
      </c>
      <c r="G4985" s="2">
        <v>46098</v>
      </c>
      <c r="H4985" s="2">
        <v>46100</v>
      </c>
      <c r="I4985">
        <v>240.31</v>
      </c>
      <c r="J4985">
        <v>92.67</v>
      </c>
      <c r="K4985">
        <v>74.14</v>
      </c>
      <c r="L4985">
        <v>18.53</v>
      </c>
      <c r="M4985" s="1" t="s">
        <v>21</v>
      </c>
      <c r="N4985" s="1" t="s">
        <v>22</v>
      </c>
      <c r="O4985" s="2">
        <v>46130</v>
      </c>
      <c r="P4985" s="2">
        <v>46130</v>
      </c>
      <c r="Q4985">
        <f>_xlfn.XLOOKUP(E4985,CPT!$A$2:$A$13,CPT!$D$2:$D$13)</f>
        <v>240</v>
      </c>
      <c r="R4985" s="1">
        <f>_xlfn.XLOOKUP(C4985,Contract!$A$2:$A$9,Contract!$B$2:$B$9)</f>
        <v>0.43</v>
      </c>
      <c r="S4985" s="1">
        <f t="shared" si="308"/>
        <v>103.2</v>
      </c>
      <c r="T4985" s="1">
        <f t="shared" si="309"/>
        <v>10.530000000000001</v>
      </c>
      <c r="U4985" s="1" t="str">
        <f t="shared" si="310"/>
        <v>Underpaid</v>
      </c>
      <c r="V4985" s="1" t="str">
        <f>_xlfn.XLOOKUP(C4985,Payers!$A$2:$A$9,Payers!$B$2:$B$9)</f>
        <v>Summit Health Commercial</v>
      </c>
      <c r="W4985" s="1" t="str">
        <f t="shared" si="311"/>
        <v>2026-03</v>
      </c>
    </row>
    <row r="4986" spans="1:23">
      <c r="A4986" s="1" t="s">
        <v>7703</v>
      </c>
      <c r="B4986" s="1" t="s">
        <v>4115</v>
      </c>
      <c r="C4986" s="1" t="s">
        <v>52</v>
      </c>
      <c r="D4986" s="1" t="s">
        <v>19</v>
      </c>
      <c r="E4986" s="1" t="s">
        <v>88</v>
      </c>
      <c r="F4986">
        <v>1</v>
      </c>
      <c r="G4986" s="2">
        <v>46118</v>
      </c>
      <c r="H4986" s="2">
        <v>46126</v>
      </c>
      <c r="I4986">
        <v>263.01</v>
      </c>
      <c r="J4986">
        <v>116.99</v>
      </c>
      <c r="K4986">
        <v>93.59</v>
      </c>
      <c r="L4986">
        <v>23.4</v>
      </c>
      <c r="M4986" s="1" t="s">
        <v>21</v>
      </c>
      <c r="N4986" s="1" t="s">
        <v>22</v>
      </c>
      <c r="O4986" s="2">
        <v>46176</v>
      </c>
      <c r="P4986" s="2">
        <v>46176</v>
      </c>
      <c r="Q4986">
        <f>_xlfn.XLOOKUP(E4986,CPT!$A$2:$A$13,CPT!$D$2:$D$13)</f>
        <v>260</v>
      </c>
      <c r="R4986" s="1">
        <f>_xlfn.XLOOKUP(C4986,Contract!$A$2:$A$9,Contract!$B$2:$B$9)</f>
        <v>0.47</v>
      </c>
      <c r="S4986" s="1">
        <f t="shared" si="308"/>
        <v>122.2</v>
      </c>
      <c r="T4986" s="1">
        <f t="shared" si="309"/>
        <v>5.210000000000008</v>
      </c>
      <c r="U4986" s="1" t="str">
        <f t="shared" si="310"/>
        <v>OK</v>
      </c>
      <c r="V4986" s="1" t="str">
        <f>_xlfn.XLOOKUP(C4986,Payers!$A$2:$A$9,Payers!$B$2:$B$9)</f>
        <v>Keystone Commercial PPO</v>
      </c>
      <c r="W4986" s="1" t="str">
        <f t="shared" si="311"/>
        <v>2026-04</v>
      </c>
    </row>
    <row r="4987" spans="1:23">
      <c r="A4987" s="1" t="s">
        <v>7704</v>
      </c>
      <c r="B4987" s="1" t="s">
        <v>819</v>
      </c>
      <c r="C4987" s="1" t="s">
        <v>60</v>
      </c>
      <c r="D4987" s="1" t="s">
        <v>26</v>
      </c>
      <c r="E4987" s="1" t="s">
        <v>27</v>
      </c>
      <c r="F4987">
        <v>1</v>
      </c>
      <c r="G4987" s="2">
        <v>46115</v>
      </c>
      <c r="H4987" s="2">
        <v>46118</v>
      </c>
      <c r="I4987">
        <v>234.68</v>
      </c>
      <c r="J4987">
        <v>109.21</v>
      </c>
      <c r="K4987">
        <v>109.21</v>
      </c>
      <c r="L4987">
        <v>0</v>
      </c>
      <c r="M4987" s="1" t="s">
        <v>21</v>
      </c>
      <c r="N4987" s="1" t="s">
        <v>22</v>
      </c>
      <c r="O4987" s="2">
        <v>46150</v>
      </c>
      <c r="P4987" s="2">
        <v>46150</v>
      </c>
      <c r="Q4987">
        <f>_xlfn.XLOOKUP(E4987,CPT!$A$2:$A$13,CPT!$D$2:$D$13)</f>
        <v>240</v>
      </c>
      <c r="R4987" s="1">
        <f>_xlfn.XLOOKUP(C4987,Contract!$A$2:$A$9,Contract!$B$2:$B$9)</f>
        <v>0.45</v>
      </c>
      <c r="S4987" s="1">
        <f t="shared" si="308"/>
        <v>108</v>
      </c>
      <c r="T4987" s="1">
        <f t="shared" si="309"/>
        <v>-1.2099999999999937</v>
      </c>
      <c r="U4987" s="1" t="str">
        <f t="shared" si="310"/>
        <v>OK</v>
      </c>
      <c r="V4987" s="1" t="str">
        <f>_xlfn.XLOOKUP(C4987,Payers!$A$2:$A$9,Payers!$B$2:$B$9)</f>
        <v>Blue Horizon Commercial</v>
      </c>
      <c r="W4987" s="1" t="str">
        <f t="shared" si="311"/>
        <v>2026-04</v>
      </c>
    </row>
    <row r="4988" spans="1:23">
      <c r="A4988" s="1" t="s">
        <v>7705</v>
      </c>
      <c r="B4988" s="1" t="s">
        <v>7706</v>
      </c>
      <c r="C4988" s="1" t="s">
        <v>60</v>
      </c>
      <c r="D4988" s="1" t="s">
        <v>37</v>
      </c>
      <c r="E4988" s="1" t="s">
        <v>38</v>
      </c>
      <c r="F4988">
        <v>5</v>
      </c>
      <c r="G4988" s="2">
        <v>46128</v>
      </c>
      <c r="H4988" s="2">
        <v>46137</v>
      </c>
      <c r="I4988">
        <v>7299.2</v>
      </c>
      <c r="M4988" s="1" t="s">
        <v>32</v>
      </c>
      <c r="N4988" s="1" t="s">
        <v>49</v>
      </c>
      <c r="O4988" s="2">
        <v>46163</v>
      </c>
      <c r="P4988" s="2"/>
      <c r="Q4988">
        <f>_xlfn.XLOOKUP(E4988,CPT!$A$2:$A$13,CPT!$D$2:$D$13)</f>
        <v>1450</v>
      </c>
      <c r="R4988" s="1">
        <f>_xlfn.XLOOKUP(C4988,Contract!$A$2:$A$9,Contract!$B$2:$B$9)</f>
        <v>0.45</v>
      </c>
      <c r="S4988" s="1">
        <f t="shared" si="308"/>
        <v>3262.5</v>
      </c>
      <c r="T4988" s="1" t="str">
        <f t="shared" si="309"/>
        <v/>
      </c>
      <c r="U4988" s="1" t="str">
        <f t="shared" si="310"/>
        <v/>
      </c>
      <c r="V4988" s="1" t="str">
        <f>_xlfn.XLOOKUP(C4988,Payers!$A$2:$A$9,Payers!$B$2:$B$9)</f>
        <v>Blue Horizon Commercial</v>
      </c>
      <c r="W4988" s="1" t="str">
        <f t="shared" si="311"/>
        <v>2026-04</v>
      </c>
    </row>
    <row r="4989" spans="1:23">
      <c r="A4989" s="1" t="s">
        <v>7707</v>
      </c>
      <c r="B4989" s="1" t="s">
        <v>1822</v>
      </c>
      <c r="C4989" s="1" t="s">
        <v>18</v>
      </c>
      <c r="D4989" s="1" t="s">
        <v>26</v>
      </c>
      <c r="E4989" s="1" t="s">
        <v>88</v>
      </c>
      <c r="F4989">
        <v>1</v>
      </c>
      <c r="G4989" s="2">
        <v>46289</v>
      </c>
      <c r="H4989" s="2">
        <v>46291</v>
      </c>
      <c r="I4989">
        <v>255.67</v>
      </c>
      <c r="M4989" s="1" t="s">
        <v>69</v>
      </c>
      <c r="N4989" s="1" t="s">
        <v>22</v>
      </c>
      <c r="O4989" s="2"/>
      <c r="P4989" s="2"/>
      <c r="Q4989">
        <f>_xlfn.XLOOKUP(E4989,CPT!$A$2:$A$13,CPT!$D$2:$D$13)</f>
        <v>260</v>
      </c>
      <c r="R4989" s="1">
        <f>_xlfn.XLOOKUP(C4989,Contract!$A$2:$A$9,Contract!$B$2:$B$9)</f>
        <v>0.38</v>
      </c>
      <c r="S4989" s="1">
        <f t="shared" si="308"/>
        <v>98.8</v>
      </c>
      <c r="T4989" s="1" t="str">
        <f t="shared" si="309"/>
        <v/>
      </c>
      <c r="U4989" s="1" t="str">
        <f t="shared" si="310"/>
        <v/>
      </c>
      <c r="V4989" s="1" t="str">
        <f>_xlfn.XLOOKUP(C4989,Payers!$A$2:$A$9,Payers!$B$2:$B$9)</f>
        <v>Sunshine Medicare Advantage</v>
      </c>
      <c r="W4989" s="1" t="str">
        <f t="shared" si="311"/>
        <v>2026-09</v>
      </c>
    </row>
    <row r="4990" spans="1:23">
      <c r="A4990" s="1" t="s">
        <v>7708</v>
      </c>
      <c r="B4990" s="1" t="s">
        <v>7709</v>
      </c>
      <c r="C4990" s="1" t="s">
        <v>60</v>
      </c>
      <c r="D4990" s="1" t="s">
        <v>26</v>
      </c>
      <c r="E4990" s="1" t="s">
        <v>185</v>
      </c>
      <c r="F4990">
        <v>1</v>
      </c>
      <c r="G4990" s="2">
        <v>46232</v>
      </c>
      <c r="H4990" s="2">
        <v>46234</v>
      </c>
      <c r="I4990">
        <v>1132.43</v>
      </c>
      <c r="J4990">
        <v>489.78</v>
      </c>
      <c r="K4990">
        <v>391.82</v>
      </c>
      <c r="L4990">
        <v>97.96</v>
      </c>
      <c r="M4990" s="1" t="s">
        <v>21</v>
      </c>
      <c r="N4990" s="1" t="s">
        <v>22</v>
      </c>
      <c r="O4990" s="2">
        <v>46262</v>
      </c>
      <c r="P4990" s="2">
        <v>46262</v>
      </c>
      <c r="Q4990">
        <f>_xlfn.XLOOKUP(E4990,CPT!$A$2:$A$13,CPT!$D$2:$D$13)</f>
        <v>1150</v>
      </c>
      <c r="R4990" s="1">
        <f>_xlfn.XLOOKUP(C4990,Contract!$A$2:$A$9,Contract!$B$2:$B$9)</f>
        <v>0.45</v>
      </c>
      <c r="S4990" s="1">
        <f t="shared" si="308"/>
        <v>517.5</v>
      </c>
      <c r="T4990" s="1">
        <f t="shared" si="309"/>
        <v>27.720000000000027</v>
      </c>
      <c r="U4990" s="1" t="str">
        <f t="shared" si="310"/>
        <v>Underpaid</v>
      </c>
      <c r="V4990" s="1" t="str">
        <f>_xlfn.XLOOKUP(C4990,Payers!$A$2:$A$9,Payers!$B$2:$B$9)</f>
        <v>Blue Horizon Commercial</v>
      </c>
      <c r="W4990" s="1" t="str">
        <f t="shared" si="311"/>
        <v>2026-07</v>
      </c>
    </row>
    <row r="4991" spans="1:23">
      <c r="A4991" s="1" t="s">
        <v>7710</v>
      </c>
      <c r="B4991" s="1" t="s">
        <v>3340</v>
      </c>
      <c r="C4991" s="1" t="s">
        <v>60</v>
      </c>
      <c r="D4991" s="1" t="s">
        <v>19</v>
      </c>
      <c r="E4991" s="1" t="s">
        <v>57</v>
      </c>
      <c r="F4991">
        <v>1</v>
      </c>
      <c r="G4991" s="2">
        <v>46170</v>
      </c>
      <c r="H4991" s="2">
        <v>46172</v>
      </c>
      <c r="I4991">
        <v>206.22</v>
      </c>
      <c r="J4991">
        <v>91.87</v>
      </c>
      <c r="K4991">
        <v>73.5</v>
      </c>
      <c r="L4991">
        <v>18.37</v>
      </c>
      <c r="M4991" s="1" t="s">
        <v>21</v>
      </c>
      <c r="N4991" s="1" t="s">
        <v>22</v>
      </c>
      <c r="O4991" s="2">
        <v>46177</v>
      </c>
      <c r="P4991" s="2">
        <v>46177</v>
      </c>
      <c r="Q4991">
        <f>_xlfn.XLOOKUP(E4991,CPT!$A$2:$A$13,CPT!$D$2:$D$13)</f>
        <v>210</v>
      </c>
      <c r="R4991" s="1">
        <f>_xlfn.XLOOKUP(C4991,Contract!$A$2:$A$9,Contract!$B$2:$B$9)</f>
        <v>0.45</v>
      </c>
      <c r="S4991" s="1">
        <f t="shared" si="308"/>
        <v>94.5</v>
      </c>
      <c r="T4991" s="1">
        <f t="shared" si="309"/>
        <v>2.6299999999999955</v>
      </c>
      <c r="U4991" s="1" t="str">
        <f t="shared" si="310"/>
        <v>OK</v>
      </c>
      <c r="V4991" s="1" t="str">
        <f>_xlfn.XLOOKUP(C4991,Payers!$A$2:$A$9,Payers!$B$2:$B$9)</f>
        <v>Blue Horizon Commercial</v>
      </c>
      <c r="W4991" s="1" t="str">
        <f t="shared" si="311"/>
        <v>2026-05</v>
      </c>
    </row>
    <row r="4992" spans="1:23">
      <c r="A4992" s="1" t="s">
        <v>7711</v>
      </c>
      <c r="B4992" s="1" t="s">
        <v>4708</v>
      </c>
      <c r="C4992" s="1" t="s">
        <v>18</v>
      </c>
      <c r="D4992" s="1" t="s">
        <v>26</v>
      </c>
      <c r="E4992" s="1" t="s">
        <v>44</v>
      </c>
      <c r="F4992">
        <v>1</v>
      </c>
      <c r="G4992" s="2">
        <v>46153</v>
      </c>
      <c r="H4992" s="2">
        <v>46157</v>
      </c>
      <c r="I4992">
        <v>4748.24</v>
      </c>
      <c r="J4992">
        <v>1790.23</v>
      </c>
      <c r="K4992">
        <v>1611.21</v>
      </c>
      <c r="L4992">
        <v>179.02</v>
      </c>
      <c r="M4992" s="1" t="s">
        <v>21</v>
      </c>
      <c r="N4992" s="1" t="s">
        <v>22</v>
      </c>
      <c r="O4992" s="2">
        <v>46224</v>
      </c>
      <c r="P4992" s="2">
        <v>46224</v>
      </c>
      <c r="Q4992">
        <f>_xlfn.XLOOKUP(E4992,CPT!$A$2:$A$13,CPT!$D$2:$D$13)</f>
        <v>4800</v>
      </c>
      <c r="R4992" s="1">
        <f>_xlfn.XLOOKUP(C4992,Contract!$A$2:$A$9,Contract!$B$2:$B$9)</f>
        <v>0.38</v>
      </c>
      <c r="S4992" s="1">
        <f t="shared" si="308"/>
        <v>1824</v>
      </c>
      <c r="T4992" s="1">
        <f t="shared" si="309"/>
        <v>33.769999999999982</v>
      </c>
      <c r="U4992" s="1" t="str">
        <f t="shared" si="310"/>
        <v>OK</v>
      </c>
      <c r="V4992" s="1" t="str">
        <f>_xlfn.XLOOKUP(C4992,Payers!$A$2:$A$9,Payers!$B$2:$B$9)</f>
        <v>Sunshine Medicare Advantage</v>
      </c>
      <c r="W4992" s="1" t="str">
        <f t="shared" si="311"/>
        <v>2026-05</v>
      </c>
    </row>
    <row r="4993" spans="1:23">
      <c r="A4993" s="1" t="s">
        <v>7712</v>
      </c>
      <c r="B4993" s="1" t="s">
        <v>4160</v>
      </c>
      <c r="C4993" s="1" t="s">
        <v>36</v>
      </c>
      <c r="D4993" s="1" t="s">
        <v>19</v>
      </c>
      <c r="E4993" s="1" t="s">
        <v>41</v>
      </c>
      <c r="F4993">
        <v>1</v>
      </c>
      <c r="G4993" s="2">
        <v>46249</v>
      </c>
      <c r="H4993" s="2">
        <v>46250</v>
      </c>
      <c r="I4993">
        <v>38.200000000000003</v>
      </c>
      <c r="J4993">
        <v>11.53</v>
      </c>
      <c r="K4993">
        <v>9.2200000000000006</v>
      </c>
      <c r="L4993">
        <v>2.31</v>
      </c>
      <c r="M4993" s="1" t="s">
        <v>21</v>
      </c>
      <c r="N4993" s="1" t="s">
        <v>22</v>
      </c>
      <c r="O4993" s="2">
        <v>46255</v>
      </c>
      <c r="P4993" s="2">
        <v>46255</v>
      </c>
      <c r="Q4993">
        <f>_xlfn.XLOOKUP(E4993,CPT!$A$2:$A$13,CPT!$D$2:$D$13)</f>
        <v>38</v>
      </c>
      <c r="R4993" s="1">
        <f>_xlfn.XLOOKUP(C4993,Contract!$A$2:$A$9,Contract!$B$2:$B$9)</f>
        <v>0.27</v>
      </c>
      <c r="S4993" s="1">
        <f t="shared" si="308"/>
        <v>10.26</v>
      </c>
      <c r="T4993" s="1">
        <f t="shared" si="309"/>
        <v>-1.2699999999999996</v>
      </c>
      <c r="U4993" s="1" t="str">
        <f t="shared" si="310"/>
        <v>OK</v>
      </c>
      <c r="V4993" s="1" t="str">
        <f>_xlfn.XLOOKUP(C4993,Payers!$A$2:$A$9,Payers!$B$2:$B$9)</f>
        <v>Florida Medicaid</v>
      </c>
      <c r="W4993" s="1" t="str">
        <f t="shared" si="311"/>
        <v>2026-08</v>
      </c>
    </row>
    <row r="4994" spans="1:23">
      <c r="A4994" s="1" t="s">
        <v>7713</v>
      </c>
      <c r="B4994" s="1" t="s">
        <v>4439</v>
      </c>
      <c r="C4994" s="1" t="s">
        <v>18</v>
      </c>
      <c r="D4994" s="1" t="s">
        <v>19</v>
      </c>
      <c r="E4994" s="1" t="s">
        <v>57</v>
      </c>
      <c r="F4994">
        <v>1</v>
      </c>
      <c r="G4994" s="2">
        <v>46192</v>
      </c>
      <c r="H4994" s="2">
        <v>46223</v>
      </c>
      <c r="I4994">
        <v>215.38</v>
      </c>
      <c r="J4994">
        <v>93.14</v>
      </c>
      <c r="K4994">
        <v>83.83</v>
      </c>
      <c r="L4994">
        <v>9.31</v>
      </c>
      <c r="M4994" s="1" t="s">
        <v>21</v>
      </c>
      <c r="N4994" s="1" t="s">
        <v>22</v>
      </c>
      <c r="O4994" s="2">
        <v>46263</v>
      </c>
      <c r="P4994" s="2">
        <v>46263</v>
      </c>
      <c r="Q4994">
        <f>_xlfn.XLOOKUP(E4994,CPT!$A$2:$A$13,CPT!$D$2:$D$13)</f>
        <v>210</v>
      </c>
      <c r="R4994" s="1">
        <f>_xlfn.XLOOKUP(C4994,Contract!$A$2:$A$9,Contract!$B$2:$B$9)</f>
        <v>0.38</v>
      </c>
      <c r="S4994" s="1">
        <f t="shared" ref="S4994:S5057" si="312">ROUND(Q4994*F4994*R4994,2)</f>
        <v>79.8</v>
      </c>
      <c r="T4994" s="1">
        <f t="shared" ref="T4994:T5057" si="313">IF(M4994="Paid",S4994-J4994,"")</f>
        <v>-13.340000000000003</v>
      </c>
      <c r="U4994" s="1" t="str">
        <f t="shared" ref="U4994:U5057" si="314">IF(M4994&lt;&gt;"Paid","",IF(T4994&gt;S4994*0.05,"Underpaid","OK"))</f>
        <v>OK</v>
      </c>
      <c r="V4994" s="1" t="str">
        <f>_xlfn.XLOOKUP(C4994,Payers!$A$2:$A$9,Payers!$B$2:$B$9)</f>
        <v>Sunshine Medicare Advantage</v>
      </c>
      <c r="W4994" s="1" t="str">
        <f t="shared" ref="W4994:W5057" si="315">TEXT(G4994,"yyyy-mm")</f>
        <v>2026-06</v>
      </c>
    </row>
    <row r="4995" spans="1:23">
      <c r="A4995" s="1" t="s">
        <v>7714</v>
      </c>
      <c r="B4995" s="1" t="s">
        <v>2487</v>
      </c>
      <c r="C4995" s="1" t="s">
        <v>76</v>
      </c>
      <c r="D4995" s="1" t="s">
        <v>19</v>
      </c>
      <c r="E4995" s="1" t="s">
        <v>41</v>
      </c>
      <c r="F4995">
        <v>1</v>
      </c>
      <c r="G4995" s="2">
        <v>46093</v>
      </c>
      <c r="H4995" s="2">
        <v>46094</v>
      </c>
      <c r="I4995">
        <v>37.76</v>
      </c>
      <c r="J4995">
        <v>18.39</v>
      </c>
      <c r="K4995">
        <v>16.55</v>
      </c>
      <c r="L4995">
        <v>1.84</v>
      </c>
      <c r="M4995" s="1" t="s">
        <v>21</v>
      </c>
      <c r="N4995" s="1" t="s">
        <v>22</v>
      </c>
      <c r="O4995" s="2">
        <v>46113</v>
      </c>
      <c r="P4995" s="2">
        <v>46113</v>
      </c>
      <c r="Q4995">
        <f>_xlfn.XLOOKUP(E4995,CPT!$A$2:$A$13,CPT!$D$2:$D$13)</f>
        <v>38</v>
      </c>
      <c r="R4995" s="1">
        <f>_xlfn.XLOOKUP(C4995,Contract!$A$2:$A$9,Contract!$B$2:$B$9)</f>
        <v>0.43</v>
      </c>
      <c r="S4995" s="1">
        <f t="shared" si="312"/>
        <v>16.34</v>
      </c>
      <c r="T4995" s="1">
        <f t="shared" si="313"/>
        <v>-2.0500000000000007</v>
      </c>
      <c r="U4995" s="1" t="str">
        <f t="shared" si="314"/>
        <v>OK</v>
      </c>
      <c r="V4995" s="1" t="str">
        <f>_xlfn.XLOOKUP(C4995,Payers!$A$2:$A$9,Payers!$B$2:$B$9)</f>
        <v>Summit Health Commercial</v>
      </c>
      <c r="W4995" s="1" t="str">
        <f t="shared" si="315"/>
        <v>2026-03</v>
      </c>
    </row>
    <row r="4996" spans="1:23">
      <c r="A4996" s="1" t="s">
        <v>7715</v>
      </c>
      <c r="B4996" s="1" t="s">
        <v>7716</v>
      </c>
      <c r="C4996" s="1" t="s">
        <v>52</v>
      </c>
      <c r="D4996" s="1" t="s">
        <v>30</v>
      </c>
      <c r="E4996" s="1" t="s">
        <v>31</v>
      </c>
      <c r="F4996">
        <v>3</v>
      </c>
      <c r="G4996" s="2">
        <v>46084</v>
      </c>
      <c r="H4996" s="2">
        <v>46085</v>
      </c>
      <c r="I4996">
        <v>187.4</v>
      </c>
      <c r="J4996">
        <v>91.46</v>
      </c>
      <c r="K4996">
        <v>82.31</v>
      </c>
      <c r="L4996">
        <v>9.15</v>
      </c>
      <c r="M4996" s="1" t="s">
        <v>21</v>
      </c>
      <c r="N4996" s="1" t="s">
        <v>22</v>
      </c>
      <c r="O4996" s="2">
        <v>46125</v>
      </c>
      <c r="P4996" s="2">
        <v>46125</v>
      </c>
      <c r="Q4996">
        <f>_xlfn.XLOOKUP(E4996,CPT!$A$2:$A$13,CPT!$D$2:$D$13)</f>
        <v>62</v>
      </c>
      <c r="R4996" s="1">
        <f>_xlfn.XLOOKUP(C4996,Contract!$A$2:$A$9,Contract!$B$2:$B$9)</f>
        <v>0.47</v>
      </c>
      <c r="S4996" s="1">
        <f t="shared" si="312"/>
        <v>87.42</v>
      </c>
      <c r="T4996" s="1">
        <f t="shared" si="313"/>
        <v>-4.039999999999992</v>
      </c>
      <c r="U4996" s="1" t="str">
        <f t="shared" si="314"/>
        <v>OK</v>
      </c>
      <c r="V4996" s="1" t="str">
        <f>_xlfn.XLOOKUP(C4996,Payers!$A$2:$A$9,Payers!$B$2:$B$9)</f>
        <v>Keystone Commercial PPO</v>
      </c>
      <c r="W4996" s="1" t="str">
        <f t="shared" si="315"/>
        <v>2026-03</v>
      </c>
    </row>
    <row r="4997" spans="1:23">
      <c r="A4997" s="1" t="s">
        <v>7717</v>
      </c>
      <c r="B4997" s="1" t="s">
        <v>7718</v>
      </c>
      <c r="C4997" s="1" t="s">
        <v>60</v>
      </c>
      <c r="D4997" s="1" t="s">
        <v>19</v>
      </c>
      <c r="E4997" s="1" t="s">
        <v>20</v>
      </c>
      <c r="F4997">
        <v>1</v>
      </c>
      <c r="G4997" s="2">
        <v>45967</v>
      </c>
      <c r="H4997" s="2">
        <v>45970</v>
      </c>
      <c r="I4997">
        <v>147.04</v>
      </c>
      <c r="J4997">
        <v>65.27</v>
      </c>
      <c r="K4997">
        <v>65.27</v>
      </c>
      <c r="L4997">
        <v>0</v>
      </c>
      <c r="M4997" s="1" t="s">
        <v>21</v>
      </c>
      <c r="N4997" s="1" t="s">
        <v>22</v>
      </c>
      <c r="O4997" s="2">
        <v>46000</v>
      </c>
      <c r="P4997" s="2">
        <v>46000</v>
      </c>
      <c r="Q4997">
        <f>_xlfn.XLOOKUP(E4997,CPT!$A$2:$A$13,CPT!$D$2:$D$13)</f>
        <v>145</v>
      </c>
      <c r="R4997" s="1">
        <f>_xlfn.XLOOKUP(C4997,Contract!$A$2:$A$9,Contract!$B$2:$B$9)</f>
        <v>0.45</v>
      </c>
      <c r="S4997" s="1">
        <f t="shared" si="312"/>
        <v>65.25</v>
      </c>
      <c r="T4997" s="1">
        <f t="shared" si="313"/>
        <v>-1.9999999999996021E-2</v>
      </c>
      <c r="U4997" s="1" t="str">
        <f t="shared" si="314"/>
        <v>OK</v>
      </c>
      <c r="V4997" s="1" t="str">
        <f>_xlfn.XLOOKUP(C4997,Payers!$A$2:$A$9,Payers!$B$2:$B$9)</f>
        <v>Blue Horizon Commercial</v>
      </c>
      <c r="W4997" s="1" t="str">
        <f t="shared" si="315"/>
        <v>2025-11</v>
      </c>
    </row>
    <row r="4998" spans="1:23">
      <c r="A4998" s="1" t="s">
        <v>7719</v>
      </c>
      <c r="B4998" s="1" t="s">
        <v>7720</v>
      </c>
      <c r="C4998" s="1" t="s">
        <v>47</v>
      </c>
      <c r="D4998" s="1" t="s">
        <v>26</v>
      </c>
      <c r="E4998" s="1" t="s">
        <v>57</v>
      </c>
      <c r="F4998">
        <v>1</v>
      </c>
      <c r="G4998" s="2">
        <v>46190</v>
      </c>
      <c r="H4998" s="2">
        <v>46191</v>
      </c>
      <c r="I4998">
        <v>206.39</v>
      </c>
      <c r="J4998">
        <v>51.65</v>
      </c>
      <c r="K4998">
        <v>41.32</v>
      </c>
      <c r="L4998">
        <v>10.33</v>
      </c>
      <c r="M4998" s="1" t="s">
        <v>21</v>
      </c>
      <c r="N4998" s="1" t="s">
        <v>22</v>
      </c>
      <c r="O4998" s="2">
        <v>46260</v>
      </c>
      <c r="P4998" s="2">
        <v>46260</v>
      </c>
      <c r="Q4998">
        <f>_xlfn.XLOOKUP(E4998,CPT!$A$2:$A$13,CPT!$D$2:$D$13)</f>
        <v>210</v>
      </c>
      <c r="R4998" s="1">
        <f>_xlfn.XLOOKUP(C4998,Contract!$A$2:$A$9,Contract!$B$2:$B$9)</f>
        <v>0.28000000000000003</v>
      </c>
      <c r="S4998" s="1">
        <f t="shared" si="312"/>
        <v>58.8</v>
      </c>
      <c r="T4998" s="1">
        <f t="shared" si="313"/>
        <v>7.1499999999999986</v>
      </c>
      <c r="U4998" s="1" t="str">
        <f t="shared" si="314"/>
        <v>Underpaid</v>
      </c>
      <c r="V4998" s="1" t="str">
        <f>_xlfn.XLOOKUP(C4998,Payers!$A$2:$A$9,Payers!$B$2:$B$9)</f>
        <v>Coastal Medicaid MCO</v>
      </c>
      <c r="W4998" s="1" t="str">
        <f t="shared" si="315"/>
        <v>2026-06</v>
      </c>
    </row>
    <row r="4999" spans="1:23">
      <c r="A4999" s="1" t="s">
        <v>7721</v>
      </c>
      <c r="B4999" s="1" t="s">
        <v>4719</v>
      </c>
      <c r="C4999" s="1" t="s">
        <v>36</v>
      </c>
      <c r="D4999" s="1" t="s">
        <v>19</v>
      </c>
      <c r="E4999" s="1" t="s">
        <v>20</v>
      </c>
      <c r="F4999">
        <v>1</v>
      </c>
      <c r="G4999" s="2">
        <v>46137</v>
      </c>
      <c r="H4999" s="2">
        <v>46154</v>
      </c>
      <c r="I4999">
        <v>146.09</v>
      </c>
      <c r="J4999">
        <v>33.44</v>
      </c>
      <c r="K4999">
        <v>30.1</v>
      </c>
      <c r="L4999">
        <v>3.34</v>
      </c>
      <c r="M4999" s="1" t="s">
        <v>21</v>
      </c>
      <c r="N4999" s="1" t="s">
        <v>22</v>
      </c>
      <c r="O4999" s="2">
        <v>46188</v>
      </c>
      <c r="P4999" s="2">
        <v>46188</v>
      </c>
      <c r="Q4999">
        <f>_xlfn.XLOOKUP(E4999,CPT!$A$2:$A$13,CPT!$D$2:$D$13)</f>
        <v>145</v>
      </c>
      <c r="R4999" s="1">
        <f>_xlfn.XLOOKUP(C4999,Contract!$A$2:$A$9,Contract!$B$2:$B$9)</f>
        <v>0.27</v>
      </c>
      <c r="S4999" s="1">
        <f t="shared" si="312"/>
        <v>39.15</v>
      </c>
      <c r="T4999" s="1">
        <f t="shared" si="313"/>
        <v>5.7100000000000009</v>
      </c>
      <c r="U4999" s="1" t="str">
        <f t="shared" si="314"/>
        <v>Underpaid</v>
      </c>
      <c r="V4999" s="1" t="str">
        <f>_xlfn.XLOOKUP(C4999,Payers!$A$2:$A$9,Payers!$B$2:$B$9)</f>
        <v>Florida Medicaid</v>
      </c>
      <c r="W4999" s="1" t="str">
        <f t="shared" si="315"/>
        <v>2026-04</v>
      </c>
    </row>
    <row r="5000" spans="1:23">
      <c r="A5000" s="1" t="s">
        <v>7722</v>
      </c>
      <c r="B5000" s="1" t="s">
        <v>314</v>
      </c>
      <c r="C5000" s="1" t="s">
        <v>36</v>
      </c>
      <c r="D5000" s="1" t="s">
        <v>26</v>
      </c>
      <c r="E5000" s="1" t="s">
        <v>57</v>
      </c>
      <c r="F5000">
        <v>1</v>
      </c>
      <c r="G5000" s="2">
        <v>46213</v>
      </c>
      <c r="H5000" s="2">
        <v>46219</v>
      </c>
      <c r="I5000">
        <v>213.62</v>
      </c>
      <c r="J5000">
        <v>59.56</v>
      </c>
      <c r="K5000">
        <v>59.56</v>
      </c>
      <c r="L5000">
        <v>0</v>
      </c>
      <c r="M5000" s="1" t="s">
        <v>21</v>
      </c>
      <c r="N5000" s="1" t="s">
        <v>22</v>
      </c>
      <c r="O5000" s="2">
        <v>46273</v>
      </c>
      <c r="P5000" s="2">
        <v>46273</v>
      </c>
      <c r="Q5000">
        <f>_xlfn.XLOOKUP(E5000,CPT!$A$2:$A$13,CPT!$D$2:$D$13)</f>
        <v>210</v>
      </c>
      <c r="R5000" s="1">
        <f>_xlfn.XLOOKUP(C5000,Contract!$A$2:$A$9,Contract!$B$2:$B$9)</f>
        <v>0.27</v>
      </c>
      <c r="S5000" s="1">
        <f t="shared" si="312"/>
        <v>56.7</v>
      </c>
      <c r="T5000" s="1">
        <f t="shared" si="313"/>
        <v>-2.8599999999999994</v>
      </c>
      <c r="U5000" s="1" t="str">
        <f t="shared" si="314"/>
        <v>OK</v>
      </c>
      <c r="V5000" s="1" t="str">
        <f>_xlfn.XLOOKUP(C5000,Payers!$A$2:$A$9,Payers!$B$2:$B$9)</f>
        <v>Florida Medicaid</v>
      </c>
      <c r="W5000" s="1" t="str">
        <f t="shared" si="315"/>
        <v>2026-07</v>
      </c>
    </row>
    <row r="5001" spans="1:23">
      <c r="A5001" s="1" t="s">
        <v>7723</v>
      </c>
      <c r="B5001" s="1" t="s">
        <v>7724</v>
      </c>
      <c r="C5001" s="1" t="s">
        <v>60</v>
      </c>
      <c r="D5001" s="1" t="s">
        <v>37</v>
      </c>
      <c r="E5001" s="1" t="s">
        <v>57</v>
      </c>
      <c r="F5001">
        <v>1</v>
      </c>
      <c r="G5001" s="2">
        <v>46057</v>
      </c>
      <c r="H5001" s="2">
        <v>46062</v>
      </c>
      <c r="I5001">
        <v>205.88</v>
      </c>
      <c r="M5001" s="1" t="s">
        <v>32</v>
      </c>
      <c r="N5001" s="1" t="s">
        <v>168</v>
      </c>
      <c r="O5001" s="2">
        <v>46081</v>
      </c>
      <c r="P5001" s="2"/>
      <c r="Q5001">
        <f>_xlfn.XLOOKUP(E5001,CPT!$A$2:$A$13,CPT!$D$2:$D$13)</f>
        <v>210</v>
      </c>
      <c r="R5001" s="1">
        <f>_xlfn.XLOOKUP(C5001,Contract!$A$2:$A$9,Contract!$B$2:$B$9)</f>
        <v>0.45</v>
      </c>
      <c r="S5001" s="1">
        <f t="shared" si="312"/>
        <v>94.5</v>
      </c>
      <c r="T5001" s="1" t="str">
        <f t="shared" si="313"/>
        <v/>
      </c>
      <c r="U5001" s="1" t="str">
        <f t="shared" si="314"/>
        <v/>
      </c>
      <c r="V5001" s="1" t="str">
        <f>_xlfn.XLOOKUP(C5001,Payers!$A$2:$A$9,Payers!$B$2:$B$9)</f>
        <v>Blue Horizon Commercial</v>
      </c>
      <c r="W5001" s="1" t="str">
        <f t="shared" si="315"/>
        <v>2026-02</v>
      </c>
    </row>
    <row r="5002" spans="1:23">
      <c r="A5002" s="1" t="s">
        <v>7725</v>
      </c>
      <c r="B5002" s="1" t="s">
        <v>7726</v>
      </c>
      <c r="C5002" s="1" t="s">
        <v>76</v>
      </c>
      <c r="D5002" s="1" t="s">
        <v>26</v>
      </c>
      <c r="E5002" s="1" t="s">
        <v>57</v>
      </c>
      <c r="F5002">
        <v>1</v>
      </c>
      <c r="G5002" s="2">
        <v>45949</v>
      </c>
      <c r="H5002" s="2">
        <v>45950</v>
      </c>
      <c r="I5002">
        <v>213.87</v>
      </c>
      <c r="J5002">
        <v>94.65</v>
      </c>
      <c r="K5002">
        <v>85.18</v>
      </c>
      <c r="L5002">
        <v>9.4700000000000006</v>
      </c>
      <c r="M5002" s="1" t="s">
        <v>21</v>
      </c>
      <c r="N5002" s="1" t="s">
        <v>22</v>
      </c>
      <c r="O5002" s="2">
        <v>45983</v>
      </c>
      <c r="P5002" s="2">
        <v>45983</v>
      </c>
      <c r="Q5002">
        <f>_xlfn.XLOOKUP(E5002,CPT!$A$2:$A$13,CPT!$D$2:$D$13)</f>
        <v>210</v>
      </c>
      <c r="R5002" s="1">
        <f>_xlfn.XLOOKUP(C5002,Contract!$A$2:$A$9,Contract!$B$2:$B$9)</f>
        <v>0.43</v>
      </c>
      <c r="S5002" s="1">
        <f t="shared" si="312"/>
        <v>90.3</v>
      </c>
      <c r="T5002" s="1">
        <f t="shared" si="313"/>
        <v>-4.3500000000000085</v>
      </c>
      <c r="U5002" s="1" t="str">
        <f t="shared" si="314"/>
        <v>OK</v>
      </c>
      <c r="V5002" s="1" t="str">
        <f>_xlfn.XLOOKUP(C5002,Payers!$A$2:$A$9,Payers!$B$2:$B$9)</f>
        <v>Summit Health Commercial</v>
      </c>
      <c r="W5002" s="1" t="str">
        <f t="shared" si="315"/>
        <v>2025-10</v>
      </c>
    </row>
    <row r="5003" spans="1:23">
      <c r="A5003" s="1" t="s">
        <v>7727</v>
      </c>
      <c r="B5003" s="1" t="s">
        <v>1183</v>
      </c>
      <c r="C5003" s="1" t="s">
        <v>60</v>
      </c>
      <c r="D5003" s="1" t="s">
        <v>37</v>
      </c>
      <c r="E5003" s="1" t="s">
        <v>38</v>
      </c>
      <c r="F5003">
        <v>30</v>
      </c>
      <c r="G5003" s="2">
        <v>45972</v>
      </c>
      <c r="H5003" s="2">
        <v>45984</v>
      </c>
      <c r="I5003">
        <v>42554.33</v>
      </c>
      <c r="J5003">
        <v>20019.45</v>
      </c>
      <c r="K5003">
        <v>18017.5</v>
      </c>
      <c r="L5003">
        <v>2001.95</v>
      </c>
      <c r="M5003" s="1" t="s">
        <v>21</v>
      </c>
      <c r="N5003" s="1" t="s">
        <v>22</v>
      </c>
      <c r="O5003" s="2">
        <v>46000</v>
      </c>
      <c r="P5003" s="2">
        <v>46000</v>
      </c>
      <c r="Q5003">
        <f>_xlfn.XLOOKUP(E5003,CPT!$A$2:$A$13,CPT!$D$2:$D$13)</f>
        <v>1450</v>
      </c>
      <c r="R5003" s="1">
        <f>_xlfn.XLOOKUP(C5003,Contract!$A$2:$A$9,Contract!$B$2:$B$9)</f>
        <v>0.45</v>
      </c>
      <c r="S5003" s="1">
        <f t="shared" si="312"/>
        <v>19575</v>
      </c>
      <c r="T5003" s="1">
        <f t="shared" si="313"/>
        <v>-444.45000000000073</v>
      </c>
      <c r="U5003" s="1" t="str">
        <f t="shared" si="314"/>
        <v>OK</v>
      </c>
      <c r="V5003" s="1" t="str">
        <f>_xlfn.XLOOKUP(C5003,Payers!$A$2:$A$9,Payers!$B$2:$B$9)</f>
        <v>Blue Horizon Commercial</v>
      </c>
      <c r="W5003" s="1" t="str">
        <f t="shared" si="315"/>
        <v>2025-11</v>
      </c>
    </row>
    <row r="5004" spans="1:23">
      <c r="A5004" s="1" t="s">
        <v>7728</v>
      </c>
      <c r="B5004" s="1" t="s">
        <v>6947</v>
      </c>
      <c r="C5004" s="1" t="s">
        <v>18</v>
      </c>
      <c r="D5004" s="1" t="s">
        <v>30</v>
      </c>
      <c r="E5004" s="1" t="s">
        <v>31</v>
      </c>
      <c r="F5004">
        <v>1</v>
      </c>
      <c r="G5004" s="2">
        <v>45965</v>
      </c>
      <c r="H5004" s="2">
        <v>45967</v>
      </c>
      <c r="I5004">
        <v>62.09</v>
      </c>
      <c r="J5004">
        <v>20.170000000000002</v>
      </c>
      <c r="K5004">
        <v>20.170000000000002</v>
      </c>
      <c r="L5004">
        <v>0</v>
      </c>
      <c r="M5004" s="1" t="s">
        <v>21</v>
      </c>
      <c r="N5004" s="1" t="s">
        <v>22</v>
      </c>
      <c r="O5004" s="2">
        <v>46036</v>
      </c>
      <c r="P5004" s="2">
        <v>46036</v>
      </c>
      <c r="Q5004">
        <f>_xlfn.XLOOKUP(E5004,CPT!$A$2:$A$13,CPT!$D$2:$D$13)</f>
        <v>62</v>
      </c>
      <c r="R5004" s="1">
        <f>_xlfn.XLOOKUP(C5004,Contract!$A$2:$A$9,Contract!$B$2:$B$9)</f>
        <v>0.38</v>
      </c>
      <c r="S5004" s="1">
        <f t="shared" si="312"/>
        <v>23.56</v>
      </c>
      <c r="T5004" s="1">
        <f t="shared" si="313"/>
        <v>3.389999999999997</v>
      </c>
      <c r="U5004" s="1" t="str">
        <f t="shared" si="314"/>
        <v>Underpaid</v>
      </c>
      <c r="V5004" s="1" t="str">
        <f>_xlfn.XLOOKUP(C5004,Payers!$A$2:$A$9,Payers!$B$2:$B$9)</f>
        <v>Sunshine Medicare Advantage</v>
      </c>
      <c r="W5004" s="1" t="str">
        <f t="shared" si="315"/>
        <v>2025-11</v>
      </c>
    </row>
    <row r="5005" spans="1:23">
      <c r="A5005" s="1" t="s">
        <v>7729</v>
      </c>
      <c r="B5005" s="1" t="s">
        <v>5988</v>
      </c>
      <c r="C5005" s="1" t="s">
        <v>76</v>
      </c>
      <c r="D5005" s="1" t="s">
        <v>26</v>
      </c>
      <c r="E5005" s="1" t="s">
        <v>185</v>
      </c>
      <c r="F5005">
        <v>1</v>
      </c>
      <c r="G5005" s="2">
        <v>46082</v>
      </c>
      <c r="H5005" s="2">
        <v>46083</v>
      </c>
      <c r="I5005">
        <v>1140.45</v>
      </c>
      <c r="J5005">
        <v>445.43</v>
      </c>
      <c r="K5005">
        <v>445.43</v>
      </c>
      <c r="L5005">
        <v>0</v>
      </c>
      <c r="M5005" s="1" t="s">
        <v>21</v>
      </c>
      <c r="N5005" s="1" t="s">
        <v>22</v>
      </c>
      <c r="O5005" s="2">
        <v>46119</v>
      </c>
      <c r="P5005" s="2">
        <v>46119</v>
      </c>
      <c r="Q5005">
        <f>_xlfn.XLOOKUP(E5005,CPT!$A$2:$A$13,CPT!$D$2:$D$13)</f>
        <v>1150</v>
      </c>
      <c r="R5005" s="1">
        <f>_xlfn.XLOOKUP(C5005,Contract!$A$2:$A$9,Contract!$B$2:$B$9)</f>
        <v>0.43</v>
      </c>
      <c r="S5005" s="1">
        <f t="shared" si="312"/>
        <v>494.5</v>
      </c>
      <c r="T5005" s="1">
        <f t="shared" si="313"/>
        <v>49.069999999999993</v>
      </c>
      <c r="U5005" s="1" t="str">
        <f t="shared" si="314"/>
        <v>Underpaid</v>
      </c>
      <c r="V5005" s="1" t="str">
        <f>_xlfn.XLOOKUP(C5005,Payers!$A$2:$A$9,Payers!$B$2:$B$9)</f>
        <v>Summit Health Commercial</v>
      </c>
      <c r="W5005" s="1" t="str">
        <f t="shared" si="315"/>
        <v>2026-03</v>
      </c>
    </row>
    <row r="5006" spans="1:23">
      <c r="A5006" s="1" t="s">
        <v>7730</v>
      </c>
      <c r="B5006" s="1" t="s">
        <v>2721</v>
      </c>
      <c r="C5006" s="1" t="s">
        <v>60</v>
      </c>
      <c r="D5006" s="1" t="s">
        <v>19</v>
      </c>
      <c r="E5006" s="1" t="s">
        <v>41</v>
      </c>
      <c r="F5006">
        <v>1</v>
      </c>
      <c r="G5006" s="2">
        <v>46226</v>
      </c>
      <c r="H5006" s="2">
        <v>46227</v>
      </c>
      <c r="I5006">
        <v>38.18</v>
      </c>
      <c r="J5006">
        <v>15.77</v>
      </c>
      <c r="K5006">
        <v>14.19</v>
      </c>
      <c r="L5006">
        <v>1.58</v>
      </c>
      <c r="M5006" s="1" t="s">
        <v>21</v>
      </c>
      <c r="N5006" s="1" t="s">
        <v>22</v>
      </c>
      <c r="O5006" s="2">
        <v>46246</v>
      </c>
      <c r="P5006" s="2">
        <v>46246</v>
      </c>
      <c r="Q5006">
        <f>_xlfn.XLOOKUP(E5006,CPT!$A$2:$A$13,CPT!$D$2:$D$13)</f>
        <v>38</v>
      </c>
      <c r="R5006" s="1">
        <f>_xlfn.XLOOKUP(C5006,Contract!$A$2:$A$9,Contract!$B$2:$B$9)</f>
        <v>0.45</v>
      </c>
      <c r="S5006" s="1">
        <f t="shared" si="312"/>
        <v>17.100000000000001</v>
      </c>
      <c r="T5006" s="1">
        <f t="shared" si="313"/>
        <v>1.3300000000000018</v>
      </c>
      <c r="U5006" s="1" t="str">
        <f t="shared" si="314"/>
        <v>Underpaid</v>
      </c>
      <c r="V5006" s="1" t="str">
        <f>_xlfn.XLOOKUP(C5006,Payers!$A$2:$A$9,Payers!$B$2:$B$9)</f>
        <v>Blue Horizon Commercial</v>
      </c>
      <c r="W5006" s="1" t="str">
        <f t="shared" si="315"/>
        <v>2026-07</v>
      </c>
    </row>
    <row r="5007" spans="1:23">
      <c r="A5007" s="1" t="s">
        <v>7731</v>
      </c>
      <c r="B5007" s="1" t="s">
        <v>1345</v>
      </c>
      <c r="C5007" s="1" t="s">
        <v>47</v>
      </c>
      <c r="D5007" s="1" t="s">
        <v>37</v>
      </c>
      <c r="E5007" s="1" t="s">
        <v>48</v>
      </c>
      <c r="F5007">
        <v>1</v>
      </c>
      <c r="G5007" s="2">
        <v>46141</v>
      </c>
      <c r="H5007" s="2">
        <v>46150</v>
      </c>
      <c r="I5007">
        <v>413.8</v>
      </c>
      <c r="M5007" s="1" t="s">
        <v>32</v>
      </c>
      <c r="N5007" s="1" t="s">
        <v>49</v>
      </c>
      <c r="O5007" s="2">
        <v>46184</v>
      </c>
      <c r="P5007" s="2"/>
      <c r="Q5007">
        <f>_xlfn.XLOOKUP(E5007,CPT!$A$2:$A$13,CPT!$D$2:$D$13)</f>
        <v>420</v>
      </c>
      <c r="R5007" s="1">
        <f>_xlfn.XLOOKUP(C5007,Contract!$A$2:$A$9,Contract!$B$2:$B$9)</f>
        <v>0.28000000000000003</v>
      </c>
      <c r="S5007" s="1">
        <f t="shared" si="312"/>
        <v>117.6</v>
      </c>
      <c r="T5007" s="1" t="str">
        <f t="shared" si="313"/>
        <v/>
      </c>
      <c r="U5007" s="1" t="str">
        <f t="shared" si="314"/>
        <v/>
      </c>
      <c r="V5007" s="1" t="str">
        <f>_xlfn.XLOOKUP(C5007,Payers!$A$2:$A$9,Payers!$B$2:$B$9)</f>
        <v>Coastal Medicaid MCO</v>
      </c>
      <c r="W5007" s="1" t="str">
        <f t="shared" si="315"/>
        <v>2026-04</v>
      </c>
    </row>
    <row r="5008" spans="1:23">
      <c r="A5008" s="1" t="s">
        <v>7732</v>
      </c>
      <c r="B5008" s="1" t="s">
        <v>6989</v>
      </c>
      <c r="C5008" s="1" t="s">
        <v>60</v>
      </c>
      <c r="D5008" s="1" t="s">
        <v>37</v>
      </c>
      <c r="E5008" s="1" t="s">
        <v>38</v>
      </c>
      <c r="F5008">
        <v>10</v>
      </c>
      <c r="G5008" s="2">
        <v>46101</v>
      </c>
      <c r="H5008" s="2">
        <v>46103</v>
      </c>
      <c r="I5008">
        <v>14720.71</v>
      </c>
      <c r="J5008">
        <v>7198.7</v>
      </c>
      <c r="K5008">
        <v>5758.96</v>
      </c>
      <c r="L5008">
        <v>1439.74</v>
      </c>
      <c r="M5008" s="1" t="s">
        <v>21</v>
      </c>
      <c r="N5008" s="1" t="s">
        <v>22</v>
      </c>
      <c r="O5008" s="2">
        <v>46138</v>
      </c>
      <c r="P5008" s="2">
        <v>46138</v>
      </c>
      <c r="Q5008">
        <f>_xlfn.XLOOKUP(E5008,CPT!$A$2:$A$13,CPT!$D$2:$D$13)</f>
        <v>1450</v>
      </c>
      <c r="R5008" s="1">
        <f>_xlfn.XLOOKUP(C5008,Contract!$A$2:$A$9,Contract!$B$2:$B$9)</f>
        <v>0.45</v>
      </c>
      <c r="S5008" s="1">
        <f t="shared" si="312"/>
        <v>6525</v>
      </c>
      <c r="T5008" s="1">
        <f t="shared" si="313"/>
        <v>-673.69999999999982</v>
      </c>
      <c r="U5008" s="1" t="str">
        <f t="shared" si="314"/>
        <v>OK</v>
      </c>
      <c r="V5008" s="1" t="str">
        <f>_xlfn.XLOOKUP(C5008,Payers!$A$2:$A$9,Payers!$B$2:$B$9)</f>
        <v>Blue Horizon Commercial</v>
      </c>
      <c r="W5008" s="1" t="str">
        <f t="shared" si="315"/>
        <v>2026-03</v>
      </c>
    </row>
    <row r="5009" spans="1:23">
      <c r="A5009" s="1" t="s">
        <v>7733</v>
      </c>
      <c r="B5009" s="1" t="s">
        <v>7734</v>
      </c>
      <c r="C5009" s="1" t="s">
        <v>18</v>
      </c>
      <c r="D5009" s="1" t="s">
        <v>19</v>
      </c>
      <c r="E5009" s="1" t="s">
        <v>88</v>
      </c>
      <c r="F5009">
        <v>1</v>
      </c>
      <c r="G5009" s="2">
        <v>46108</v>
      </c>
      <c r="H5009" s="2">
        <v>46111</v>
      </c>
      <c r="I5009">
        <v>262.60000000000002</v>
      </c>
      <c r="J5009">
        <v>94.24</v>
      </c>
      <c r="K5009">
        <v>94.24</v>
      </c>
      <c r="L5009">
        <v>0</v>
      </c>
      <c r="M5009" s="1" t="s">
        <v>21</v>
      </c>
      <c r="N5009" s="1" t="s">
        <v>22</v>
      </c>
      <c r="O5009" s="2">
        <v>46139</v>
      </c>
      <c r="P5009" s="2">
        <v>46139</v>
      </c>
      <c r="Q5009">
        <f>_xlfn.XLOOKUP(E5009,CPT!$A$2:$A$13,CPT!$D$2:$D$13)</f>
        <v>260</v>
      </c>
      <c r="R5009" s="1">
        <f>_xlfn.XLOOKUP(C5009,Contract!$A$2:$A$9,Contract!$B$2:$B$9)</f>
        <v>0.38</v>
      </c>
      <c r="S5009" s="1">
        <f t="shared" si="312"/>
        <v>98.8</v>
      </c>
      <c r="T5009" s="1">
        <f t="shared" si="313"/>
        <v>4.5600000000000023</v>
      </c>
      <c r="U5009" s="1" t="str">
        <f t="shared" si="314"/>
        <v>OK</v>
      </c>
      <c r="V5009" s="1" t="str">
        <f>_xlfn.XLOOKUP(C5009,Payers!$A$2:$A$9,Payers!$B$2:$B$9)</f>
        <v>Sunshine Medicare Advantage</v>
      </c>
      <c r="W5009" s="1" t="str">
        <f t="shared" si="315"/>
        <v>2026-03</v>
      </c>
    </row>
    <row r="5010" spans="1:23">
      <c r="A5010" s="1" t="s">
        <v>7735</v>
      </c>
      <c r="B5010" s="1" t="s">
        <v>7736</v>
      </c>
      <c r="C5010" s="1" t="s">
        <v>52</v>
      </c>
      <c r="D5010" s="1" t="s">
        <v>26</v>
      </c>
      <c r="E5010" s="1" t="s">
        <v>41</v>
      </c>
      <c r="F5010">
        <v>1</v>
      </c>
      <c r="G5010" s="2">
        <v>46124</v>
      </c>
      <c r="H5010" s="2">
        <v>46125</v>
      </c>
      <c r="I5010">
        <v>38.42</v>
      </c>
      <c r="J5010">
        <v>15.64</v>
      </c>
      <c r="K5010">
        <v>15.64</v>
      </c>
      <c r="L5010">
        <v>0</v>
      </c>
      <c r="M5010" s="1" t="s">
        <v>21</v>
      </c>
      <c r="N5010" s="1" t="s">
        <v>22</v>
      </c>
      <c r="O5010" s="2">
        <v>46171</v>
      </c>
      <c r="P5010" s="2">
        <v>46171</v>
      </c>
      <c r="Q5010">
        <f>_xlfn.XLOOKUP(E5010,CPT!$A$2:$A$13,CPT!$D$2:$D$13)</f>
        <v>38</v>
      </c>
      <c r="R5010" s="1">
        <f>_xlfn.XLOOKUP(C5010,Contract!$A$2:$A$9,Contract!$B$2:$B$9)</f>
        <v>0.47</v>
      </c>
      <c r="S5010" s="1">
        <f t="shared" si="312"/>
        <v>17.86</v>
      </c>
      <c r="T5010" s="1">
        <f t="shared" si="313"/>
        <v>2.2199999999999989</v>
      </c>
      <c r="U5010" s="1" t="str">
        <f t="shared" si="314"/>
        <v>Underpaid</v>
      </c>
      <c r="V5010" s="1" t="str">
        <f>_xlfn.XLOOKUP(C5010,Payers!$A$2:$A$9,Payers!$B$2:$B$9)</f>
        <v>Keystone Commercial PPO</v>
      </c>
      <c r="W5010" s="1" t="str">
        <f t="shared" si="315"/>
        <v>2026-04</v>
      </c>
    </row>
    <row r="5011" spans="1:23">
      <c r="A5011" s="1" t="s">
        <v>7737</v>
      </c>
      <c r="B5011" s="1" t="s">
        <v>7738</v>
      </c>
      <c r="C5011" s="1" t="s">
        <v>60</v>
      </c>
      <c r="D5011" s="1" t="s">
        <v>26</v>
      </c>
      <c r="E5011" s="1" t="s">
        <v>27</v>
      </c>
      <c r="F5011">
        <v>1</v>
      </c>
      <c r="G5011" s="2">
        <v>46076</v>
      </c>
      <c r="H5011" s="2">
        <v>46078</v>
      </c>
      <c r="I5011">
        <v>236.46</v>
      </c>
      <c r="J5011">
        <v>93.92</v>
      </c>
      <c r="K5011">
        <v>93.92</v>
      </c>
      <c r="L5011">
        <v>0</v>
      </c>
      <c r="M5011" s="1" t="s">
        <v>21</v>
      </c>
      <c r="N5011" s="1" t="s">
        <v>22</v>
      </c>
      <c r="O5011" s="2">
        <v>46088</v>
      </c>
      <c r="P5011" s="2">
        <v>46088</v>
      </c>
      <c r="Q5011">
        <f>_xlfn.XLOOKUP(E5011,CPT!$A$2:$A$13,CPT!$D$2:$D$13)</f>
        <v>240</v>
      </c>
      <c r="R5011" s="1">
        <f>_xlfn.XLOOKUP(C5011,Contract!$A$2:$A$9,Contract!$B$2:$B$9)</f>
        <v>0.45</v>
      </c>
      <c r="S5011" s="1">
        <f t="shared" si="312"/>
        <v>108</v>
      </c>
      <c r="T5011" s="1">
        <f t="shared" si="313"/>
        <v>14.079999999999998</v>
      </c>
      <c r="U5011" s="1" t="str">
        <f t="shared" si="314"/>
        <v>Underpaid</v>
      </c>
      <c r="V5011" s="1" t="str">
        <f>_xlfn.XLOOKUP(C5011,Payers!$A$2:$A$9,Payers!$B$2:$B$9)</f>
        <v>Blue Horizon Commercial</v>
      </c>
      <c r="W5011" s="1" t="str">
        <f t="shared" si="315"/>
        <v>2026-02</v>
      </c>
    </row>
    <row r="5012" spans="1:23">
      <c r="A5012" s="1" t="s">
        <v>7739</v>
      </c>
      <c r="B5012" s="1" t="s">
        <v>7740</v>
      </c>
      <c r="C5012" s="1" t="s">
        <v>25</v>
      </c>
      <c r="D5012" s="1" t="s">
        <v>19</v>
      </c>
      <c r="E5012" s="1" t="s">
        <v>88</v>
      </c>
      <c r="F5012">
        <v>1</v>
      </c>
      <c r="G5012" s="2">
        <v>45964</v>
      </c>
      <c r="H5012" s="2">
        <v>45965</v>
      </c>
      <c r="I5012">
        <v>263.63</v>
      </c>
      <c r="J5012">
        <v>96.58</v>
      </c>
      <c r="K5012">
        <v>86.92</v>
      </c>
      <c r="L5012">
        <v>9.66</v>
      </c>
      <c r="M5012" s="1" t="s">
        <v>21</v>
      </c>
      <c r="N5012" s="1" t="s">
        <v>22</v>
      </c>
      <c r="O5012" s="2">
        <v>45986</v>
      </c>
      <c r="P5012" s="2">
        <v>45986</v>
      </c>
      <c r="Q5012">
        <f>_xlfn.XLOOKUP(E5012,CPT!$A$2:$A$13,CPT!$D$2:$D$13)</f>
        <v>260</v>
      </c>
      <c r="R5012" s="1">
        <f>_xlfn.XLOOKUP(C5012,Contract!$A$2:$A$9,Contract!$B$2:$B$9)</f>
        <v>0.36</v>
      </c>
      <c r="S5012" s="1">
        <f t="shared" si="312"/>
        <v>93.6</v>
      </c>
      <c r="T5012" s="1">
        <f t="shared" si="313"/>
        <v>-2.980000000000004</v>
      </c>
      <c r="U5012" s="1" t="str">
        <f t="shared" si="314"/>
        <v>OK</v>
      </c>
      <c r="V5012" s="1" t="str">
        <f>_xlfn.XLOOKUP(C5012,Payers!$A$2:$A$9,Payers!$B$2:$B$9)</f>
        <v>Medicare Part B</v>
      </c>
      <c r="W5012" s="1" t="str">
        <f t="shared" si="315"/>
        <v>2025-11</v>
      </c>
    </row>
    <row r="5013" spans="1:23">
      <c r="A5013" s="1" t="s">
        <v>7741</v>
      </c>
      <c r="B5013" s="1" t="s">
        <v>7742</v>
      </c>
      <c r="C5013" s="1" t="s">
        <v>52</v>
      </c>
      <c r="D5013" s="1" t="s">
        <v>26</v>
      </c>
      <c r="E5013" s="1" t="s">
        <v>41</v>
      </c>
      <c r="F5013">
        <v>1</v>
      </c>
      <c r="G5013" s="2">
        <v>45940</v>
      </c>
      <c r="H5013" s="2">
        <v>45943</v>
      </c>
      <c r="I5013">
        <v>38.42</v>
      </c>
      <c r="M5013" s="1" t="s">
        <v>32</v>
      </c>
      <c r="N5013" s="1" t="s">
        <v>124</v>
      </c>
      <c r="O5013" s="2">
        <v>45988</v>
      </c>
      <c r="P5013" s="2"/>
      <c r="Q5013">
        <f>_xlfn.XLOOKUP(E5013,CPT!$A$2:$A$13,CPT!$D$2:$D$13)</f>
        <v>38</v>
      </c>
      <c r="R5013" s="1">
        <f>_xlfn.XLOOKUP(C5013,Contract!$A$2:$A$9,Contract!$B$2:$B$9)</f>
        <v>0.47</v>
      </c>
      <c r="S5013" s="1">
        <f t="shared" si="312"/>
        <v>17.86</v>
      </c>
      <c r="T5013" s="1" t="str">
        <f t="shared" si="313"/>
        <v/>
      </c>
      <c r="U5013" s="1" t="str">
        <f t="shared" si="314"/>
        <v/>
      </c>
      <c r="V5013" s="1" t="str">
        <f>_xlfn.XLOOKUP(C5013,Payers!$A$2:$A$9,Payers!$B$2:$B$9)</f>
        <v>Keystone Commercial PPO</v>
      </c>
      <c r="W5013" s="1" t="str">
        <f t="shared" si="315"/>
        <v>2025-10</v>
      </c>
    </row>
    <row r="5014" spans="1:23">
      <c r="A5014" s="1" t="s">
        <v>7743</v>
      </c>
      <c r="B5014" s="1" t="s">
        <v>2592</v>
      </c>
      <c r="C5014" s="1" t="s">
        <v>52</v>
      </c>
      <c r="D5014" s="1" t="s">
        <v>26</v>
      </c>
      <c r="E5014" s="1" t="s">
        <v>57</v>
      </c>
      <c r="F5014">
        <v>1</v>
      </c>
      <c r="G5014" s="2">
        <v>46053</v>
      </c>
      <c r="H5014" s="2">
        <v>46058</v>
      </c>
      <c r="I5014">
        <v>207.95</v>
      </c>
      <c r="J5014">
        <v>96.92</v>
      </c>
      <c r="K5014">
        <v>77.540000000000006</v>
      </c>
      <c r="L5014">
        <v>19.38</v>
      </c>
      <c r="M5014" s="1" t="s">
        <v>21</v>
      </c>
      <c r="N5014" s="1" t="s">
        <v>22</v>
      </c>
      <c r="O5014" s="2">
        <v>46141</v>
      </c>
      <c r="P5014" s="2">
        <v>46141</v>
      </c>
      <c r="Q5014">
        <f>_xlfn.XLOOKUP(E5014,CPT!$A$2:$A$13,CPT!$D$2:$D$13)</f>
        <v>210</v>
      </c>
      <c r="R5014" s="1">
        <f>_xlfn.XLOOKUP(C5014,Contract!$A$2:$A$9,Contract!$B$2:$B$9)</f>
        <v>0.47</v>
      </c>
      <c r="S5014" s="1">
        <f t="shared" si="312"/>
        <v>98.7</v>
      </c>
      <c r="T5014" s="1">
        <f t="shared" si="313"/>
        <v>1.7800000000000011</v>
      </c>
      <c r="U5014" s="1" t="str">
        <f t="shared" si="314"/>
        <v>OK</v>
      </c>
      <c r="V5014" s="1" t="str">
        <f>_xlfn.XLOOKUP(C5014,Payers!$A$2:$A$9,Payers!$B$2:$B$9)</f>
        <v>Keystone Commercial PPO</v>
      </c>
      <c r="W5014" s="1" t="str">
        <f t="shared" si="315"/>
        <v>2026-01</v>
      </c>
    </row>
    <row r="5015" spans="1:23">
      <c r="A5015" s="1" t="s">
        <v>7744</v>
      </c>
      <c r="B5015" s="1" t="s">
        <v>888</v>
      </c>
      <c r="C5015" s="1" t="s">
        <v>60</v>
      </c>
      <c r="D5015" s="1" t="s">
        <v>19</v>
      </c>
      <c r="E5015" s="1" t="s">
        <v>57</v>
      </c>
      <c r="F5015">
        <v>1</v>
      </c>
      <c r="G5015" s="2">
        <v>46101</v>
      </c>
      <c r="H5015" s="2">
        <v>46110</v>
      </c>
      <c r="I5015">
        <v>214.39</v>
      </c>
      <c r="J5015">
        <v>82.26</v>
      </c>
      <c r="K5015">
        <v>82.26</v>
      </c>
      <c r="L5015">
        <v>0</v>
      </c>
      <c r="M5015" s="1" t="s">
        <v>21</v>
      </c>
      <c r="N5015" s="1" t="s">
        <v>22</v>
      </c>
      <c r="O5015" s="2">
        <v>46134</v>
      </c>
      <c r="P5015" s="2">
        <v>46134</v>
      </c>
      <c r="Q5015">
        <f>_xlfn.XLOOKUP(E5015,CPT!$A$2:$A$13,CPT!$D$2:$D$13)</f>
        <v>210</v>
      </c>
      <c r="R5015" s="1">
        <f>_xlfn.XLOOKUP(C5015,Contract!$A$2:$A$9,Contract!$B$2:$B$9)</f>
        <v>0.45</v>
      </c>
      <c r="S5015" s="1">
        <f t="shared" si="312"/>
        <v>94.5</v>
      </c>
      <c r="T5015" s="1">
        <f t="shared" si="313"/>
        <v>12.239999999999995</v>
      </c>
      <c r="U5015" s="1" t="str">
        <f t="shared" si="314"/>
        <v>Underpaid</v>
      </c>
      <c r="V5015" s="1" t="str">
        <f>_xlfn.XLOOKUP(C5015,Payers!$A$2:$A$9,Payers!$B$2:$B$9)</f>
        <v>Blue Horizon Commercial</v>
      </c>
      <c r="W5015" s="1" t="str">
        <f t="shared" si="315"/>
        <v>2026-03</v>
      </c>
    </row>
    <row r="5016" spans="1:23">
      <c r="A5016" s="1" t="s">
        <v>7745</v>
      </c>
      <c r="B5016" s="1" t="s">
        <v>5378</v>
      </c>
      <c r="C5016" s="1" t="s">
        <v>25</v>
      </c>
      <c r="D5016" s="1" t="s">
        <v>30</v>
      </c>
      <c r="E5016" s="1" t="s">
        <v>91</v>
      </c>
      <c r="F5016">
        <v>3</v>
      </c>
      <c r="G5016" s="2">
        <v>46258</v>
      </c>
      <c r="H5016" s="2">
        <v>46260</v>
      </c>
      <c r="I5016">
        <v>168.86</v>
      </c>
      <c r="J5016">
        <v>55.49</v>
      </c>
      <c r="K5016">
        <v>44.39</v>
      </c>
      <c r="L5016">
        <v>11.1</v>
      </c>
      <c r="M5016" s="1" t="s">
        <v>21</v>
      </c>
      <c r="N5016" s="1" t="s">
        <v>22</v>
      </c>
      <c r="O5016" s="2">
        <v>46277</v>
      </c>
      <c r="P5016" s="2">
        <v>46277</v>
      </c>
      <c r="Q5016">
        <f>_xlfn.XLOOKUP(E5016,CPT!$A$2:$A$13,CPT!$D$2:$D$13)</f>
        <v>58</v>
      </c>
      <c r="R5016" s="1">
        <f>_xlfn.XLOOKUP(C5016,Contract!$A$2:$A$9,Contract!$B$2:$B$9)</f>
        <v>0.36</v>
      </c>
      <c r="S5016" s="1">
        <f t="shared" si="312"/>
        <v>62.64</v>
      </c>
      <c r="T5016" s="1">
        <f t="shared" si="313"/>
        <v>7.1499999999999986</v>
      </c>
      <c r="U5016" s="1" t="str">
        <f t="shared" si="314"/>
        <v>Underpaid</v>
      </c>
      <c r="V5016" s="1" t="str">
        <f>_xlfn.XLOOKUP(C5016,Payers!$A$2:$A$9,Payers!$B$2:$B$9)</f>
        <v>Medicare Part B</v>
      </c>
      <c r="W5016" s="1" t="str">
        <f t="shared" si="315"/>
        <v>2026-08</v>
      </c>
    </row>
    <row r="5017" spans="1:23">
      <c r="A5017" s="1" t="s">
        <v>7746</v>
      </c>
      <c r="B5017" s="1" t="s">
        <v>5814</v>
      </c>
      <c r="C5017" s="1" t="s">
        <v>76</v>
      </c>
      <c r="D5017" s="1" t="s">
        <v>37</v>
      </c>
      <c r="E5017" s="1" t="s">
        <v>57</v>
      </c>
      <c r="F5017">
        <v>1</v>
      </c>
      <c r="G5017" s="2">
        <v>46014</v>
      </c>
      <c r="H5017" s="2">
        <v>46015</v>
      </c>
      <c r="I5017">
        <v>206</v>
      </c>
      <c r="J5017">
        <v>91.53</v>
      </c>
      <c r="K5017">
        <v>91.53</v>
      </c>
      <c r="L5017">
        <v>0</v>
      </c>
      <c r="M5017" s="1" t="s">
        <v>21</v>
      </c>
      <c r="N5017" s="1" t="s">
        <v>22</v>
      </c>
      <c r="O5017" s="2">
        <v>46047</v>
      </c>
      <c r="P5017" s="2">
        <v>46047</v>
      </c>
      <c r="Q5017">
        <f>_xlfn.XLOOKUP(E5017,CPT!$A$2:$A$13,CPT!$D$2:$D$13)</f>
        <v>210</v>
      </c>
      <c r="R5017" s="1">
        <f>_xlfn.XLOOKUP(C5017,Contract!$A$2:$A$9,Contract!$B$2:$B$9)</f>
        <v>0.43</v>
      </c>
      <c r="S5017" s="1">
        <f t="shared" si="312"/>
        <v>90.3</v>
      </c>
      <c r="T5017" s="1">
        <f t="shared" si="313"/>
        <v>-1.230000000000004</v>
      </c>
      <c r="U5017" s="1" t="str">
        <f t="shared" si="314"/>
        <v>OK</v>
      </c>
      <c r="V5017" s="1" t="str">
        <f>_xlfn.XLOOKUP(C5017,Payers!$A$2:$A$9,Payers!$B$2:$B$9)</f>
        <v>Summit Health Commercial</v>
      </c>
      <c r="W5017" s="1" t="str">
        <f t="shared" si="315"/>
        <v>2025-12</v>
      </c>
    </row>
    <row r="5018" spans="1:23">
      <c r="A5018" s="1" t="s">
        <v>7747</v>
      </c>
      <c r="B5018" s="1" t="s">
        <v>6193</v>
      </c>
      <c r="C5018" s="1" t="s">
        <v>18</v>
      </c>
      <c r="D5018" s="1" t="s">
        <v>30</v>
      </c>
      <c r="E5018" s="1" t="s">
        <v>31</v>
      </c>
      <c r="F5018">
        <v>4</v>
      </c>
      <c r="G5018" s="2">
        <v>45937</v>
      </c>
      <c r="H5018" s="2">
        <v>45942</v>
      </c>
      <c r="I5018">
        <v>242.8</v>
      </c>
      <c r="J5018">
        <v>107.31</v>
      </c>
      <c r="K5018">
        <v>85.85</v>
      </c>
      <c r="L5018">
        <v>21.46</v>
      </c>
      <c r="M5018" s="1" t="s">
        <v>21</v>
      </c>
      <c r="N5018" s="1" t="s">
        <v>22</v>
      </c>
      <c r="O5018" s="2">
        <v>46002</v>
      </c>
      <c r="P5018" s="2">
        <v>46002</v>
      </c>
      <c r="Q5018">
        <f>_xlfn.XLOOKUP(E5018,CPT!$A$2:$A$13,CPT!$D$2:$D$13)</f>
        <v>62</v>
      </c>
      <c r="R5018" s="1">
        <f>_xlfn.XLOOKUP(C5018,Contract!$A$2:$A$9,Contract!$B$2:$B$9)</f>
        <v>0.38</v>
      </c>
      <c r="S5018" s="1">
        <f t="shared" si="312"/>
        <v>94.24</v>
      </c>
      <c r="T5018" s="1">
        <f t="shared" si="313"/>
        <v>-13.070000000000007</v>
      </c>
      <c r="U5018" s="1" t="str">
        <f t="shared" si="314"/>
        <v>OK</v>
      </c>
      <c r="V5018" s="1" t="str">
        <f>_xlfn.XLOOKUP(C5018,Payers!$A$2:$A$9,Payers!$B$2:$B$9)</f>
        <v>Sunshine Medicare Advantage</v>
      </c>
      <c r="W5018" s="1" t="str">
        <f t="shared" si="315"/>
        <v>2025-10</v>
      </c>
    </row>
    <row r="5019" spans="1:23">
      <c r="A5019" s="1" t="s">
        <v>7748</v>
      </c>
      <c r="B5019" s="1" t="s">
        <v>4874</v>
      </c>
      <c r="C5019" s="1" t="s">
        <v>76</v>
      </c>
      <c r="D5019" s="1" t="s">
        <v>26</v>
      </c>
      <c r="E5019" s="1" t="s">
        <v>185</v>
      </c>
      <c r="F5019">
        <v>1</v>
      </c>
      <c r="G5019" s="2">
        <v>46038</v>
      </c>
      <c r="H5019" s="2">
        <v>46039</v>
      </c>
      <c r="I5019">
        <v>1140.26</v>
      </c>
      <c r="M5019" s="1" t="s">
        <v>32</v>
      </c>
      <c r="N5019" s="1" t="s">
        <v>315</v>
      </c>
      <c r="O5019" s="2">
        <v>46084</v>
      </c>
      <c r="P5019" s="2"/>
      <c r="Q5019">
        <f>_xlfn.XLOOKUP(E5019,CPT!$A$2:$A$13,CPT!$D$2:$D$13)</f>
        <v>1150</v>
      </c>
      <c r="R5019" s="1">
        <f>_xlfn.XLOOKUP(C5019,Contract!$A$2:$A$9,Contract!$B$2:$B$9)</f>
        <v>0.43</v>
      </c>
      <c r="S5019" s="1">
        <f t="shared" si="312"/>
        <v>494.5</v>
      </c>
      <c r="T5019" s="1" t="str">
        <f t="shared" si="313"/>
        <v/>
      </c>
      <c r="U5019" s="1" t="str">
        <f t="shared" si="314"/>
        <v/>
      </c>
      <c r="V5019" s="1" t="str">
        <f>_xlfn.XLOOKUP(C5019,Payers!$A$2:$A$9,Payers!$B$2:$B$9)</f>
        <v>Summit Health Commercial</v>
      </c>
      <c r="W5019" s="1" t="str">
        <f t="shared" si="315"/>
        <v>2026-01</v>
      </c>
    </row>
    <row r="5020" spans="1:23">
      <c r="A5020" s="1" t="s">
        <v>7749</v>
      </c>
      <c r="B5020" s="1" t="s">
        <v>7750</v>
      </c>
      <c r="C5020" s="1" t="s">
        <v>76</v>
      </c>
      <c r="D5020" s="1" t="s">
        <v>19</v>
      </c>
      <c r="E5020" s="1" t="s">
        <v>57</v>
      </c>
      <c r="F5020">
        <v>1</v>
      </c>
      <c r="G5020" s="2">
        <v>46104</v>
      </c>
      <c r="H5020" s="2">
        <v>46110</v>
      </c>
      <c r="I5020">
        <v>210.1</v>
      </c>
      <c r="J5020">
        <v>93.07</v>
      </c>
      <c r="K5020">
        <v>83.76</v>
      </c>
      <c r="L5020">
        <v>9.31</v>
      </c>
      <c r="M5020" s="1" t="s">
        <v>21</v>
      </c>
      <c r="N5020" s="1" t="s">
        <v>22</v>
      </c>
      <c r="O5020" s="2">
        <v>46133</v>
      </c>
      <c r="P5020" s="2">
        <v>46133</v>
      </c>
      <c r="Q5020">
        <f>_xlfn.XLOOKUP(E5020,CPT!$A$2:$A$13,CPT!$D$2:$D$13)</f>
        <v>210</v>
      </c>
      <c r="R5020" s="1">
        <f>_xlfn.XLOOKUP(C5020,Contract!$A$2:$A$9,Contract!$B$2:$B$9)</f>
        <v>0.43</v>
      </c>
      <c r="S5020" s="1">
        <f t="shared" si="312"/>
        <v>90.3</v>
      </c>
      <c r="T5020" s="1">
        <f t="shared" si="313"/>
        <v>-2.769999999999996</v>
      </c>
      <c r="U5020" s="1" t="str">
        <f t="shared" si="314"/>
        <v>OK</v>
      </c>
      <c r="V5020" s="1" t="str">
        <f>_xlfn.XLOOKUP(C5020,Payers!$A$2:$A$9,Payers!$B$2:$B$9)</f>
        <v>Summit Health Commercial</v>
      </c>
      <c r="W5020" s="1" t="str">
        <f t="shared" si="315"/>
        <v>2026-03</v>
      </c>
    </row>
    <row r="5021" spans="1:23">
      <c r="A5021" s="1" t="s">
        <v>7751</v>
      </c>
      <c r="B5021" s="1" t="s">
        <v>6805</v>
      </c>
      <c r="C5021" s="1" t="s">
        <v>18</v>
      </c>
      <c r="D5021" s="1" t="s">
        <v>37</v>
      </c>
      <c r="E5021" s="1" t="s">
        <v>38</v>
      </c>
      <c r="F5021">
        <v>20</v>
      </c>
      <c r="G5021" s="2">
        <v>46089</v>
      </c>
      <c r="H5021" s="2">
        <v>46095</v>
      </c>
      <c r="I5021">
        <v>29524.29</v>
      </c>
      <c r="M5021" s="1" t="s">
        <v>32</v>
      </c>
      <c r="N5021" s="1" t="s">
        <v>315</v>
      </c>
      <c r="O5021" s="2">
        <v>46136</v>
      </c>
      <c r="P5021" s="2"/>
      <c r="Q5021">
        <f>_xlfn.XLOOKUP(E5021,CPT!$A$2:$A$13,CPT!$D$2:$D$13)</f>
        <v>1450</v>
      </c>
      <c r="R5021" s="1">
        <f>_xlfn.XLOOKUP(C5021,Contract!$A$2:$A$9,Contract!$B$2:$B$9)</f>
        <v>0.38</v>
      </c>
      <c r="S5021" s="1">
        <f t="shared" si="312"/>
        <v>11020</v>
      </c>
      <c r="T5021" s="1" t="str">
        <f t="shared" si="313"/>
        <v/>
      </c>
      <c r="U5021" s="1" t="str">
        <f t="shared" si="314"/>
        <v/>
      </c>
      <c r="V5021" s="1" t="str">
        <f>_xlfn.XLOOKUP(C5021,Payers!$A$2:$A$9,Payers!$B$2:$B$9)</f>
        <v>Sunshine Medicare Advantage</v>
      </c>
      <c r="W5021" s="1" t="str">
        <f t="shared" si="315"/>
        <v>2026-03</v>
      </c>
    </row>
    <row r="5022" spans="1:23">
      <c r="A5022" s="1" t="s">
        <v>7752</v>
      </c>
      <c r="B5022" s="1" t="s">
        <v>7753</v>
      </c>
      <c r="C5022" s="1" t="s">
        <v>60</v>
      </c>
      <c r="D5022" s="1" t="s">
        <v>30</v>
      </c>
      <c r="E5022" s="1" t="s">
        <v>20</v>
      </c>
      <c r="F5022">
        <v>1</v>
      </c>
      <c r="G5022" s="2">
        <v>46188</v>
      </c>
      <c r="H5022" s="2">
        <v>46191</v>
      </c>
      <c r="I5022">
        <v>146.28</v>
      </c>
      <c r="J5022">
        <v>64.16</v>
      </c>
      <c r="K5022">
        <v>64.16</v>
      </c>
      <c r="L5022">
        <v>0</v>
      </c>
      <c r="M5022" s="1" t="s">
        <v>21</v>
      </c>
      <c r="N5022" s="1" t="s">
        <v>22</v>
      </c>
      <c r="O5022" s="2">
        <v>46220</v>
      </c>
      <c r="P5022" s="2">
        <v>46220</v>
      </c>
      <c r="Q5022">
        <f>_xlfn.XLOOKUP(E5022,CPT!$A$2:$A$13,CPT!$D$2:$D$13)</f>
        <v>145</v>
      </c>
      <c r="R5022" s="1">
        <f>_xlfn.XLOOKUP(C5022,Contract!$A$2:$A$9,Contract!$B$2:$B$9)</f>
        <v>0.45</v>
      </c>
      <c r="S5022" s="1">
        <f t="shared" si="312"/>
        <v>65.25</v>
      </c>
      <c r="T5022" s="1">
        <f t="shared" si="313"/>
        <v>1.0900000000000034</v>
      </c>
      <c r="U5022" s="1" t="str">
        <f t="shared" si="314"/>
        <v>OK</v>
      </c>
      <c r="V5022" s="1" t="str">
        <f>_xlfn.XLOOKUP(C5022,Payers!$A$2:$A$9,Payers!$B$2:$B$9)</f>
        <v>Blue Horizon Commercial</v>
      </c>
      <c r="W5022" s="1" t="str">
        <f t="shared" si="315"/>
        <v>2026-06</v>
      </c>
    </row>
    <row r="5023" spans="1:23">
      <c r="A5023" s="1" t="s">
        <v>7754</v>
      </c>
      <c r="B5023" s="1" t="s">
        <v>7755</v>
      </c>
      <c r="C5023" s="1" t="s">
        <v>25</v>
      </c>
      <c r="D5023" s="1" t="s">
        <v>19</v>
      </c>
      <c r="E5023" s="1" t="s">
        <v>20</v>
      </c>
      <c r="F5023">
        <v>1</v>
      </c>
      <c r="G5023" s="2">
        <v>45980</v>
      </c>
      <c r="H5023" s="2">
        <v>45986</v>
      </c>
      <c r="I5023">
        <v>143.6</v>
      </c>
      <c r="J5023">
        <v>46.42</v>
      </c>
      <c r="K5023">
        <v>37.14</v>
      </c>
      <c r="L5023">
        <v>9.2799999999999994</v>
      </c>
      <c r="M5023" s="1" t="s">
        <v>21</v>
      </c>
      <c r="N5023" s="1" t="s">
        <v>22</v>
      </c>
      <c r="O5023" s="2">
        <v>46013</v>
      </c>
      <c r="P5023" s="2">
        <v>46013</v>
      </c>
      <c r="Q5023">
        <f>_xlfn.XLOOKUP(E5023,CPT!$A$2:$A$13,CPT!$D$2:$D$13)</f>
        <v>145</v>
      </c>
      <c r="R5023" s="1">
        <f>_xlfn.XLOOKUP(C5023,Contract!$A$2:$A$9,Contract!$B$2:$B$9)</f>
        <v>0.36</v>
      </c>
      <c r="S5023" s="1">
        <f t="shared" si="312"/>
        <v>52.2</v>
      </c>
      <c r="T5023" s="1">
        <f t="shared" si="313"/>
        <v>5.7800000000000011</v>
      </c>
      <c r="U5023" s="1" t="str">
        <f t="shared" si="314"/>
        <v>Underpaid</v>
      </c>
      <c r="V5023" s="1" t="str">
        <f>_xlfn.XLOOKUP(C5023,Payers!$A$2:$A$9,Payers!$B$2:$B$9)</f>
        <v>Medicare Part B</v>
      </c>
      <c r="W5023" s="1" t="str">
        <f t="shared" si="315"/>
        <v>2025-11</v>
      </c>
    </row>
    <row r="5024" spans="1:23">
      <c r="A5024" s="1" t="s">
        <v>7756</v>
      </c>
      <c r="B5024" s="1" t="s">
        <v>7757</v>
      </c>
      <c r="C5024" s="1" t="s">
        <v>18</v>
      </c>
      <c r="D5024" s="1" t="s">
        <v>26</v>
      </c>
      <c r="E5024" s="1" t="s">
        <v>185</v>
      </c>
      <c r="F5024">
        <v>1</v>
      </c>
      <c r="G5024" s="2">
        <v>46063</v>
      </c>
      <c r="H5024" s="2">
        <v>46064</v>
      </c>
      <c r="I5024">
        <v>1161.51</v>
      </c>
      <c r="J5024">
        <v>503.99</v>
      </c>
      <c r="K5024">
        <v>403.19</v>
      </c>
      <c r="L5024">
        <v>100.8</v>
      </c>
      <c r="M5024" s="1" t="s">
        <v>21</v>
      </c>
      <c r="N5024" s="1" t="s">
        <v>22</v>
      </c>
      <c r="O5024" s="2">
        <v>46115</v>
      </c>
      <c r="P5024" s="2">
        <v>46115</v>
      </c>
      <c r="Q5024">
        <f>_xlfn.XLOOKUP(E5024,CPT!$A$2:$A$13,CPT!$D$2:$D$13)</f>
        <v>1150</v>
      </c>
      <c r="R5024" s="1">
        <f>_xlfn.XLOOKUP(C5024,Contract!$A$2:$A$9,Contract!$B$2:$B$9)</f>
        <v>0.38</v>
      </c>
      <c r="S5024" s="1">
        <f t="shared" si="312"/>
        <v>437</v>
      </c>
      <c r="T5024" s="1">
        <f t="shared" si="313"/>
        <v>-66.990000000000009</v>
      </c>
      <c r="U5024" s="1" t="str">
        <f t="shared" si="314"/>
        <v>OK</v>
      </c>
      <c r="V5024" s="1" t="str">
        <f>_xlfn.XLOOKUP(C5024,Payers!$A$2:$A$9,Payers!$B$2:$B$9)</f>
        <v>Sunshine Medicare Advantage</v>
      </c>
      <c r="W5024" s="1" t="str">
        <f t="shared" si="315"/>
        <v>2026-02</v>
      </c>
    </row>
    <row r="5025" spans="1:23">
      <c r="A5025" s="1" t="s">
        <v>7758</v>
      </c>
      <c r="B5025" s="1" t="s">
        <v>492</v>
      </c>
      <c r="C5025" s="1" t="s">
        <v>76</v>
      </c>
      <c r="D5025" s="1" t="s">
        <v>37</v>
      </c>
      <c r="E5025" s="1" t="s">
        <v>48</v>
      </c>
      <c r="F5025">
        <v>1</v>
      </c>
      <c r="G5025" s="2">
        <v>45979</v>
      </c>
      <c r="H5025" s="2">
        <v>45990</v>
      </c>
      <c r="I5025">
        <v>432.03</v>
      </c>
      <c r="J5025">
        <v>195.28</v>
      </c>
      <c r="K5025">
        <v>175.75</v>
      </c>
      <c r="L5025">
        <v>19.53</v>
      </c>
      <c r="M5025" s="1" t="s">
        <v>21</v>
      </c>
      <c r="N5025" s="1" t="s">
        <v>22</v>
      </c>
      <c r="O5025" s="2">
        <v>46024</v>
      </c>
      <c r="P5025" s="2">
        <v>46024</v>
      </c>
      <c r="Q5025">
        <f>_xlfn.XLOOKUP(E5025,CPT!$A$2:$A$13,CPT!$D$2:$D$13)</f>
        <v>420</v>
      </c>
      <c r="R5025" s="1">
        <f>_xlfn.XLOOKUP(C5025,Contract!$A$2:$A$9,Contract!$B$2:$B$9)</f>
        <v>0.43</v>
      </c>
      <c r="S5025" s="1">
        <f t="shared" si="312"/>
        <v>180.6</v>
      </c>
      <c r="T5025" s="1">
        <f t="shared" si="313"/>
        <v>-14.680000000000007</v>
      </c>
      <c r="U5025" s="1" t="str">
        <f t="shared" si="314"/>
        <v>OK</v>
      </c>
      <c r="V5025" s="1" t="str">
        <f>_xlfn.XLOOKUP(C5025,Payers!$A$2:$A$9,Payers!$B$2:$B$9)</f>
        <v>Summit Health Commercial</v>
      </c>
      <c r="W5025" s="1" t="str">
        <f t="shared" si="315"/>
        <v>2025-11</v>
      </c>
    </row>
    <row r="5026" spans="1:23">
      <c r="A5026" s="1" t="s">
        <v>7759</v>
      </c>
      <c r="B5026" s="1" t="s">
        <v>6694</v>
      </c>
      <c r="C5026" s="1" t="s">
        <v>76</v>
      </c>
      <c r="D5026" s="1" t="s">
        <v>30</v>
      </c>
      <c r="E5026" s="1" t="s">
        <v>91</v>
      </c>
      <c r="F5026">
        <v>1</v>
      </c>
      <c r="G5026" s="2">
        <v>46046</v>
      </c>
      <c r="H5026" s="2">
        <v>46049</v>
      </c>
      <c r="I5026">
        <v>56.61</v>
      </c>
      <c r="J5026">
        <v>21.67</v>
      </c>
      <c r="K5026">
        <v>19.5</v>
      </c>
      <c r="L5026">
        <v>2.17</v>
      </c>
      <c r="M5026" s="1" t="s">
        <v>21</v>
      </c>
      <c r="N5026" s="1" t="s">
        <v>22</v>
      </c>
      <c r="O5026" s="2">
        <v>46074</v>
      </c>
      <c r="P5026" s="2">
        <v>46074</v>
      </c>
      <c r="Q5026">
        <f>_xlfn.XLOOKUP(E5026,CPT!$A$2:$A$13,CPT!$D$2:$D$13)</f>
        <v>58</v>
      </c>
      <c r="R5026" s="1">
        <f>_xlfn.XLOOKUP(C5026,Contract!$A$2:$A$9,Contract!$B$2:$B$9)</f>
        <v>0.43</v>
      </c>
      <c r="S5026" s="1">
        <f t="shared" si="312"/>
        <v>24.94</v>
      </c>
      <c r="T5026" s="1">
        <f t="shared" si="313"/>
        <v>3.2699999999999996</v>
      </c>
      <c r="U5026" s="1" t="str">
        <f t="shared" si="314"/>
        <v>Underpaid</v>
      </c>
      <c r="V5026" s="1" t="str">
        <f>_xlfn.XLOOKUP(C5026,Payers!$A$2:$A$9,Payers!$B$2:$B$9)</f>
        <v>Summit Health Commercial</v>
      </c>
      <c r="W5026" s="1" t="str">
        <f t="shared" si="315"/>
        <v>2026-01</v>
      </c>
    </row>
    <row r="5027" spans="1:23">
      <c r="A5027" s="1" t="s">
        <v>7760</v>
      </c>
      <c r="B5027" s="1" t="s">
        <v>5765</v>
      </c>
      <c r="C5027" s="1" t="s">
        <v>76</v>
      </c>
      <c r="D5027" s="1" t="s">
        <v>30</v>
      </c>
      <c r="E5027" s="1" t="s">
        <v>31</v>
      </c>
      <c r="F5027">
        <v>1</v>
      </c>
      <c r="G5027" s="2">
        <v>46203</v>
      </c>
      <c r="H5027" s="2">
        <v>46216</v>
      </c>
      <c r="I5027">
        <v>60.72</v>
      </c>
      <c r="M5027" s="1" t="s">
        <v>32</v>
      </c>
      <c r="N5027" s="1" t="s">
        <v>281</v>
      </c>
      <c r="O5027" s="2">
        <v>46245</v>
      </c>
      <c r="P5027" s="2"/>
      <c r="Q5027">
        <f>_xlfn.XLOOKUP(E5027,CPT!$A$2:$A$13,CPT!$D$2:$D$13)</f>
        <v>62</v>
      </c>
      <c r="R5027" s="1">
        <f>_xlfn.XLOOKUP(C5027,Contract!$A$2:$A$9,Contract!$B$2:$B$9)</f>
        <v>0.43</v>
      </c>
      <c r="S5027" s="1">
        <f t="shared" si="312"/>
        <v>26.66</v>
      </c>
      <c r="T5027" s="1" t="str">
        <f t="shared" si="313"/>
        <v/>
      </c>
      <c r="U5027" s="1" t="str">
        <f t="shared" si="314"/>
        <v/>
      </c>
      <c r="V5027" s="1" t="str">
        <f>_xlfn.XLOOKUP(C5027,Payers!$A$2:$A$9,Payers!$B$2:$B$9)</f>
        <v>Summit Health Commercial</v>
      </c>
      <c r="W5027" s="1" t="str">
        <f t="shared" si="315"/>
        <v>2026-06</v>
      </c>
    </row>
    <row r="5028" spans="1:23">
      <c r="A5028" s="1" t="s">
        <v>7761</v>
      </c>
      <c r="B5028" s="1" t="s">
        <v>7762</v>
      </c>
      <c r="C5028" s="1" t="s">
        <v>18</v>
      </c>
      <c r="D5028" s="1" t="s">
        <v>19</v>
      </c>
      <c r="E5028" s="1" t="s">
        <v>88</v>
      </c>
      <c r="F5028">
        <v>1</v>
      </c>
      <c r="G5028" s="2">
        <v>46152</v>
      </c>
      <c r="H5028" s="2">
        <v>46154</v>
      </c>
      <c r="I5028">
        <v>253.51</v>
      </c>
      <c r="J5028">
        <v>102.5</v>
      </c>
      <c r="K5028">
        <v>92.25</v>
      </c>
      <c r="L5028">
        <v>10.25</v>
      </c>
      <c r="M5028" s="1" t="s">
        <v>21</v>
      </c>
      <c r="N5028" s="1" t="s">
        <v>22</v>
      </c>
      <c r="O5028" s="2">
        <v>46210</v>
      </c>
      <c r="P5028" s="2">
        <v>46210</v>
      </c>
      <c r="Q5028">
        <f>_xlfn.XLOOKUP(E5028,CPT!$A$2:$A$13,CPT!$D$2:$D$13)</f>
        <v>260</v>
      </c>
      <c r="R5028" s="1">
        <f>_xlfn.XLOOKUP(C5028,Contract!$A$2:$A$9,Contract!$B$2:$B$9)</f>
        <v>0.38</v>
      </c>
      <c r="S5028" s="1">
        <f t="shared" si="312"/>
        <v>98.8</v>
      </c>
      <c r="T5028" s="1">
        <f t="shared" si="313"/>
        <v>-3.7000000000000028</v>
      </c>
      <c r="U5028" s="1" t="str">
        <f t="shared" si="314"/>
        <v>OK</v>
      </c>
      <c r="V5028" s="1" t="str">
        <f>_xlfn.XLOOKUP(C5028,Payers!$A$2:$A$9,Payers!$B$2:$B$9)</f>
        <v>Sunshine Medicare Advantage</v>
      </c>
      <c r="W5028" s="1" t="str">
        <f t="shared" si="315"/>
        <v>2026-05</v>
      </c>
    </row>
    <row r="5029" spans="1:23">
      <c r="A5029" s="1" t="s">
        <v>7763</v>
      </c>
      <c r="B5029" s="1" t="s">
        <v>7764</v>
      </c>
      <c r="C5029" s="1" t="s">
        <v>36</v>
      </c>
      <c r="D5029" s="1" t="s">
        <v>26</v>
      </c>
      <c r="E5029" s="1" t="s">
        <v>113</v>
      </c>
      <c r="F5029">
        <v>1</v>
      </c>
      <c r="G5029" s="2">
        <v>46127</v>
      </c>
      <c r="H5029" s="2">
        <v>46133</v>
      </c>
      <c r="I5029">
        <v>1055.1300000000001</v>
      </c>
      <c r="M5029" s="1" t="s">
        <v>32</v>
      </c>
      <c r="N5029" s="1" t="s">
        <v>49</v>
      </c>
      <c r="O5029" s="2">
        <v>46199</v>
      </c>
      <c r="P5029" s="2"/>
      <c r="Q5029">
        <f>_xlfn.XLOOKUP(E5029,CPT!$A$2:$A$13,CPT!$D$2:$D$13)</f>
        <v>1050</v>
      </c>
      <c r="R5029" s="1">
        <f>_xlfn.XLOOKUP(C5029,Contract!$A$2:$A$9,Contract!$B$2:$B$9)</f>
        <v>0.27</v>
      </c>
      <c r="S5029" s="1">
        <f t="shared" si="312"/>
        <v>283.5</v>
      </c>
      <c r="T5029" s="1" t="str">
        <f t="shared" si="313"/>
        <v/>
      </c>
      <c r="U5029" s="1" t="str">
        <f t="shared" si="314"/>
        <v/>
      </c>
      <c r="V5029" s="1" t="str">
        <f>_xlfn.XLOOKUP(C5029,Payers!$A$2:$A$9,Payers!$B$2:$B$9)</f>
        <v>Florida Medicaid</v>
      </c>
      <c r="W5029" s="1" t="str">
        <f t="shared" si="315"/>
        <v>2026-04</v>
      </c>
    </row>
    <row r="5030" spans="1:23">
      <c r="A5030" s="1" t="s">
        <v>7765</v>
      </c>
      <c r="B5030" s="1" t="s">
        <v>7766</v>
      </c>
      <c r="C5030" s="1" t="s">
        <v>25</v>
      </c>
      <c r="D5030" s="1" t="s">
        <v>26</v>
      </c>
      <c r="E5030" s="1" t="s">
        <v>185</v>
      </c>
      <c r="F5030">
        <v>1</v>
      </c>
      <c r="G5030" s="2">
        <v>46045</v>
      </c>
      <c r="H5030" s="2">
        <v>46058</v>
      </c>
      <c r="I5030">
        <v>1179.3800000000001</v>
      </c>
      <c r="J5030">
        <v>442.96</v>
      </c>
      <c r="K5030">
        <v>442.96</v>
      </c>
      <c r="L5030">
        <v>0</v>
      </c>
      <c r="M5030" s="1" t="s">
        <v>21</v>
      </c>
      <c r="N5030" s="1" t="s">
        <v>22</v>
      </c>
      <c r="O5030" s="2">
        <v>46071</v>
      </c>
      <c r="P5030" s="2">
        <v>46071</v>
      </c>
      <c r="Q5030">
        <f>_xlfn.XLOOKUP(E5030,CPT!$A$2:$A$13,CPT!$D$2:$D$13)</f>
        <v>1150</v>
      </c>
      <c r="R5030" s="1">
        <f>_xlfn.XLOOKUP(C5030,Contract!$A$2:$A$9,Contract!$B$2:$B$9)</f>
        <v>0.36</v>
      </c>
      <c r="S5030" s="1">
        <f t="shared" si="312"/>
        <v>414</v>
      </c>
      <c r="T5030" s="1">
        <f t="shared" si="313"/>
        <v>-28.95999999999998</v>
      </c>
      <c r="U5030" s="1" t="str">
        <f t="shared" si="314"/>
        <v>OK</v>
      </c>
      <c r="V5030" s="1" t="str">
        <f>_xlfn.XLOOKUP(C5030,Payers!$A$2:$A$9,Payers!$B$2:$B$9)</f>
        <v>Medicare Part B</v>
      </c>
      <c r="W5030" s="1" t="str">
        <f t="shared" si="315"/>
        <v>2026-01</v>
      </c>
    </row>
    <row r="5031" spans="1:23">
      <c r="A5031" s="1" t="s">
        <v>7767</v>
      </c>
      <c r="B5031" s="1" t="s">
        <v>155</v>
      </c>
      <c r="C5031" s="1" t="s">
        <v>18</v>
      </c>
      <c r="D5031" s="1" t="s">
        <v>37</v>
      </c>
      <c r="E5031" s="1" t="s">
        <v>38</v>
      </c>
      <c r="F5031">
        <v>30</v>
      </c>
      <c r="G5031" s="2">
        <v>46283</v>
      </c>
      <c r="H5031" s="2">
        <v>46285</v>
      </c>
      <c r="I5031">
        <v>43363.45</v>
      </c>
      <c r="M5031" s="1" t="s">
        <v>69</v>
      </c>
      <c r="N5031" s="1" t="s">
        <v>22</v>
      </c>
      <c r="O5031" s="2"/>
      <c r="P5031" s="2"/>
      <c r="Q5031">
        <f>_xlfn.XLOOKUP(E5031,CPT!$A$2:$A$13,CPT!$D$2:$D$13)</f>
        <v>1450</v>
      </c>
      <c r="R5031" s="1">
        <f>_xlfn.XLOOKUP(C5031,Contract!$A$2:$A$9,Contract!$B$2:$B$9)</f>
        <v>0.38</v>
      </c>
      <c r="S5031" s="1">
        <f t="shared" si="312"/>
        <v>16530</v>
      </c>
      <c r="T5031" s="1" t="str">
        <f t="shared" si="313"/>
        <v/>
      </c>
      <c r="U5031" s="1" t="str">
        <f t="shared" si="314"/>
        <v/>
      </c>
      <c r="V5031" s="1" t="str">
        <f>_xlfn.XLOOKUP(C5031,Payers!$A$2:$A$9,Payers!$B$2:$B$9)</f>
        <v>Sunshine Medicare Advantage</v>
      </c>
      <c r="W5031" s="1" t="str">
        <f t="shared" si="315"/>
        <v>2026-09</v>
      </c>
    </row>
    <row r="5032" spans="1:23">
      <c r="A5032" s="1" t="s">
        <v>7768</v>
      </c>
      <c r="B5032" s="1" t="s">
        <v>6313</v>
      </c>
      <c r="C5032" s="1" t="s">
        <v>36</v>
      </c>
      <c r="D5032" s="1" t="s">
        <v>19</v>
      </c>
      <c r="E5032" s="1" t="s">
        <v>41</v>
      </c>
      <c r="F5032">
        <v>1</v>
      </c>
      <c r="G5032" s="2">
        <v>46161</v>
      </c>
      <c r="H5032" s="2">
        <v>46162</v>
      </c>
      <c r="I5032">
        <v>37.31</v>
      </c>
      <c r="M5032" s="1" t="s">
        <v>32</v>
      </c>
      <c r="N5032" s="1" t="s">
        <v>33</v>
      </c>
      <c r="O5032" s="2">
        <v>46195</v>
      </c>
      <c r="P5032" s="2"/>
      <c r="Q5032">
        <f>_xlfn.XLOOKUP(E5032,CPT!$A$2:$A$13,CPT!$D$2:$D$13)</f>
        <v>38</v>
      </c>
      <c r="R5032" s="1">
        <f>_xlfn.XLOOKUP(C5032,Contract!$A$2:$A$9,Contract!$B$2:$B$9)</f>
        <v>0.27</v>
      </c>
      <c r="S5032" s="1">
        <f t="shared" si="312"/>
        <v>10.26</v>
      </c>
      <c r="T5032" s="1" t="str">
        <f t="shared" si="313"/>
        <v/>
      </c>
      <c r="U5032" s="1" t="str">
        <f t="shared" si="314"/>
        <v/>
      </c>
      <c r="V5032" s="1" t="str">
        <f>_xlfn.XLOOKUP(C5032,Payers!$A$2:$A$9,Payers!$B$2:$B$9)</f>
        <v>Florida Medicaid</v>
      </c>
      <c r="W5032" s="1" t="str">
        <f t="shared" si="315"/>
        <v>2026-05</v>
      </c>
    </row>
    <row r="5033" spans="1:23">
      <c r="A5033" s="1" t="s">
        <v>7769</v>
      </c>
      <c r="B5033" s="1" t="s">
        <v>5575</v>
      </c>
      <c r="C5033" s="1" t="s">
        <v>18</v>
      </c>
      <c r="D5033" s="1" t="s">
        <v>30</v>
      </c>
      <c r="E5033" s="1" t="s">
        <v>91</v>
      </c>
      <c r="F5033">
        <v>4</v>
      </c>
      <c r="G5033" s="2">
        <v>46186</v>
      </c>
      <c r="H5033" s="2">
        <v>46192</v>
      </c>
      <c r="I5033">
        <v>226.18</v>
      </c>
      <c r="M5033" s="1" t="s">
        <v>32</v>
      </c>
      <c r="N5033" s="1" t="s">
        <v>33</v>
      </c>
      <c r="O5033" s="2">
        <v>46236</v>
      </c>
      <c r="P5033" s="2"/>
      <c r="Q5033">
        <f>_xlfn.XLOOKUP(E5033,CPT!$A$2:$A$13,CPT!$D$2:$D$13)</f>
        <v>58</v>
      </c>
      <c r="R5033" s="1">
        <f>_xlfn.XLOOKUP(C5033,Contract!$A$2:$A$9,Contract!$B$2:$B$9)</f>
        <v>0.38</v>
      </c>
      <c r="S5033" s="1">
        <f t="shared" si="312"/>
        <v>88.16</v>
      </c>
      <c r="T5033" s="1" t="str">
        <f t="shared" si="313"/>
        <v/>
      </c>
      <c r="U5033" s="1" t="str">
        <f t="shared" si="314"/>
        <v/>
      </c>
      <c r="V5033" s="1" t="str">
        <f>_xlfn.XLOOKUP(C5033,Payers!$A$2:$A$9,Payers!$B$2:$B$9)</f>
        <v>Sunshine Medicare Advantage</v>
      </c>
      <c r="W5033" s="1" t="str">
        <f t="shared" si="315"/>
        <v>2026-06</v>
      </c>
    </row>
    <row r="5034" spans="1:23">
      <c r="A5034" s="1" t="s">
        <v>7770</v>
      </c>
      <c r="B5034" s="1" t="s">
        <v>287</v>
      </c>
      <c r="C5034" s="1" t="s">
        <v>76</v>
      </c>
      <c r="D5034" s="1" t="s">
        <v>19</v>
      </c>
      <c r="E5034" s="1" t="s">
        <v>20</v>
      </c>
      <c r="F5034">
        <v>1</v>
      </c>
      <c r="G5034" s="2">
        <v>46070</v>
      </c>
      <c r="H5034" s="2">
        <v>46071</v>
      </c>
      <c r="I5034">
        <v>141.32</v>
      </c>
      <c r="J5034">
        <v>65.34</v>
      </c>
      <c r="K5034">
        <v>58.81</v>
      </c>
      <c r="L5034">
        <v>6.53</v>
      </c>
      <c r="M5034" s="1" t="s">
        <v>21</v>
      </c>
      <c r="N5034" s="1" t="s">
        <v>22</v>
      </c>
      <c r="O5034" s="2">
        <v>46089</v>
      </c>
      <c r="P5034" s="2">
        <v>46089</v>
      </c>
      <c r="Q5034">
        <f>_xlfn.XLOOKUP(E5034,CPT!$A$2:$A$13,CPT!$D$2:$D$13)</f>
        <v>145</v>
      </c>
      <c r="R5034" s="1">
        <f>_xlfn.XLOOKUP(C5034,Contract!$A$2:$A$9,Contract!$B$2:$B$9)</f>
        <v>0.43</v>
      </c>
      <c r="S5034" s="1">
        <f t="shared" si="312"/>
        <v>62.35</v>
      </c>
      <c r="T5034" s="1">
        <f t="shared" si="313"/>
        <v>-2.990000000000002</v>
      </c>
      <c r="U5034" s="1" t="str">
        <f t="shared" si="314"/>
        <v>OK</v>
      </c>
      <c r="V5034" s="1" t="str">
        <f>_xlfn.XLOOKUP(C5034,Payers!$A$2:$A$9,Payers!$B$2:$B$9)</f>
        <v>Summit Health Commercial</v>
      </c>
      <c r="W5034" s="1" t="str">
        <f t="shared" si="315"/>
        <v>2026-02</v>
      </c>
    </row>
    <row r="5035" spans="1:23">
      <c r="A5035" s="1" t="s">
        <v>7771</v>
      </c>
      <c r="B5035" s="1" t="s">
        <v>1788</v>
      </c>
      <c r="C5035" s="1" t="s">
        <v>47</v>
      </c>
      <c r="D5035" s="1" t="s">
        <v>37</v>
      </c>
      <c r="E5035" s="1" t="s">
        <v>38</v>
      </c>
      <c r="F5035">
        <v>10</v>
      </c>
      <c r="G5035" s="2">
        <v>46078</v>
      </c>
      <c r="H5035" s="2">
        <v>46080</v>
      </c>
      <c r="I5035">
        <v>14404.71</v>
      </c>
      <c r="M5035" s="1" t="s">
        <v>32</v>
      </c>
      <c r="N5035" s="1" t="s">
        <v>49</v>
      </c>
      <c r="O5035" s="2">
        <v>46126</v>
      </c>
      <c r="P5035" s="2"/>
      <c r="Q5035">
        <f>_xlfn.XLOOKUP(E5035,CPT!$A$2:$A$13,CPT!$D$2:$D$13)</f>
        <v>1450</v>
      </c>
      <c r="R5035" s="1">
        <f>_xlfn.XLOOKUP(C5035,Contract!$A$2:$A$9,Contract!$B$2:$B$9)</f>
        <v>0.28000000000000003</v>
      </c>
      <c r="S5035" s="1">
        <f t="shared" si="312"/>
        <v>4060</v>
      </c>
      <c r="T5035" s="1" t="str">
        <f t="shared" si="313"/>
        <v/>
      </c>
      <c r="U5035" s="1" t="str">
        <f t="shared" si="314"/>
        <v/>
      </c>
      <c r="V5035" s="1" t="str">
        <f>_xlfn.XLOOKUP(C5035,Payers!$A$2:$A$9,Payers!$B$2:$B$9)</f>
        <v>Coastal Medicaid MCO</v>
      </c>
      <c r="W5035" s="1" t="str">
        <f t="shared" si="315"/>
        <v>2026-02</v>
      </c>
    </row>
    <row r="5036" spans="1:23">
      <c r="A5036" s="1" t="s">
        <v>7772</v>
      </c>
      <c r="B5036" s="1" t="s">
        <v>6040</v>
      </c>
      <c r="C5036" s="1" t="s">
        <v>36</v>
      </c>
      <c r="D5036" s="1" t="s">
        <v>26</v>
      </c>
      <c r="E5036" s="1" t="s">
        <v>44</v>
      </c>
      <c r="F5036">
        <v>1</v>
      </c>
      <c r="G5036" s="2">
        <v>46187</v>
      </c>
      <c r="H5036" s="2">
        <v>46194</v>
      </c>
      <c r="I5036">
        <v>4818.92</v>
      </c>
      <c r="M5036" s="1" t="s">
        <v>32</v>
      </c>
      <c r="N5036" s="1" t="s">
        <v>49</v>
      </c>
      <c r="O5036" s="2">
        <v>46242</v>
      </c>
      <c r="P5036" s="2"/>
      <c r="Q5036">
        <f>_xlfn.XLOOKUP(E5036,CPT!$A$2:$A$13,CPT!$D$2:$D$13)</f>
        <v>4800</v>
      </c>
      <c r="R5036" s="1">
        <f>_xlfn.XLOOKUP(C5036,Contract!$A$2:$A$9,Contract!$B$2:$B$9)</f>
        <v>0.27</v>
      </c>
      <c r="S5036" s="1">
        <f t="shared" si="312"/>
        <v>1296</v>
      </c>
      <c r="T5036" s="1" t="str">
        <f t="shared" si="313"/>
        <v/>
      </c>
      <c r="U5036" s="1" t="str">
        <f t="shared" si="314"/>
        <v/>
      </c>
      <c r="V5036" s="1" t="str">
        <f>_xlfn.XLOOKUP(C5036,Payers!$A$2:$A$9,Payers!$B$2:$B$9)</f>
        <v>Florida Medicaid</v>
      </c>
      <c r="W5036" s="1" t="str">
        <f t="shared" si="315"/>
        <v>2026-06</v>
      </c>
    </row>
    <row r="5037" spans="1:23">
      <c r="A5037" s="1" t="s">
        <v>7773</v>
      </c>
      <c r="B5037" s="1" t="s">
        <v>5170</v>
      </c>
      <c r="C5037" s="1" t="s">
        <v>25</v>
      </c>
      <c r="D5037" s="1" t="s">
        <v>26</v>
      </c>
      <c r="E5037" s="1" t="s">
        <v>88</v>
      </c>
      <c r="F5037">
        <v>1</v>
      </c>
      <c r="G5037" s="2">
        <v>45990</v>
      </c>
      <c r="H5037" s="2">
        <v>45992</v>
      </c>
      <c r="I5037">
        <v>252.78</v>
      </c>
      <c r="J5037">
        <v>103.14</v>
      </c>
      <c r="K5037">
        <v>92.83</v>
      </c>
      <c r="L5037">
        <v>10.31</v>
      </c>
      <c r="M5037" s="1" t="s">
        <v>21</v>
      </c>
      <c r="N5037" s="1" t="s">
        <v>22</v>
      </c>
      <c r="O5037" s="2">
        <v>46011</v>
      </c>
      <c r="P5037" s="2">
        <v>46011</v>
      </c>
      <c r="Q5037">
        <f>_xlfn.XLOOKUP(E5037,CPT!$A$2:$A$13,CPT!$D$2:$D$13)</f>
        <v>260</v>
      </c>
      <c r="R5037" s="1">
        <f>_xlfn.XLOOKUP(C5037,Contract!$A$2:$A$9,Contract!$B$2:$B$9)</f>
        <v>0.36</v>
      </c>
      <c r="S5037" s="1">
        <f t="shared" si="312"/>
        <v>93.6</v>
      </c>
      <c r="T5037" s="1">
        <f t="shared" si="313"/>
        <v>-9.5400000000000063</v>
      </c>
      <c r="U5037" s="1" t="str">
        <f t="shared" si="314"/>
        <v>OK</v>
      </c>
      <c r="V5037" s="1" t="str">
        <f>_xlfn.XLOOKUP(C5037,Payers!$A$2:$A$9,Payers!$B$2:$B$9)</f>
        <v>Medicare Part B</v>
      </c>
      <c r="W5037" s="1" t="str">
        <f t="shared" si="315"/>
        <v>2025-11</v>
      </c>
    </row>
    <row r="5038" spans="1:23">
      <c r="A5038" s="1" t="s">
        <v>7774</v>
      </c>
      <c r="B5038" s="1" t="s">
        <v>3020</v>
      </c>
      <c r="C5038" s="1" t="s">
        <v>60</v>
      </c>
      <c r="D5038" s="1" t="s">
        <v>26</v>
      </c>
      <c r="E5038" s="1" t="s">
        <v>44</v>
      </c>
      <c r="F5038">
        <v>1</v>
      </c>
      <c r="G5038" s="2">
        <v>46008</v>
      </c>
      <c r="H5038" s="2">
        <v>46010</v>
      </c>
      <c r="I5038">
        <v>4812.12</v>
      </c>
      <c r="J5038">
        <v>2212.31</v>
      </c>
      <c r="K5038">
        <v>1769.85</v>
      </c>
      <c r="L5038">
        <v>442.46</v>
      </c>
      <c r="M5038" s="1" t="s">
        <v>21</v>
      </c>
      <c r="N5038" s="1" t="s">
        <v>22</v>
      </c>
      <c r="O5038" s="2">
        <v>46034</v>
      </c>
      <c r="P5038" s="2">
        <v>46034</v>
      </c>
      <c r="Q5038">
        <f>_xlfn.XLOOKUP(E5038,CPT!$A$2:$A$13,CPT!$D$2:$D$13)</f>
        <v>4800</v>
      </c>
      <c r="R5038" s="1">
        <f>_xlfn.XLOOKUP(C5038,Contract!$A$2:$A$9,Contract!$B$2:$B$9)</f>
        <v>0.45</v>
      </c>
      <c r="S5038" s="1">
        <f t="shared" si="312"/>
        <v>2160</v>
      </c>
      <c r="T5038" s="1">
        <f t="shared" si="313"/>
        <v>-52.309999999999945</v>
      </c>
      <c r="U5038" s="1" t="str">
        <f t="shared" si="314"/>
        <v>OK</v>
      </c>
      <c r="V5038" s="1" t="str">
        <f>_xlfn.XLOOKUP(C5038,Payers!$A$2:$A$9,Payers!$B$2:$B$9)</f>
        <v>Blue Horizon Commercial</v>
      </c>
      <c r="W5038" s="1" t="str">
        <f t="shared" si="315"/>
        <v>2025-12</v>
      </c>
    </row>
    <row r="5039" spans="1:23">
      <c r="A5039" s="1" t="s">
        <v>7775</v>
      </c>
      <c r="B5039" s="1" t="s">
        <v>1252</v>
      </c>
      <c r="C5039" s="1" t="s">
        <v>60</v>
      </c>
      <c r="D5039" s="1" t="s">
        <v>19</v>
      </c>
      <c r="E5039" s="1" t="s">
        <v>57</v>
      </c>
      <c r="F5039">
        <v>1</v>
      </c>
      <c r="G5039" s="2">
        <v>46102</v>
      </c>
      <c r="H5039" s="2">
        <v>46103</v>
      </c>
      <c r="I5039">
        <v>204.36</v>
      </c>
      <c r="J5039">
        <v>90.17</v>
      </c>
      <c r="K5039">
        <v>90.17</v>
      </c>
      <c r="L5039">
        <v>0</v>
      </c>
      <c r="M5039" s="1" t="s">
        <v>21</v>
      </c>
      <c r="N5039" s="1" t="s">
        <v>22</v>
      </c>
      <c r="O5039" s="2">
        <v>46110</v>
      </c>
      <c r="P5039" s="2">
        <v>46110</v>
      </c>
      <c r="Q5039">
        <f>_xlfn.XLOOKUP(E5039,CPT!$A$2:$A$13,CPT!$D$2:$D$13)</f>
        <v>210</v>
      </c>
      <c r="R5039" s="1">
        <f>_xlfn.XLOOKUP(C5039,Contract!$A$2:$A$9,Contract!$B$2:$B$9)</f>
        <v>0.45</v>
      </c>
      <c r="S5039" s="1">
        <f t="shared" si="312"/>
        <v>94.5</v>
      </c>
      <c r="T5039" s="1">
        <f t="shared" si="313"/>
        <v>4.3299999999999983</v>
      </c>
      <c r="U5039" s="1" t="str">
        <f t="shared" si="314"/>
        <v>OK</v>
      </c>
      <c r="V5039" s="1" t="str">
        <f>_xlfn.XLOOKUP(C5039,Payers!$A$2:$A$9,Payers!$B$2:$B$9)</f>
        <v>Blue Horizon Commercial</v>
      </c>
      <c r="W5039" s="1" t="str">
        <f t="shared" si="315"/>
        <v>2026-03</v>
      </c>
    </row>
    <row r="5040" spans="1:23">
      <c r="A5040" s="1" t="s">
        <v>7776</v>
      </c>
      <c r="B5040" s="1" t="s">
        <v>7777</v>
      </c>
      <c r="C5040" s="1" t="s">
        <v>18</v>
      </c>
      <c r="D5040" s="1" t="s">
        <v>30</v>
      </c>
      <c r="E5040" s="1" t="s">
        <v>31</v>
      </c>
      <c r="F5040">
        <v>4</v>
      </c>
      <c r="G5040" s="2">
        <v>46114</v>
      </c>
      <c r="H5040" s="2">
        <v>46115</v>
      </c>
      <c r="I5040">
        <v>247.24</v>
      </c>
      <c r="J5040">
        <v>81.209999999999994</v>
      </c>
      <c r="K5040">
        <v>81.209999999999994</v>
      </c>
      <c r="L5040">
        <v>0</v>
      </c>
      <c r="M5040" s="1" t="s">
        <v>21</v>
      </c>
      <c r="N5040" s="1" t="s">
        <v>22</v>
      </c>
      <c r="O5040" s="2">
        <v>46173</v>
      </c>
      <c r="P5040" s="2">
        <v>46173</v>
      </c>
      <c r="Q5040">
        <f>_xlfn.XLOOKUP(E5040,CPT!$A$2:$A$13,CPT!$D$2:$D$13)</f>
        <v>62</v>
      </c>
      <c r="R5040" s="1">
        <f>_xlfn.XLOOKUP(C5040,Contract!$A$2:$A$9,Contract!$B$2:$B$9)</f>
        <v>0.38</v>
      </c>
      <c r="S5040" s="1">
        <f t="shared" si="312"/>
        <v>94.24</v>
      </c>
      <c r="T5040" s="1">
        <f t="shared" si="313"/>
        <v>13.030000000000001</v>
      </c>
      <c r="U5040" s="1" t="str">
        <f t="shared" si="314"/>
        <v>Underpaid</v>
      </c>
      <c r="V5040" s="1" t="str">
        <f>_xlfn.XLOOKUP(C5040,Payers!$A$2:$A$9,Payers!$B$2:$B$9)</f>
        <v>Sunshine Medicare Advantage</v>
      </c>
      <c r="W5040" s="1" t="str">
        <f t="shared" si="315"/>
        <v>2026-04</v>
      </c>
    </row>
    <row r="5041" spans="1:23">
      <c r="A5041" s="1" t="s">
        <v>7778</v>
      </c>
      <c r="B5041" s="1" t="s">
        <v>4485</v>
      </c>
      <c r="C5041" s="1" t="s">
        <v>36</v>
      </c>
      <c r="D5041" s="1" t="s">
        <v>30</v>
      </c>
      <c r="E5041" s="1" t="s">
        <v>20</v>
      </c>
      <c r="F5041">
        <v>1</v>
      </c>
      <c r="G5041" s="2">
        <v>46074</v>
      </c>
      <c r="H5041" s="2">
        <v>46077</v>
      </c>
      <c r="I5041">
        <v>147.68</v>
      </c>
      <c r="J5041">
        <v>41.89</v>
      </c>
      <c r="K5041">
        <v>33.51</v>
      </c>
      <c r="L5041">
        <v>8.3800000000000008</v>
      </c>
      <c r="M5041" s="1" t="s">
        <v>21</v>
      </c>
      <c r="N5041" s="1" t="s">
        <v>22</v>
      </c>
      <c r="O5041" s="2">
        <v>46108</v>
      </c>
      <c r="P5041" s="2">
        <v>46108</v>
      </c>
      <c r="Q5041">
        <f>_xlfn.XLOOKUP(E5041,CPT!$A$2:$A$13,CPT!$D$2:$D$13)</f>
        <v>145</v>
      </c>
      <c r="R5041" s="1">
        <f>_xlfn.XLOOKUP(C5041,Contract!$A$2:$A$9,Contract!$B$2:$B$9)</f>
        <v>0.27</v>
      </c>
      <c r="S5041" s="1">
        <f t="shared" si="312"/>
        <v>39.15</v>
      </c>
      <c r="T5041" s="1">
        <f t="shared" si="313"/>
        <v>-2.740000000000002</v>
      </c>
      <c r="U5041" s="1" t="str">
        <f t="shared" si="314"/>
        <v>OK</v>
      </c>
      <c r="V5041" s="1" t="str">
        <f>_xlfn.XLOOKUP(C5041,Payers!$A$2:$A$9,Payers!$B$2:$B$9)</f>
        <v>Florida Medicaid</v>
      </c>
      <c r="W5041" s="1" t="str">
        <f t="shared" si="315"/>
        <v>2026-02</v>
      </c>
    </row>
    <row r="5042" spans="1:23">
      <c r="A5042" s="1" t="s">
        <v>7779</v>
      </c>
      <c r="B5042" s="1" t="s">
        <v>7615</v>
      </c>
      <c r="C5042" s="1" t="s">
        <v>18</v>
      </c>
      <c r="D5042" s="1" t="s">
        <v>30</v>
      </c>
      <c r="E5042" s="1" t="s">
        <v>20</v>
      </c>
      <c r="F5042">
        <v>1</v>
      </c>
      <c r="G5042" s="2">
        <v>46075</v>
      </c>
      <c r="H5042" s="2">
        <v>46076</v>
      </c>
      <c r="I5042">
        <v>141.31</v>
      </c>
      <c r="J5042">
        <v>52.03</v>
      </c>
      <c r="K5042">
        <v>52.03</v>
      </c>
      <c r="L5042">
        <v>0</v>
      </c>
      <c r="M5042" s="1" t="s">
        <v>21</v>
      </c>
      <c r="N5042" s="1" t="s">
        <v>22</v>
      </c>
      <c r="O5042" s="2">
        <v>46108</v>
      </c>
      <c r="P5042" s="2">
        <v>46108</v>
      </c>
      <c r="Q5042">
        <f>_xlfn.XLOOKUP(E5042,CPT!$A$2:$A$13,CPT!$D$2:$D$13)</f>
        <v>145</v>
      </c>
      <c r="R5042" s="1">
        <f>_xlfn.XLOOKUP(C5042,Contract!$A$2:$A$9,Contract!$B$2:$B$9)</f>
        <v>0.38</v>
      </c>
      <c r="S5042" s="1">
        <f t="shared" si="312"/>
        <v>55.1</v>
      </c>
      <c r="T5042" s="1">
        <f t="shared" si="313"/>
        <v>3.0700000000000003</v>
      </c>
      <c r="U5042" s="1" t="str">
        <f t="shared" si="314"/>
        <v>Underpaid</v>
      </c>
      <c r="V5042" s="1" t="str">
        <f>_xlfn.XLOOKUP(C5042,Payers!$A$2:$A$9,Payers!$B$2:$B$9)</f>
        <v>Sunshine Medicare Advantage</v>
      </c>
      <c r="W5042" s="1" t="str">
        <f t="shared" si="315"/>
        <v>2026-02</v>
      </c>
    </row>
    <row r="5043" spans="1:23">
      <c r="A5043" s="1" t="s">
        <v>7780</v>
      </c>
      <c r="B5043" s="1" t="s">
        <v>740</v>
      </c>
      <c r="C5043" s="1" t="s">
        <v>60</v>
      </c>
      <c r="D5043" s="1" t="s">
        <v>19</v>
      </c>
      <c r="E5043" s="1" t="s">
        <v>41</v>
      </c>
      <c r="F5043">
        <v>1</v>
      </c>
      <c r="G5043" s="2">
        <v>46004</v>
      </c>
      <c r="H5043" s="2">
        <v>46005</v>
      </c>
      <c r="I5043">
        <v>37.369999999999997</v>
      </c>
      <c r="J5043">
        <v>19.239999999999998</v>
      </c>
      <c r="K5043">
        <v>19.239999999999998</v>
      </c>
      <c r="L5043">
        <v>0</v>
      </c>
      <c r="M5043" s="1" t="s">
        <v>21</v>
      </c>
      <c r="N5043" s="1" t="s">
        <v>22</v>
      </c>
      <c r="O5043" s="2">
        <v>46047</v>
      </c>
      <c r="P5043" s="2">
        <v>46047</v>
      </c>
      <c r="Q5043">
        <f>_xlfn.XLOOKUP(E5043,CPT!$A$2:$A$13,CPT!$D$2:$D$13)</f>
        <v>38</v>
      </c>
      <c r="R5043" s="1">
        <f>_xlfn.XLOOKUP(C5043,Contract!$A$2:$A$9,Contract!$B$2:$B$9)</f>
        <v>0.45</v>
      </c>
      <c r="S5043" s="1">
        <f t="shared" si="312"/>
        <v>17.100000000000001</v>
      </c>
      <c r="T5043" s="1">
        <f t="shared" si="313"/>
        <v>-2.139999999999997</v>
      </c>
      <c r="U5043" s="1" t="str">
        <f t="shared" si="314"/>
        <v>OK</v>
      </c>
      <c r="V5043" s="1" t="str">
        <f>_xlfn.XLOOKUP(C5043,Payers!$A$2:$A$9,Payers!$B$2:$B$9)</f>
        <v>Blue Horizon Commercial</v>
      </c>
      <c r="W5043" s="1" t="str">
        <f t="shared" si="315"/>
        <v>2025-12</v>
      </c>
    </row>
    <row r="5044" spans="1:23">
      <c r="A5044" s="1" t="s">
        <v>7781</v>
      </c>
      <c r="B5044" s="1" t="s">
        <v>7782</v>
      </c>
      <c r="C5044" s="1" t="s">
        <v>36</v>
      </c>
      <c r="D5044" s="1" t="s">
        <v>26</v>
      </c>
      <c r="E5044" s="1" t="s">
        <v>57</v>
      </c>
      <c r="F5044">
        <v>1</v>
      </c>
      <c r="G5044" s="2">
        <v>46196</v>
      </c>
      <c r="H5044" s="2">
        <v>46200</v>
      </c>
      <c r="I5044">
        <v>213.72</v>
      </c>
      <c r="M5044" s="1" t="s">
        <v>32</v>
      </c>
      <c r="N5044" s="1" t="s">
        <v>124</v>
      </c>
      <c r="O5044" s="2">
        <v>46243</v>
      </c>
      <c r="P5044" s="2"/>
      <c r="Q5044">
        <f>_xlfn.XLOOKUP(E5044,CPT!$A$2:$A$13,CPT!$D$2:$D$13)</f>
        <v>210</v>
      </c>
      <c r="R5044" s="1">
        <f>_xlfn.XLOOKUP(C5044,Contract!$A$2:$A$9,Contract!$B$2:$B$9)</f>
        <v>0.27</v>
      </c>
      <c r="S5044" s="1">
        <f t="shared" si="312"/>
        <v>56.7</v>
      </c>
      <c r="T5044" s="1" t="str">
        <f t="shared" si="313"/>
        <v/>
      </c>
      <c r="U5044" s="1" t="str">
        <f t="shared" si="314"/>
        <v/>
      </c>
      <c r="V5044" s="1" t="str">
        <f>_xlfn.XLOOKUP(C5044,Payers!$A$2:$A$9,Payers!$B$2:$B$9)</f>
        <v>Florida Medicaid</v>
      </c>
      <c r="W5044" s="1" t="str">
        <f t="shared" si="315"/>
        <v>2026-06</v>
      </c>
    </row>
    <row r="5045" spans="1:23">
      <c r="A5045" s="1" t="s">
        <v>7783</v>
      </c>
      <c r="B5045" s="1" t="s">
        <v>7784</v>
      </c>
      <c r="C5045" s="1" t="s">
        <v>52</v>
      </c>
      <c r="D5045" s="1" t="s">
        <v>30</v>
      </c>
      <c r="E5045" s="1" t="s">
        <v>20</v>
      </c>
      <c r="F5045">
        <v>1</v>
      </c>
      <c r="G5045" s="2">
        <v>45953</v>
      </c>
      <c r="H5045" s="2">
        <v>45954</v>
      </c>
      <c r="I5045">
        <v>147.07</v>
      </c>
      <c r="J5045">
        <v>64.45</v>
      </c>
      <c r="K5045">
        <v>58</v>
      </c>
      <c r="L5045">
        <v>6.45</v>
      </c>
      <c r="M5045" s="1" t="s">
        <v>21</v>
      </c>
      <c r="N5045" s="1" t="s">
        <v>22</v>
      </c>
      <c r="O5045" s="2">
        <v>45992</v>
      </c>
      <c r="P5045" s="2">
        <v>45992</v>
      </c>
      <c r="Q5045">
        <f>_xlfn.XLOOKUP(E5045,CPT!$A$2:$A$13,CPT!$D$2:$D$13)</f>
        <v>145</v>
      </c>
      <c r="R5045" s="1">
        <f>_xlfn.XLOOKUP(C5045,Contract!$A$2:$A$9,Contract!$B$2:$B$9)</f>
        <v>0.47</v>
      </c>
      <c r="S5045" s="1">
        <f t="shared" si="312"/>
        <v>68.150000000000006</v>
      </c>
      <c r="T5045" s="1">
        <f t="shared" si="313"/>
        <v>3.7000000000000028</v>
      </c>
      <c r="U5045" s="1" t="str">
        <f t="shared" si="314"/>
        <v>Underpaid</v>
      </c>
      <c r="V5045" s="1" t="str">
        <f>_xlfn.XLOOKUP(C5045,Payers!$A$2:$A$9,Payers!$B$2:$B$9)</f>
        <v>Keystone Commercial PPO</v>
      </c>
      <c r="W5045" s="1" t="str">
        <f t="shared" si="315"/>
        <v>2025-10</v>
      </c>
    </row>
    <row r="5046" spans="1:23">
      <c r="A5046" s="1" t="s">
        <v>7785</v>
      </c>
      <c r="B5046" s="1" t="s">
        <v>3093</v>
      </c>
      <c r="C5046" s="1" t="s">
        <v>36</v>
      </c>
      <c r="D5046" s="1" t="s">
        <v>26</v>
      </c>
      <c r="E5046" s="1" t="s">
        <v>44</v>
      </c>
      <c r="F5046">
        <v>1</v>
      </c>
      <c r="G5046" s="2">
        <v>46253</v>
      </c>
      <c r="H5046" s="2">
        <v>46259</v>
      </c>
      <c r="I5046">
        <v>4757.51</v>
      </c>
      <c r="M5046" s="1" t="s">
        <v>32</v>
      </c>
      <c r="N5046" s="1" t="s">
        <v>168</v>
      </c>
      <c r="O5046" s="2">
        <v>46279</v>
      </c>
      <c r="P5046" s="2"/>
      <c r="Q5046">
        <f>_xlfn.XLOOKUP(E5046,CPT!$A$2:$A$13,CPT!$D$2:$D$13)</f>
        <v>4800</v>
      </c>
      <c r="R5046" s="1">
        <f>_xlfn.XLOOKUP(C5046,Contract!$A$2:$A$9,Contract!$B$2:$B$9)</f>
        <v>0.27</v>
      </c>
      <c r="S5046" s="1">
        <f t="shared" si="312"/>
        <v>1296</v>
      </c>
      <c r="T5046" s="1" t="str">
        <f t="shared" si="313"/>
        <v/>
      </c>
      <c r="U5046" s="1" t="str">
        <f t="shared" si="314"/>
        <v/>
      </c>
      <c r="V5046" s="1" t="str">
        <f>_xlfn.XLOOKUP(C5046,Payers!$A$2:$A$9,Payers!$B$2:$B$9)</f>
        <v>Florida Medicaid</v>
      </c>
      <c r="W5046" s="1" t="str">
        <f t="shared" si="315"/>
        <v>2026-08</v>
      </c>
    </row>
    <row r="5047" spans="1:23">
      <c r="A5047" s="1" t="s">
        <v>7786</v>
      </c>
      <c r="B5047" s="1" t="s">
        <v>7787</v>
      </c>
      <c r="C5047" s="1" t="s">
        <v>60</v>
      </c>
      <c r="D5047" s="1" t="s">
        <v>19</v>
      </c>
      <c r="E5047" s="1" t="s">
        <v>88</v>
      </c>
      <c r="F5047">
        <v>1</v>
      </c>
      <c r="G5047" s="2">
        <v>46001</v>
      </c>
      <c r="H5047" s="2">
        <v>46004</v>
      </c>
      <c r="I5047">
        <v>256.99</v>
      </c>
      <c r="J5047">
        <v>105.41</v>
      </c>
      <c r="K5047">
        <v>105.41</v>
      </c>
      <c r="L5047">
        <v>0</v>
      </c>
      <c r="M5047" s="1" t="s">
        <v>21</v>
      </c>
      <c r="N5047" s="1" t="s">
        <v>22</v>
      </c>
      <c r="O5047" s="2">
        <v>46027</v>
      </c>
      <c r="P5047" s="2">
        <v>46027</v>
      </c>
      <c r="Q5047">
        <f>_xlfn.XLOOKUP(E5047,CPT!$A$2:$A$13,CPT!$D$2:$D$13)</f>
        <v>260</v>
      </c>
      <c r="R5047" s="1">
        <f>_xlfn.XLOOKUP(C5047,Contract!$A$2:$A$9,Contract!$B$2:$B$9)</f>
        <v>0.45</v>
      </c>
      <c r="S5047" s="1">
        <f t="shared" si="312"/>
        <v>117</v>
      </c>
      <c r="T5047" s="1">
        <f t="shared" si="313"/>
        <v>11.590000000000003</v>
      </c>
      <c r="U5047" s="1" t="str">
        <f t="shared" si="314"/>
        <v>Underpaid</v>
      </c>
      <c r="V5047" s="1" t="str">
        <f>_xlfn.XLOOKUP(C5047,Payers!$A$2:$A$9,Payers!$B$2:$B$9)</f>
        <v>Blue Horizon Commercial</v>
      </c>
      <c r="W5047" s="1" t="str">
        <f t="shared" si="315"/>
        <v>2025-12</v>
      </c>
    </row>
    <row r="5048" spans="1:23">
      <c r="A5048" s="1" t="s">
        <v>7788</v>
      </c>
      <c r="B5048" s="1" t="s">
        <v>5715</v>
      </c>
      <c r="C5048" s="1" t="s">
        <v>47</v>
      </c>
      <c r="D5048" s="1" t="s">
        <v>26</v>
      </c>
      <c r="E5048" s="1" t="s">
        <v>113</v>
      </c>
      <c r="F5048">
        <v>1</v>
      </c>
      <c r="G5048" s="2">
        <v>46244</v>
      </c>
      <c r="H5048" s="2">
        <v>46245</v>
      </c>
      <c r="I5048">
        <v>1054.45</v>
      </c>
      <c r="M5048" s="1" t="s">
        <v>69</v>
      </c>
      <c r="N5048" s="1" t="s">
        <v>22</v>
      </c>
      <c r="O5048" s="2"/>
      <c r="P5048" s="2"/>
      <c r="Q5048">
        <f>_xlfn.XLOOKUP(E5048,CPT!$A$2:$A$13,CPT!$D$2:$D$13)</f>
        <v>1050</v>
      </c>
      <c r="R5048" s="1">
        <f>_xlfn.XLOOKUP(C5048,Contract!$A$2:$A$9,Contract!$B$2:$B$9)</f>
        <v>0.28000000000000003</v>
      </c>
      <c r="S5048" s="1">
        <f t="shared" si="312"/>
        <v>294</v>
      </c>
      <c r="T5048" s="1" t="str">
        <f t="shared" si="313"/>
        <v/>
      </c>
      <c r="U5048" s="1" t="str">
        <f t="shared" si="314"/>
        <v/>
      </c>
      <c r="V5048" s="1" t="str">
        <f>_xlfn.XLOOKUP(C5048,Payers!$A$2:$A$9,Payers!$B$2:$B$9)</f>
        <v>Coastal Medicaid MCO</v>
      </c>
      <c r="W5048" s="1" t="str">
        <f t="shared" si="315"/>
        <v>2026-08</v>
      </c>
    </row>
    <row r="5049" spans="1:23">
      <c r="A5049" s="1" t="s">
        <v>7789</v>
      </c>
      <c r="B5049" s="1" t="s">
        <v>390</v>
      </c>
      <c r="C5049" s="1" t="s">
        <v>25</v>
      </c>
      <c r="D5049" s="1" t="s">
        <v>37</v>
      </c>
      <c r="E5049" s="1" t="s">
        <v>38</v>
      </c>
      <c r="F5049">
        <v>20</v>
      </c>
      <c r="G5049" s="2">
        <v>46155</v>
      </c>
      <c r="H5049" s="2">
        <v>46164</v>
      </c>
      <c r="I5049">
        <v>29842.62</v>
      </c>
      <c r="J5049">
        <v>11545.6</v>
      </c>
      <c r="K5049">
        <v>9236.48</v>
      </c>
      <c r="L5049">
        <v>2309.12</v>
      </c>
      <c r="M5049" s="1" t="s">
        <v>21</v>
      </c>
      <c r="N5049" s="1" t="s">
        <v>22</v>
      </c>
      <c r="O5049" s="2">
        <v>46169</v>
      </c>
      <c r="P5049" s="2">
        <v>46169</v>
      </c>
      <c r="Q5049">
        <f>_xlfn.XLOOKUP(E5049,CPT!$A$2:$A$13,CPT!$D$2:$D$13)</f>
        <v>1450</v>
      </c>
      <c r="R5049" s="1">
        <f>_xlfn.XLOOKUP(C5049,Contract!$A$2:$A$9,Contract!$B$2:$B$9)</f>
        <v>0.36</v>
      </c>
      <c r="S5049" s="1">
        <f t="shared" si="312"/>
        <v>10440</v>
      </c>
      <c r="T5049" s="1">
        <f t="shared" si="313"/>
        <v>-1105.6000000000004</v>
      </c>
      <c r="U5049" s="1" t="str">
        <f t="shared" si="314"/>
        <v>OK</v>
      </c>
      <c r="V5049" s="1" t="str">
        <f>_xlfn.XLOOKUP(C5049,Payers!$A$2:$A$9,Payers!$B$2:$B$9)</f>
        <v>Medicare Part B</v>
      </c>
      <c r="W5049" s="1" t="str">
        <f t="shared" si="315"/>
        <v>2026-05</v>
      </c>
    </row>
    <row r="5050" spans="1:23">
      <c r="A5050" s="1" t="s">
        <v>7790</v>
      </c>
      <c r="B5050" s="1" t="s">
        <v>4717</v>
      </c>
      <c r="C5050" s="1" t="s">
        <v>25</v>
      </c>
      <c r="D5050" s="1" t="s">
        <v>26</v>
      </c>
      <c r="E5050" s="1" t="s">
        <v>41</v>
      </c>
      <c r="F5050">
        <v>1</v>
      </c>
      <c r="G5050" s="2">
        <v>46276</v>
      </c>
      <c r="H5050" s="2">
        <v>46277</v>
      </c>
      <c r="I5050">
        <v>37.36</v>
      </c>
      <c r="M5050" s="1" t="s">
        <v>32</v>
      </c>
      <c r="N5050" s="1" t="s">
        <v>124</v>
      </c>
      <c r="O5050" s="2">
        <v>46289</v>
      </c>
      <c r="P5050" s="2"/>
      <c r="Q5050">
        <f>_xlfn.XLOOKUP(E5050,CPT!$A$2:$A$13,CPT!$D$2:$D$13)</f>
        <v>38</v>
      </c>
      <c r="R5050" s="1">
        <f>_xlfn.XLOOKUP(C5050,Contract!$A$2:$A$9,Contract!$B$2:$B$9)</f>
        <v>0.36</v>
      </c>
      <c r="S5050" s="1">
        <f t="shared" si="312"/>
        <v>13.68</v>
      </c>
      <c r="T5050" s="1" t="str">
        <f t="shared" si="313"/>
        <v/>
      </c>
      <c r="U5050" s="1" t="str">
        <f t="shared" si="314"/>
        <v/>
      </c>
      <c r="V5050" s="1" t="str">
        <f>_xlfn.XLOOKUP(C5050,Payers!$A$2:$A$9,Payers!$B$2:$B$9)</f>
        <v>Medicare Part B</v>
      </c>
      <c r="W5050" s="1" t="str">
        <f t="shared" si="315"/>
        <v>2026-09</v>
      </c>
    </row>
    <row r="5051" spans="1:23">
      <c r="A5051" s="1" t="s">
        <v>7791</v>
      </c>
      <c r="B5051" s="1" t="s">
        <v>3268</v>
      </c>
      <c r="C5051" s="1" t="s">
        <v>76</v>
      </c>
      <c r="D5051" s="1" t="s">
        <v>37</v>
      </c>
      <c r="E5051" s="1" t="s">
        <v>38</v>
      </c>
      <c r="F5051">
        <v>20</v>
      </c>
      <c r="G5051" s="2">
        <v>46142</v>
      </c>
      <c r="H5051" s="2">
        <v>46144</v>
      </c>
      <c r="I5051">
        <v>28656.31</v>
      </c>
      <c r="J5051">
        <v>11187.54</v>
      </c>
      <c r="K5051">
        <v>8950.0300000000007</v>
      </c>
      <c r="L5051">
        <v>2237.5100000000002</v>
      </c>
      <c r="M5051" s="1" t="s">
        <v>21</v>
      </c>
      <c r="N5051" s="1" t="s">
        <v>22</v>
      </c>
      <c r="O5051" s="2">
        <v>46173</v>
      </c>
      <c r="P5051" s="2">
        <v>46173</v>
      </c>
      <c r="Q5051">
        <f>_xlfn.XLOOKUP(E5051,CPT!$A$2:$A$13,CPT!$D$2:$D$13)</f>
        <v>1450</v>
      </c>
      <c r="R5051" s="1">
        <f>_xlfn.XLOOKUP(C5051,Contract!$A$2:$A$9,Contract!$B$2:$B$9)</f>
        <v>0.43</v>
      </c>
      <c r="S5051" s="1">
        <f t="shared" si="312"/>
        <v>12470</v>
      </c>
      <c r="T5051" s="1">
        <f t="shared" si="313"/>
        <v>1282.4599999999991</v>
      </c>
      <c r="U5051" s="1" t="str">
        <f t="shared" si="314"/>
        <v>Underpaid</v>
      </c>
      <c r="V5051" s="1" t="str">
        <f>_xlfn.XLOOKUP(C5051,Payers!$A$2:$A$9,Payers!$B$2:$B$9)</f>
        <v>Summit Health Commercial</v>
      </c>
      <c r="W5051" s="1" t="str">
        <f t="shared" si="315"/>
        <v>2026-04</v>
      </c>
    </row>
    <row r="5052" spans="1:23">
      <c r="A5052" s="1" t="s">
        <v>7792</v>
      </c>
      <c r="B5052" s="1" t="s">
        <v>4805</v>
      </c>
      <c r="C5052" s="1" t="s">
        <v>60</v>
      </c>
      <c r="D5052" s="1" t="s">
        <v>26</v>
      </c>
      <c r="E5052" s="1" t="s">
        <v>27</v>
      </c>
      <c r="F5052">
        <v>1</v>
      </c>
      <c r="G5052" s="2">
        <v>46268</v>
      </c>
      <c r="H5052" s="2">
        <v>46277</v>
      </c>
      <c r="I5052">
        <v>244.48</v>
      </c>
      <c r="M5052" s="1" t="s">
        <v>69</v>
      </c>
      <c r="N5052" s="1" t="s">
        <v>22</v>
      </c>
      <c r="O5052" s="2"/>
      <c r="P5052" s="2"/>
      <c r="Q5052">
        <f>_xlfn.XLOOKUP(E5052,CPT!$A$2:$A$13,CPT!$D$2:$D$13)</f>
        <v>240</v>
      </c>
      <c r="R5052" s="1">
        <f>_xlfn.XLOOKUP(C5052,Contract!$A$2:$A$9,Contract!$B$2:$B$9)</f>
        <v>0.45</v>
      </c>
      <c r="S5052" s="1">
        <f t="shared" si="312"/>
        <v>108</v>
      </c>
      <c r="T5052" s="1" t="str">
        <f t="shared" si="313"/>
        <v/>
      </c>
      <c r="U5052" s="1" t="str">
        <f t="shared" si="314"/>
        <v/>
      </c>
      <c r="V5052" s="1" t="str">
        <f>_xlfn.XLOOKUP(C5052,Payers!$A$2:$A$9,Payers!$B$2:$B$9)</f>
        <v>Blue Horizon Commercial</v>
      </c>
      <c r="W5052" s="1" t="str">
        <f t="shared" si="315"/>
        <v>2026-09</v>
      </c>
    </row>
    <row r="5053" spans="1:23">
      <c r="A5053" s="1" t="s">
        <v>7793</v>
      </c>
      <c r="B5053" s="1" t="s">
        <v>7794</v>
      </c>
      <c r="C5053" s="1" t="s">
        <v>25</v>
      </c>
      <c r="D5053" s="1" t="s">
        <v>26</v>
      </c>
      <c r="E5053" s="1" t="s">
        <v>113</v>
      </c>
      <c r="F5053">
        <v>1</v>
      </c>
      <c r="G5053" s="2">
        <v>46223</v>
      </c>
      <c r="H5053" s="2">
        <v>46224</v>
      </c>
      <c r="I5053">
        <v>1053.0899999999999</v>
      </c>
      <c r="M5053" s="1" t="s">
        <v>32</v>
      </c>
      <c r="N5053" s="1" t="s">
        <v>33</v>
      </c>
      <c r="O5053" s="2">
        <v>46250</v>
      </c>
      <c r="P5053" s="2"/>
      <c r="Q5053">
        <f>_xlfn.XLOOKUP(E5053,CPT!$A$2:$A$13,CPT!$D$2:$D$13)</f>
        <v>1050</v>
      </c>
      <c r="R5053" s="1">
        <f>_xlfn.XLOOKUP(C5053,Contract!$A$2:$A$9,Contract!$B$2:$B$9)</f>
        <v>0.36</v>
      </c>
      <c r="S5053" s="1">
        <f t="shared" si="312"/>
        <v>378</v>
      </c>
      <c r="T5053" s="1" t="str">
        <f t="shared" si="313"/>
        <v/>
      </c>
      <c r="U5053" s="1" t="str">
        <f t="shared" si="314"/>
        <v/>
      </c>
      <c r="V5053" s="1" t="str">
        <f>_xlfn.XLOOKUP(C5053,Payers!$A$2:$A$9,Payers!$B$2:$B$9)</f>
        <v>Medicare Part B</v>
      </c>
      <c r="W5053" s="1" t="str">
        <f t="shared" si="315"/>
        <v>2026-07</v>
      </c>
    </row>
    <row r="5054" spans="1:23">
      <c r="A5054" s="1" t="s">
        <v>7795</v>
      </c>
      <c r="B5054" s="1" t="s">
        <v>3279</v>
      </c>
      <c r="C5054" s="1" t="s">
        <v>47</v>
      </c>
      <c r="D5054" s="1" t="s">
        <v>19</v>
      </c>
      <c r="E5054" s="1" t="s">
        <v>20</v>
      </c>
      <c r="F5054">
        <v>1</v>
      </c>
      <c r="G5054" s="2">
        <v>45978</v>
      </c>
      <c r="H5054" s="2">
        <v>45979</v>
      </c>
      <c r="I5054">
        <v>142.16999999999999</v>
      </c>
      <c r="J5054">
        <v>43.78</v>
      </c>
      <c r="K5054">
        <v>43.78</v>
      </c>
      <c r="L5054">
        <v>0</v>
      </c>
      <c r="M5054" s="1" t="s">
        <v>21</v>
      </c>
      <c r="N5054" s="1" t="s">
        <v>22</v>
      </c>
      <c r="O5054" s="2">
        <v>46001</v>
      </c>
      <c r="P5054" s="2">
        <v>46001</v>
      </c>
      <c r="Q5054">
        <f>_xlfn.XLOOKUP(E5054,CPT!$A$2:$A$13,CPT!$D$2:$D$13)</f>
        <v>145</v>
      </c>
      <c r="R5054" s="1">
        <f>_xlfn.XLOOKUP(C5054,Contract!$A$2:$A$9,Contract!$B$2:$B$9)</f>
        <v>0.28000000000000003</v>
      </c>
      <c r="S5054" s="1">
        <f t="shared" si="312"/>
        <v>40.6</v>
      </c>
      <c r="T5054" s="1">
        <f t="shared" si="313"/>
        <v>-3.1799999999999997</v>
      </c>
      <c r="U5054" s="1" t="str">
        <f t="shared" si="314"/>
        <v>OK</v>
      </c>
      <c r="V5054" s="1" t="str">
        <f>_xlfn.XLOOKUP(C5054,Payers!$A$2:$A$9,Payers!$B$2:$B$9)</f>
        <v>Coastal Medicaid MCO</v>
      </c>
      <c r="W5054" s="1" t="str">
        <f t="shared" si="315"/>
        <v>2025-11</v>
      </c>
    </row>
    <row r="5055" spans="1:23">
      <c r="A5055" s="1" t="s">
        <v>7796</v>
      </c>
      <c r="B5055" s="1" t="s">
        <v>3879</v>
      </c>
      <c r="C5055" s="1" t="s">
        <v>18</v>
      </c>
      <c r="D5055" s="1" t="s">
        <v>19</v>
      </c>
      <c r="E5055" s="1" t="s">
        <v>41</v>
      </c>
      <c r="F5055">
        <v>1</v>
      </c>
      <c r="G5055" s="2">
        <v>46108</v>
      </c>
      <c r="H5055" s="2">
        <v>46109</v>
      </c>
      <c r="I5055">
        <v>38.22</v>
      </c>
      <c r="J5055">
        <v>15.03</v>
      </c>
      <c r="K5055">
        <v>15.03</v>
      </c>
      <c r="L5055">
        <v>0</v>
      </c>
      <c r="M5055" s="1" t="s">
        <v>21</v>
      </c>
      <c r="N5055" s="1" t="s">
        <v>22</v>
      </c>
      <c r="O5055" s="2">
        <v>46145</v>
      </c>
      <c r="P5055" s="2">
        <v>46145</v>
      </c>
      <c r="Q5055">
        <f>_xlfn.XLOOKUP(E5055,CPT!$A$2:$A$13,CPT!$D$2:$D$13)</f>
        <v>38</v>
      </c>
      <c r="R5055" s="1">
        <f>_xlfn.XLOOKUP(C5055,Contract!$A$2:$A$9,Contract!$B$2:$B$9)</f>
        <v>0.38</v>
      </c>
      <c r="S5055" s="1">
        <f t="shared" si="312"/>
        <v>14.44</v>
      </c>
      <c r="T5055" s="1">
        <f t="shared" si="313"/>
        <v>-0.58999999999999986</v>
      </c>
      <c r="U5055" s="1" t="str">
        <f t="shared" si="314"/>
        <v>OK</v>
      </c>
      <c r="V5055" s="1" t="str">
        <f>_xlfn.XLOOKUP(C5055,Payers!$A$2:$A$9,Payers!$B$2:$B$9)</f>
        <v>Sunshine Medicare Advantage</v>
      </c>
      <c r="W5055" s="1" t="str">
        <f t="shared" si="315"/>
        <v>2026-03</v>
      </c>
    </row>
    <row r="5056" spans="1:23">
      <c r="A5056" s="1" t="s">
        <v>7797</v>
      </c>
      <c r="B5056" s="1" t="s">
        <v>7798</v>
      </c>
      <c r="C5056" s="1" t="s">
        <v>60</v>
      </c>
      <c r="D5056" s="1" t="s">
        <v>26</v>
      </c>
      <c r="E5056" s="1" t="s">
        <v>88</v>
      </c>
      <c r="F5056">
        <v>1</v>
      </c>
      <c r="G5056" s="2">
        <v>46038</v>
      </c>
      <c r="H5056" s="2">
        <v>46044</v>
      </c>
      <c r="I5056">
        <v>259.13</v>
      </c>
      <c r="J5056">
        <v>115.68</v>
      </c>
      <c r="K5056">
        <v>104.11</v>
      </c>
      <c r="L5056">
        <v>11.57</v>
      </c>
      <c r="M5056" s="1" t="s">
        <v>21</v>
      </c>
      <c r="N5056" s="1" t="s">
        <v>22</v>
      </c>
      <c r="O5056" s="2">
        <v>46071</v>
      </c>
      <c r="P5056" s="2">
        <v>46071</v>
      </c>
      <c r="Q5056">
        <f>_xlfn.XLOOKUP(E5056,CPT!$A$2:$A$13,CPT!$D$2:$D$13)</f>
        <v>260</v>
      </c>
      <c r="R5056" s="1">
        <f>_xlfn.XLOOKUP(C5056,Contract!$A$2:$A$9,Contract!$B$2:$B$9)</f>
        <v>0.45</v>
      </c>
      <c r="S5056" s="1">
        <f t="shared" si="312"/>
        <v>117</v>
      </c>
      <c r="T5056" s="1">
        <f t="shared" si="313"/>
        <v>1.3199999999999932</v>
      </c>
      <c r="U5056" s="1" t="str">
        <f t="shared" si="314"/>
        <v>OK</v>
      </c>
      <c r="V5056" s="1" t="str">
        <f>_xlfn.XLOOKUP(C5056,Payers!$A$2:$A$9,Payers!$B$2:$B$9)</f>
        <v>Blue Horizon Commercial</v>
      </c>
      <c r="W5056" s="1" t="str">
        <f t="shared" si="315"/>
        <v>2026-01</v>
      </c>
    </row>
    <row r="5057" spans="1:23">
      <c r="A5057" s="1" t="s">
        <v>7799</v>
      </c>
      <c r="B5057" s="1" t="s">
        <v>347</v>
      </c>
      <c r="C5057" s="1" t="s">
        <v>18</v>
      </c>
      <c r="D5057" s="1" t="s">
        <v>30</v>
      </c>
      <c r="E5057" s="1" t="s">
        <v>91</v>
      </c>
      <c r="F5057">
        <v>4</v>
      </c>
      <c r="G5057" s="2">
        <v>46239</v>
      </c>
      <c r="H5057" s="2">
        <v>46253</v>
      </c>
      <c r="I5057">
        <v>226.13</v>
      </c>
      <c r="M5057" s="1" t="s">
        <v>69</v>
      </c>
      <c r="N5057" s="1" t="s">
        <v>22</v>
      </c>
      <c r="O5057" s="2"/>
      <c r="P5057" s="2"/>
      <c r="Q5057">
        <f>_xlfn.XLOOKUP(E5057,CPT!$A$2:$A$13,CPT!$D$2:$D$13)</f>
        <v>58</v>
      </c>
      <c r="R5057" s="1">
        <f>_xlfn.XLOOKUP(C5057,Contract!$A$2:$A$9,Contract!$B$2:$B$9)</f>
        <v>0.38</v>
      </c>
      <c r="S5057" s="1">
        <f t="shared" si="312"/>
        <v>88.16</v>
      </c>
      <c r="T5057" s="1" t="str">
        <f t="shared" si="313"/>
        <v/>
      </c>
      <c r="U5057" s="1" t="str">
        <f t="shared" si="314"/>
        <v/>
      </c>
      <c r="V5057" s="1" t="str">
        <f>_xlfn.XLOOKUP(C5057,Payers!$A$2:$A$9,Payers!$B$2:$B$9)</f>
        <v>Sunshine Medicare Advantage</v>
      </c>
      <c r="W5057" s="1" t="str">
        <f t="shared" si="315"/>
        <v>2026-08</v>
      </c>
    </row>
    <row r="5058" spans="1:23">
      <c r="A5058" s="1" t="s">
        <v>7800</v>
      </c>
      <c r="B5058" s="1" t="s">
        <v>511</v>
      </c>
      <c r="C5058" s="1" t="s">
        <v>25</v>
      </c>
      <c r="D5058" s="1" t="s">
        <v>30</v>
      </c>
      <c r="E5058" s="1" t="s">
        <v>91</v>
      </c>
      <c r="F5058">
        <v>3</v>
      </c>
      <c r="G5058" s="2">
        <v>46090</v>
      </c>
      <c r="H5058" s="2">
        <v>46098</v>
      </c>
      <c r="I5058">
        <v>171.28</v>
      </c>
      <c r="J5058">
        <v>53.75</v>
      </c>
      <c r="K5058">
        <v>53.75</v>
      </c>
      <c r="L5058">
        <v>0</v>
      </c>
      <c r="M5058" s="1" t="s">
        <v>21</v>
      </c>
      <c r="N5058" s="1" t="s">
        <v>22</v>
      </c>
      <c r="O5058" s="2">
        <v>46108</v>
      </c>
      <c r="P5058" s="2">
        <v>46108</v>
      </c>
      <c r="Q5058">
        <f>_xlfn.XLOOKUP(E5058,CPT!$A$2:$A$13,CPT!$D$2:$D$13)</f>
        <v>58</v>
      </c>
      <c r="R5058" s="1">
        <f>_xlfn.XLOOKUP(C5058,Contract!$A$2:$A$9,Contract!$B$2:$B$9)</f>
        <v>0.36</v>
      </c>
      <c r="S5058" s="1">
        <f t="shared" ref="S5058:S5121" si="316">ROUND(Q5058*F5058*R5058,2)</f>
        <v>62.64</v>
      </c>
      <c r="T5058" s="1">
        <f t="shared" ref="T5058:T5121" si="317">IF(M5058="Paid",S5058-J5058,"")</f>
        <v>8.89</v>
      </c>
      <c r="U5058" s="1" t="str">
        <f t="shared" ref="U5058:U5121" si="318">IF(M5058&lt;&gt;"Paid","",IF(T5058&gt;S5058*0.05,"Underpaid","OK"))</f>
        <v>Underpaid</v>
      </c>
      <c r="V5058" s="1" t="str">
        <f>_xlfn.XLOOKUP(C5058,Payers!$A$2:$A$9,Payers!$B$2:$B$9)</f>
        <v>Medicare Part B</v>
      </c>
      <c r="W5058" s="1" t="str">
        <f t="shared" ref="W5058:W5121" si="319">TEXT(G5058,"yyyy-mm")</f>
        <v>2026-03</v>
      </c>
    </row>
    <row r="5059" spans="1:23">
      <c r="A5059" s="1" t="s">
        <v>7801</v>
      </c>
      <c r="B5059" s="1" t="s">
        <v>5525</v>
      </c>
      <c r="C5059" s="1" t="s">
        <v>47</v>
      </c>
      <c r="D5059" s="1" t="s">
        <v>19</v>
      </c>
      <c r="E5059" s="1" t="s">
        <v>57</v>
      </c>
      <c r="F5059">
        <v>1</v>
      </c>
      <c r="G5059" s="2">
        <v>46164</v>
      </c>
      <c r="H5059" s="2">
        <v>46172</v>
      </c>
      <c r="I5059">
        <v>213.11</v>
      </c>
      <c r="M5059" s="1" t="s">
        <v>32</v>
      </c>
      <c r="N5059" s="1" t="s">
        <v>168</v>
      </c>
      <c r="O5059" s="2">
        <v>46224</v>
      </c>
      <c r="P5059" s="2"/>
      <c r="Q5059">
        <f>_xlfn.XLOOKUP(E5059,CPT!$A$2:$A$13,CPT!$D$2:$D$13)</f>
        <v>210</v>
      </c>
      <c r="R5059" s="1">
        <f>_xlfn.XLOOKUP(C5059,Contract!$A$2:$A$9,Contract!$B$2:$B$9)</f>
        <v>0.28000000000000003</v>
      </c>
      <c r="S5059" s="1">
        <f t="shared" si="316"/>
        <v>58.8</v>
      </c>
      <c r="T5059" s="1" t="str">
        <f t="shared" si="317"/>
        <v/>
      </c>
      <c r="U5059" s="1" t="str">
        <f t="shared" si="318"/>
        <v/>
      </c>
      <c r="V5059" s="1" t="str">
        <f>_xlfn.XLOOKUP(C5059,Payers!$A$2:$A$9,Payers!$B$2:$B$9)</f>
        <v>Coastal Medicaid MCO</v>
      </c>
      <c r="W5059" s="1" t="str">
        <f t="shared" si="319"/>
        <v>2026-05</v>
      </c>
    </row>
    <row r="5060" spans="1:23">
      <c r="A5060" s="1" t="s">
        <v>7802</v>
      </c>
      <c r="B5060" s="1" t="s">
        <v>7803</v>
      </c>
      <c r="C5060" s="1" t="s">
        <v>52</v>
      </c>
      <c r="D5060" s="1" t="s">
        <v>26</v>
      </c>
      <c r="E5060" s="1" t="s">
        <v>41</v>
      </c>
      <c r="F5060">
        <v>1</v>
      </c>
      <c r="G5060" s="2">
        <v>46241</v>
      </c>
      <c r="H5060" s="2">
        <v>46243</v>
      </c>
      <c r="I5060">
        <v>37.520000000000003</v>
      </c>
      <c r="J5060">
        <v>15.45</v>
      </c>
      <c r="K5060">
        <v>15.45</v>
      </c>
      <c r="L5060">
        <v>0</v>
      </c>
      <c r="M5060" s="1" t="s">
        <v>21</v>
      </c>
      <c r="N5060" s="1" t="s">
        <v>22</v>
      </c>
      <c r="O5060" s="2">
        <v>46282</v>
      </c>
      <c r="P5060" s="2">
        <v>46282</v>
      </c>
      <c r="Q5060">
        <f>_xlfn.XLOOKUP(E5060,CPT!$A$2:$A$13,CPT!$D$2:$D$13)</f>
        <v>38</v>
      </c>
      <c r="R5060" s="1">
        <f>_xlfn.XLOOKUP(C5060,Contract!$A$2:$A$9,Contract!$B$2:$B$9)</f>
        <v>0.47</v>
      </c>
      <c r="S5060" s="1">
        <f t="shared" si="316"/>
        <v>17.86</v>
      </c>
      <c r="T5060" s="1">
        <f t="shared" si="317"/>
        <v>2.41</v>
      </c>
      <c r="U5060" s="1" t="str">
        <f t="shared" si="318"/>
        <v>Underpaid</v>
      </c>
      <c r="V5060" s="1" t="str">
        <f>_xlfn.XLOOKUP(C5060,Payers!$A$2:$A$9,Payers!$B$2:$B$9)</f>
        <v>Keystone Commercial PPO</v>
      </c>
      <c r="W5060" s="1" t="str">
        <f t="shared" si="319"/>
        <v>2026-08</v>
      </c>
    </row>
    <row r="5061" spans="1:23">
      <c r="A5061" s="1" t="s">
        <v>7804</v>
      </c>
      <c r="B5061" s="1" t="s">
        <v>3023</v>
      </c>
      <c r="C5061" s="1" t="s">
        <v>60</v>
      </c>
      <c r="D5061" s="1" t="s">
        <v>26</v>
      </c>
      <c r="E5061" s="1" t="s">
        <v>88</v>
      </c>
      <c r="F5061">
        <v>1</v>
      </c>
      <c r="G5061" s="2">
        <v>46289</v>
      </c>
      <c r="H5061" s="2">
        <v>46293</v>
      </c>
      <c r="I5061">
        <v>267.11</v>
      </c>
      <c r="M5061" s="1" t="s">
        <v>69</v>
      </c>
      <c r="N5061" s="1" t="s">
        <v>22</v>
      </c>
      <c r="O5061" s="2"/>
      <c r="P5061" s="2"/>
      <c r="Q5061">
        <f>_xlfn.XLOOKUP(E5061,CPT!$A$2:$A$13,CPT!$D$2:$D$13)</f>
        <v>260</v>
      </c>
      <c r="R5061" s="1">
        <f>_xlfn.XLOOKUP(C5061,Contract!$A$2:$A$9,Contract!$B$2:$B$9)</f>
        <v>0.45</v>
      </c>
      <c r="S5061" s="1">
        <f t="shared" si="316"/>
        <v>117</v>
      </c>
      <c r="T5061" s="1" t="str">
        <f t="shared" si="317"/>
        <v/>
      </c>
      <c r="U5061" s="1" t="str">
        <f t="shared" si="318"/>
        <v/>
      </c>
      <c r="V5061" s="1" t="str">
        <f>_xlfn.XLOOKUP(C5061,Payers!$A$2:$A$9,Payers!$B$2:$B$9)</f>
        <v>Blue Horizon Commercial</v>
      </c>
      <c r="W5061" s="1" t="str">
        <f t="shared" si="319"/>
        <v>2026-09</v>
      </c>
    </row>
    <row r="5062" spans="1:23">
      <c r="A5062" s="1" t="s">
        <v>7805</v>
      </c>
      <c r="B5062" s="1" t="s">
        <v>6319</v>
      </c>
      <c r="C5062" s="1" t="s">
        <v>47</v>
      </c>
      <c r="D5062" s="1" t="s">
        <v>19</v>
      </c>
      <c r="E5062" s="1" t="s">
        <v>57</v>
      </c>
      <c r="F5062">
        <v>1</v>
      </c>
      <c r="G5062" s="2">
        <v>45963</v>
      </c>
      <c r="H5062" s="2">
        <v>45966</v>
      </c>
      <c r="I5062">
        <v>213.06</v>
      </c>
      <c r="J5062">
        <v>63.36</v>
      </c>
      <c r="K5062">
        <v>63.36</v>
      </c>
      <c r="L5062">
        <v>0</v>
      </c>
      <c r="M5062" s="1" t="s">
        <v>21</v>
      </c>
      <c r="N5062" s="1" t="s">
        <v>22</v>
      </c>
      <c r="O5062" s="2">
        <v>46046</v>
      </c>
      <c r="P5062" s="2">
        <v>46046</v>
      </c>
      <c r="Q5062">
        <f>_xlfn.XLOOKUP(E5062,CPT!$A$2:$A$13,CPT!$D$2:$D$13)</f>
        <v>210</v>
      </c>
      <c r="R5062" s="1">
        <f>_xlfn.XLOOKUP(C5062,Contract!$A$2:$A$9,Contract!$B$2:$B$9)</f>
        <v>0.28000000000000003</v>
      </c>
      <c r="S5062" s="1">
        <f t="shared" si="316"/>
        <v>58.8</v>
      </c>
      <c r="T5062" s="1">
        <f t="shared" si="317"/>
        <v>-4.5600000000000023</v>
      </c>
      <c r="U5062" s="1" t="str">
        <f t="shared" si="318"/>
        <v>OK</v>
      </c>
      <c r="V5062" s="1" t="str">
        <f>_xlfn.XLOOKUP(C5062,Payers!$A$2:$A$9,Payers!$B$2:$B$9)</f>
        <v>Coastal Medicaid MCO</v>
      </c>
      <c r="W5062" s="1" t="str">
        <f t="shared" si="319"/>
        <v>2025-11</v>
      </c>
    </row>
    <row r="5063" spans="1:23">
      <c r="A5063" s="1" t="s">
        <v>7806</v>
      </c>
      <c r="B5063" s="1" t="s">
        <v>1600</v>
      </c>
      <c r="C5063" s="1" t="s">
        <v>60</v>
      </c>
      <c r="D5063" s="1" t="s">
        <v>37</v>
      </c>
      <c r="E5063" s="1" t="s">
        <v>38</v>
      </c>
      <c r="F5063">
        <v>5</v>
      </c>
      <c r="G5063" s="2">
        <v>45950</v>
      </c>
      <c r="H5063" s="2">
        <v>45953</v>
      </c>
      <c r="I5063">
        <v>7432.07</v>
      </c>
      <c r="J5063">
        <v>3580.96</v>
      </c>
      <c r="K5063">
        <v>3580.96</v>
      </c>
      <c r="L5063">
        <v>0</v>
      </c>
      <c r="M5063" s="1" t="s">
        <v>21</v>
      </c>
      <c r="N5063" s="1" t="s">
        <v>22</v>
      </c>
      <c r="O5063" s="2">
        <v>45971</v>
      </c>
      <c r="P5063" s="2">
        <v>45971</v>
      </c>
      <c r="Q5063">
        <f>_xlfn.XLOOKUP(E5063,CPT!$A$2:$A$13,CPT!$D$2:$D$13)</f>
        <v>1450</v>
      </c>
      <c r="R5063" s="1">
        <f>_xlfn.XLOOKUP(C5063,Contract!$A$2:$A$9,Contract!$B$2:$B$9)</f>
        <v>0.45</v>
      </c>
      <c r="S5063" s="1">
        <f t="shared" si="316"/>
        <v>3262.5</v>
      </c>
      <c r="T5063" s="1">
        <f t="shared" si="317"/>
        <v>-318.46000000000004</v>
      </c>
      <c r="U5063" s="1" t="str">
        <f t="shared" si="318"/>
        <v>OK</v>
      </c>
      <c r="V5063" s="1" t="str">
        <f>_xlfn.XLOOKUP(C5063,Payers!$A$2:$A$9,Payers!$B$2:$B$9)</f>
        <v>Blue Horizon Commercial</v>
      </c>
      <c r="W5063" s="1" t="str">
        <f t="shared" si="319"/>
        <v>2025-10</v>
      </c>
    </row>
    <row r="5064" spans="1:23">
      <c r="A5064" s="1" t="s">
        <v>7807</v>
      </c>
      <c r="B5064" s="1" t="s">
        <v>3497</v>
      </c>
      <c r="C5064" s="1" t="s">
        <v>47</v>
      </c>
      <c r="D5064" s="1" t="s">
        <v>30</v>
      </c>
      <c r="E5064" s="1" t="s">
        <v>20</v>
      </c>
      <c r="F5064">
        <v>1</v>
      </c>
      <c r="G5064" s="2">
        <v>46185</v>
      </c>
      <c r="H5064" s="2">
        <v>46191</v>
      </c>
      <c r="I5064">
        <v>143.26</v>
      </c>
      <c r="J5064">
        <v>34.880000000000003</v>
      </c>
      <c r="K5064">
        <v>34.880000000000003</v>
      </c>
      <c r="L5064">
        <v>0</v>
      </c>
      <c r="M5064" s="1" t="s">
        <v>21</v>
      </c>
      <c r="N5064" s="1" t="s">
        <v>22</v>
      </c>
      <c r="O5064" s="2">
        <v>46264</v>
      </c>
      <c r="P5064" s="2">
        <v>46264</v>
      </c>
      <c r="Q5064">
        <f>_xlfn.XLOOKUP(E5064,CPT!$A$2:$A$13,CPT!$D$2:$D$13)</f>
        <v>145</v>
      </c>
      <c r="R5064" s="1">
        <f>_xlfn.XLOOKUP(C5064,Contract!$A$2:$A$9,Contract!$B$2:$B$9)</f>
        <v>0.28000000000000003</v>
      </c>
      <c r="S5064" s="1">
        <f t="shared" si="316"/>
        <v>40.6</v>
      </c>
      <c r="T5064" s="1">
        <f t="shared" si="317"/>
        <v>5.7199999999999989</v>
      </c>
      <c r="U5064" s="1" t="str">
        <f t="shared" si="318"/>
        <v>Underpaid</v>
      </c>
      <c r="V5064" s="1" t="str">
        <f>_xlfn.XLOOKUP(C5064,Payers!$A$2:$A$9,Payers!$B$2:$B$9)</f>
        <v>Coastal Medicaid MCO</v>
      </c>
      <c r="W5064" s="1" t="str">
        <f t="shared" si="319"/>
        <v>2026-06</v>
      </c>
    </row>
    <row r="5065" spans="1:23">
      <c r="A5065" s="1" t="s">
        <v>7808</v>
      </c>
      <c r="B5065" s="1" t="s">
        <v>6556</v>
      </c>
      <c r="C5065" s="1" t="s">
        <v>76</v>
      </c>
      <c r="D5065" s="1" t="s">
        <v>19</v>
      </c>
      <c r="E5065" s="1" t="s">
        <v>57</v>
      </c>
      <c r="F5065">
        <v>1</v>
      </c>
      <c r="G5065" s="2">
        <v>46068</v>
      </c>
      <c r="H5065" s="2">
        <v>46070</v>
      </c>
      <c r="I5065">
        <v>206.85</v>
      </c>
      <c r="J5065">
        <v>78.489999999999995</v>
      </c>
      <c r="K5065">
        <v>70.64</v>
      </c>
      <c r="L5065">
        <v>7.85</v>
      </c>
      <c r="M5065" s="1" t="s">
        <v>21</v>
      </c>
      <c r="N5065" s="1" t="s">
        <v>22</v>
      </c>
      <c r="O5065" s="2">
        <v>46096</v>
      </c>
      <c r="P5065" s="2">
        <v>46096</v>
      </c>
      <c r="Q5065">
        <f>_xlfn.XLOOKUP(E5065,CPT!$A$2:$A$13,CPT!$D$2:$D$13)</f>
        <v>210</v>
      </c>
      <c r="R5065" s="1">
        <f>_xlfn.XLOOKUP(C5065,Contract!$A$2:$A$9,Contract!$B$2:$B$9)</f>
        <v>0.43</v>
      </c>
      <c r="S5065" s="1">
        <f t="shared" si="316"/>
        <v>90.3</v>
      </c>
      <c r="T5065" s="1">
        <f t="shared" si="317"/>
        <v>11.810000000000002</v>
      </c>
      <c r="U5065" s="1" t="str">
        <f t="shared" si="318"/>
        <v>Underpaid</v>
      </c>
      <c r="V5065" s="1" t="str">
        <f>_xlfn.XLOOKUP(C5065,Payers!$A$2:$A$9,Payers!$B$2:$B$9)</f>
        <v>Summit Health Commercial</v>
      </c>
      <c r="W5065" s="1" t="str">
        <f t="shared" si="319"/>
        <v>2026-02</v>
      </c>
    </row>
    <row r="5066" spans="1:23">
      <c r="A5066" s="1" t="s">
        <v>7809</v>
      </c>
      <c r="B5066" s="1" t="s">
        <v>3578</v>
      </c>
      <c r="C5066" s="1" t="s">
        <v>76</v>
      </c>
      <c r="D5066" s="1" t="s">
        <v>30</v>
      </c>
      <c r="E5066" s="1" t="s">
        <v>20</v>
      </c>
      <c r="F5066">
        <v>1</v>
      </c>
      <c r="G5066" s="2">
        <v>46065</v>
      </c>
      <c r="H5066" s="2">
        <v>46068</v>
      </c>
      <c r="I5066">
        <v>144.79</v>
      </c>
      <c r="J5066">
        <v>62.03</v>
      </c>
      <c r="K5066">
        <v>62.03</v>
      </c>
      <c r="L5066">
        <v>0</v>
      </c>
      <c r="M5066" s="1" t="s">
        <v>21</v>
      </c>
      <c r="N5066" s="1" t="s">
        <v>22</v>
      </c>
      <c r="O5066" s="2">
        <v>46097</v>
      </c>
      <c r="P5066" s="2">
        <v>46097</v>
      </c>
      <c r="Q5066">
        <f>_xlfn.XLOOKUP(E5066,CPT!$A$2:$A$13,CPT!$D$2:$D$13)</f>
        <v>145</v>
      </c>
      <c r="R5066" s="1">
        <f>_xlfn.XLOOKUP(C5066,Contract!$A$2:$A$9,Contract!$B$2:$B$9)</f>
        <v>0.43</v>
      </c>
      <c r="S5066" s="1">
        <f t="shared" si="316"/>
        <v>62.35</v>
      </c>
      <c r="T5066" s="1">
        <f t="shared" si="317"/>
        <v>0.32000000000000028</v>
      </c>
      <c r="U5066" s="1" t="str">
        <f t="shared" si="318"/>
        <v>OK</v>
      </c>
      <c r="V5066" s="1" t="str">
        <f>_xlfn.XLOOKUP(C5066,Payers!$A$2:$A$9,Payers!$B$2:$B$9)</f>
        <v>Summit Health Commercial</v>
      </c>
      <c r="W5066" s="1" t="str">
        <f t="shared" si="319"/>
        <v>2026-02</v>
      </c>
    </row>
    <row r="5067" spans="1:23">
      <c r="A5067" s="1" t="s">
        <v>7810</v>
      </c>
      <c r="B5067" s="1" t="s">
        <v>3222</v>
      </c>
      <c r="C5067" s="1" t="s">
        <v>25</v>
      </c>
      <c r="D5067" s="1" t="s">
        <v>19</v>
      </c>
      <c r="E5067" s="1" t="s">
        <v>20</v>
      </c>
      <c r="F5067">
        <v>1</v>
      </c>
      <c r="G5067" s="2">
        <v>45978</v>
      </c>
      <c r="H5067" s="2">
        <v>45983</v>
      </c>
      <c r="I5067">
        <v>140.74</v>
      </c>
      <c r="J5067">
        <v>49.79</v>
      </c>
      <c r="K5067">
        <v>49.79</v>
      </c>
      <c r="L5067">
        <v>0</v>
      </c>
      <c r="M5067" s="1" t="s">
        <v>21</v>
      </c>
      <c r="N5067" s="1" t="s">
        <v>22</v>
      </c>
      <c r="O5067" s="2">
        <v>45999</v>
      </c>
      <c r="P5067" s="2">
        <v>45999</v>
      </c>
      <c r="Q5067">
        <f>_xlfn.XLOOKUP(E5067,CPT!$A$2:$A$13,CPT!$D$2:$D$13)</f>
        <v>145</v>
      </c>
      <c r="R5067" s="1">
        <f>_xlfn.XLOOKUP(C5067,Contract!$A$2:$A$9,Contract!$B$2:$B$9)</f>
        <v>0.36</v>
      </c>
      <c r="S5067" s="1">
        <f t="shared" si="316"/>
        <v>52.2</v>
      </c>
      <c r="T5067" s="1">
        <f t="shared" si="317"/>
        <v>2.4100000000000037</v>
      </c>
      <c r="U5067" s="1" t="str">
        <f t="shared" si="318"/>
        <v>OK</v>
      </c>
      <c r="V5067" s="1" t="str">
        <f>_xlfn.XLOOKUP(C5067,Payers!$A$2:$A$9,Payers!$B$2:$B$9)</f>
        <v>Medicare Part B</v>
      </c>
      <c r="W5067" s="1" t="str">
        <f t="shared" si="319"/>
        <v>2025-11</v>
      </c>
    </row>
    <row r="5068" spans="1:23">
      <c r="A5068" s="1" t="s">
        <v>7811</v>
      </c>
      <c r="B5068" s="1" t="s">
        <v>5963</v>
      </c>
      <c r="C5068" s="1" t="s">
        <v>60</v>
      </c>
      <c r="D5068" s="1" t="s">
        <v>30</v>
      </c>
      <c r="E5068" s="1" t="s">
        <v>31</v>
      </c>
      <c r="F5068">
        <v>1</v>
      </c>
      <c r="G5068" s="2">
        <v>46009</v>
      </c>
      <c r="H5068" s="2">
        <v>46010</v>
      </c>
      <c r="I5068">
        <v>60.68</v>
      </c>
      <c r="J5068">
        <v>23.96</v>
      </c>
      <c r="K5068">
        <v>19.170000000000002</v>
      </c>
      <c r="L5068">
        <v>4.79</v>
      </c>
      <c r="M5068" s="1" t="s">
        <v>21</v>
      </c>
      <c r="N5068" s="1" t="s">
        <v>22</v>
      </c>
      <c r="O5068" s="2">
        <v>46050</v>
      </c>
      <c r="P5068" s="2">
        <v>46050</v>
      </c>
      <c r="Q5068">
        <f>_xlfn.XLOOKUP(E5068,CPT!$A$2:$A$13,CPT!$D$2:$D$13)</f>
        <v>62</v>
      </c>
      <c r="R5068" s="1">
        <f>_xlfn.XLOOKUP(C5068,Contract!$A$2:$A$9,Contract!$B$2:$B$9)</f>
        <v>0.45</v>
      </c>
      <c r="S5068" s="1">
        <f t="shared" si="316"/>
        <v>27.9</v>
      </c>
      <c r="T5068" s="1">
        <f t="shared" si="317"/>
        <v>3.9399999999999977</v>
      </c>
      <c r="U5068" s="1" t="str">
        <f t="shared" si="318"/>
        <v>Underpaid</v>
      </c>
      <c r="V5068" s="1" t="str">
        <f>_xlfn.XLOOKUP(C5068,Payers!$A$2:$A$9,Payers!$B$2:$B$9)</f>
        <v>Blue Horizon Commercial</v>
      </c>
      <c r="W5068" s="1" t="str">
        <f t="shared" si="319"/>
        <v>2025-12</v>
      </c>
    </row>
    <row r="5069" spans="1:23">
      <c r="A5069" s="1" t="s">
        <v>7812</v>
      </c>
      <c r="B5069" s="1" t="s">
        <v>6709</v>
      </c>
      <c r="C5069" s="1" t="s">
        <v>47</v>
      </c>
      <c r="D5069" s="1" t="s">
        <v>19</v>
      </c>
      <c r="E5069" s="1" t="s">
        <v>88</v>
      </c>
      <c r="F5069">
        <v>1</v>
      </c>
      <c r="G5069" s="2">
        <v>46211</v>
      </c>
      <c r="H5069" s="2">
        <v>46218</v>
      </c>
      <c r="I5069">
        <v>259.51</v>
      </c>
      <c r="J5069">
        <v>79.930000000000007</v>
      </c>
      <c r="K5069">
        <v>63.94</v>
      </c>
      <c r="L5069">
        <v>15.99</v>
      </c>
      <c r="M5069" s="1" t="s">
        <v>21</v>
      </c>
      <c r="N5069" s="1" t="s">
        <v>22</v>
      </c>
      <c r="O5069" s="2">
        <v>46263</v>
      </c>
      <c r="P5069" s="2">
        <v>46263</v>
      </c>
      <c r="Q5069">
        <f>_xlfn.XLOOKUP(E5069,CPT!$A$2:$A$13,CPT!$D$2:$D$13)</f>
        <v>260</v>
      </c>
      <c r="R5069" s="1">
        <f>_xlfn.XLOOKUP(C5069,Contract!$A$2:$A$9,Contract!$B$2:$B$9)</f>
        <v>0.28000000000000003</v>
      </c>
      <c r="S5069" s="1">
        <f t="shared" si="316"/>
        <v>72.8</v>
      </c>
      <c r="T5069" s="1">
        <f t="shared" si="317"/>
        <v>-7.1300000000000097</v>
      </c>
      <c r="U5069" s="1" t="str">
        <f t="shared" si="318"/>
        <v>OK</v>
      </c>
      <c r="V5069" s="1" t="str">
        <f>_xlfn.XLOOKUP(C5069,Payers!$A$2:$A$9,Payers!$B$2:$B$9)</f>
        <v>Coastal Medicaid MCO</v>
      </c>
      <c r="W5069" s="1" t="str">
        <f t="shared" si="319"/>
        <v>2026-07</v>
      </c>
    </row>
    <row r="5070" spans="1:23">
      <c r="A5070" s="1" t="s">
        <v>7813</v>
      </c>
      <c r="B5070" s="1" t="s">
        <v>1553</v>
      </c>
      <c r="C5070" s="1" t="s">
        <v>25</v>
      </c>
      <c r="D5070" s="1" t="s">
        <v>37</v>
      </c>
      <c r="E5070" s="1" t="s">
        <v>48</v>
      </c>
      <c r="F5070">
        <v>1</v>
      </c>
      <c r="G5070" s="2">
        <v>46155</v>
      </c>
      <c r="H5070" s="2">
        <v>46159</v>
      </c>
      <c r="I5070">
        <v>425.09</v>
      </c>
      <c r="J5070">
        <v>163.69</v>
      </c>
      <c r="K5070">
        <v>130.94999999999999</v>
      </c>
      <c r="L5070">
        <v>32.74</v>
      </c>
      <c r="M5070" s="1" t="s">
        <v>21</v>
      </c>
      <c r="N5070" s="1" t="s">
        <v>22</v>
      </c>
      <c r="O5070" s="2">
        <v>46180</v>
      </c>
      <c r="P5070" s="2">
        <v>46180</v>
      </c>
      <c r="Q5070">
        <f>_xlfn.XLOOKUP(E5070,CPT!$A$2:$A$13,CPT!$D$2:$D$13)</f>
        <v>420</v>
      </c>
      <c r="R5070" s="1">
        <f>_xlfn.XLOOKUP(C5070,Contract!$A$2:$A$9,Contract!$B$2:$B$9)</f>
        <v>0.36</v>
      </c>
      <c r="S5070" s="1">
        <f t="shared" si="316"/>
        <v>151.19999999999999</v>
      </c>
      <c r="T5070" s="1">
        <f t="shared" si="317"/>
        <v>-12.490000000000009</v>
      </c>
      <c r="U5070" s="1" t="str">
        <f t="shared" si="318"/>
        <v>OK</v>
      </c>
      <c r="V5070" s="1" t="str">
        <f>_xlfn.XLOOKUP(C5070,Payers!$A$2:$A$9,Payers!$B$2:$B$9)</f>
        <v>Medicare Part B</v>
      </c>
      <c r="W5070" s="1" t="str">
        <f t="shared" si="319"/>
        <v>2026-05</v>
      </c>
    </row>
    <row r="5071" spans="1:23">
      <c r="A5071" s="1" t="s">
        <v>7814</v>
      </c>
      <c r="B5071" s="1" t="s">
        <v>4099</v>
      </c>
      <c r="C5071" s="1" t="s">
        <v>25</v>
      </c>
      <c r="D5071" s="1" t="s">
        <v>37</v>
      </c>
      <c r="E5071" s="1" t="s">
        <v>57</v>
      </c>
      <c r="F5071">
        <v>1</v>
      </c>
      <c r="G5071" s="2">
        <v>45960</v>
      </c>
      <c r="H5071" s="2">
        <v>45965</v>
      </c>
      <c r="I5071">
        <v>215.66</v>
      </c>
      <c r="J5071">
        <v>67.09</v>
      </c>
      <c r="K5071">
        <v>67.09</v>
      </c>
      <c r="L5071">
        <v>0</v>
      </c>
      <c r="M5071" s="1" t="s">
        <v>21</v>
      </c>
      <c r="N5071" s="1" t="s">
        <v>22</v>
      </c>
      <c r="O5071" s="2">
        <v>45983</v>
      </c>
      <c r="P5071" s="2">
        <v>45983</v>
      </c>
      <c r="Q5071">
        <f>_xlfn.XLOOKUP(E5071,CPT!$A$2:$A$13,CPT!$D$2:$D$13)</f>
        <v>210</v>
      </c>
      <c r="R5071" s="1">
        <f>_xlfn.XLOOKUP(C5071,Contract!$A$2:$A$9,Contract!$B$2:$B$9)</f>
        <v>0.36</v>
      </c>
      <c r="S5071" s="1">
        <f t="shared" si="316"/>
        <v>75.599999999999994</v>
      </c>
      <c r="T5071" s="1">
        <f t="shared" si="317"/>
        <v>8.5099999999999909</v>
      </c>
      <c r="U5071" s="1" t="str">
        <f t="shared" si="318"/>
        <v>Underpaid</v>
      </c>
      <c r="V5071" s="1" t="str">
        <f>_xlfn.XLOOKUP(C5071,Payers!$A$2:$A$9,Payers!$B$2:$B$9)</f>
        <v>Medicare Part B</v>
      </c>
      <c r="W5071" s="1" t="str">
        <f t="shared" si="319"/>
        <v>2025-10</v>
      </c>
    </row>
    <row r="5072" spans="1:23">
      <c r="A5072" s="1" t="s">
        <v>7815</v>
      </c>
      <c r="B5072" s="1" t="s">
        <v>7246</v>
      </c>
      <c r="C5072" s="1" t="s">
        <v>76</v>
      </c>
      <c r="D5072" s="1" t="s">
        <v>37</v>
      </c>
      <c r="E5072" s="1" t="s">
        <v>38</v>
      </c>
      <c r="F5072">
        <v>10</v>
      </c>
      <c r="G5072" s="2">
        <v>46234</v>
      </c>
      <c r="H5072" s="2">
        <v>46236</v>
      </c>
      <c r="I5072">
        <v>14249.09</v>
      </c>
      <c r="M5072" s="1" t="s">
        <v>32</v>
      </c>
      <c r="N5072" s="1" t="s">
        <v>49</v>
      </c>
      <c r="O5072" s="2">
        <v>46272</v>
      </c>
      <c r="P5072" s="2"/>
      <c r="Q5072">
        <f>_xlfn.XLOOKUP(E5072,CPT!$A$2:$A$13,CPT!$D$2:$D$13)</f>
        <v>1450</v>
      </c>
      <c r="R5072" s="1">
        <f>_xlfn.XLOOKUP(C5072,Contract!$A$2:$A$9,Contract!$B$2:$B$9)</f>
        <v>0.43</v>
      </c>
      <c r="S5072" s="1">
        <f t="shared" si="316"/>
        <v>6235</v>
      </c>
      <c r="T5072" s="1" t="str">
        <f t="shared" si="317"/>
        <v/>
      </c>
      <c r="U5072" s="1" t="str">
        <f t="shared" si="318"/>
        <v/>
      </c>
      <c r="V5072" s="1" t="str">
        <f>_xlfn.XLOOKUP(C5072,Payers!$A$2:$A$9,Payers!$B$2:$B$9)</f>
        <v>Summit Health Commercial</v>
      </c>
      <c r="W5072" s="1" t="str">
        <f t="shared" si="319"/>
        <v>2026-07</v>
      </c>
    </row>
    <row r="5073" spans="1:23">
      <c r="A5073" s="1" t="s">
        <v>7816</v>
      </c>
      <c r="B5073" s="1" t="s">
        <v>709</v>
      </c>
      <c r="C5073" s="1" t="s">
        <v>76</v>
      </c>
      <c r="D5073" s="1" t="s">
        <v>19</v>
      </c>
      <c r="E5073" s="1" t="s">
        <v>20</v>
      </c>
      <c r="F5073">
        <v>1</v>
      </c>
      <c r="G5073" s="2">
        <v>46144</v>
      </c>
      <c r="H5073" s="2">
        <v>46151</v>
      </c>
      <c r="I5073">
        <v>148.84</v>
      </c>
      <c r="J5073">
        <v>64.89</v>
      </c>
      <c r="K5073">
        <v>58.4</v>
      </c>
      <c r="L5073">
        <v>6.49</v>
      </c>
      <c r="M5073" s="1" t="s">
        <v>21</v>
      </c>
      <c r="N5073" s="1" t="s">
        <v>22</v>
      </c>
      <c r="O5073" s="2">
        <v>46175</v>
      </c>
      <c r="P5073" s="2">
        <v>46175</v>
      </c>
      <c r="Q5073">
        <f>_xlfn.XLOOKUP(E5073,CPT!$A$2:$A$13,CPT!$D$2:$D$13)</f>
        <v>145</v>
      </c>
      <c r="R5073" s="1">
        <f>_xlfn.XLOOKUP(C5073,Contract!$A$2:$A$9,Contract!$B$2:$B$9)</f>
        <v>0.43</v>
      </c>
      <c r="S5073" s="1">
        <f t="shared" si="316"/>
        <v>62.35</v>
      </c>
      <c r="T5073" s="1">
        <f t="shared" si="317"/>
        <v>-2.5399999999999991</v>
      </c>
      <c r="U5073" s="1" t="str">
        <f t="shared" si="318"/>
        <v>OK</v>
      </c>
      <c r="V5073" s="1" t="str">
        <f>_xlfn.XLOOKUP(C5073,Payers!$A$2:$A$9,Payers!$B$2:$B$9)</f>
        <v>Summit Health Commercial</v>
      </c>
      <c r="W5073" s="1" t="str">
        <f t="shared" si="319"/>
        <v>2026-05</v>
      </c>
    </row>
    <row r="5074" spans="1:23">
      <c r="A5074" s="1" t="s">
        <v>7817</v>
      </c>
      <c r="B5074" s="1" t="s">
        <v>2714</v>
      </c>
      <c r="C5074" s="1" t="s">
        <v>25</v>
      </c>
      <c r="D5074" s="1" t="s">
        <v>26</v>
      </c>
      <c r="E5074" s="1" t="s">
        <v>185</v>
      </c>
      <c r="F5074">
        <v>1</v>
      </c>
      <c r="G5074" s="2">
        <v>46231</v>
      </c>
      <c r="H5074" s="2">
        <v>46236</v>
      </c>
      <c r="I5074">
        <v>1166.5999999999999</v>
      </c>
      <c r="M5074" s="1" t="s">
        <v>32</v>
      </c>
      <c r="N5074" s="1" t="s">
        <v>33</v>
      </c>
      <c r="O5074" s="2">
        <v>46253</v>
      </c>
      <c r="P5074" s="2"/>
      <c r="Q5074">
        <f>_xlfn.XLOOKUP(E5074,CPT!$A$2:$A$13,CPT!$D$2:$D$13)</f>
        <v>1150</v>
      </c>
      <c r="R5074" s="1">
        <f>_xlfn.XLOOKUP(C5074,Contract!$A$2:$A$9,Contract!$B$2:$B$9)</f>
        <v>0.36</v>
      </c>
      <c r="S5074" s="1">
        <f t="shared" si="316"/>
        <v>414</v>
      </c>
      <c r="T5074" s="1" t="str">
        <f t="shared" si="317"/>
        <v/>
      </c>
      <c r="U5074" s="1" t="str">
        <f t="shared" si="318"/>
        <v/>
      </c>
      <c r="V5074" s="1" t="str">
        <f>_xlfn.XLOOKUP(C5074,Payers!$A$2:$A$9,Payers!$B$2:$B$9)</f>
        <v>Medicare Part B</v>
      </c>
      <c r="W5074" s="1" t="str">
        <f t="shared" si="319"/>
        <v>2026-07</v>
      </c>
    </row>
    <row r="5075" spans="1:23">
      <c r="A5075" s="1" t="s">
        <v>7818</v>
      </c>
      <c r="B5075" s="1" t="s">
        <v>3164</v>
      </c>
      <c r="C5075" s="1" t="s">
        <v>25</v>
      </c>
      <c r="D5075" s="1" t="s">
        <v>30</v>
      </c>
      <c r="E5075" s="1" t="s">
        <v>20</v>
      </c>
      <c r="F5075">
        <v>1</v>
      </c>
      <c r="G5075" s="2">
        <v>46156</v>
      </c>
      <c r="H5075" s="2">
        <v>46157</v>
      </c>
      <c r="I5075">
        <v>143.53</v>
      </c>
      <c r="J5075">
        <v>55.66</v>
      </c>
      <c r="K5075">
        <v>50.09</v>
      </c>
      <c r="L5075">
        <v>5.57</v>
      </c>
      <c r="M5075" s="1" t="s">
        <v>21</v>
      </c>
      <c r="N5075" s="1" t="s">
        <v>22</v>
      </c>
      <c r="O5075" s="2">
        <v>46184</v>
      </c>
      <c r="P5075" s="2">
        <v>46184</v>
      </c>
      <c r="Q5075">
        <f>_xlfn.XLOOKUP(E5075,CPT!$A$2:$A$13,CPT!$D$2:$D$13)</f>
        <v>145</v>
      </c>
      <c r="R5075" s="1">
        <f>_xlfn.XLOOKUP(C5075,Contract!$A$2:$A$9,Contract!$B$2:$B$9)</f>
        <v>0.36</v>
      </c>
      <c r="S5075" s="1">
        <f t="shared" si="316"/>
        <v>52.2</v>
      </c>
      <c r="T5075" s="1">
        <f t="shared" si="317"/>
        <v>-3.4599999999999937</v>
      </c>
      <c r="U5075" s="1" t="str">
        <f t="shared" si="318"/>
        <v>OK</v>
      </c>
      <c r="V5075" s="1" t="str">
        <f>_xlfn.XLOOKUP(C5075,Payers!$A$2:$A$9,Payers!$B$2:$B$9)</f>
        <v>Medicare Part B</v>
      </c>
      <c r="W5075" s="1" t="str">
        <f t="shared" si="319"/>
        <v>2026-05</v>
      </c>
    </row>
    <row r="5076" spans="1:23">
      <c r="A5076" s="1" t="s">
        <v>7819</v>
      </c>
      <c r="B5076" s="1" t="s">
        <v>7367</v>
      </c>
      <c r="C5076" s="1" t="s">
        <v>18</v>
      </c>
      <c r="D5076" s="1" t="s">
        <v>26</v>
      </c>
      <c r="E5076" s="1" t="s">
        <v>57</v>
      </c>
      <c r="F5076">
        <v>1</v>
      </c>
      <c r="G5076" s="2">
        <v>46095</v>
      </c>
      <c r="H5076" s="2">
        <v>46096</v>
      </c>
      <c r="I5076">
        <v>210.66</v>
      </c>
      <c r="M5076" s="1" t="s">
        <v>32</v>
      </c>
      <c r="N5076" s="1" t="s">
        <v>49</v>
      </c>
      <c r="O5076" s="2">
        <v>46130</v>
      </c>
      <c r="P5076" s="2"/>
      <c r="Q5076">
        <f>_xlfn.XLOOKUP(E5076,CPT!$A$2:$A$13,CPT!$D$2:$D$13)</f>
        <v>210</v>
      </c>
      <c r="R5076" s="1">
        <f>_xlfn.XLOOKUP(C5076,Contract!$A$2:$A$9,Contract!$B$2:$B$9)</f>
        <v>0.38</v>
      </c>
      <c r="S5076" s="1">
        <f t="shared" si="316"/>
        <v>79.8</v>
      </c>
      <c r="T5076" s="1" t="str">
        <f t="shared" si="317"/>
        <v/>
      </c>
      <c r="U5076" s="1" t="str">
        <f t="shared" si="318"/>
        <v/>
      </c>
      <c r="V5076" s="1" t="str">
        <f>_xlfn.XLOOKUP(C5076,Payers!$A$2:$A$9,Payers!$B$2:$B$9)</f>
        <v>Sunshine Medicare Advantage</v>
      </c>
      <c r="W5076" s="1" t="str">
        <f t="shared" si="319"/>
        <v>2026-03</v>
      </c>
    </row>
    <row r="5077" spans="1:23">
      <c r="A5077" s="1" t="s">
        <v>7820</v>
      </c>
      <c r="B5077" s="1" t="s">
        <v>1656</v>
      </c>
      <c r="C5077" s="1" t="s">
        <v>47</v>
      </c>
      <c r="D5077" s="1" t="s">
        <v>26</v>
      </c>
      <c r="E5077" s="1" t="s">
        <v>44</v>
      </c>
      <c r="F5077">
        <v>1</v>
      </c>
      <c r="G5077" s="2">
        <v>45943</v>
      </c>
      <c r="H5077" s="2">
        <v>45946</v>
      </c>
      <c r="I5077">
        <v>4781.75</v>
      </c>
      <c r="J5077">
        <v>1434.4</v>
      </c>
      <c r="K5077">
        <v>1290.96</v>
      </c>
      <c r="L5077">
        <v>143.44</v>
      </c>
      <c r="M5077" s="1" t="s">
        <v>21</v>
      </c>
      <c r="N5077" s="1" t="s">
        <v>22</v>
      </c>
      <c r="O5077" s="2">
        <v>46009</v>
      </c>
      <c r="P5077" s="2">
        <v>46009</v>
      </c>
      <c r="Q5077">
        <f>_xlfn.XLOOKUP(E5077,CPT!$A$2:$A$13,CPT!$D$2:$D$13)</f>
        <v>4800</v>
      </c>
      <c r="R5077" s="1">
        <f>_xlfn.XLOOKUP(C5077,Contract!$A$2:$A$9,Contract!$B$2:$B$9)</f>
        <v>0.28000000000000003</v>
      </c>
      <c r="S5077" s="1">
        <f t="shared" si="316"/>
        <v>1344</v>
      </c>
      <c r="T5077" s="1">
        <f t="shared" si="317"/>
        <v>-90.400000000000091</v>
      </c>
      <c r="U5077" s="1" t="str">
        <f t="shared" si="318"/>
        <v>OK</v>
      </c>
      <c r="V5077" s="1" t="str">
        <f>_xlfn.XLOOKUP(C5077,Payers!$A$2:$A$9,Payers!$B$2:$B$9)</f>
        <v>Coastal Medicaid MCO</v>
      </c>
      <c r="W5077" s="1" t="str">
        <f t="shared" si="319"/>
        <v>2025-10</v>
      </c>
    </row>
    <row r="5078" spans="1:23">
      <c r="A5078" s="1" t="s">
        <v>7821</v>
      </c>
      <c r="B5078" s="1" t="s">
        <v>7094</v>
      </c>
      <c r="C5078" s="1" t="s">
        <v>47</v>
      </c>
      <c r="D5078" s="1" t="s">
        <v>30</v>
      </c>
      <c r="E5078" s="1" t="s">
        <v>20</v>
      </c>
      <c r="F5078">
        <v>1</v>
      </c>
      <c r="G5078" s="2">
        <v>46202</v>
      </c>
      <c r="H5078" s="2">
        <v>46205</v>
      </c>
      <c r="I5078">
        <v>142.4</v>
      </c>
      <c r="M5078" s="1" t="s">
        <v>32</v>
      </c>
      <c r="N5078" s="1" t="s">
        <v>33</v>
      </c>
      <c r="O5078" s="2">
        <v>46271</v>
      </c>
      <c r="P5078" s="2"/>
      <c r="Q5078">
        <f>_xlfn.XLOOKUP(E5078,CPT!$A$2:$A$13,CPT!$D$2:$D$13)</f>
        <v>145</v>
      </c>
      <c r="R5078" s="1">
        <f>_xlfn.XLOOKUP(C5078,Contract!$A$2:$A$9,Contract!$B$2:$B$9)</f>
        <v>0.28000000000000003</v>
      </c>
      <c r="S5078" s="1">
        <f t="shared" si="316"/>
        <v>40.6</v>
      </c>
      <c r="T5078" s="1" t="str">
        <f t="shared" si="317"/>
        <v/>
      </c>
      <c r="U5078" s="1" t="str">
        <f t="shared" si="318"/>
        <v/>
      </c>
      <c r="V5078" s="1" t="str">
        <f>_xlfn.XLOOKUP(C5078,Payers!$A$2:$A$9,Payers!$B$2:$B$9)</f>
        <v>Coastal Medicaid MCO</v>
      </c>
      <c r="W5078" s="1" t="str">
        <f t="shared" si="319"/>
        <v>2026-06</v>
      </c>
    </row>
    <row r="5079" spans="1:23">
      <c r="A5079" s="1" t="s">
        <v>7822</v>
      </c>
      <c r="B5079" s="1" t="s">
        <v>3963</v>
      </c>
      <c r="C5079" s="1" t="s">
        <v>18</v>
      </c>
      <c r="D5079" s="1" t="s">
        <v>26</v>
      </c>
      <c r="E5079" s="1" t="s">
        <v>88</v>
      </c>
      <c r="F5079">
        <v>1</v>
      </c>
      <c r="G5079" s="2">
        <v>46262</v>
      </c>
      <c r="H5079" s="2">
        <v>46266</v>
      </c>
      <c r="I5079">
        <v>263.2</v>
      </c>
      <c r="M5079" s="1" t="s">
        <v>69</v>
      </c>
      <c r="N5079" s="1" t="s">
        <v>22</v>
      </c>
      <c r="O5079" s="2"/>
      <c r="P5079" s="2"/>
      <c r="Q5079">
        <f>_xlfn.XLOOKUP(E5079,CPT!$A$2:$A$13,CPT!$D$2:$D$13)</f>
        <v>260</v>
      </c>
      <c r="R5079" s="1">
        <f>_xlfn.XLOOKUP(C5079,Contract!$A$2:$A$9,Contract!$B$2:$B$9)</f>
        <v>0.38</v>
      </c>
      <c r="S5079" s="1">
        <f t="shared" si="316"/>
        <v>98.8</v>
      </c>
      <c r="T5079" s="1" t="str">
        <f t="shared" si="317"/>
        <v/>
      </c>
      <c r="U5079" s="1" t="str">
        <f t="shared" si="318"/>
        <v/>
      </c>
      <c r="V5079" s="1" t="str">
        <f>_xlfn.XLOOKUP(C5079,Payers!$A$2:$A$9,Payers!$B$2:$B$9)</f>
        <v>Sunshine Medicare Advantage</v>
      </c>
      <c r="W5079" s="1" t="str">
        <f t="shared" si="319"/>
        <v>2026-08</v>
      </c>
    </row>
    <row r="5080" spans="1:23">
      <c r="A5080" s="1" t="s">
        <v>7823</v>
      </c>
      <c r="B5080" s="1" t="s">
        <v>2424</v>
      </c>
      <c r="C5080" s="1" t="s">
        <v>76</v>
      </c>
      <c r="D5080" s="1" t="s">
        <v>26</v>
      </c>
      <c r="E5080" s="1" t="s">
        <v>41</v>
      </c>
      <c r="F5080">
        <v>1</v>
      </c>
      <c r="G5080" s="2">
        <v>46146</v>
      </c>
      <c r="H5080" s="2">
        <v>46152</v>
      </c>
      <c r="I5080">
        <v>38.29</v>
      </c>
      <c r="J5080">
        <v>15</v>
      </c>
      <c r="K5080">
        <v>15</v>
      </c>
      <c r="L5080">
        <v>0</v>
      </c>
      <c r="M5080" s="1" t="s">
        <v>21</v>
      </c>
      <c r="N5080" s="1" t="s">
        <v>22</v>
      </c>
      <c r="O5080" s="2">
        <v>46183</v>
      </c>
      <c r="P5080" s="2">
        <v>46183</v>
      </c>
      <c r="Q5080">
        <f>_xlfn.XLOOKUP(E5080,CPT!$A$2:$A$13,CPT!$D$2:$D$13)</f>
        <v>38</v>
      </c>
      <c r="R5080" s="1">
        <f>_xlfn.XLOOKUP(C5080,Contract!$A$2:$A$9,Contract!$B$2:$B$9)</f>
        <v>0.43</v>
      </c>
      <c r="S5080" s="1">
        <f t="shared" si="316"/>
        <v>16.34</v>
      </c>
      <c r="T5080" s="1">
        <f t="shared" si="317"/>
        <v>1.3399999999999999</v>
      </c>
      <c r="U5080" s="1" t="str">
        <f t="shared" si="318"/>
        <v>Underpaid</v>
      </c>
      <c r="V5080" s="1" t="str">
        <f>_xlfn.XLOOKUP(C5080,Payers!$A$2:$A$9,Payers!$B$2:$B$9)</f>
        <v>Summit Health Commercial</v>
      </c>
      <c r="W5080" s="1" t="str">
        <f t="shared" si="319"/>
        <v>2026-05</v>
      </c>
    </row>
    <row r="5081" spans="1:23">
      <c r="A5081" s="1" t="s">
        <v>7824</v>
      </c>
      <c r="B5081" s="1" t="s">
        <v>1882</v>
      </c>
      <c r="C5081" s="1" t="s">
        <v>76</v>
      </c>
      <c r="D5081" s="1" t="s">
        <v>37</v>
      </c>
      <c r="E5081" s="1" t="s">
        <v>57</v>
      </c>
      <c r="F5081">
        <v>1</v>
      </c>
      <c r="G5081" s="2">
        <v>45972</v>
      </c>
      <c r="H5081" s="2">
        <v>45974</v>
      </c>
      <c r="I5081">
        <v>210.01</v>
      </c>
      <c r="J5081">
        <v>85.58</v>
      </c>
      <c r="K5081">
        <v>77.02</v>
      </c>
      <c r="L5081">
        <v>8.56</v>
      </c>
      <c r="M5081" s="1" t="s">
        <v>21</v>
      </c>
      <c r="N5081" s="1" t="s">
        <v>22</v>
      </c>
      <c r="O5081" s="2">
        <v>46007</v>
      </c>
      <c r="P5081" s="2">
        <v>46007</v>
      </c>
      <c r="Q5081">
        <f>_xlfn.XLOOKUP(E5081,CPT!$A$2:$A$13,CPT!$D$2:$D$13)</f>
        <v>210</v>
      </c>
      <c r="R5081" s="1">
        <f>_xlfn.XLOOKUP(C5081,Contract!$A$2:$A$9,Contract!$B$2:$B$9)</f>
        <v>0.43</v>
      </c>
      <c r="S5081" s="1">
        <f t="shared" si="316"/>
        <v>90.3</v>
      </c>
      <c r="T5081" s="1">
        <f t="shared" si="317"/>
        <v>4.7199999999999989</v>
      </c>
      <c r="U5081" s="1" t="str">
        <f t="shared" si="318"/>
        <v>Underpaid</v>
      </c>
      <c r="V5081" s="1" t="str">
        <f>_xlfn.XLOOKUP(C5081,Payers!$A$2:$A$9,Payers!$B$2:$B$9)</f>
        <v>Summit Health Commercial</v>
      </c>
      <c r="W5081" s="1" t="str">
        <f t="shared" si="319"/>
        <v>2025-11</v>
      </c>
    </row>
    <row r="5082" spans="1:23">
      <c r="A5082" s="1" t="s">
        <v>7825</v>
      </c>
      <c r="B5082" s="1" t="s">
        <v>7826</v>
      </c>
      <c r="C5082" s="1" t="s">
        <v>60</v>
      </c>
      <c r="D5082" s="1" t="s">
        <v>30</v>
      </c>
      <c r="E5082" s="1" t="s">
        <v>91</v>
      </c>
      <c r="F5082">
        <v>1</v>
      </c>
      <c r="G5082" s="2">
        <v>46008</v>
      </c>
      <c r="H5082" s="2">
        <v>46141</v>
      </c>
      <c r="I5082">
        <v>59.57</v>
      </c>
      <c r="M5082" s="1" t="s">
        <v>32</v>
      </c>
      <c r="N5082" s="1" t="s">
        <v>137</v>
      </c>
      <c r="O5082" s="2">
        <v>46179</v>
      </c>
      <c r="P5082" s="2"/>
      <c r="Q5082">
        <f>_xlfn.XLOOKUP(E5082,CPT!$A$2:$A$13,CPT!$D$2:$D$13)</f>
        <v>58</v>
      </c>
      <c r="R5082" s="1">
        <f>_xlfn.XLOOKUP(C5082,Contract!$A$2:$A$9,Contract!$B$2:$B$9)</f>
        <v>0.45</v>
      </c>
      <c r="S5082" s="1">
        <f t="shared" si="316"/>
        <v>26.1</v>
      </c>
      <c r="T5082" s="1" t="str">
        <f t="shared" si="317"/>
        <v/>
      </c>
      <c r="U5082" s="1" t="str">
        <f t="shared" si="318"/>
        <v/>
      </c>
      <c r="V5082" s="1" t="str">
        <f>_xlfn.XLOOKUP(C5082,Payers!$A$2:$A$9,Payers!$B$2:$B$9)</f>
        <v>Blue Horizon Commercial</v>
      </c>
      <c r="W5082" s="1" t="str">
        <f t="shared" si="319"/>
        <v>2025-12</v>
      </c>
    </row>
    <row r="5083" spans="1:23">
      <c r="A5083" s="1" t="s">
        <v>7827</v>
      </c>
      <c r="B5083" s="1" t="s">
        <v>3216</v>
      </c>
      <c r="C5083" s="1" t="s">
        <v>52</v>
      </c>
      <c r="D5083" s="1" t="s">
        <v>37</v>
      </c>
      <c r="E5083" s="1" t="s">
        <v>38</v>
      </c>
      <c r="F5083">
        <v>10</v>
      </c>
      <c r="G5083" s="2">
        <v>46031</v>
      </c>
      <c r="H5083" s="2">
        <v>46032</v>
      </c>
      <c r="I5083">
        <v>14250.96</v>
      </c>
      <c r="J5083">
        <v>6974.3</v>
      </c>
      <c r="K5083">
        <v>6974.3</v>
      </c>
      <c r="L5083">
        <v>0</v>
      </c>
      <c r="M5083" s="1" t="s">
        <v>21</v>
      </c>
      <c r="N5083" s="1" t="s">
        <v>22</v>
      </c>
      <c r="O5083" s="2">
        <v>46083</v>
      </c>
      <c r="P5083" s="2">
        <v>46083</v>
      </c>
      <c r="Q5083">
        <f>_xlfn.XLOOKUP(E5083,CPT!$A$2:$A$13,CPT!$D$2:$D$13)</f>
        <v>1450</v>
      </c>
      <c r="R5083" s="1">
        <f>_xlfn.XLOOKUP(C5083,Contract!$A$2:$A$9,Contract!$B$2:$B$9)</f>
        <v>0.47</v>
      </c>
      <c r="S5083" s="1">
        <f t="shared" si="316"/>
        <v>6815</v>
      </c>
      <c r="T5083" s="1">
        <f t="shared" si="317"/>
        <v>-159.30000000000018</v>
      </c>
      <c r="U5083" s="1" t="str">
        <f t="shared" si="318"/>
        <v>OK</v>
      </c>
      <c r="V5083" s="1" t="str">
        <f>_xlfn.XLOOKUP(C5083,Payers!$A$2:$A$9,Payers!$B$2:$B$9)</f>
        <v>Keystone Commercial PPO</v>
      </c>
      <c r="W5083" s="1" t="str">
        <f t="shared" si="319"/>
        <v>2026-01</v>
      </c>
    </row>
    <row r="5084" spans="1:23">
      <c r="A5084" s="1" t="s">
        <v>7828</v>
      </c>
      <c r="B5084" s="1" t="s">
        <v>1803</v>
      </c>
      <c r="C5084" s="1" t="s">
        <v>76</v>
      </c>
      <c r="D5084" s="1" t="s">
        <v>19</v>
      </c>
      <c r="E5084" s="1" t="s">
        <v>88</v>
      </c>
      <c r="F5084">
        <v>1</v>
      </c>
      <c r="G5084" s="2">
        <v>46213</v>
      </c>
      <c r="H5084" s="2">
        <v>46218</v>
      </c>
      <c r="I5084">
        <v>257.52</v>
      </c>
      <c r="J5084">
        <v>123.5</v>
      </c>
      <c r="K5084">
        <v>111.15</v>
      </c>
      <c r="L5084">
        <v>12.35</v>
      </c>
      <c r="M5084" s="1" t="s">
        <v>21</v>
      </c>
      <c r="N5084" s="1" t="s">
        <v>22</v>
      </c>
      <c r="O5084" s="2">
        <v>46261</v>
      </c>
      <c r="P5084" s="2">
        <v>46261</v>
      </c>
      <c r="Q5084">
        <f>_xlfn.XLOOKUP(E5084,CPT!$A$2:$A$13,CPT!$D$2:$D$13)</f>
        <v>260</v>
      </c>
      <c r="R5084" s="1">
        <f>_xlfn.XLOOKUP(C5084,Contract!$A$2:$A$9,Contract!$B$2:$B$9)</f>
        <v>0.43</v>
      </c>
      <c r="S5084" s="1">
        <f t="shared" si="316"/>
        <v>111.8</v>
      </c>
      <c r="T5084" s="1">
        <f t="shared" si="317"/>
        <v>-11.700000000000003</v>
      </c>
      <c r="U5084" s="1" t="str">
        <f t="shared" si="318"/>
        <v>OK</v>
      </c>
      <c r="V5084" s="1" t="str">
        <f>_xlfn.XLOOKUP(C5084,Payers!$A$2:$A$9,Payers!$B$2:$B$9)</f>
        <v>Summit Health Commercial</v>
      </c>
      <c r="W5084" s="1" t="str">
        <f t="shared" si="319"/>
        <v>2026-07</v>
      </c>
    </row>
    <row r="5085" spans="1:23">
      <c r="A5085" s="1" t="s">
        <v>7829</v>
      </c>
      <c r="B5085" s="1" t="s">
        <v>7830</v>
      </c>
      <c r="C5085" s="1" t="s">
        <v>18</v>
      </c>
      <c r="D5085" s="1" t="s">
        <v>19</v>
      </c>
      <c r="E5085" s="1" t="s">
        <v>88</v>
      </c>
      <c r="F5085">
        <v>1</v>
      </c>
      <c r="G5085" s="2">
        <v>46276</v>
      </c>
      <c r="H5085" s="2">
        <v>46285</v>
      </c>
      <c r="I5085">
        <v>262.73</v>
      </c>
      <c r="M5085" s="1" t="s">
        <v>69</v>
      </c>
      <c r="N5085" s="1" t="s">
        <v>22</v>
      </c>
      <c r="O5085" s="2"/>
      <c r="P5085" s="2"/>
      <c r="Q5085">
        <f>_xlfn.XLOOKUP(E5085,CPT!$A$2:$A$13,CPT!$D$2:$D$13)</f>
        <v>260</v>
      </c>
      <c r="R5085" s="1">
        <f>_xlfn.XLOOKUP(C5085,Contract!$A$2:$A$9,Contract!$B$2:$B$9)</f>
        <v>0.38</v>
      </c>
      <c r="S5085" s="1">
        <f t="shared" si="316"/>
        <v>98.8</v>
      </c>
      <c r="T5085" s="1" t="str">
        <f t="shared" si="317"/>
        <v/>
      </c>
      <c r="U5085" s="1" t="str">
        <f t="shared" si="318"/>
        <v/>
      </c>
      <c r="V5085" s="1" t="str">
        <f>_xlfn.XLOOKUP(C5085,Payers!$A$2:$A$9,Payers!$B$2:$B$9)</f>
        <v>Sunshine Medicare Advantage</v>
      </c>
      <c r="W5085" s="1" t="str">
        <f t="shared" si="319"/>
        <v>2026-09</v>
      </c>
    </row>
    <row r="5086" spans="1:23">
      <c r="A5086" s="1" t="s">
        <v>7831</v>
      </c>
      <c r="B5086" s="1" t="s">
        <v>1177</v>
      </c>
      <c r="C5086" s="1" t="s">
        <v>76</v>
      </c>
      <c r="D5086" s="1" t="s">
        <v>30</v>
      </c>
      <c r="E5086" s="1" t="s">
        <v>20</v>
      </c>
      <c r="F5086">
        <v>1</v>
      </c>
      <c r="G5086" s="2">
        <v>46097</v>
      </c>
      <c r="H5086" s="2">
        <v>46098</v>
      </c>
      <c r="I5086">
        <v>141.31</v>
      </c>
      <c r="J5086">
        <v>52.88</v>
      </c>
      <c r="K5086">
        <v>52.88</v>
      </c>
      <c r="L5086">
        <v>0</v>
      </c>
      <c r="M5086" s="1" t="s">
        <v>21</v>
      </c>
      <c r="N5086" s="1" t="s">
        <v>22</v>
      </c>
      <c r="O5086" s="2">
        <v>46117</v>
      </c>
      <c r="P5086" s="2">
        <v>46117</v>
      </c>
      <c r="Q5086">
        <f>_xlfn.XLOOKUP(E5086,CPT!$A$2:$A$13,CPT!$D$2:$D$13)</f>
        <v>145</v>
      </c>
      <c r="R5086" s="1">
        <f>_xlfn.XLOOKUP(C5086,Contract!$A$2:$A$9,Contract!$B$2:$B$9)</f>
        <v>0.43</v>
      </c>
      <c r="S5086" s="1">
        <f t="shared" si="316"/>
        <v>62.35</v>
      </c>
      <c r="T5086" s="1">
        <f t="shared" si="317"/>
        <v>9.4699999999999989</v>
      </c>
      <c r="U5086" s="1" t="str">
        <f t="shared" si="318"/>
        <v>Underpaid</v>
      </c>
      <c r="V5086" s="1" t="str">
        <f>_xlfn.XLOOKUP(C5086,Payers!$A$2:$A$9,Payers!$B$2:$B$9)</f>
        <v>Summit Health Commercial</v>
      </c>
      <c r="W5086" s="1" t="str">
        <f t="shared" si="319"/>
        <v>2026-03</v>
      </c>
    </row>
    <row r="5087" spans="1:23">
      <c r="A5087" s="1" t="s">
        <v>7832</v>
      </c>
      <c r="B5087" s="1" t="s">
        <v>7040</v>
      </c>
      <c r="C5087" s="1" t="s">
        <v>18</v>
      </c>
      <c r="D5087" s="1" t="s">
        <v>37</v>
      </c>
      <c r="E5087" s="1" t="s">
        <v>38</v>
      </c>
      <c r="F5087">
        <v>10</v>
      </c>
      <c r="G5087" s="2">
        <v>46232</v>
      </c>
      <c r="H5087" s="2">
        <v>46233</v>
      </c>
      <c r="I5087">
        <v>14303.85</v>
      </c>
      <c r="J5087">
        <v>5961.81</v>
      </c>
      <c r="K5087">
        <v>4769.45</v>
      </c>
      <c r="L5087">
        <v>1192.3599999999999</v>
      </c>
      <c r="M5087" s="1" t="s">
        <v>21</v>
      </c>
      <c r="N5087" s="1" t="s">
        <v>22</v>
      </c>
      <c r="O5087" s="2">
        <v>46293</v>
      </c>
      <c r="P5087" s="2">
        <v>46293</v>
      </c>
      <c r="Q5087">
        <f>_xlfn.XLOOKUP(E5087,CPT!$A$2:$A$13,CPT!$D$2:$D$13)</f>
        <v>1450</v>
      </c>
      <c r="R5087" s="1">
        <f>_xlfn.XLOOKUP(C5087,Contract!$A$2:$A$9,Contract!$B$2:$B$9)</f>
        <v>0.38</v>
      </c>
      <c r="S5087" s="1">
        <f t="shared" si="316"/>
        <v>5510</v>
      </c>
      <c r="T5087" s="1">
        <f t="shared" si="317"/>
        <v>-451.8100000000004</v>
      </c>
      <c r="U5087" s="1" t="str">
        <f t="shared" si="318"/>
        <v>OK</v>
      </c>
      <c r="V5087" s="1" t="str">
        <f>_xlfn.XLOOKUP(C5087,Payers!$A$2:$A$9,Payers!$B$2:$B$9)</f>
        <v>Sunshine Medicare Advantage</v>
      </c>
      <c r="W5087" s="1" t="str">
        <f t="shared" si="319"/>
        <v>2026-07</v>
      </c>
    </row>
    <row r="5088" spans="1:23">
      <c r="A5088" s="1" t="s">
        <v>7833</v>
      </c>
      <c r="B5088" s="1" t="s">
        <v>1400</v>
      </c>
      <c r="C5088" s="1" t="s">
        <v>60</v>
      </c>
      <c r="D5088" s="1" t="s">
        <v>26</v>
      </c>
      <c r="E5088" s="1" t="s">
        <v>41</v>
      </c>
      <c r="F5088">
        <v>1</v>
      </c>
      <c r="G5088" s="2">
        <v>46043</v>
      </c>
      <c r="H5088" s="2">
        <v>46051</v>
      </c>
      <c r="I5088">
        <v>38.630000000000003</v>
      </c>
      <c r="J5088">
        <v>15.99</v>
      </c>
      <c r="K5088">
        <v>12.79</v>
      </c>
      <c r="L5088">
        <v>3.2</v>
      </c>
      <c r="M5088" s="1" t="s">
        <v>21</v>
      </c>
      <c r="N5088" s="1" t="s">
        <v>22</v>
      </c>
      <c r="O5088" s="2">
        <v>46085</v>
      </c>
      <c r="P5088" s="2">
        <v>46085</v>
      </c>
      <c r="Q5088">
        <f>_xlfn.XLOOKUP(E5088,CPT!$A$2:$A$13,CPT!$D$2:$D$13)</f>
        <v>38</v>
      </c>
      <c r="R5088" s="1">
        <f>_xlfn.XLOOKUP(C5088,Contract!$A$2:$A$9,Contract!$B$2:$B$9)</f>
        <v>0.45</v>
      </c>
      <c r="S5088" s="1">
        <f t="shared" si="316"/>
        <v>17.100000000000001</v>
      </c>
      <c r="T5088" s="1">
        <f t="shared" si="317"/>
        <v>1.1100000000000012</v>
      </c>
      <c r="U5088" s="1" t="str">
        <f t="shared" si="318"/>
        <v>Underpaid</v>
      </c>
      <c r="V5088" s="1" t="str">
        <f>_xlfn.XLOOKUP(C5088,Payers!$A$2:$A$9,Payers!$B$2:$B$9)</f>
        <v>Blue Horizon Commercial</v>
      </c>
      <c r="W5088" s="1" t="str">
        <f t="shared" si="319"/>
        <v>2026-01</v>
      </c>
    </row>
    <row r="5089" spans="1:23">
      <c r="A5089" s="1" t="s">
        <v>7834</v>
      </c>
      <c r="B5089" s="1" t="s">
        <v>7835</v>
      </c>
      <c r="C5089" s="1" t="s">
        <v>76</v>
      </c>
      <c r="D5089" s="1" t="s">
        <v>26</v>
      </c>
      <c r="E5089" s="1" t="s">
        <v>185</v>
      </c>
      <c r="F5089">
        <v>1</v>
      </c>
      <c r="G5089" s="2">
        <v>46264</v>
      </c>
      <c r="H5089" s="2">
        <v>46272</v>
      </c>
      <c r="I5089">
        <v>1168.02</v>
      </c>
      <c r="J5089">
        <v>555.83000000000004</v>
      </c>
      <c r="K5089">
        <v>500.25</v>
      </c>
      <c r="L5089">
        <v>55.58</v>
      </c>
      <c r="M5089" s="1" t="s">
        <v>21</v>
      </c>
      <c r="N5089" s="1" t="s">
        <v>22</v>
      </c>
      <c r="O5089" s="2">
        <v>46290</v>
      </c>
      <c r="P5089" s="2">
        <v>46290</v>
      </c>
      <c r="Q5089">
        <f>_xlfn.XLOOKUP(E5089,CPT!$A$2:$A$13,CPT!$D$2:$D$13)</f>
        <v>1150</v>
      </c>
      <c r="R5089" s="1">
        <f>_xlfn.XLOOKUP(C5089,Contract!$A$2:$A$9,Contract!$B$2:$B$9)</f>
        <v>0.43</v>
      </c>
      <c r="S5089" s="1">
        <f t="shared" si="316"/>
        <v>494.5</v>
      </c>
      <c r="T5089" s="1">
        <f t="shared" si="317"/>
        <v>-61.330000000000041</v>
      </c>
      <c r="U5089" s="1" t="str">
        <f t="shared" si="318"/>
        <v>OK</v>
      </c>
      <c r="V5089" s="1" t="str">
        <f>_xlfn.XLOOKUP(C5089,Payers!$A$2:$A$9,Payers!$B$2:$B$9)</f>
        <v>Summit Health Commercial</v>
      </c>
      <c r="W5089" s="1" t="str">
        <f t="shared" si="319"/>
        <v>2026-08</v>
      </c>
    </row>
    <row r="5090" spans="1:23">
      <c r="A5090" s="1" t="s">
        <v>7836</v>
      </c>
      <c r="B5090" s="1" t="s">
        <v>1145</v>
      </c>
      <c r="C5090" s="1" t="s">
        <v>60</v>
      </c>
      <c r="D5090" s="1" t="s">
        <v>26</v>
      </c>
      <c r="E5090" s="1" t="s">
        <v>185</v>
      </c>
      <c r="F5090">
        <v>1</v>
      </c>
      <c r="G5090" s="2">
        <v>46210</v>
      </c>
      <c r="H5090" s="2">
        <v>46217</v>
      </c>
      <c r="I5090">
        <v>1141.42</v>
      </c>
      <c r="J5090">
        <v>459.08</v>
      </c>
      <c r="K5090">
        <v>459.08</v>
      </c>
      <c r="L5090">
        <v>0</v>
      </c>
      <c r="M5090" s="1" t="s">
        <v>21</v>
      </c>
      <c r="N5090" s="1" t="s">
        <v>22</v>
      </c>
      <c r="O5090" s="2">
        <v>46262</v>
      </c>
      <c r="P5090" s="2">
        <v>46262</v>
      </c>
      <c r="Q5090">
        <f>_xlfn.XLOOKUP(E5090,CPT!$A$2:$A$13,CPT!$D$2:$D$13)</f>
        <v>1150</v>
      </c>
      <c r="R5090" s="1">
        <f>_xlfn.XLOOKUP(C5090,Contract!$A$2:$A$9,Contract!$B$2:$B$9)</f>
        <v>0.45</v>
      </c>
      <c r="S5090" s="1">
        <f t="shared" si="316"/>
        <v>517.5</v>
      </c>
      <c r="T5090" s="1">
        <f t="shared" si="317"/>
        <v>58.420000000000016</v>
      </c>
      <c r="U5090" s="1" t="str">
        <f t="shared" si="318"/>
        <v>Underpaid</v>
      </c>
      <c r="V5090" s="1" t="str">
        <f>_xlfn.XLOOKUP(C5090,Payers!$A$2:$A$9,Payers!$B$2:$B$9)</f>
        <v>Blue Horizon Commercial</v>
      </c>
      <c r="W5090" s="1" t="str">
        <f t="shared" si="319"/>
        <v>2026-07</v>
      </c>
    </row>
    <row r="5091" spans="1:23">
      <c r="A5091" s="1" t="s">
        <v>7837</v>
      </c>
      <c r="B5091" s="1" t="s">
        <v>2746</v>
      </c>
      <c r="C5091" s="1" t="s">
        <v>60</v>
      </c>
      <c r="D5091" s="1" t="s">
        <v>19</v>
      </c>
      <c r="E5091" s="1" t="s">
        <v>88</v>
      </c>
      <c r="F5091">
        <v>1</v>
      </c>
      <c r="G5091" s="2">
        <v>45954</v>
      </c>
      <c r="H5091" s="2">
        <v>45958</v>
      </c>
      <c r="I5091">
        <v>255.09</v>
      </c>
      <c r="J5091">
        <v>106.48</v>
      </c>
      <c r="K5091">
        <v>85.18</v>
      </c>
      <c r="L5091">
        <v>21.3</v>
      </c>
      <c r="M5091" s="1" t="s">
        <v>21</v>
      </c>
      <c r="N5091" s="1" t="s">
        <v>22</v>
      </c>
      <c r="O5091" s="2">
        <v>45985</v>
      </c>
      <c r="P5091" s="2">
        <v>45985</v>
      </c>
      <c r="Q5091">
        <f>_xlfn.XLOOKUP(E5091,CPT!$A$2:$A$13,CPT!$D$2:$D$13)</f>
        <v>260</v>
      </c>
      <c r="R5091" s="1">
        <f>_xlfn.XLOOKUP(C5091,Contract!$A$2:$A$9,Contract!$B$2:$B$9)</f>
        <v>0.45</v>
      </c>
      <c r="S5091" s="1">
        <f t="shared" si="316"/>
        <v>117</v>
      </c>
      <c r="T5091" s="1">
        <f t="shared" si="317"/>
        <v>10.519999999999996</v>
      </c>
      <c r="U5091" s="1" t="str">
        <f t="shared" si="318"/>
        <v>Underpaid</v>
      </c>
      <c r="V5091" s="1" t="str">
        <f>_xlfn.XLOOKUP(C5091,Payers!$A$2:$A$9,Payers!$B$2:$B$9)</f>
        <v>Blue Horizon Commercial</v>
      </c>
      <c r="W5091" s="1" t="str">
        <f t="shared" si="319"/>
        <v>2025-10</v>
      </c>
    </row>
    <row r="5092" spans="1:23">
      <c r="A5092" s="1" t="s">
        <v>7838</v>
      </c>
      <c r="B5092" s="1" t="s">
        <v>3104</v>
      </c>
      <c r="C5092" s="1" t="s">
        <v>79</v>
      </c>
      <c r="D5092" s="1" t="s">
        <v>30</v>
      </c>
      <c r="E5092" s="1" t="s">
        <v>91</v>
      </c>
      <c r="F5092">
        <v>4</v>
      </c>
      <c r="G5092" s="2">
        <v>46195</v>
      </c>
      <c r="H5092" s="2">
        <v>46196</v>
      </c>
      <c r="I5092">
        <v>228.68</v>
      </c>
      <c r="J5092">
        <v>228.68</v>
      </c>
      <c r="K5092">
        <v>228.68</v>
      </c>
      <c r="L5092">
        <v>0</v>
      </c>
      <c r="M5092" s="1" t="s">
        <v>21</v>
      </c>
      <c r="N5092" s="1" t="s">
        <v>22</v>
      </c>
      <c r="O5092" s="2">
        <v>46239</v>
      </c>
      <c r="P5092" s="2">
        <v>46239</v>
      </c>
      <c r="Q5092">
        <f>_xlfn.XLOOKUP(E5092,CPT!$A$2:$A$13,CPT!$D$2:$D$13)</f>
        <v>58</v>
      </c>
      <c r="R5092" s="1">
        <f>_xlfn.XLOOKUP(C5092,Contract!$A$2:$A$9,Contract!$B$2:$B$9)</f>
        <v>1</v>
      </c>
      <c r="S5092" s="1">
        <f t="shared" si="316"/>
        <v>232</v>
      </c>
      <c r="T5092" s="1">
        <f t="shared" si="317"/>
        <v>3.3199999999999932</v>
      </c>
      <c r="U5092" s="1" t="str">
        <f t="shared" si="318"/>
        <v>OK</v>
      </c>
      <c r="V5092" s="1" t="str">
        <f>_xlfn.XLOOKUP(C5092,Payers!$A$2:$A$9,Payers!$B$2:$B$9)</f>
        <v>Self-Pay</v>
      </c>
      <c r="W5092" s="1" t="str">
        <f t="shared" si="319"/>
        <v>2026-06</v>
      </c>
    </row>
    <row r="5093" spans="1:23">
      <c r="A5093" s="1" t="s">
        <v>7839</v>
      </c>
      <c r="B5093" s="1" t="s">
        <v>1942</v>
      </c>
      <c r="C5093" s="1" t="s">
        <v>60</v>
      </c>
      <c r="D5093" s="1" t="s">
        <v>30</v>
      </c>
      <c r="E5093" s="1" t="s">
        <v>91</v>
      </c>
      <c r="F5093">
        <v>1</v>
      </c>
      <c r="G5093" s="2">
        <v>46256</v>
      </c>
      <c r="H5093" s="2">
        <v>46265</v>
      </c>
      <c r="I5093">
        <v>58.3</v>
      </c>
      <c r="J5093">
        <v>25.32</v>
      </c>
      <c r="K5093">
        <v>25.32</v>
      </c>
      <c r="L5093">
        <v>0</v>
      </c>
      <c r="M5093" s="1" t="s">
        <v>21</v>
      </c>
      <c r="N5093" s="1" t="s">
        <v>22</v>
      </c>
      <c r="O5093" s="2">
        <v>46288</v>
      </c>
      <c r="P5093" s="2">
        <v>46288</v>
      </c>
      <c r="Q5093">
        <f>_xlfn.XLOOKUP(E5093,CPT!$A$2:$A$13,CPT!$D$2:$D$13)</f>
        <v>58</v>
      </c>
      <c r="R5093" s="1">
        <f>_xlfn.XLOOKUP(C5093,Contract!$A$2:$A$9,Contract!$B$2:$B$9)</f>
        <v>0.45</v>
      </c>
      <c r="S5093" s="1">
        <f t="shared" si="316"/>
        <v>26.1</v>
      </c>
      <c r="T5093" s="1">
        <f t="shared" si="317"/>
        <v>0.78000000000000114</v>
      </c>
      <c r="U5093" s="1" t="str">
        <f t="shared" si="318"/>
        <v>OK</v>
      </c>
      <c r="V5093" s="1" t="str">
        <f>_xlfn.XLOOKUP(C5093,Payers!$A$2:$A$9,Payers!$B$2:$B$9)</f>
        <v>Blue Horizon Commercial</v>
      </c>
      <c r="W5093" s="1" t="str">
        <f t="shared" si="319"/>
        <v>2026-08</v>
      </c>
    </row>
    <row r="5094" spans="1:23">
      <c r="A5094" s="1" t="s">
        <v>7840</v>
      </c>
      <c r="B5094" s="1" t="s">
        <v>2330</v>
      </c>
      <c r="C5094" s="1" t="s">
        <v>52</v>
      </c>
      <c r="D5094" s="1" t="s">
        <v>26</v>
      </c>
      <c r="E5094" s="1" t="s">
        <v>185</v>
      </c>
      <c r="F5094">
        <v>1</v>
      </c>
      <c r="G5094" s="2">
        <v>46263</v>
      </c>
      <c r="H5094" s="2">
        <v>46264</v>
      </c>
      <c r="I5094">
        <v>1156.31</v>
      </c>
      <c r="M5094" s="1" t="s">
        <v>69</v>
      </c>
      <c r="N5094" s="1" t="s">
        <v>22</v>
      </c>
      <c r="O5094" s="2"/>
      <c r="P5094" s="2"/>
      <c r="Q5094">
        <f>_xlfn.XLOOKUP(E5094,CPT!$A$2:$A$13,CPT!$D$2:$D$13)</f>
        <v>1150</v>
      </c>
      <c r="R5094" s="1">
        <f>_xlfn.XLOOKUP(C5094,Contract!$A$2:$A$9,Contract!$B$2:$B$9)</f>
        <v>0.47</v>
      </c>
      <c r="S5094" s="1">
        <f t="shared" si="316"/>
        <v>540.5</v>
      </c>
      <c r="T5094" s="1" t="str">
        <f t="shared" si="317"/>
        <v/>
      </c>
      <c r="U5094" s="1" t="str">
        <f t="shared" si="318"/>
        <v/>
      </c>
      <c r="V5094" s="1" t="str">
        <f>_xlfn.XLOOKUP(C5094,Payers!$A$2:$A$9,Payers!$B$2:$B$9)</f>
        <v>Keystone Commercial PPO</v>
      </c>
      <c r="W5094" s="1" t="str">
        <f t="shared" si="319"/>
        <v>2026-08</v>
      </c>
    </row>
    <row r="5095" spans="1:23">
      <c r="A5095" s="1" t="s">
        <v>7841</v>
      </c>
      <c r="B5095" s="1" t="s">
        <v>1443</v>
      </c>
      <c r="C5095" s="1" t="s">
        <v>47</v>
      </c>
      <c r="D5095" s="1" t="s">
        <v>26</v>
      </c>
      <c r="E5095" s="1" t="s">
        <v>41</v>
      </c>
      <c r="F5095">
        <v>1</v>
      </c>
      <c r="G5095" s="2">
        <v>46008</v>
      </c>
      <c r="H5095" s="2">
        <v>46010</v>
      </c>
      <c r="I5095">
        <v>36.869999999999997</v>
      </c>
      <c r="M5095" s="1" t="s">
        <v>32</v>
      </c>
      <c r="N5095" s="1" t="s">
        <v>49</v>
      </c>
      <c r="O5095" s="2">
        <v>46038</v>
      </c>
      <c r="P5095" s="2"/>
      <c r="Q5095">
        <f>_xlfn.XLOOKUP(E5095,CPT!$A$2:$A$13,CPT!$D$2:$D$13)</f>
        <v>38</v>
      </c>
      <c r="R5095" s="1">
        <f>_xlfn.XLOOKUP(C5095,Contract!$A$2:$A$9,Contract!$B$2:$B$9)</f>
        <v>0.28000000000000003</v>
      </c>
      <c r="S5095" s="1">
        <f t="shared" si="316"/>
        <v>10.64</v>
      </c>
      <c r="T5095" s="1" t="str">
        <f t="shared" si="317"/>
        <v/>
      </c>
      <c r="U5095" s="1" t="str">
        <f t="shared" si="318"/>
        <v/>
      </c>
      <c r="V5095" s="1" t="str">
        <f>_xlfn.XLOOKUP(C5095,Payers!$A$2:$A$9,Payers!$B$2:$B$9)</f>
        <v>Coastal Medicaid MCO</v>
      </c>
      <c r="W5095" s="1" t="str">
        <f t="shared" si="319"/>
        <v>2025-12</v>
      </c>
    </row>
    <row r="5096" spans="1:23">
      <c r="A5096" s="1" t="s">
        <v>7842</v>
      </c>
      <c r="B5096" s="1" t="s">
        <v>2852</v>
      </c>
      <c r="C5096" s="1" t="s">
        <v>60</v>
      </c>
      <c r="D5096" s="1" t="s">
        <v>26</v>
      </c>
      <c r="E5096" s="1" t="s">
        <v>41</v>
      </c>
      <c r="F5096">
        <v>1</v>
      </c>
      <c r="G5096" s="2">
        <v>46079</v>
      </c>
      <c r="H5096" s="2">
        <v>46083</v>
      </c>
      <c r="I5096">
        <v>37.36</v>
      </c>
      <c r="J5096">
        <v>16.09</v>
      </c>
      <c r="K5096">
        <v>16.09</v>
      </c>
      <c r="L5096">
        <v>0</v>
      </c>
      <c r="M5096" s="1" t="s">
        <v>21</v>
      </c>
      <c r="N5096" s="1" t="s">
        <v>22</v>
      </c>
      <c r="O5096" s="2">
        <v>46093</v>
      </c>
      <c r="P5096" s="2">
        <v>46093</v>
      </c>
      <c r="Q5096">
        <f>_xlfn.XLOOKUP(E5096,CPT!$A$2:$A$13,CPT!$D$2:$D$13)</f>
        <v>38</v>
      </c>
      <c r="R5096" s="1">
        <f>_xlfn.XLOOKUP(C5096,Contract!$A$2:$A$9,Contract!$B$2:$B$9)</f>
        <v>0.45</v>
      </c>
      <c r="S5096" s="1">
        <f t="shared" si="316"/>
        <v>17.100000000000001</v>
      </c>
      <c r="T5096" s="1">
        <f t="shared" si="317"/>
        <v>1.0100000000000016</v>
      </c>
      <c r="U5096" s="1" t="str">
        <f t="shared" si="318"/>
        <v>Underpaid</v>
      </c>
      <c r="V5096" s="1" t="str">
        <f>_xlfn.XLOOKUP(C5096,Payers!$A$2:$A$9,Payers!$B$2:$B$9)</f>
        <v>Blue Horizon Commercial</v>
      </c>
      <c r="W5096" s="1" t="str">
        <f t="shared" si="319"/>
        <v>2026-02</v>
      </c>
    </row>
    <row r="5097" spans="1:23">
      <c r="A5097" s="1" t="s">
        <v>7843</v>
      </c>
      <c r="B5097" s="1" t="s">
        <v>2497</v>
      </c>
      <c r="C5097" s="1" t="s">
        <v>76</v>
      </c>
      <c r="D5097" s="1" t="s">
        <v>19</v>
      </c>
      <c r="E5097" s="1" t="s">
        <v>41</v>
      </c>
      <c r="F5097">
        <v>1</v>
      </c>
      <c r="G5097" s="2">
        <v>46043</v>
      </c>
      <c r="H5097" s="2">
        <v>46046</v>
      </c>
      <c r="I5097">
        <v>37.409999999999997</v>
      </c>
      <c r="J5097">
        <v>14.06</v>
      </c>
      <c r="K5097">
        <v>12.65</v>
      </c>
      <c r="L5097">
        <v>1.41</v>
      </c>
      <c r="M5097" s="1" t="s">
        <v>21</v>
      </c>
      <c r="N5097" s="1" t="s">
        <v>22</v>
      </c>
      <c r="O5097" s="2">
        <v>46069</v>
      </c>
      <c r="P5097" s="2">
        <v>46069</v>
      </c>
      <c r="Q5097">
        <f>_xlfn.XLOOKUP(E5097,CPT!$A$2:$A$13,CPT!$D$2:$D$13)</f>
        <v>38</v>
      </c>
      <c r="R5097" s="1">
        <f>_xlfn.XLOOKUP(C5097,Contract!$A$2:$A$9,Contract!$B$2:$B$9)</f>
        <v>0.43</v>
      </c>
      <c r="S5097" s="1">
        <f t="shared" si="316"/>
        <v>16.34</v>
      </c>
      <c r="T5097" s="1">
        <f t="shared" si="317"/>
        <v>2.2799999999999994</v>
      </c>
      <c r="U5097" s="1" t="str">
        <f t="shared" si="318"/>
        <v>Underpaid</v>
      </c>
      <c r="V5097" s="1" t="str">
        <f>_xlfn.XLOOKUP(C5097,Payers!$A$2:$A$9,Payers!$B$2:$B$9)</f>
        <v>Summit Health Commercial</v>
      </c>
      <c r="W5097" s="1" t="str">
        <f t="shared" si="319"/>
        <v>2026-01</v>
      </c>
    </row>
    <row r="5098" spans="1:23">
      <c r="A5098" s="1" t="s">
        <v>7844</v>
      </c>
      <c r="B5098" s="1" t="s">
        <v>3742</v>
      </c>
      <c r="C5098" s="1" t="s">
        <v>25</v>
      </c>
      <c r="D5098" s="1" t="s">
        <v>30</v>
      </c>
      <c r="E5098" s="1" t="s">
        <v>31</v>
      </c>
      <c r="F5098">
        <v>1</v>
      </c>
      <c r="G5098" s="2">
        <v>46047</v>
      </c>
      <c r="H5098" s="2">
        <v>46048</v>
      </c>
      <c r="I5098">
        <v>60.33</v>
      </c>
      <c r="M5098" s="1" t="s">
        <v>32</v>
      </c>
      <c r="N5098" s="1" t="s">
        <v>98</v>
      </c>
      <c r="O5098" s="2">
        <v>46065</v>
      </c>
      <c r="P5098" s="2"/>
      <c r="Q5098">
        <f>_xlfn.XLOOKUP(E5098,CPT!$A$2:$A$13,CPT!$D$2:$D$13)</f>
        <v>62</v>
      </c>
      <c r="R5098" s="1">
        <f>_xlfn.XLOOKUP(C5098,Contract!$A$2:$A$9,Contract!$B$2:$B$9)</f>
        <v>0.36</v>
      </c>
      <c r="S5098" s="1">
        <f t="shared" si="316"/>
        <v>22.32</v>
      </c>
      <c r="T5098" s="1" t="str">
        <f t="shared" si="317"/>
        <v/>
      </c>
      <c r="U5098" s="1" t="str">
        <f t="shared" si="318"/>
        <v/>
      </c>
      <c r="V5098" s="1" t="str">
        <f>_xlfn.XLOOKUP(C5098,Payers!$A$2:$A$9,Payers!$B$2:$B$9)</f>
        <v>Medicare Part B</v>
      </c>
      <c r="W5098" s="1" t="str">
        <f t="shared" si="319"/>
        <v>2026-01</v>
      </c>
    </row>
    <row r="5099" spans="1:23">
      <c r="A5099" s="1" t="s">
        <v>7845</v>
      </c>
      <c r="B5099" s="1" t="s">
        <v>7846</v>
      </c>
      <c r="C5099" s="1" t="s">
        <v>52</v>
      </c>
      <c r="D5099" s="1" t="s">
        <v>26</v>
      </c>
      <c r="E5099" s="1" t="s">
        <v>44</v>
      </c>
      <c r="F5099">
        <v>1</v>
      </c>
      <c r="G5099" s="2">
        <v>46041</v>
      </c>
      <c r="H5099" s="2">
        <v>46043</v>
      </c>
      <c r="I5099">
        <v>4728.68</v>
      </c>
      <c r="J5099">
        <v>2086.89</v>
      </c>
      <c r="K5099">
        <v>2086.89</v>
      </c>
      <c r="L5099">
        <v>0</v>
      </c>
      <c r="M5099" s="1" t="s">
        <v>21</v>
      </c>
      <c r="N5099" s="1" t="s">
        <v>22</v>
      </c>
      <c r="O5099" s="2">
        <v>46086</v>
      </c>
      <c r="P5099" s="2">
        <v>46086</v>
      </c>
      <c r="Q5099">
        <f>_xlfn.XLOOKUP(E5099,CPT!$A$2:$A$13,CPT!$D$2:$D$13)</f>
        <v>4800</v>
      </c>
      <c r="R5099" s="1">
        <f>_xlfn.XLOOKUP(C5099,Contract!$A$2:$A$9,Contract!$B$2:$B$9)</f>
        <v>0.47</v>
      </c>
      <c r="S5099" s="1">
        <f t="shared" si="316"/>
        <v>2256</v>
      </c>
      <c r="T5099" s="1">
        <f t="shared" si="317"/>
        <v>169.11000000000013</v>
      </c>
      <c r="U5099" s="1" t="str">
        <f t="shared" si="318"/>
        <v>Underpaid</v>
      </c>
      <c r="V5099" s="1" t="str">
        <f>_xlfn.XLOOKUP(C5099,Payers!$A$2:$A$9,Payers!$B$2:$B$9)</f>
        <v>Keystone Commercial PPO</v>
      </c>
      <c r="W5099" s="1" t="str">
        <f t="shared" si="319"/>
        <v>2026-01</v>
      </c>
    </row>
    <row r="5100" spans="1:23">
      <c r="A5100" s="1" t="s">
        <v>7847</v>
      </c>
      <c r="B5100" s="1" t="s">
        <v>1273</v>
      </c>
      <c r="C5100" s="1" t="s">
        <v>47</v>
      </c>
      <c r="D5100" s="1" t="s">
        <v>26</v>
      </c>
      <c r="E5100" s="1" t="s">
        <v>185</v>
      </c>
      <c r="F5100">
        <v>1</v>
      </c>
      <c r="G5100" s="2">
        <v>46255</v>
      </c>
      <c r="H5100" s="2">
        <v>46270</v>
      </c>
      <c r="I5100">
        <v>1177.83</v>
      </c>
      <c r="J5100">
        <v>279.64999999999998</v>
      </c>
      <c r="K5100">
        <v>279.64999999999998</v>
      </c>
      <c r="L5100">
        <v>0</v>
      </c>
      <c r="M5100" s="1" t="s">
        <v>21</v>
      </c>
      <c r="N5100" s="1" t="s">
        <v>22</v>
      </c>
      <c r="O5100" s="2">
        <v>46292</v>
      </c>
      <c r="P5100" s="2">
        <v>46292</v>
      </c>
      <c r="Q5100">
        <f>_xlfn.XLOOKUP(E5100,CPT!$A$2:$A$13,CPT!$D$2:$D$13)</f>
        <v>1150</v>
      </c>
      <c r="R5100" s="1">
        <f>_xlfn.XLOOKUP(C5100,Contract!$A$2:$A$9,Contract!$B$2:$B$9)</f>
        <v>0.28000000000000003</v>
      </c>
      <c r="S5100" s="1">
        <f t="shared" si="316"/>
        <v>322</v>
      </c>
      <c r="T5100" s="1">
        <f t="shared" si="317"/>
        <v>42.350000000000023</v>
      </c>
      <c r="U5100" s="1" t="str">
        <f t="shared" si="318"/>
        <v>Underpaid</v>
      </c>
      <c r="V5100" s="1" t="str">
        <f>_xlfn.XLOOKUP(C5100,Payers!$A$2:$A$9,Payers!$B$2:$B$9)</f>
        <v>Coastal Medicaid MCO</v>
      </c>
      <c r="W5100" s="1" t="str">
        <f t="shared" si="319"/>
        <v>2026-08</v>
      </c>
    </row>
    <row r="5101" spans="1:23">
      <c r="A5101" s="1" t="s">
        <v>7848</v>
      </c>
      <c r="B5101" s="1" t="s">
        <v>6308</v>
      </c>
      <c r="C5101" s="1" t="s">
        <v>47</v>
      </c>
      <c r="D5101" s="1" t="s">
        <v>19</v>
      </c>
      <c r="E5101" s="1" t="s">
        <v>20</v>
      </c>
      <c r="F5101">
        <v>1</v>
      </c>
      <c r="G5101" s="2">
        <v>45972</v>
      </c>
      <c r="H5101" s="2">
        <v>45975</v>
      </c>
      <c r="I5101">
        <v>142.68</v>
      </c>
      <c r="M5101" s="1" t="s">
        <v>32</v>
      </c>
      <c r="N5101" s="1" t="s">
        <v>281</v>
      </c>
      <c r="O5101" s="2">
        <v>46032</v>
      </c>
      <c r="P5101" s="2"/>
      <c r="Q5101">
        <f>_xlfn.XLOOKUP(E5101,CPT!$A$2:$A$13,CPT!$D$2:$D$13)</f>
        <v>145</v>
      </c>
      <c r="R5101" s="1">
        <f>_xlfn.XLOOKUP(C5101,Contract!$A$2:$A$9,Contract!$B$2:$B$9)</f>
        <v>0.28000000000000003</v>
      </c>
      <c r="S5101" s="1">
        <f t="shared" si="316"/>
        <v>40.6</v>
      </c>
      <c r="T5101" s="1" t="str">
        <f t="shared" si="317"/>
        <v/>
      </c>
      <c r="U5101" s="1" t="str">
        <f t="shared" si="318"/>
        <v/>
      </c>
      <c r="V5101" s="1" t="str">
        <f>_xlfn.XLOOKUP(C5101,Payers!$A$2:$A$9,Payers!$B$2:$B$9)</f>
        <v>Coastal Medicaid MCO</v>
      </c>
      <c r="W5101" s="1" t="str">
        <f t="shared" si="319"/>
        <v>2025-11</v>
      </c>
    </row>
    <row r="5102" spans="1:23">
      <c r="A5102" s="1" t="s">
        <v>7849</v>
      </c>
      <c r="B5102" s="1" t="s">
        <v>7850</v>
      </c>
      <c r="C5102" s="1" t="s">
        <v>36</v>
      </c>
      <c r="D5102" s="1" t="s">
        <v>26</v>
      </c>
      <c r="E5102" s="1" t="s">
        <v>57</v>
      </c>
      <c r="F5102">
        <v>1</v>
      </c>
      <c r="G5102" s="2">
        <v>46004</v>
      </c>
      <c r="H5102" s="2">
        <v>46005</v>
      </c>
      <c r="I5102">
        <v>215.16</v>
      </c>
      <c r="J5102">
        <v>55.36</v>
      </c>
      <c r="K5102">
        <v>44.29</v>
      </c>
      <c r="L5102">
        <v>11.07</v>
      </c>
      <c r="M5102" s="1" t="s">
        <v>21</v>
      </c>
      <c r="N5102" s="1" t="s">
        <v>22</v>
      </c>
      <c r="O5102" s="2">
        <v>46040</v>
      </c>
      <c r="P5102" s="2">
        <v>46040</v>
      </c>
      <c r="Q5102">
        <f>_xlfn.XLOOKUP(E5102,CPT!$A$2:$A$13,CPT!$D$2:$D$13)</f>
        <v>210</v>
      </c>
      <c r="R5102" s="1">
        <f>_xlfn.XLOOKUP(C5102,Contract!$A$2:$A$9,Contract!$B$2:$B$9)</f>
        <v>0.27</v>
      </c>
      <c r="S5102" s="1">
        <f t="shared" si="316"/>
        <v>56.7</v>
      </c>
      <c r="T5102" s="1">
        <f t="shared" si="317"/>
        <v>1.3400000000000034</v>
      </c>
      <c r="U5102" s="1" t="str">
        <f t="shared" si="318"/>
        <v>OK</v>
      </c>
      <c r="V5102" s="1" t="str">
        <f>_xlfn.XLOOKUP(C5102,Payers!$A$2:$A$9,Payers!$B$2:$B$9)</f>
        <v>Florida Medicaid</v>
      </c>
      <c r="W5102" s="1" t="str">
        <f t="shared" si="319"/>
        <v>2025-12</v>
      </c>
    </row>
    <row r="5103" spans="1:23">
      <c r="A5103" s="1" t="s">
        <v>7851</v>
      </c>
      <c r="B5103" s="1" t="s">
        <v>1924</v>
      </c>
      <c r="C5103" s="1" t="s">
        <v>60</v>
      </c>
      <c r="D5103" s="1" t="s">
        <v>19</v>
      </c>
      <c r="E5103" s="1" t="s">
        <v>41</v>
      </c>
      <c r="F5103">
        <v>1</v>
      </c>
      <c r="G5103" s="2">
        <v>46254</v>
      </c>
      <c r="H5103" s="2">
        <v>46260</v>
      </c>
      <c r="I5103">
        <v>38.49</v>
      </c>
      <c r="M5103" s="1" t="s">
        <v>69</v>
      </c>
      <c r="N5103" s="1" t="s">
        <v>22</v>
      </c>
      <c r="O5103" s="2"/>
      <c r="P5103" s="2"/>
      <c r="Q5103">
        <f>_xlfn.XLOOKUP(E5103,CPT!$A$2:$A$13,CPT!$D$2:$D$13)</f>
        <v>38</v>
      </c>
      <c r="R5103" s="1">
        <f>_xlfn.XLOOKUP(C5103,Contract!$A$2:$A$9,Contract!$B$2:$B$9)</f>
        <v>0.45</v>
      </c>
      <c r="S5103" s="1">
        <f t="shared" si="316"/>
        <v>17.100000000000001</v>
      </c>
      <c r="T5103" s="1" t="str">
        <f t="shared" si="317"/>
        <v/>
      </c>
      <c r="U5103" s="1" t="str">
        <f t="shared" si="318"/>
        <v/>
      </c>
      <c r="V5103" s="1" t="str">
        <f>_xlfn.XLOOKUP(C5103,Payers!$A$2:$A$9,Payers!$B$2:$B$9)</f>
        <v>Blue Horizon Commercial</v>
      </c>
      <c r="W5103" s="1" t="str">
        <f t="shared" si="319"/>
        <v>2026-08</v>
      </c>
    </row>
    <row r="5104" spans="1:23">
      <c r="A5104" s="1" t="s">
        <v>7852</v>
      </c>
      <c r="B5104" s="1" t="s">
        <v>7853</v>
      </c>
      <c r="C5104" s="1" t="s">
        <v>60</v>
      </c>
      <c r="D5104" s="1" t="s">
        <v>30</v>
      </c>
      <c r="E5104" s="1" t="s">
        <v>31</v>
      </c>
      <c r="F5104">
        <v>1</v>
      </c>
      <c r="G5104" s="2">
        <v>46045</v>
      </c>
      <c r="H5104" s="2">
        <v>46048</v>
      </c>
      <c r="I5104">
        <v>62.94</v>
      </c>
      <c r="J5104">
        <v>31.64</v>
      </c>
      <c r="K5104">
        <v>28.48</v>
      </c>
      <c r="L5104">
        <v>3.16</v>
      </c>
      <c r="M5104" s="1" t="s">
        <v>21</v>
      </c>
      <c r="N5104" s="1" t="s">
        <v>22</v>
      </c>
      <c r="O5104" s="2">
        <v>46089</v>
      </c>
      <c r="P5104" s="2">
        <v>46089</v>
      </c>
      <c r="Q5104">
        <f>_xlfn.XLOOKUP(E5104,CPT!$A$2:$A$13,CPT!$D$2:$D$13)</f>
        <v>62</v>
      </c>
      <c r="R5104" s="1">
        <f>_xlfn.XLOOKUP(C5104,Contract!$A$2:$A$9,Contract!$B$2:$B$9)</f>
        <v>0.45</v>
      </c>
      <c r="S5104" s="1">
        <f t="shared" si="316"/>
        <v>27.9</v>
      </c>
      <c r="T5104" s="1">
        <f t="shared" si="317"/>
        <v>-3.740000000000002</v>
      </c>
      <c r="U5104" s="1" t="str">
        <f t="shared" si="318"/>
        <v>OK</v>
      </c>
      <c r="V5104" s="1" t="str">
        <f>_xlfn.XLOOKUP(C5104,Payers!$A$2:$A$9,Payers!$B$2:$B$9)</f>
        <v>Blue Horizon Commercial</v>
      </c>
      <c r="W5104" s="1" t="str">
        <f t="shared" si="319"/>
        <v>2026-01</v>
      </c>
    </row>
    <row r="5105" spans="1:23">
      <c r="A5105" s="1" t="s">
        <v>7854</v>
      </c>
      <c r="B5105" s="1" t="s">
        <v>2887</v>
      </c>
      <c r="C5105" s="1" t="s">
        <v>76</v>
      </c>
      <c r="D5105" s="1" t="s">
        <v>26</v>
      </c>
      <c r="E5105" s="1" t="s">
        <v>185</v>
      </c>
      <c r="F5105">
        <v>1</v>
      </c>
      <c r="G5105" s="2">
        <v>46096</v>
      </c>
      <c r="H5105" s="2">
        <v>46098</v>
      </c>
      <c r="I5105">
        <v>1158.08</v>
      </c>
      <c r="J5105">
        <v>425.82</v>
      </c>
      <c r="K5105">
        <v>425.82</v>
      </c>
      <c r="L5105">
        <v>0</v>
      </c>
      <c r="M5105" s="1" t="s">
        <v>21</v>
      </c>
      <c r="N5105" s="1" t="s">
        <v>22</v>
      </c>
      <c r="O5105" s="2">
        <v>46149</v>
      </c>
      <c r="P5105" s="2">
        <v>46149</v>
      </c>
      <c r="Q5105">
        <f>_xlfn.XLOOKUP(E5105,CPT!$A$2:$A$13,CPT!$D$2:$D$13)</f>
        <v>1150</v>
      </c>
      <c r="R5105" s="1">
        <f>_xlfn.XLOOKUP(C5105,Contract!$A$2:$A$9,Contract!$B$2:$B$9)</f>
        <v>0.43</v>
      </c>
      <c r="S5105" s="1">
        <f t="shared" si="316"/>
        <v>494.5</v>
      </c>
      <c r="T5105" s="1">
        <f t="shared" si="317"/>
        <v>68.680000000000007</v>
      </c>
      <c r="U5105" s="1" t="str">
        <f t="shared" si="318"/>
        <v>Underpaid</v>
      </c>
      <c r="V5105" s="1" t="str">
        <f>_xlfn.XLOOKUP(C5105,Payers!$A$2:$A$9,Payers!$B$2:$B$9)</f>
        <v>Summit Health Commercial</v>
      </c>
      <c r="W5105" s="1" t="str">
        <f t="shared" si="319"/>
        <v>2026-03</v>
      </c>
    </row>
    <row r="5106" spans="1:23">
      <c r="A5106" s="1" t="s">
        <v>7855</v>
      </c>
      <c r="B5106" s="1" t="s">
        <v>823</v>
      </c>
      <c r="C5106" s="1" t="s">
        <v>60</v>
      </c>
      <c r="D5106" s="1" t="s">
        <v>37</v>
      </c>
      <c r="E5106" s="1" t="s">
        <v>38</v>
      </c>
      <c r="F5106">
        <v>20</v>
      </c>
      <c r="G5106" s="2">
        <v>45981</v>
      </c>
      <c r="H5106" s="2">
        <v>45987</v>
      </c>
      <c r="I5106">
        <v>29257.01</v>
      </c>
      <c r="J5106">
        <v>14467.18</v>
      </c>
      <c r="K5106">
        <v>13020.46</v>
      </c>
      <c r="L5106">
        <v>1446.72</v>
      </c>
      <c r="M5106" s="1" t="s">
        <v>21</v>
      </c>
      <c r="N5106" s="1" t="s">
        <v>22</v>
      </c>
      <c r="O5106" s="2">
        <v>46014</v>
      </c>
      <c r="P5106" s="2">
        <v>46014</v>
      </c>
      <c r="Q5106">
        <f>_xlfn.XLOOKUP(E5106,CPT!$A$2:$A$13,CPT!$D$2:$D$13)</f>
        <v>1450</v>
      </c>
      <c r="R5106" s="1">
        <f>_xlfn.XLOOKUP(C5106,Contract!$A$2:$A$9,Contract!$B$2:$B$9)</f>
        <v>0.45</v>
      </c>
      <c r="S5106" s="1">
        <f t="shared" si="316"/>
        <v>13050</v>
      </c>
      <c r="T5106" s="1">
        <f t="shared" si="317"/>
        <v>-1417.1800000000003</v>
      </c>
      <c r="U5106" s="1" t="str">
        <f t="shared" si="318"/>
        <v>OK</v>
      </c>
      <c r="V5106" s="1" t="str">
        <f>_xlfn.XLOOKUP(C5106,Payers!$A$2:$A$9,Payers!$B$2:$B$9)</f>
        <v>Blue Horizon Commercial</v>
      </c>
      <c r="W5106" s="1" t="str">
        <f t="shared" si="319"/>
        <v>2025-11</v>
      </c>
    </row>
    <row r="5107" spans="1:23">
      <c r="A5107" s="1" t="s">
        <v>7856</v>
      </c>
      <c r="B5107" s="1" t="s">
        <v>5874</v>
      </c>
      <c r="C5107" s="1" t="s">
        <v>18</v>
      </c>
      <c r="D5107" s="1" t="s">
        <v>37</v>
      </c>
      <c r="E5107" s="1" t="s">
        <v>57</v>
      </c>
      <c r="F5107">
        <v>1</v>
      </c>
      <c r="G5107" s="2">
        <v>46173</v>
      </c>
      <c r="H5107" s="2">
        <v>46178</v>
      </c>
      <c r="I5107">
        <v>206.54</v>
      </c>
      <c r="J5107">
        <v>88.92</v>
      </c>
      <c r="K5107">
        <v>88.92</v>
      </c>
      <c r="L5107">
        <v>0</v>
      </c>
      <c r="M5107" s="1" t="s">
        <v>21</v>
      </c>
      <c r="N5107" s="1" t="s">
        <v>22</v>
      </c>
      <c r="O5107" s="2">
        <v>46202</v>
      </c>
      <c r="P5107" s="2">
        <v>46202</v>
      </c>
      <c r="Q5107">
        <f>_xlfn.XLOOKUP(E5107,CPT!$A$2:$A$13,CPT!$D$2:$D$13)</f>
        <v>210</v>
      </c>
      <c r="R5107" s="1">
        <f>_xlfn.XLOOKUP(C5107,Contract!$A$2:$A$9,Contract!$B$2:$B$9)</f>
        <v>0.38</v>
      </c>
      <c r="S5107" s="1">
        <f t="shared" si="316"/>
        <v>79.8</v>
      </c>
      <c r="T5107" s="1">
        <f t="shared" si="317"/>
        <v>-9.1200000000000045</v>
      </c>
      <c r="U5107" s="1" t="str">
        <f t="shared" si="318"/>
        <v>OK</v>
      </c>
      <c r="V5107" s="1" t="str">
        <f>_xlfn.XLOOKUP(C5107,Payers!$A$2:$A$9,Payers!$B$2:$B$9)</f>
        <v>Sunshine Medicare Advantage</v>
      </c>
      <c r="W5107" s="1" t="str">
        <f t="shared" si="319"/>
        <v>2026-05</v>
      </c>
    </row>
    <row r="5108" spans="1:23">
      <c r="A5108" s="1" t="s">
        <v>7857</v>
      </c>
      <c r="B5108" s="1" t="s">
        <v>7858</v>
      </c>
      <c r="C5108" s="1" t="s">
        <v>52</v>
      </c>
      <c r="D5108" s="1" t="s">
        <v>19</v>
      </c>
      <c r="E5108" s="1" t="s">
        <v>88</v>
      </c>
      <c r="F5108">
        <v>1</v>
      </c>
      <c r="G5108" s="2">
        <v>45977</v>
      </c>
      <c r="H5108" s="2">
        <v>45989</v>
      </c>
      <c r="I5108">
        <v>260.52999999999997</v>
      </c>
      <c r="J5108">
        <v>138.52000000000001</v>
      </c>
      <c r="K5108">
        <v>138.52000000000001</v>
      </c>
      <c r="L5108">
        <v>0</v>
      </c>
      <c r="M5108" s="1" t="s">
        <v>21</v>
      </c>
      <c r="N5108" s="1" t="s">
        <v>22</v>
      </c>
      <c r="O5108" s="2">
        <v>46048</v>
      </c>
      <c r="P5108" s="2">
        <v>46048</v>
      </c>
      <c r="Q5108">
        <f>_xlfn.XLOOKUP(E5108,CPT!$A$2:$A$13,CPT!$D$2:$D$13)</f>
        <v>260</v>
      </c>
      <c r="R5108" s="1">
        <f>_xlfn.XLOOKUP(C5108,Contract!$A$2:$A$9,Contract!$B$2:$B$9)</f>
        <v>0.47</v>
      </c>
      <c r="S5108" s="1">
        <f t="shared" si="316"/>
        <v>122.2</v>
      </c>
      <c r="T5108" s="1">
        <f t="shared" si="317"/>
        <v>-16.320000000000007</v>
      </c>
      <c r="U5108" s="1" t="str">
        <f t="shared" si="318"/>
        <v>OK</v>
      </c>
      <c r="V5108" s="1" t="str">
        <f>_xlfn.XLOOKUP(C5108,Payers!$A$2:$A$9,Payers!$B$2:$B$9)</f>
        <v>Keystone Commercial PPO</v>
      </c>
      <c r="W5108" s="1" t="str">
        <f t="shared" si="319"/>
        <v>2025-11</v>
      </c>
    </row>
    <row r="5109" spans="1:23">
      <c r="A5109" s="1" t="s">
        <v>7859</v>
      </c>
      <c r="B5109" s="1" t="s">
        <v>7860</v>
      </c>
      <c r="C5109" s="1" t="s">
        <v>60</v>
      </c>
      <c r="D5109" s="1" t="s">
        <v>37</v>
      </c>
      <c r="E5109" s="1" t="s">
        <v>48</v>
      </c>
      <c r="F5109">
        <v>1</v>
      </c>
      <c r="G5109" s="2">
        <v>45967</v>
      </c>
      <c r="H5109" s="2">
        <v>45981</v>
      </c>
      <c r="I5109">
        <v>425.6</v>
      </c>
      <c r="M5109" s="1" t="s">
        <v>32</v>
      </c>
      <c r="N5109" s="1" t="s">
        <v>315</v>
      </c>
      <c r="O5109" s="2">
        <v>45999</v>
      </c>
      <c r="P5109" s="2"/>
      <c r="Q5109">
        <f>_xlfn.XLOOKUP(E5109,CPT!$A$2:$A$13,CPT!$D$2:$D$13)</f>
        <v>420</v>
      </c>
      <c r="R5109" s="1">
        <f>_xlfn.XLOOKUP(C5109,Contract!$A$2:$A$9,Contract!$B$2:$B$9)</f>
        <v>0.45</v>
      </c>
      <c r="S5109" s="1">
        <f t="shared" si="316"/>
        <v>189</v>
      </c>
      <c r="T5109" s="1" t="str">
        <f t="shared" si="317"/>
        <v/>
      </c>
      <c r="U5109" s="1" t="str">
        <f t="shared" si="318"/>
        <v/>
      </c>
      <c r="V5109" s="1" t="str">
        <f>_xlfn.XLOOKUP(C5109,Payers!$A$2:$A$9,Payers!$B$2:$B$9)</f>
        <v>Blue Horizon Commercial</v>
      </c>
      <c r="W5109" s="1" t="str">
        <f t="shared" si="319"/>
        <v>2025-11</v>
      </c>
    </row>
    <row r="5110" spans="1:23">
      <c r="A5110" s="1" t="s">
        <v>7861</v>
      </c>
      <c r="B5110" s="1" t="s">
        <v>6313</v>
      </c>
      <c r="C5110" s="1" t="s">
        <v>60</v>
      </c>
      <c r="D5110" s="1" t="s">
        <v>26</v>
      </c>
      <c r="E5110" s="1" t="s">
        <v>88</v>
      </c>
      <c r="F5110">
        <v>1</v>
      </c>
      <c r="G5110" s="2">
        <v>46095</v>
      </c>
      <c r="H5110" s="2">
        <v>46101</v>
      </c>
      <c r="I5110">
        <v>257.22000000000003</v>
      </c>
      <c r="J5110">
        <v>111.81</v>
      </c>
      <c r="K5110">
        <v>100.63</v>
      </c>
      <c r="L5110">
        <v>11.18</v>
      </c>
      <c r="M5110" s="1" t="s">
        <v>21</v>
      </c>
      <c r="N5110" s="1" t="s">
        <v>22</v>
      </c>
      <c r="O5110" s="2">
        <v>46126</v>
      </c>
      <c r="P5110" s="2">
        <v>46126</v>
      </c>
      <c r="Q5110">
        <f>_xlfn.XLOOKUP(E5110,CPT!$A$2:$A$13,CPT!$D$2:$D$13)</f>
        <v>260</v>
      </c>
      <c r="R5110" s="1">
        <f>_xlfn.XLOOKUP(C5110,Contract!$A$2:$A$9,Contract!$B$2:$B$9)</f>
        <v>0.45</v>
      </c>
      <c r="S5110" s="1">
        <f t="shared" si="316"/>
        <v>117</v>
      </c>
      <c r="T5110" s="1">
        <f t="shared" si="317"/>
        <v>5.1899999999999977</v>
      </c>
      <c r="U5110" s="1" t="str">
        <f t="shared" si="318"/>
        <v>OK</v>
      </c>
      <c r="V5110" s="1" t="str">
        <f>_xlfn.XLOOKUP(C5110,Payers!$A$2:$A$9,Payers!$B$2:$B$9)</f>
        <v>Blue Horizon Commercial</v>
      </c>
      <c r="W5110" s="1" t="str">
        <f t="shared" si="319"/>
        <v>2026-03</v>
      </c>
    </row>
    <row r="5111" spans="1:23">
      <c r="A5111" s="1" t="s">
        <v>7862</v>
      </c>
      <c r="B5111" s="1" t="s">
        <v>7163</v>
      </c>
      <c r="C5111" s="1" t="s">
        <v>76</v>
      </c>
      <c r="D5111" s="1" t="s">
        <v>30</v>
      </c>
      <c r="E5111" s="1" t="s">
        <v>20</v>
      </c>
      <c r="F5111">
        <v>1</v>
      </c>
      <c r="G5111" s="2">
        <v>46163</v>
      </c>
      <c r="H5111" s="2">
        <v>46286</v>
      </c>
      <c r="I5111">
        <v>146.43</v>
      </c>
      <c r="M5111" s="1" t="s">
        <v>69</v>
      </c>
      <c r="N5111" s="1" t="s">
        <v>22</v>
      </c>
      <c r="O5111" s="2"/>
      <c r="P5111" s="2"/>
      <c r="Q5111">
        <f>_xlfn.XLOOKUP(E5111,CPT!$A$2:$A$13,CPT!$D$2:$D$13)</f>
        <v>145</v>
      </c>
      <c r="R5111" s="1">
        <f>_xlfn.XLOOKUP(C5111,Contract!$A$2:$A$9,Contract!$B$2:$B$9)</f>
        <v>0.43</v>
      </c>
      <c r="S5111" s="1">
        <f t="shared" si="316"/>
        <v>62.35</v>
      </c>
      <c r="T5111" s="1" t="str">
        <f t="shared" si="317"/>
        <v/>
      </c>
      <c r="U5111" s="1" t="str">
        <f t="shared" si="318"/>
        <v/>
      </c>
      <c r="V5111" s="1" t="str">
        <f>_xlfn.XLOOKUP(C5111,Payers!$A$2:$A$9,Payers!$B$2:$B$9)</f>
        <v>Summit Health Commercial</v>
      </c>
      <c r="W5111" s="1" t="str">
        <f t="shared" si="319"/>
        <v>2026-05</v>
      </c>
    </row>
    <row r="5112" spans="1:23">
      <c r="A5112" s="1" t="s">
        <v>7863</v>
      </c>
      <c r="B5112" s="1" t="s">
        <v>1517</v>
      </c>
      <c r="C5112" s="1" t="s">
        <v>47</v>
      </c>
      <c r="D5112" s="1" t="s">
        <v>37</v>
      </c>
      <c r="E5112" s="1" t="s">
        <v>57</v>
      </c>
      <c r="F5112">
        <v>1</v>
      </c>
      <c r="G5112" s="2">
        <v>46027</v>
      </c>
      <c r="H5112" s="2">
        <v>46030</v>
      </c>
      <c r="I5112">
        <v>211.5</v>
      </c>
      <c r="M5112" s="1" t="s">
        <v>32</v>
      </c>
      <c r="N5112" s="1" t="s">
        <v>98</v>
      </c>
      <c r="O5112" s="2">
        <v>46102</v>
      </c>
      <c r="P5112" s="2"/>
      <c r="Q5112">
        <f>_xlfn.XLOOKUP(E5112,CPT!$A$2:$A$13,CPT!$D$2:$D$13)</f>
        <v>210</v>
      </c>
      <c r="R5112" s="1">
        <f>_xlfn.XLOOKUP(C5112,Contract!$A$2:$A$9,Contract!$B$2:$B$9)</f>
        <v>0.28000000000000003</v>
      </c>
      <c r="S5112" s="1">
        <f t="shared" si="316"/>
        <v>58.8</v>
      </c>
      <c r="T5112" s="1" t="str">
        <f t="shared" si="317"/>
        <v/>
      </c>
      <c r="U5112" s="1" t="str">
        <f t="shared" si="318"/>
        <v/>
      </c>
      <c r="V5112" s="1" t="str">
        <f>_xlfn.XLOOKUP(C5112,Payers!$A$2:$A$9,Payers!$B$2:$B$9)</f>
        <v>Coastal Medicaid MCO</v>
      </c>
      <c r="W5112" s="1" t="str">
        <f t="shared" si="319"/>
        <v>2026-01</v>
      </c>
    </row>
    <row r="5113" spans="1:23">
      <c r="A5113" s="1" t="s">
        <v>7864</v>
      </c>
      <c r="B5113" s="1" t="s">
        <v>7865</v>
      </c>
      <c r="C5113" s="1" t="s">
        <v>76</v>
      </c>
      <c r="D5113" s="1" t="s">
        <v>26</v>
      </c>
      <c r="E5113" s="1" t="s">
        <v>113</v>
      </c>
      <c r="F5113">
        <v>1</v>
      </c>
      <c r="G5113" s="2">
        <v>46228</v>
      </c>
      <c r="H5113" s="2">
        <v>46232</v>
      </c>
      <c r="I5113">
        <v>1059.48</v>
      </c>
      <c r="J5113">
        <v>384.98</v>
      </c>
      <c r="K5113">
        <v>307.98</v>
      </c>
      <c r="L5113">
        <v>77</v>
      </c>
      <c r="M5113" s="1" t="s">
        <v>21</v>
      </c>
      <c r="N5113" s="1" t="s">
        <v>22</v>
      </c>
      <c r="O5113" s="2">
        <v>46268</v>
      </c>
      <c r="P5113" s="2">
        <v>46268</v>
      </c>
      <c r="Q5113">
        <f>_xlfn.XLOOKUP(E5113,CPT!$A$2:$A$13,CPT!$D$2:$D$13)</f>
        <v>1050</v>
      </c>
      <c r="R5113" s="1">
        <f>_xlfn.XLOOKUP(C5113,Contract!$A$2:$A$9,Contract!$B$2:$B$9)</f>
        <v>0.43</v>
      </c>
      <c r="S5113" s="1">
        <f t="shared" si="316"/>
        <v>451.5</v>
      </c>
      <c r="T5113" s="1">
        <f t="shared" si="317"/>
        <v>66.519999999999982</v>
      </c>
      <c r="U5113" s="1" t="str">
        <f t="shared" si="318"/>
        <v>Underpaid</v>
      </c>
      <c r="V5113" s="1" t="str">
        <f>_xlfn.XLOOKUP(C5113,Payers!$A$2:$A$9,Payers!$B$2:$B$9)</f>
        <v>Summit Health Commercial</v>
      </c>
      <c r="W5113" s="1" t="str">
        <f t="shared" si="319"/>
        <v>2026-07</v>
      </c>
    </row>
    <row r="5114" spans="1:23">
      <c r="A5114" s="1" t="s">
        <v>7866</v>
      </c>
      <c r="B5114" s="1" t="s">
        <v>4667</v>
      </c>
      <c r="C5114" s="1" t="s">
        <v>36</v>
      </c>
      <c r="D5114" s="1" t="s">
        <v>30</v>
      </c>
      <c r="E5114" s="1" t="s">
        <v>91</v>
      </c>
      <c r="F5114">
        <v>2</v>
      </c>
      <c r="G5114" s="2">
        <v>46049</v>
      </c>
      <c r="H5114" s="2">
        <v>46055</v>
      </c>
      <c r="I5114">
        <v>114.53</v>
      </c>
      <c r="J5114">
        <v>30.88</v>
      </c>
      <c r="K5114">
        <v>30.88</v>
      </c>
      <c r="L5114">
        <v>0</v>
      </c>
      <c r="M5114" s="1" t="s">
        <v>21</v>
      </c>
      <c r="N5114" s="1" t="s">
        <v>22</v>
      </c>
      <c r="O5114" s="2">
        <v>46099</v>
      </c>
      <c r="P5114" s="2">
        <v>46099</v>
      </c>
      <c r="Q5114">
        <f>_xlfn.XLOOKUP(E5114,CPT!$A$2:$A$13,CPT!$D$2:$D$13)</f>
        <v>58</v>
      </c>
      <c r="R5114" s="1">
        <f>_xlfn.XLOOKUP(C5114,Contract!$A$2:$A$9,Contract!$B$2:$B$9)</f>
        <v>0.27</v>
      </c>
      <c r="S5114" s="1">
        <f t="shared" si="316"/>
        <v>31.32</v>
      </c>
      <c r="T5114" s="1">
        <f t="shared" si="317"/>
        <v>0.44000000000000128</v>
      </c>
      <c r="U5114" s="1" t="str">
        <f t="shared" si="318"/>
        <v>OK</v>
      </c>
      <c r="V5114" s="1" t="str">
        <f>_xlfn.XLOOKUP(C5114,Payers!$A$2:$A$9,Payers!$B$2:$B$9)</f>
        <v>Florida Medicaid</v>
      </c>
      <c r="W5114" s="1" t="str">
        <f t="shared" si="319"/>
        <v>2026-01</v>
      </c>
    </row>
    <row r="5115" spans="1:23">
      <c r="A5115" s="1" t="s">
        <v>7867</v>
      </c>
      <c r="B5115" s="1" t="s">
        <v>7868</v>
      </c>
      <c r="C5115" s="1" t="s">
        <v>25</v>
      </c>
      <c r="D5115" s="1" t="s">
        <v>19</v>
      </c>
      <c r="E5115" s="1" t="s">
        <v>20</v>
      </c>
      <c r="F5115">
        <v>1</v>
      </c>
      <c r="G5115" s="2">
        <v>46099</v>
      </c>
      <c r="H5115" s="2">
        <v>46106</v>
      </c>
      <c r="I5115">
        <v>145.26</v>
      </c>
      <c r="J5115">
        <v>56.71</v>
      </c>
      <c r="K5115">
        <v>45.37</v>
      </c>
      <c r="L5115">
        <v>11.34</v>
      </c>
      <c r="M5115" s="1" t="s">
        <v>21</v>
      </c>
      <c r="N5115" s="1" t="s">
        <v>22</v>
      </c>
      <c r="O5115" s="2">
        <v>46128</v>
      </c>
      <c r="P5115" s="2">
        <v>46128</v>
      </c>
      <c r="Q5115">
        <f>_xlfn.XLOOKUP(E5115,CPT!$A$2:$A$13,CPT!$D$2:$D$13)</f>
        <v>145</v>
      </c>
      <c r="R5115" s="1">
        <f>_xlfn.XLOOKUP(C5115,Contract!$A$2:$A$9,Contract!$B$2:$B$9)</f>
        <v>0.36</v>
      </c>
      <c r="S5115" s="1">
        <f t="shared" si="316"/>
        <v>52.2</v>
      </c>
      <c r="T5115" s="1">
        <f t="shared" si="317"/>
        <v>-4.509999999999998</v>
      </c>
      <c r="U5115" s="1" t="str">
        <f t="shared" si="318"/>
        <v>OK</v>
      </c>
      <c r="V5115" s="1" t="str">
        <f>_xlfn.XLOOKUP(C5115,Payers!$A$2:$A$9,Payers!$B$2:$B$9)</f>
        <v>Medicare Part B</v>
      </c>
      <c r="W5115" s="1" t="str">
        <f t="shared" si="319"/>
        <v>2026-03</v>
      </c>
    </row>
    <row r="5116" spans="1:23">
      <c r="A5116" s="1" t="s">
        <v>7869</v>
      </c>
      <c r="B5116" s="1" t="s">
        <v>7870</v>
      </c>
      <c r="C5116" s="1" t="s">
        <v>60</v>
      </c>
      <c r="D5116" s="1" t="s">
        <v>26</v>
      </c>
      <c r="E5116" s="1" t="s">
        <v>88</v>
      </c>
      <c r="F5116">
        <v>1</v>
      </c>
      <c r="G5116" s="2">
        <v>46137</v>
      </c>
      <c r="H5116" s="2">
        <v>46139</v>
      </c>
      <c r="I5116">
        <v>257.8</v>
      </c>
      <c r="J5116">
        <v>108.12</v>
      </c>
      <c r="K5116">
        <v>108.12</v>
      </c>
      <c r="L5116">
        <v>0</v>
      </c>
      <c r="M5116" s="1" t="s">
        <v>21</v>
      </c>
      <c r="N5116" s="1" t="s">
        <v>22</v>
      </c>
      <c r="O5116" s="2">
        <v>46166</v>
      </c>
      <c r="P5116" s="2">
        <v>46166</v>
      </c>
      <c r="Q5116">
        <f>_xlfn.XLOOKUP(E5116,CPT!$A$2:$A$13,CPT!$D$2:$D$13)</f>
        <v>260</v>
      </c>
      <c r="R5116" s="1">
        <f>_xlfn.XLOOKUP(C5116,Contract!$A$2:$A$9,Contract!$B$2:$B$9)</f>
        <v>0.45</v>
      </c>
      <c r="S5116" s="1">
        <f t="shared" si="316"/>
        <v>117</v>
      </c>
      <c r="T5116" s="1">
        <f t="shared" si="317"/>
        <v>8.8799999999999955</v>
      </c>
      <c r="U5116" s="1" t="str">
        <f t="shared" si="318"/>
        <v>Underpaid</v>
      </c>
      <c r="V5116" s="1" t="str">
        <f>_xlfn.XLOOKUP(C5116,Payers!$A$2:$A$9,Payers!$B$2:$B$9)</f>
        <v>Blue Horizon Commercial</v>
      </c>
      <c r="W5116" s="1" t="str">
        <f t="shared" si="319"/>
        <v>2026-04</v>
      </c>
    </row>
    <row r="5117" spans="1:23">
      <c r="A5117" s="1" t="s">
        <v>7871</v>
      </c>
      <c r="B5117" s="1" t="s">
        <v>4857</v>
      </c>
      <c r="C5117" s="1" t="s">
        <v>76</v>
      </c>
      <c r="D5117" s="1" t="s">
        <v>19</v>
      </c>
      <c r="E5117" s="1" t="s">
        <v>57</v>
      </c>
      <c r="F5117">
        <v>1</v>
      </c>
      <c r="G5117" s="2">
        <v>46004</v>
      </c>
      <c r="H5117" s="2">
        <v>46005</v>
      </c>
      <c r="I5117">
        <v>204.95</v>
      </c>
      <c r="J5117">
        <v>75.25</v>
      </c>
      <c r="K5117">
        <v>60.2</v>
      </c>
      <c r="L5117">
        <v>15.05</v>
      </c>
      <c r="M5117" s="1" t="s">
        <v>21</v>
      </c>
      <c r="N5117" s="1" t="s">
        <v>22</v>
      </c>
      <c r="O5117" s="2">
        <v>46044</v>
      </c>
      <c r="P5117" s="2">
        <v>46044</v>
      </c>
      <c r="Q5117">
        <f>_xlfn.XLOOKUP(E5117,CPT!$A$2:$A$13,CPT!$D$2:$D$13)</f>
        <v>210</v>
      </c>
      <c r="R5117" s="1">
        <f>_xlfn.XLOOKUP(C5117,Contract!$A$2:$A$9,Contract!$B$2:$B$9)</f>
        <v>0.43</v>
      </c>
      <c r="S5117" s="1">
        <f t="shared" si="316"/>
        <v>90.3</v>
      </c>
      <c r="T5117" s="1">
        <f t="shared" si="317"/>
        <v>15.049999999999997</v>
      </c>
      <c r="U5117" s="1" t="str">
        <f t="shared" si="318"/>
        <v>Underpaid</v>
      </c>
      <c r="V5117" s="1" t="str">
        <f>_xlfn.XLOOKUP(C5117,Payers!$A$2:$A$9,Payers!$B$2:$B$9)</f>
        <v>Summit Health Commercial</v>
      </c>
      <c r="W5117" s="1" t="str">
        <f t="shared" si="319"/>
        <v>2025-12</v>
      </c>
    </row>
    <row r="5118" spans="1:23">
      <c r="A5118" s="1" t="s">
        <v>7872</v>
      </c>
      <c r="B5118" s="1" t="s">
        <v>4204</v>
      </c>
      <c r="C5118" s="1" t="s">
        <v>25</v>
      </c>
      <c r="D5118" s="1" t="s">
        <v>26</v>
      </c>
      <c r="E5118" s="1" t="s">
        <v>88</v>
      </c>
      <c r="F5118">
        <v>1</v>
      </c>
      <c r="G5118" s="2">
        <v>46282</v>
      </c>
      <c r="H5118" s="2">
        <v>46284</v>
      </c>
      <c r="I5118">
        <v>261.33</v>
      </c>
      <c r="M5118" s="1" t="s">
        <v>69</v>
      </c>
      <c r="N5118" s="1" t="s">
        <v>22</v>
      </c>
      <c r="O5118" s="2"/>
      <c r="P5118" s="2"/>
      <c r="Q5118">
        <f>_xlfn.XLOOKUP(E5118,CPT!$A$2:$A$13,CPT!$D$2:$D$13)</f>
        <v>260</v>
      </c>
      <c r="R5118" s="1">
        <f>_xlfn.XLOOKUP(C5118,Contract!$A$2:$A$9,Contract!$B$2:$B$9)</f>
        <v>0.36</v>
      </c>
      <c r="S5118" s="1">
        <f t="shared" si="316"/>
        <v>93.6</v>
      </c>
      <c r="T5118" s="1" t="str">
        <f t="shared" si="317"/>
        <v/>
      </c>
      <c r="U5118" s="1" t="str">
        <f t="shared" si="318"/>
        <v/>
      </c>
      <c r="V5118" s="1" t="str">
        <f>_xlfn.XLOOKUP(C5118,Payers!$A$2:$A$9,Payers!$B$2:$B$9)</f>
        <v>Medicare Part B</v>
      </c>
      <c r="W5118" s="1" t="str">
        <f t="shared" si="319"/>
        <v>2026-09</v>
      </c>
    </row>
    <row r="5119" spans="1:23">
      <c r="A5119" s="1" t="s">
        <v>7873</v>
      </c>
      <c r="B5119" s="1" t="s">
        <v>6524</v>
      </c>
      <c r="C5119" s="1" t="s">
        <v>76</v>
      </c>
      <c r="D5119" s="1" t="s">
        <v>37</v>
      </c>
      <c r="E5119" s="1" t="s">
        <v>38</v>
      </c>
      <c r="F5119">
        <v>20</v>
      </c>
      <c r="G5119" s="2">
        <v>46248</v>
      </c>
      <c r="H5119" s="2">
        <v>46249</v>
      </c>
      <c r="I5119">
        <v>29640.06</v>
      </c>
      <c r="M5119" s="1" t="s">
        <v>32</v>
      </c>
      <c r="N5119" s="1" t="s">
        <v>315</v>
      </c>
      <c r="O5119" s="2">
        <v>46273</v>
      </c>
      <c r="P5119" s="2"/>
      <c r="Q5119">
        <f>_xlfn.XLOOKUP(E5119,CPT!$A$2:$A$13,CPT!$D$2:$D$13)</f>
        <v>1450</v>
      </c>
      <c r="R5119" s="1">
        <f>_xlfn.XLOOKUP(C5119,Contract!$A$2:$A$9,Contract!$B$2:$B$9)</f>
        <v>0.43</v>
      </c>
      <c r="S5119" s="1">
        <f t="shared" si="316"/>
        <v>12470</v>
      </c>
      <c r="T5119" s="1" t="str">
        <f t="shared" si="317"/>
        <v/>
      </c>
      <c r="U5119" s="1" t="str">
        <f t="shared" si="318"/>
        <v/>
      </c>
      <c r="V5119" s="1" t="str">
        <f>_xlfn.XLOOKUP(C5119,Payers!$A$2:$A$9,Payers!$B$2:$B$9)</f>
        <v>Summit Health Commercial</v>
      </c>
      <c r="W5119" s="1" t="str">
        <f t="shared" si="319"/>
        <v>2026-08</v>
      </c>
    </row>
    <row r="5120" spans="1:23">
      <c r="A5120" s="1" t="s">
        <v>7874</v>
      </c>
      <c r="B5120" s="1" t="s">
        <v>7875</v>
      </c>
      <c r="C5120" s="1" t="s">
        <v>79</v>
      </c>
      <c r="D5120" s="1" t="s">
        <v>19</v>
      </c>
      <c r="E5120" s="1" t="s">
        <v>20</v>
      </c>
      <c r="F5120">
        <v>1</v>
      </c>
      <c r="G5120" s="2">
        <v>46206</v>
      </c>
      <c r="H5120" s="2">
        <v>46211</v>
      </c>
      <c r="I5120">
        <v>145.9</v>
      </c>
      <c r="M5120" s="1" t="s">
        <v>69</v>
      </c>
      <c r="N5120" s="1" t="s">
        <v>22</v>
      </c>
      <c r="O5120" s="2"/>
      <c r="P5120" s="2"/>
      <c r="Q5120">
        <f>_xlfn.XLOOKUP(E5120,CPT!$A$2:$A$13,CPT!$D$2:$D$13)</f>
        <v>145</v>
      </c>
      <c r="R5120" s="1">
        <f>_xlfn.XLOOKUP(C5120,Contract!$A$2:$A$9,Contract!$B$2:$B$9)</f>
        <v>1</v>
      </c>
      <c r="S5120" s="1">
        <f t="shared" si="316"/>
        <v>145</v>
      </c>
      <c r="T5120" s="1" t="str">
        <f t="shared" si="317"/>
        <v/>
      </c>
      <c r="U5120" s="1" t="str">
        <f t="shared" si="318"/>
        <v/>
      </c>
      <c r="V5120" s="1" t="str">
        <f>_xlfn.XLOOKUP(C5120,Payers!$A$2:$A$9,Payers!$B$2:$B$9)</f>
        <v>Self-Pay</v>
      </c>
      <c r="W5120" s="1" t="str">
        <f t="shared" si="319"/>
        <v>2026-07</v>
      </c>
    </row>
    <row r="5121" spans="1:23">
      <c r="A5121" s="1" t="s">
        <v>7876</v>
      </c>
      <c r="B5121" s="1" t="s">
        <v>3755</v>
      </c>
      <c r="C5121" s="1" t="s">
        <v>76</v>
      </c>
      <c r="D5121" s="1" t="s">
        <v>26</v>
      </c>
      <c r="E5121" s="1" t="s">
        <v>88</v>
      </c>
      <c r="F5121">
        <v>1</v>
      </c>
      <c r="G5121" s="2">
        <v>46155</v>
      </c>
      <c r="H5121" s="2">
        <v>46162</v>
      </c>
      <c r="I5121">
        <v>255.61</v>
      </c>
      <c r="M5121" s="1" t="s">
        <v>32</v>
      </c>
      <c r="N5121" s="1" t="s">
        <v>168</v>
      </c>
      <c r="O5121" s="2">
        <v>46199</v>
      </c>
      <c r="P5121" s="2"/>
      <c r="Q5121">
        <f>_xlfn.XLOOKUP(E5121,CPT!$A$2:$A$13,CPT!$D$2:$D$13)</f>
        <v>260</v>
      </c>
      <c r="R5121" s="1">
        <f>_xlfn.XLOOKUP(C5121,Contract!$A$2:$A$9,Contract!$B$2:$B$9)</f>
        <v>0.43</v>
      </c>
      <c r="S5121" s="1">
        <f t="shared" si="316"/>
        <v>111.8</v>
      </c>
      <c r="T5121" s="1" t="str">
        <f t="shared" si="317"/>
        <v/>
      </c>
      <c r="U5121" s="1" t="str">
        <f t="shared" si="318"/>
        <v/>
      </c>
      <c r="V5121" s="1" t="str">
        <f>_xlfn.XLOOKUP(C5121,Payers!$A$2:$A$9,Payers!$B$2:$B$9)</f>
        <v>Summit Health Commercial</v>
      </c>
      <c r="W5121" s="1" t="str">
        <f t="shared" si="319"/>
        <v>2026-05</v>
      </c>
    </row>
    <row r="5122" spans="1:23">
      <c r="A5122" s="1" t="s">
        <v>7877</v>
      </c>
      <c r="B5122" s="1" t="s">
        <v>7878</v>
      </c>
      <c r="C5122" s="1" t="s">
        <v>76</v>
      </c>
      <c r="D5122" s="1" t="s">
        <v>30</v>
      </c>
      <c r="E5122" s="1" t="s">
        <v>20</v>
      </c>
      <c r="F5122">
        <v>1</v>
      </c>
      <c r="G5122" s="2">
        <v>45965</v>
      </c>
      <c r="H5122" s="2">
        <v>45968</v>
      </c>
      <c r="I5122">
        <v>143.25</v>
      </c>
      <c r="M5122" s="1" t="s">
        <v>32</v>
      </c>
      <c r="N5122" s="1" t="s">
        <v>33</v>
      </c>
      <c r="O5122" s="2">
        <v>46003</v>
      </c>
      <c r="P5122" s="2"/>
      <c r="Q5122">
        <f>_xlfn.XLOOKUP(E5122,CPT!$A$2:$A$13,CPT!$D$2:$D$13)</f>
        <v>145</v>
      </c>
      <c r="R5122" s="1">
        <f>_xlfn.XLOOKUP(C5122,Contract!$A$2:$A$9,Contract!$B$2:$B$9)</f>
        <v>0.43</v>
      </c>
      <c r="S5122" s="1">
        <f t="shared" ref="S5122:S5185" si="320">ROUND(Q5122*F5122*R5122,2)</f>
        <v>62.35</v>
      </c>
      <c r="T5122" s="1" t="str">
        <f t="shared" ref="T5122:T5185" si="321">IF(M5122="Paid",S5122-J5122,"")</f>
        <v/>
      </c>
      <c r="U5122" s="1" t="str">
        <f t="shared" ref="U5122:U5185" si="322">IF(M5122&lt;&gt;"Paid","",IF(T5122&gt;S5122*0.05,"Underpaid","OK"))</f>
        <v/>
      </c>
      <c r="V5122" s="1" t="str">
        <f>_xlfn.XLOOKUP(C5122,Payers!$A$2:$A$9,Payers!$B$2:$B$9)</f>
        <v>Summit Health Commercial</v>
      </c>
      <c r="W5122" s="1" t="str">
        <f t="shared" ref="W5122:W5185" si="323">TEXT(G5122,"yyyy-mm")</f>
        <v>2025-11</v>
      </c>
    </row>
    <row r="5123" spans="1:23">
      <c r="A5123" s="1" t="s">
        <v>7879</v>
      </c>
      <c r="B5123" s="1" t="s">
        <v>420</v>
      </c>
      <c r="C5123" s="1" t="s">
        <v>25</v>
      </c>
      <c r="D5123" s="1" t="s">
        <v>19</v>
      </c>
      <c r="E5123" s="1" t="s">
        <v>41</v>
      </c>
      <c r="F5123">
        <v>1</v>
      </c>
      <c r="G5123" s="2">
        <v>46287</v>
      </c>
      <c r="H5123" s="2">
        <v>46290</v>
      </c>
      <c r="I5123">
        <v>37.85</v>
      </c>
      <c r="M5123" s="1" t="s">
        <v>69</v>
      </c>
      <c r="N5123" s="1" t="s">
        <v>22</v>
      </c>
      <c r="O5123" s="2"/>
      <c r="P5123" s="2"/>
      <c r="Q5123">
        <f>_xlfn.XLOOKUP(E5123,CPT!$A$2:$A$13,CPT!$D$2:$D$13)</f>
        <v>38</v>
      </c>
      <c r="R5123" s="1">
        <f>_xlfn.XLOOKUP(C5123,Contract!$A$2:$A$9,Contract!$B$2:$B$9)</f>
        <v>0.36</v>
      </c>
      <c r="S5123" s="1">
        <f t="shared" si="320"/>
        <v>13.68</v>
      </c>
      <c r="T5123" s="1" t="str">
        <f t="shared" si="321"/>
        <v/>
      </c>
      <c r="U5123" s="1" t="str">
        <f t="shared" si="322"/>
        <v/>
      </c>
      <c r="V5123" s="1" t="str">
        <f>_xlfn.XLOOKUP(C5123,Payers!$A$2:$A$9,Payers!$B$2:$B$9)</f>
        <v>Medicare Part B</v>
      </c>
      <c r="W5123" s="1" t="str">
        <f t="shared" si="323"/>
        <v>2026-09</v>
      </c>
    </row>
    <row r="5124" spans="1:23">
      <c r="A5124" s="1" t="s">
        <v>7880</v>
      </c>
      <c r="B5124" s="1" t="s">
        <v>3432</v>
      </c>
      <c r="C5124" s="1" t="s">
        <v>18</v>
      </c>
      <c r="D5124" s="1" t="s">
        <v>19</v>
      </c>
      <c r="E5124" s="1" t="s">
        <v>20</v>
      </c>
      <c r="F5124">
        <v>1</v>
      </c>
      <c r="G5124" s="2">
        <v>46044</v>
      </c>
      <c r="H5124" s="2">
        <v>46062</v>
      </c>
      <c r="I5124">
        <v>140.99</v>
      </c>
      <c r="J5124">
        <v>61.45</v>
      </c>
      <c r="K5124">
        <v>61.45</v>
      </c>
      <c r="L5124">
        <v>0</v>
      </c>
      <c r="M5124" s="1" t="s">
        <v>21</v>
      </c>
      <c r="N5124" s="1" t="s">
        <v>22</v>
      </c>
      <c r="O5124" s="2">
        <v>46125</v>
      </c>
      <c r="P5124" s="2">
        <v>46125</v>
      </c>
      <c r="Q5124">
        <f>_xlfn.XLOOKUP(E5124,CPT!$A$2:$A$13,CPT!$D$2:$D$13)</f>
        <v>145</v>
      </c>
      <c r="R5124" s="1">
        <f>_xlfn.XLOOKUP(C5124,Contract!$A$2:$A$9,Contract!$B$2:$B$9)</f>
        <v>0.38</v>
      </c>
      <c r="S5124" s="1">
        <f t="shared" si="320"/>
        <v>55.1</v>
      </c>
      <c r="T5124" s="1">
        <f t="shared" si="321"/>
        <v>-6.3500000000000014</v>
      </c>
      <c r="U5124" s="1" t="str">
        <f t="shared" si="322"/>
        <v>OK</v>
      </c>
      <c r="V5124" s="1" t="str">
        <f>_xlfn.XLOOKUP(C5124,Payers!$A$2:$A$9,Payers!$B$2:$B$9)</f>
        <v>Sunshine Medicare Advantage</v>
      </c>
      <c r="W5124" s="1" t="str">
        <f t="shared" si="323"/>
        <v>2026-01</v>
      </c>
    </row>
    <row r="5125" spans="1:23">
      <c r="A5125" s="1" t="s">
        <v>7881</v>
      </c>
      <c r="B5125" s="1" t="s">
        <v>2154</v>
      </c>
      <c r="C5125" s="1" t="s">
        <v>25</v>
      </c>
      <c r="D5125" s="1" t="s">
        <v>19</v>
      </c>
      <c r="E5125" s="1" t="s">
        <v>57</v>
      </c>
      <c r="F5125">
        <v>1</v>
      </c>
      <c r="G5125" s="2">
        <v>46117</v>
      </c>
      <c r="H5125" s="2">
        <v>46118</v>
      </c>
      <c r="I5125">
        <v>214.58</v>
      </c>
      <c r="J5125">
        <v>67.84</v>
      </c>
      <c r="K5125">
        <v>54.27</v>
      </c>
      <c r="L5125">
        <v>13.57</v>
      </c>
      <c r="M5125" s="1" t="s">
        <v>21</v>
      </c>
      <c r="N5125" s="1" t="s">
        <v>22</v>
      </c>
      <c r="O5125" s="2">
        <v>46143</v>
      </c>
      <c r="P5125" s="2">
        <v>46143</v>
      </c>
      <c r="Q5125">
        <f>_xlfn.XLOOKUP(E5125,CPT!$A$2:$A$13,CPT!$D$2:$D$13)</f>
        <v>210</v>
      </c>
      <c r="R5125" s="1">
        <f>_xlfn.XLOOKUP(C5125,Contract!$A$2:$A$9,Contract!$B$2:$B$9)</f>
        <v>0.36</v>
      </c>
      <c r="S5125" s="1">
        <f t="shared" si="320"/>
        <v>75.599999999999994</v>
      </c>
      <c r="T5125" s="1">
        <f t="shared" si="321"/>
        <v>7.7599999999999909</v>
      </c>
      <c r="U5125" s="1" t="str">
        <f t="shared" si="322"/>
        <v>Underpaid</v>
      </c>
      <c r="V5125" s="1" t="str">
        <f>_xlfn.XLOOKUP(C5125,Payers!$A$2:$A$9,Payers!$B$2:$B$9)</f>
        <v>Medicare Part B</v>
      </c>
      <c r="W5125" s="1" t="str">
        <f t="shared" si="323"/>
        <v>2026-04</v>
      </c>
    </row>
    <row r="5126" spans="1:23">
      <c r="A5126" s="1" t="s">
        <v>7882</v>
      </c>
      <c r="B5126" s="1" t="s">
        <v>554</v>
      </c>
      <c r="C5126" s="1" t="s">
        <v>18</v>
      </c>
      <c r="D5126" s="1" t="s">
        <v>30</v>
      </c>
      <c r="E5126" s="1" t="s">
        <v>31</v>
      </c>
      <c r="F5126">
        <v>2</v>
      </c>
      <c r="G5126" s="2">
        <v>46003</v>
      </c>
      <c r="H5126" s="2">
        <v>46011</v>
      </c>
      <c r="I5126">
        <v>125.06</v>
      </c>
      <c r="J5126">
        <v>45.28</v>
      </c>
      <c r="K5126">
        <v>40.75</v>
      </c>
      <c r="L5126">
        <v>4.53</v>
      </c>
      <c r="M5126" s="1" t="s">
        <v>21</v>
      </c>
      <c r="N5126" s="1" t="s">
        <v>22</v>
      </c>
      <c r="O5126" s="2">
        <v>46046</v>
      </c>
      <c r="P5126" s="2">
        <v>46046</v>
      </c>
      <c r="Q5126">
        <f>_xlfn.XLOOKUP(E5126,CPT!$A$2:$A$13,CPT!$D$2:$D$13)</f>
        <v>62</v>
      </c>
      <c r="R5126" s="1">
        <f>_xlfn.XLOOKUP(C5126,Contract!$A$2:$A$9,Contract!$B$2:$B$9)</f>
        <v>0.38</v>
      </c>
      <c r="S5126" s="1">
        <f t="shared" si="320"/>
        <v>47.12</v>
      </c>
      <c r="T5126" s="1">
        <f t="shared" si="321"/>
        <v>1.8399999999999963</v>
      </c>
      <c r="U5126" s="1" t="str">
        <f t="shared" si="322"/>
        <v>OK</v>
      </c>
      <c r="V5126" s="1" t="str">
        <f>_xlfn.XLOOKUP(C5126,Payers!$A$2:$A$9,Payers!$B$2:$B$9)</f>
        <v>Sunshine Medicare Advantage</v>
      </c>
      <c r="W5126" s="1" t="str">
        <f t="shared" si="323"/>
        <v>2025-12</v>
      </c>
    </row>
    <row r="5127" spans="1:23">
      <c r="A5127" s="1" t="s">
        <v>7883</v>
      </c>
      <c r="B5127" s="1" t="s">
        <v>3182</v>
      </c>
      <c r="C5127" s="1" t="s">
        <v>25</v>
      </c>
      <c r="D5127" s="1" t="s">
        <v>37</v>
      </c>
      <c r="E5127" s="1" t="s">
        <v>57</v>
      </c>
      <c r="F5127">
        <v>1</v>
      </c>
      <c r="G5127" s="2">
        <v>46039</v>
      </c>
      <c r="H5127" s="2">
        <v>46046</v>
      </c>
      <c r="I5127">
        <v>207.47</v>
      </c>
      <c r="J5127">
        <v>71.05</v>
      </c>
      <c r="K5127">
        <v>71.05</v>
      </c>
      <c r="L5127">
        <v>0</v>
      </c>
      <c r="M5127" s="1" t="s">
        <v>21</v>
      </c>
      <c r="N5127" s="1" t="s">
        <v>22</v>
      </c>
      <c r="O5127" s="2">
        <v>46053</v>
      </c>
      <c r="P5127" s="2">
        <v>46053</v>
      </c>
      <c r="Q5127">
        <f>_xlfn.XLOOKUP(E5127,CPT!$A$2:$A$13,CPT!$D$2:$D$13)</f>
        <v>210</v>
      </c>
      <c r="R5127" s="1">
        <f>_xlfn.XLOOKUP(C5127,Contract!$A$2:$A$9,Contract!$B$2:$B$9)</f>
        <v>0.36</v>
      </c>
      <c r="S5127" s="1">
        <f t="shared" si="320"/>
        <v>75.599999999999994</v>
      </c>
      <c r="T5127" s="1">
        <f t="shared" si="321"/>
        <v>4.5499999999999972</v>
      </c>
      <c r="U5127" s="1" t="str">
        <f t="shared" si="322"/>
        <v>Underpaid</v>
      </c>
      <c r="V5127" s="1" t="str">
        <f>_xlfn.XLOOKUP(C5127,Payers!$A$2:$A$9,Payers!$B$2:$B$9)</f>
        <v>Medicare Part B</v>
      </c>
      <c r="W5127" s="1" t="str">
        <f t="shared" si="323"/>
        <v>2026-01</v>
      </c>
    </row>
    <row r="5128" spans="1:23">
      <c r="A5128" s="1" t="s">
        <v>7884</v>
      </c>
      <c r="B5128" s="1" t="s">
        <v>7548</v>
      </c>
      <c r="C5128" s="1" t="s">
        <v>25</v>
      </c>
      <c r="D5128" s="1" t="s">
        <v>19</v>
      </c>
      <c r="E5128" s="1" t="s">
        <v>41</v>
      </c>
      <c r="F5128">
        <v>1</v>
      </c>
      <c r="G5128" s="2">
        <v>46064</v>
      </c>
      <c r="H5128" s="2">
        <v>46069</v>
      </c>
      <c r="I5128">
        <v>37.9</v>
      </c>
      <c r="J5128">
        <v>12.22</v>
      </c>
      <c r="K5128">
        <v>12.22</v>
      </c>
      <c r="L5128">
        <v>0</v>
      </c>
      <c r="M5128" s="1" t="s">
        <v>21</v>
      </c>
      <c r="N5128" s="1" t="s">
        <v>22</v>
      </c>
      <c r="O5128" s="2">
        <v>46087</v>
      </c>
      <c r="P5128" s="2">
        <v>46087</v>
      </c>
      <c r="Q5128">
        <f>_xlfn.XLOOKUP(E5128,CPT!$A$2:$A$13,CPT!$D$2:$D$13)</f>
        <v>38</v>
      </c>
      <c r="R5128" s="1">
        <f>_xlfn.XLOOKUP(C5128,Contract!$A$2:$A$9,Contract!$B$2:$B$9)</f>
        <v>0.36</v>
      </c>
      <c r="S5128" s="1">
        <f t="shared" si="320"/>
        <v>13.68</v>
      </c>
      <c r="T5128" s="1">
        <f t="shared" si="321"/>
        <v>1.4599999999999991</v>
      </c>
      <c r="U5128" s="1" t="str">
        <f t="shared" si="322"/>
        <v>Underpaid</v>
      </c>
      <c r="V5128" s="1" t="str">
        <f>_xlfn.XLOOKUP(C5128,Payers!$A$2:$A$9,Payers!$B$2:$B$9)</f>
        <v>Medicare Part B</v>
      </c>
      <c r="W5128" s="1" t="str">
        <f t="shared" si="323"/>
        <v>2026-02</v>
      </c>
    </row>
    <row r="5129" spans="1:23">
      <c r="A5129" s="1" t="s">
        <v>7885</v>
      </c>
      <c r="B5129" s="1" t="s">
        <v>7886</v>
      </c>
      <c r="C5129" s="1" t="s">
        <v>47</v>
      </c>
      <c r="D5129" s="1" t="s">
        <v>30</v>
      </c>
      <c r="E5129" s="1" t="s">
        <v>31</v>
      </c>
      <c r="F5129">
        <v>3</v>
      </c>
      <c r="G5129" s="2">
        <v>46290</v>
      </c>
      <c r="H5129" s="2">
        <v>46294</v>
      </c>
      <c r="I5129">
        <v>190.97</v>
      </c>
      <c r="M5129" s="1" t="s">
        <v>69</v>
      </c>
      <c r="N5129" s="1" t="s">
        <v>22</v>
      </c>
      <c r="O5129" s="2"/>
      <c r="P5129" s="2"/>
      <c r="Q5129">
        <f>_xlfn.XLOOKUP(E5129,CPT!$A$2:$A$13,CPT!$D$2:$D$13)</f>
        <v>62</v>
      </c>
      <c r="R5129" s="1">
        <f>_xlfn.XLOOKUP(C5129,Contract!$A$2:$A$9,Contract!$B$2:$B$9)</f>
        <v>0.28000000000000003</v>
      </c>
      <c r="S5129" s="1">
        <f t="shared" si="320"/>
        <v>52.08</v>
      </c>
      <c r="T5129" s="1" t="str">
        <f t="shared" si="321"/>
        <v/>
      </c>
      <c r="U5129" s="1" t="str">
        <f t="shared" si="322"/>
        <v/>
      </c>
      <c r="V5129" s="1" t="str">
        <f>_xlfn.XLOOKUP(C5129,Payers!$A$2:$A$9,Payers!$B$2:$B$9)</f>
        <v>Coastal Medicaid MCO</v>
      </c>
      <c r="W5129" s="1" t="str">
        <f t="shared" si="323"/>
        <v>2026-09</v>
      </c>
    </row>
    <row r="5130" spans="1:23">
      <c r="A5130" s="1" t="s">
        <v>7887</v>
      </c>
      <c r="B5130" s="1" t="s">
        <v>7888</v>
      </c>
      <c r="C5130" s="1" t="s">
        <v>60</v>
      </c>
      <c r="D5130" s="1" t="s">
        <v>30</v>
      </c>
      <c r="E5130" s="1" t="s">
        <v>91</v>
      </c>
      <c r="F5130">
        <v>4</v>
      </c>
      <c r="G5130" s="2">
        <v>46149</v>
      </c>
      <c r="H5130" s="2">
        <v>46152</v>
      </c>
      <c r="I5130">
        <v>235.4</v>
      </c>
      <c r="J5130">
        <v>102.16</v>
      </c>
      <c r="K5130">
        <v>102.16</v>
      </c>
      <c r="L5130">
        <v>0</v>
      </c>
      <c r="M5130" s="1" t="s">
        <v>21</v>
      </c>
      <c r="N5130" s="1" t="s">
        <v>22</v>
      </c>
      <c r="O5130" s="2">
        <v>46182</v>
      </c>
      <c r="P5130" s="2">
        <v>46182</v>
      </c>
      <c r="Q5130">
        <f>_xlfn.XLOOKUP(E5130,CPT!$A$2:$A$13,CPT!$D$2:$D$13)</f>
        <v>58</v>
      </c>
      <c r="R5130" s="1">
        <f>_xlfn.XLOOKUP(C5130,Contract!$A$2:$A$9,Contract!$B$2:$B$9)</f>
        <v>0.45</v>
      </c>
      <c r="S5130" s="1">
        <f t="shared" si="320"/>
        <v>104.4</v>
      </c>
      <c r="T5130" s="1">
        <f t="shared" si="321"/>
        <v>2.2400000000000091</v>
      </c>
      <c r="U5130" s="1" t="str">
        <f t="shared" si="322"/>
        <v>OK</v>
      </c>
      <c r="V5130" s="1" t="str">
        <f>_xlfn.XLOOKUP(C5130,Payers!$A$2:$A$9,Payers!$B$2:$B$9)</f>
        <v>Blue Horizon Commercial</v>
      </c>
      <c r="W5130" s="1" t="str">
        <f t="shared" si="323"/>
        <v>2026-05</v>
      </c>
    </row>
    <row r="5131" spans="1:23">
      <c r="A5131" s="1" t="s">
        <v>7889</v>
      </c>
      <c r="B5131" s="1" t="s">
        <v>273</v>
      </c>
      <c r="C5131" s="1" t="s">
        <v>36</v>
      </c>
      <c r="D5131" s="1" t="s">
        <v>26</v>
      </c>
      <c r="E5131" s="1" t="s">
        <v>44</v>
      </c>
      <c r="F5131">
        <v>1</v>
      </c>
      <c r="G5131" s="2">
        <v>46115</v>
      </c>
      <c r="H5131" s="2">
        <v>46117</v>
      </c>
      <c r="I5131">
        <v>4761.92</v>
      </c>
      <c r="J5131">
        <v>1196</v>
      </c>
      <c r="K5131">
        <v>1196</v>
      </c>
      <c r="L5131">
        <v>0</v>
      </c>
      <c r="M5131" s="1" t="s">
        <v>21</v>
      </c>
      <c r="N5131" s="1" t="s">
        <v>22</v>
      </c>
      <c r="O5131" s="2">
        <v>46152</v>
      </c>
      <c r="P5131" s="2">
        <v>46152</v>
      </c>
      <c r="Q5131">
        <f>_xlfn.XLOOKUP(E5131,CPT!$A$2:$A$13,CPT!$D$2:$D$13)</f>
        <v>4800</v>
      </c>
      <c r="R5131" s="1">
        <f>_xlfn.XLOOKUP(C5131,Contract!$A$2:$A$9,Contract!$B$2:$B$9)</f>
        <v>0.27</v>
      </c>
      <c r="S5131" s="1">
        <f t="shared" si="320"/>
        <v>1296</v>
      </c>
      <c r="T5131" s="1">
        <f t="shared" si="321"/>
        <v>100</v>
      </c>
      <c r="U5131" s="1" t="str">
        <f t="shared" si="322"/>
        <v>Underpaid</v>
      </c>
      <c r="V5131" s="1" t="str">
        <f>_xlfn.XLOOKUP(C5131,Payers!$A$2:$A$9,Payers!$B$2:$B$9)</f>
        <v>Florida Medicaid</v>
      </c>
      <c r="W5131" s="1" t="str">
        <f t="shared" si="323"/>
        <v>2026-04</v>
      </c>
    </row>
    <row r="5132" spans="1:23">
      <c r="A5132" s="1" t="s">
        <v>7890</v>
      </c>
      <c r="B5132" s="1" t="s">
        <v>295</v>
      </c>
      <c r="C5132" s="1" t="s">
        <v>25</v>
      </c>
      <c r="D5132" s="1" t="s">
        <v>26</v>
      </c>
      <c r="E5132" s="1" t="s">
        <v>27</v>
      </c>
      <c r="F5132">
        <v>1</v>
      </c>
      <c r="G5132" s="2">
        <v>45981</v>
      </c>
      <c r="H5132" s="2">
        <v>45983</v>
      </c>
      <c r="I5132">
        <v>233.76</v>
      </c>
      <c r="J5132">
        <v>85.31</v>
      </c>
      <c r="K5132">
        <v>68.25</v>
      </c>
      <c r="L5132">
        <v>17.059999999999999</v>
      </c>
      <c r="M5132" s="1" t="s">
        <v>21</v>
      </c>
      <c r="N5132" s="1" t="s">
        <v>22</v>
      </c>
      <c r="O5132" s="2">
        <v>46007</v>
      </c>
      <c r="P5132" s="2">
        <v>46007</v>
      </c>
      <c r="Q5132">
        <f>_xlfn.XLOOKUP(E5132,CPT!$A$2:$A$13,CPT!$D$2:$D$13)</f>
        <v>240</v>
      </c>
      <c r="R5132" s="1">
        <f>_xlfn.XLOOKUP(C5132,Contract!$A$2:$A$9,Contract!$B$2:$B$9)</f>
        <v>0.36</v>
      </c>
      <c r="S5132" s="1">
        <f t="shared" si="320"/>
        <v>86.4</v>
      </c>
      <c r="T5132" s="1">
        <f t="shared" si="321"/>
        <v>1.0900000000000034</v>
      </c>
      <c r="U5132" s="1" t="str">
        <f t="shared" si="322"/>
        <v>OK</v>
      </c>
      <c r="V5132" s="1" t="str">
        <f>_xlfn.XLOOKUP(C5132,Payers!$A$2:$A$9,Payers!$B$2:$B$9)</f>
        <v>Medicare Part B</v>
      </c>
      <c r="W5132" s="1" t="str">
        <f t="shared" si="323"/>
        <v>2025-11</v>
      </c>
    </row>
    <row r="5133" spans="1:23">
      <c r="A5133" s="1" t="s">
        <v>7891</v>
      </c>
      <c r="B5133" s="1" t="s">
        <v>5170</v>
      </c>
      <c r="C5133" s="1" t="s">
        <v>52</v>
      </c>
      <c r="D5133" s="1" t="s">
        <v>26</v>
      </c>
      <c r="E5133" s="1" t="s">
        <v>113</v>
      </c>
      <c r="F5133">
        <v>1</v>
      </c>
      <c r="G5133" s="2">
        <v>46259</v>
      </c>
      <c r="H5133" s="2">
        <v>46264</v>
      </c>
      <c r="I5133">
        <v>1076.46</v>
      </c>
      <c r="M5133" s="1" t="s">
        <v>69</v>
      </c>
      <c r="N5133" s="1" t="s">
        <v>22</v>
      </c>
      <c r="O5133" s="2"/>
      <c r="P5133" s="2"/>
      <c r="Q5133">
        <f>_xlfn.XLOOKUP(E5133,CPT!$A$2:$A$13,CPT!$D$2:$D$13)</f>
        <v>1050</v>
      </c>
      <c r="R5133" s="1">
        <f>_xlfn.XLOOKUP(C5133,Contract!$A$2:$A$9,Contract!$B$2:$B$9)</f>
        <v>0.47</v>
      </c>
      <c r="S5133" s="1">
        <f t="shared" si="320"/>
        <v>493.5</v>
      </c>
      <c r="T5133" s="1" t="str">
        <f t="shared" si="321"/>
        <v/>
      </c>
      <c r="U5133" s="1" t="str">
        <f t="shared" si="322"/>
        <v/>
      </c>
      <c r="V5133" s="1" t="str">
        <f>_xlfn.XLOOKUP(C5133,Payers!$A$2:$A$9,Payers!$B$2:$B$9)</f>
        <v>Keystone Commercial PPO</v>
      </c>
      <c r="W5133" s="1" t="str">
        <f t="shared" si="323"/>
        <v>2026-08</v>
      </c>
    </row>
    <row r="5134" spans="1:23">
      <c r="A5134" s="1" t="s">
        <v>7892</v>
      </c>
      <c r="B5134" s="1" t="s">
        <v>5733</v>
      </c>
      <c r="C5134" s="1" t="s">
        <v>60</v>
      </c>
      <c r="D5134" s="1" t="s">
        <v>26</v>
      </c>
      <c r="E5134" s="1" t="s">
        <v>27</v>
      </c>
      <c r="F5134">
        <v>1</v>
      </c>
      <c r="G5134" s="2">
        <v>46143</v>
      </c>
      <c r="H5134" s="2">
        <v>46146</v>
      </c>
      <c r="I5134">
        <v>242.97</v>
      </c>
      <c r="J5134">
        <v>122.52</v>
      </c>
      <c r="K5134">
        <v>122.52</v>
      </c>
      <c r="L5134">
        <v>0</v>
      </c>
      <c r="M5134" s="1" t="s">
        <v>21</v>
      </c>
      <c r="N5134" s="1" t="s">
        <v>22</v>
      </c>
      <c r="O5134" s="2">
        <v>46173</v>
      </c>
      <c r="P5134" s="2">
        <v>46173</v>
      </c>
      <c r="Q5134">
        <f>_xlfn.XLOOKUP(E5134,CPT!$A$2:$A$13,CPT!$D$2:$D$13)</f>
        <v>240</v>
      </c>
      <c r="R5134" s="1">
        <f>_xlfn.XLOOKUP(C5134,Contract!$A$2:$A$9,Contract!$B$2:$B$9)</f>
        <v>0.45</v>
      </c>
      <c r="S5134" s="1">
        <f t="shared" si="320"/>
        <v>108</v>
      </c>
      <c r="T5134" s="1">
        <f t="shared" si="321"/>
        <v>-14.519999999999996</v>
      </c>
      <c r="U5134" s="1" t="str">
        <f t="shared" si="322"/>
        <v>OK</v>
      </c>
      <c r="V5134" s="1" t="str">
        <f>_xlfn.XLOOKUP(C5134,Payers!$A$2:$A$9,Payers!$B$2:$B$9)</f>
        <v>Blue Horizon Commercial</v>
      </c>
      <c r="W5134" s="1" t="str">
        <f t="shared" si="323"/>
        <v>2026-05</v>
      </c>
    </row>
    <row r="5135" spans="1:23">
      <c r="A5135" s="1" t="s">
        <v>7893</v>
      </c>
      <c r="B5135" s="1" t="s">
        <v>6819</v>
      </c>
      <c r="C5135" s="1" t="s">
        <v>18</v>
      </c>
      <c r="D5135" s="1" t="s">
        <v>26</v>
      </c>
      <c r="E5135" s="1" t="s">
        <v>57</v>
      </c>
      <c r="F5135">
        <v>1</v>
      </c>
      <c r="G5135" s="2">
        <v>46081</v>
      </c>
      <c r="H5135" s="2">
        <v>46084</v>
      </c>
      <c r="I5135">
        <v>214.3</v>
      </c>
      <c r="J5135">
        <v>79.760000000000005</v>
      </c>
      <c r="K5135">
        <v>79.760000000000005</v>
      </c>
      <c r="L5135">
        <v>0</v>
      </c>
      <c r="M5135" s="1" t="s">
        <v>21</v>
      </c>
      <c r="N5135" s="1" t="s">
        <v>22</v>
      </c>
      <c r="O5135" s="2">
        <v>46135</v>
      </c>
      <c r="P5135" s="2">
        <v>46135</v>
      </c>
      <c r="Q5135">
        <f>_xlfn.XLOOKUP(E5135,CPT!$A$2:$A$13,CPT!$D$2:$D$13)</f>
        <v>210</v>
      </c>
      <c r="R5135" s="1">
        <f>_xlfn.XLOOKUP(C5135,Contract!$A$2:$A$9,Contract!$B$2:$B$9)</f>
        <v>0.38</v>
      </c>
      <c r="S5135" s="1">
        <f t="shared" si="320"/>
        <v>79.8</v>
      </c>
      <c r="T5135" s="1">
        <f t="shared" si="321"/>
        <v>3.9999999999992042E-2</v>
      </c>
      <c r="U5135" s="1" t="str">
        <f t="shared" si="322"/>
        <v>OK</v>
      </c>
      <c r="V5135" s="1" t="str">
        <f>_xlfn.XLOOKUP(C5135,Payers!$A$2:$A$9,Payers!$B$2:$B$9)</f>
        <v>Sunshine Medicare Advantage</v>
      </c>
      <c r="W5135" s="1" t="str">
        <f t="shared" si="323"/>
        <v>2026-02</v>
      </c>
    </row>
    <row r="5136" spans="1:23">
      <c r="A5136" s="1" t="s">
        <v>7894</v>
      </c>
      <c r="B5136" s="1" t="s">
        <v>7087</v>
      </c>
      <c r="C5136" s="1" t="s">
        <v>25</v>
      </c>
      <c r="D5136" s="1" t="s">
        <v>37</v>
      </c>
      <c r="E5136" s="1" t="s">
        <v>48</v>
      </c>
      <c r="F5136">
        <v>1</v>
      </c>
      <c r="G5136" s="2">
        <v>46134</v>
      </c>
      <c r="H5136" s="2">
        <v>46135</v>
      </c>
      <c r="I5136">
        <v>417.71</v>
      </c>
      <c r="J5136">
        <v>172.53</v>
      </c>
      <c r="K5136">
        <v>172.53</v>
      </c>
      <c r="L5136">
        <v>0</v>
      </c>
      <c r="M5136" s="1" t="s">
        <v>21</v>
      </c>
      <c r="N5136" s="1" t="s">
        <v>22</v>
      </c>
      <c r="O5136" s="2">
        <v>46154</v>
      </c>
      <c r="P5136" s="2">
        <v>46154</v>
      </c>
      <c r="Q5136">
        <f>_xlfn.XLOOKUP(E5136,CPT!$A$2:$A$13,CPT!$D$2:$D$13)</f>
        <v>420</v>
      </c>
      <c r="R5136" s="1">
        <f>_xlfn.XLOOKUP(C5136,Contract!$A$2:$A$9,Contract!$B$2:$B$9)</f>
        <v>0.36</v>
      </c>
      <c r="S5136" s="1">
        <f t="shared" si="320"/>
        <v>151.19999999999999</v>
      </c>
      <c r="T5136" s="1">
        <f t="shared" si="321"/>
        <v>-21.330000000000013</v>
      </c>
      <c r="U5136" s="1" t="str">
        <f t="shared" si="322"/>
        <v>OK</v>
      </c>
      <c r="V5136" s="1" t="str">
        <f>_xlfn.XLOOKUP(C5136,Payers!$A$2:$A$9,Payers!$B$2:$B$9)</f>
        <v>Medicare Part B</v>
      </c>
      <c r="W5136" s="1" t="str">
        <f t="shared" si="323"/>
        <v>2026-04</v>
      </c>
    </row>
    <row r="5137" spans="1:23">
      <c r="A5137" s="1" t="s">
        <v>7895</v>
      </c>
      <c r="B5137" s="1" t="s">
        <v>819</v>
      </c>
      <c r="C5137" s="1" t="s">
        <v>60</v>
      </c>
      <c r="D5137" s="1" t="s">
        <v>30</v>
      </c>
      <c r="E5137" s="1" t="s">
        <v>31</v>
      </c>
      <c r="F5137">
        <v>1</v>
      </c>
      <c r="G5137" s="2">
        <v>46223</v>
      </c>
      <c r="H5137" s="2">
        <v>46237</v>
      </c>
      <c r="I5137">
        <v>60.88</v>
      </c>
      <c r="J5137">
        <v>28.44</v>
      </c>
      <c r="K5137">
        <v>28.44</v>
      </c>
      <c r="L5137">
        <v>0</v>
      </c>
      <c r="M5137" s="1" t="s">
        <v>21</v>
      </c>
      <c r="N5137" s="1" t="s">
        <v>22</v>
      </c>
      <c r="O5137" s="2">
        <v>46258</v>
      </c>
      <c r="P5137" s="2">
        <v>46258</v>
      </c>
      <c r="Q5137">
        <f>_xlfn.XLOOKUP(E5137,CPT!$A$2:$A$13,CPT!$D$2:$D$13)</f>
        <v>62</v>
      </c>
      <c r="R5137" s="1">
        <f>_xlfn.XLOOKUP(C5137,Contract!$A$2:$A$9,Contract!$B$2:$B$9)</f>
        <v>0.45</v>
      </c>
      <c r="S5137" s="1">
        <f t="shared" si="320"/>
        <v>27.9</v>
      </c>
      <c r="T5137" s="1">
        <f t="shared" si="321"/>
        <v>-0.5400000000000027</v>
      </c>
      <c r="U5137" s="1" t="str">
        <f t="shared" si="322"/>
        <v>OK</v>
      </c>
      <c r="V5137" s="1" t="str">
        <f>_xlfn.XLOOKUP(C5137,Payers!$A$2:$A$9,Payers!$B$2:$B$9)</f>
        <v>Blue Horizon Commercial</v>
      </c>
      <c r="W5137" s="1" t="str">
        <f t="shared" si="323"/>
        <v>2026-07</v>
      </c>
    </row>
    <row r="5138" spans="1:23">
      <c r="A5138" s="1" t="s">
        <v>7896</v>
      </c>
      <c r="B5138" s="1" t="s">
        <v>1895</v>
      </c>
      <c r="C5138" s="1" t="s">
        <v>60</v>
      </c>
      <c r="D5138" s="1" t="s">
        <v>37</v>
      </c>
      <c r="E5138" s="1" t="s">
        <v>57</v>
      </c>
      <c r="F5138">
        <v>1</v>
      </c>
      <c r="G5138" s="2">
        <v>46138</v>
      </c>
      <c r="H5138" s="2">
        <v>46142</v>
      </c>
      <c r="I5138">
        <v>213.35</v>
      </c>
      <c r="J5138">
        <v>94.35</v>
      </c>
      <c r="K5138">
        <v>94.35</v>
      </c>
      <c r="L5138">
        <v>0</v>
      </c>
      <c r="M5138" s="1" t="s">
        <v>21</v>
      </c>
      <c r="N5138" s="1" t="s">
        <v>22</v>
      </c>
      <c r="O5138" s="2">
        <v>46173</v>
      </c>
      <c r="P5138" s="2">
        <v>46173</v>
      </c>
      <c r="Q5138">
        <f>_xlfn.XLOOKUP(E5138,CPT!$A$2:$A$13,CPT!$D$2:$D$13)</f>
        <v>210</v>
      </c>
      <c r="R5138" s="1">
        <f>_xlfn.XLOOKUP(C5138,Contract!$A$2:$A$9,Contract!$B$2:$B$9)</f>
        <v>0.45</v>
      </c>
      <c r="S5138" s="1">
        <f t="shared" si="320"/>
        <v>94.5</v>
      </c>
      <c r="T5138" s="1">
        <f t="shared" si="321"/>
        <v>0.15000000000000568</v>
      </c>
      <c r="U5138" s="1" t="str">
        <f t="shared" si="322"/>
        <v>OK</v>
      </c>
      <c r="V5138" s="1" t="str">
        <f>_xlfn.XLOOKUP(C5138,Payers!$A$2:$A$9,Payers!$B$2:$B$9)</f>
        <v>Blue Horizon Commercial</v>
      </c>
      <c r="W5138" s="1" t="str">
        <f t="shared" si="323"/>
        <v>2026-04</v>
      </c>
    </row>
    <row r="5139" spans="1:23">
      <c r="A5139" s="1" t="s">
        <v>7897</v>
      </c>
      <c r="B5139" s="1" t="s">
        <v>5188</v>
      </c>
      <c r="C5139" s="1" t="s">
        <v>79</v>
      </c>
      <c r="D5139" s="1" t="s">
        <v>26</v>
      </c>
      <c r="E5139" s="1" t="s">
        <v>27</v>
      </c>
      <c r="F5139">
        <v>1</v>
      </c>
      <c r="G5139" s="2">
        <v>45959</v>
      </c>
      <c r="H5139" s="2">
        <v>45964</v>
      </c>
      <c r="I5139">
        <v>242.58</v>
      </c>
      <c r="M5139" s="1" t="s">
        <v>69</v>
      </c>
      <c r="N5139" s="1" t="s">
        <v>22</v>
      </c>
      <c r="O5139" s="2"/>
      <c r="P5139" s="2"/>
      <c r="Q5139">
        <f>_xlfn.XLOOKUP(E5139,CPT!$A$2:$A$13,CPT!$D$2:$D$13)</f>
        <v>240</v>
      </c>
      <c r="R5139" s="1">
        <f>_xlfn.XLOOKUP(C5139,Contract!$A$2:$A$9,Contract!$B$2:$B$9)</f>
        <v>1</v>
      </c>
      <c r="S5139" s="1">
        <f t="shared" si="320"/>
        <v>240</v>
      </c>
      <c r="T5139" s="1" t="str">
        <f t="shared" si="321"/>
        <v/>
      </c>
      <c r="U5139" s="1" t="str">
        <f t="shared" si="322"/>
        <v/>
      </c>
      <c r="V5139" s="1" t="str">
        <f>_xlfn.XLOOKUP(C5139,Payers!$A$2:$A$9,Payers!$B$2:$B$9)</f>
        <v>Self-Pay</v>
      </c>
      <c r="W5139" s="1" t="str">
        <f t="shared" si="323"/>
        <v>2025-10</v>
      </c>
    </row>
    <row r="5140" spans="1:23">
      <c r="A5140" s="1" t="s">
        <v>7898</v>
      </c>
      <c r="B5140" s="1" t="s">
        <v>3959</v>
      </c>
      <c r="C5140" s="1" t="s">
        <v>52</v>
      </c>
      <c r="D5140" s="1" t="s">
        <v>30</v>
      </c>
      <c r="E5140" s="1" t="s">
        <v>91</v>
      </c>
      <c r="F5140">
        <v>3</v>
      </c>
      <c r="G5140" s="2">
        <v>45955</v>
      </c>
      <c r="H5140" s="2">
        <v>45957</v>
      </c>
      <c r="I5140">
        <v>170.17</v>
      </c>
      <c r="J5140">
        <v>88.07</v>
      </c>
      <c r="K5140">
        <v>79.260000000000005</v>
      </c>
      <c r="L5140">
        <v>8.81</v>
      </c>
      <c r="M5140" s="1" t="s">
        <v>21</v>
      </c>
      <c r="N5140" s="1" t="s">
        <v>22</v>
      </c>
      <c r="O5140" s="2">
        <v>45990</v>
      </c>
      <c r="P5140" s="2">
        <v>45990</v>
      </c>
      <c r="Q5140">
        <f>_xlfn.XLOOKUP(E5140,CPT!$A$2:$A$13,CPT!$D$2:$D$13)</f>
        <v>58</v>
      </c>
      <c r="R5140" s="1">
        <f>_xlfn.XLOOKUP(C5140,Contract!$A$2:$A$9,Contract!$B$2:$B$9)</f>
        <v>0.47</v>
      </c>
      <c r="S5140" s="1">
        <f t="shared" si="320"/>
        <v>81.78</v>
      </c>
      <c r="T5140" s="1">
        <f t="shared" si="321"/>
        <v>-6.289999999999992</v>
      </c>
      <c r="U5140" s="1" t="str">
        <f t="shared" si="322"/>
        <v>OK</v>
      </c>
      <c r="V5140" s="1" t="str">
        <f>_xlfn.XLOOKUP(C5140,Payers!$A$2:$A$9,Payers!$B$2:$B$9)</f>
        <v>Keystone Commercial PPO</v>
      </c>
      <c r="W5140" s="1" t="str">
        <f t="shared" si="323"/>
        <v>2025-10</v>
      </c>
    </row>
    <row r="5141" spans="1:23">
      <c r="A5141" s="1" t="s">
        <v>7899</v>
      </c>
      <c r="B5141" s="1" t="s">
        <v>2325</v>
      </c>
      <c r="C5141" s="1" t="s">
        <v>36</v>
      </c>
      <c r="D5141" s="1" t="s">
        <v>26</v>
      </c>
      <c r="E5141" s="1" t="s">
        <v>27</v>
      </c>
      <c r="F5141">
        <v>1</v>
      </c>
      <c r="G5141" s="2">
        <v>45970</v>
      </c>
      <c r="H5141" s="2">
        <v>45973</v>
      </c>
      <c r="I5141">
        <v>242.9</v>
      </c>
      <c r="M5141" s="1" t="s">
        <v>32</v>
      </c>
      <c r="N5141" s="1" t="s">
        <v>33</v>
      </c>
      <c r="O5141" s="2">
        <v>46006</v>
      </c>
      <c r="P5141" s="2"/>
      <c r="Q5141">
        <f>_xlfn.XLOOKUP(E5141,CPT!$A$2:$A$13,CPT!$D$2:$D$13)</f>
        <v>240</v>
      </c>
      <c r="R5141" s="1">
        <f>_xlfn.XLOOKUP(C5141,Contract!$A$2:$A$9,Contract!$B$2:$B$9)</f>
        <v>0.27</v>
      </c>
      <c r="S5141" s="1">
        <f t="shared" si="320"/>
        <v>64.8</v>
      </c>
      <c r="T5141" s="1" t="str">
        <f t="shared" si="321"/>
        <v/>
      </c>
      <c r="U5141" s="1" t="str">
        <f t="shared" si="322"/>
        <v/>
      </c>
      <c r="V5141" s="1" t="str">
        <f>_xlfn.XLOOKUP(C5141,Payers!$A$2:$A$9,Payers!$B$2:$B$9)</f>
        <v>Florida Medicaid</v>
      </c>
      <c r="W5141" s="1" t="str">
        <f t="shared" si="323"/>
        <v>2025-11</v>
      </c>
    </row>
    <row r="5142" spans="1:23">
      <c r="A5142" s="1" t="s">
        <v>7900</v>
      </c>
      <c r="B5142" s="1" t="s">
        <v>7901</v>
      </c>
      <c r="C5142" s="1" t="s">
        <v>47</v>
      </c>
      <c r="D5142" s="1" t="s">
        <v>26</v>
      </c>
      <c r="E5142" s="1" t="s">
        <v>88</v>
      </c>
      <c r="F5142">
        <v>1</v>
      </c>
      <c r="G5142" s="2">
        <v>46222</v>
      </c>
      <c r="H5142" s="2">
        <v>46225</v>
      </c>
      <c r="I5142">
        <v>259.55</v>
      </c>
      <c r="J5142">
        <v>62.2</v>
      </c>
      <c r="K5142">
        <v>62.2</v>
      </c>
      <c r="L5142">
        <v>0</v>
      </c>
      <c r="M5142" s="1" t="s">
        <v>21</v>
      </c>
      <c r="N5142" s="1" t="s">
        <v>22</v>
      </c>
      <c r="O5142" s="2">
        <v>46287</v>
      </c>
      <c r="P5142" s="2">
        <v>46287</v>
      </c>
      <c r="Q5142">
        <f>_xlfn.XLOOKUP(E5142,CPT!$A$2:$A$13,CPT!$D$2:$D$13)</f>
        <v>260</v>
      </c>
      <c r="R5142" s="1">
        <f>_xlfn.XLOOKUP(C5142,Contract!$A$2:$A$9,Contract!$B$2:$B$9)</f>
        <v>0.28000000000000003</v>
      </c>
      <c r="S5142" s="1">
        <f t="shared" si="320"/>
        <v>72.8</v>
      </c>
      <c r="T5142" s="1">
        <f t="shared" si="321"/>
        <v>10.599999999999994</v>
      </c>
      <c r="U5142" s="1" t="str">
        <f t="shared" si="322"/>
        <v>Underpaid</v>
      </c>
      <c r="V5142" s="1" t="str">
        <f>_xlfn.XLOOKUP(C5142,Payers!$A$2:$A$9,Payers!$B$2:$B$9)</f>
        <v>Coastal Medicaid MCO</v>
      </c>
      <c r="W5142" s="1" t="str">
        <f t="shared" si="323"/>
        <v>2026-07</v>
      </c>
    </row>
    <row r="5143" spans="1:23">
      <c r="A5143" s="1" t="s">
        <v>7902</v>
      </c>
      <c r="B5143" s="1" t="s">
        <v>275</v>
      </c>
      <c r="C5143" s="1" t="s">
        <v>18</v>
      </c>
      <c r="D5143" s="1" t="s">
        <v>37</v>
      </c>
      <c r="E5143" s="1" t="s">
        <v>48</v>
      </c>
      <c r="F5143">
        <v>1</v>
      </c>
      <c r="G5143" s="2">
        <v>46042</v>
      </c>
      <c r="H5143" s="2">
        <v>46043</v>
      </c>
      <c r="I5143">
        <v>420.29</v>
      </c>
      <c r="J5143">
        <v>144.79</v>
      </c>
      <c r="K5143">
        <v>144.79</v>
      </c>
      <c r="L5143">
        <v>0</v>
      </c>
      <c r="M5143" s="1" t="s">
        <v>21</v>
      </c>
      <c r="N5143" s="1" t="s">
        <v>22</v>
      </c>
      <c r="O5143" s="2">
        <v>46097</v>
      </c>
      <c r="P5143" s="2">
        <v>46097</v>
      </c>
      <c r="Q5143">
        <f>_xlfn.XLOOKUP(E5143,CPT!$A$2:$A$13,CPT!$D$2:$D$13)</f>
        <v>420</v>
      </c>
      <c r="R5143" s="1">
        <f>_xlfn.XLOOKUP(C5143,Contract!$A$2:$A$9,Contract!$B$2:$B$9)</f>
        <v>0.38</v>
      </c>
      <c r="S5143" s="1">
        <f t="shared" si="320"/>
        <v>159.6</v>
      </c>
      <c r="T5143" s="1">
        <f t="shared" si="321"/>
        <v>14.810000000000002</v>
      </c>
      <c r="U5143" s="1" t="str">
        <f t="shared" si="322"/>
        <v>Underpaid</v>
      </c>
      <c r="V5143" s="1" t="str">
        <f>_xlfn.XLOOKUP(C5143,Payers!$A$2:$A$9,Payers!$B$2:$B$9)</f>
        <v>Sunshine Medicare Advantage</v>
      </c>
      <c r="W5143" s="1" t="str">
        <f t="shared" si="323"/>
        <v>2026-01</v>
      </c>
    </row>
    <row r="5144" spans="1:23">
      <c r="A5144" s="1" t="s">
        <v>7903</v>
      </c>
      <c r="B5144" s="1" t="s">
        <v>6504</v>
      </c>
      <c r="C5144" s="1" t="s">
        <v>79</v>
      </c>
      <c r="D5144" s="1" t="s">
        <v>26</v>
      </c>
      <c r="E5144" s="1" t="s">
        <v>57</v>
      </c>
      <c r="F5144">
        <v>1</v>
      </c>
      <c r="G5144" s="2">
        <v>46103</v>
      </c>
      <c r="H5144" s="2">
        <v>46106</v>
      </c>
      <c r="I5144">
        <v>211.95</v>
      </c>
      <c r="J5144">
        <v>211.95</v>
      </c>
      <c r="K5144">
        <v>211.95</v>
      </c>
      <c r="L5144">
        <v>0</v>
      </c>
      <c r="M5144" s="1" t="s">
        <v>21</v>
      </c>
      <c r="N5144" s="1" t="s">
        <v>22</v>
      </c>
      <c r="O5144" s="2">
        <v>46209</v>
      </c>
      <c r="P5144" s="2">
        <v>46209</v>
      </c>
      <c r="Q5144">
        <f>_xlfn.XLOOKUP(E5144,CPT!$A$2:$A$13,CPT!$D$2:$D$13)</f>
        <v>210</v>
      </c>
      <c r="R5144" s="1">
        <f>_xlfn.XLOOKUP(C5144,Contract!$A$2:$A$9,Contract!$B$2:$B$9)</f>
        <v>1</v>
      </c>
      <c r="S5144" s="1">
        <f t="shared" si="320"/>
        <v>210</v>
      </c>
      <c r="T5144" s="1">
        <f t="shared" si="321"/>
        <v>-1.9499999999999886</v>
      </c>
      <c r="U5144" s="1" t="str">
        <f t="shared" si="322"/>
        <v>OK</v>
      </c>
      <c r="V5144" s="1" t="str">
        <f>_xlfn.XLOOKUP(C5144,Payers!$A$2:$A$9,Payers!$B$2:$B$9)</f>
        <v>Self-Pay</v>
      </c>
      <c r="W5144" s="1" t="str">
        <f t="shared" si="323"/>
        <v>2026-03</v>
      </c>
    </row>
    <row r="5145" spans="1:23">
      <c r="A5145" s="1" t="s">
        <v>7904</v>
      </c>
      <c r="B5145" s="1" t="s">
        <v>2875</v>
      </c>
      <c r="C5145" s="1" t="s">
        <v>25</v>
      </c>
      <c r="D5145" s="1" t="s">
        <v>19</v>
      </c>
      <c r="E5145" s="1" t="s">
        <v>20</v>
      </c>
      <c r="F5145">
        <v>1</v>
      </c>
      <c r="G5145" s="2">
        <v>45985</v>
      </c>
      <c r="H5145" s="2">
        <v>45986</v>
      </c>
      <c r="I5145">
        <v>141.34</v>
      </c>
      <c r="J5145">
        <v>48.24</v>
      </c>
      <c r="K5145">
        <v>43.42</v>
      </c>
      <c r="L5145">
        <v>4.82</v>
      </c>
      <c r="M5145" s="1" t="s">
        <v>21</v>
      </c>
      <c r="N5145" s="1" t="s">
        <v>22</v>
      </c>
      <c r="O5145" s="2">
        <v>46009</v>
      </c>
      <c r="P5145" s="2">
        <v>46009</v>
      </c>
      <c r="Q5145">
        <f>_xlfn.XLOOKUP(E5145,CPT!$A$2:$A$13,CPT!$D$2:$D$13)</f>
        <v>145</v>
      </c>
      <c r="R5145" s="1">
        <f>_xlfn.XLOOKUP(C5145,Contract!$A$2:$A$9,Contract!$B$2:$B$9)</f>
        <v>0.36</v>
      </c>
      <c r="S5145" s="1">
        <f t="shared" si="320"/>
        <v>52.2</v>
      </c>
      <c r="T5145" s="1">
        <f t="shared" si="321"/>
        <v>3.9600000000000009</v>
      </c>
      <c r="U5145" s="1" t="str">
        <f t="shared" si="322"/>
        <v>Underpaid</v>
      </c>
      <c r="V5145" s="1" t="str">
        <f>_xlfn.XLOOKUP(C5145,Payers!$A$2:$A$9,Payers!$B$2:$B$9)</f>
        <v>Medicare Part B</v>
      </c>
      <c r="W5145" s="1" t="str">
        <f t="shared" si="323"/>
        <v>2025-11</v>
      </c>
    </row>
    <row r="5146" spans="1:23">
      <c r="A5146" s="1" t="s">
        <v>7905</v>
      </c>
      <c r="B5146" s="1" t="s">
        <v>7906</v>
      </c>
      <c r="C5146" s="1" t="s">
        <v>60</v>
      </c>
      <c r="D5146" s="1" t="s">
        <v>26</v>
      </c>
      <c r="E5146" s="1" t="s">
        <v>185</v>
      </c>
      <c r="F5146">
        <v>1</v>
      </c>
      <c r="G5146" s="2">
        <v>46130</v>
      </c>
      <c r="H5146" s="2">
        <v>46136</v>
      </c>
      <c r="I5146">
        <v>1137.55</v>
      </c>
      <c r="J5146">
        <v>499.45</v>
      </c>
      <c r="K5146">
        <v>499.45</v>
      </c>
      <c r="L5146">
        <v>0</v>
      </c>
      <c r="M5146" s="1" t="s">
        <v>21</v>
      </c>
      <c r="N5146" s="1" t="s">
        <v>22</v>
      </c>
      <c r="O5146" s="2">
        <v>46175</v>
      </c>
      <c r="P5146" s="2">
        <v>46175</v>
      </c>
      <c r="Q5146">
        <f>_xlfn.XLOOKUP(E5146,CPT!$A$2:$A$13,CPT!$D$2:$D$13)</f>
        <v>1150</v>
      </c>
      <c r="R5146" s="1">
        <f>_xlfn.XLOOKUP(C5146,Contract!$A$2:$A$9,Contract!$B$2:$B$9)</f>
        <v>0.45</v>
      </c>
      <c r="S5146" s="1">
        <f t="shared" si="320"/>
        <v>517.5</v>
      </c>
      <c r="T5146" s="1">
        <f t="shared" si="321"/>
        <v>18.050000000000011</v>
      </c>
      <c r="U5146" s="1" t="str">
        <f t="shared" si="322"/>
        <v>OK</v>
      </c>
      <c r="V5146" s="1" t="str">
        <f>_xlfn.XLOOKUP(C5146,Payers!$A$2:$A$9,Payers!$B$2:$B$9)</f>
        <v>Blue Horizon Commercial</v>
      </c>
      <c r="W5146" s="1" t="str">
        <f t="shared" si="323"/>
        <v>2026-04</v>
      </c>
    </row>
    <row r="5147" spans="1:23">
      <c r="A5147" s="1" t="s">
        <v>7907</v>
      </c>
      <c r="B5147" s="1" t="s">
        <v>2748</v>
      </c>
      <c r="C5147" s="1" t="s">
        <v>76</v>
      </c>
      <c r="D5147" s="1" t="s">
        <v>19</v>
      </c>
      <c r="E5147" s="1" t="s">
        <v>57</v>
      </c>
      <c r="F5147">
        <v>1</v>
      </c>
      <c r="G5147" s="2">
        <v>46192</v>
      </c>
      <c r="H5147" s="2">
        <v>46199</v>
      </c>
      <c r="I5147">
        <v>215.39</v>
      </c>
      <c r="J5147">
        <v>105.62</v>
      </c>
      <c r="K5147">
        <v>105.62</v>
      </c>
      <c r="L5147">
        <v>0</v>
      </c>
      <c r="M5147" s="1" t="s">
        <v>21</v>
      </c>
      <c r="N5147" s="1" t="s">
        <v>22</v>
      </c>
      <c r="O5147" s="2">
        <v>46212</v>
      </c>
      <c r="P5147" s="2">
        <v>46212</v>
      </c>
      <c r="Q5147">
        <f>_xlfn.XLOOKUP(E5147,CPT!$A$2:$A$13,CPT!$D$2:$D$13)</f>
        <v>210</v>
      </c>
      <c r="R5147" s="1">
        <f>_xlfn.XLOOKUP(C5147,Contract!$A$2:$A$9,Contract!$B$2:$B$9)</f>
        <v>0.43</v>
      </c>
      <c r="S5147" s="1">
        <f t="shared" si="320"/>
        <v>90.3</v>
      </c>
      <c r="T5147" s="1">
        <f t="shared" si="321"/>
        <v>-15.320000000000007</v>
      </c>
      <c r="U5147" s="1" t="str">
        <f t="shared" si="322"/>
        <v>OK</v>
      </c>
      <c r="V5147" s="1" t="str">
        <f>_xlfn.XLOOKUP(C5147,Payers!$A$2:$A$9,Payers!$B$2:$B$9)</f>
        <v>Summit Health Commercial</v>
      </c>
      <c r="W5147" s="1" t="str">
        <f t="shared" si="323"/>
        <v>2026-06</v>
      </c>
    </row>
    <row r="5148" spans="1:23">
      <c r="A5148" s="1" t="s">
        <v>7908</v>
      </c>
      <c r="B5148" s="1" t="s">
        <v>7909</v>
      </c>
      <c r="C5148" s="1" t="s">
        <v>76</v>
      </c>
      <c r="D5148" s="1" t="s">
        <v>26</v>
      </c>
      <c r="E5148" s="1" t="s">
        <v>88</v>
      </c>
      <c r="F5148">
        <v>1</v>
      </c>
      <c r="G5148" s="2">
        <v>46021</v>
      </c>
      <c r="H5148" s="2">
        <v>46033</v>
      </c>
      <c r="I5148">
        <v>260.16000000000003</v>
      </c>
      <c r="J5148">
        <v>113.9</v>
      </c>
      <c r="K5148">
        <v>113.9</v>
      </c>
      <c r="L5148">
        <v>0</v>
      </c>
      <c r="M5148" s="1" t="s">
        <v>21</v>
      </c>
      <c r="N5148" s="1" t="s">
        <v>22</v>
      </c>
      <c r="O5148" s="2">
        <v>46064</v>
      </c>
      <c r="P5148" s="2">
        <v>46064</v>
      </c>
      <c r="Q5148">
        <f>_xlfn.XLOOKUP(E5148,CPT!$A$2:$A$13,CPT!$D$2:$D$13)</f>
        <v>260</v>
      </c>
      <c r="R5148" s="1">
        <f>_xlfn.XLOOKUP(C5148,Contract!$A$2:$A$9,Contract!$B$2:$B$9)</f>
        <v>0.43</v>
      </c>
      <c r="S5148" s="1">
        <f t="shared" si="320"/>
        <v>111.8</v>
      </c>
      <c r="T5148" s="1">
        <f t="shared" si="321"/>
        <v>-2.1000000000000085</v>
      </c>
      <c r="U5148" s="1" t="str">
        <f t="shared" si="322"/>
        <v>OK</v>
      </c>
      <c r="V5148" s="1" t="str">
        <f>_xlfn.XLOOKUP(C5148,Payers!$A$2:$A$9,Payers!$B$2:$B$9)</f>
        <v>Summit Health Commercial</v>
      </c>
      <c r="W5148" s="1" t="str">
        <f t="shared" si="323"/>
        <v>2025-12</v>
      </c>
    </row>
    <row r="5149" spans="1:23">
      <c r="A5149" s="1" t="s">
        <v>7910</v>
      </c>
      <c r="B5149" s="1" t="s">
        <v>1507</v>
      </c>
      <c r="C5149" s="1" t="s">
        <v>25</v>
      </c>
      <c r="D5149" s="1" t="s">
        <v>19</v>
      </c>
      <c r="E5149" s="1" t="s">
        <v>20</v>
      </c>
      <c r="F5149">
        <v>1</v>
      </c>
      <c r="G5149" s="2">
        <v>45996</v>
      </c>
      <c r="H5149" s="2">
        <v>46004</v>
      </c>
      <c r="I5149">
        <v>142.59</v>
      </c>
      <c r="M5149" s="1" t="s">
        <v>32</v>
      </c>
      <c r="N5149" s="1" t="s">
        <v>33</v>
      </c>
      <c r="O5149" s="2">
        <v>46023</v>
      </c>
      <c r="P5149" s="2"/>
      <c r="Q5149">
        <f>_xlfn.XLOOKUP(E5149,CPT!$A$2:$A$13,CPT!$D$2:$D$13)</f>
        <v>145</v>
      </c>
      <c r="R5149" s="1">
        <f>_xlfn.XLOOKUP(C5149,Contract!$A$2:$A$9,Contract!$B$2:$B$9)</f>
        <v>0.36</v>
      </c>
      <c r="S5149" s="1">
        <f t="shared" si="320"/>
        <v>52.2</v>
      </c>
      <c r="T5149" s="1" t="str">
        <f t="shared" si="321"/>
        <v/>
      </c>
      <c r="U5149" s="1" t="str">
        <f t="shared" si="322"/>
        <v/>
      </c>
      <c r="V5149" s="1" t="str">
        <f>_xlfn.XLOOKUP(C5149,Payers!$A$2:$A$9,Payers!$B$2:$B$9)</f>
        <v>Medicare Part B</v>
      </c>
      <c r="W5149" s="1" t="str">
        <f t="shared" si="323"/>
        <v>2025-12</v>
      </c>
    </row>
    <row r="5150" spans="1:23">
      <c r="A5150" s="1" t="s">
        <v>7911</v>
      </c>
      <c r="B5150" s="1" t="s">
        <v>2415</v>
      </c>
      <c r="C5150" s="1" t="s">
        <v>47</v>
      </c>
      <c r="D5150" s="1" t="s">
        <v>19</v>
      </c>
      <c r="E5150" s="1" t="s">
        <v>20</v>
      </c>
      <c r="F5150">
        <v>1</v>
      </c>
      <c r="G5150" s="2">
        <v>46128</v>
      </c>
      <c r="H5150" s="2">
        <v>46138</v>
      </c>
      <c r="I5150">
        <v>146.83000000000001</v>
      </c>
      <c r="J5150">
        <v>38.6</v>
      </c>
      <c r="K5150">
        <v>38.6</v>
      </c>
      <c r="L5150">
        <v>0</v>
      </c>
      <c r="M5150" s="1" t="s">
        <v>21</v>
      </c>
      <c r="N5150" s="1" t="s">
        <v>22</v>
      </c>
      <c r="O5150" s="2">
        <v>46209</v>
      </c>
      <c r="P5150" s="2">
        <v>46209</v>
      </c>
      <c r="Q5150">
        <f>_xlfn.XLOOKUP(E5150,CPT!$A$2:$A$13,CPT!$D$2:$D$13)</f>
        <v>145</v>
      </c>
      <c r="R5150" s="1">
        <f>_xlfn.XLOOKUP(C5150,Contract!$A$2:$A$9,Contract!$B$2:$B$9)</f>
        <v>0.28000000000000003</v>
      </c>
      <c r="S5150" s="1">
        <f t="shared" si="320"/>
        <v>40.6</v>
      </c>
      <c r="T5150" s="1">
        <f t="shared" si="321"/>
        <v>2</v>
      </c>
      <c r="U5150" s="1" t="str">
        <f t="shared" si="322"/>
        <v>OK</v>
      </c>
      <c r="V5150" s="1" t="str">
        <f>_xlfn.XLOOKUP(C5150,Payers!$A$2:$A$9,Payers!$B$2:$B$9)</f>
        <v>Coastal Medicaid MCO</v>
      </c>
      <c r="W5150" s="1" t="str">
        <f t="shared" si="323"/>
        <v>2026-04</v>
      </c>
    </row>
    <row r="5151" spans="1:23">
      <c r="A5151" s="1" t="s">
        <v>7912</v>
      </c>
      <c r="B5151" s="1" t="s">
        <v>3302</v>
      </c>
      <c r="C5151" s="1" t="s">
        <v>36</v>
      </c>
      <c r="D5151" s="1" t="s">
        <v>37</v>
      </c>
      <c r="E5151" s="1" t="s">
        <v>48</v>
      </c>
      <c r="F5151">
        <v>1</v>
      </c>
      <c r="G5151" s="2">
        <v>46178</v>
      </c>
      <c r="H5151" s="2">
        <v>46179</v>
      </c>
      <c r="I5151">
        <v>422.97</v>
      </c>
      <c r="J5151">
        <v>120.29</v>
      </c>
      <c r="K5151">
        <v>96.23</v>
      </c>
      <c r="L5151">
        <v>24.06</v>
      </c>
      <c r="M5151" s="1" t="s">
        <v>21</v>
      </c>
      <c r="N5151" s="1" t="s">
        <v>22</v>
      </c>
      <c r="O5151" s="2">
        <v>46215</v>
      </c>
      <c r="P5151" s="2">
        <v>46215</v>
      </c>
      <c r="Q5151">
        <f>_xlfn.XLOOKUP(E5151,CPT!$A$2:$A$13,CPT!$D$2:$D$13)</f>
        <v>420</v>
      </c>
      <c r="R5151" s="1">
        <f>_xlfn.XLOOKUP(C5151,Contract!$A$2:$A$9,Contract!$B$2:$B$9)</f>
        <v>0.27</v>
      </c>
      <c r="S5151" s="1">
        <f t="shared" si="320"/>
        <v>113.4</v>
      </c>
      <c r="T5151" s="1">
        <f t="shared" si="321"/>
        <v>-6.8900000000000006</v>
      </c>
      <c r="U5151" s="1" t="str">
        <f t="shared" si="322"/>
        <v>OK</v>
      </c>
      <c r="V5151" s="1" t="str">
        <f>_xlfn.XLOOKUP(C5151,Payers!$A$2:$A$9,Payers!$B$2:$B$9)</f>
        <v>Florida Medicaid</v>
      </c>
      <c r="W5151" s="1" t="str">
        <f t="shared" si="323"/>
        <v>2026-06</v>
      </c>
    </row>
    <row r="5152" spans="1:23">
      <c r="A5152" s="1" t="s">
        <v>7913</v>
      </c>
      <c r="B5152" s="1" t="s">
        <v>7914</v>
      </c>
      <c r="C5152" s="1" t="s">
        <v>52</v>
      </c>
      <c r="D5152" s="1" t="s">
        <v>26</v>
      </c>
      <c r="E5152" s="1" t="s">
        <v>41</v>
      </c>
      <c r="F5152">
        <v>1</v>
      </c>
      <c r="G5152" s="2">
        <v>46250</v>
      </c>
      <c r="H5152" s="2">
        <v>46256</v>
      </c>
      <c r="I5152">
        <v>37.64</v>
      </c>
      <c r="M5152" s="1" t="s">
        <v>69</v>
      </c>
      <c r="N5152" s="1" t="s">
        <v>22</v>
      </c>
      <c r="O5152" s="2"/>
      <c r="P5152" s="2"/>
      <c r="Q5152">
        <f>_xlfn.XLOOKUP(E5152,CPT!$A$2:$A$13,CPT!$D$2:$D$13)</f>
        <v>38</v>
      </c>
      <c r="R5152" s="1">
        <f>_xlfn.XLOOKUP(C5152,Contract!$A$2:$A$9,Contract!$B$2:$B$9)</f>
        <v>0.47</v>
      </c>
      <c r="S5152" s="1">
        <f t="shared" si="320"/>
        <v>17.86</v>
      </c>
      <c r="T5152" s="1" t="str">
        <f t="shared" si="321"/>
        <v/>
      </c>
      <c r="U5152" s="1" t="str">
        <f t="shared" si="322"/>
        <v/>
      </c>
      <c r="V5152" s="1" t="str">
        <f>_xlfn.XLOOKUP(C5152,Payers!$A$2:$A$9,Payers!$B$2:$B$9)</f>
        <v>Keystone Commercial PPO</v>
      </c>
      <c r="W5152" s="1" t="str">
        <f t="shared" si="323"/>
        <v>2026-08</v>
      </c>
    </row>
    <row r="5153" spans="1:23">
      <c r="A5153" s="1" t="s">
        <v>7915</v>
      </c>
      <c r="B5153" s="1" t="s">
        <v>7916</v>
      </c>
      <c r="C5153" s="1" t="s">
        <v>47</v>
      </c>
      <c r="D5153" s="1" t="s">
        <v>26</v>
      </c>
      <c r="E5153" s="1" t="s">
        <v>41</v>
      </c>
      <c r="F5153">
        <v>1</v>
      </c>
      <c r="G5153" s="2">
        <v>46183</v>
      </c>
      <c r="H5153" s="2">
        <v>46195</v>
      </c>
      <c r="I5153">
        <v>37.32</v>
      </c>
      <c r="M5153" s="1" t="s">
        <v>32</v>
      </c>
      <c r="N5153" s="1" t="s">
        <v>33</v>
      </c>
      <c r="O5153" s="2">
        <v>46238</v>
      </c>
      <c r="P5153" s="2"/>
      <c r="Q5153">
        <f>_xlfn.XLOOKUP(E5153,CPT!$A$2:$A$13,CPT!$D$2:$D$13)</f>
        <v>38</v>
      </c>
      <c r="R5153" s="1">
        <f>_xlfn.XLOOKUP(C5153,Contract!$A$2:$A$9,Contract!$B$2:$B$9)</f>
        <v>0.28000000000000003</v>
      </c>
      <c r="S5153" s="1">
        <f t="shared" si="320"/>
        <v>10.64</v>
      </c>
      <c r="T5153" s="1" t="str">
        <f t="shared" si="321"/>
        <v/>
      </c>
      <c r="U5153" s="1" t="str">
        <f t="shared" si="322"/>
        <v/>
      </c>
      <c r="V5153" s="1" t="str">
        <f>_xlfn.XLOOKUP(C5153,Payers!$A$2:$A$9,Payers!$B$2:$B$9)</f>
        <v>Coastal Medicaid MCO</v>
      </c>
      <c r="W5153" s="1" t="str">
        <f t="shared" si="323"/>
        <v>2026-06</v>
      </c>
    </row>
    <row r="5154" spans="1:23">
      <c r="A5154" s="1" t="s">
        <v>7917</v>
      </c>
      <c r="B5154" s="1" t="s">
        <v>2912</v>
      </c>
      <c r="C5154" s="1" t="s">
        <v>25</v>
      </c>
      <c r="D5154" s="1" t="s">
        <v>30</v>
      </c>
      <c r="E5154" s="1" t="s">
        <v>31</v>
      </c>
      <c r="F5154">
        <v>2</v>
      </c>
      <c r="G5154" s="2">
        <v>46286</v>
      </c>
      <c r="H5154" s="2">
        <v>46291</v>
      </c>
      <c r="I5154">
        <v>125.7</v>
      </c>
      <c r="M5154" s="1" t="s">
        <v>69</v>
      </c>
      <c r="N5154" s="1" t="s">
        <v>22</v>
      </c>
      <c r="O5154" s="2"/>
      <c r="P5154" s="2"/>
      <c r="Q5154">
        <f>_xlfn.XLOOKUP(E5154,CPT!$A$2:$A$13,CPT!$D$2:$D$13)</f>
        <v>62</v>
      </c>
      <c r="R5154" s="1">
        <f>_xlfn.XLOOKUP(C5154,Contract!$A$2:$A$9,Contract!$B$2:$B$9)</f>
        <v>0.36</v>
      </c>
      <c r="S5154" s="1">
        <f t="shared" si="320"/>
        <v>44.64</v>
      </c>
      <c r="T5154" s="1" t="str">
        <f t="shared" si="321"/>
        <v/>
      </c>
      <c r="U5154" s="1" t="str">
        <f t="shared" si="322"/>
        <v/>
      </c>
      <c r="V5154" s="1" t="str">
        <f>_xlfn.XLOOKUP(C5154,Payers!$A$2:$A$9,Payers!$B$2:$B$9)</f>
        <v>Medicare Part B</v>
      </c>
      <c r="W5154" s="1" t="str">
        <f t="shared" si="323"/>
        <v>2026-09</v>
      </c>
    </row>
    <row r="5155" spans="1:23">
      <c r="A5155" s="1" t="s">
        <v>7918</v>
      </c>
      <c r="B5155" s="1" t="s">
        <v>7919</v>
      </c>
      <c r="C5155" s="1" t="s">
        <v>36</v>
      </c>
      <c r="D5155" s="1" t="s">
        <v>26</v>
      </c>
      <c r="E5155" s="1" t="s">
        <v>57</v>
      </c>
      <c r="F5155">
        <v>1</v>
      </c>
      <c r="G5155" s="2">
        <v>45938</v>
      </c>
      <c r="H5155" s="2">
        <v>45952</v>
      </c>
      <c r="I5155">
        <v>204.12</v>
      </c>
      <c r="J5155">
        <v>56</v>
      </c>
      <c r="K5155">
        <v>44.8</v>
      </c>
      <c r="L5155">
        <v>11.2</v>
      </c>
      <c r="M5155" s="1" t="s">
        <v>21</v>
      </c>
      <c r="N5155" s="1" t="s">
        <v>22</v>
      </c>
      <c r="O5155" s="2">
        <v>45970</v>
      </c>
      <c r="P5155" s="2">
        <v>45970</v>
      </c>
      <c r="Q5155">
        <f>_xlfn.XLOOKUP(E5155,CPT!$A$2:$A$13,CPT!$D$2:$D$13)</f>
        <v>210</v>
      </c>
      <c r="R5155" s="1">
        <f>_xlfn.XLOOKUP(C5155,Contract!$A$2:$A$9,Contract!$B$2:$B$9)</f>
        <v>0.27</v>
      </c>
      <c r="S5155" s="1">
        <f t="shared" si="320"/>
        <v>56.7</v>
      </c>
      <c r="T5155" s="1">
        <f t="shared" si="321"/>
        <v>0.70000000000000284</v>
      </c>
      <c r="U5155" s="1" t="str">
        <f t="shared" si="322"/>
        <v>OK</v>
      </c>
      <c r="V5155" s="1" t="str">
        <f>_xlfn.XLOOKUP(C5155,Payers!$A$2:$A$9,Payers!$B$2:$B$9)</f>
        <v>Florida Medicaid</v>
      </c>
      <c r="W5155" s="1" t="str">
        <f t="shared" si="323"/>
        <v>2025-10</v>
      </c>
    </row>
    <row r="5156" spans="1:23">
      <c r="A5156" s="1" t="s">
        <v>7920</v>
      </c>
      <c r="B5156" s="1" t="s">
        <v>667</v>
      </c>
      <c r="C5156" s="1" t="s">
        <v>18</v>
      </c>
      <c r="D5156" s="1" t="s">
        <v>19</v>
      </c>
      <c r="E5156" s="1" t="s">
        <v>57</v>
      </c>
      <c r="F5156">
        <v>1</v>
      </c>
      <c r="G5156" s="2">
        <v>46286</v>
      </c>
      <c r="H5156" s="2">
        <v>46288</v>
      </c>
      <c r="I5156">
        <v>206.09</v>
      </c>
      <c r="M5156" s="1" t="s">
        <v>69</v>
      </c>
      <c r="N5156" s="1" t="s">
        <v>22</v>
      </c>
      <c r="O5156" s="2"/>
      <c r="P5156" s="2"/>
      <c r="Q5156">
        <f>_xlfn.XLOOKUP(E5156,CPT!$A$2:$A$13,CPT!$D$2:$D$13)</f>
        <v>210</v>
      </c>
      <c r="R5156" s="1">
        <f>_xlfn.XLOOKUP(C5156,Contract!$A$2:$A$9,Contract!$B$2:$B$9)</f>
        <v>0.38</v>
      </c>
      <c r="S5156" s="1">
        <f t="shared" si="320"/>
        <v>79.8</v>
      </c>
      <c r="T5156" s="1" t="str">
        <f t="shared" si="321"/>
        <v/>
      </c>
      <c r="U5156" s="1" t="str">
        <f t="shared" si="322"/>
        <v/>
      </c>
      <c r="V5156" s="1" t="str">
        <f>_xlfn.XLOOKUP(C5156,Payers!$A$2:$A$9,Payers!$B$2:$B$9)</f>
        <v>Sunshine Medicare Advantage</v>
      </c>
      <c r="W5156" s="1" t="str">
        <f t="shared" si="323"/>
        <v>2026-09</v>
      </c>
    </row>
    <row r="5157" spans="1:23">
      <c r="A5157" s="1" t="s">
        <v>7921</v>
      </c>
      <c r="B5157" s="1" t="s">
        <v>1328</v>
      </c>
      <c r="C5157" s="1" t="s">
        <v>47</v>
      </c>
      <c r="D5157" s="1" t="s">
        <v>30</v>
      </c>
      <c r="E5157" s="1" t="s">
        <v>31</v>
      </c>
      <c r="F5157">
        <v>4</v>
      </c>
      <c r="G5157" s="2">
        <v>46155</v>
      </c>
      <c r="H5157" s="2">
        <v>46158</v>
      </c>
      <c r="I5157">
        <v>244.77</v>
      </c>
      <c r="J5157">
        <v>61.26</v>
      </c>
      <c r="K5157">
        <v>55.13</v>
      </c>
      <c r="L5157">
        <v>6.13</v>
      </c>
      <c r="M5157" s="1" t="s">
        <v>21</v>
      </c>
      <c r="N5157" s="1" t="s">
        <v>22</v>
      </c>
      <c r="O5157" s="2">
        <v>46208</v>
      </c>
      <c r="P5157" s="2">
        <v>46208</v>
      </c>
      <c r="Q5157">
        <f>_xlfn.XLOOKUP(E5157,CPT!$A$2:$A$13,CPT!$D$2:$D$13)</f>
        <v>62</v>
      </c>
      <c r="R5157" s="1">
        <f>_xlfn.XLOOKUP(C5157,Contract!$A$2:$A$9,Contract!$B$2:$B$9)</f>
        <v>0.28000000000000003</v>
      </c>
      <c r="S5157" s="1">
        <f t="shared" si="320"/>
        <v>69.44</v>
      </c>
      <c r="T5157" s="1">
        <f t="shared" si="321"/>
        <v>8.18</v>
      </c>
      <c r="U5157" s="1" t="str">
        <f t="shared" si="322"/>
        <v>Underpaid</v>
      </c>
      <c r="V5157" s="1" t="str">
        <f>_xlfn.XLOOKUP(C5157,Payers!$A$2:$A$9,Payers!$B$2:$B$9)</f>
        <v>Coastal Medicaid MCO</v>
      </c>
      <c r="W5157" s="1" t="str">
        <f t="shared" si="323"/>
        <v>2026-05</v>
      </c>
    </row>
    <row r="5158" spans="1:23">
      <c r="A5158" s="1" t="s">
        <v>7922</v>
      </c>
      <c r="B5158" s="1" t="s">
        <v>4624</v>
      </c>
      <c r="C5158" s="1" t="s">
        <v>60</v>
      </c>
      <c r="D5158" s="1" t="s">
        <v>37</v>
      </c>
      <c r="E5158" s="1" t="s">
        <v>48</v>
      </c>
      <c r="F5158">
        <v>1</v>
      </c>
      <c r="G5158" s="2">
        <v>46145</v>
      </c>
      <c r="H5158" s="2">
        <v>46156</v>
      </c>
      <c r="I5158">
        <v>409.16</v>
      </c>
      <c r="J5158">
        <v>165.65</v>
      </c>
      <c r="K5158">
        <v>132.52000000000001</v>
      </c>
      <c r="L5158">
        <v>33.130000000000003</v>
      </c>
      <c r="M5158" s="1" t="s">
        <v>21</v>
      </c>
      <c r="N5158" s="1" t="s">
        <v>22</v>
      </c>
      <c r="O5158" s="2">
        <v>46184</v>
      </c>
      <c r="P5158" s="2">
        <v>46184</v>
      </c>
      <c r="Q5158">
        <f>_xlfn.XLOOKUP(E5158,CPT!$A$2:$A$13,CPT!$D$2:$D$13)</f>
        <v>420</v>
      </c>
      <c r="R5158" s="1">
        <f>_xlfn.XLOOKUP(C5158,Contract!$A$2:$A$9,Contract!$B$2:$B$9)</f>
        <v>0.45</v>
      </c>
      <c r="S5158" s="1">
        <f t="shared" si="320"/>
        <v>189</v>
      </c>
      <c r="T5158" s="1">
        <f t="shared" si="321"/>
        <v>23.349999999999994</v>
      </c>
      <c r="U5158" s="1" t="str">
        <f t="shared" si="322"/>
        <v>Underpaid</v>
      </c>
      <c r="V5158" s="1" t="str">
        <f>_xlfn.XLOOKUP(C5158,Payers!$A$2:$A$9,Payers!$B$2:$B$9)</f>
        <v>Blue Horizon Commercial</v>
      </c>
      <c r="W5158" s="1" t="str">
        <f t="shared" si="323"/>
        <v>2026-05</v>
      </c>
    </row>
    <row r="5159" spans="1:23">
      <c r="A5159" s="1" t="s">
        <v>7923</v>
      </c>
      <c r="B5159" s="1" t="s">
        <v>7924</v>
      </c>
      <c r="C5159" s="1" t="s">
        <v>79</v>
      </c>
      <c r="D5159" s="1" t="s">
        <v>30</v>
      </c>
      <c r="E5159" s="1" t="s">
        <v>91</v>
      </c>
      <c r="F5159">
        <v>4</v>
      </c>
      <c r="G5159" s="2">
        <v>46287</v>
      </c>
      <c r="H5159" s="2">
        <v>46288</v>
      </c>
      <c r="I5159">
        <v>230.59</v>
      </c>
      <c r="M5159" s="1" t="s">
        <v>69</v>
      </c>
      <c r="N5159" s="1" t="s">
        <v>22</v>
      </c>
      <c r="O5159" s="2"/>
      <c r="P5159" s="2"/>
      <c r="Q5159">
        <f>_xlfn.XLOOKUP(E5159,CPT!$A$2:$A$13,CPT!$D$2:$D$13)</f>
        <v>58</v>
      </c>
      <c r="R5159" s="1">
        <f>_xlfn.XLOOKUP(C5159,Contract!$A$2:$A$9,Contract!$B$2:$B$9)</f>
        <v>1</v>
      </c>
      <c r="S5159" s="1">
        <f t="shared" si="320"/>
        <v>232</v>
      </c>
      <c r="T5159" s="1" t="str">
        <f t="shared" si="321"/>
        <v/>
      </c>
      <c r="U5159" s="1" t="str">
        <f t="shared" si="322"/>
        <v/>
      </c>
      <c r="V5159" s="1" t="str">
        <f>_xlfn.XLOOKUP(C5159,Payers!$A$2:$A$9,Payers!$B$2:$B$9)</f>
        <v>Self-Pay</v>
      </c>
      <c r="W5159" s="1" t="str">
        <f t="shared" si="323"/>
        <v>2026-09</v>
      </c>
    </row>
    <row r="5160" spans="1:23">
      <c r="A5160" s="1" t="s">
        <v>7925</v>
      </c>
      <c r="B5160" s="1" t="s">
        <v>6483</v>
      </c>
      <c r="C5160" s="1" t="s">
        <v>60</v>
      </c>
      <c r="D5160" s="1" t="s">
        <v>37</v>
      </c>
      <c r="E5160" s="1" t="s">
        <v>57</v>
      </c>
      <c r="F5160">
        <v>1</v>
      </c>
      <c r="G5160" s="2">
        <v>46101</v>
      </c>
      <c r="H5160" s="2">
        <v>46104</v>
      </c>
      <c r="I5160">
        <v>215.16</v>
      </c>
      <c r="J5160">
        <v>107.54</v>
      </c>
      <c r="K5160">
        <v>107.54</v>
      </c>
      <c r="L5160">
        <v>0</v>
      </c>
      <c r="M5160" s="1" t="s">
        <v>21</v>
      </c>
      <c r="N5160" s="1" t="s">
        <v>22</v>
      </c>
      <c r="O5160" s="2">
        <v>46135</v>
      </c>
      <c r="P5160" s="2">
        <v>46135</v>
      </c>
      <c r="Q5160">
        <f>_xlfn.XLOOKUP(E5160,CPT!$A$2:$A$13,CPT!$D$2:$D$13)</f>
        <v>210</v>
      </c>
      <c r="R5160" s="1">
        <f>_xlfn.XLOOKUP(C5160,Contract!$A$2:$A$9,Contract!$B$2:$B$9)</f>
        <v>0.45</v>
      </c>
      <c r="S5160" s="1">
        <f t="shared" si="320"/>
        <v>94.5</v>
      </c>
      <c r="T5160" s="1">
        <f t="shared" si="321"/>
        <v>-13.040000000000006</v>
      </c>
      <c r="U5160" s="1" t="str">
        <f t="shared" si="322"/>
        <v>OK</v>
      </c>
      <c r="V5160" s="1" t="str">
        <f>_xlfn.XLOOKUP(C5160,Payers!$A$2:$A$9,Payers!$B$2:$B$9)</f>
        <v>Blue Horizon Commercial</v>
      </c>
      <c r="W5160" s="1" t="str">
        <f t="shared" si="323"/>
        <v>2026-03</v>
      </c>
    </row>
    <row r="5161" spans="1:23">
      <c r="A5161" s="1" t="s">
        <v>7926</v>
      </c>
      <c r="B5161" s="1" t="s">
        <v>618</v>
      </c>
      <c r="C5161" s="1" t="s">
        <v>36</v>
      </c>
      <c r="D5161" s="1" t="s">
        <v>19</v>
      </c>
      <c r="E5161" s="1" t="s">
        <v>41</v>
      </c>
      <c r="F5161">
        <v>1</v>
      </c>
      <c r="G5161" s="2">
        <v>46065</v>
      </c>
      <c r="H5161" s="2">
        <v>46084</v>
      </c>
      <c r="I5161">
        <v>37.130000000000003</v>
      </c>
      <c r="J5161">
        <v>9.07</v>
      </c>
      <c r="K5161">
        <v>9.07</v>
      </c>
      <c r="L5161">
        <v>0</v>
      </c>
      <c r="M5161" s="1" t="s">
        <v>21</v>
      </c>
      <c r="N5161" s="1" t="s">
        <v>22</v>
      </c>
      <c r="O5161" s="2">
        <v>46130</v>
      </c>
      <c r="P5161" s="2">
        <v>46130</v>
      </c>
      <c r="Q5161">
        <f>_xlfn.XLOOKUP(E5161,CPT!$A$2:$A$13,CPT!$D$2:$D$13)</f>
        <v>38</v>
      </c>
      <c r="R5161" s="1">
        <f>_xlfn.XLOOKUP(C5161,Contract!$A$2:$A$9,Contract!$B$2:$B$9)</f>
        <v>0.27</v>
      </c>
      <c r="S5161" s="1">
        <f t="shared" si="320"/>
        <v>10.26</v>
      </c>
      <c r="T5161" s="1">
        <f t="shared" si="321"/>
        <v>1.1899999999999995</v>
      </c>
      <c r="U5161" s="1" t="str">
        <f t="shared" si="322"/>
        <v>Underpaid</v>
      </c>
      <c r="V5161" s="1" t="str">
        <f>_xlfn.XLOOKUP(C5161,Payers!$A$2:$A$9,Payers!$B$2:$B$9)</f>
        <v>Florida Medicaid</v>
      </c>
      <c r="W5161" s="1" t="str">
        <f t="shared" si="323"/>
        <v>2026-02</v>
      </c>
    </row>
    <row r="5162" spans="1:23">
      <c r="A5162" s="1" t="s">
        <v>7927</v>
      </c>
      <c r="B5162" s="1" t="s">
        <v>5733</v>
      </c>
      <c r="C5162" s="1" t="s">
        <v>36</v>
      </c>
      <c r="D5162" s="1" t="s">
        <v>30</v>
      </c>
      <c r="E5162" s="1" t="s">
        <v>31</v>
      </c>
      <c r="F5162">
        <v>1</v>
      </c>
      <c r="G5162" s="2">
        <v>46094</v>
      </c>
      <c r="H5162" s="2">
        <v>46098</v>
      </c>
      <c r="I5162">
        <v>63.53</v>
      </c>
      <c r="J5162">
        <v>15.19</v>
      </c>
      <c r="K5162">
        <v>15.19</v>
      </c>
      <c r="L5162">
        <v>0</v>
      </c>
      <c r="M5162" s="1" t="s">
        <v>21</v>
      </c>
      <c r="N5162" s="1" t="s">
        <v>22</v>
      </c>
      <c r="O5162" s="2">
        <v>46134</v>
      </c>
      <c r="P5162" s="2">
        <v>46134</v>
      </c>
      <c r="Q5162">
        <f>_xlfn.XLOOKUP(E5162,CPT!$A$2:$A$13,CPT!$D$2:$D$13)</f>
        <v>62</v>
      </c>
      <c r="R5162" s="1">
        <f>_xlfn.XLOOKUP(C5162,Contract!$A$2:$A$9,Contract!$B$2:$B$9)</f>
        <v>0.27</v>
      </c>
      <c r="S5162" s="1">
        <f t="shared" si="320"/>
        <v>16.739999999999998</v>
      </c>
      <c r="T5162" s="1">
        <f t="shared" si="321"/>
        <v>1.5499999999999989</v>
      </c>
      <c r="U5162" s="1" t="str">
        <f t="shared" si="322"/>
        <v>Underpaid</v>
      </c>
      <c r="V5162" s="1" t="str">
        <f>_xlfn.XLOOKUP(C5162,Payers!$A$2:$A$9,Payers!$B$2:$B$9)</f>
        <v>Florida Medicaid</v>
      </c>
      <c r="W5162" s="1" t="str">
        <f t="shared" si="323"/>
        <v>2026-03</v>
      </c>
    </row>
    <row r="5163" spans="1:23">
      <c r="A5163" s="1" t="s">
        <v>7928</v>
      </c>
      <c r="B5163" s="1" t="s">
        <v>2677</v>
      </c>
      <c r="C5163" s="1" t="s">
        <v>60</v>
      </c>
      <c r="D5163" s="1" t="s">
        <v>26</v>
      </c>
      <c r="E5163" s="1" t="s">
        <v>57</v>
      </c>
      <c r="F5163">
        <v>1</v>
      </c>
      <c r="G5163" s="2">
        <v>46168</v>
      </c>
      <c r="H5163" s="2">
        <v>46173</v>
      </c>
      <c r="I5163">
        <v>204.08</v>
      </c>
      <c r="J5163">
        <v>78.739999999999995</v>
      </c>
      <c r="K5163">
        <v>62.99</v>
      </c>
      <c r="L5163">
        <v>15.75</v>
      </c>
      <c r="M5163" s="1" t="s">
        <v>21</v>
      </c>
      <c r="N5163" s="1" t="s">
        <v>22</v>
      </c>
      <c r="O5163" s="2">
        <v>46200</v>
      </c>
      <c r="P5163" s="2">
        <v>46200</v>
      </c>
      <c r="Q5163">
        <f>_xlfn.XLOOKUP(E5163,CPT!$A$2:$A$13,CPT!$D$2:$D$13)</f>
        <v>210</v>
      </c>
      <c r="R5163" s="1">
        <f>_xlfn.XLOOKUP(C5163,Contract!$A$2:$A$9,Contract!$B$2:$B$9)</f>
        <v>0.45</v>
      </c>
      <c r="S5163" s="1">
        <f t="shared" si="320"/>
        <v>94.5</v>
      </c>
      <c r="T5163" s="1">
        <f t="shared" si="321"/>
        <v>15.760000000000005</v>
      </c>
      <c r="U5163" s="1" t="str">
        <f t="shared" si="322"/>
        <v>Underpaid</v>
      </c>
      <c r="V5163" s="1" t="str">
        <f>_xlfn.XLOOKUP(C5163,Payers!$A$2:$A$9,Payers!$B$2:$B$9)</f>
        <v>Blue Horizon Commercial</v>
      </c>
      <c r="W5163" s="1" t="str">
        <f t="shared" si="323"/>
        <v>2026-05</v>
      </c>
    </row>
    <row r="5164" spans="1:23">
      <c r="A5164" s="1" t="s">
        <v>7929</v>
      </c>
      <c r="B5164" s="1" t="s">
        <v>7930</v>
      </c>
      <c r="C5164" s="1" t="s">
        <v>60</v>
      </c>
      <c r="D5164" s="1" t="s">
        <v>19</v>
      </c>
      <c r="E5164" s="1" t="s">
        <v>88</v>
      </c>
      <c r="F5164">
        <v>1</v>
      </c>
      <c r="G5164" s="2">
        <v>46141</v>
      </c>
      <c r="H5164" s="2">
        <v>46144</v>
      </c>
      <c r="I5164">
        <v>254.38</v>
      </c>
      <c r="J5164">
        <v>108.59</v>
      </c>
      <c r="K5164">
        <v>108.59</v>
      </c>
      <c r="L5164">
        <v>0</v>
      </c>
      <c r="M5164" s="1" t="s">
        <v>21</v>
      </c>
      <c r="N5164" s="1" t="s">
        <v>22</v>
      </c>
      <c r="O5164" s="2">
        <v>46177</v>
      </c>
      <c r="P5164" s="2">
        <v>46177</v>
      </c>
      <c r="Q5164">
        <f>_xlfn.XLOOKUP(E5164,CPT!$A$2:$A$13,CPT!$D$2:$D$13)</f>
        <v>260</v>
      </c>
      <c r="R5164" s="1">
        <f>_xlfn.XLOOKUP(C5164,Contract!$A$2:$A$9,Contract!$B$2:$B$9)</f>
        <v>0.45</v>
      </c>
      <c r="S5164" s="1">
        <f t="shared" si="320"/>
        <v>117</v>
      </c>
      <c r="T5164" s="1">
        <f t="shared" si="321"/>
        <v>8.4099999999999966</v>
      </c>
      <c r="U5164" s="1" t="str">
        <f t="shared" si="322"/>
        <v>Underpaid</v>
      </c>
      <c r="V5164" s="1" t="str">
        <f>_xlfn.XLOOKUP(C5164,Payers!$A$2:$A$9,Payers!$B$2:$B$9)</f>
        <v>Blue Horizon Commercial</v>
      </c>
      <c r="W5164" s="1" t="str">
        <f t="shared" si="323"/>
        <v>2026-04</v>
      </c>
    </row>
    <row r="5165" spans="1:23">
      <c r="A5165" s="1" t="s">
        <v>7931</v>
      </c>
      <c r="B5165" s="1" t="s">
        <v>7932</v>
      </c>
      <c r="C5165" s="1" t="s">
        <v>25</v>
      </c>
      <c r="D5165" s="1" t="s">
        <v>19</v>
      </c>
      <c r="E5165" s="1" t="s">
        <v>57</v>
      </c>
      <c r="F5165">
        <v>1</v>
      </c>
      <c r="G5165" s="2">
        <v>46102</v>
      </c>
      <c r="H5165" s="2">
        <v>46104</v>
      </c>
      <c r="I5165">
        <v>207.9</v>
      </c>
      <c r="J5165">
        <v>68.84</v>
      </c>
      <c r="K5165">
        <v>55.07</v>
      </c>
      <c r="L5165">
        <v>13.77</v>
      </c>
      <c r="M5165" s="1" t="s">
        <v>21</v>
      </c>
      <c r="N5165" s="1" t="s">
        <v>22</v>
      </c>
      <c r="O5165" s="2">
        <v>46125</v>
      </c>
      <c r="P5165" s="2">
        <v>46125</v>
      </c>
      <c r="Q5165">
        <f>_xlfn.XLOOKUP(E5165,CPT!$A$2:$A$13,CPT!$D$2:$D$13)</f>
        <v>210</v>
      </c>
      <c r="R5165" s="1">
        <f>_xlfn.XLOOKUP(C5165,Contract!$A$2:$A$9,Contract!$B$2:$B$9)</f>
        <v>0.36</v>
      </c>
      <c r="S5165" s="1">
        <f t="shared" si="320"/>
        <v>75.599999999999994</v>
      </c>
      <c r="T5165" s="1">
        <f t="shared" si="321"/>
        <v>6.7599999999999909</v>
      </c>
      <c r="U5165" s="1" t="str">
        <f t="shared" si="322"/>
        <v>Underpaid</v>
      </c>
      <c r="V5165" s="1" t="str">
        <f>_xlfn.XLOOKUP(C5165,Payers!$A$2:$A$9,Payers!$B$2:$B$9)</f>
        <v>Medicare Part B</v>
      </c>
      <c r="W5165" s="1" t="str">
        <f t="shared" si="323"/>
        <v>2026-03</v>
      </c>
    </row>
    <row r="5166" spans="1:23">
      <c r="A5166" s="1" t="s">
        <v>7933</v>
      </c>
      <c r="B5166" s="1" t="s">
        <v>5196</v>
      </c>
      <c r="C5166" s="1" t="s">
        <v>52</v>
      </c>
      <c r="D5166" s="1" t="s">
        <v>37</v>
      </c>
      <c r="E5166" s="1" t="s">
        <v>38</v>
      </c>
      <c r="F5166">
        <v>10</v>
      </c>
      <c r="G5166" s="2">
        <v>46148</v>
      </c>
      <c r="H5166" s="2">
        <v>46154</v>
      </c>
      <c r="I5166">
        <v>14908.55</v>
      </c>
      <c r="J5166">
        <v>6915.31</v>
      </c>
      <c r="K5166">
        <v>5532.25</v>
      </c>
      <c r="L5166">
        <v>1383.06</v>
      </c>
      <c r="M5166" s="1" t="s">
        <v>21</v>
      </c>
      <c r="N5166" s="1" t="s">
        <v>22</v>
      </c>
      <c r="O5166" s="2">
        <v>46174</v>
      </c>
      <c r="P5166" s="2">
        <v>46174</v>
      </c>
      <c r="Q5166">
        <f>_xlfn.XLOOKUP(E5166,CPT!$A$2:$A$13,CPT!$D$2:$D$13)</f>
        <v>1450</v>
      </c>
      <c r="R5166" s="1">
        <f>_xlfn.XLOOKUP(C5166,Contract!$A$2:$A$9,Contract!$B$2:$B$9)</f>
        <v>0.47</v>
      </c>
      <c r="S5166" s="1">
        <f t="shared" si="320"/>
        <v>6815</v>
      </c>
      <c r="T5166" s="1">
        <f t="shared" si="321"/>
        <v>-100.3100000000004</v>
      </c>
      <c r="U5166" s="1" t="str">
        <f t="shared" si="322"/>
        <v>OK</v>
      </c>
      <c r="V5166" s="1" t="str">
        <f>_xlfn.XLOOKUP(C5166,Payers!$A$2:$A$9,Payers!$B$2:$B$9)</f>
        <v>Keystone Commercial PPO</v>
      </c>
      <c r="W5166" s="1" t="str">
        <f t="shared" si="323"/>
        <v>2026-05</v>
      </c>
    </row>
    <row r="5167" spans="1:23">
      <c r="A5167" s="1" t="s">
        <v>7934</v>
      </c>
      <c r="B5167" s="1" t="s">
        <v>7935</v>
      </c>
      <c r="C5167" s="1" t="s">
        <v>36</v>
      </c>
      <c r="D5167" s="1" t="s">
        <v>26</v>
      </c>
      <c r="E5167" s="1" t="s">
        <v>27</v>
      </c>
      <c r="F5167">
        <v>1</v>
      </c>
      <c r="G5167" s="2">
        <v>46140</v>
      </c>
      <c r="H5167" s="2">
        <v>46149</v>
      </c>
      <c r="I5167">
        <v>241.53</v>
      </c>
      <c r="J5167">
        <v>70.98</v>
      </c>
      <c r="K5167">
        <v>70.98</v>
      </c>
      <c r="L5167">
        <v>0</v>
      </c>
      <c r="M5167" s="1" t="s">
        <v>21</v>
      </c>
      <c r="N5167" s="1" t="s">
        <v>22</v>
      </c>
      <c r="O5167" s="2">
        <v>46200</v>
      </c>
      <c r="P5167" s="2">
        <v>46200</v>
      </c>
      <c r="Q5167">
        <f>_xlfn.XLOOKUP(E5167,CPT!$A$2:$A$13,CPT!$D$2:$D$13)</f>
        <v>240</v>
      </c>
      <c r="R5167" s="1">
        <f>_xlfn.XLOOKUP(C5167,Contract!$A$2:$A$9,Contract!$B$2:$B$9)</f>
        <v>0.27</v>
      </c>
      <c r="S5167" s="1">
        <f t="shared" si="320"/>
        <v>64.8</v>
      </c>
      <c r="T5167" s="1">
        <f t="shared" si="321"/>
        <v>-6.1800000000000068</v>
      </c>
      <c r="U5167" s="1" t="str">
        <f t="shared" si="322"/>
        <v>OK</v>
      </c>
      <c r="V5167" s="1" t="str">
        <f>_xlfn.XLOOKUP(C5167,Payers!$A$2:$A$9,Payers!$B$2:$B$9)</f>
        <v>Florida Medicaid</v>
      </c>
      <c r="W5167" s="1" t="str">
        <f t="shared" si="323"/>
        <v>2026-04</v>
      </c>
    </row>
    <row r="5168" spans="1:23">
      <c r="A5168" s="1" t="s">
        <v>7936</v>
      </c>
      <c r="B5168" s="1" t="s">
        <v>2145</v>
      </c>
      <c r="C5168" s="1" t="s">
        <v>36</v>
      </c>
      <c r="D5168" s="1" t="s">
        <v>26</v>
      </c>
      <c r="E5168" s="1" t="s">
        <v>41</v>
      </c>
      <c r="F5168">
        <v>1</v>
      </c>
      <c r="G5168" s="2">
        <v>46100</v>
      </c>
      <c r="H5168" s="2">
        <v>46103</v>
      </c>
      <c r="I5168">
        <v>37.340000000000003</v>
      </c>
      <c r="M5168" s="1" t="s">
        <v>32</v>
      </c>
      <c r="N5168" s="1" t="s">
        <v>124</v>
      </c>
      <c r="O5168" s="2">
        <v>46139</v>
      </c>
      <c r="P5168" s="2"/>
      <c r="Q5168">
        <f>_xlfn.XLOOKUP(E5168,CPT!$A$2:$A$13,CPT!$D$2:$D$13)</f>
        <v>38</v>
      </c>
      <c r="R5168" s="1">
        <f>_xlfn.XLOOKUP(C5168,Contract!$A$2:$A$9,Contract!$B$2:$B$9)</f>
        <v>0.27</v>
      </c>
      <c r="S5168" s="1">
        <f t="shared" si="320"/>
        <v>10.26</v>
      </c>
      <c r="T5168" s="1" t="str">
        <f t="shared" si="321"/>
        <v/>
      </c>
      <c r="U5168" s="1" t="str">
        <f t="shared" si="322"/>
        <v/>
      </c>
      <c r="V5168" s="1" t="str">
        <f>_xlfn.XLOOKUP(C5168,Payers!$A$2:$A$9,Payers!$B$2:$B$9)</f>
        <v>Florida Medicaid</v>
      </c>
      <c r="W5168" s="1" t="str">
        <f t="shared" si="323"/>
        <v>2026-03</v>
      </c>
    </row>
    <row r="5169" spans="1:23">
      <c r="A5169" s="1" t="s">
        <v>7937</v>
      </c>
      <c r="B5169" s="1" t="s">
        <v>2330</v>
      </c>
      <c r="C5169" s="1" t="s">
        <v>60</v>
      </c>
      <c r="D5169" s="1" t="s">
        <v>26</v>
      </c>
      <c r="E5169" s="1" t="s">
        <v>44</v>
      </c>
      <c r="F5169">
        <v>1</v>
      </c>
      <c r="G5169" s="2">
        <v>46006</v>
      </c>
      <c r="H5169" s="2">
        <v>46011</v>
      </c>
      <c r="I5169">
        <v>4837.9799999999996</v>
      </c>
      <c r="J5169">
        <v>1844.25</v>
      </c>
      <c r="K5169">
        <v>1844.25</v>
      </c>
      <c r="L5169">
        <v>0</v>
      </c>
      <c r="M5169" s="1" t="s">
        <v>21</v>
      </c>
      <c r="N5169" s="1" t="s">
        <v>22</v>
      </c>
      <c r="O5169" s="2">
        <v>46026</v>
      </c>
      <c r="P5169" s="2">
        <v>46026</v>
      </c>
      <c r="Q5169">
        <f>_xlfn.XLOOKUP(E5169,CPT!$A$2:$A$13,CPT!$D$2:$D$13)</f>
        <v>4800</v>
      </c>
      <c r="R5169" s="1">
        <f>_xlfn.XLOOKUP(C5169,Contract!$A$2:$A$9,Contract!$B$2:$B$9)</f>
        <v>0.45</v>
      </c>
      <c r="S5169" s="1">
        <f t="shared" si="320"/>
        <v>2160</v>
      </c>
      <c r="T5169" s="1">
        <f t="shared" si="321"/>
        <v>315.75</v>
      </c>
      <c r="U5169" s="1" t="str">
        <f t="shared" si="322"/>
        <v>Underpaid</v>
      </c>
      <c r="V5169" s="1" t="str">
        <f>_xlfn.XLOOKUP(C5169,Payers!$A$2:$A$9,Payers!$B$2:$B$9)</f>
        <v>Blue Horizon Commercial</v>
      </c>
      <c r="W5169" s="1" t="str">
        <f t="shared" si="323"/>
        <v>2025-12</v>
      </c>
    </row>
    <row r="5170" spans="1:23">
      <c r="A5170" s="1" t="s">
        <v>7938</v>
      </c>
      <c r="B5170" s="1" t="s">
        <v>4454</v>
      </c>
      <c r="C5170" s="1" t="s">
        <v>18</v>
      </c>
      <c r="D5170" s="1" t="s">
        <v>26</v>
      </c>
      <c r="E5170" s="1" t="s">
        <v>41</v>
      </c>
      <c r="F5170">
        <v>1</v>
      </c>
      <c r="G5170" s="2">
        <v>46251</v>
      </c>
      <c r="H5170" s="2">
        <v>46254</v>
      </c>
      <c r="I5170">
        <v>37.270000000000003</v>
      </c>
      <c r="J5170">
        <v>15.09</v>
      </c>
      <c r="K5170">
        <v>15.09</v>
      </c>
      <c r="L5170">
        <v>0</v>
      </c>
      <c r="M5170" s="1" t="s">
        <v>21</v>
      </c>
      <c r="N5170" s="1" t="s">
        <v>22</v>
      </c>
      <c r="O5170" s="2">
        <v>46280</v>
      </c>
      <c r="P5170" s="2">
        <v>46280</v>
      </c>
      <c r="Q5170">
        <f>_xlfn.XLOOKUP(E5170,CPT!$A$2:$A$13,CPT!$D$2:$D$13)</f>
        <v>38</v>
      </c>
      <c r="R5170" s="1">
        <f>_xlfn.XLOOKUP(C5170,Contract!$A$2:$A$9,Contract!$B$2:$B$9)</f>
        <v>0.38</v>
      </c>
      <c r="S5170" s="1">
        <f t="shared" si="320"/>
        <v>14.44</v>
      </c>
      <c r="T5170" s="1">
        <f t="shared" si="321"/>
        <v>-0.65000000000000036</v>
      </c>
      <c r="U5170" s="1" t="str">
        <f t="shared" si="322"/>
        <v>OK</v>
      </c>
      <c r="V5170" s="1" t="str">
        <f>_xlfn.XLOOKUP(C5170,Payers!$A$2:$A$9,Payers!$B$2:$B$9)</f>
        <v>Sunshine Medicare Advantage</v>
      </c>
      <c r="W5170" s="1" t="str">
        <f t="shared" si="323"/>
        <v>2026-08</v>
      </c>
    </row>
    <row r="5171" spans="1:23">
      <c r="A5171" s="1" t="s">
        <v>7939</v>
      </c>
      <c r="B5171" s="1" t="s">
        <v>4523</v>
      </c>
      <c r="C5171" s="1" t="s">
        <v>76</v>
      </c>
      <c r="D5171" s="1" t="s">
        <v>19</v>
      </c>
      <c r="E5171" s="1" t="s">
        <v>88</v>
      </c>
      <c r="F5171">
        <v>1</v>
      </c>
      <c r="G5171" s="2">
        <v>46196</v>
      </c>
      <c r="H5171" s="2">
        <v>46200</v>
      </c>
      <c r="I5171">
        <v>266.02</v>
      </c>
      <c r="J5171">
        <v>129.66</v>
      </c>
      <c r="K5171">
        <v>129.66</v>
      </c>
      <c r="L5171">
        <v>0</v>
      </c>
      <c r="M5171" s="1" t="s">
        <v>21</v>
      </c>
      <c r="N5171" s="1" t="s">
        <v>22</v>
      </c>
      <c r="O5171" s="2">
        <v>46251</v>
      </c>
      <c r="P5171" s="2">
        <v>46251</v>
      </c>
      <c r="Q5171">
        <f>_xlfn.XLOOKUP(E5171,CPT!$A$2:$A$13,CPT!$D$2:$D$13)</f>
        <v>260</v>
      </c>
      <c r="R5171" s="1">
        <f>_xlfn.XLOOKUP(C5171,Contract!$A$2:$A$9,Contract!$B$2:$B$9)</f>
        <v>0.43</v>
      </c>
      <c r="S5171" s="1">
        <f t="shared" si="320"/>
        <v>111.8</v>
      </c>
      <c r="T5171" s="1">
        <f t="shared" si="321"/>
        <v>-17.86</v>
      </c>
      <c r="U5171" s="1" t="str">
        <f t="shared" si="322"/>
        <v>OK</v>
      </c>
      <c r="V5171" s="1" t="str">
        <f>_xlfn.XLOOKUP(C5171,Payers!$A$2:$A$9,Payers!$B$2:$B$9)</f>
        <v>Summit Health Commercial</v>
      </c>
      <c r="W5171" s="1" t="str">
        <f t="shared" si="323"/>
        <v>2026-06</v>
      </c>
    </row>
    <row r="5172" spans="1:23">
      <c r="A5172" s="1" t="s">
        <v>7940</v>
      </c>
      <c r="B5172" s="1" t="s">
        <v>7941</v>
      </c>
      <c r="C5172" s="1" t="s">
        <v>76</v>
      </c>
      <c r="D5172" s="1" t="s">
        <v>19</v>
      </c>
      <c r="E5172" s="1" t="s">
        <v>88</v>
      </c>
      <c r="F5172">
        <v>1</v>
      </c>
      <c r="G5172" s="2">
        <v>46211</v>
      </c>
      <c r="H5172" s="2">
        <v>46215</v>
      </c>
      <c r="I5172">
        <v>259.61</v>
      </c>
      <c r="J5172">
        <v>113.69</v>
      </c>
      <c r="K5172">
        <v>102.32</v>
      </c>
      <c r="L5172">
        <v>11.37</v>
      </c>
      <c r="M5172" s="1" t="s">
        <v>21</v>
      </c>
      <c r="N5172" s="1" t="s">
        <v>22</v>
      </c>
      <c r="O5172" s="2">
        <v>46243</v>
      </c>
      <c r="P5172" s="2">
        <v>46243</v>
      </c>
      <c r="Q5172">
        <f>_xlfn.XLOOKUP(E5172,CPT!$A$2:$A$13,CPT!$D$2:$D$13)</f>
        <v>260</v>
      </c>
      <c r="R5172" s="1">
        <f>_xlfn.XLOOKUP(C5172,Contract!$A$2:$A$9,Contract!$B$2:$B$9)</f>
        <v>0.43</v>
      </c>
      <c r="S5172" s="1">
        <f t="shared" si="320"/>
        <v>111.8</v>
      </c>
      <c r="T5172" s="1">
        <f t="shared" si="321"/>
        <v>-1.8900000000000006</v>
      </c>
      <c r="U5172" s="1" t="str">
        <f t="shared" si="322"/>
        <v>OK</v>
      </c>
      <c r="V5172" s="1" t="str">
        <f>_xlfn.XLOOKUP(C5172,Payers!$A$2:$A$9,Payers!$B$2:$B$9)</f>
        <v>Summit Health Commercial</v>
      </c>
      <c r="W5172" s="1" t="str">
        <f t="shared" si="323"/>
        <v>2026-07</v>
      </c>
    </row>
    <row r="5173" spans="1:23">
      <c r="A5173" s="1" t="s">
        <v>7942</v>
      </c>
      <c r="B5173" s="1" t="s">
        <v>5473</v>
      </c>
      <c r="C5173" s="1" t="s">
        <v>76</v>
      </c>
      <c r="D5173" s="1" t="s">
        <v>26</v>
      </c>
      <c r="E5173" s="1" t="s">
        <v>88</v>
      </c>
      <c r="F5173">
        <v>1</v>
      </c>
      <c r="G5173" s="2">
        <v>46005</v>
      </c>
      <c r="H5173" s="2">
        <v>46009</v>
      </c>
      <c r="I5173">
        <v>264.5</v>
      </c>
      <c r="J5173">
        <v>115.57</v>
      </c>
      <c r="K5173">
        <v>104.01</v>
      </c>
      <c r="L5173">
        <v>11.56</v>
      </c>
      <c r="M5173" s="1" t="s">
        <v>21</v>
      </c>
      <c r="N5173" s="1" t="s">
        <v>22</v>
      </c>
      <c r="O5173" s="2">
        <v>46054</v>
      </c>
      <c r="P5173" s="2">
        <v>46054</v>
      </c>
      <c r="Q5173">
        <f>_xlfn.XLOOKUP(E5173,CPT!$A$2:$A$13,CPT!$D$2:$D$13)</f>
        <v>260</v>
      </c>
      <c r="R5173" s="1">
        <f>_xlfn.XLOOKUP(C5173,Contract!$A$2:$A$9,Contract!$B$2:$B$9)</f>
        <v>0.43</v>
      </c>
      <c r="S5173" s="1">
        <f t="shared" si="320"/>
        <v>111.8</v>
      </c>
      <c r="T5173" s="1">
        <f t="shared" si="321"/>
        <v>-3.769999999999996</v>
      </c>
      <c r="U5173" s="1" t="str">
        <f t="shared" si="322"/>
        <v>OK</v>
      </c>
      <c r="V5173" s="1" t="str">
        <f>_xlfn.XLOOKUP(C5173,Payers!$A$2:$A$9,Payers!$B$2:$B$9)</f>
        <v>Summit Health Commercial</v>
      </c>
      <c r="W5173" s="1" t="str">
        <f t="shared" si="323"/>
        <v>2025-12</v>
      </c>
    </row>
    <row r="5174" spans="1:23">
      <c r="A5174" s="1" t="s">
        <v>7943</v>
      </c>
      <c r="B5174" s="1" t="s">
        <v>149</v>
      </c>
      <c r="C5174" s="1" t="s">
        <v>18</v>
      </c>
      <c r="D5174" s="1" t="s">
        <v>26</v>
      </c>
      <c r="E5174" s="1" t="s">
        <v>185</v>
      </c>
      <c r="F5174">
        <v>1</v>
      </c>
      <c r="G5174" s="2">
        <v>45998</v>
      </c>
      <c r="H5174" s="2">
        <v>46002</v>
      </c>
      <c r="I5174">
        <v>1122.76</v>
      </c>
      <c r="J5174">
        <v>365.12</v>
      </c>
      <c r="K5174">
        <v>292.10000000000002</v>
      </c>
      <c r="L5174">
        <v>73.02</v>
      </c>
      <c r="M5174" s="1" t="s">
        <v>21</v>
      </c>
      <c r="N5174" s="1" t="s">
        <v>22</v>
      </c>
      <c r="O5174" s="2">
        <v>46077</v>
      </c>
      <c r="P5174" s="2">
        <v>46077</v>
      </c>
      <c r="Q5174">
        <f>_xlfn.XLOOKUP(E5174,CPT!$A$2:$A$13,CPT!$D$2:$D$13)</f>
        <v>1150</v>
      </c>
      <c r="R5174" s="1">
        <f>_xlfn.XLOOKUP(C5174,Contract!$A$2:$A$9,Contract!$B$2:$B$9)</f>
        <v>0.38</v>
      </c>
      <c r="S5174" s="1">
        <f t="shared" si="320"/>
        <v>437</v>
      </c>
      <c r="T5174" s="1">
        <f t="shared" si="321"/>
        <v>71.88</v>
      </c>
      <c r="U5174" s="1" t="str">
        <f t="shared" si="322"/>
        <v>Underpaid</v>
      </c>
      <c r="V5174" s="1" t="str">
        <f>_xlfn.XLOOKUP(C5174,Payers!$A$2:$A$9,Payers!$B$2:$B$9)</f>
        <v>Sunshine Medicare Advantage</v>
      </c>
      <c r="W5174" s="1" t="str">
        <f t="shared" si="323"/>
        <v>2025-12</v>
      </c>
    </row>
    <row r="5175" spans="1:23">
      <c r="A5175" s="1" t="s">
        <v>7944</v>
      </c>
      <c r="B5175" s="1" t="s">
        <v>947</v>
      </c>
      <c r="C5175" s="1" t="s">
        <v>25</v>
      </c>
      <c r="D5175" s="1" t="s">
        <v>19</v>
      </c>
      <c r="E5175" s="1" t="s">
        <v>20</v>
      </c>
      <c r="F5175">
        <v>1</v>
      </c>
      <c r="G5175" s="2">
        <v>46188</v>
      </c>
      <c r="H5175" s="2">
        <v>46190</v>
      </c>
      <c r="I5175">
        <v>148.30000000000001</v>
      </c>
      <c r="M5175" s="1" t="s">
        <v>32</v>
      </c>
      <c r="N5175" s="1" t="s">
        <v>49</v>
      </c>
      <c r="O5175" s="2">
        <v>46203</v>
      </c>
      <c r="P5175" s="2"/>
      <c r="Q5175">
        <f>_xlfn.XLOOKUP(E5175,CPT!$A$2:$A$13,CPT!$D$2:$D$13)</f>
        <v>145</v>
      </c>
      <c r="R5175" s="1">
        <f>_xlfn.XLOOKUP(C5175,Contract!$A$2:$A$9,Contract!$B$2:$B$9)</f>
        <v>0.36</v>
      </c>
      <c r="S5175" s="1">
        <f t="shared" si="320"/>
        <v>52.2</v>
      </c>
      <c r="T5175" s="1" t="str">
        <f t="shared" si="321"/>
        <v/>
      </c>
      <c r="U5175" s="1" t="str">
        <f t="shared" si="322"/>
        <v/>
      </c>
      <c r="V5175" s="1" t="str">
        <f>_xlfn.XLOOKUP(C5175,Payers!$A$2:$A$9,Payers!$B$2:$B$9)</f>
        <v>Medicare Part B</v>
      </c>
      <c r="W5175" s="1" t="str">
        <f t="shared" si="323"/>
        <v>2026-06</v>
      </c>
    </row>
    <row r="5176" spans="1:23">
      <c r="A5176" s="1" t="s">
        <v>7945</v>
      </c>
      <c r="B5176" s="1" t="s">
        <v>1895</v>
      </c>
      <c r="C5176" s="1" t="s">
        <v>52</v>
      </c>
      <c r="D5176" s="1" t="s">
        <v>37</v>
      </c>
      <c r="E5176" s="1" t="s">
        <v>48</v>
      </c>
      <c r="F5176">
        <v>1</v>
      </c>
      <c r="G5176" s="2">
        <v>46107</v>
      </c>
      <c r="H5176" s="2">
        <v>46110</v>
      </c>
      <c r="I5176">
        <v>410.96</v>
      </c>
      <c r="M5176" s="1" t="s">
        <v>32</v>
      </c>
      <c r="N5176" s="1" t="s">
        <v>315</v>
      </c>
      <c r="O5176" s="2">
        <v>46152</v>
      </c>
      <c r="P5176" s="2"/>
      <c r="Q5176">
        <f>_xlfn.XLOOKUP(E5176,CPT!$A$2:$A$13,CPT!$D$2:$D$13)</f>
        <v>420</v>
      </c>
      <c r="R5176" s="1">
        <f>_xlfn.XLOOKUP(C5176,Contract!$A$2:$A$9,Contract!$B$2:$B$9)</f>
        <v>0.47</v>
      </c>
      <c r="S5176" s="1">
        <f t="shared" si="320"/>
        <v>197.4</v>
      </c>
      <c r="T5176" s="1" t="str">
        <f t="shared" si="321"/>
        <v/>
      </c>
      <c r="U5176" s="1" t="str">
        <f t="shared" si="322"/>
        <v/>
      </c>
      <c r="V5176" s="1" t="str">
        <f>_xlfn.XLOOKUP(C5176,Payers!$A$2:$A$9,Payers!$B$2:$B$9)</f>
        <v>Keystone Commercial PPO</v>
      </c>
      <c r="W5176" s="1" t="str">
        <f t="shared" si="323"/>
        <v>2026-03</v>
      </c>
    </row>
    <row r="5177" spans="1:23">
      <c r="A5177" s="1" t="s">
        <v>7946</v>
      </c>
      <c r="B5177" s="1" t="s">
        <v>3459</v>
      </c>
      <c r="C5177" s="1" t="s">
        <v>36</v>
      </c>
      <c r="D5177" s="1" t="s">
        <v>19</v>
      </c>
      <c r="E5177" s="1" t="s">
        <v>20</v>
      </c>
      <c r="F5177">
        <v>1</v>
      </c>
      <c r="G5177" s="2">
        <v>46004</v>
      </c>
      <c r="H5177" s="2">
        <v>46015</v>
      </c>
      <c r="I5177">
        <v>143.9</v>
      </c>
      <c r="M5177" s="1" t="s">
        <v>32</v>
      </c>
      <c r="N5177" s="1" t="s">
        <v>124</v>
      </c>
      <c r="O5177" s="2">
        <v>46048</v>
      </c>
      <c r="P5177" s="2"/>
      <c r="Q5177">
        <f>_xlfn.XLOOKUP(E5177,CPT!$A$2:$A$13,CPT!$D$2:$D$13)</f>
        <v>145</v>
      </c>
      <c r="R5177" s="1">
        <f>_xlfn.XLOOKUP(C5177,Contract!$A$2:$A$9,Contract!$B$2:$B$9)</f>
        <v>0.27</v>
      </c>
      <c r="S5177" s="1">
        <f t="shared" si="320"/>
        <v>39.15</v>
      </c>
      <c r="T5177" s="1" t="str">
        <f t="shared" si="321"/>
        <v/>
      </c>
      <c r="U5177" s="1" t="str">
        <f t="shared" si="322"/>
        <v/>
      </c>
      <c r="V5177" s="1" t="str">
        <f>_xlfn.XLOOKUP(C5177,Payers!$A$2:$A$9,Payers!$B$2:$B$9)</f>
        <v>Florida Medicaid</v>
      </c>
      <c r="W5177" s="1" t="str">
        <f t="shared" si="323"/>
        <v>2025-12</v>
      </c>
    </row>
    <row r="5178" spans="1:23">
      <c r="A5178" s="1" t="s">
        <v>7947</v>
      </c>
      <c r="B5178" s="1" t="s">
        <v>6419</v>
      </c>
      <c r="C5178" s="1" t="s">
        <v>60</v>
      </c>
      <c r="D5178" s="1" t="s">
        <v>37</v>
      </c>
      <c r="E5178" s="1" t="s">
        <v>57</v>
      </c>
      <c r="F5178">
        <v>1</v>
      </c>
      <c r="G5178" s="2">
        <v>45971</v>
      </c>
      <c r="H5178" s="2">
        <v>45974</v>
      </c>
      <c r="I5178">
        <v>209.02</v>
      </c>
      <c r="J5178">
        <v>82.27</v>
      </c>
      <c r="K5178">
        <v>74.040000000000006</v>
      </c>
      <c r="L5178">
        <v>8.23</v>
      </c>
      <c r="M5178" s="1" t="s">
        <v>21</v>
      </c>
      <c r="N5178" s="1" t="s">
        <v>22</v>
      </c>
      <c r="O5178" s="2">
        <v>46000</v>
      </c>
      <c r="P5178" s="2">
        <v>46000</v>
      </c>
      <c r="Q5178">
        <f>_xlfn.XLOOKUP(E5178,CPT!$A$2:$A$13,CPT!$D$2:$D$13)</f>
        <v>210</v>
      </c>
      <c r="R5178" s="1">
        <f>_xlfn.XLOOKUP(C5178,Contract!$A$2:$A$9,Contract!$B$2:$B$9)</f>
        <v>0.45</v>
      </c>
      <c r="S5178" s="1">
        <f t="shared" si="320"/>
        <v>94.5</v>
      </c>
      <c r="T5178" s="1">
        <f t="shared" si="321"/>
        <v>12.230000000000004</v>
      </c>
      <c r="U5178" s="1" t="str">
        <f t="shared" si="322"/>
        <v>Underpaid</v>
      </c>
      <c r="V5178" s="1" t="str">
        <f>_xlfn.XLOOKUP(C5178,Payers!$A$2:$A$9,Payers!$B$2:$B$9)</f>
        <v>Blue Horizon Commercial</v>
      </c>
      <c r="W5178" s="1" t="str">
        <f t="shared" si="323"/>
        <v>2025-11</v>
      </c>
    </row>
    <row r="5179" spans="1:23">
      <c r="A5179" s="1" t="s">
        <v>7948</v>
      </c>
      <c r="B5179" s="1" t="s">
        <v>3155</v>
      </c>
      <c r="C5179" s="1" t="s">
        <v>25</v>
      </c>
      <c r="D5179" s="1" t="s">
        <v>37</v>
      </c>
      <c r="E5179" s="1" t="s">
        <v>48</v>
      </c>
      <c r="F5179">
        <v>1</v>
      </c>
      <c r="G5179" s="2">
        <v>46194</v>
      </c>
      <c r="H5179" s="2">
        <v>46195</v>
      </c>
      <c r="I5179">
        <v>426.37</v>
      </c>
      <c r="J5179">
        <v>165.74</v>
      </c>
      <c r="K5179">
        <v>165.74</v>
      </c>
      <c r="L5179">
        <v>0</v>
      </c>
      <c r="M5179" s="1" t="s">
        <v>21</v>
      </c>
      <c r="N5179" s="1" t="s">
        <v>22</v>
      </c>
      <c r="O5179" s="2">
        <v>46210</v>
      </c>
      <c r="P5179" s="2">
        <v>46210</v>
      </c>
      <c r="Q5179">
        <f>_xlfn.XLOOKUP(E5179,CPT!$A$2:$A$13,CPT!$D$2:$D$13)</f>
        <v>420</v>
      </c>
      <c r="R5179" s="1">
        <f>_xlfn.XLOOKUP(C5179,Contract!$A$2:$A$9,Contract!$B$2:$B$9)</f>
        <v>0.36</v>
      </c>
      <c r="S5179" s="1">
        <f t="shared" si="320"/>
        <v>151.19999999999999</v>
      </c>
      <c r="T5179" s="1">
        <f t="shared" si="321"/>
        <v>-14.54000000000002</v>
      </c>
      <c r="U5179" s="1" t="str">
        <f t="shared" si="322"/>
        <v>OK</v>
      </c>
      <c r="V5179" s="1" t="str">
        <f>_xlfn.XLOOKUP(C5179,Payers!$A$2:$A$9,Payers!$B$2:$B$9)</f>
        <v>Medicare Part B</v>
      </c>
      <c r="W5179" s="1" t="str">
        <f t="shared" si="323"/>
        <v>2026-06</v>
      </c>
    </row>
    <row r="5180" spans="1:23">
      <c r="A5180" s="1" t="s">
        <v>7949</v>
      </c>
      <c r="B5180" s="1" t="s">
        <v>4824</v>
      </c>
      <c r="C5180" s="1" t="s">
        <v>76</v>
      </c>
      <c r="D5180" s="1" t="s">
        <v>37</v>
      </c>
      <c r="E5180" s="1" t="s">
        <v>38</v>
      </c>
      <c r="F5180">
        <v>5</v>
      </c>
      <c r="G5180" s="2">
        <v>46204</v>
      </c>
      <c r="H5180" s="2">
        <v>46207</v>
      </c>
      <c r="I5180">
        <v>7415.34</v>
      </c>
      <c r="J5180">
        <v>3152.33</v>
      </c>
      <c r="K5180">
        <v>2521.86</v>
      </c>
      <c r="L5180">
        <v>630.47</v>
      </c>
      <c r="M5180" s="1" t="s">
        <v>21</v>
      </c>
      <c r="N5180" s="1" t="s">
        <v>22</v>
      </c>
      <c r="O5180" s="2">
        <v>46230</v>
      </c>
      <c r="P5180" s="2">
        <v>46230</v>
      </c>
      <c r="Q5180">
        <f>_xlfn.XLOOKUP(E5180,CPT!$A$2:$A$13,CPT!$D$2:$D$13)</f>
        <v>1450</v>
      </c>
      <c r="R5180" s="1">
        <f>_xlfn.XLOOKUP(C5180,Contract!$A$2:$A$9,Contract!$B$2:$B$9)</f>
        <v>0.43</v>
      </c>
      <c r="S5180" s="1">
        <f t="shared" si="320"/>
        <v>3117.5</v>
      </c>
      <c r="T5180" s="1">
        <f t="shared" si="321"/>
        <v>-34.829999999999927</v>
      </c>
      <c r="U5180" s="1" t="str">
        <f t="shared" si="322"/>
        <v>OK</v>
      </c>
      <c r="V5180" s="1" t="str">
        <f>_xlfn.XLOOKUP(C5180,Payers!$A$2:$A$9,Payers!$B$2:$B$9)</f>
        <v>Summit Health Commercial</v>
      </c>
      <c r="W5180" s="1" t="str">
        <f t="shared" si="323"/>
        <v>2026-07</v>
      </c>
    </row>
    <row r="5181" spans="1:23">
      <c r="A5181" s="1" t="s">
        <v>7950</v>
      </c>
      <c r="B5181" s="1" t="s">
        <v>7656</v>
      </c>
      <c r="C5181" s="1" t="s">
        <v>25</v>
      </c>
      <c r="D5181" s="1" t="s">
        <v>26</v>
      </c>
      <c r="E5181" s="1" t="s">
        <v>27</v>
      </c>
      <c r="F5181">
        <v>1</v>
      </c>
      <c r="G5181" s="2">
        <v>46102</v>
      </c>
      <c r="H5181" s="2">
        <v>46107</v>
      </c>
      <c r="I5181">
        <v>246.34</v>
      </c>
      <c r="J5181">
        <v>96.65</v>
      </c>
      <c r="K5181">
        <v>96.65</v>
      </c>
      <c r="L5181">
        <v>0</v>
      </c>
      <c r="M5181" s="1" t="s">
        <v>21</v>
      </c>
      <c r="N5181" s="1" t="s">
        <v>22</v>
      </c>
      <c r="O5181" s="2">
        <v>46115</v>
      </c>
      <c r="P5181" s="2">
        <v>46115</v>
      </c>
      <c r="Q5181">
        <f>_xlfn.XLOOKUP(E5181,CPT!$A$2:$A$13,CPT!$D$2:$D$13)</f>
        <v>240</v>
      </c>
      <c r="R5181" s="1">
        <f>_xlfn.XLOOKUP(C5181,Contract!$A$2:$A$9,Contract!$B$2:$B$9)</f>
        <v>0.36</v>
      </c>
      <c r="S5181" s="1">
        <f t="shared" si="320"/>
        <v>86.4</v>
      </c>
      <c r="T5181" s="1">
        <f t="shared" si="321"/>
        <v>-10.25</v>
      </c>
      <c r="U5181" s="1" t="str">
        <f t="shared" si="322"/>
        <v>OK</v>
      </c>
      <c r="V5181" s="1" t="str">
        <f>_xlfn.XLOOKUP(C5181,Payers!$A$2:$A$9,Payers!$B$2:$B$9)</f>
        <v>Medicare Part B</v>
      </c>
      <c r="W5181" s="1" t="str">
        <f t="shared" si="323"/>
        <v>2026-03</v>
      </c>
    </row>
    <row r="5182" spans="1:23">
      <c r="A5182" s="1" t="s">
        <v>7951</v>
      </c>
      <c r="B5182" s="1" t="s">
        <v>2524</v>
      </c>
      <c r="C5182" s="1" t="s">
        <v>60</v>
      </c>
      <c r="D5182" s="1" t="s">
        <v>26</v>
      </c>
      <c r="E5182" s="1" t="s">
        <v>113</v>
      </c>
      <c r="F5182">
        <v>1</v>
      </c>
      <c r="G5182" s="2">
        <v>46088</v>
      </c>
      <c r="H5182" s="2">
        <v>46093</v>
      </c>
      <c r="I5182">
        <v>1021</v>
      </c>
      <c r="J5182">
        <v>500.71</v>
      </c>
      <c r="K5182">
        <v>500.71</v>
      </c>
      <c r="L5182">
        <v>0</v>
      </c>
      <c r="M5182" s="1" t="s">
        <v>21</v>
      </c>
      <c r="N5182" s="1" t="s">
        <v>22</v>
      </c>
      <c r="O5182" s="2">
        <v>46128</v>
      </c>
      <c r="P5182" s="2">
        <v>46128</v>
      </c>
      <c r="Q5182">
        <f>_xlfn.XLOOKUP(E5182,CPT!$A$2:$A$13,CPT!$D$2:$D$13)</f>
        <v>1050</v>
      </c>
      <c r="R5182" s="1">
        <f>_xlfn.XLOOKUP(C5182,Contract!$A$2:$A$9,Contract!$B$2:$B$9)</f>
        <v>0.45</v>
      </c>
      <c r="S5182" s="1">
        <f t="shared" si="320"/>
        <v>472.5</v>
      </c>
      <c r="T5182" s="1">
        <f t="shared" si="321"/>
        <v>-28.20999999999998</v>
      </c>
      <c r="U5182" s="1" t="str">
        <f t="shared" si="322"/>
        <v>OK</v>
      </c>
      <c r="V5182" s="1" t="str">
        <f>_xlfn.XLOOKUP(C5182,Payers!$A$2:$A$9,Payers!$B$2:$B$9)</f>
        <v>Blue Horizon Commercial</v>
      </c>
      <c r="W5182" s="1" t="str">
        <f t="shared" si="323"/>
        <v>2026-03</v>
      </c>
    </row>
    <row r="5183" spans="1:23">
      <c r="A5183" s="1" t="s">
        <v>7952</v>
      </c>
      <c r="B5183" s="1" t="s">
        <v>335</v>
      </c>
      <c r="C5183" s="1" t="s">
        <v>25</v>
      </c>
      <c r="D5183" s="1" t="s">
        <v>26</v>
      </c>
      <c r="E5183" s="1" t="s">
        <v>113</v>
      </c>
      <c r="F5183">
        <v>1</v>
      </c>
      <c r="G5183" s="2">
        <v>46148</v>
      </c>
      <c r="H5183" s="2">
        <v>46168</v>
      </c>
      <c r="I5183">
        <v>1079.1600000000001</v>
      </c>
      <c r="J5183">
        <v>352.87</v>
      </c>
      <c r="K5183">
        <v>317.58</v>
      </c>
      <c r="L5183">
        <v>35.29</v>
      </c>
      <c r="M5183" s="1" t="s">
        <v>21</v>
      </c>
      <c r="N5183" s="1" t="s">
        <v>22</v>
      </c>
      <c r="O5183" s="2">
        <v>46186</v>
      </c>
      <c r="P5183" s="2">
        <v>46186</v>
      </c>
      <c r="Q5183">
        <f>_xlfn.XLOOKUP(E5183,CPT!$A$2:$A$13,CPT!$D$2:$D$13)</f>
        <v>1050</v>
      </c>
      <c r="R5183" s="1">
        <f>_xlfn.XLOOKUP(C5183,Contract!$A$2:$A$9,Contract!$B$2:$B$9)</f>
        <v>0.36</v>
      </c>
      <c r="S5183" s="1">
        <f t="shared" si="320"/>
        <v>378</v>
      </c>
      <c r="T5183" s="1">
        <f t="shared" si="321"/>
        <v>25.129999999999995</v>
      </c>
      <c r="U5183" s="1" t="str">
        <f t="shared" si="322"/>
        <v>Underpaid</v>
      </c>
      <c r="V5183" s="1" t="str">
        <f>_xlfn.XLOOKUP(C5183,Payers!$A$2:$A$9,Payers!$B$2:$B$9)</f>
        <v>Medicare Part B</v>
      </c>
      <c r="W5183" s="1" t="str">
        <f t="shared" si="323"/>
        <v>2026-05</v>
      </c>
    </row>
    <row r="5184" spans="1:23">
      <c r="A5184" s="1" t="s">
        <v>7953</v>
      </c>
      <c r="B5184" s="1" t="s">
        <v>1441</v>
      </c>
      <c r="C5184" s="1" t="s">
        <v>76</v>
      </c>
      <c r="D5184" s="1" t="s">
        <v>19</v>
      </c>
      <c r="E5184" s="1" t="s">
        <v>88</v>
      </c>
      <c r="F5184">
        <v>1</v>
      </c>
      <c r="G5184" s="2">
        <v>45947</v>
      </c>
      <c r="H5184" s="2">
        <v>45951</v>
      </c>
      <c r="I5184">
        <v>253.52</v>
      </c>
      <c r="J5184">
        <v>94.32</v>
      </c>
      <c r="K5184">
        <v>75.459999999999994</v>
      </c>
      <c r="L5184">
        <v>18.86</v>
      </c>
      <c r="M5184" s="1" t="s">
        <v>21</v>
      </c>
      <c r="N5184" s="1" t="s">
        <v>22</v>
      </c>
      <c r="O5184" s="2">
        <v>45997</v>
      </c>
      <c r="P5184" s="2">
        <v>45997</v>
      </c>
      <c r="Q5184">
        <f>_xlfn.XLOOKUP(E5184,CPT!$A$2:$A$13,CPT!$D$2:$D$13)</f>
        <v>260</v>
      </c>
      <c r="R5184" s="1">
        <f>_xlfn.XLOOKUP(C5184,Contract!$A$2:$A$9,Contract!$B$2:$B$9)</f>
        <v>0.43</v>
      </c>
      <c r="S5184" s="1">
        <f t="shared" si="320"/>
        <v>111.8</v>
      </c>
      <c r="T5184" s="1">
        <f t="shared" si="321"/>
        <v>17.480000000000004</v>
      </c>
      <c r="U5184" s="1" t="str">
        <f t="shared" si="322"/>
        <v>Underpaid</v>
      </c>
      <c r="V5184" s="1" t="str">
        <f>_xlfn.XLOOKUP(C5184,Payers!$A$2:$A$9,Payers!$B$2:$B$9)</f>
        <v>Summit Health Commercial</v>
      </c>
      <c r="W5184" s="1" t="str">
        <f t="shared" si="323"/>
        <v>2025-10</v>
      </c>
    </row>
    <row r="5185" spans="1:23">
      <c r="A5185" s="1" t="s">
        <v>7954</v>
      </c>
      <c r="B5185" s="1" t="s">
        <v>524</v>
      </c>
      <c r="C5185" s="1" t="s">
        <v>76</v>
      </c>
      <c r="D5185" s="1" t="s">
        <v>19</v>
      </c>
      <c r="E5185" s="1" t="s">
        <v>88</v>
      </c>
      <c r="F5185">
        <v>1</v>
      </c>
      <c r="G5185" s="2">
        <v>46135</v>
      </c>
      <c r="H5185" s="2">
        <v>46149</v>
      </c>
      <c r="I5185">
        <v>266.17</v>
      </c>
      <c r="J5185">
        <v>123.4</v>
      </c>
      <c r="K5185">
        <v>123.4</v>
      </c>
      <c r="L5185">
        <v>0</v>
      </c>
      <c r="M5185" s="1" t="s">
        <v>21</v>
      </c>
      <c r="N5185" s="1" t="s">
        <v>22</v>
      </c>
      <c r="O5185" s="2">
        <v>46203</v>
      </c>
      <c r="P5185" s="2">
        <v>46203</v>
      </c>
      <c r="Q5185">
        <f>_xlfn.XLOOKUP(E5185,CPT!$A$2:$A$13,CPT!$D$2:$D$13)</f>
        <v>260</v>
      </c>
      <c r="R5185" s="1">
        <f>_xlfn.XLOOKUP(C5185,Contract!$A$2:$A$9,Contract!$B$2:$B$9)</f>
        <v>0.43</v>
      </c>
      <c r="S5185" s="1">
        <f t="shared" si="320"/>
        <v>111.8</v>
      </c>
      <c r="T5185" s="1">
        <f t="shared" si="321"/>
        <v>-11.600000000000009</v>
      </c>
      <c r="U5185" s="1" t="str">
        <f t="shared" si="322"/>
        <v>OK</v>
      </c>
      <c r="V5185" s="1" t="str">
        <f>_xlfn.XLOOKUP(C5185,Payers!$A$2:$A$9,Payers!$B$2:$B$9)</f>
        <v>Summit Health Commercial</v>
      </c>
      <c r="W5185" s="1" t="str">
        <f t="shared" si="323"/>
        <v>2026-04</v>
      </c>
    </row>
    <row r="5186" spans="1:23">
      <c r="A5186" s="1" t="s">
        <v>7955</v>
      </c>
      <c r="B5186" s="1" t="s">
        <v>574</v>
      </c>
      <c r="C5186" s="1" t="s">
        <v>79</v>
      </c>
      <c r="D5186" s="1" t="s">
        <v>26</v>
      </c>
      <c r="E5186" s="1" t="s">
        <v>44</v>
      </c>
      <c r="F5186">
        <v>1</v>
      </c>
      <c r="G5186" s="2">
        <v>45948</v>
      </c>
      <c r="H5186" s="2">
        <v>45951</v>
      </c>
      <c r="I5186">
        <v>4819.76</v>
      </c>
      <c r="M5186" s="1" t="s">
        <v>32</v>
      </c>
      <c r="N5186" s="1" t="s">
        <v>49</v>
      </c>
      <c r="O5186" s="2">
        <v>46020</v>
      </c>
      <c r="P5186" s="2"/>
      <c r="Q5186">
        <f>_xlfn.XLOOKUP(E5186,CPT!$A$2:$A$13,CPT!$D$2:$D$13)</f>
        <v>4800</v>
      </c>
      <c r="R5186" s="1">
        <f>_xlfn.XLOOKUP(C5186,Contract!$A$2:$A$9,Contract!$B$2:$B$9)</f>
        <v>1</v>
      </c>
      <c r="S5186" s="1">
        <f t="shared" ref="S5186:S5249" si="324">ROUND(Q5186*F5186*R5186,2)</f>
        <v>4800</v>
      </c>
      <c r="T5186" s="1" t="str">
        <f t="shared" ref="T5186:T5249" si="325">IF(M5186="Paid",S5186-J5186,"")</f>
        <v/>
      </c>
      <c r="U5186" s="1" t="str">
        <f t="shared" ref="U5186:U5249" si="326">IF(M5186&lt;&gt;"Paid","",IF(T5186&gt;S5186*0.05,"Underpaid","OK"))</f>
        <v/>
      </c>
      <c r="V5186" s="1" t="str">
        <f>_xlfn.XLOOKUP(C5186,Payers!$A$2:$A$9,Payers!$B$2:$B$9)</f>
        <v>Self-Pay</v>
      </c>
      <c r="W5186" s="1" t="str">
        <f t="shared" ref="W5186:W5249" si="327">TEXT(G5186,"yyyy-mm")</f>
        <v>2025-10</v>
      </c>
    </row>
    <row r="5187" spans="1:23">
      <c r="A5187" s="1" t="s">
        <v>7956</v>
      </c>
      <c r="B5187" s="1" t="s">
        <v>2125</v>
      </c>
      <c r="C5187" s="1" t="s">
        <v>18</v>
      </c>
      <c r="D5187" s="1" t="s">
        <v>37</v>
      </c>
      <c r="E5187" s="1" t="s">
        <v>38</v>
      </c>
      <c r="F5187">
        <v>5</v>
      </c>
      <c r="G5187" s="2">
        <v>46172</v>
      </c>
      <c r="H5187" s="2">
        <v>46174</v>
      </c>
      <c r="I5187">
        <v>7061.75</v>
      </c>
      <c r="M5187" s="1" t="s">
        <v>32</v>
      </c>
      <c r="N5187" s="1" t="s">
        <v>49</v>
      </c>
      <c r="O5187" s="2">
        <v>46231</v>
      </c>
      <c r="P5187" s="2"/>
      <c r="Q5187">
        <f>_xlfn.XLOOKUP(E5187,CPT!$A$2:$A$13,CPT!$D$2:$D$13)</f>
        <v>1450</v>
      </c>
      <c r="R5187" s="1">
        <f>_xlfn.XLOOKUP(C5187,Contract!$A$2:$A$9,Contract!$B$2:$B$9)</f>
        <v>0.38</v>
      </c>
      <c r="S5187" s="1">
        <f t="shared" si="324"/>
        <v>2755</v>
      </c>
      <c r="T5187" s="1" t="str">
        <f t="shared" si="325"/>
        <v/>
      </c>
      <c r="U5187" s="1" t="str">
        <f t="shared" si="326"/>
        <v/>
      </c>
      <c r="V5187" s="1" t="str">
        <f>_xlfn.XLOOKUP(C5187,Payers!$A$2:$A$9,Payers!$B$2:$B$9)</f>
        <v>Sunshine Medicare Advantage</v>
      </c>
      <c r="W5187" s="1" t="str">
        <f t="shared" si="327"/>
        <v>2026-05</v>
      </c>
    </row>
    <row r="5188" spans="1:23">
      <c r="A5188" s="1" t="s">
        <v>7957</v>
      </c>
      <c r="B5188" s="1" t="s">
        <v>7958</v>
      </c>
      <c r="C5188" s="1" t="s">
        <v>18</v>
      </c>
      <c r="D5188" s="1" t="s">
        <v>37</v>
      </c>
      <c r="E5188" s="1" t="s">
        <v>48</v>
      </c>
      <c r="F5188">
        <v>1</v>
      </c>
      <c r="G5188" s="2">
        <v>46047</v>
      </c>
      <c r="H5188" s="2">
        <v>46048</v>
      </c>
      <c r="I5188">
        <v>429.83</v>
      </c>
      <c r="J5188">
        <v>162.44</v>
      </c>
      <c r="K5188">
        <v>129.94999999999999</v>
      </c>
      <c r="L5188">
        <v>32.49</v>
      </c>
      <c r="M5188" s="1" t="s">
        <v>21</v>
      </c>
      <c r="N5188" s="1" t="s">
        <v>22</v>
      </c>
      <c r="O5188" s="2">
        <v>46101</v>
      </c>
      <c r="P5188" s="2">
        <v>46101</v>
      </c>
      <c r="Q5188">
        <f>_xlfn.XLOOKUP(E5188,CPT!$A$2:$A$13,CPT!$D$2:$D$13)</f>
        <v>420</v>
      </c>
      <c r="R5188" s="1">
        <f>_xlfn.XLOOKUP(C5188,Contract!$A$2:$A$9,Contract!$B$2:$B$9)</f>
        <v>0.38</v>
      </c>
      <c r="S5188" s="1">
        <f t="shared" si="324"/>
        <v>159.6</v>
      </c>
      <c r="T5188" s="1">
        <f t="shared" si="325"/>
        <v>-2.8400000000000034</v>
      </c>
      <c r="U5188" s="1" t="str">
        <f t="shared" si="326"/>
        <v>OK</v>
      </c>
      <c r="V5188" s="1" t="str">
        <f>_xlfn.XLOOKUP(C5188,Payers!$A$2:$A$9,Payers!$B$2:$B$9)</f>
        <v>Sunshine Medicare Advantage</v>
      </c>
      <c r="W5188" s="1" t="str">
        <f t="shared" si="327"/>
        <v>2026-01</v>
      </c>
    </row>
    <row r="5189" spans="1:23">
      <c r="A5189" s="1" t="s">
        <v>7959</v>
      </c>
      <c r="B5189" s="1" t="s">
        <v>1907</v>
      </c>
      <c r="C5189" s="1" t="s">
        <v>60</v>
      </c>
      <c r="D5189" s="1" t="s">
        <v>26</v>
      </c>
      <c r="E5189" s="1" t="s">
        <v>44</v>
      </c>
      <c r="F5189">
        <v>1</v>
      </c>
      <c r="G5189" s="2">
        <v>46195</v>
      </c>
      <c r="H5189" s="2">
        <v>46197</v>
      </c>
      <c r="I5189">
        <v>4867.38</v>
      </c>
      <c r="J5189">
        <v>2280.5300000000002</v>
      </c>
      <c r="K5189">
        <v>1824.42</v>
      </c>
      <c r="L5189">
        <v>456.11</v>
      </c>
      <c r="M5189" s="1" t="s">
        <v>21</v>
      </c>
      <c r="N5189" s="1" t="s">
        <v>22</v>
      </c>
      <c r="O5189" s="2">
        <v>46221</v>
      </c>
      <c r="P5189" s="2">
        <v>46221</v>
      </c>
      <c r="Q5189">
        <f>_xlfn.XLOOKUP(E5189,CPT!$A$2:$A$13,CPT!$D$2:$D$13)</f>
        <v>4800</v>
      </c>
      <c r="R5189" s="1">
        <f>_xlfn.XLOOKUP(C5189,Contract!$A$2:$A$9,Contract!$B$2:$B$9)</f>
        <v>0.45</v>
      </c>
      <c r="S5189" s="1">
        <f t="shared" si="324"/>
        <v>2160</v>
      </c>
      <c r="T5189" s="1">
        <f t="shared" si="325"/>
        <v>-120.5300000000002</v>
      </c>
      <c r="U5189" s="1" t="str">
        <f t="shared" si="326"/>
        <v>OK</v>
      </c>
      <c r="V5189" s="1" t="str">
        <f>_xlfn.XLOOKUP(C5189,Payers!$A$2:$A$9,Payers!$B$2:$B$9)</f>
        <v>Blue Horizon Commercial</v>
      </c>
      <c r="W5189" s="1" t="str">
        <f t="shared" si="327"/>
        <v>2026-06</v>
      </c>
    </row>
    <row r="5190" spans="1:23">
      <c r="A5190" s="1" t="s">
        <v>7960</v>
      </c>
      <c r="B5190" s="1" t="s">
        <v>3245</v>
      </c>
      <c r="C5190" s="1" t="s">
        <v>79</v>
      </c>
      <c r="D5190" s="1" t="s">
        <v>19</v>
      </c>
      <c r="E5190" s="1" t="s">
        <v>88</v>
      </c>
      <c r="F5190">
        <v>1</v>
      </c>
      <c r="G5190" s="2">
        <v>46274</v>
      </c>
      <c r="H5190" s="2">
        <v>46281</v>
      </c>
      <c r="I5190">
        <v>259.19</v>
      </c>
      <c r="M5190" s="1" t="s">
        <v>69</v>
      </c>
      <c r="N5190" s="1" t="s">
        <v>22</v>
      </c>
      <c r="O5190" s="2"/>
      <c r="P5190" s="2"/>
      <c r="Q5190">
        <f>_xlfn.XLOOKUP(E5190,CPT!$A$2:$A$13,CPT!$D$2:$D$13)</f>
        <v>260</v>
      </c>
      <c r="R5190" s="1">
        <f>_xlfn.XLOOKUP(C5190,Contract!$A$2:$A$9,Contract!$B$2:$B$9)</f>
        <v>1</v>
      </c>
      <c r="S5190" s="1">
        <f t="shared" si="324"/>
        <v>260</v>
      </c>
      <c r="T5190" s="1" t="str">
        <f t="shared" si="325"/>
        <v/>
      </c>
      <c r="U5190" s="1" t="str">
        <f t="shared" si="326"/>
        <v/>
      </c>
      <c r="V5190" s="1" t="str">
        <f>_xlfn.XLOOKUP(C5190,Payers!$A$2:$A$9,Payers!$B$2:$B$9)</f>
        <v>Self-Pay</v>
      </c>
      <c r="W5190" s="1" t="str">
        <f t="shared" si="327"/>
        <v>2026-09</v>
      </c>
    </row>
    <row r="5191" spans="1:23">
      <c r="A5191" s="1" t="s">
        <v>7961</v>
      </c>
      <c r="B5191" s="1" t="s">
        <v>1463</v>
      </c>
      <c r="C5191" s="1" t="s">
        <v>18</v>
      </c>
      <c r="D5191" s="1" t="s">
        <v>30</v>
      </c>
      <c r="E5191" s="1" t="s">
        <v>20</v>
      </c>
      <c r="F5191">
        <v>1</v>
      </c>
      <c r="G5191" s="2">
        <v>46015</v>
      </c>
      <c r="H5191" s="2">
        <v>46020</v>
      </c>
      <c r="I5191">
        <v>145.91</v>
      </c>
      <c r="M5191" s="1" t="s">
        <v>32</v>
      </c>
      <c r="N5191" s="1" t="s">
        <v>49</v>
      </c>
      <c r="O5191" s="2">
        <v>46086</v>
      </c>
      <c r="P5191" s="2"/>
      <c r="Q5191">
        <f>_xlfn.XLOOKUP(E5191,CPT!$A$2:$A$13,CPT!$D$2:$D$13)</f>
        <v>145</v>
      </c>
      <c r="R5191" s="1">
        <f>_xlfn.XLOOKUP(C5191,Contract!$A$2:$A$9,Contract!$B$2:$B$9)</f>
        <v>0.38</v>
      </c>
      <c r="S5191" s="1">
        <f t="shared" si="324"/>
        <v>55.1</v>
      </c>
      <c r="T5191" s="1" t="str">
        <f t="shared" si="325"/>
        <v/>
      </c>
      <c r="U5191" s="1" t="str">
        <f t="shared" si="326"/>
        <v/>
      </c>
      <c r="V5191" s="1" t="str">
        <f>_xlfn.XLOOKUP(C5191,Payers!$A$2:$A$9,Payers!$B$2:$B$9)</f>
        <v>Sunshine Medicare Advantage</v>
      </c>
      <c r="W5191" s="1" t="str">
        <f t="shared" si="327"/>
        <v>2025-12</v>
      </c>
    </row>
    <row r="5192" spans="1:23">
      <c r="A5192" s="1" t="s">
        <v>7962</v>
      </c>
      <c r="B5192" s="1" t="s">
        <v>3366</v>
      </c>
      <c r="C5192" s="1" t="s">
        <v>47</v>
      </c>
      <c r="D5192" s="1" t="s">
        <v>30</v>
      </c>
      <c r="E5192" s="1" t="s">
        <v>31</v>
      </c>
      <c r="F5192">
        <v>1</v>
      </c>
      <c r="G5192" s="2">
        <v>46060</v>
      </c>
      <c r="H5192" s="2">
        <v>46062</v>
      </c>
      <c r="I5192">
        <v>60.24</v>
      </c>
      <c r="J5192">
        <v>17.68</v>
      </c>
      <c r="K5192">
        <v>14.14</v>
      </c>
      <c r="L5192">
        <v>3.54</v>
      </c>
      <c r="M5192" s="1" t="s">
        <v>21</v>
      </c>
      <c r="N5192" s="1" t="s">
        <v>22</v>
      </c>
      <c r="O5192" s="2">
        <v>46126</v>
      </c>
      <c r="P5192" s="2">
        <v>46126</v>
      </c>
      <c r="Q5192">
        <f>_xlfn.XLOOKUP(E5192,CPT!$A$2:$A$13,CPT!$D$2:$D$13)</f>
        <v>62</v>
      </c>
      <c r="R5192" s="1">
        <f>_xlfn.XLOOKUP(C5192,Contract!$A$2:$A$9,Contract!$B$2:$B$9)</f>
        <v>0.28000000000000003</v>
      </c>
      <c r="S5192" s="1">
        <f t="shared" si="324"/>
        <v>17.36</v>
      </c>
      <c r="T5192" s="1">
        <f t="shared" si="325"/>
        <v>-0.32000000000000028</v>
      </c>
      <c r="U5192" s="1" t="str">
        <f t="shared" si="326"/>
        <v>OK</v>
      </c>
      <c r="V5192" s="1" t="str">
        <f>_xlfn.XLOOKUP(C5192,Payers!$A$2:$A$9,Payers!$B$2:$B$9)</f>
        <v>Coastal Medicaid MCO</v>
      </c>
      <c r="W5192" s="1" t="str">
        <f t="shared" si="327"/>
        <v>2026-02</v>
      </c>
    </row>
    <row r="5193" spans="1:23">
      <c r="A5193" s="1" t="s">
        <v>7963</v>
      </c>
      <c r="B5193" s="1" t="s">
        <v>7964</v>
      </c>
      <c r="C5193" s="1" t="s">
        <v>76</v>
      </c>
      <c r="D5193" s="1" t="s">
        <v>19</v>
      </c>
      <c r="E5193" s="1" t="s">
        <v>57</v>
      </c>
      <c r="F5193">
        <v>1</v>
      </c>
      <c r="G5193" s="2">
        <v>46044</v>
      </c>
      <c r="H5193" s="2">
        <v>46047</v>
      </c>
      <c r="I5193">
        <v>211.62</v>
      </c>
      <c r="J5193">
        <v>80.790000000000006</v>
      </c>
      <c r="K5193">
        <v>72.709999999999994</v>
      </c>
      <c r="L5193">
        <v>8.08</v>
      </c>
      <c r="M5193" s="1" t="s">
        <v>21</v>
      </c>
      <c r="N5193" s="1" t="s">
        <v>22</v>
      </c>
      <c r="O5193" s="2">
        <v>46082</v>
      </c>
      <c r="P5193" s="2">
        <v>46082</v>
      </c>
      <c r="Q5193">
        <f>_xlfn.XLOOKUP(E5193,CPT!$A$2:$A$13,CPT!$D$2:$D$13)</f>
        <v>210</v>
      </c>
      <c r="R5193" s="1">
        <f>_xlfn.XLOOKUP(C5193,Contract!$A$2:$A$9,Contract!$B$2:$B$9)</f>
        <v>0.43</v>
      </c>
      <c r="S5193" s="1">
        <f t="shared" si="324"/>
        <v>90.3</v>
      </c>
      <c r="T5193" s="1">
        <f t="shared" si="325"/>
        <v>9.5099999999999909</v>
      </c>
      <c r="U5193" s="1" t="str">
        <f t="shared" si="326"/>
        <v>Underpaid</v>
      </c>
      <c r="V5193" s="1" t="str">
        <f>_xlfn.XLOOKUP(C5193,Payers!$A$2:$A$9,Payers!$B$2:$B$9)</f>
        <v>Summit Health Commercial</v>
      </c>
      <c r="W5193" s="1" t="str">
        <f t="shared" si="327"/>
        <v>2026-01</v>
      </c>
    </row>
    <row r="5194" spans="1:23">
      <c r="A5194" s="1" t="s">
        <v>7965</v>
      </c>
      <c r="B5194" s="1" t="s">
        <v>715</v>
      </c>
      <c r="C5194" s="1" t="s">
        <v>76</v>
      </c>
      <c r="D5194" s="1" t="s">
        <v>30</v>
      </c>
      <c r="E5194" s="1" t="s">
        <v>31</v>
      </c>
      <c r="F5194">
        <v>1</v>
      </c>
      <c r="G5194" s="2">
        <v>46131</v>
      </c>
      <c r="H5194" s="2">
        <v>46134</v>
      </c>
      <c r="I5194">
        <v>60.45</v>
      </c>
      <c r="M5194" s="1" t="s">
        <v>32</v>
      </c>
      <c r="N5194" s="1" t="s">
        <v>168</v>
      </c>
      <c r="O5194" s="2">
        <v>46168</v>
      </c>
      <c r="P5194" s="2"/>
      <c r="Q5194">
        <f>_xlfn.XLOOKUP(E5194,CPT!$A$2:$A$13,CPT!$D$2:$D$13)</f>
        <v>62</v>
      </c>
      <c r="R5194" s="1">
        <f>_xlfn.XLOOKUP(C5194,Contract!$A$2:$A$9,Contract!$B$2:$B$9)</f>
        <v>0.43</v>
      </c>
      <c r="S5194" s="1">
        <f t="shared" si="324"/>
        <v>26.66</v>
      </c>
      <c r="T5194" s="1" t="str">
        <f t="shared" si="325"/>
        <v/>
      </c>
      <c r="U5194" s="1" t="str">
        <f t="shared" si="326"/>
        <v/>
      </c>
      <c r="V5194" s="1" t="str">
        <f>_xlfn.XLOOKUP(C5194,Payers!$A$2:$A$9,Payers!$B$2:$B$9)</f>
        <v>Summit Health Commercial</v>
      </c>
      <c r="W5194" s="1" t="str">
        <f t="shared" si="327"/>
        <v>2026-04</v>
      </c>
    </row>
    <row r="5195" spans="1:23">
      <c r="A5195" s="1" t="s">
        <v>7966</v>
      </c>
      <c r="B5195" s="1" t="s">
        <v>2021</v>
      </c>
      <c r="C5195" s="1" t="s">
        <v>60</v>
      </c>
      <c r="D5195" s="1" t="s">
        <v>19</v>
      </c>
      <c r="E5195" s="1" t="s">
        <v>41</v>
      </c>
      <c r="F5195">
        <v>1</v>
      </c>
      <c r="G5195" s="2">
        <v>45967</v>
      </c>
      <c r="H5195" s="2">
        <v>45968</v>
      </c>
      <c r="I5195">
        <v>38.85</v>
      </c>
      <c r="J5195">
        <v>16.100000000000001</v>
      </c>
      <c r="K5195">
        <v>16.100000000000001</v>
      </c>
      <c r="L5195">
        <v>0</v>
      </c>
      <c r="M5195" s="1" t="s">
        <v>21</v>
      </c>
      <c r="N5195" s="1" t="s">
        <v>22</v>
      </c>
      <c r="O5195" s="2">
        <v>45999</v>
      </c>
      <c r="P5195" s="2">
        <v>45999</v>
      </c>
      <c r="Q5195">
        <f>_xlfn.XLOOKUP(E5195,CPT!$A$2:$A$13,CPT!$D$2:$D$13)</f>
        <v>38</v>
      </c>
      <c r="R5195" s="1">
        <f>_xlfn.XLOOKUP(C5195,Contract!$A$2:$A$9,Contract!$B$2:$B$9)</f>
        <v>0.45</v>
      </c>
      <c r="S5195" s="1">
        <f t="shared" si="324"/>
        <v>17.100000000000001</v>
      </c>
      <c r="T5195" s="1">
        <f t="shared" si="325"/>
        <v>1</v>
      </c>
      <c r="U5195" s="1" t="str">
        <f t="shared" si="326"/>
        <v>Underpaid</v>
      </c>
      <c r="V5195" s="1" t="str">
        <f>_xlfn.XLOOKUP(C5195,Payers!$A$2:$A$9,Payers!$B$2:$B$9)</f>
        <v>Blue Horizon Commercial</v>
      </c>
      <c r="W5195" s="1" t="str">
        <f t="shared" si="327"/>
        <v>2025-11</v>
      </c>
    </row>
    <row r="5196" spans="1:23">
      <c r="A5196" s="1" t="s">
        <v>7967</v>
      </c>
      <c r="B5196" s="1" t="s">
        <v>2141</v>
      </c>
      <c r="C5196" s="1" t="s">
        <v>47</v>
      </c>
      <c r="D5196" s="1" t="s">
        <v>26</v>
      </c>
      <c r="E5196" s="1" t="s">
        <v>113</v>
      </c>
      <c r="F5196">
        <v>1</v>
      </c>
      <c r="G5196" s="2">
        <v>46129</v>
      </c>
      <c r="H5196" s="2">
        <v>46130</v>
      </c>
      <c r="I5196">
        <v>1079.72</v>
      </c>
      <c r="J5196">
        <v>327.05</v>
      </c>
      <c r="K5196">
        <v>261.64</v>
      </c>
      <c r="L5196">
        <v>65.41</v>
      </c>
      <c r="M5196" s="1" t="s">
        <v>21</v>
      </c>
      <c r="N5196" s="1" t="s">
        <v>22</v>
      </c>
      <c r="O5196" s="2">
        <v>46198</v>
      </c>
      <c r="P5196" s="2">
        <v>46198</v>
      </c>
      <c r="Q5196">
        <f>_xlfn.XLOOKUP(E5196,CPT!$A$2:$A$13,CPT!$D$2:$D$13)</f>
        <v>1050</v>
      </c>
      <c r="R5196" s="1">
        <f>_xlfn.XLOOKUP(C5196,Contract!$A$2:$A$9,Contract!$B$2:$B$9)</f>
        <v>0.28000000000000003</v>
      </c>
      <c r="S5196" s="1">
        <f t="shared" si="324"/>
        <v>294</v>
      </c>
      <c r="T5196" s="1">
        <f t="shared" si="325"/>
        <v>-33.050000000000011</v>
      </c>
      <c r="U5196" s="1" t="str">
        <f t="shared" si="326"/>
        <v>OK</v>
      </c>
      <c r="V5196" s="1" t="str">
        <f>_xlfn.XLOOKUP(C5196,Payers!$A$2:$A$9,Payers!$B$2:$B$9)</f>
        <v>Coastal Medicaid MCO</v>
      </c>
      <c r="W5196" s="1" t="str">
        <f t="shared" si="327"/>
        <v>2026-04</v>
      </c>
    </row>
    <row r="5197" spans="1:23">
      <c r="A5197" s="1" t="s">
        <v>7968</v>
      </c>
      <c r="B5197" s="1" t="s">
        <v>2132</v>
      </c>
      <c r="C5197" s="1" t="s">
        <v>76</v>
      </c>
      <c r="D5197" s="1" t="s">
        <v>19</v>
      </c>
      <c r="E5197" s="1" t="s">
        <v>41</v>
      </c>
      <c r="F5197">
        <v>1</v>
      </c>
      <c r="G5197" s="2">
        <v>46123</v>
      </c>
      <c r="H5197" s="2">
        <v>46129</v>
      </c>
      <c r="I5197">
        <v>37.729999999999997</v>
      </c>
      <c r="J5197">
        <v>16.09</v>
      </c>
      <c r="K5197">
        <v>12.87</v>
      </c>
      <c r="L5197">
        <v>3.22</v>
      </c>
      <c r="M5197" s="1" t="s">
        <v>21</v>
      </c>
      <c r="N5197" s="1" t="s">
        <v>22</v>
      </c>
      <c r="O5197" s="2">
        <v>46179</v>
      </c>
      <c r="P5197" s="2">
        <v>46179</v>
      </c>
      <c r="Q5197">
        <f>_xlfn.XLOOKUP(E5197,CPT!$A$2:$A$13,CPT!$D$2:$D$13)</f>
        <v>38</v>
      </c>
      <c r="R5197" s="1">
        <f>_xlfn.XLOOKUP(C5197,Contract!$A$2:$A$9,Contract!$B$2:$B$9)</f>
        <v>0.43</v>
      </c>
      <c r="S5197" s="1">
        <f t="shared" si="324"/>
        <v>16.34</v>
      </c>
      <c r="T5197" s="1">
        <f t="shared" si="325"/>
        <v>0.25</v>
      </c>
      <c r="U5197" s="1" t="str">
        <f t="shared" si="326"/>
        <v>OK</v>
      </c>
      <c r="V5197" s="1" t="str">
        <f>_xlfn.XLOOKUP(C5197,Payers!$A$2:$A$9,Payers!$B$2:$B$9)</f>
        <v>Summit Health Commercial</v>
      </c>
      <c r="W5197" s="1" t="str">
        <f t="shared" si="327"/>
        <v>2026-04</v>
      </c>
    </row>
    <row r="5198" spans="1:23">
      <c r="A5198" s="1" t="s">
        <v>7969</v>
      </c>
      <c r="B5198" s="1" t="s">
        <v>896</v>
      </c>
      <c r="C5198" s="1" t="s">
        <v>18</v>
      </c>
      <c r="D5198" s="1" t="s">
        <v>26</v>
      </c>
      <c r="E5198" s="1" t="s">
        <v>44</v>
      </c>
      <c r="F5198">
        <v>1</v>
      </c>
      <c r="G5198" s="2">
        <v>46062</v>
      </c>
      <c r="H5198" s="2">
        <v>46065</v>
      </c>
      <c r="I5198">
        <v>4704.6400000000003</v>
      </c>
      <c r="J5198">
        <v>1559.98</v>
      </c>
      <c r="K5198">
        <v>1247.98</v>
      </c>
      <c r="L5198">
        <v>312</v>
      </c>
      <c r="M5198" s="1" t="s">
        <v>21</v>
      </c>
      <c r="N5198" s="1" t="s">
        <v>22</v>
      </c>
      <c r="O5198" s="2">
        <v>46130</v>
      </c>
      <c r="P5198" s="2">
        <v>46130</v>
      </c>
      <c r="Q5198">
        <f>_xlfn.XLOOKUP(E5198,CPT!$A$2:$A$13,CPT!$D$2:$D$13)</f>
        <v>4800</v>
      </c>
      <c r="R5198" s="1">
        <f>_xlfn.XLOOKUP(C5198,Contract!$A$2:$A$9,Contract!$B$2:$B$9)</f>
        <v>0.38</v>
      </c>
      <c r="S5198" s="1">
        <f t="shared" si="324"/>
        <v>1824</v>
      </c>
      <c r="T5198" s="1">
        <f t="shared" si="325"/>
        <v>264.02</v>
      </c>
      <c r="U5198" s="1" t="str">
        <f t="shared" si="326"/>
        <v>Underpaid</v>
      </c>
      <c r="V5198" s="1" t="str">
        <f>_xlfn.XLOOKUP(C5198,Payers!$A$2:$A$9,Payers!$B$2:$B$9)</f>
        <v>Sunshine Medicare Advantage</v>
      </c>
      <c r="W5198" s="1" t="str">
        <f t="shared" si="327"/>
        <v>2026-02</v>
      </c>
    </row>
    <row r="5199" spans="1:23">
      <c r="A5199" s="1" t="s">
        <v>7970</v>
      </c>
      <c r="B5199" s="1" t="s">
        <v>1108</v>
      </c>
      <c r="C5199" s="1" t="s">
        <v>60</v>
      </c>
      <c r="D5199" s="1" t="s">
        <v>30</v>
      </c>
      <c r="E5199" s="1" t="s">
        <v>31</v>
      </c>
      <c r="F5199">
        <v>1</v>
      </c>
      <c r="G5199" s="2">
        <v>46189</v>
      </c>
      <c r="H5199" s="2">
        <v>46190</v>
      </c>
      <c r="I5199">
        <v>61.73</v>
      </c>
      <c r="J5199">
        <v>28.75</v>
      </c>
      <c r="K5199">
        <v>23</v>
      </c>
      <c r="L5199">
        <v>5.75</v>
      </c>
      <c r="M5199" s="1" t="s">
        <v>21</v>
      </c>
      <c r="N5199" s="1" t="s">
        <v>22</v>
      </c>
      <c r="O5199" s="2">
        <v>46207</v>
      </c>
      <c r="P5199" s="2">
        <v>46207</v>
      </c>
      <c r="Q5199">
        <f>_xlfn.XLOOKUP(E5199,CPT!$A$2:$A$13,CPT!$D$2:$D$13)</f>
        <v>62</v>
      </c>
      <c r="R5199" s="1">
        <f>_xlfn.XLOOKUP(C5199,Contract!$A$2:$A$9,Contract!$B$2:$B$9)</f>
        <v>0.45</v>
      </c>
      <c r="S5199" s="1">
        <f t="shared" si="324"/>
        <v>27.9</v>
      </c>
      <c r="T5199" s="1">
        <f t="shared" si="325"/>
        <v>-0.85000000000000142</v>
      </c>
      <c r="U5199" s="1" t="str">
        <f t="shared" si="326"/>
        <v>OK</v>
      </c>
      <c r="V5199" s="1" t="str">
        <f>_xlfn.XLOOKUP(C5199,Payers!$A$2:$A$9,Payers!$B$2:$B$9)</f>
        <v>Blue Horizon Commercial</v>
      </c>
      <c r="W5199" s="1" t="str">
        <f t="shared" si="327"/>
        <v>2026-06</v>
      </c>
    </row>
    <row r="5200" spans="1:23">
      <c r="A5200" s="1" t="s">
        <v>7971</v>
      </c>
      <c r="B5200" s="1" t="s">
        <v>7972</v>
      </c>
      <c r="C5200" s="1" t="s">
        <v>25</v>
      </c>
      <c r="D5200" s="1" t="s">
        <v>19</v>
      </c>
      <c r="E5200" s="1" t="s">
        <v>88</v>
      </c>
      <c r="F5200">
        <v>1</v>
      </c>
      <c r="G5200" s="2">
        <v>46189</v>
      </c>
      <c r="H5200" s="2">
        <v>46191</v>
      </c>
      <c r="I5200">
        <v>253.34</v>
      </c>
      <c r="J5200">
        <v>88.57</v>
      </c>
      <c r="K5200">
        <v>70.86</v>
      </c>
      <c r="L5200">
        <v>17.71</v>
      </c>
      <c r="M5200" s="1" t="s">
        <v>21</v>
      </c>
      <c r="N5200" s="1" t="s">
        <v>22</v>
      </c>
      <c r="O5200" s="2">
        <v>46205</v>
      </c>
      <c r="P5200" s="2">
        <v>46205</v>
      </c>
      <c r="Q5200">
        <f>_xlfn.XLOOKUP(E5200,CPT!$A$2:$A$13,CPT!$D$2:$D$13)</f>
        <v>260</v>
      </c>
      <c r="R5200" s="1">
        <f>_xlfn.XLOOKUP(C5200,Contract!$A$2:$A$9,Contract!$B$2:$B$9)</f>
        <v>0.36</v>
      </c>
      <c r="S5200" s="1">
        <f t="shared" si="324"/>
        <v>93.6</v>
      </c>
      <c r="T5200" s="1">
        <f t="shared" si="325"/>
        <v>5.0300000000000011</v>
      </c>
      <c r="U5200" s="1" t="str">
        <f t="shared" si="326"/>
        <v>Underpaid</v>
      </c>
      <c r="V5200" s="1" t="str">
        <f>_xlfn.XLOOKUP(C5200,Payers!$A$2:$A$9,Payers!$B$2:$B$9)</f>
        <v>Medicare Part B</v>
      </c>
      <c r="W5200" s="1" t="str">
        <f t="shared" si="327"/>
        <v>2026-06</v>
      </c>
    </row>
    <row r="5201" spans="1:23">
      <c r="A5201" s="1" t="s">
        <v>7973</v>
      </c>
      <c r="B5201" s="1" t="s">
        <v>4063</v>
      </c>
      <c r="C5201" s="1" t="s">
        <v>18</v>
      </c>
      <c r="D5201" s="1" t="s">
        <v>19</v>
      </c>
      <c r="E5201" s="1" t="s">
        <v>20</v>
      </c>
      <c r="F5201">
        <v>1</v>
      </c>
      <c r="G5201" s="2">
        <v>46081</v>
      </c>
      <c r="H5201" s="2">
        <v>46085</v>
      </c>
      <c r="I5201">
        <v>148.59</v>
      </c>
      <c r="J5201">
        <v>65.400000000000006</v>
      </c>
      <c r="K5201">
        <v>65.400000000000006</v>
      </c>
      <c r="L5201">
        <v>0</v>
      </c>
      <c r="M5201" s="1" t="s">
        <v>21</v>
      </c>
      <c r="N5201" s="1" t="s">
        <v>22</v>
      </c>
      <c r="O5201" s="2">
        <v>46133</v>
      </c>
      <c r="P5201" s="2">
        <v>46133</v>
      </c>
      <c r="Q5201">
        <f>_xlfn.XLOOKUP(E5201,CPT!$A$2:$A$13,CPT!$D$2:$D$13)</f>
        <v>145</v>
      </c>
      <c r="R5201" s="1">
        <f>_xlfn.XLOOKUP(C5201,Contract!$A$2:$A$9,Contract!$B$2:$B$9)</f>
        <v>0.38</v>
      </c>
      <c r="S5201" s="1">
        <f t="shared" si="324"/>
        <v>55.1</v>
      </c>
      <c r="T5201" s="1">
        <f t="shared" si="325"/>
        <v>-10.300000000000004</v>
      </c>
      <c r="U5201" s="1" t="str">
        <f t="shared" si="326"/>
        <v>OK</v>
      </c>
      <c r="V5201" s="1" t="str">
        <f>_xlfn.XLOOKUP(C5201,Payers!$A$2:$A$9,Payers!$B$2:$B$9)</f>
        <v>Sunshine Medicare Advantage</v>
      </c>
      <c r="W5201" s="1" t="str">
        <f t="shared" si="327"/>
        <v>2026-02</v>
      </c>
    </row>
    <row r="5202" spans="1:23">
      <c r="A5202" s="1" t="s">
        <v>7974</v>
      </c>
      <c r="B5202" s="1" t="s">
        <v>7975</v>
      </c>
      <c r="C5202" s="1" t="s">
        <v>52</v>
      </c>
      <c r="D5202" s="1" t="s">
        <v>37</v>
      </c>
      <c r="E5202" s="1" t="s">
        <v>48</v>
      </c>
      <c r="F5202">
        <v>1</v>
      </c>
      <c r="G5202" s="2">
        <v>46067</v>
      </c>
      <c r="H5202" s="2">
        <v>46068</v>
      </c>
      <c r="I5202">
        <v>420.52</v>
      </c>
      <c r="J5202">
        <v>184.84</v>
      </c>
      <c r="K5202">
        <v>166.36</v>
      </c>
      <c r="L5202">
        <v>18.48</v>
      </c>
      <c r="M5202" s="1" t="s">
        <v>21</v>
      </c>
      <c r="N5202" s="1" t="s">
        <v>22</v>
      </c>
      <c r="O5202" s="2">
        <v>46141</v>
      </c>
      <c r="P5202" s="2">
        <v>46141</v>
      </c>
      <c r="Q5202">
        <f>_xlfn.XLOOKUP(E5202,CPT!$A$2:$A$13,CPT!$D$2:$D$13)</f>
        <v>420</v>
      </c>
      <c r="R5202" s="1">
        <f>_xlfn.XLOOKUP(C5202,Contract!$A$2:$A$9,Contract!$B$2:$B$9)</f>
        <v>0.47</v>
      </c>
      <c r="S5202" s="1">
        <f t="shared" si="324"/>
        <v>197.4</v>
      </c>
      <c r="T5202" s="1">
        <f t="shared" si="325"/>
        <v>12.560000000000002</v>
      </c>
      <c r="U5202" s="1" t="str">
        <f t="shared" si="326"/>
        <v>Underpaid</v>
      </c>
      <c r="V5202" s="1" t="str">
        <f>_xlfn.XLOOKUP(C5202,Payers!$A$2:$A$9,Payers!$B$2:$B$9)</f>
        <v>Keystone Commercial PPO</v>
      </c>
      <c r="W5202" s="1" t="str">
        <f t="shared" si="327"/>
        <v>2026-02</v>
      </c>
    </row>
    <row r="5203" spans="1:23">
      <c r="A5203" s="1" t="s">
        <v>7976</v>
      </c>
      <c r="B5203" s="1" t="s">
        <v>4055</v>
      </c>
      <c r="C5203" s="1" t="s">
        <v>47</v>
      </c>
      <c r="D5203" s="1" t="s">
        <v>19</v>
      </c>
      <c r="E5203" s="1" t="s">
        <v>41</v>
      </c>
      <c r="F5203">
        <v>1</v>
      </c>
      <c r="G5203" s="2">
        <v>45966</v>
      </c>
      <c r="H5203" s="2">
        <v>45967</v>
      </c>
      <c r="I5203">
        <v>38.979999999999997</v>
      </c>
      <c r="M5203" s="1" t="s">
        <v>32</v>
      </c>
      <c r="N5203" s="1" t="s">
        <v>124</v>
      </c>
      <c r="O5203" s="2">
        <v>46047</v>
      </c>
      <c r="P5203" s="2"/>
      <c r="Q5203">
        <f>_xlfn.XLOOKUP(E5203,CPT!$A$2:$A$13,CPT!$D$2:$D$13)</f>
        <v>38</v>
      </c>
      <c r="R5203" s="1">
        <f>_xlfn.XLOOKUP(C5203,Contract!$A$2:$A$9,Contract!$B$2:$B$9)</f>
        <v>0.28000000000000003</v>
      </c>
      <c r="S5203" s="1">
        <f t="shared" si="324"/>
        <v>10.64</v>
      </c>
      <c r="T5203" s="1" t="str">
        <f t="shared" si="325"/>
        <v/>
      </c>
      <c r="U5203" s="1" t="str">
        <f t="shared" si="326"/>
        <v/>
      </c>
      <c r="V5203" s="1" t="str">
        <f>_xlfn.XLOOKUP(C5203,Payers!$A$2:$A$9,Payers!$B$2:$B$9)</f>
        <v>Coastal Medicaid MCO</v>
      </c>
      <c r="W5203" s="1" t="str">
        <f t="shared" si="327"/>
        <v>2025-11</v>
      </c>
    </row>
    <row r="5204" spans="1:23">
      <c r="A5204" s="1" t="s">
        <v>7977</v>
      </c>
      <c r="B5204" s="1" t="s">
        <v>3772</v>
      </c>
      <c r="C5204" s="1" t="s">
        <v>52</v>
      </c>
      <c r="D5204" s="1" t="s">
        <v>19</v>
      </c>
      <c r="E5204" s="1" t="s">
        <v>88</v>
      </c>
      <c r="F5204">
        <v>1</v>
      </c>
      <c r="G5204" s="2">
        <v>46178</v>
      </c>
      <c r="H5204" s="2">
        <v>46181</v>
      </c>
      <c r="I5204">
        <v>252.32</v>
      </c>
      <c r="J5204">
        <v>137.72999999999999</v>
      </c>
      <c r="K5204">
        <v>137.72999999999999</v>
      </c>
      <c r="L5204">
        <v>0</v>
      </c>
      <c r="M5204" s="1" t="s">
        <v>21</v>
      </c>
      <c r="N5204" s="1" t="s">
        <v>22</v>
      </c>
      <c r="O5204" s="2">
        <v>46250</v>
      </c>
      <c r="P5204" s="2">
        <v>46250</v>
      </c>
      <c r="Q5204">
        <f>_xlfn.XLOOKUP(E5204,CPT!$A$2:$A$13,CPT!$D$2:$D$13)</f>
        <v>260</v>
      </c>
      <c r="R5204" s="1">
        <f>_xlfn.XLOOKUP(C5204,Contract!$A$2:$A$9,Contract!$B$2:$B$9)</f>
        <v>0.47</v>
      </c>
      <c r="S5204" s="1">
        <f t="shared" si="324"/>
        <v>122.2</v>
      </c>
      <c r="T5204" s="1">
        <f t="shared" si="325"/>
        <v>-15.529999999999987</v>
      </c>
      <c r="U5204" s="1" t="str">
        <f t="shared" si="326"/>
        <v>OK</v>
      </c>
      <c r="V5204" s="1" t="str">
        <f>_xlfn.XLOOKUP(C5204,Payers!$A$2:$A$9,Payers!$B$2:$B$9)</f>
        <v>Keystone Commercial PPO</v>
      </c>
      <c r="W5204" s="1" t="str">
        <f t="shared" si="327"/>
        <v>2026-06</v>
      </c>
    </row>
    <row r="5205" spans="1:23">
      <c r="A5205" s="1" t="s">
        <v>7978</v>
      </c>
      <c r="B5205" s="1" t="s">
        <v>6761</v>
      </c>
      <c r="C5205" s="1" t="s">
        <v>60</v>
      </c>
      <c r="D5205" s="1" t="s">
        <v>26</v>
      </c>
      <c r="E5205" s="1" t="s">
        <v>113</v>
      </c>
      <c r="F5205">
        <v>1</v>
      </c>
      <c r="G5205" s="2">
        <v>45946</v>
      </c>
      <c r="H5205" s="2">
        <v>45952</v>
      </c>
      <c r="I5205">
        <v>1043.7</v>
      </c>
      <c r="J5205">
        <v>407.15</v>
      </c>
      <c r="K5205">
        <v>325.72000000000003</v>
      </c>
      <c r="L5205">
        <v>81.430000000000007</v>
      </c>
      <c r="M5205" s="1" t="s">
        <v>21</v>
      </c>
      <c r="N5205" s="1" t="s">
        <v>22</v>
      </c>
      <c r="O5205" s="2">
        <v>45971</v>
      </c>
      <c r="P5205" s="2">
        <v>45971</v>
      </c>
      <c r="Q5205">
        <f>_xlfn.XLOOKUP(E5205,CPT!$A$2:$A$13,CPT!$D$2:$D$13)</f>
        <v>1050</v>
      </c>
      <c r="R5205" s="1">
        <f>_xlfn.XLOOKUP(C5205,Contract!$A$2:$A$9,Contract!$B$2:$B$9)</f>
        <v>0.45</v>
      </c>
      <c r="S5205" s="1">
        <f t="shared" si="324"/>
        <v>472.5</v>
      </c>
      <c r="T5205" s="1">
        <f t="shared" si="325"/>
        <v>65.350000000000023</v>
      </c>
      <c r="U5205" s="1" t="str">
        <f t="shared" si="326"/>
        <v>Underpaid</v>
      </c>
      <c r="V5205" s="1" t="str">
        <f>_xlfn.XLOOKUP(C5205,Payers!$A$2:$A$9,Payers!$B$2:$B$9)</f>
        <v>Blue Horizon Commercial</v>
      </c>
      <c r="W5205" s="1" t="str">
        <f t="shared" si="327"/>
        <v>2025-10</v>
      </c>
    </row>
    <row r="5206" spans="1:23">
      <c r="A5206" s="1" t="s">
        <v>7979</v>
      </c>
      <c r="B5206" s="1" t="s">
        <v>7980</v>
      </c>
      <c r="C5206" s="1" t="s">
        <v>18</v>
      </c>
      <c r="D5206" s="1" t="s">
        <v>19</v>
      </c>
      <c r="E5206" s="1" t="s">
        <v>41</v>
      </c>
      <c r="F5206">
        <v>1</v>
      </c>
      <c r="G5206" s="2">
        <v>46034</v>
      </c>
      <c r="H5206" s="2">
        <v>46042</v>
      </c>
      <c r="I5206">
        <v>37.61</v>
      </c>
      <c r="J5206">
        <v>16.32</v>
      </c>
      <c r="K5206">
        <v>14.69</v>
      </c>
      <c r="L5206">
        <v>1.63</v>
      </c>
      <c r="M5206" s="1" t="s">
        <v>21</v>
      </c>
      <c r="N5206" s="1" t="s">
        <v>22</v>
      </c>
      <c r="O5206" s="2">
        <v>46117</v>
      </c>
      <c r="P5206" s="2">
        <v>46117</v>
      </c>
      <c r="Q5206">
        <f>_xlfn.XLOOKUP(E5206,CPT!$A$2:$A$13,CPT!$D$2:$D$13)</f>
        <v>38</v>
      </c>
      <c r="R5206" s="1">
        <f>_xlfn.XLOOKUP(C5206,Contract!$A$2:$A$9,Contract!$B$2:$B$9)</f>
        <v>0.38</v>
      </c>
      <c r="S5206" s="1">
        <f t="shared" si="324"/>
        <v>14.44</v>
      </c>
      <c r="T5206" s="1">
        <f t="shared" si="325"/>
        <v>-1.8800000000000008</v>
      </c>
      <c r="U5206" s="1" t="str">
        <f t="shared" si="326"/>
        <v>OK</v>
      </c>
      <c r="V5206" s="1" t="str">
        <f>_xlfn.XLOOKUP(C5206,Payers!$A$2:$A$9,Payers!$B$2:$B$9)</f>
        <v>Sunshine Medicare Advantage</v>
      </c>
      <c r="W5206" s="1" t="str">
        <f t="shared" si="327"/>
        <v>2026-01</v>
      </c>
    </row>
    <row r="5207" spans="1:23">
      <c r="A5207" s="1" t="s">
        <v>7981</v>
      </c>
      <c r="B5207" s="1" t="s">
        <v>3088</v>
      </c>
      <c r="C5207" s="1" t="s">
        <v>60</v>
      </c>
      <c r="D5207" s="1" t="s">
        <v>19</v>
      </c>
      <c r="E5207" s="1" t="s">
        <v>41</v>
      </c>
      <c r="F5207">
        <v>1</v>
      </c>
      <c r="G5207" s="2">
        <v>46213</v>
      </c>
      <c r="H5207" s="2">
        <v>46217</v>
      </c>
      <c r="I5207">
        <v>37.67</v>
      </c>
      <c r="J5207">
        <v>15.84</v>
      </c>
      <c r="K5207">
        <v>15.84</v>
      </c>
      <c r="L5207">
        <v>0</v>
      </c>
      <c r="M5207" s="1" t="s">
        <v>21</v>
      </c>
      <c r="N5207" s="1" t="s">
        <v>22</v>
      </c>
      <c r="O5207" s="2">
        <v>46265</v>
      </c>
      <c r="P5207" s="2">
        <v>46265</v>
      </c>
      <c r="Q5207">
        <f>_xlfn.XLOOKUP(E5207,CPT!$A$2:$A$13,CPT!$D$2:$D$13)</f>
        <v>38</v>
      </c>
      <c r="R5207" s="1">
        <f>_xlfn.XLOOKUP(C5207,Contract!$A$2:$A$9,Contract!$B$2:$B$9)</f>
        <v>0.45</v>
      </c>
      <c r="S5207" s="1">
        <f t="shared" si="324"/>
        <v>17.100000000000001</v>
      </c>
      <c r="T5207" s="1">
        <f t="shared" si="325"/>
        <v>1.2600000000000016</v>
      </c>
      <c r="U5207" s="1" t="str">
        <f t="shared" si="326"/>
        <v>Underpaid</v>
      </c>
      <c r="V5207" s="1" t="str">
        <f>_xlfn.XLOOKUP(C5207,Payers!$A$2:$A$9,Payers!$B$2:$B$9)</f>
        <v>Blue Horizon Commercial</v>
      </c>
      <c r="W5207" s="1" t="str">
        <f t="shared" si="327"/>
        <v>2026-07</v>
      </c>
    </row>
    <row r="5208" spans="1:23">
      <c r="A5208" s="1" t="s">
        <v>7982</v>
      </c>
      <c r="B5208" s="1" t="s">
        <v>766</v>
      </c>
      <c r="C5208" s="1" t="s">
        <v>76</v>
      </c>
      <c r="D5208" s="1" t="s">
        <v>30</v>
      </c>
      <c r="E5208" s="1" t="s">
        <v>31</v>
      </c>
      <c r="F5208">
        <v>1</v>
      </c>
      <c r="G5208" s="2">
        <v>46092</v>
      </c>
      <c r="H5208" s="2">
        <v>46104</v>
      </c>
      <c r="I5208">
        <v>62.92</v>
      </c>
      <c r="J5208">
        <v>29.11</v>
      </c>
      <c r="K5208">
        <v>29.11</v>
      </c>
      <c r="L5208">
        <v>0</v>
      </c>
      <c r="M5208" s="1" t="s">
        <v>21</v>
      </c>
      <c r="N5208" s="1" t="s">
        <v>22</v>
      </c>
      <c r="O5208" s="2">
        <v>46148</v>
      </c>
      <c r="P5208" s="2">
        <v>46148</v>
      </c>
      <c r="Q5208">
        <f>_xlfn.XLOOKUP(E5208,CPT!$A$2:$A$13,CPT!$D$2:$D$13)</f>
        <v>62</v>
      </c>
      <c r="R5208" s="1">
        <f>_xlfn.XLOOKUP(C5208,Contract!$A$2:$A$9,Contract!$B$2:$B$9)</f>
        <v>0.43</v>
      </c>
      <c r="S5208" s="1">
        <f t="shared" si="324"/>
        <v>26.66</v>
      </c>
      <c r="T5208" s="1">
        <f t="shared" si="325"/>
        <v>-2.4499999999999993</v>
      </c>
      <c r="U5208" s="1" t="str">
        <f t="shared" si="326"/>
        <v>OK</v>
      </c>
      <c r="V5208" s="1" t="str">
        <f>_xlfn.XLOOKUP(C5208,Payers!$A$2:$A$9,Payers!$B$2:$B$9)</f>
        <v>Summit Health Commercial</v>
      </c>
      <c r="W5208" s="1" t="str">
        <f t="shared" si="327"/>
        <v>2026-03</v>
      </c>
    </row>
    <row r="5209" spans="1:23">
      <c r="A5209" s="1" t="s">
        <v>7983</v>
      </c>
      <c r="B5209" s="1" t="s">
        <v>1131</v>
      </c>
      <c r="C5209" s="1" t="s">
        <v>25</v>
      </c>
      <c r="D5209" s="1" t="s">
        <v>26</v>
      </c>
      <c r="E5209" s="1" t="s">
        <v>57</v>
      </c>
      <c r="F5209">
        <v>1</v>
      </c>
      <c r="G5209" s="2">
        <v>46039</v>
      </c>
      <c r="H5209" s="2">
        <v>46052</v>
      </c>
      <c r="I5209">
        <v>211</v>
      </c>
      <c r="J5209">
        <v>72.11</v>
      </c>
      <c r="K5209">
        <v>72.11</v>
      </c>
      <c r="L5209">
        <v>0</v>
      </c>
      <c r="M5209" s="1" t="s">
        <v>21</v>
      </c>
      <c r="N5209" s="1" t="s">
        <v>22</v>
      </c>
      <c r="O5209" s="2">
        <v>46070</v>
      </c>
      <c r="P5209" s="2">
        <v>46070</v>
      </c>
      <c r="Q5209">
        <f>_xlfn.XLOOKUP(E5209,CPT!$A$2:$A$13,CPT!$D$2:$D$13)</f>
        <v>210</v>
      </c>
      <c r="R5209" s="1">
        <f>_xlfn.XLOOKUP(C5209,Contract!$A$2:$A$9,Contract!$B$2:$B$9)</f>
        <v>0.36</v>
      </c>
      <c r="S5209" s="1">
        <f t="shared" si="324"/>
        <v>75.599999999999994</v>
      </c>
      <c r="T5209" s="1">
        <f t="shared" si="325"/>
        <v>3.4899999999999949</v>
      </c>
      <c r="U5209" s="1" t="str">
        <f t="shared" si="326"/>
        <v>OK</v>
      </c>
      <c r="V5209" s="1" t="str">
        <f>_xlfn.XLOOKUP(C5209,Payers!$A$2:$A$9,Payers!$B$2:$B$9)</f>
        <v>Medicare Part B</v>
      </c>
      <c r="W5209" s="1" t="str">
        <f t="shared" si="327"/>
        <v>2026-01</v>
      </c>
    </row>
    <row r="5210" spans="1:23">
      <c r="A5210" s="1" t="s">
        <v>7984</v>
      </c>
      <c r="B5210" s="1" t="s">
        <v>4009</v>
      </c>
      <c r="C5210" s="1" t="s">
        <v>36</v>
      </c>
      <c r="D5210" s="1" t="s">
        <v>26</v>
      </c>
      <c r="E5210" s="1" t="s">
        <v>185</v>
      </c>
      <c r="F5210">
        <v>1</v>
      </c>
      <c r="G5210" s="2">
        <v>45959</v>
      </c>
      <c r="H5210" s="2">
        <v>45960</v>
      </c>
      <c r="I5210">
        <v>1127.1300000000001</v>
      </c>
      <c r="J5210">
        <v>293.95999999999998</v>
      </c>
      <c r="K5210">
        <v>293.95999999999998</v>
      </c>
      <c r="L5210">
        <v>0</v>
      </c>
      <c r="M5210" s="1" t="s">
        <v>21</v>
      </c>
      <c r="N5210" s="1" t="s">
        <v>22</v>
      </c>
      <c r="O5210" s="2">
        <v>46021</v>
      </c>
      <c r="P5210" s="2">
        <v>46021</v>
      </c>
      <c r="Q5210">
        <f>_xlfn.XLOOKUP(E5210,CPT!$A$2:$A$13,CPT!$D$2:$D$13)</f>
        <v>1150</v>
      </c>
      <c r="R5210" s="1">
        <f>_xlfn.XLOOKUP(C5210,Contract!$A$2:$A$9,Contract!$B$2:$B$9)</f>
        <v>0.27</v>
      </c>
      <c r="S5210" s="1">
        <f t="shared" si="324"/>
        <v>310.5</v>
      </c>
      <c r="T5210" s="1">
        <f t="shared" si="325"/>
        <v>16.54000000000002</v>
      </c>
      <c r="U5210" s="1" t="str">
        <f t="shared" si="326"/>
        <v>Underpaid</v>
      </c>
      <c r="V5210" s="1" t="str">
        <f>_xlfn.XLOOKUP(C5210,Payers!$A$2:$A$9,Payers!$B$2:$B$9)</f>
        <v>Florida Medicaid</v>
      </c>
      <c r="W5210" s="1" t="str">
        <f t="shared" si="327"/>
        <v>2025-10</v>
      </c>
    </row>
    <row r="5211" spans="1:23">
      <c r="A5211" s="1" t="s">
        <v>7985</v>
      </c>
      <c r="B5211" s="1" t="s">
        <v>4745</v>
      </c>
      <c r="C5211" s="1" t="s">
        <v>25</v>
      </c>
      <c r="D5211" s="1" t="s">
        <v>19</v>
      </c>
      <c r="E5211" s="1" t="s">
        <v>57</v>
      </c>
      <c r="F5211">
        <v>1</v>
      </c>
      <c r="G5211" s="2">
        <v>45978</v>
      </c>
      <c r="H5211" s="2">
        <v>45981</v>
      </c>
      <c r="I5211">
        <v>206.94</v>
      </c>
      <c r="J5211">
        <v>71.02</v>
      </c>
      <c r="K5211">
        <v>56.82</v>
      </c>
      <c r="L5211">
        <v>14.2</v>
      </c>
      <c r="M5211" s="1" t="s">
        <v>21</v>
      </c>
      <c r="N5211" s="1" t="s">
        <v>22</v>
      </c>
      <c r="O5211" s="2">
        <v>45997</v>
      </c>
      <c r="P5211" s="2">
        <v>45997</v>
      </c>
      <c r="Q5211">
        <f>_xlfn.XLOOKUP(E5211,CPT!$A$2:$A$13,CPT!$D$2:$D$13)</f>
        <v>210</v>
      </c>
      <c r="R5211" s="1">
        <f>_xlfn.XLOOKUP(C5211,Contract!$A$2:$A$9,Contract!$B$2:$B$9)</f>
        <v>0.36</v>
      </c>
      <c r="S5211" s="1">
        <f t="shared" si="324"/>
        <v>75.599999999999994</v>
      </c>
      <c r="T5211" s="1">
        <f t="shared" si="325"/>
        <v>4.5799999999999983</v>
      </c>
      <c r="U5211" s="1" t="str">
        <f t="shared" si="326"/>
        <v>Underpaid</v>
      </c>
      <c r="V5211" s="1" t="str">
        <f>_xlfn.XLOOKUP(C5211,Payers!$A$2:$A$9,Payers!$B$2:$B$9)</f>
        <v>Medicare Part B</v>
      </c>
      <c r="W5211" s="1" t="str">
        <f t="shared" si="327"/>
        <v>2025-11</v>
      </c>
    </row>
    <row r="5212" spans="1:23">
      <c r="A5212" s="1" t="s">
        <v>7986</v>
      </c>
      <c r="B5212" s="1" t="s">
        <v>1371</v>
      </c>
      <c r="C5212" s="1" t="s">
        <v>36</v>
      </c>
      <c r="D5212" s="1" t="s">
        <v>19</v>
      </c>
      <c r="E5212" s="1" t="s">
        <v>20</v>
      </c>
      <c r="F5212">
        <v>1</v>
      </c>
      <c r="G5212" s="2">
        <v>46177</v>
      </c>
      <c r="H5212" s="2">
        <v>46190</v>
      </c>
      <c r="I5212">
        <v>145.44999999999999</v>
      </c>
      <c r="J5212">
        <v>44.42</v>
      </c>
      <c r="K5212">
        <v>44.42</v>
      </c>
      <c r="L5212">
        <v>0</v>
      </c>
      <c r="M5212" s="1" t="s">
        <v>21</v>
      </c>
      <c r="N5212" s="1" t="s">
        <v>22</v>
      </c>
      <c r="O5212" s="2">
        <v>46247</v>
      </c>
      <c r="P5212" s="2">
        <v>46247</v>
      </c>
      <c r="Q5212">
        <f>_xlfn.XLOOKUP(E5212,CPT!$A$2:$A$13,CPT!$D$2:$D$13)</f>
        <v>145</v>
      </c>
      <c r="R5212" s="1">
        <f>_xlfn.XLOOKUP(C5212,Contract!$A$2:$A$9,Contract!$B$2:$B$9)</f>
        <v>0.27</v>
      </c>
      <c r="S5212" s="1">
        <f t="shared" si="324"/>
        <v>39.15</v>
      </c>
      <c r="T5212" s="1">
        <f t="shared" si="325"/>
        <v>-5.2700000000000031</v>
      </c>
      <c r="U5212" s="1" t="str">
        <f t="shared" si="326"/>
        <v>OK</v>
      </c>
      <c r="V5212" s="1" t="str">
        <f>_xlfn.XLOOKUP(C5212,Payers!$A$2:$A$9,Payers!$B$2:$B$9)</f>
        <v>Florida Medicaid</v>
      </c>
      <c r="W5212" s="1" t="str">
        <f t="shared" si="327"/>
        <v>2026-06</v>
      </c>
    </row>
    <row r="5213" spans="1:23">
      <c r="A5213" s="1" t="s">
        <v>7987</v>
      </c>
      <c r="B5213" s="1" t="s">
        <v>4005</v>
      </c>
      <c r="C5213" s="1" t="s">
        <v>36</v>
      </c>
      <c r="D5213" s="1" t="s">
        <v>30</v>
      </c>
      <c r="E5213" s="1" t="s">
        <v>20</v>
      </c>
      <c r="F5213">
        <v>1</v>
      </c>
      <c r="G5213" s="2">
        <v>46092</v>
      </c>
      <c r="H5213" s="2">
        <v>46093</v>
      </c>
      <c r="I5213">
        <v>142.75</v>
      </c>
      <c r="J5213">
        <v>40.21</v>
      </c>
      <c r="K5213">
        <v>36.19</v>
      </c>
      <c r="L5213">
        <v>4.0199999999999996</v>
      </c>
      <c r="M5213" s="1" t="s">
        <v>21</v>
      </c>
      <c r="N5213" s="1" t="s">
        <v>22</v>
      </c>
      <c r="O5213" s="2">
        <v>46132</v>
      </c>
      <c r="P5213" s="2">
        <v>46132</v>
      </c>
      <c r="Q5213">
        <f>_xlfn.XLOOKUP(E5213,CPT!$A$2:$A$13,CPT!$D$2:$D$13)</f>
        <v>145</v>
      </c>
      <c r="R5213" s="1">
        <f>_xlfn.XLOOKUP(C5213,Contract!$A$2:$A$9,Contract!$B$2:$B$9)</f>
        <v>0.27</v>
      </c>
      <c r="S5213" s="1">
        <f t="shared" si="324"/>
        <v>39.15</v>
      </c>
      <c r="T5213" s="1">
        <f t="shared" si="325"/>
        <v>-1.0600000000000023</v>
      </c>
      <c r="U5213" s="1" t="str">
        <f t="shared" si="326"/>
        <v>OK</v>
      </c>
      <c r="V5213" s="1" t="str">
        <f>_xlfn.XLOOKUP(C5213,Payers!$A$2:$A$9,Payers!$B$2:$B$9)</f>
        <v>Florida Medicaid</v>
      </c>
      <c r="W5213" s="1" t="str">
        <f t="shared" si="327"/>
        <v>2026-03</v>
      </c>
    </row>
    <row r="5214" spans="1:23">
      <c r="A5214" s="1" t="s">
        <v>7988</v>
      </c>
      <c r="B5214" s="1" t="s">
        <v>1988</v>
      </c>
      <c r="C5214" s="1" t="s">
        <v>52</v>
      </c>
      <c r="D5214" s="1" t="s">
        <v>19</v>
      </c>
      <c r="E5214" s="1" t="s">
        <v>88</v>
      </c>
      <c r="F5214">
        <v>1</v>
      </c>
      <c r="G5214" s="2">
        <v>46075</v>
      </c>
      <c r="H5214" s="2">
        <v>46077</v>
      </c>
      <c r="I5214">
        <v>255.77</v>
      </c>
      <c r="J5214">
        <v>118.23</v>
      </c>
      <c r="K5214">
        <v>106.41</v>
      </c>
      <c r="L5214">
        <v>11.82</v>
      </c>
      <c r="M5214" s="1" t="s">
        <v>21</v>
      </c>
      <c r="N5214" s="1" t="s">
        <v>22</v>
      </c>
      <c r="O5214" s="2">
        <v>46137</v>
      </c>
      <c r="P5214" s="2">
        <v>46137</v>
      </c>
      <c r="Q5214">
        <f>_xlfn.XLOOKUP(E5214,CPT!$A$2:$A$13,CPT!$D$2:$D$13)</f>
        <v>260</v>
      </c>
      <c r="R5214" s="1">
        <f>_xlfn.XLOOKUP(C5214,Contract!$A$2:$A$9,Contract!$B$2:$B$9)</f>
        <v>0.47</v>
      </c>
      <c r="S5214" s="1">
        <f t="shared" si="324"/>
        <v>122.2</v>
      </c>
      <c r="T5214" s="1">
        <f t="shared" si="325"/>
        <v>3.9699999999999989</v>
      </c>
      <c r="U5214" s="1" t="str">
        <f t="shared" si="326"/>
        <v>OK</v>
      </c>
      <c r="V5214" s="1" t="str">
        <f>_xlfn.XLOOKUP(C5214,Payers!$A$2:$A$9,Payers!$B$2:$B$9)</f>
        <v>Keystone Commercial PPO</v>
      </c>
      <c r="W5214" s="1" t="str">
        <f t="shared" si="327"/>
        <v>2026-02</v>
      </c>
    </row>
    <row r="5215" spans="1:23">
      <c r="A5215" s="1" t="s">
        <v>7989</v>
      </c>
      <c r="B5215" s="1" t="s">
        <v>500</v>
      </c>
      <c r="C5215" s="1" t="s">
        <v>52</v>
      </c>
      <c r="D5215" s="1" t="s">
        <v>19</v>
      </c>
      <c r="E5215" s="1" t="s">
        <v>41</v>
      </c>
      <c r="F5215">
        <v>1</v>
      </c>
      <c r="G5215" s="2">
        <v>45964</v>
      </c>
      <c r="H5215" s="2">
        <v>45966</v>
      </c>
      <c r="I5215">
        <v>37.11</v>
      </c>
      <c r="J5215">
        <v>17.87</v>
      </c>
      <c r="K5215">
        <v>17.87</v>
      </c>
      <c r="L5215">
        <v>0</v>
      </c>
      <c r="M5215" s="1" t="s">
        <v>21</v>
      </c>
      <c r="N5215" s="1" t="s">
        <v>22</v>
      </c>
      <c r="O5215" s="2">
        <v>46005</v>
      </c>
      <c r="P5215" s="2">
        <v>46005</v>
      </c>
      <c r="Q5215">
        <f>_xlfn.XLOOKUP(E5215,CPT!$A$2:$A$13,CPT!$D$2:$D$13)</f>
        <v>38</v>
      </c>
      <c r="R5215" s="1">
        <f>_xlfn.XLOOKUP(C5215,Contract!$A$2:$A$9,Contract!$B$2:$B$9)</f>
        <v>0.47</v>
      </c>
      <c r="S5215" s="1">
        <f t="shared" si="324"/>
        <v>17.86</v>
      </c>
      <c r="T5215" s="1">
        <f t="shared" si="325"/>
        <v>-1.0000000000001563E-2</v>
      </c>
      <c r="U5215" s="1" t="str">
        <f t="shared" si="326"/>
        <v>OK</v>
      </c>
      <c r="V5215" s="1" t="str">
        <f>_xlfn.XLOOKUP(C5215,Payers!$A$2:$A$9,Payers!$B$2:$B$9)</f>
        <v>Keystone Commercial PPO</v>
      </c>
      <c r="W5215" s="1" t="str">
        <f t="shared" si="327"/>
        <v>2025-11</v>
      </c>
    </row>
    <row r="5216" spans="1:23">
      <c r="A5216" s="1" t="s">
        <v>7990</v>
      </c>
      <c r="B5216" s="1" t="s">
        <v>7991</v>
      </c>
      <c r="C5216" s="1" t="s">
        <v>79</v>
      </c>
      <c r="D5216" s="1" t="s">
        <v>30</v>
      </c>
      <c r="E5216" s="1" t="s">
        <v>20</v>
      </c>
      <c r="F5216">
        <v>1</v>
      </c>
      <c r="G5216" s="2">
        <v>46088</v>
      </c>
      <c r="H5216" s="2">
        <v>46090</v>
      </c>
      <c r="I5216">
        <v>146.49</v>
      </c>
      <c r="J5216">
        <v>146.49</v>
      </c>
      <c r="K5216">
        <v>146.49</v>
      </c>
      <c r="L5216">
        <v>0</v>
      </c>
      <c r="M5216" s="1" t="s">
        <v>21</v>
      </c>
      <c r="N5216" s="1" t="s">
        <v>22</v>
      </c>
      <c r="O5216" s="2">
        <v>46131</v>
      </c>
      <c r="P5216" s="2">
        <v>46131</v>
      </c>
      <c r="Q5216">
        <f>_xlfn.XLOOKUP(E5216,CPT!$A$2:$A$13,CPT!$D$2:$D$13)</f>
        <v>145</v>
      </c>
      <c r="R5216" s="1">
        <f>_xlfn.XLOOKUP(C5216,Contract!$A$2:$A$9,Contract!$B$2:$B$9)</f>
        <v>1</v>
      </c>
      <c r="S5216" s="1">
        <f t="shared" si="324"/>
        <v>145</v>
      </c>
      <c r="T5216" s="1">
        <f t="shared" si="325"/>
        <v>-1.4900000000000091</v>
      </c>
      <c r="U5216" s="1" t="str">
        <f t="shared" si="326"/>
        <v>OK</v>
      </c>
      <c r="V5216" s="1" t="str">
        <f>_xlfn.XLOOKUP(C5216,Payers!$A$2:$A$9,Payers!$B$2:$B$9)</f>
        <v>Self-Pay</v>
      </c>
      <c r="W5216" s="1" t="str">
        <f t="shared" si="327"/>
        <v>2026-03</v>
      </c>
    </row>
    <row r="5217" spans="1:23">
      <c r="A5217" s="1" t="s">
        <v>7992</v>
      </c>
      <c r="B5217" s="1" t="s">
        <v>7993</v>
      </c>
      <c r="C5217" s="1" t="s">
        <v>18</v>
      </c>
      <c r="D5217" s="1" t="s">
        <v>19</v>
      </c>
      <c r="E5217" s="1" t="s">
        <v>57</v>
      </c>
      <c r="F5217">
        <v>1</v>
      </c>
      <c r="G5217" s="2">
        <v>46249</v>
      </c>
      <c r="H5217" s="2">
        <v>46250</v>
      </c>
      <c r="I5217">
        <v>208.5</v>
      </c>
      <c r="M5217" s="1" t="s">
        <v>69</v>
      </c>
      <c r="N5217" s="1" t="s">
        <v>22</v>
      </c>
      <c r="O5217" s="2"/>
      <c r="P5217" s="2"/>
      <c r="Q5217">
        <f>_xlfn.XLOOKUP(E5217,CPT!$A$2:$A$13,CPT!$D$2:$D$13)</f>
        <v>210</v>
      </c>
      <c r="R5217" s="1">
        <f>_xlfn.XLOOKUP(C5217,Contract!$A$2:$A$9,Contract!$B$2:$B$9)</f>
        <v>0.38</v>
      </c>
      <c r="S5217" s="1">
        <f t="shared" si="324"/>
        <v>79.8</v>
      </c>
      <c r="T5217" s="1" t="str">
        <f t="shared" si="325"/>
        <v/>
      </c>
      <c r="U5217" s="1" t="str">
        <f t="shared" si="326"/>
        <v/>
      </c>
      <c r="V5217" s="1" t="str">
        <f>_xlfn.XLOOKUP(C5217,Payers!$A$2:$A$9,Payers!$B$2:$B$9)</f>
        <v>Sunshine Medicare Advantage</v>
      </c>
      <c r="W5217" s="1" t="str">
        <f t="shared" si="327"/>
        <v>2026-08</v>
      </c>
    </row>
    <row r="5218" spans="1:23">
      <c r="A5218" s="1" t="s">
        <v>7994</v>
      </c>
      <c r="B5218" s="1" t="s">
        <v>2460</v>
      </c>
      <c r="C5218" s="1" t="s">
        <v>76</v>
      </c>
      <c r="D5218" s="1" t="s">
        <v>26</v>
      </c>
      <c r="E5218" s="1" t="s">
        <v>113</v>
      </c>
      <c r="F5218">
        <v>1</v>
      </c>
      <c r="G5218" s="2">
        <v>46208</v>
      </c>
      <c r="H5218" s="2">
        <v>46209</v>
      </c>
      <c r="I5218">
        <v>1063.82</v>
      </c>
      <c r="J5218">
        <v>487.42</v>
      </c>
      <c r="K5218">
        <v>389.94</v>
      </c>
      <c r="L5218">
        <v>97.48</v>
      </c>
      <c r="M5218" s="1" t="s">
        <v>21</v>
      </c>
      <c r="N5218" s="1" t="s">
        <v>22</v>
      </c>
      <c r="O5218" s="2">
        <v>46233</v>
      </c>
      <c r="P5218" s="2">
        <v>46233</v>
      </c>
      <c r="Q5218">
        <f>_xlfn.XLOOKUP(E5218,CPT!$A$2:$A$13,CPT!$D$2:$D$13)</f>
        <v>1050</v>
      </c>
      <c r="R5218" s="1">
        <f>_xlfn.XLOOKUP(C5218,Contract!$A$2:$A$9,Contract!$B$2:$B$9)</f>
        <v>0.43</v>
      </c>
      <c r="S5218" s="1">
        <f t="shared" si="324"/>
        <v>451.5</v>
      </c>
      <c r="T5218" s="1">
        <f t="shared" si="325"/>
        <v>-35.920000000000016</v>
      </c>
      <c r="U5218" s="1" t="str">
        <f t="shared" si="326"/>
        <v>OK</v>
      </c>
      <c r="V5218" s="1" t="str">
        <f>_xlfn.XLOOKUP(C5218,Payers!$A$2:$A$9,Payers!$B$2:$B$9)</f>
        <v>Summit Health Commercial</v>
      </c>
      <c r="W5218" s="1" t="str">
        <f t="shared" si="327"/>
        <v>2026-07</v>
      </c>
    </row>
    <row r="5219" spans="1:23">
      <c r="A5219" s="1" t="s">
        <v>7995</v>
      </c>
      <c r="B5219" s="1" t="s">
        <v>6265</v>
      </c>
      <c r="C5219" s="1" t="s">
        <v>25</v>
      </c>
      <c r="D5219" s="1" t="s">
        <v>26</v>
      </c>
      <c r="E5219" s="1" t="s">
        <v>44</v>
      </c>
      <c r="F5219">
        <v>1</v>
      </c>
      <c r="G5219" s="2">
        <v>46245</v>
      </c>
      <c r="H5219" s="2">
        <v>46252</v>
      </c>
      <c r="I5219">
        <v>4779.08</v>
      </c>
      <c r="J5219">
        <v>1664.41</v>
      </c>
      <c r="K5219">
        <v>1497.97</v>
      </c>
      <c r="L5219">
        <v>166.44</v>
      </c>
      <c r="M5219" s="1" t="s">
        <v>21</v>
      </c>
      <c r="N5219" s="1" t="s">
        <v>22</v>
      </c>
      <c r="O5219" s="2">
        <v>46257</v>
      </c>
      <c r="P5219" s="2">
        <v>46257</v>
      </c>
      <c r="Q5219">
        <f>_xlfn.XLOOKUP(E5219,CPT!$A$2:$A$13,CPT!$D$2:$D$13)</f>
        <v>4800</v>
      </c>
      <c r="R5219" s="1">
        <f>_xlfn.XLOOKUP(C5219,Contract!$A$2:$A$9,Contract!$B$2:$B$9)</f>
        <v>0.36</v>
      </c>
      <c r="S5219" s="1">
        <f t="shared" si="324"/>
        <v>1728</v>
      </c>
      <c r="T5219" s="1">
        <f t="shared" si="325"/>
        <v>63.589999999999918</v>
      </c>
      <c r="U5219" s="1" t="str">
        <f t="shared" si="326"/>
        <v>OK</v>
      </c>
      <c r="V5219" s="1" t="str">
        <f>_xlfn.XLOOKUP(C5219,Payers!$A$2:$A$9,Payers!$B$2:$B$9)</f>
        <v>Medicare Part B</v>
      </c>
      <c r="W5219" s="1" t="str">
        <f t="shared" si="327"/>
        <v>2026-08</v>
      </c>
    </row>
    <row r="5220" spans="1:23">
      <c r="A5220" s="1" t="s">
        <v>7996</v>
      </c>
      <c r="B5220" s="1" t="s">
        <v>5980</v>
      </c>
      <c r="C5220" s="1" t="s">
        <v>60</v>
      </c>
      <c r="D5220" s="1" t="s">
        <v>37</v>
      </c>
      <c r="E5220" s="1" t="s">
        <v>38</v>
      </c>
      <c r="F5220">
        <v>20</v>
      </c>
      <c r="G5220" s="2">
        <v>46080</v>
      </c>
      <c r="H5220" s="2">
        <v>46082</v>
      </c>
      <c r="I5220">
        <v>29265.17</v>
      </c>
      <c r="J5220">
        <v>13958.89</v>
      </c>
      <c r="K5220">
        <v>11167.11</v>
      </c>
      <c r="L5220">
        <v>2791.78</v>
      </c>
      <c r="M5220" s="1" t="s">
        <v>21</v>
      </c>
      <c r="N5220" s="1" t="s">
        <v>22</v>
      </c>
      <c r="O5220" s="2">
        <v>46104</v>
      </c>
      <c r="P5220" s="2">
        <v>46104</v>
      </c>
      <c r="Q5220">
        <f>_xlfn.XLOOKUP(E5220,CPT!$A$2:$A$13,CPT!$D$2:$D$13)</f>
        <v>1450</v>
      </c>
      <c r="R5220" s="1">
        <f>_xlfn.XLOOKUP(C5220,Contract!$A$2:$A$9,Contract!$B$2:$B$9)</f>
        <v>0.45</v>
      </c>
      <c r="S5220" s="1">
        <f t="shared" si="324"/>
        <v>13050</v>
      </c>
      <c r="T5220" s="1">
        <f t="shared" si="325"/>
        <v>-908.88999999999942</v>
      </c>
      <c r="U5220" s="1" t="str">
        <f t="shared" si="326"/>
        <v>OK</v>
      </c>
      <c r="V5220" s="1" t="str">
        <f>_xlfn.XLOOKUP(C5220,Payers!$A$2:$A$9,Payers!$B$2:$B$9)</f>
        <v>Blue Horizon Commercial</v>
      </c>
      <c r="W5220" s="1" t="str">
        <f t="shared" si="327"/>
        <v>2026-02</v>
      </c>
    </row>
    <row r="5221" spans="1:23">
      <c r="A5221" s="1" t="s">
        <v>7997</v>
      </c>
      <c r="B5221" s="1" t="s">
        <v>7998</v>
      </c>
      <c r="C5221" s="1" t="s">
        <v>36</v>
      </c>
      <c r="D5221" s="1" t="s">
        <v>26</v>
      </c>
      <c r="E5221" s="1" t="s">
        <v>185</v>
      </c>
      <c r="F5221">
        <v>1</v>
      </c>
      <c r="G5221" s="2">
        <v>46283</v>
      </c>
      <c r="H5221" s="2">
        <v>46288</v>
      </c>
      <c r="I5221">
        <v>1153.96</v>
      </c>
      <c r="M5221" s="1" t="s">
        <v>69</v>
      </c>
      <c r="N5221" s="1" t="s">
        <v>22</v>
      </c>
      <c r="O5221" s="2"/>
      <c r="P5221" s="2"/>
      <c r="Q5221">
        <f>_xlfn.XLOOKUP(E5221,CPT!$A$2:$A$13,CPT!$D$2:$D$13)</f>
        <v>1150</v>
      </c>
      <c r="R5221" s="1">
        <f>_xlfn.XLOOKUP(C5221,Contract!$A$2:$A$9,Contract!$B$2:$B$9)</f>
        <v>0.27</v>
      </c>
      <c r="S5221" s="1">
        <f t="shared" si="324"/>
        <v>310.5</v>
      </c>
      <c r="T5221" s="1" t="str">
        <f t="shared" si="325"/>
        <v/>
      </c>
      <c r="U5221" s="1" t="str">
        <f t="shared" si="326"/>
        <v/>
      </c>
      <c r="V5221" s="1" t="str">
        <f>_xlfn.XLOOKUP(C5221,Payers!$A$2:$A$9,Payers!$B$2:$B$9)</f>
        <v>Florida Medicaid</v>
      </c>
      <c r="W5221" s="1" t="str">
        <f t="shared" si="327"/>
        <v>2026-09</v>
      </c>
    </row>
    <row r="5222" spans="1:23">
      <c r="A5222" s="1" t="s">
        <v>7999</v>
      </c>
      <c r="B5222" s="1" t="s">
        <v>8000</v>
      </c>
      <c r="C5222" s="1" t="s">
        <v>47</v>
      </c>
      <c r="D5222" s="1" t="s">
        <v>26</v>
      </c>
      <c r="E5222" s="1" t="s">
        <v>113</v>
      </c>
      <c r="F5222">
        <v>1</v>
      </c>
      <c r="G5222" s="2">
        <v>46112</v>
      </c>
      <c r="H5222" s="2">
        <v>46124</v>
      </c>
      <c r="I5222">
        <v>1081.4100000000001</v>
      </c>
      <c r="J5222">
        <v>322.52999999999997</v>
      </c>
      <c r="K5222">
        <v>322.52999999999997</v>
      </c>
      <c r="L5222">
        <v>0</v>
      </c>
      <c r="M5222" s="1" t="s">
        <v>21</v>
      </c>
      <c r="N5222" s="1" t="s">
        <v>22</v>
      </c>
      <c r="O5222" s="2">
        <v>46188</v>
      </c>
      <c r="P5222" s="2">
        <v>46188</v>
      </c>
      <c r="Q5222">
        <f>_xlfn.XLOOKUP(E5222,CPT!$A$2:$A$13,CPT!$D$2:$D$13)</f>
        <v>1050</v>
      </c>
      <c r="R5222" s="1">
        <f>_xlfn.XLOOKUP(C5222,Contract!$A$2:$A$9,Contract!$B$2:$B$9)</f>
        <v>0.28000000000000003</v>
      </c>
      <c r="S5222" s="1">
        <f t="shared" si="324"/>
        <v>294</v>
      </c>
      <c r="T5222" s="1">
        <f t="shared" si="325"/>
        <v>-28.529999999999973</v>
      </c>
      <c r="U5222" s="1" t="str">
        <f t="shared" si="326"/>
        <v>OK</v>
      </c>
      <c r="V5222" s="1" t="str">
        <f>_xlfn.XLOOKUP(C5222,Payers!$A$2:$A$9,Payers!$B$2:$B$9)</f>
        <v>Coastal Medicaid MCO</v>
      </c>
      <c r="W5222" s="1" t="str">
        <f t="shared" si="327"/>
        <v>2026-03</v>
      </c>
    </row>
    <row r="5223" spans="1:23">
      <c r="A5223" s="1" t="s">
        <v>8001</v>
      </c>
      <c r="B5223" s="1" t="s">
        <v>7686</v>
      </c>
      <c r="C5223" s="1" t="s">
        <v>25</v>
      </c>
      <c r="D5223" s="1" t="s">
        <v>19</v>
      </c>
      <c r="E5223" s="1" t="s">
        <v>41</v>
      </c>
      <c r="F5223">
        <v>1</v>
      </c>
      <c r="G5223" s="2">
        <v>46235</v>
      </c>
      <c r="H5223" s="2">
        <v>46240</v>
      </c>
      <c r="I5223">
        <v>39.119999999999997</v>
      </c>
      <c r="J5223">
        <v>13.4</v>
      </c>
      <c r="K5223">
        <v>10.72</v>
      </c>
      <c r="L5223">
        <v>2.68</v>
      </c>
      <c r="M5223" s="1" t="s">
        <v>21</v>
      </c>
      <c r="N5223" s="1" t="s">
        <v>22</v>
      </c>
      <c r="O5223" s="2">
        <v>46254</v>
      </c>
      <c r="P5223" s="2">
        <v>46254</v>
      </c>
      <c r="Q5223">
        <f>_xlfn.XLOOKUP(E5223,CPT!$A$2:$A$13,CPT!$D$2:$D$13)</f>
        <v>38</v>
      </c>
      <c r="R5223" s="1">
        <f>_xlfn.XLOOKUP(C5223,Contract!$A$2:$A$9,Contract!$B$2:$B$9)</f>
        <v>0.36</v>
      </c>
      <c r="S5223" s="1">
        <f t="shared" si="324"/>
        <v>13.68</v>
      </c>
      <c r="T5223" s="1">
        <f t="shared" si="325"/>
        <v>0.27999999999999936</v>
      </c>
      <c r="U5223" s="1" t="str">
        <f t="shared" si="326"/>
        <v>OK</v>
      </c>
      <c r="V5223" s="1" t="str">
        <f>_xlfn.XLOOKUP(C5223,Payers!$A$2:$A$9,Payers!$B$2:$B$9)</f>
        <v>Medicare Part B</v>
      </c>
      <c r="W5223" s="1" t="str">
        <f t="shared" si="327"/>
        <v>2026-08</v>
      </c>
    </row>
    <row r="5224" spans="1:23">
      <c r="A5224" s="1" t="s">
        <v>8002</v>
      </c>
      <c r="B5224" s="1" t="s">
        <v>2240</v>
      </c>
      <c r="C5224" s="1" t="s">
        <v>60</v>
      </c>
      <c r="D5224" s="1" t="s">
        <v>26</v>
      </c>
      <c r="E5224" s="1" t="s">
        <v>88</v>
      </c>
      <c r="F5224">
        <v>1</v>
      </c>
      <c r="G5224" s="2">
        <v>46252</v>
      </c>
      <c r="H5224" s="2">
        <v>46253</v>
      </c>
      <c r="I5224">
        <v>255.74</v>
      </c>
      <c r="J5224">
        <v>131.69999999999999</v>
      </c>
      <c r="K5224">
        <v>105.36</v>
      </c>
      <c r="L5224">
        <v>26.34</v>
      </c>
      <c r="M5224" s="1" t="s">
        <v>21</v>
      </c>
      <c r="N5224" s="1" t="s">
        <v>22</v>
      </c>
      <c r="O5224" s="2">
        <v>46284</v>
      </c>
      <c r="P5224" s="2">
        <v>46284</v>
      </c>
      <c r="Q5224">
        <f>_xlfn.XLOOKUP(E5224,CPT!$A$2:$A$13,CPT!$D$2:$D$13)</f>
        <v>260</v>
      </c>
      <c r="R5224" s="1">
        <f>_xlfn.XLOOKUP(C5224,Contract!$A$2:$A$9,Contract!$B$2:$B$9)</f>
        <v>0.45</v>
      </c>
      <c r="S5224" s="1">
        <f t="shared" si="324"/>
        <v>117</v>
      </c>
      <c r="T5224" s="1">
        <f t="shared" si="325"/>
        <v>-14.699999999999989</v>
      </c>
      <c r="U5224" s="1" t="str">
        <f t="shared" si="326"/>
        <v>OK</v>
      </c>
      <c r="V5224" s="1" t="str">
        <f>_xlfn.XLOOKUP(C5224,Payers!$A$2:$A$9,Payers!$B$2:$B$9)</f>
        <v>Blue Horizon Commercial</v>
      </c>
      <c r="W5224" s="1" t="str">
        <f t="shared" si="327"/>
        <v>2026-08</v>
      </c>
    </row>
    <row r="5225" spans="1:23">
      <c r="A5225" s="1" t="s">
        <v>8003</v>
      </c>
      <c r="B5225" s="1" t="s">
        <v>8004</v>
      </c>
      <c r="C5225" s="1" t="s">
        <v>36</v>
      </c>
      <c r="D5225" s="1" t="s">
        <v>19</v>
      </c>
      <c r="E5225" s="1" t="s">
        <v>88</v>
      </c>
      <c r="F5225">
        <v>1</v>
      </c>
      <c r="G5225" s="2">
        <v>46186</v>
      </c>
      <c r="H5225" s="2">
        <v>46192</v>
      </c>
      <c r="I5225">
        <v>255.42</v>
      </c>
      <c r="J5225">
        <v>66.67</v>
      </c>
      <c r="K5225">
        <v>53.34</v>
      </c>
      <c r="L5225">
        <v>13.33</v>
      </c>
      <c r="M5225" s="1" t="s">
        <v>21</v>
      </c>
      <c r="N5225" s="1" t="s">
        <v>22</v>
      </c>
      <c r="O5225" s="2">
        <v>46256</v>
      </c>
      <c r="P5225" s="2">
        <v>46256</v>
      </c>
      <c r="Q5225">
        <f>_xlfn.XLOOKUP(E5225,CPT!$A$2:$A$13,CPT!$D$2:$D$13)</f>
        <v>260</v>
      </c>
      <c r="R5225" s="1">
        <f>_xlfn.XLOOKUP(C5225,Contract!$A$2:$A$9,Contract!$B$2:$B$9)</f>
        <v>0.27</v>
      </c>
      <c r="S5225" s="1">
        <f t="shared" si="324"/>
        <v>70.2</v>
      </c>
      <c r="T5225" s="1">
        <f t="shared" si="325"/>
        <v>3.5300000000000011</v>
      </c>
      <c r="U5225" s="1" t="str">
        <f t="shared" si="326"/>
        <v>Underpaid</v>
      </c>
      <c r="V5225" s="1" t="str">
        <f>_xlfn.XLOOKUP(C5225,Payers!$A$2:$A$9,Payers!$B$2:$B$9)</f>
        <v>Florida Medicaid</v>
      </c>
      <c r="W5225" s="1" t="str">
        <f t="shared" si="327"/>
        <v>2026-06</v>
      </c>
    </row>
    <row r="5226" spans="1:23">
      <c r="A5226" s="1" t="s">
        <v>8005</v>
      </c>
      <c r="B5226" s="1" t="s">
        <v>4280</v>
      </c>
      <c r="C5226" s="1" t="s">
        <v>25</v>
      </c>
      <c r="D5226" s="1" t="s">
        <v>37</v>
      </c>
      <c r="E5226" s="1" t="s">
        <v>48</v>
      </c>
      <c r="F5226">
        <v>1</v>
      </c>
      <c r="G5226" s="2">
        <v>46140</v>
      </c>
      <c r="H5226" s="2">
        <v>46148</v>
      </c>
      <c r="I5226">
        <v>414.85</v>
      </c>
      <c r="J5226">
        <v>162.83000000000001</v>
      </c>
      <c r="K5226">
        <v>146.55000000000001</v>
      </c>
      <c r="L5226">
        <v>16.28</v>
      </c>
      <c r="M5226" s="1" t="s">
        <v>21</v>
      </c>
      <c r="N5226" s="1" t="s">
        <v>22</v>
      </c>
      <c r="O5226" s="2">
        <v>46177</v>
      </c>
      <c r="P5226" s="2">
        <v>46177</v>
      </c>
      <c r="Q5226">
        <f>_xlfn.XLOOKUP(E5226,CPT!$A$2:$A$13,CPT!$D$2:$D$13)</f>
        <v>420</v>
      </c>
      <c r="R5226" s="1">
        <f>_xlfn.XLOOKUP(C5226,Contract!$A$2:$A$9,Contract!$B$2:$B$9)</f>
        <v>0.36</v>
      </c>
      <c r="S5226" s="1">
        <f t="shared" si="324"/>
        <v>151.19999999999999</v>
      </c>
      <c r="T5226" s="1">
        <f t="shared" si="325"/>
        <v>-11.630000000000024</v>
      </c>
      <c r="U5226" s="1" t="str">
        <f t="shared" si="326"/>
        <v>OK</v>
      </c>
      <c r="V5226" s="1" t="str">
        <f>_xlfn.XLOOKUP(C5226,Payers!$A$2:$A$9,Payers!$B$2:$B$9)</f>
        <v>Medicare Part B</v>
      </c>
      <c r="W5226" s="1" t="str">
        <f t="shared" si="327"/>
        <v>2026-04</v>
      </c>
    </row>
    <row r="5227" spans="1:23">
      <c r="A5227" s="1" t="s">
        <v>8006</v>
      </c>
      <c r="B5227" s="1" t="s">
        <v>3946</v>
      </c>
      <c r="C5227" s="1" t="s">
        <v>52</v>
      </c>
      <c r="D5227" s="1" t="s">
        <v>26</v>
      </c>
      <c r="E5227" s="1" t="s">
        <v>27</v>
      </c>
      <c r="F5227">
        <v>1</v>
      </c>
      <c r="G5227" s="2">
        <v>46255</v>
      </c>
      <c r="H5227" s="2">
        <v>46260</v>
      </c>
      <c r="I5227">
        <v>241.07</v>
      </c>
      <c r="M5227" s="1" t="s">
        <v>69</v>
      </c>
      <c r="N5227" s="1" t="s">
        <v>22</v>
      </c>
      <c r="O5227" s="2"/>
      <c r="P5227" s="2"/>
      <c r="Q5227">
        <f>_xlfn.XLOOKUP(E5227,CPT!$A$2:$A$13,CPT!$D$2:$D$13)</f>
        <v>240</v>
      </c>
      <c r="R5227" s="1">
        <f>_xlfn.XLOOKUP(C5227,Contract!$A$2:$A$9,Contract!$B$2:$B$9)</f>
        <v>0.47</v>
      </c>
      <c r="S5227" s="1">
        <f t="shared" si="324"/>
        <v>112.8</v>
      </c>
      <c r="T5227" s="1" t="str">
        <f t="shared" si="325"/>
        <v/>
      </c>
      <c r="U5227" s="1" t="str">
        <f t="shared" si="326"/>
        <v/>
      </c>
      <c r="V5227" s="1" t="str">
        <f>_xlfn.XLOOKUP(C5227,Payers!$A$2:$A$9,Payers!$B$2:$B$9)</f>
        <v>Keystone Commercial PPO</v>
      </c>
      <c r="W5227" s="1" t="str">
        <f t="shared" si="327"/>
        <v>2026-08</v>
      </c>
    </row>
    <row r="5228" spans="1:23">
      <c r="A5228" s="1" t="s">
        <v>8007</v>
      </c>
      <c r="B5228" s="1" t="s">
        <v>606</v>
      </c>
      <c r="C5228" s="1" t="s">
        <v>52</v>
      </c>
      <c r="D5228" s="1" t="s">
        <v>26</v>
      </c>
      <c r="E5228" s="1" t="s">
        <v>44</v>
      </c>
      <c r="F5228">
        <v>1</v>
      </c>
      <c r="G5228" s="2">
        <v>46145</v>
      </c>
      <c r="H5228" s="2">
        <v>46152</v>
      </c>
      <c r="I5228">
        <v>4929.78</v>
      </c>
      <c r="M5228" s="1" t="s">
        <v>32</v>
      </c>
      <c r="N5228" s="1" t="s">
        <v>315</v>
      </c>
      <c r="O5228" s="2">
        <v>46199</v>
      </c>
      <c r="P5228" s="2"/>
      <c r="Q5228">
        <f>_xlfn.XLOOKUP(E5228,CPT!$A$2:$A$13,CPT!$D$2:$D$13)</f>
        <v>4800</v>
      </c>
      <c r="R5228" s="1">
        <f>_xlfn.XLOOKUP(C5228,Contract!$A$2:$A$9,Contract!$B$2:$B$9)</f>
        <v>0.47</v>
      </c>
      <c r="S5228" s="1">
        <f t="shared" si="324"/>
        <v>2256</v>
      </c>
      <c r="T5228" s="1" t="str">
        <f t="shared" si="325"/>
        <v/>
      </c>
      <c r="U5228" s="1" t="str">
        <f t="shared" si="326"/>
        <v/>
      </c>
      <c r="V5228" s="1" t="str">
        <f>_xlfn.XLOOKUP(C5228,Payers!$A$2:$A$9,Payers!$B$2:$B$9)</f>
        <v>Keystone Commercial PPO</v>
      </c>
      <c r="W5228" s="1" t="str">
        <f t="shared" si="327"/>
        <v>2026-05</v>
      </c>
    </row>
    <row r="5229" spans="1:23">
      <c r="A5229" s="1" t="s">
        <v>8008</v>
      </c>
      <c r="B5229" s="1" t="s">
        <v>8009</v>
      </c>
      <c r="C5229" s="1" t="s">
        <v>52</v>
      </c>
      <c r="D5229" s="1" t="s">
        <v>30</v>
      </c>
      <c r="E5229" s="1" t="s">
        <v>31</v>
      </c>
      <c r="F5229">
        <v>3</v>
      </c>
      <c r="G5229" s="2">
        <v>46143</v>
      </c>
      <c r="H5229" s="2">
        <v>46154</v>
      </c>
      <c r="I5229">
        <v>191.15</v>
      </c>
      <c r="J5229">
        <v>98.42</v>
      </c>
      <c r="K5229">
        <v>98.42</v>
      </c>
      <c r="L5229">
        <v>0</v>
      </c>
      <c r="M5229" s="1" t="s">
        <v>21</v>
      </c>
      <c r="N5229" s="1" t="s">
        <v>22</v>
      </c>
      <c r="O5229" s="2">
        <v>46201</v>
      </c>
      <c r="P5229" s="2">
        <v>46201</v>
      </c>
      <c r="Q5229">
        <f>_xlfn.XLOOKUP(E5229,CPT!$A$2:$A$13,CPT!$D$2:$D$13)</f>
        <v>62</v>
      </c>
      <c r="R5229" s="1">
        <f>_xlfn.XLOOKUP(C5229,Contract!$A$2:$A$9,Contract!$B$2:$B$9)</f>
        <v>0.47</v>
      </c>
      <c r="S5229" s="1">
        <f t="shared" si="324"/>
        <v>87.42</v>
      </c>
      <c r="T5229" s="1">
        <f t="shared" si="325"/>
        <v>-11</v>
      </c>
      <c r="U5229" s="1" t="str">
        <f t="shared" si="326"/>
        <v>OK</v>
      </c>
      <c r="V5229" s="1" t="str">
        <f>_xlfn.XLOOKUP(C5229,Payers!$A$2:$A$9,Payers!$B$2:$B$9)</f>
        <v>Keystone Commercial PPO</v>
      </c>
      <c r="W5229" s="1" t="str">
        <f t="shared" si="327"/>
        <v>2026-05</v>
      </c>
    </row>
    <row r="5230" spans="1:23">
      <c r="A5230" s="1" t="s">
        <v>8010</v>
      </c>
      <c r="B5230" s="1" t="s">
        <v>5481</v>
      </c>
      <c r="C5230" s="1" t="s">
        <v>60</v>
      </c>
      <c r="D5230" s="1" t="s">
        <v>26</v>
      </c>
      <c r="E5230" s="1" t="s">
        <v>44</v>
      </c>
      <c r="F5230">
        <v>1</v>
      </c>
      <c r="G5230" s="2">
        <v>46037</v>
      </c>
      <c r="H5230" s="2">
        <v>46038</v>
      </c>
      <c r="I5230">
        <v>4936.83</v>
      </c>
      <c r="J5230">
        <v>2426.62</v>
      </c>
      <c r="K5230">
        <v>2426.62</v>
      </c>
      <c r="L5230">
        <v>0</v>
      </c>
      <c r="M5230" s="1" t="s">
        <v>21</v>
      </c>
      <c r="N5230" s="1" t="s">
        <v>22</v>
      </c>
      <c r="O5230" s="2">
        <v>46068</v>
      </c>
      <c r="P5230" s="2">
        <v>46068</v>
      </c>
      <c r="Q5230">
        <f>_xlfn.XLOOKUP(E5230,CPT!$A$2:$A$13,CPT!$D$2:$D$13)</f>
        <v>4800</v>
      </c>
      <c r="R5230" s="1">
        <f>_xlfn.XLOOKUP(C5230,Contract!$A$2:$A$9,Contract!$B$2:$B$9)</f>
        <v>0.45</v>
      </c>
      <c r="S5230" s="1">
        <f t="shared" si="324"/>
        <v>2160</v>
      </c>
      <c r="T5230" s="1">
        <f t="shared" si="325"/>
        <v>-266.61999999999989</v>
      </c>
      <c r="U5230" s="1" t="str">
        <f t="shared" si="326"/>
        <v>OK</v>
      </c>
      <c r="V5230" s="1" t="str">
        <f>_xlfn.XLOOKUP(C5230,Payers!$A$2:$A$9,Payers!$B$2:$B$9)</f>
        <v>Blue Horizon Commercial</v>
      </c>
      <c r="W5230" s="1" t="str">
        <f t="shared" si="327"/>
        <v>2026-01</v>
      </c>
    </row>
    <row r="5231" spans="1:23">
      <c r="A5231" s="1" t="s">
        <v>8011</v>
      </c>
      <c r="B5231" s="1" t="s">
        <v>6694</v>
      </c>
      <c r="C5231" s="1" t="s">
        <v>60</v>
      </c>
      <c r="D5231" s="1" t="s">
        <v>26</v>
      </c>
      <c r="E5231" s="1" t="s">
        <v>88</v>
      </c>
      <c r="F5231">
        <v>1</v>
      </c>
      <c r="G5231" s="2">
        <v>46173</v>
      </c>
      <c r="H5231" s="2">
        <v>46177</v>
      </c>
      <c r="I5231">
        <v>260.88</v>
      </c>
      <c r="J5231">
        <v>115.89</v>
      </c>
      <c r="K5231">
        <v>104.3</v>
      </c>
      <c r="L5231">
        <v>11.59</v>
      </c>
      <c r="M5231" s="1" t="s">
        <v>21</v>
      </c>
      <c r="N5231" s="1" t="s">
        <v>22</v>
      </c>
      <c r="O5231" s="2">
        <v>46209</v>
      </c>
      <c r="P5231" s="2">
        <v>46209</v>
      </c>
      <c r="Q5231">
        <f>_xlfn.XLOOKUP(E5231,CPT!$A$2:$A$13,CPT!$D$2:$D$13)</f>
        <v>260</v>
      </c>
      <c r="R5231" s="1">
        <f>_xlfn.XLOOKUP(C5231,Contract!$A$2:$A$9,Contract!$B$2:$B$9)</f>
        <v>0.45</v>
      </c>
      <c r="S5231" s="1">
        <f t="shared" si="324"/>
        <v>117</v>
      </c>
      <c r="T5231" s="1">
        <f t="shared" si="325"/>
        <v>1.1099999999999994</v>
      </c>
      <c r="U5231" s="1" t="str">
        <f t="shared" si="326"/>
        <v>OK</v>
      </c>
      <c r="V5231" s="1" t="str">
        <f>_xlfn.XLOOKUP(C5231,Payers!$A$2:$A$9,Payers!$B$2:$B$9)</f>
        <v>Blue Horizon Commercial</v>
      </c>
      <c r="W5231" s="1" t="str">
        <f t="shared" si="327"/>
        <v>2026-05</v>
      </c>
    </row>
    <row r="5232" spans="1:23">
      <c r="A5232" s="1" t="s">
        <v>8012</v>
      </c>
      <c r="B5232" s="1" t="s">
        <v>3342</v>
      </c>
      <c r="C5232" s="1" t="s">
        <v>18</v>
      </c>
      <c r="D5232" s="1" t="s">
        <v>19</v>
      </c>
      <c r="E5232" s="1" t="s">
        <v>88</v>
      </c>
      <c r="F5232">
        <v>1</v>
      </c>
      <c r="G5232" s="2">
        <v>46170</v>
      </c>
      <c r="H5232" s="2">
        <v>46171</v>
      </c>
      <c r="I5232">
        <v>264.77</v>
      </c>
      <c r="M5232" s="1" t="s">
        <v>32</v>
      </c>
      <c r="N5232" s="1" t="s">
        <v>281</v>
      </c>
      <c r="O5232" s="2">
        <v>46248</v>
      </c>
      <c r="P5232" s="2"/>
      <c r="Q5232">
        <f>_xlfn.XLOOKUP(E5232,CPT!$A$2:$A$13,CPT!$D$2:$D$13)</f>
        <v>260</v>
      </c>
      <c r="R5232" s="1">
        <f>_xlfn.XLOOKUP(C5232,Contract!$A$2:$A$9,Contract!$B$2:$B$9)</f>
        <v>0.38</v>
      </c>
      <c r="S5232" s="1">
        <f t="shared" si="324"/>
        <v>98.8</v>
      </c>
      <c r="T5232" s="1" t="str">
        <f t="shared" si="325"/>
        <v/>
      </c>
      <c r="U5232" s="1" t="str">
        <f t="shared" si="326"/>
        <v/>
      </c>
      <c r="V5232" s="1" t="str">
        <f>_xlfn.XLOOKUP(C5232,Payers!$A$2:$A$9,Payers!$B$2:$B$9)</f>
        <v>Sunshine Medicare Advantage</v>
      </c>
      <c r="W5232" s="1" t="str">
        <f t="shared" si="327"/>
        <v>2026-05</v>
      </c>
    </row>
    <row r="5233" spans="1:23">
      <c r="A5233" s="1" t="s">
        <v>8013</v>
      </c>
      <c r="B5233" s="1" t="s">
        <v>8014</v>
      </c>
      <c r="C5233" s="1" t="s">
        <v>60</v>
      </c>
      <c r="D5233" s="1" t="s">
        <v>37</v>
      </c>
      <c r="E5233" s="1" t="s">
        <v>48</v>
      </c>
      <c r="F5233">
        <v>1</v>
      </c>
      <c r="G5233" s="2">
        <v>46126</v>
      </c>
      <c r="H5233" s="2">
        <v>46127</v>
      </c>
      <c r="I5233">
        <v>414.35</v>
      </c>
      <c r="J5233">
        <v>177.83</v>
      </c>
      <c r="K5233">
        <v>177.83</v>
      </c>
      <c r="L5233">
        <v>0</v>
      </c>
      <c r="M5233" s="1" t="s">
        <v>21</v>
      </c>
      <c r="N5233" s="1" t="s">
        <v>22</v>
      </c>
      <c r="O5233" s="2">
        <v>46150</v>
      </c>
      <c r="P5233" s="2">
        <v>46150</v>
      </c>
      <c r="Q5233">
        <f>_xlfn.XLOOKUP(E5233,CPT!$A$2:$A$13,CPT!$D$2:$D$13)</f>
        <v>420</v>
      </c>
      <c r="R5233" s="1">
        <f>_xlfn.XLOOKUP(C5233,Contract!$A$2:$A$9,Contract!$B$2:$B$9)</f>
        <v>0.45</v>
      </c>
      <c r="S5233" s="1">
        <f t="shared" si="324"/>
        <v>189</v>
      </c>
      <c r="T5233" s="1">
        <f t="shared" si="325"/>
        <v>11.169999999999987</v>
      </c>
      <c r="U5233" s="1" t="str">
        <f t="shared" si="326"/>
        <v>Underpaid</v>
      </c>
      <c r="V5233" s="1" t="str">
        <f>_xlfn.XLOOKUP(C5233,Payers!$A$2:$A$9,Payers!$B$2:$B$9)</f>
        <v>Blue Horizon Commercial</v>
      </c>
      <c r="W5233" s="1" t="str">
        <f t="shared" si="327"/>
        <v>2026-04</v>
      </c>
    </row>
    <row r="5234" spans="1:23">
      <c r="A5234" s="1" t="s">
        <v>8015</v>
      </c>
      <c r="B5234" s="1" t="s">
        <v>8016</v>
      </c>
      <c r="C5234" s="1" t="s">
        <v>76</v>
      </c>
      <c r="D5234" s="1" t="s">
        <v>19</v>
      </c>
      <c r="E5234" s="1" t="s">
        <v>41</v>
      </c>
      <c r="F5234">
        <v>1</v>
      </c>
      <c r="G5234" s="2">
        <v>46015</v>
      </c>
      <c r="H5234" s="2">
        <v>46025</v>
      </c>
      <c r="I5234">
        <v>38.11</v>
      </c>
      <c r="M5234" s="1" t="s">
        <v>32</v>
      </c>
      <c r="N5234" s="1" t="s">
        <v>33</v>
      </c>
      <c r="O5234" s="2">
        <v>46053</v>
      </c>
      <c r="P5234" s="2"/>
      <c r="Q5234">
        <f>_xlfn.XLOOKUP(E5234,CPT!$A$2:$A$13,CPT!$D$2:$D$13)</f>
        <v>38</v>
      </c>
      <c r="R5234" s="1">
        <f>_xlfn.XLOOKUP(C5234,Contract!$A$2:$A$9,Contract!$B$2:$B$9)</f>
        <v>0.43</v>
      </c>
      <c r="S5234" s="1">
        <f t="shared" si="324"/>
        <v>16.34</v>
      </c>
      <c r="T5234" s="1" t="str">
        <f t="shared" si="325"/>
        <v/>
      </c>
      <c r="U5234" s="1" t="str">
        <f t="shared" si="326"/>
        <v/>
      </c>
      <c r="V5234" s="1" t="str">
        <f>_xlfn.XLOOKUP(C5234,Payers!$A$2:$A$9,Payers!$B$2:$B$9)</f>
        <v>Summit Health Commercial</v>
      </c>
      <c r="W5234" s="1" t="str">
        <f t="shared" si="327"/>
        <v>2025-12</v>
      </c>
    </row>
    <row r="5235" spans="1:23">
      <c r="A5235" s="1" t="s">
        <v>8017</v>
      </c>
      <c r="B5235" s="1" t="s">
        <v>3016</v>
      </c>
      <c r="C5235" s="1" t="s">
        <v>79</v>
      </c>
      <c r="D5235" s="1" t="s">
        <v>26</v>
      </c>
      <c r="E5235" s="1" t="s">
        <v>41</v>
      </c>
      <c r="F5235">
        <v>1</v>
      </c>
      <c r="G5235" s="2">
        <v>45940</v>
      </c>
      <c r="H5235" s="2">
        <v>45951</v>
      </c>
      <c r="I5235">
        <v>38.61</v>
      </c>
      <c r="J5235">
        <v>38.61</v>
      </c>
      <c r="K5235">
        <v>38.61</v>
      </c>
      <c r="L5235">
        <v>0</v>
      </c>
      <c r="M5235" s="1" t="s">
        <v>21</v>
      </c>
      <c r="N5235" s="1" t="s">
        <v>22</v>
      </c>
      <c r="O5235" s="2">
        <v>46000</v>
      </c>
      <c r="P5235" s="2">
        <v>46000</v>
      </c>
      <c r="Q5235">
        <f>_xlfn.XLOOKUP(E5235,CPT!$A$2:$A$13,CPT!$D$2:$D$13)</f>
        <v>38</v>
      </c>
      <c r="R5235" s="1">
        <f>_xlfn.XLOOKUP(C5235,Contract!$A$2:$A$9,Contract!$B$2:$B$9)</f>
        <v>1</v>
      </c>
      <c r="S5235" s="1">
        <f t="shared" si="324"/>
        <v>38</v>
      </c>
      <c r="T5235" s="1">
        <f t="shared" si="325"/>
        <v>-0.60999999999999943</v>
      </c>
      <c r="U5235" s="1" t="str">
        <f t="shared" si="326"/>
        <v>OK</v>
      </c>
      <c r="V5235" s="1" t="str">
        <f>_xlfn.XLOOKUP(C5235,Payers!$A$2:$A$9,Payers!$B$2:$B$9)</f>
        <v>Self-Pay</v>
      </c>
      <c r="W5235" s="1" t="str">
        <f t="shared" si="327"/>
        <v>2025-10</v>
      </c>
    </row>
    <row r="5236" spans="1:23">
      <c r="A5236" s="1" t="s">
        <v>8018</v>
      </c>
      <c r="B5236" s="1" t="s">
        <v>4378</v>
      </c>
      <c r="C5236" s="1" t="s">
        <v>25</v>
      </c>
      <c r="D5236" s="1" t="s">
        <v>37</v>
      </c>
      <c r="E5236" s="1" t="s">
        <v>48</v>
      </c>
      <c r="F5236">
        <v>1</v>
      </c>
      <c r="G5236" s="2">
        <v>46083</v>
      </c>
      <c r="H5236" s="2">
        <v>46088</v>
      </c>
      <c r="I5236">
        <v>414.26</v>
      </c>
      <c r="J5236">
        <v>156.47999999999999</v>
      </c>
      <c r="K5236">
        <v>156.47999999999999</v>
      </c>
      <c r="L5236">
        <v>0</v>
      </c>
      <c r="M5236" s="1" t="s">
        <v>21</v>
      </c>
      <c r="N5236" s="1" t="s">
        <v>22</v>
      </c>
      <c r="O5236" s="2">
        <v>46118</v>
      </c>
      <c r="P5236" s="2">
        <v>46118</v>
      </c>
      <c r="Q5236">
        <f>_xlfn.XLOOKUP(E5236,CPT!$A$2:$A$13,CPT!$D$2:$D$13)</f>
        <v>420</v>
      </c>
      <c r="R5236" s="1">
        <f>_xlfn.XLOOKUP(C5236,Contract!$A$2:$A$9,Contract!$B$2:$B$9)</f>
        <v>0.36</v>
      </c>
      <c r="S5236" s="1">
        <f t="shared" si="324"/>
        <v>151.19999999999999</v>
      </c>
      <c r="T5236" s="1">
        <f t="shared" si="325"/>
        <v>-5.2800000000000011</v>
      </c>
      <c r="U5236" s="1" t="str">
        <f t="shared" si="326"/>
        <v>OK</v>
      </c>
      <c r="V5236" s="1" t="str">
        <f>_xlfn.XLOOKUP(C5236,Payers!$A$2:$A$9,Payers!$B$2:$B$9)</f>
        <v>Medicare Part B</v>
      </c>
      <c r="W5236" s="1" t="str">
        <f t="shared" si="327"/>
        <v>2026-03</v>
      </c>
    </row>
    <row r="5237" spans="1:23">
      <c r="A5237" s="1" t="s">
        <v>8019</v>
      </c>
      <c r="B5237" s="1" t="s">
        <v>3128</v>
      </c>
      <c r="C5237" s="1" t="s">
        <v>47</v>
      </c>
      <c r="D5237" s="1" t="s">
        <v>37</v>
      </c>
      <c r="E5237" s="1" t="s">
        <v>57</v>
      </c>
      <c r="F5237">
        <v>1</v>
      </c>
      <c r="G5237" s="2">
        <v>46170</v>
      </c>
      <c r="H5237" s="2">
        <v>46171</v>
      </c>
      <c r="I5237">
        <v>214.38</v>
      </c>
      <c r="J5237">
        <v>51.02</v>
      </c>
      <c r="K5237">
        <v>40.82</v>
      </c>
      <c r="L5237">
        <v>10.199999999999999</v>
      </c>
      <c r="M5237" s="1" t="s">
        <v>21</v>
      </c>
      <c r="N5237" s="1" t="s">
        <v>22</v>
      </c>
      <c r="O5237" s="2">
        <v>46232</v>
      </c>
      <c r="P5237" s="2">
        <v>46232</v>
      </c>
      <c r="Q5237">
        <f>_xlfn.XLOOKUP(E5237,CPT!$A$2:$A$13,CPT!$D$2:$D$13)</f>
        <v>210</v>
      </c>
      <c r="R5237" s="1">
        <f>_xlfn.XLOOKUP(C5237,Contract!$A$2:$A$9,Contract!$B$2:$B$9)</f>
        <v>0.28000000000000003</v>
      </c>
      <c r="S5237" s="1">
        <f t="shared" si="324"/>
        <v>58.8</v>
      </c>
      <c r="T5237" s="1">
        <f t="shared" si="325"/>
        <v>7.779999999999994</v>
      </c>
      <c r="U5237" s="1" t="str">
        <f t="shared" si="326"/>
        <v>Underpaid</v>
      </c>
      <c r="V5237" s="1" t="str">
        <f>_xlfn.XLOOKUP(C5237,Payers!$A$2:$A$9,Payers!$B$2:$B$9)</f>
        <v>Coastal Medicaid MCO</v>
      </c>
      <c r="W5237" s="1" t="str">
        <f t="shared" si="327"/>
        <v>2026-05</v>
      </c>
    </row>
    <row r="5238" spans="1:23">
      <c r="A5238" s="1" t="s">
        <v>8020</v>
      </c>
      <c r="B5238" s="1" t="s">
        <v>7120</v>
      </c>
      <c r="C5238" s="1" t="s">
        <v>25</v>
      </c>
      <c r="D5238" s="1" t="s">
        <v>19</v>
      </c>
      <c r="E5238" s="1" t="s">
        <v>41</v>
      </c>
      <c r="F5238">
        <v>1</v>
      </c>
      <c r="G5238" s="2">
        <v>45945</v>
      </c>
      <c r="H5238" s="2">
        <v>45952</v>
      </c>
      <c r="I5238">
        <v>39.049999999999997</v>
      </c>
      <c r="J5238">
        <v>14.31</v>
      </c>
      <c r="K5238">
        <v>14.31</v>
      </c>
      <c r="L5238">
        <v>0</v>
      </c>
      <c r="M5238" s="1" t="s">
        <v>21</v>
      </c>
      <c r="N5238" s="1" t="s">
        <v>22</v>
      </c>
      <c r="O5238" s="2">
        <v>45972</v>
      </c>
      <c r="P5238" s="2">
        <v>45972</v>
      </c>
      <c r="Q5238">
        <f>_xlfn.XLOOKUP(E5238,CPT!$A$2:$A$13,CPT!$D$2:$D$13)</f>
        <v>38</v>
      </c>
      <c r="R5238" s="1">
        <f>_xlfn.XLOOKUP(C5238,Contract!$A$2:$A$9,Contract!$B$2:$B$9)</f>
        <v>0.36</v>
      </c>
      <c r="S5238" s="1">
        <f t="shared" si="324"/>
        <v>13.68</v>
      </c>
      <c r="T5238" s="1">
        <f t="shared" si="325"/>
        <v>-0.63000000000000078</v>
      </c>
      <c r="U5238" s="1" t="str">
        <f t="shared" si="326"/>
        <v>OK</v>
      </c>
      <c r="V5238" s="1" t="str">
        <f>_xlfn.XLOOKUP(C5238,Payers!$A$2:$A$9,Payers!$B$2:$B$9)</f>
        <v>Medicare Part B</v>
      </c>
      <c r="W5238" s="1" t="str">
        <f t="shared" si="327"/>
        <v>2025-10</v>
      </c>
    </row>
    <row r="5239" spans="1:23">
      <c r="A5239" s="1" t="s">
        <v>8021</v>
      </c>
      <c r="B5239" s="1" t="s">
        <v>117</v>
      </c>
      <c r="C5239" s="1" t="s">
        <v>52</v>
      </c>
      <c r="D5239" s="1" t="s">
        <v>26</v>
      </c>
      <c r="E5239" s="1" t="s">
        <v>113</v>
      </c>
      <c r="F5239">
        <v>1</v>
      </c>
      <c r="G5239" s="2">
        <v>46006</v>
      </c>
      <c r="H5239" s="2">
        <v>46008</v>
      </c>
      <c r="I5239">
        <v>1033.32</v>
      </c>
      <c r="J5239">
        <v>489.37</v>
      </c>
      <c r="K5239">
        <v>391.5</v>
      </c>
      <c r="L5239">
        <v>97.87</v>
      </c>
      <c r="M5239" s="1" t="s">
        <v>21</v>
      </c>
      <c r="N5239" s="1" t="s">
        <v>22</v>
      </c>
      <c r="O5239" s="2">
        <v>46035</v>
      </c>
      <c r="P5239" s="2">
        <v>46035</v>
      </c>
      <c r="Q5239">
        <f>_xlfn.XLOOKUP(E5239,CPT!$A$2:$A$13,CPT!$D$2:$D$13)</f>
        <v>1050</v>
      </c>
      <c r="R5239" s="1">
        <f>_xlfn.XLOOKUP(C5239,Contract!$A$2:$A$9,Contract!$B$2:$B$9)</f>
        <v>0.47</v>
      </c>
      <c r="S5239" s="1">
        <f t="shared" si="324"/>
        <v>493.5</v>
      </c>
      <c r="T5239" s="1">
        <f t="shared" si="325"/>
        <v>4.1299999999999955</v>
      </c>
      <c r="U5239" s="1" t="str">
        <f t="shared" si="326"/>
        <v>OK</v>
      </c>
      <c r="V5239" s="1" t="str">
        <f>_xlfn.XLOOKUP(C5239,Payers!$A$2:$A$9,Payers!$B$2:$B$9)</f>
        <v>Keystone Commercial PPO</v>
      </c>
      <c r="W5239" s="1" t="str">
        <f t="shared" si="327"/>
        <v>2025-12</v>
      </c>
    </row>
    <row r="5240" spans="1:23">
      <c r="A5240" s="1" t="s">
        <v>8022</v>
      </c>
      <c r="B5240" s="1" t="s">
        <v>172</v>
      </c>
      <c r="C5240" s="1" t="s">
        <v>18</v>
      </c>
      <c r="D5240" s="1" t="s">
        <v>19</v>
      </c>
      <c r="E5240" s="1" t="s">
        <v>20</v>
      </c>
      <c r="F5240">
        <v>1</v>
      </c>
      <c r="G5240" s="2">
        <v>46276</v>
      </c>
      <c r="H5240" s="2">
        <v>46277</v>
      </c>
      <c r="I5240">
        <v>146.15</v>
      </c>
      <c r="M5240" s="1" t="s">
        <v>69</v>
      </c>
      <c r="N5240" s="1" t="s">
        <v>22</v>
      </c>
      <c r="O5240" s="2"/>
      <c r="P5240" s="2"/>
      <c r="Q5240">
        <f>_xlfn.XLOOKUP(E5240,CPT!$A$2:$A$13,CPT!$D$2:$D$13)</f>
        <v>145</v>
      </c>
      <c r="R5240" s="1">
        <f>_xlfn.XLOOKUP(C5240,Contract!$A$2:$A$9,Contract!$B$2:$B$9)</f>
        <v>0.38</v>
      </c>
      <c r="S5240" s="1">
        <f t="shared" si="324"/>
        <v>55.1</v>
      </c>
      <c r="T5240" s="1" t="str">
        <f t="shared" si="325"/>
        <v/>
      </c>
      <c r="U5240" s="1" t="str">
        <f t="shared" si="326"/>
        <v/>
      </c>
      <c r="V5240" s="1" t="str">
        <f>_xlfn.XLOOKUP(C5240,Payers!$A$2:$A$9,Payers!$B$2:$B$9)</f>
        <v>Sunshine Medicare Advantage</v>
      </c>
      <c r="W5240" s="1" t="str">
        <f t="shared" si="327"/>
        <v>2026-09</v>
      </c>
    </row>
    <row r="5241" spans="1:23">
      <c r="A5241" s="1" t="s">
        <v>8023</v>
      </c>
      <c r="B5241" s="1" t="s">
        <v>3146</v>
      </c>
      <c r="C5241" s="1" t="s">
        <v>18</v>
      </c>
      <c r="D5241" s="1" t="s">
        <v>19</v>
      </c>
      <c r="E5241" s="1" t="s">
        <v>41</v>
      </c>
      <c r="F5241">
        <v>1</v>
      </c>
      <c r="G5241" s="2">
        <v>46016</v>
      </c>
      <c r="H5241" s="2">
        <v>46017</v>
      </c>
      <c r="I5241">
        <v>38.6</v>
      </c>
      <c r="J5241">
        <v>16.309999999999999</v>
      </c>
      <c r="K5241">
        <v>13.05</v>
      </c>
      <c r="L5241">
        <v>3.26</v>
      </c>
      <c r="M5241" s="1" t="s">
        <v>21</v>
      </c>
      <c r="N5241" s="1" t="s">
        <v>22</v>
      </c>
      <c r="O5241" s="2">
        <v>46062</v>
      </c>
      <c r="P5241" s="2">
        <v>46062</v>
      </c>
      <c r="Q5241">
        <f>_xlfn.XLOOKUP(E5241,CPT!$A$2:$A$13,CPT!$D$2:$D$13)</f>
        <v>38</v>
      </c>
      <c r="R5241" s="1">
        <f>_xlfn.XLOOKUP(C5241,Contract!$A$2:$A$9,Contract!$B$2:$B$9)</f>
        <v>0.38</v>
      </c>
      <c r="S5241" s="1">
        <f t="shared" si="324"/>
        <v>14.44</v>
      </c>
      <c r="T5241" s="1">
        <f t="shared" si="325"/>
        <v>-1.8699999999999992</v>
      </c>
      <c r="U5241" s="1" t="str">
        <f t="shared" si="326"/>
        <v>OK</v>
      </c>
      <c r="V5241" s="1" t="str">
        <f>_xlfn.XLOOKUP(C5241,Payers!$A$2:$A$9,Payers!$B$2:$B$9)</f>
        <v>Sunshine Medicare Advantage</v>
      </c>
      <c r="W5241" s="1" t="str">
        <f t="shared" si="327"/>
        <v>2025-12</v>
      </c>
    </row>
    <row r="5242" spans="1:23">
      <c r="A5242" s="1" t="s">
        <v>8024</v>
      </c>
      <c r="B5242" s="1" t="s">
        <v>8025</v>
      </c>
      <c r="C5242" s="1" t="s">
        <v>60</v>
      </c>
      <c r="D5242" s="1" t="s">
        <v>37</v>
      </c>
      <c r="E5242" s="1" t="s">
        <v>38</v>
      </c>
      <c r="F5242">
        <v>20</v>
      </c>
      <c r="G5242" s="2">
        <v>45941</v>
      </c>
      <c r="H5242" s="2">
        <v>45945</v>
      </c>
      <c r="I5242">
        <v>28172.62</v>
      </c>
      <c r="J5242">
        <v>11637.3</v>
      </c>
      <c r="K5242">
        <v>11637.3</v>
      </c>
      <c r="L5242">
        <v>0</v>
      </c>
      <c r="M5242" s="1" t="s">
        <v>21</v>
      </c>
      <c r="N5242" s="1" t="s">
        <v>22</v>
      </c>
      <c r="O5242" s="2">
        <v>45964</v>
      </c>
      <c r="P5242" s="2">
        <v>45964</v>
      </c>
      <c r="Q5242">
        <f>_xlfn.XLOOKUP(E5242,CPT!$A$2:$A$13,CPT!$D$2:$D$13)</f>
        <v>1450</v>
      </c>
      <c r="R5242" s="1">
        <f>_xlfn.XLOOKUP(C5242,Contract!$A$2:$A$9,Contract!$B$2:$B$9)</f>
        <v>0.45</v>
      </c>
      <c r="S5242" s="1">
        <f t="shared" si="324"/>
        <v>13050</v>
      </c>
      <c r="T5242" s="1">
        <f t="shared" si="325"/>
        <v>1412.7000000000007</v>
      </c>
      <c r="U5242" s="1" t="str">
        <f t="shared" si="326"/>
        <v>Underpaid</v>
      </c>
      <c r="V5242" s="1" t="str">
        <f>_xlfn.XLOOKUP(C5242,Payers!$A$2:$A$9,Payers!$B$2:$B$9)</f>
        <v>Blue Horizon Commercial</v>
      </c>
      <c r="W5242" s="1" t="str">
        <f t="shared" si="327"/>
        <v>2025-10</v>
      </c>
    </row>
    <row r="5243" spans="1:23">
      <c r="A5243" s="1" t="s">
        <v>8026</v>
      </c>
      <c r="B5243" s="1" t="s">
        <v>1971</v>
      </c>
      <c r="C5243" s="1" t="s">
        <v>18</v>
      </c>
      <c r="D5243" s="1" t="s">
        <v>19</v>
      </c>
      <c r="E5243" s="1" t="s">
        <v>20</v>
      </c>
      <c r="F5243">
        <v>1</v>
      </c>
      <c r="G5243" s="2">
        <v>46134</v>
      </c>
      <c r="H5243" s="2">
        <v>46139</v>
      </c>
      <c r="I5243">
        <v>140.69999999999999</v>
      </c>
      <c r="J5243">
        <v>47.88</v>
      </c>
      <c r="K5243">
        <v>38.299999999999997</v>
      </c>
      <c r="L5243">
        <v>9.58</v>
      </c>
      <c r="M5243" s="1" t="s">
        <v>21</v>
      </c>
      <c r="N5243" s="1" t="s">
        <v>22</v>
      </c>
      <c r="O5243" s="2">
        <v>46182</v>
      </c>
      <c r="P5243" s="2">
        <v>46182</v>
      </c>
      <c r="Q5243">
        <f>_xlfn.XLOOKUP(E5243,CPT!$A$2:$A$13,CPT!$D$2:$D$13)</f>
        <v>145</v>
      </c>
      <c r="R5243" s="1">
        <f>_xlfn.XLOOKUP(C5243,Contract!$A$2:$A$9,Contract!$B$2:$B$9)</f>
        <v>0.38</v>
      </c>
      <c r="S5243" s="1">
        <f t="shared" si="324"/>
        <v>55.1</v>
      </c>
      <c r="T5243" s="1">
        <f t="shared" si="325"/>
        <v>7.2199999999999989</v>
      </c>
      <c r="U5243" s="1" t="str">
        <f t="shared" si="326"/>
        <v>Underpaid</v>
      </c>
      <c r="V5243" s="1" t="str">
        <f>_xlfn.XLOOKUP(C5243,Payers!$A$2:$A$9,Payers!$B$2:$B$9)</f>
        <v>Sunshine Medicare Advantage</v>
      </c>
      <c r="W5243" s="1" t="str">
        <f t="shared" si="327"/>
        <v>2026-04</v>
      </c>
    </row>
    <row r="5244" spans="1:23">
      <c r="A5244" s="1" t="s">
        <v>8027</v>
      </c>
      <c r="B5244" s="1" t="s">
        <v>8028</v>
      </c>
      <c r="C5244" s="1" t="s">
        <v>52</v>
      </c>
      <c r="D5244" s="1" t="s">
        <v>26</v>
      </c>
      <c r="E5244" s="1" t="s">
        <v>41</v>
      </c>
      <c r="F5244">
        <v>1</v>
      </c>
      <c r="G5244" s="2">
        <v>46284</v>
      </c>
      <c r="H5244" s="2">
        <v>46295</v>
      </c>
      <c r="I5244">
        <v>38.81</v>
      </c>
      <c r="M5244" s="1" t="s">
        <v>69</v>
      </c>
      <c r="N5244" s="1" t="s">
        <v>22</v>
      </c>
      <c r="O5244" s="2"/>
      <c r="P5244" s="2"/>
      <c r="Q5244">
        <f>_xlfn.XLOOKUP(E5244,CPT!$A$2:$A$13,CPT!$D$2:$D$13)</f>
        <v>38</v>
      </c>
      <c r="R5244" s="1">
        <f>_xlfn.XLOOKUP(C5244,Contract!$A$2:$A$9,Contract!$B$2:$B$9)</f>
        <v>0.47</v>
      </c>
      <c r="S5244" s="1">
        <f t="shared" si="324"/>
        <v>17.86</v>
      </c>
      <c r="T5244" s="1" t="str">
        <f t="shared" si="325"/>
        <v/>
      </c>
      <c r="U5244" s="1" t="str">
        <f t="shared" si="326"/>
        <v/>
      </c>
      <c r="V5244" s="1" t="str">
        <f>_xlfn.XLOOKUP(C5244,Payers!$A$2:$A$9,Payers!$B$2:$B$9)</f>
        <v>Keystone Commercial PPO</v>
      </c>
      <c r="W5244" s="1" t="str">
        <f t="shared" si="327"/>
        <v>2026-09</v>
      </c>
    </row>
    <row r="5245" spans="1:23">
      <c r="A5245" s="1" t="s">
        <v>8029</v>
      </c>
      <c r="B5245" s="1" t="s">
        <v>373</v>
      </c>
      <c r="C5245" s="1" t="s">
        <v>36</v>
      </c>
      <c r="D5245" s="1" t="s">
        <v>19</v>
      </c>
      <c r="E5245" s="1" t="s">
        <v>41</v>
      </c>
      <c r="F5245">
        <v>1</v>
      </c>
      <c r="G5245" s="2">
        <v>45976</v>
      </c>
      <c r="H5245" s="2">
        <v>45980</v>
      </c>
      <c r="I5245">
        <v>38.75</v>
      </c>
      <c r="J5245">
        <v>9.56</v>
      </c>
      <c r="K5245">
        <v>9.56</v>
      </c>
      <c r="L5245">
        <v>0</v>
      </c>
      <c r="M5245" s="1" t="s">
        <v>21</v>
      </c>
      <c r="N5245" s="1" t="s">
        <v>22</v>
      </c>
      <c r="O5245" s="2">
        <v>46040</v>
      </c>
      <c r="P5245" s="2">
        <v>46040</v>
      </c>
      <c r="Q5245">
        <f>_xlfn.XLOOKUP(E5245,CPT!$A$2:$A$13,CPT!$D$2:$D$13)</f>
        <v>38</v>
      </c>
      <c r="R5245" s="1">
        <f>_xlfn.XLOOKUP(C5245,Contract!$A$2:$A$9,Contract!$B$2:$B$9)</f>
        <v>0.27</v>
      </c>
      <c r="S5245" s="1">
        <f t="shared" si="324"/>
        <v>10.26</v>
      </c>
      <c r="T5245" s="1">
        <f t="shared" si="325"/>
        <v>0.69999999999999929</v>
      </c>
      <c r="U5245" s="1" t="str">
        <f t="shared" si="326"/>
        <v>Underpaid</v>
      </c>
      <c r="V5245" s="1" t="str">
        <f>_xlfn.XLOOKUP(C5245,Payers!$A$2:$A$9,Payers!$B$2:$B$9)</f>
        <v>Florida Medicaid</v>
      </c>
      <c r="W5245" s="1" t="str">
        <f t="shared" si="327"/>
        <v>2025-11</v>
      </c>
    </row>
    <row r="5246" spans="1:23">
      <c r="A5246" s="1" t="s">
        <v>8030</v>
      </c>
      <c r="B5246" s="1" t="s">
        <v>7625</v>
      </c>
      <c r="C5246" s="1" t="s">
        <v>76</v>
      </c>
      <c r="D5246" s="1" t="s">
        <v>30</v>
      </c>
      <c r="E5246" s="1" t="s">
        <v>20</v>
      </c>
      <c r="F5246">
        <v>1</v>
      </c>
      <c r="G5246" s="2">
        <v>45989</v>
      </c>
      <c r="H5246" s="2">
        <v>46002</v>
      </c>
      <c r="I5246">
        <v>148.63</v>
      </c>
      <c r="J5246">
        <v>55.28</v>
      </c>
      <c r="K5246">
        <v>55.28</v>
      </c>
      <c r="L5246">
        <v>0</v>
      </c>
      <c r="M5246" s="1" t="s">
        <v>21</v>
      </c>
      <c r="N5246" s="1" t="s">
        <v>22</v>
      </c>
      <c r="O5246" s="2">
        <v>46034</v>
      </c>
      <c r="P5246" s="2">
        <v>46034</v>
      </c>
      <c r="Q5246">
        <f>_xlfn.XLOOKUP(E5246,CPT!$A$2:$A$13,CPT!$D$2:$D$13)</f>
        <v>145</v>
      </c>
      <c r="R5246" s="1">
        <f>_xlfn.XLOOKUP(C5246,Contract!$A$2:$A$9,Contract!$B$2:$B$9)</f>
        <v>0.43</v>
      </c>
      <c r="S5246" s="1">
        <f t="shared" si="324"/>
        <v>62.35</v>
      </c>
      <c r="T5246" s="1">
        <f t="shared" si="325"/>
        <v>7.07</v>
      </c>
      <c r="U5246" s="1" t="str">
        <f t="shared" si="326"/>
        <v>Underpaid</v>
      </c>
      <c r="V5246" s="1" t="str">
        <f>_xlfn.XLOOKUP(C5246,Payers!$A$2:$A$9,Payers!$B$2:$B$9)</f>
        <v>Summit Health Commercial</v>
      </c>
      <c r="W5246" s="1" t="str">
        <f t="shared" si="327"/>
        <v>2025-11</v>
      </c>
    </row>
    <row r="5247" spans="1:23">
      <c r="A5247" s="1" t="s">
        <v>8031</v>
      </c>
      <c r="B5247" s="1" t="s">
        <v>3095</v>
      </c>
      <c r="C5247" s="1" t="s">
        <v>52</v>
      </c>
      <c r="D5247" s="1" t="s">
        <v>26</v>
      </c>
      <c r="E5247" s="1" t="s">
        <v>44</v>
      </c>
      <c r="F5247">
        <v>1</v>
      </c>
      <c r="G5247" s="2">
        <v>45933</v>
      </c>
      <c r="H5247" s="2">
        <v>45936</v>
      </c>
      <c r="I5247">
        <v>4936.3900000000003</v>
      </c>
      <c r="J5247">
        <v>2315.02</v>
      </c>
      <c r="K5247">
        <v>2315.02</v>
      </c>
      <c r="L5247">
        <v>0</v>
      </c>
      <c r="M5247" s="1" t="s">
        <v>21</v>
      </c>
      <c r="N5247" s="1" t="s">
        <v>22</v>
      </c>
      <c r="O5247" s="2">
        <v>45973</v>
      </c>
      <c r="P5247" s="2">
        <v>45973</v>
      </c>
      <c r="Q5247">
        <f>_xlfn.XLOOKUP(E5247,CPT!$A$2:$A$13,CPT!$D$2:$D$13)</f>
        <v>4800</v>
      </c>
      <c r="R5247" s="1">
        <f>_xlfn.XLOOKUP(C5247,Contract!$A$2:$A$9,Contract!$B$2:$B$9)</f>
        <v>0.47</v>
      </c>
      <c r="S5247" s="1">
        <f t="shared" si="324"/>
        <v>2256</v>
      </c>
      <c r="T5247" s="1">
        <f t="shared" si="325"/>
        <v>-59.019999999999982</v>
      </c>
      <c r="U5247" s="1" t="str">
        <f t="shared" si="326"/>
        <v>OK</v>
      </c>
      <c r="V5247" s="1" t="str">
        <f>_xlfn.XLOOKUP(C5247,Payers!$A$2:$A$9,Payers!$B$2:$B$9)</f>
        <v>Keystone Commercial PPO</v>
      </c>
      <c r="W5247" s="1" t="str">
        <f t="shared" si="327"/>
        <v>2025-10</v>
      </c>
    </row>
    <row r="5248" spans="1:23">
      <c r="A5248" s="1" t="s">
        <v>8032</v>
      </c>
      <c r="B5248" s="1" t="s">
        <v>6709</v>
      </c>
      <c r="C5248" s="1" t="s">
        <v>18</v>
      </c>
      <c r="D5248" s="1" t="s">
        <v>26</v>
      </c>
      <c r="E5248" s="1" t="s">
        <v>88</v>
      </c>
      <c r="F5248">
        <v>1</v>
      </c>
      <c r="G5248" s="2">
        <v>46248</v>
      </c>
      <c r="H5248" s="2">
        <v>46251</v>
      </c>
      <c r="I5248">
        <v>255.7</v>
      </c>
      <c r="M5248" s="1" t="s">
        <v>69</v>
      </c>
      <c r="N5248" s="1" t="s">
        <v>22</v>
      </c>
      <c r="O5248" s="2"/>
      <c r="P5248" s="2"/>
      <c r="Q5248">
        <f>_xlfn.XLOOKUP(E5248,CPT!$A$2:$A$13,CPT!$D$2:$D$13)</f>
        <v>260</v>
      </c>
      <c r="R5248" s="1">
        <f>_xlfn.XLOOKUP(C5248,Contract!$A$2:$A$9,Contract!$B$2:$B$9)</f>
        <v>0.38</v>
      </c>
      <c r="S5248" s="1">
        <f t="shared" si="324"/>
        <v>98.8</v>
      </c>
      <c r="T5248" s="1" t="str">
        <f t="shared" si="325"/>
        <v/>
      </c>
      <c r="U5248" s="1" t="str">
        <f t="shared" si="326"/>
        <v/>
      </c>
      <c r="V5248" s="1" t="str">
        <f>_xlfn.XLOOKUP(C5248,Payers!$A$2:$A$9,Payers!$B$2:$B$9)</f>
        <v>Sunshine Medicare Advantage</v>
      </c>
      <c r="W5248" s="1" t="str">
        <f t="shared" si="327"/>
        <v>2026-08</v>
      </c>
    </row>
    <row r="5249" spans="1:23">
      <c r="A5249" s="1" t="s">
        <v>8033</v>
      </c>
      <c r="B5249" s="1" t="s">
        <v>3780</v>
      </c>
      <c r="C5249" s="1" t="s">
        <v>36</v>
      </c>
      <c r="D5249" s="1" t="s">
        <v>19</v>
      </c>
      <c r="E5249" s="1" t="s">
        <v>41</v>
      </c>
      <c r="F5249">
        <v>1</v>
      </c>
      <c r="G5249" s="2">
        <v>46238</v>
      </c>
      <c r="H5249" s="2">
        <v>46242</v>
      </c>
      <c r="I5249">
        <v>38.82</v>
      </c>
      <c r="M5249" s="1" t="s">
        <v>69</v>
      </c>
      <c r="N5249" s="1" t="s">
        <v>22</v>
      </c>
      <c r="O5249" s="2"/>
      <c r="P5249" s="2"/>
      <c r="Q5249">
        <f>_xlfn.XLOOKUP(E5249,CPT!$A$2:$A$13,CPT!$D$2:$D$13)</f>
        <v>38</v>
      </c>
      <c r="R5249" s="1">
        <f>_xlfn.XLOOKUP(C5249,Contract!$A$2:$A$9,Contract!$B$2:$B$9)</f>
        <v>0.27</v>
      </c>
      <c r="S5249" s="1">
        <f t="shared" si="324"/>
        <v>10.26</v>
      </c>
      <c r="T5249" s="1" t="str">
        <f t="shared" si="325"/>
        <v/>
      </c>
      <c r="U5249" s="1" t="str">
        <f t="shared" si="326"/>
        <v/>
      </c>
      <c r="V5249" s="1" t="str">
        <f>_xlfn.XLOOKUP(C5249,Payers!$A$2:$A$9,Payers!$B$2:$B$9)</f>
        <v>Florida Medicaid</v>
      </c>
      <c r="W5249" s="1" t="str">
        <f t="shared" si="327"/>
        <v>2026-08</v>
      </c>
    </row>
    <row r="5250" spans="1:23">
      <c r="A5250" s="1" t="s">
        <v>8034</v>
      </c>
      <c r="B5250" s="1" t="s">
        <v>625</v>
      </c>
      <c r="C5250" s="1" t="s">
        <v>79</v>
      </c>
      <c r="D5250" s="1" t="s">
        <v>30</v>
      </c>
      <c r="E5250" s="1" t="s">
        <v>31</v>
      </c>
      <c r="F5250">
        <v>3</v>
      </c>
      <c r="G5250" s="2">
        <v>46118</v>
      </c>
      <c r="H5250" s="2">
        <v>46120</v>
      </c>
      <c r="I5250">
        <v>181.11</v>
      </c>
      <c r="M5250" s="1" t="s">
        <v>69</v>
      </c>
      <c r="N5250" s="1" t="s">
        <v>22</v>
      </c>
      <c r="O5250" s="2"/>
      <c r="P5250" s="2"/>
      <c r="Q5250">
        <f>_xlfn.XLOOKUP(E5250,CPT!$A$2:$A$13,CPT!$D$2:$D$13)</f>
        <v>62</v>
      </c>
      <c r="R5250" s="1">
        <f>_xlfn.XLOOKUP(C5250,Contract!$A$2:$A$9,Contract!$B$2:$B$9)</f>
        <v>1</v>
      </c>
      <c r="S5250" s="1">
        <f t="shared" ref="S5250:S5313" si="328">ROUND(Q5250*F5250*R5250,2)</f>
        <v>186</v>
      </c>
      <c r="T5250" s="1" t="str">
        <f t="shared" ref="T5250:T5313" si="329">IF(M5250="Paid",S5250-J5250,"")</f>
        <v/>
      </c>
      <c r="U5250" s="1" t="str">
        <f t="shared" ref="U5250:U5313" si="330">IF(M5250&lt;&gt;"Paid","",IF(T5250&gt;S5250*0.05,"Underpaid","OK"))</f>
        <v/>
      </c>
      <c r="V5250" s="1" t="str">
        <f>_xlfn.XLOOKUP(C5250,Payers!$A$2:$A$9,Payers!$B$2:$B$9)</f>
        <v>Self-Pay</v>
      </c>
      <c r="W5250" s="1" t="str">
        <f t="shared" ref="W5250:W5313" si="331">TEXT(G5250,"yyyy-mm")</f>
        <v>2026-04</v>
      </c>
    </row>
    <row r="5251" spans="1:23">
      <c r="A5251" s="1" t="s">
        <v>8035</v>
      </c>
      <c r="B5251" s="1" t="s">
        <v>8036</v>
      </c>
      <c r="C5251" s="1" t="s">
        <v>60</v>
      </c>
      <c r="D5251" s="1" t="s">
        <v>19</v>
      </c>
      <c r="E5251" s="1" t="s">
        <v>57</v>
      </c>
      <c r="F5251">
        <v>1</v>
      </c>
      <c r="G5251" s="2">
        <v>45986</v>
      </c>
      <c r="H5251" s="2">
        <v>45988</v>
      </c>
      <c r="I5251">
        <v>205.67</v>
      </c>
      <c r="J5251">
        <v>78.84</v>
      </c>
      <c r="K5251">
        <v>78.84</v>
      </c>
      <c r="L5251">
        <v>0</v>
      </c>
      <c r="M5251" s="1" t="s">
        <v>21</v>
      </c>
      <c r="N5251" s="1" t="s">
        <v>22</v>
      </c>
      <c r="O5251" s="2">
        <v>46007</v>
      </c>
      <c r="P5251" s="2">
        <v>46007</v>
      </c>
      <c r="Q5251">
        <f>_xlfn.XLOOKUP(E5251,CPT!$A$2:$A$13,CPT!$D$2:$D$13)</f>
        <v>210</v>
      </c>
      <c r="R5251" s="1">
        <f>_xlfn.XLOOKUP(C5251,Contract!$A$2:$A$9,Contract!$B$2:$B$9)</f>
        <v>0.45</v>
      </c>
      <c r="S5251" s="1">
        <f t="shared" si="328"/>
        <v>94.5</v>
      </c>
      <c r="T5251" s="1">
        <f t="shared" si="329"/>
        <v>15.659999999999997</v>
      </c>
      <c r="U5251" s="1" t="str">
        <f t="shared" si="330"/>
        <v>Underpaid</v>
      </c>
      <c r="V5251" s="1" t="str">
        <f>_xlfn.XLOOKUP(C5251,Payers!$A$2:$A$9,Payers!$B$2:$B$9)</f>
        <v>Blue Horizon Commercial</v>
      </c>
      <c r="W5251" s="1" t="str">
        <f t="shared" si="331"/>
        <v>2025-11</v>
      </c>
    </row>
    <row r="5252" spans="1:23">
      <c r="A5252" s="1" t="s">
        <v>8037</v>
      </c>
      <c r="B5252" s="1" t="s">
        <v>167</v>
      </c>
      <c r="C5252" s="1" t="s">
        <v>60</v>
      </c>
      <c r="D5252" s="1" t="s">
        <v>19</v>
      </c>
      <c r="E5252" s="1" t="s">
        <v>20</v>
      </c>
      <c r="F5252">
        <v>1</v>
      </c>
      <c r="G5252" s="2">
        <v>46277</v>
      </c>
      <c r="H5252" s="2">
        <v>46284</v>
      </c>
      <c r="I5252">
        <v>145.58000000000001</v>
      </c>
      <c r="M5252" s="1" t="s">
        <v>69</v>
      </c>
      <c r="N5252" s="1" t="s">
        <v>22</v>
      </c>
      <c r="O5252" s="2"/>
      <c r="P5252" s="2"/>
      <c r="Q5252">
        <f>_xlfn.XLOOKUP(E5252,CPT!$A$2:$A$13,CPT!$D$2:$D$13)</f>
        <v>145</v>
      </c>
      <c r="R5252" s="1">
        <f>_xlfn.XLOOKUP(C5252,Contract!$A$2:$A$9,Contract!$B$2:$B$9)</f>
        <v>0.45</v>
      </c>
      <c r="S5252" s="1">
        <f t="shared" si="328"/>
        <v>65.25</v>
      </c>
      <c r="T5252" s="1" t="str">
        <f t="shared" si="329"/>
        <v/>
      </c>
      <c r="U5252" s="1" t="str">
        <f t="shared" si="330"/>
        <v/>
      </c>
      <c r="V5252" s="1" t="str">
        <f>_xlfn.XLOOKUP(C5252,Payers!$A$2:$A$9,Payers!$B$2:$B$9)</f>
        <v>Blue Horizon Commercial</v>
      </c>
      <c r="W5252" s="1" t="str">
        <f t="shared" si="331"/>
        <v>2026-09</v>
      </c>
    </row>
    <row r="5253" spans="1:23">
      <c r="A5253" s="1" t="s">
        <v>8038</v>
      </c>
      <c r="B5253" s="1" t="s">
        <v>8039</v>
      </c>
      <c r="C5253" s="1" t="s">
        <v>76</v>
      </c>
      <c r="D5253" s="1" t="s">
        <v>19</v>
      </c>
      <c r="E5253" s="1" t="s">
        <v>88</v>
      </c>
      <c r="F5253">
        <v>1</v>
      </c>
      <c r="G5253" s="2">
        <v>46065</v>
      </c>
      <c r="H5253" s="2">
        <v>46071</v>
      </c>
      <c r="I5253">
        <v>252.63</v>
      </c>
      <c r="J5253">
        <v>121.59</v>
      </c>
      <c r="K5253">
        <v>121.59</v>
      </c>
      <c r="L5253">
        <v>0</v>
      </c>
      <c r="M5253" s="1" t="s">
        <v>21</v>
      </c>
      <c r="N5253" s="1" t="s">
        <v>22</v>
      </c>
      <c r="O5253" s="2">
        <v>46097</v>
      </c>
      <c r="P5253" s="2">
        <v>46097</v>
      </c>
      <c r="Q5253">
        <f>_xlfn.XLOOKUP(E5253,CPT!$A$2:$A$13,CPT!$D$2:$D$13)</f>
        <v>260</v>
      </c>
      <c r="R5253" s="1">
        <f>_xlfn.XLOOKUP(C5253,Contract!$A$2:$A$9,Contract!$B$2:$B$9)</f>
        <v>0.43</v>
      </c>
      <c r="S5253" s="1">
        <f t="shared" si="328"/>
        <v>111.8</v>
      </c>
      <c r="T5253" s="1">
        <f t="shared" si="329"/>
        <v>-9.7900000000000063</v>
      </c>
      <c r="U5253" s="1" t="str">
        <f t="shared" si="330"/>
        <v>OK</v>
      </c>
      <c r="V5253" s="1" t="str">
        <f>_xlfn.XLOOKUP(C5253,Payers!$A$2:$A$9,Payers!$B$2:$B$9)</f>
        <v>Summit Health Commercial</v>
      </c>
      <c r="W5253" s="1" t="str">
        <f t="shared" si="331"/>
        <v>2026-02</v>
      </c>
    </row>
    <row r="5254" spans="1:23">
      <c r="A5254" s="1" t="s">
        <v>8040</v>
      </c>
      <c r="B5254" s="1" t="s">
        <v>758</v>
      </c>
      <c r="C5254" s="1" t="s">
        <v>18</v>
      </c>
      <c r="D5254" s="1" t="s">
        <v>19</v>
      </c>
      <c r="E5254" s="1" t="s">
        <v>57</v>
      </c>
      <c r="F5254">
        <v>1</v>
      </c>
      <c r="G5254" s="2">
        <v>45999</v>
      </c>
      <c r="H5254" s="2">
        <v>46003</v>
      </c>
      <c r="I5254">
        <v>204.36</v>
      </c>
      <c r="J5254">
        <v>83.06</v>
      </c>
      <c r="K5254">
        <v>83.06</v>
      </c>
      <c r="L5254">
        <v>0</v>
      </c>
      <c r="M5254" s="1" t="s">
        <v>21</v>
      </c>
      <c r="N5254" s="1" t="s">
        <v>22</v>
      </c>
      <c r="O5254" s="2">
        <v>46051</v>
      </c>
      <c r="P5254" s="2">
        <v>46051</v>
      </c>
      <c r="Q5254">
        <f>_xlfn.XLOOKUP(E5254,CPT!$A$2:$A$13,CPT!$D$2:$D$13)</f>
        <v>210</v>
      </c>
      <c r="R5254" s="1">
        <f>_xlfn.XLOOKUP(C5254,Contract!$A$2:$A$9,Contract!$B$2:$B$9)</f>
        <v>0.38</v>
      </c>
      <c r="S5254" s="1">
        <f t="shared" si="328"/>
        <v>79.8</v>
      </c>
      <c r="T5254" s="1">
        <f t="shared" si="329"/>
        <v>-3.2600000000000051</v>
      </c>
      <c r="U5254" s="1" t="str">
        <f t="shared" si="330"/>
        <v>OK</v>
      </c>
      <c r="V5254" s="1" t="str">
        <f>_xlfn.XLOOKUP(C5254,Payers!$A$2:$A$9,Payers!$B$2:$B$9)</f>
        <v>Sunshine Medicare Advantage</v>
      </c>
      <c r="W5254" s="1" t="str">
        <f t="shared" si="331"/>
        <v>2025-12</v>
      </c>
    </row>
    <row r="5255" spans="1:23">
      <c r="A5255" s="1" t="s">
        <v>8041</v>
      </c>
      <c r="B5255" s="1" t="s">
        <v>8042</v>
      </c>
      <c r="C5255" s="1" t="s">
        <v>60</v>
      </c>
      <c r="D5255" s="1" t="s">
        <v>26</v>
      </c>
      <c r="E5255" s="1" t="s">
        <v>27</v>
      </c>
      <c r="F5255">
        <v>1</v>
      </c>
      <c r="G5255" s="2">
        <v>46103</v>
      </c>
      <c r="H5255" s="2">
        <v>46104</v>
      </c>
      <c r="I5255">
        <v>242.72</v>
      </c>
      <c r="J5255">
        <v>119.59</v>
      </c>
      <c r="K5255">
        <v>119.59</v>
      </c>
      <c r="L5255">
        <v>0</v>
      </c>
      <c r="M5255" s="1" t="s">
        <v>21</v>
      </c>
      <c r="N5255" s="1" t="s">
        <v>22</v>
      </c>
      <c r="O5255" s="2">
        <v>46142</v>
      </c>
      <c r="P5255" s="2">
        <v>46142</v>
      </c>
      <c r="Q5255">
        <f>_xlfn.XLOOKUP(E5255,CPT!$A$2:$A$13,CPT!$D$2:$D$13)</f>
        <v>240</v>
      </c>
      <c r="R5255" s="1">
        <f>_xlfn.XLOOKUP(C5255,Contract!$A$2:$A$9,Contract!$B$2:$B$9)</f>
        <v>0.45</v>
      </c>
      <c r="S5255" s="1">
        <f t="shared" si="328"/>
        <v>108</v>
      </c>
      <c r="T5255" s="1">
        <f t="shared" si="329"/>
        <v>-11.590000000000003</v>
      </c>
      <c r="U5255" s="1" t="str">
        <f t="shared" si="330"/>
        <v>OK</v>
      </c>
      <c r="V5255" s="1" t="str">
        <f>_xlfn.XLOOKUP(C5255,Payers!$A$2:$A$9,Payers!$B$2:$B$9)</f>
        <v>Blue Horizon Commercial</v>
      </c>
      <c r="W5255" s="1" t="str">
        <f t="shared" si="331"/>
        <v>2026-03</v>
      </c>
    </row>
    <row r="5256" spans="1:23">
      <c r="A5256" s="1" t="s">
        <v>8043</v>
      </c>
      <c r="B5256" s="1" t="s">
        <v>803</v>
      </c>
      <c r="C5256" s="1" t="s">
        <v>76</v>
      </c>
      <c r="D5256" s="1" t="s">
        <v>19</v>
      </c>
      <c r="E5256" s="1" t="s">
        <v>88</v>
      </c>
      <c r="F5256">
        <v>1</v>
      </c>
      <c r="G5256" s="2">
        <v>45962</v>
      </c>
      <c r="H5256" s="2">
        <v>45963</v>
      </c>
      <c r="I5256">
        <v>264.37</v>
      </c>
      <c r="J5256">
        <v>113.97</v>
      </c>
      <c r="K5256">
        <v>91.18</v>
      </c>
      <c r="L5256">
        <v>22.79</v>
      </c>
      <c r="M5256" s="1" t="s">
        <v>21</v>
      </c>
      <c r="N5256" s="1" t="s">
        <v>22</v>
      </c>
      <c r="O5256" s="2">
        <v>46004</v>
      </c>
      <c r="P5256" s="2">
        <v>46004</v>
      </c>
      <c r="Q5256">
        <f>_xlfn.XLOOKUP(E5256,CPT!$A$2:$A$13,CPT!$D$2:$D$13)</f>
        <v>260</v>
      </c>
      <c r="R5256" s="1">
        <f>_xlfn.XLOOKUP(C5256,Contract!$A$2:$A$9,Contract!$B$2:$B$9)</f>
        <v>0.43</v>
      </c>
      <c r="S5256" s="1">
        <f t="shared" si="328"/>
        <v>111.8</v>
      </c>
      <c r="T5256" s="1">
        <f t="shared" si="329"/>
        <v>-2.1700000000000017</v>
      </c>
      <c r="U5256" s="1" t="str">
        <f t="shared" si="330"/>
        <v>OK</v>
      </c>
      <c r="V5256" s="1" t="str">
        <f>_xlfn.XLOOKUP(C5256,Payers!$A$2:$A$9,Payers!$B$2:$B$9)</f>
        <v>Summit Health Commercial</v>
      </c>
      <c r="W5256" s="1" t="str">
        <f t="shared" si="331"/>
        <v>2025-11</v>
      </c>
    </row>
    <row r="5257" spans="1:23">
      <c r="A5257" s="1" t="s">
        <v>8044</v>
      </c>
      <c r="B5257" s="1" t="s">
        <v>4581</v>
      </c>
      <c r="C5257" s="1" t="s">
        <v>47</v>
      </c>
      <c r="D5257" s="1" t="s">
        <v>26</v>
      </c>
      <c r="E5257" s="1" t="s">
        <v>113</v>
      </c>
      <c r="F5257">
        <v>1</v>
      </c>
      <c r="G5257" s="2">
        <v>46033</v>
      </c>
      <c r="H5257" s="2">
        <v>46047</v>
      </c>
      <c r="I5257">
        <v>1039.93</v>
      </c>
      <c r="J5257">
        <v>284.94</v>
      </c>
      <c r="K5257">
        <v>284.94</v>
      </c>
      <c r="L5257">
        <v>0</v>
      </c>
      <c r="M5257" s="1" t="s">
        <v>21</v>
      </c>
      <c r="N5257" s="1" t="s">
        <v>22</v>
      </c>
      <c r="O5257" s="2">
        <v>46112</v>
      </c>
      <c r="P5257" s="2">
        <v>46112</v>
      </c>
      <c r="Q5257">
        <f>_xlfn.XLOOKUP(E5257,CPT!$A$2:$A$13,CPT!$D$2:$D$13)</f>
        <v>1050</v>
      </c>
      <c r="R5257" s="1">
        <f>_xlfn.XLOOKUP(C5257,Contract!$A$2:$A$9,Contract!$B$2:$B$9)</f>
        <v>0.28000000000000003</v>
      </c>
      <c r="S5257" s="1">
        <f t="shared" si="328"/>
        <v>294</v>
      </c>
      <c r="T5257" s="1">
        <f t="shared" si="329"/>
        <v>9.0600000000000023</v>
      </c>
      <c r="U5257" s="1" t="str">
        <f t="shared" si="330"/>
        <v>OK</v>
      </c>
      <c r="V5257" s="1" t="str">
        <f>_xlfn.XLOOKUP(C5257,Payers!$A$2:$A$9,Payers!$B$2:$B$9)</f>
        <v>Coastal Medicaid MCO</v>
      </c>
      <c r="W5257" s="1" t="str">
        <f t="shared" si="331"/>
        <v>2026-01</v>
      </c>
    </row>
    <row r="5258" spans="1:23">
      <c r="A5258" s="1" t="s">
        <v>8045</v>
      </c>
      <c r="B5258" s="1" t="s">
        <v>961</v>
      </c>
      <c r="C5258" s="1" t="s">
        <v>47</v>
      </c>
      <c r="D5258" s="1" t="s">
        <v>30</v>
      </c>
      <c r="E5258" s="1" t="s">
        <v>31</v>
      </c>
      <c r="F5258">
        <v>1</v>
      </c>
      <c r="G5258" s="2">
        <v>46284</v>
      </c>
      <c r="H5258" s="2">
        <v>46290</v>
      </c>
      <c r="I5258">
        <v>61.87</v>
      </c>
      <c r="M5258" s="1" t="s">
        <v>69</v>
      </c>
      <c r="N5258" s="1" t="s">
        <v>22</v>
      </c>
      <c r="O5258" s="2"/>
      <c r="P5258" s="2"/>
      <c r="Q5258">
        <f>_xlfn.XLOOKUP(E5258,CPT!$A$2:$A$13,CPT!$D$2:$D$13)</f>
        <v>62</v>
      </c>
      <c r="R5258" s="1">
        <f>_xlfn.XLOOKUP(C5258,Contract!$A$2:$A$9,Contract!$B$2:$B$9)</f>
        <v>0.28000000000000003</v>
      </c>
      <c r="S5258" s="1">
        <f t="shared" si="328"/>
        <v>17.36</v>
      </c>
      <c r="T5258" s="1" t="str">
        <f t="shared" si="329"/>
        <v/>
      </c>
      <c r="U5258" s="1" t="str">
        <f t="shared" si="330"/>
        <v/>
      </c>
      <c r="V5258" s="1" t="str">
        <f>_xlfn.XLOOKUP(C5258,Payers!$A$2:$A$9,Payers!$B$2:$B$9)</f>
        <v>Coastal Medicaid MCO</v>
      </c>
      <c r="W5258" s="1" t="str">
        <f t="shared" si="331"/>
        <v>2026-09</v>
      </c>
    </row>
    <row r="5259" spans="1:23">
      <c r="A5259" s="1" t="s">
        <v>8046</v>
      </c>
      <c r="B5259" s="1" t="s">
        <v>59</v>
      </c>
      <c r="C5259" s="1" t="s">
        <v>36</v>
      </c>
      <c r="D5259" s="1" t="s">
        <v>37</v>
      </c>
      <c r="E5259" s="1" t="s">
        <v>48</v>
      </c>
      <c r="F5259">
        <v>1</v>
      </c>
      <c r="G5259" s="2">
        <v>46225</v>
      </c>
      <c r="H5259" s="2">
        <v>46226</v>
      </c>
      <c r="I5259">
        <v>411.36</v>
      </c>
      <c r="J5259">
        <v>108.66</v>
      </c>
      <c r="K5259">
        <v>108.66</v>
      </c>
      <c r="L5259">
        <v>0</v>
      </c>
      <c r="M5259" s="1" t="s">
        <v>21</v>
      </c>
      <c r="N5259" s="1" t="s">
        <v>22</v>
      </c>
      <c r="O5259" s="2">
        <v>46278</v>
      </c>
      <c r="P5259" s="2">
        <v>46278</v>
      </c>
      <c r="Q5259">
        <f>_xlfn.XLOOKUP(E5259,CPT!$A$2:$A$13,CPT!$D$2:$D$13)</f>
        <v>420</v>
      </c>
      <c r="R5259" s="1">
        <f>_xlfn.XLOOKUP(C5259,Contract!$A$2:$A$9,Contract!$B$2:$B$9)</f>
        <v>0.27</v>
      </c>
      <c r="S5259" s="1">
        <f t="shared" si="328"/>
        <v>113.4</v>
      </c>
      <c r="T5259" s="1">
        <f t="shared" si="329"/>
        <v>4.7400000000000091</v>
      </c>
      <c r="U5259" s="1" t="str">
        <f t="shared" si="330"/>
        <v>OK</v>
      </c>
      <c r="V5259" s="1" t="str">
        <f>_xlfn.XLOOKUP(C5259,Payers!$A$2:$A$9,Payers!$B$2:$B$9)</f>
        <v>Florida Medicaid</v>
      </c>
      <c r="W5259" s="1" t="str">
        <f t="shared" si="331"/>
        <v>2026-07</v>
      </c>
    </row>
    <row r="5260" spans="1:23">
      <c r="A5260" s="1" t="s">
        <v>8047</v>
      </c>
      <c r="B5260" s="1" t="s">
        <v>8048</v>
      </c>
      <c r="C5260" s="1" t="s">
        <v>60</v>
      </c>
      <c r="D5260" s="1" t="s">
        <v>26</v>
      </c>
      <c r="E5260" s="1" t="s">
        <v>113</v>
      </c>
      <c r="F5260">
        <v>1</v>
      </c>
      <c r="G5260" s="2">
        <v>45974</v>
      </c>
      <c r="H5260" s="2">
        <v>45976</v>
      </c>
      <c r="I5260">
        <v>1059.4100000000001</v>
      </c>
      <c r="M5260" s="1" t="s">
        <v>32</v>
      </c>
      <c r="N5260" s="1" t="s">
        <v>33</v>
      </c>
      <c r="O5260" s="2">
        <v>46001</v>
      </c>
      <c r="P5260" s="2"/>
      <c r="Q5260">
        <f>_xlfn.XLOOKUP(E5260,CPT!$A$2:$A$13,CPT!$D$2:$D$13)</f>
        <v>1050</v>
      </c>
      <c r="R5260" s="1">
        <f>_xlfn.XLOOKUP(C5260,Contract!$A$2:$A$9,Contract!$B$2:$B$9)</f>
        <v>0.45</v>
      </c>
      <c r="S5260" s="1">
        <f t="shared" si="328"/>
        <v>472.5</v>
      </c>
      <c r="T5260" s="1" t="str">
        <f t="shared" si="329"/>
        <v/>
      </c>
      <c r="U5260" s="1" t="str">
        <f t="shared" si="330"/>
        <v/>
      </c>
      <c r="V5260" s="1" t="str">
        <f>_xlfn.XLOOKUP(C5260,Payers!$A$2:$A$9,Payers!$B$2:$B$9)</f>
        <v>Blue Horizon Commercial</v>
      </c>
      <c r="W5260" s="1" t="str">
        <f t="shared" si="331"/>
        <v>2025-11</v>
      </c>
    </row>
    <row r="5261" spans="1:23">
      <c r="A5261" s="1" t="s">
        <v>8049</v>
      </c>
      <c r="B5261" s="1" t="s">
        <v>7080</v>
      </c>
      <c r="C5261" s="1" t="s">
        <v>60</v>
      </c>
      <c r="D5261" s="1" t="s">
        <v>26</v>
      </c>
      <c r="E5261" s="1" t="s">
        <v>44</v>
      </c>
      <c r="F5261">
        <v>1</v>
      </c>
      <c r="G5261" s="2">
        <v>46013</v>
      </c>
      <c r="H5261" s="2">
        <v>46017</v>
      </c>
      <c r="I5261">
        <v>4684.09</v>
      </c>
      <c r="M5261" s="1" t="s">
        <v>32</v>
      </c>
      <c r="N5261" s="1" t="s">
        <v>315</v>
      </c>
      <c r="O5261" s="2">
        <v>46047</v>
      </c>
      <c r="P5261" s="2"/>
      <c r="Q5261">
        <f>_xlfn.XLOOKUP(E5261,CPT!$A$2:$A$13,CPT!$D$2:$D$13)</f>
        <v>4800</v>
      </c>
      <c r="R5261" s="1">
        <f>_xlfn.XLOOKUP(C5261,Contract!$A$2:$A$9,Contract!$B$2:$B$9)</f>
        <v>0.45</v>
      </c>
      <c r="S5261" s="1">
        <f t="shared" si="328"/>
        <v>2160</v>
      </c>
      <c r="T5261" s="1" t="str">
        <f t="shared" si="329"/>
        <v/>
      </c>
      <c r="U5261" s="1" t="str">
        <f t="shared" si="330"/>
        <v/>
      </c>
      <c r="V5261" s="1" t="str">
        <f>_xlfn.XLOOKUP(C5261,Payers!$A$2:$A$9,Payers!$B$2:$B$9)</f>
        <v>Blue Horizon Commercial</v>
      </c>
      <c r="W5261" s="1" t="str">
        <f t="shared" si="331"/>
        <v>2025-12</v>
      </c>
    </row>
    <row r="5262" spans="1:23">
      <c r="A5262" s="1" t="s">
        <v>8050</v>
      </c>
      <c r="B5262" s="1" t="s">
        <v>1947</v>
      </c>
      <c r="C5262" s="1" t="s">
        <v>76</v>
      </c>
      <c r="D5262" s="1" t="s">
        <v>30</v>
      </c>
      <c r="E5262" s="1" t="s">
        <v>31</v>
      </c>
      <c r="F5262">
        <v>4</v>
      </c>
      <c r="G5262" s="2">
        <v>46046</v>
      </c>
      <c r="H5262" s="2">
        <v>46050</v>
      </c>
      <c r="I5262">
        <v>242.38</v>
      </c>
      <c r="J5262">
        <v>95.73</v>
      </c>
      <c r="K5262">
        <v>95.73</v>
      </c>
      <c r="L5262">
        <v>0</v>
      </c>
      <c r="M5262" s="1" t="s">
        <v>21</v>
      </c>
      <c r="N5262" s="1" t="s">
        <v>22</v>
      </c>
      <c r="O5262" s="2">
        <v>46089</v>
      </c>
      <c r="P5262" s="2">
        <v>46089</v>
      </c>
      <c r="Q5262">
        <f>_xlfn.XLOOKUP(E5262,CPT!$A$2:$A$13,CPT!$D$2:$D$13)</f>
        <v>62</v>
      </c>
      <c r="R5262" s="1">
        <f>_xlfn.XLOOKUP(C5262,Contract!$A$2:$A$9,Contract!$B$2:$B$9)</f>
        <v>0.43</v>
      </c>
      <c r="S5262" s="1">
        <f t="shared" si="328"/>
        <v>106.64</v>
      </c>
      <c r="T5262" s="1">
        <f t="shared" si="329"/>
        <v>10.909999999999997</v>
      </c>
      <c r="U5262" s="1" t="str">
        <f t="shared" si="330"/>
        <v>Underpaid</v>
      </c>
      <c r="V5262" s="1" t="str">
        <f>_xlfn.XLOOKUP(C5262,Payers!$A$2:$A$9,Payers!$B$2:$B$9)</f>
        <v>Summit Health Commercial</v>
      </c>
      <c r="W5262" s="1" t="str">
        <f t="shared" si="331"/>
        <v>2026-01</v>
      </c>
    </row>
    <row r="5263" spans="1:23">
      <c r="A5263" s="1" t="s">
        <v>8051</v>
      </c>
      <c r="B5263" s="1" t="s">
        <v>6802</v>
      </c>
      <c r="C5263" s="1" t="s">
        <v>47</v>
      </c>
      <c r="D5263" s="1" t="s">
        <v>37</v>
      </c>
      <c r="E5263" s="1" t="s">
        <v>57</v>
      </c>
      <c r="F5263">
        <v>1</v>
      </c>
      <c r="G5263" s="2">
        <v>46235</v>
      </c>
      <c r="H5263" s="2">
        <v>46236</v>
      </c>
      <c r="I5263">
        <v>205.81</v>
      </c>
      <c r="M5263" s="1" t="s">
        <v>69</v>
      </c>
      <c r="N5263" s="1" t="s">
        <v>22</v>
      </c>
      <c r="O5263" s="2"/>
      <c r="P5263" s="2"/>
      <c r="Q5263">
        <f>_xlfn.XLOOKUP(E5263,CPT!$A$2:$A$13,CPT!$D$2:$D$13)</f>
        <v>210</v>
      </c>
      <c r="R5263" s="1">
        <f>_xlfn.XLOOKUP(C5263,Contract!$A$2:$A$9,Contract!$B$2:$B$9)</f>
        <v>0.28000000000000003</v>
      </c>
      <c r="S5263" s="1">
        <f t="shared" si="328"/>
        <v>58.8</v>
      </c>
      <c r="T5263" s="1" t="str">
        <f t="shared" si="329"/>
        <v/>
      </c>
      <c r="U5263" s="1" t="str">
        <f t="shared" si="330"/>
        <v/>
      </c>
      <c r="V5263" s="1" t="str">
        <f>_xlfn.XLOOKUP(C5263,Payers!$A$2:$A$9,Payers!$B$2:$B$9)</f>
        <v>Coastal Medicaid MCO</v>
      </c>
      <c r="W5263" s="1" t="str">
        <f t="shared" si="331"/>
        <v>2026-08</v>
      </c>
    </row>
    <row r="5264" spans="1:23">
      <c r="A5264" s="1" t="s">
        <v>8052</v>
      </c>
      <c r="B5264" s="1" t="s">
        <v>2600</v>
      </c>
      <c r="C5264" s="1" t="s">
        <v>36</v>
      </c>
      <c r="D5264" s="1" t="s">
        <v>19</v>
      </c>
      <c r="E5264" s="1" t="s">
        <v>41</v>
      </c>
      <c r="F5264">
        <v>1</v>
      </c>
      <c r="G5264" s="2">
        <v>46201</v>
      </c>
      <c r="H5264" s="2">
        <v>46204</v>
      </c>
      <c r="I5264">
        <v>37.89</v>
      </c>
      <c r="J5264">
        <v>11.64</v>
      </c>
      <c r="K5264">
        <v>11.64</v>
      </c>
      <c r="L5264">
        <v>0</v>
      </c>
      <c r="M5264" s="1" t="s">
        <v>21</v>
      </c>
      <c r="N5264" s="1" t="s">
        <v>22</v>
      </c>
      <c r="O5264" s="2">
        <v>46243</v>
      </c>
      <c r="P5264" s="2">
        <v>46243</v>
      </c>
      <c r="Q5264">
        <f>_xlfn.XLOOKUP(E5264,CPT!$A$2:$A$13,CPT!$D$2:$D$13)</f>
        <v>38</v>
      </c>
      <c r="R5264" s="1">
        <f>_xlfn.XLOOKUP(C5264,Contract!$A$2:$A$9,Contract!$B$2:$B$9)</f>
        <v>0.27</v>
      </c>
      <c r="S5264" s="1">
        <f t="shared" si="328"/>
        <v>10.26</v>
      </c>
      <c r="T5264" s="1">
        <f t="shared" si="329"/>
        <v>-1.3800000000000008</v>
      </c>
      <c r="U5264" s="1" t="str">
        <f t="shared" si="330"/>
        <v>OK</v>
      </c>
      <c r="V5264" s="1" t="str">
        <f>_xlfn.XLOOKUP(C5264,Payers!$A$2:$A$9,Payers!$B$2:$B$9)</f>
        <v>Florida Medicaid</v>
      </c>
      <c r="W5264" s="1" t="str">
        <f t="shared" si="331"/>
        <v>2026-06</v>
      </c>
    </row>
    <row r="5265" spans="1:23">
      <c r="A5265" s="1" t="s">
        <v>8053</v>
      </c>
      <c r="B5265" s="1" t="s">
        <v>2807</v>
      </c>
      <c r="C5265" s="1" t="s">
        <v>52</v>
      </c>
      <c r="D5265" s="1" t="s">
        <v>19</v>
      </c>
      <c r="E5265" s="1" t="s">
        <v>41</v>
      </c>
      <c r="F5265">
        <v>1</v>
      </c>
      <c r="G5265" s="2">
        <v>45942</v>
      </c>
      <c r="H5265" s="2">
        <v>45943</v>
      </c>
      <c r="I5265">
        <v>38.549999999999997</v>
      </c>
      <c r="J5265">
        <v>18.12</v>
      </c>
      <c r="K5265">
        <v>14.5</v>
      </c>
      <c r="L5265">
        <v>3.62</v>
      </c>
      <c r="M5265" s="1" t="s">
        <v>21</v>
      </c>
      <c r="N5265" s="1" t="s">
        <v>22</v>
      </c>
      <c r="O5265" s="2">
        <v>45976</v>
      </c>
      <c r="P5265" s="2">
        <v>45976</v>
      </c>
      <c r="Q5265">
        <f>_xlfn.XLOOKUP(E5265,CPT!$A$2:$A$13,CPT!$D$2:$D$13)</f>
        <v>38</v>
      </c>
      <c r="R5265" s="1">
        <f>_xlfn.XLOOKUP(C5265,Contract!$A$2:$A$9,Contract!$B$2:$B$9)</f>
        <v>0.47</v>
      </c>
      <c r="S5265" s="1">
        <f t="shared" si="328"/>
        <v>17.86</v>
      </c>
      <c r="T5265" s="1">
        <f t="shared" si="329"/>
        <v>-0.26000000000000156</v>
      </c>
      <c r="U5265" s="1" t="str">
        <f t="shared" si="330"/>
        <v>OK</v>
      </c>
      <c r="V5265" s="1" t="str">
        <f>_xlfn.XLOOKUP(C5265,Payers!$A$2:$A$9,Payers!$B$2:$B$9)</f>
        <v>Keystone Commercial PPO</v>
      </c>
      <c r="W5265" s="1" t="str">
        <f t="shared" si="331"/>
        <v>2025-10</v>
      </c>
    </row>
    <row r="5266" spans="1:23">
      <c r="A5266" s="1" t="s">
        <v>8054</v>
      </c>
      <c r="B5266" s="1" t="s">
        <v>8055</v>
      </c>
      <c r="C5266" s="1" t="s">
        <v>18</v>
      </c>
      <c r="D5266" s="1" t="s">
        <v>19</v>
      </c>
      <c r="E5266" s="1" t="s">
        <v>57</v>
      </c>
      <c r="F5266">
        <v>1</v>
      </c>
      <c r="G5266" s="2">
        <v>46164</v>
      </c>
      <c r="H5266" s="2">
        <v>46168</v>
      </c>
      <c r="I5266">
        <v>212.99</v>
      </c>
      <c r="J5266">
        <v>88.64</v>
      </c>
      <c r="K5266">
        <v>88.64</v>
      </c>
      <c r="L5266">
        <v>0</v>
      </c>
      <c r="M5266" s="1" t="s">
        <v>21</v>
      </c>
      <c r="N5266" s="1" t="s">
        <v>22</v>
      </c>
      <c r="O5266" s="2">
        <v>46226</v>
      </c>
      <c r="P5266" s="2">
        <v>46226</v>
      </c>
      <c r="Q5266">
        <f>_xlfn.XLOOKUP(E5266,CPT!$A$2:$A$13,CPT!$D$2:$D$13)</f>
        <v>210</v>
      </c>
      <c r="R5266" s="1">
        <f>_xlfn.XLOOKUP(C5266,Contract!$A$2:$A$9,Contract!$B$2:$B$9)</f>
        <v>0.38</v>
      </c>
      <c r="S5266" s="1">
        <f t="shared" si="328"/>
        <v>79.8</v>
      </c>
      <c r="T5266" s="1">
        <f t="shared" si="329"/>
        <v>-8.8400000000000034</v>
      </c>
      <c r="U5266" s="1" t="str">
        <f t="shared" si="330"/>
        <v>OK</v>
      </c>
      <c r="V5266" s="1" t="str">
        <f>_xlfn.XLOOKUP(C5266,Payers!$A$2:$A$9,Payers!$B$2:$B$9)</f>
        <v>Sunshine Medicare Advantage</v>
      </c>
      <c r="W5266" s="1" t="str">
        <f t="shared" si="331"/>
        <v>2026-05</v>
      </c>
    </row>
    <row r="5267" spans="1:23">
      <c r="A5267" s="1" t="s">
        <v>8056</v>
      </c>
      <c r="B5267" s="1" t="s">
        <v>299</v>
      </c>
      <c r="C5267" s="1" t="s">
        <v>36</v>
      </c>
      <c r="D5267" s="1" t="s">
        <v>30</v>
      </c>
      <c r="E5267" s="1" t="s">
        <v>91</v>
      </c>
      <c r="F5267">
        <v>1</v>
      </c>
      <c r="G5267" s="2">
        <v>45965</v>
      </c>
      <c r="H5267" s="2">
        <v>45971</v>
      </c>
      <c r="I5267">
        <v>56.69</v>
      </c>
      <c r="J5267">
        <v>15.48</v>
      </c>
      <c r="K5267">
        <v>13.93</v>
      </c>
      <c r="L5267">
        <v>1.55</v>
      </c>
      <c r="M5267" s="1" t="s">
        <v>21</v>
      </c>
      <c r="N5267" s="1" t="s">
        <v>22</v>
      </c>
      <c r="O5267" s="2">
        <v>46018</v>
      </c>
      <c r="P5267" s="2">
        <v>46018</v>
      </c>
      <c r="Q5267">
        <f>_xlfn.XLOOKUP(E5267,CPT!$A$2:$A$13,CPT!$D$2:$D$13)</f>
        <v>58</v>
      </c>
      <c r="R5267" s="1">
        <f>_xlfn.XLOOKUP(C5267,Contract!$A$2:$A$9,Contract!$B$2:$B$9)</f>
        <v>0.27</v>
      </c>
      <c r="S5267" s="1">
        <f t="shared" si="328"/>
        <v>15.66</v>
      </c>
      <c r="T5267" s="1">
        <f t="shared" si="329"/>
        <v>0.17999999999999972</v>
      </c>
      <c r="U5267" s="1" t="str">
        <f t="shared" si="330"/>
        <v>OK</v>
      </c>
      <c r="V5267" s="1" t="str">
        <f>_xlfn.XLOOKUP(C5267,Payers!$A$2:$A$9,Payers!$B$2:$B$9)</f>
        <v>Florida Medicaid</v>
      </c>
      <c r="W5267" s="1" t="str">
        <f t="shared" si="331"/>
        <v>2025-11</v>
      </c>
    </row>
    <row r="5268" spans="1:23">
      <c r="A5268" s="1" t="s">
        <v>8057</v>
      </c>
      <c r="B5268" s="1" t="s">
        <v>7753</v>
      </c>
      <c r="C5268" s="1" t="s">
        <v>76</v>
      </c>
      <c r="D5268" s="1" t="s">
        <v>37</v>
      </c>
      <c r="E5268" s="1" t="s">
        <v>57</v>
      </c>
      <c r="F5268">
        <v>1</v>
      </c>
      <c r="G5268" s="2">
        <v>46074</v>
      </c>
      <c r="H5268" s="2">
        <v>46079</v>
      </c>
      <c r="I5268">
        <v>215.61</v>
      </c>
      <c r="J5268">
        <v>85.16</v>
      </c>
      <c r="K5268">
        <v>76.64</v>
      </c>
      <c r="L5268">
        <v>8.52</v>
      </c>
      <c r="M5268" s="1" t="s">
        <v>21</v>
      </c>
      <c r="N5268" s="1" t="s">
        <v>22</v>
      </c>
      <c r="O5268" s="2">
        <v>46117</v>
      </c>
      <c r="P5268" s="2">
        <v>46117</v>
      </c>
      <c r="Q5268">
        <f>_xlfn.XLOOKUP(E5268,CPT!$A$2:$A$13,CPT!$D$2:$D$13)</f>
        <v>210</v>
      </c>
      <c r="R5268" s="1">
        <f>_xlfn.XLOOKUP(C5268,Contract!$A$2:$A$9,Contract!$B$2:$B$9)</f>
        <v>0.43</v>
      </c>
      <c r="S5268" s="1">
        <f t="shared" si="328"/>
        <v>90.3</v>
      </c>
      <c r="T5268" s="1">
        <f t="shared" si="329"/>
        <v>5.1400000000000006</v>
      </c>
      <c r="U5268" s="1" t="str">
        <f t="shared" si="330"/>
        <v>Underpaid</v>
      </c>
      <c r="V5268" s="1" t="str">
        <f>_xlfn.XLOOKUP(C5268,Payers!$A$2:$A$9,Payers!$B$2:$B$9)</f>
        <v>Summit Health Commercial</v>
      </c>
      <c r="W5268" s="1" t="str">
        <f t="shared" si="331"/>
        <v>2026-02</v>
      </c>
    </row>
    <row r="5269" spans="1:23">
      <c r="A5269" s="1" t="s">
        <v>8058</v>
      </c>
      <c r="B5269" s="1" t="s">
        <v>3438</v>
      </c>
      <c r="C5269" s="1" t="s">
        <v>60</v>
      </c>
      <c r="D5269" s="1" t="s">
        <v>26</v>
      </c>
      <c r="E5269" s="1" t="s">
        <v>88</v>
      </c>
      <c r="F5269">
        <v>1</v>
      </c>
      <c r="G5269" s="2">
        <v>46199</v>
      </c>
      <c r="H5269" s="2">
        <v>46204</v>
      </c>
      <c r="I5269">
        <v>261.66000000000003</v>
      </c>
      <c r="M5269" s="1" t="s">
        <v>32</v>
      </c>
      <c r="N5269" s="1" t="s">
        <v>33</v>
      </c>
      <c r="O5269" s="2">
        <v>46243</v>
      </c>
      <c r="P5269" s="2"/>
      <c r="Q5269">
        <f>_xlfn.XLOOKUP(E5269,CPT!$A$2:$A$13,CPT!$D$2:$D$13)</f>
        <v>260</v>
      </c>
      <c r="R5269" s="1">
        <f>_xlfn.XLOOKUP(C5269,Contract!$A$2:$A$9,Contract!$B$2:$B$9)</f>
        <v>0.45</v>
      </c>
      <c r="S5269" s="1">
        <f t="shared" si="328"/>
        <v>117</v>
      </c>
      <c r="T5269" s="1" t="str">
        <f t="shared" si="329"/>
        <v/>
      </c>
      <c r="U5269" s="1" t="str">
        <f t="shared" si="330"/>
        <v/>
      </c>
      <c r="V5269" s="1" t="str">
        <f>_xlfn.XLOOKUP(C5269,Payers!$A$2:$A$9,Payers!$B$2:$B$9)</f>
        <v>Blue Horizon Commercial</v>
      </c>
      <c r="W5269" s="1" t="str">
        <f t="shared" si="331"/>
        <v>2026-06</v>
      </c>
    </row>
    <row r="5270" spans="1:23">
      <c r="A5270" s="1" t="s">
        <v>8059</v>
      </c>
      <c r="B5270" s="1" t="s">
        <v>8060</v>
      </c>
      <c r="C5270" s="1" t="s">
        <v>76</v>
      </c>
      <c r="D5270" s="1" t="s">
        <v>26</v>
      </c>
      <c r="E5270" s="1" t="s">
        <v>185</v>
      </c>
      <c r="F5270">
        <v>1</v>
      </c>
      <c r="G5270" s="2">
        <v>46104</v>
      </c>
      <c r="H5270" s="2">
        <v>46108</v>
      </c>
      <c r="I5270">
        <v>1157.03</v>
      </c>
      <c r="J5270">
        <v>532.92999999999995</v>
      </c>
      <c r="K5270">
        <v>426.34</v>
      </c>
      <c r="L5270">
        <v>106.59</v>
      </c>
      <c r="M5270" s="1" t="s">
        <v>21</v>
      </c>
      <c r="N5270" s="1" t="s">
        <v>22</v>
      </c>
      <c r="O5270" s="2">
        <v>46126</v>
      </c>
      <c r="P5270" s="2">
        <v>46126</v>
      </c>
      <c r="Q5270">
        <f>_xlfn.XLOOKUP(E5270,CPT!$A$2:$A$13,CPT!$D$2:$D$13)</f>
        <v>1150</v>
      </c>
      <c r="R5270" s="1">
        <f>_xlfn.XLOOKUP(C5270,Contract!$A$2:$A$9,Contract!$B$2:$B$9)</f>
        <v>0.43</v>
      </c>
      <c r="S5270" s="1">
        <f t="shared" si="328"/>
        <v>494.5</v>
      </c>
      <c r="T5270" s="1">
        <f t="shared" si="329"/>
        <v>-38.42999999999995</v>
      </c>
      <c r="U5270" s="1" t="str">
        <f t="shared" si="330"/>
        <v>OK</v>
      </c>
      <c r="V5270" s="1" t="str">
        <f>_xlfn.XLOOKUP(C5270,Payers!$A$2:$A$9,Payers!$B$2:$B$9)</f>
        <v>Summit Health Commercial</v>
      </c>
      <c r="W5270" s="1" t="str">
        <f t="shared" si="331"/>
        <v>2026-03</v>
      </c>
    </row>
    <row r="5271" spans="1:23">
      <c r="A5271" s="1" t="s">
        <v>8061</v>
      </c>
      <c r="B5271" s="1" t="s">
        <v>678</v>
      </c>
      <c r="C5271" s="1" t="s">
        <v>52</v>
      </c>
      <c r="D5271" s="1" t="s">
        <v>26</v>
      </c>
      <c r="E5271" s="1" t="s">
        <v>41</v>
      </c>
      <c r="F5271">
        <v>1</v>
      </c>
      <c r="G5271" s="2">
        <v>45999</v>
      </c>
      <c r="H5271" s="2">
        <v>46001</v>
      </c>
      <c r="I5271">
        <v>38.74</v>
      </c>
      <c r="J5271">
        <v>18.28</v>
      </c>
      <c r="K5271">
        <v>14.62</v>
      </c>
      <c r="L5271">
        <v>3.66</v>
      </c>
      <c r="M5271" s="1" t="s">
        <v>21</v>
      </c>
      <c r="N5271" s="1" t="s">
        <v>22</v>
      </c>
      <c r="O5271" s="2">
        <v>46054</v>
      </c>
      <c r="P5271" s="2">
        <v>46054</v>
      </c>
      <c r="Q5271">
        <f>_xlfn.XLOOKUP(E5271,CPT!$A$2:$A$13,CPT!$D$2:$D$13)</f>
        <v>38</v>
      </c>
      <c r="R5271" s="1">
        <f>_xlfn.XLOOKUP(C5271,Contract!$A$2:$A$9,Contract!$B$2:$B$9)</f>
        <v>0.47</v>
      </c>
      <c r="S5271" s="1">
        <f t="shared" si="328"/>
        <v>17.86</v>
      </c>
      <c r="T5271" s="1">
        <f t="shared" si="329"/>
        <v>-0.42000000000000171</v>
      </c>
      <c r="U5271" s="1" t="str">
        <f t="shared" si="330"/>
        <v>OK</v>
      </c>
      <c r="V5271" s="1" t="str">
        <f>_xlfn.XLOOKUP(C5271,Payers!$A$2:$A$9,Payers!$B$2:$B$9)</f>
        <v>Keystone Commercial PPO</v>
      </c>
      <c r="W5271" s="1" t="str">
        <f t="shared" si="331"/>
        <v>2025-12</v>
      </c>
    </row>
    <row r="5272" spans="1:23">
      <c r="A5272" s="1" t="s">
        <v>8062</v>
      </c>
      <c r="B5272" s="1" t="s">
        <v>2871</v>
      </c>
      <c r="C5272" s="1" t="s">
        <v>18</v>
      </c>
      <c r="D5272" s="1" t="s">
        <v>26</v>
      </c>
      <c r="E5272" s="1" t="s">
        <v>27</v>
      </c>
      <c r="F5272">
        <v>1</v>
      </c>
      <c r="G5272" s="2">
        <v>46211</v>
      </c>
      <c r="H5272" s="2">
        <v>46214</v>
      </c>
      <c r="I5272">
        <v>234.5</v>
      </c>
      <c r="J5272">
        <v>82.01</v>
      </c>
      <c r="K5272">
        <v>82.01</v>
      </c>
      <c r="L5272">
        <v>0</v>
      </c>
      <c r="M5272" s="1" t="s">
        <v>21</v>
      </c>
      <c r="N5272" s="1" t="s">
        <v>22</v>
      </c>
      <c r="O5272" s="2">
        <v>46270</v>
      </c>
      <c r="P5272" s="2">
        <v>46270</v>
      </c>
      <c r="Q5272">
        <f>_xlfn.XLOOKUP(E5272,CPT!$A$2:$A$13,CPT!$D$2:$D$13)</f>
        <v>240</v>
      </c>
      <c r="R5272" s="1">
        <f>_xlfn.XLOOKUP(C5272,Contract!$A$2:$A$9,Contract!$B$2:$B$9)</f>
        <v>0.38</v>
      </c>
      <c r="S5272" s="1">
        <f t="shared" si="328"/>
        <v>91.2</v>
      </c>
      <c r="T5272" s="1">
        <f t="shared" si="329"/>
        <v>9.1899999999999977</v>
      </c>
      <c r="U5272" s="1" t="str">
        <f t="shared" si="330"/>
        <v>Underpaid</v>
      </c>
      <c r="V5272" s="1" t="str">
        <f>_xlfn.XLOOKUP(C5272,Payers!$A$2:$A$9,Payers!$B$2:$B$9)</f>
        <v>Sunshine Medicare Advantage</v>
      </c>
      <c r="W5272" s="1" t="str">
        <f t="shared" si="331"/>
        <v>2026-07</v>
      </c>
    </row>
    <row r="5273" spans="1:23">
      <c r="A5273" s="1" t="s">
        <v>8063</v>
      </c>
      <c r="B5273" s="1" t="s">
        <v>6251</v>
      </c>
      <c r="C5273" s="1" t="s">
        <v>60</v>
      </c>
      <c r="D5273" s="1" t="s">
        <v>30</v>
      </c>
      <c r="E5273" s="1" t="s">
        <v>31</v>
      </c>
      <c r="F5273">
        <v>1</v>
      </c>
      <c r="G5273" s="2">
        <v>46270</v>
      </c>
      <c r="H5273" s="2">
        <v>46271</v>
      </c>
      <c r="I5273">
        <v>63.09</v>
      </c>
      <c r="M5273" s="1" t="s">
        <v>69</v>
      </c>
      <c r="N5273" s="1" t="s">
        <v>22</v>
      </c>
      <c r="O5273" s="2"/>
      <c r="P5273" s="2"/>
      <c r="Q5273">
        <f>_xlfn.XLOOKUP(E5273,CPT!$A$2:$A$13,CPT!$D$2:$D$13)</f>
        <v>62</v>
      </c>
      <c r="R5273" s="1">
        <f>_xlfn.XLOOKUP(C5273,Contract!$A$2:$A$9,Contract!$B$2:$B$9)</f>
        <v>0.45</v>
      </c>
      <c r="S5273" s="1">
        <f t="shared" si="328"/>
        <v>27.9</v>
      </c>
      <c r="T5273" s="1" t="str">
        <f t="shared" si="329"/>
        <v/>
      </c>
      <c r="U5273" s="1" t="str">
        <f t="shared" si="330"/>
        <v/>
      </c>
      <c r="V5273" s="1" t="str">
        <f>_xlfn.XLOOKUP(C5273,Payers!$A$2:$A$9,Payers!$B$2:$B$9)</f>
        <v>Blue Horizon Commercial</v>
      </c>
      <c r="W5273" s="1" t="str">
        <f t="shared" si="331"/>
        <v>2026-09</v>
      </c>
    </row>
    <row r="5274" spans="1:23">
      <c r="A5274" s="1" t="s">
        <v>8064</v>
      </c>
      <c r="B5274" s="1" t="s">
        <v>85</v>
      </c>
      <c r="C5274" s="1" t="s">
        <v>52</v>
      </c>
      <c r="D5274" s="1" t="s">
        <v>26</v>
      </c>
      <c r="E5274" s="1" t="s">
        <v>185</v>
      </c>
      <c r="F5274">
        <v>1</v>
      </c>
      <c r="G5274" s="2">
        <v>46034</v>
      </c>
      <c r="H5274" s="2">
        <v>46038</v>
      </c>
      <c r="I5274">
        <v>1121.71</v>
      </c>
      <c r="M5274" s="1" t="s">
        <v>32</v>
      </c>
      <c r="N5274" s="1" t="s">
        <v>124</v>
      </c>
      <c r="O5274" s="2">
        <v>46076</v>
      </c>
      <c r="P5274" s="2"/>
      <c r="Q5274">
        <f>_xlfn.XLOOKUP(E5274,CPT!$A$2:$A$13,CPT!$D$2:$D$13)</f>
        <v>1150</v>
      </c>
      <c r="R5274" s="1">
        <f>_xlfn.XLOOKUP(C5274,Contract!$A$2:$A$9,Contract!$B$2:$B$9)</f>
        <v>0.47</v>
      </c>
      <c r="S5274" s="1">
        <f t="shared" si="328"/>
        <v>540.5</v>
      </c>
      <c r="T5274" s="1" t="str">
        <f t="shared" si="329"/>
        <v/>
      </c>
      <c r="U5274" s="1" t="str">
        <f t="shared" si="330"/>
        <v/>
      </c>
      <c r="V5274" s="1" t="str">
        <f>_xlfn.XLOOKUP(C5274,Payers!$A$2:$A$9,Payers!$B$2:$B$9)</f>
        <v>Keystone Commercial PPO</v>
      </c>
      <c r="W5274" s="1" t="str">
        <f t="shared" si="331"/>
        <v>2026-01</v>
      </c>
    </row>
    <row r="5275" spans="1:23">
      <c r="A5275" s="1" t="s">
        <v>8065</v>
      </c>
      <c r="B5275" s="1" t="s">
        <v>7190</v>
      </c>
      <c r="C5275" s="1" t="s">
        <v>76</v>
      </c>
      <c r="D5275" s="1" t="s">
        <v>26</v>
      </c>
      <c r="E5275" s="1" t="s">
        <v>185</v>
      </c>
      <c r="F5275">
        <v>1</v>
      </c>
      <c r="G5275" s="2">
        <v>46237</v>
      </c>
      <c r="H5275" s="2">
        <v>46239</v>
      </c>
      <c r="I5275">
        <v>1163.18</v>
      </c>
      <c r="J5275">
        <v>447.88</v>
      </c>
      <c r="K5275">
        <v>447.88</v>
      </c>
      <c r="L5275">
        <v>0</v>
      </c>
      <c r="M5275" s="1" t="s">
        <v>21</v>
      </c>
      <c r="N5275" s="1" t="s">
        <v>22</v>
      </c>
      <c r="O5275" s="2">
        <v>46257</v>
      </c>
      <c r="P5275" s="2">
        <v>46257</v>
      </c>
      <c r="Q5275">
        <f>_xlfn.XLOOKUP(E5275,CPT!$A$2:$A$13,CPT!$D$2:$D$13)</f>
        <v>1150</v>
      </c>
      <c r="R5275" s="1">
        <f>_xlfn.XLOOKUP(C5275,Contract!$A$2:$A$9,Contract!$B$2:$B$9)</f>
        <v>0.43</v>
      </c>
      <c r="S5275" s="1">
        <f t="shared" si="328"/>
        <v>494.5</v>
      </c>
      <c r="T5275" s="1">
        <f t="shared" si="329"/>
        <v>46.620000000000005</v>
      </c>
      <c r="U5275" s="1" t="str">
        <f t="shared" si="330"/>
        <v>Underpaid</v>
      </c>
      <c r="V5275" s="1" t="str">
        <f>_xlfn.XLOOKUP(C5275,Payers!$A$2:$A$9,Payers!$B$2:$B$9)</f>
        <v>Summit Health Commercial</v>
      </c>
      <c r="W5275" s="1" t="str">
        <f t="shared" si="331"/>
        <v>2026-08</v>
      </c>
    </row>
    <row r="5276" spans="1:23">
      <c r="A5276" s="1" t="s">
        <v>8066</v>
      </c>
      <c r="B5276" s="1" t="s">
        <v>5403</v>
      </c>
      <c r="C5276" s="1" t="s">
        <v>60</v>
      </c>
      <c r="D5276" s="1" t="s">
        <v>37</v>
      </c>
      <c r="E5276" s="1" t="s">
        <v>48</v>
      </c>
      <c r="F5276">
        <v>1</v>
      </c>
      <c r="G5276" s="2">
        <v>46246</v>
      </c>
      <c r="H5276" s="2">
        <v>46249</v>
      </c>
      <c r="I5276">
        <v>407.74</v>
      </c>
      <c r="M5276" s="1" t="s">
        <v>69</v>
      </c>
      <c r="N5276" s="1" t="s">
        <v>22</v>
      </c>
      <c r="O5276" s="2"/>
      <c r="P5276" s="2"/>
      <c r="Q5276">
        <f>_xlfn.XLOOKUP(E5276,CPT!$A$2:$A$13,CPT!$D$2:$D$13)</f>
        <v>420</v>
      </c>
      <c r="R5276" s="1">
        <f>_xlfn.XLOOKUP(C5276,Contract!$A$2:$A$9,Contract!$B$2:$B$9)</f>
        <v>0.45</v>
      </c>
      <c r="S5276" s="1">
        <f t="shared" si="328"/>
        <v>189</v>
      </c>
      <c r="T5276" s="1" t="str">
        <f t="shared" si="329"/>
        <v/>
      </c>
      <c r="U5276" s="1" t="str">
        <f t="shared" si="330"/>
        <v/>
      </c>
      <c r="V5276" s="1" t="str">
        <f>_xlfn.XLOOKUP(C5276,Payers!$A$2:$A$9,Payers!$B$2:$B$9)</f>
        <v>Blue Horizon Commercial</v>
      </c>
      <c r="W5276" s="1" t="str">
        <f t="shared" si="331"/>
        <v>2026-08</v>
      </c>
    </row>
    <row r="5277" spans="1:23">
      <c r="A5277" s="1" t="s">
        <v>8067</v>
      </c>
      <c r="B5277" s="1" t="s">
        <v>8068</v>
      </c>
      <c r="C5277" s="1" t="s">
        <v>76</v>
      </c>
      <c r="D5277" s="1" t="s">
        <v>30</v>
      </c>
      <c r="E5277" s="1" t="s">
        <v>31</v>
      </c>
      <c r="F5277">
        <v>2</v>
      </c>
      <c r="G5277" s="2">
        <v>46140</v>
      </c>
      <c r="H5277" s="2">
        <v>46141</v>
      </c>
      <c r="I5277">
        <v>121.17</v>
      </c>
      <c r="J5277">
        <v>54.23</v>
      </c>
      <c r="K5277">
        <v>48.81</v>
      </c>
      <c r="L5277">
        <v>5.42</v>
      </c>
      <c r="M5277" s="1" t="s">
        <v>21</v>
      </c>
      <c r="N5277" s="1" t="s">
        <v>22</v>
      </c>
      <c r="O5277" s="2">
        <v>46166</v>
      </c>
      <c r="P5277" s="2">
        <v>46166</v>
      </c>
      <c r="Q5277">
        <f>_xlfn.XLOOKUP(E5277,CPT!$A$2:$A$13,CPT!$D$2:$D$13)</f>
        <v>62</v>
      </c>
      <c r="R5277" s="1">
        <f>_xlfn.XLOOKUP(C5277,Contract!$A$2:$A$9,Contract!$B$2:$B$9)</f>
        <v>0.43</v>
      </c>
      <c r="S5277" s="1">
        <f t="shared" si="328"/>
        <v>53.32</v>
      </c>
      <c r="T5277" s="1">
        <f t="shared" si="329"/>
        <v>-0.90999999999999659</v>
      </c>
      <c r="U5277" s="1" t="str">
        <f t="shared" si="330"/>
        <v>OK</v>
      </c>
      <c r="V5277" s="1" t="str">
        <f>_xlfn.XLOOKUP(C5277,Payers!$A$2:$A$9,Payers!$B$2:$B$9)</f>
        <v>Summit Health Commercial</v>
      </c>
      <c r="W5277" s="1" t="str">
        <f t="shared" si="331"/>
        <v>2026-04</v>
      </c>
    </row>
    <row r="5278" spans="1:23">
      <c r="A5278" s="1" t="s">
        <v>8069</v>
      </c>
      <c r="B5278" s="1" t="s">
        <v>1118</v>
      </c>
      <c r="C5278" s="1" t="s">
        <v>18</v>
      </c>
      <c r="D5278" s="1" t="s">
        <v>30</v>
      </c>
      <c r="E5278" s="1" t="s">
        <v>31</v>
      </c>
      <c r="F5278">
        <v>3</v>
      </c>
      <c r="G5278" s="2">
        <v>45943</v>
      </c>
      <c r="H5278" s="2">
        <v>45944</v>
      </c>
      <c r="I5278">
        <v>185.77</v>
      </c>
      <c r="J5278">
        <v>64.510000000000005</v>
      </c>
      <c r="K5278">
        <v>58.06</v>
      </c>
      <c r="L5278">
        <v>6.45</v>
      </c>
      <c r="M5278" s="1" t="s">
        <v>21</v>
      </c>
      <c r="N5278" s="1" t="s">
        <v>22</v>
      </c>
      <c r="O5278" s="2">
        <v>45989</v>
      </c>
      <c r="P5278" s="2">
        <v>45989</v>
      </c>
      <c r="Q5278">
        <f>_xlfn.XLOOKUP(E5278,CPT!$A$2:$A$13,CPT!$D$2:$D$13)</f>
        <v>62</v>
      </c>
      <c r="R5278" s="1">
        <f>_xlfn.XLOOKUP(C5278,Contract!$A$2:$A$9,Contract!$B$2:$B$9)</f>
        <v>0.38</v>
      </c>
      <c r="S5278" s="1">
        <f t="shared" si="328"/>
        <v>70.680000000000007</v>
      </c>
      <c r="T5278" s="1">
        <f t="shared" si="329"/>
        <v>6.1700000000000017</v>
      </c>
      <c r="U5278" s="1" t="str">
        <f t="shared" si="330"/>
        <v>Underpaid</v>
      </c>
      <c r="V5278" s="1" t="str">
        <f>_xlfn.XLOOKUP(C5278,Payers!$A$2:$A$9,Payers!$B$2:$B$9)</f>
        <v>Sunshine Medicare Advantage</v>
      </c>
      <c r="W5278" s="1" t="str">
        <f t="shared" si="331"/>
        <v>2025-10</v>
      </c>
    </row>
    <row r="5279" spans="1:23">
      <c r="A5279" s="1" t="s">
        <v>8070</v>
      </c>
      <c r="B5279" s="1" t="s">
        <v>1252</v>
      </c>
      <c r="C5279" s="1" t="s">
        <v>47</v>
      </c>
      <c r="D5279" s="1" t="s">
        <v>19</v>
      </c>
      <c r="E5279" s="1" t="s">
        <v>88</v>
      </c>
      <c r="F5279">
        <v>1</v>
      </c>
      <c r="G5279" s="2">
        <v>45989</v>
      </c>
      <c r="H5279" s="2">
        <v>45991</v>
      </c>
      <c r="I5279">
        <v>255.88</v>
      </c>
      <c r="J5279">
        <v>81.010000000000005</v>
      </c>
      <c r="K5279">
        <v>72.91</v>
      </c>
      <c r="L5279">
        <v>8.1</v>
      </c>
      <c r="M5279" s="1" t="s">
        <v>21</v>
      </c>
      <c r="N5279" s="1" t="s">
        <v>22</v>
      </c>
      <c r="O5279" s="2">
        <v>46005</v>
      </c>
      <c r="P5279" s="2">
        <v>46005</v>
      </c>
      <c r="Q5279">
        <f>_xlfn.XLOOKUP(E5279,CPT!$A$2:$A$13,CPT!$D$2:$D$13)</f>
        <v>260</v>
      </c>
      <c r="R5279" s="1">
        <f>_xlfn.XLOOKUP(C5279,Contract!$A$2:$A$9,Contract!$B$2:$B$9)</f>
        <v>0.28000000000000003</v>
      </c>
      <c r="S5279" s="1">
        <f t="shared" si="328"/>
        <v>72.8</v>
      </c>
      <c r="T5279" s="1">
        <f t="shared" si="329"/>
        <v>-8.210000000000008</v>
      </c>
      <c r="U5279" s="1" t="str">
        <f t="shared" si="330"/>
        <v>OK</v>
      </c>
      <c r="V5279" s="1" t="str">
        <f>_xlfn.XLOOKUP(C5279,Payers!$A$2:$A$9,Payers!$B$2:$B$9)</f>
        <v>Coastal Medicaid MCO</v>
      </c>
      <c r="W5279" s="1" t="str">
        <f t="shared" si="331"/>
        <v>2025-11</v>
      </c>
    </row>
    <row r="5280" spans="1:23">
      <c r="A5280" s="1" t="s">
        <v>8071</v>
      </c>
      <c r="B5280" s="1" t="s">
        <v>1988</v>
      </c>
      <c r="C5280" s="1" t="s">
        <v>60</v>
      </c>
      <c r="D5280" s="1" t="s">
        <v>26</v>
      </c>
      <c r="E5280" s="1" t="s">
        <v>57</v>
      </c>
      <c r="F5280">
        <v>1</v>
      </c>
      <c r="G5280" s="2">
        <v>46143</v>
      </c>
      <c r="H5280" s="2">
        <v>46145</v>
      </c>
      <c r="I5280">
        <v>210.84</v>
      </c>
      <c r="J5280">
        <v>98.34</v>
      </c>
      <c r="K5280">
        <v>78.67</v>
      </c>
      <c r="L5280">
        <v>19.670000000000002</v>
      </c>
      <c r="M5280" s="1" t="s">
        <v>21</v>
      </c>
      <c r="N5280" s="1" t="s">
        <v>22</v>
      </c>
      <c r="O5280" s="2">
        <v>46158</v>
      </c>
      <c r="P5280" s="2">
        <v>46158</v>
      </c>
      <c r="Q5280">
        <f>_xlfn.XLOOKUP(E5280,CPT!$A$2:$A$13,CPT!$D$2:$D$13)</f>
        <v>210</v>
      </c>
      <c r="R5280" s="1">
        <f>_xlfn.XLOOKUP(C5280,Contract!$A$2:$A$9,Contract!$B$2:$B$9)</f>
        <v>0.45</v>
      </c>
      <c r="S5280" s="1">
        <f t="shared" si="328"/>
        <v>94.5</v>
      </c>
      <c r="T5280" s="1">
        <f t="shared" si="329"/>
        <v>-3.8400000000000034</v>
      </c>
      <c r="U5280" s="1" t="str">
        <f t="shared" si="330"/>
        <v>OK</v>
      </c>
      <c r="V5280" s="1" t="str">
        <f>_xlfn.XLOOKUP(C5280,Payers!$A$2:$A$9,Payers!$B$2:$B$9)</f>
        <v>Blue Horizon Commercial</v>
      </c>
      <c r="W5280" s="1" t="str">
        <f t="shared" si="331"/>
        <v>2026-05</v>
      </c>
    </row>
    <row r="5281" spans="1:23">
      <c r="A5281" s="1" t="s">
        <v>8072</v>
      </c>
      <c r="B5281" s="1" t="s">
        <v>2293</v>
      </c>
      <c r="C5281" s="1" t="s">
        <v>36</v>
      </c>
      <c r="D5281" s="1" t="s">
        <v>30</v>
      </c>
      <c r="E5281" s="1" t="s">
        <v>91</v>
      </c>
      <c r="F5281">
        <v>1</v>
      </c>
      <c r="G5281" s="2">
        <v>45958</v>
      </c>
      <c r="H5281" s="2">
        <v>45962</v>
      </c>
      <c r="I5281">
        <v>57.06</v>
      </c>
      <c r="M5281" s="1" t="s">
        <v>32</v>
      </c>
      <c r="N5281" s="1" t="s">
        <v>124</v>
      </c>
      <c r="O5281" s="2">
        <v>45995</v>
      </c>
      <c r="P5281" s="2"/>
      <c r="Q5281">
        <f>_xlfn.XLOOKUP(E5281,CPT!$A$2:$A$13,CPT!$D$2:$D$13)</f>
        <v>58</v>
      </c>
      <c r="R5281" s="1">
        <f>_xlfn.XLOOKUP(C5281,Contract!$A$2:$A$9,Contract!$B$2:$B$9)</f>
        <v>0.27</v>
      </c>
      <c r="S5281" s="1">
        <f t="shared" si="328"/>
        <v>15.66</v>
      </c>
      <c r="T5281" s="1" t="str">
        <f t="shared" si="329"/>
        <v/>
      </c>
      <c r="U5281" s="1" t="str">
        <f t="shared" si="330"/>
        <v/>
      </c>
      <c r="V5281" s="1" t="str">
        <f>_xlfn.XLOOKUP(C5281,Payers!$A$2:$A$9,Payers!$B$2:$B$9)</f>
        <v>Florida Medicaid</v>
      </c>
      <c r="W5281" s="1" t="str">
        <f t="shared" si="331"/>
        <v>2025-10</v>
      </c>
    </row>
    <row r="5282" spans="1:23">
      <c r="A5282" s="1" t="s">
        <v>8073</v>
      </c>
      <c r="B5282" s="1" t="s">
        <v>2537</v>
      </c>
      <c r="C5282" s="1" t="s">
        <v>76</v>
      </c>
      <c r="D5282" s="1" t="s">
        <v>19</v>
      </c>
      <c r="E5282" s="1" t="s">
        <v>41</v>
      </c>
      <c r="F5282">
        <v>1</v>
      </c>
      <c r="G5282" s="2">
        <v>46112</v>
      </c>
      <c r="H5282" s="2">
        <v>46113</v>
      </c>
      <c r="I5282">
        <v>37.68</v>
      </c>
      <c r="J5282">
        <v>18.59</v>
      </c>
      <c r="K5282">
        <v>18.59</v>
      </c>
      <c r="L5282">
        <v>0</v>
      </c>
      <c r="M5282" s="1" t="s">
        <v>21</v>
      </c>
      <c r="N5282" s="1" t="s">
        <v>22</v>
      </c>
      <c r="O5282" s="2">
        <v>46143</v>
      </c>
      <c r="P5282" s="2">
        <v>46143</v>
      </c>
      <c r="Q5282">
        <f>_xlfn.XLOOKUP(E5282,CPT!$A$2:$A$13,CPT!$D$2:$D$13)</f>
        <v>38</v>
      </c>
      <c r="R5282" s="1">
        <f>_xlfn.XLOOKUP(C5282,Contract!$A$2:$A$9,Contract!$B$2:$B$9)</f>
        <v>0.43</v>
      </c>
      <c r="S5282" s="1">
        <f t="shared" si="328"/>
        <v>16.34</v>
      </c>
      <c r="T5282" s="1">
        <f t="shared" si="329"/>
        <v>-2.25</v>
      </c>
      <c r="U5282" s="1" t="str">
        <f t="shared" si="330"/>
        <v>OK</v>
      </c>
      <c r="V5282" s="1" t="str">
        <f>_xlfn.XLOOKUP(C5282,Payers!$A$2:$A$9,Payers!$B$2:$B$9)</f>
        <v>Summit Health Commercial</v>
      </c>
      <c r="W5282" s="1" t="str">
        <f t="shared" si="331"/>
        <v>2026-03</v>
      </c>
    </row>
    <row r="5283" spans="1:23">
      <c r="A5283" s="1" t="s">
        <v>8074</v>
      </c>
      <c r="B5283" s="1" t="s">
        <v>4581</v>
      </c>
      <c r="C5283" s="1" t="s">
        <v>76</v>
      </c>
      <c r="D5283" s="1" t="s">
        <v>19</v>
      </c>
      <c r="E5283" s="1" t="s">
        <v>41</v>
      </c>
      <c r="F5283">
        <v>1</v>
      </c>
      <c r="G5283" s="2">
        <v>46120</v>
      </c>
      <c r="H5283" s="2">
        <v>46131</v>
      </c>
      <c r="I5283">
        <v>38.44</v>
      </c>
      <c r="J5283">
        <v>16.010000000000002</v>
      </c>
      <c r="K5283">
        <v>14.41</v>
      </c>
      <c r="L5283">
        <v>1.6</v>
      </c>
      <c r="M5283" s="1" t="s">
        <v>21</v>
      </c>
      <c r="N5283" s="1" t="s">
        <v>22</v>
      </c>
      <c r="O5283" s="2">
        <v>46162</v>
      </c>
      <c r="P5283" s="2">
        <v>46162</v>
      </c>
      <c r="Q5283">
        <f>_xlfn.XLOOKUP(E5283,CPT!$A$2:$A$13,CPT!$D$2:$D$13)</f>
        <v>38</v>
      </c>
      <c r="R5283" s="1">
        <f>_xlfn.XLOOKUP(C5283,Contract!$A$2:$A$9,Contract!$B$2:$B$9)</f>
        <v>0.43</v>
      </c>
      <c r="S5283" s="1">
        <f t="shared" si="328"/>
        <v>16.34</v>
      </c>
      <c r="T5283" s="1">
        <f t="shared" si="329"/>
        <v>0.32999999999999829</v>
      </c>
      <c r="U5283" s="1" t="str">
        <f t="shared" si="330"/>
        <v>OK</v>
      </c>
      <c r="V5283" s="1" t="str">
        <f>_xlfn.XLOOKUP(C5283,Payers!$A$2:$A$9,Payers!$B$2:$B$9)</f>
        <v>Summit Health Commercial</v>
      </c>
      <c r="W5283" s="1" t="str">
        <f t="shared" si="331"/>
        <v>2026-04</v>
      </c>
    </row>
    <row r="5284" spans="1:23">
      <c r="A5284" s="1" t="s">
        <v>8075</v>
      </c>
      <c r="B5284" s="1" t="s">
        <v>2856</v>
      </c>
      <c r="C5284" s="1" t="s">
        <v>52</v>
      </c>
      <c r="D5284" s="1" t="s">
        <v>19</v>
      </c>
      <c r="E5284" s="1" t="s">
        <v>57</v>
      </c>
      <c r="F5284">
        <v>1</v>
      </c>
      <c r="G5284" s="2">
        <v>46134</v>
      </c>
      <c r="H5284" s="2">
        <v>46135</v>
      </c>
      <c r="I5284">
        <v>211.03</v>
      </c>
      <c r="J5284">
        <v>101.37</v>
      </c>
      <c r="K5284">
        <v>81.099999999999994</v>
      </c>
      <c r="L5284">
        <v>20.27</v>
      </c>
      <c r="M5284" s="1" t="s">
        <v>21</v>
      </c>
      <c r="N5284" s="1" t="s">
        <v>22</v>
      </c>
      <c r="O5284" s="2">
        <v>46197</v>
      </c>
      <c r="P5284" s="2">
        <v>46197</v>
      </c>
      <c r="Q5284">
        <f>_xlfn.XLOOKUP(E5284,CPT!$A$2:$A$13,CPT!$D$2:$D$13)</f>
        <v>210</v>
      </c>
      <c r="R5284" s="1">
        <f>_xlfn.XLOOKUP(C5284,Contract!$A$2:$A$9,Contract!$B$2:$B$9)</f>
        <v>0.47</v>
      </c>
      <c r="S5284" s="1">
        <f t="shared" si="328"/>
        <v>98.7</v>
      </c>
      <c r="T5284" s="1">
        <f t="shared" si="329"/>
        <v>-2.6700000000000017</v>
      </c>
      <c r="U5284" s="1" t="str">
        <f t="shared" si="330"/>
        <v>OK</v>
      </c>
      <c r="V5284" s="1" t="str">
        <f>_xlfn.XLOOKUP(C5284,Payers!$A$2:$A$9,Payers!$B$2:$B$9)</f>
        <v>Keystone Commercial PPO</v>
      </c>
      <c r="W5284" s="1" t="str">
        <f t="shared" si="331"/>
        <v>2026-04</v>
      </c>
    </row>
    <row r="5285" spans="1:23">
      <c r="A5285" s="1" t="s">
        <v>8076</v>
      </c>
      <c r="B5285" s="1" t="s">
        <v>3721</v>
      </c>
      <c r="C5285" s="1" t="s">
        <v>25</v>
      </c>
      <c r="D5285" s="1" t="s">
        <v>26</v>
      </c>
      <c r="E5285" s="1" t="s">
        <v>57</v>
      </c>
      <c r="F5285">
        <v>1</v>
      </c>
      <c r="G5285" s="2">
        <v>46027</v>
      </c>
      <c r="H5285" s="2">
        <v>46038</v>
      </c>
      <c r="I5285">
        <v>212.88</v>
      </c>
      <c r="M5285" s="1" t="s">
        <v>32</v>
      </c>
      <c r="N5285" s="1" t="s">
        <v>33</v>
      </c>
      <c r="O5285" s="2">
        <v>46059</v>
      </c>
      <c r="P5285" s="2"/>
      <c r="Q5285">
        <f>_xlfn.XLOOKUP(E5285,CPT!$A$2:$A$13,CPT!$D$2:$D$13)</f>
        <v>210</v>
      </c>
      <c r="R5285" s="1">
        <f>_xlfn.XLOOKUP(C5285,Contract!$A$2:$A$9,Contract!$B$2:$B$9)</f>
        <v>0.36</v>
      </c>
      <c r="S5285" s="1">
        <f t="shared" si="328"/>
        <v>75.599999999999994</v>
      </c>
      <c r="T5285" s="1" t="str">
        <f t="shared" si="329"/>
        <v/>
      </c>
      <c r="U5285" s="1" t="str">
        <f t="shared" si="330"/>
        <v/>
      </c>
      <c r="V5285" s="1" t="str">
        <f>_xlfn.XLOOKUP(C5285,Payers!$A$2:$A$9,Payers!$B$2:$B$9)</f>
        <v>Medicare Part B</v>
      </c>
      <c r="W5285" s="1" t="str">
        <f t="shared" si="331"/>
        <v>2026-01</v>
      </c>
    </row>
    <row r="5286" spans="1:23">
      <c r="A5286" s="1" t="s">
        <v>8077</v>
      </c>
      <c r="B5286" s="1" t="s">
        <v>7826</v>
      </c>
      <c r="C5286" s="1" t="s">
        <v>25</v>
      </c>
      <c r="D5286" s="1" t="s">
        <v>19</v>
      </c>
      <c r="E5286" s="1" t="s">
        <v>57</v>
      </c>
      <c r="F5286">
        <v>1</v>
      </c>
      <c r="G5286" s="2">
        <v>46205</v>
      </c>
      <c r="H5286" s="2">
        <v>46206</v>
      </c>
      <c r="I5286">
        <v>209.1</v>
      </c>
      <c r="J5286">
        <v>65.349999999999994</v>
      </c>
      <c r="K5286">
        <v>65.349999999999994</v>
      </c>
      <c r="L5286">
        <v>0</v>
      </c>
      <c r="M5286" s="1" t="s">
        <v>21</v>
      </c>
      <c r="N5286" s="1" t="s">
        <v>22</v>
      </c>
      <c r="O5286" s="2">
        <v>46224</v>
      </c>
      <c r="P5286" s="2">
        <v>46224</v>
      </c>
      <c r="Q5286">
        <f>_xlfn.XLOOKUP(E5286,CPT!$A$2:$A$13,CPT!$D$2:$D$13)</f>
        <v>210</v>
      </c>
      <c r="R5286" s="1">
        <f>_xlfn.XLOOKUP(C5286,Contract!$A$2:$A$9,Contract!$B$2:$B$9)</f>
        <v>0.36</v>
      </c>
      <c r="S5286" s="1">
        <f t="shared" si="328"/>
        <v>75.599999999999994</v>
      </c>
      <c r="T5286" s="1">
        <f t="shared" si="329"/>
        <v>10.25</v>
      </c>
      <c r="U5286" s="1" t="str">
        <f t="shared" si="330"/>
        <v>Underpaid</v>
      </c>
      <c r="V5286" s="1" t="str">
        <f>_xlfn.XLOOKUP(C5286,Payers!$A$2:$A$9,Payers!$B$2:$B$9)</f>
        <v>Medicare Part B</v>
      </c>
      <c r="W5286" s="1" t="str">
        <f t="shared" si="331"/>
        <v>2026-07</v>
      </c>
    </row>
    <row r="5287" spans="1:23">
      <c r="A5287" s="1" t="s">
        <v>8078</v>
      </c>
      <c r="B5287" s="1" t="s">
        <v>4475</v>
      </c>
      <c r="C5287" s="1" t="s">
        <v>18</v>
      </c>
      <c r="D5287" s="1" t="s">
        <v>26</v>
      </c>
      <c r="E5287" s="1" t="s">
        <v>44</v>
      </c>
      <c r="F5287">
        <v>1</v>
      </c>
      <c r="G5287" s="2">
        <v>46151</v>
      </c>
      <c r="H5287" s="2">
        <v>46166</v>
      </c>
      <c r="I5287">
        <v>4851.04</v>
      </c>
      <c r="J5287">
        <v>1908.99</v>
      </c>
      <c r="K5287">
        <v>1908.99</v>
      </c>
      <c r="L5287">
        <v>0</v>
      </c>
      <c r="M5287" s="1" t="s">
        <v>21</v>
      </c>
      <c r="N5287" s="1" t="s">
        <v>22</v>
      </c>
      <c r="O5287" s="2">
        <v>46212</v>
      </c>
      <c r="P5287" s="2">
        <v>46212</v>
      </c>
      <c r="Q5287">
        <f>_xlfn.XLOOKUP(E5287,CPT!$A$2:$A$13,CPT!$D$2:$D$13)</f>
        <v>4800</v>
      </c>
      <c r="R5287" s="1">
        <f>_xlfn.XLOOKUP(C5287,Contract!$A$2:$A$9,Contract!$B$2:$B$9)</f>
        <v>0.38</v>
      </c>
      <c r="S5287" s="1">
        <f t="shared" si="328"/>
        <v>1824</v>
      </c>
      <c r="T5287" s="1">
        <f t="shared" si="329"/>
        <v>-84.990000000000009</v>
      </c>
      <c r="U5287" s="1" t="str">
        <f t="shared" si="330"/>
        <v>OK</v>
      </c>
      <c r="V5287" s="1" t="str">
        <f>_xlfn.XLOOKUP(C5287,Payers!$A$2:$A$9,Payers!$B$2:$B$9)</f>
        <v>Sunshine Medicare Advantage</v>
      </c>
      <c r="W5287" s="1" t="str">
        <f t="shared" si="331"/>
        <v>2026-05</v>
      </c>
    </row>
    <row r="5288" spans="1:23">
      <c r="A5288" s="1" t="s">
        <v>8079</v>
      </c>
      <c r="B5288" s="1" t="s">
        <v>5541</v>
      </c>
      <c r="C5288" s="1" t="s">
        <v>47</v>
      </c>
      <c r="D5288" s="1" t="s">
        <v>30</v>
      </c>
      <c r="E5288" s="1" t="s">
        <v>20</v>
      </c>
      <c r="F5288">
        <v>1</v>
      </c>
      <c r="G5288" s="2">
        <v>46193</v>
      </c>
      <c r="H5288" s="2">
        <v>46194</v>
      </c>
      <c r="I5288">
        <v>147.78</v>
      </c>
      <c r="J5288">
        <v>37.909999999999997</v>
      </c>
      <c r="K5288">
        <v>34.119999999999997</v>
      </c>
      <c r="L5288">
        <v>3.79</v>
      </c>
      <c r="M5288" s="1" t="s">
        <v>21</v>
      </c>
      <c r="N5288" s="1" t="s">
        <v>22</v>
      </c>
      <c r="O5288" s="2">
        <v>46287</v>
      </c>
      <c r="P5288" s="2">
        <v>46287</v>
      </c>
      <c r="Q5288">
        <f>_xlfn.XLOOKUP(E5288,CPT!$A$2:$A$13,CPT!$D$2:$D$13)</f>
        <v>145</v>
      </c>
      <c r="R5288" s="1">
        <f>_xlfn.XLOOKUP(C5288,Contract!$A$2:$A$9,Contract!$B$2:$B$9)</f>
        <v>0.28000000000000003</v>
      </c>
      <c r="S5288" s="1">
        <f t="shared" si="328"/>
        <v>40.6</v>
      </c>
      <c r="T5288" s="1">
        <f t="shared" si="329"/>
        <v>2.6900000000000048</v>
      </c>
      <c r="U5288" s="1" t="str">
        <f t="shared" si="330"/>
        <v>Underpaid</v>
      </c>
      <c r="V5288" s="1" t="str">
        <f>_xlfn.XLOOKUP(C5288,Payers!$A$2:$A$9,Payers!$B$2:$B$9)</f>
        <v>Coastal Medicaid MCO</v>
      </c>
      <c r="W5288" s="1" t="str">
        <f t="shared" si="331"/>
        <v>2026-06</v>
      </c>
    </row>
    <row r="5289" spans="1:23">
      <c r="A5289" s="1" t="s">
        <v>8080</v>
      </c>
      <c r="B5289" s="1" t="s">
        <v>1205</v>
      </c>
      <c r="C5289" s="1" t="s">
        <v>60</v>
      </c>
      <c r="D5289" s="1" t="s">
        <v>19</v>
      </c>
      <c r="E5289" s="1" t="s">
        <v>88</v>
      </c>
      <c r="F5289">
        <v>1</v>
      </c>
      <c r="G5289" s="2">
        <v>46045</v>
      </c>
      <c r="H5289" s="2">
        <v>46062</v>
      </c>
      <c r="I5289">
        <v>255.05</v>
      </c>
      <c r="J5289">
        <v>111.43</v>
      </c>
      <c r="K5289">
        <v>111.43</v>
      </c>
      <c r="L5289">
        <v>0</v>
      </c>
      <c r="M5289" s="1" t="s">
        <v>21</v>
      </c>
      <c r="N5289" s="1" t="s">
        <v>22</v>
      </c>
      <c r="O5289" s="2">
        <v>46093</v>
      </c>
      <c r="P5289" s="2">
        <v>46093</v>
      </c>
      <c r="Q5289">
        <f>_xlfn.XLOOKUP(E5289,CPT!$A$2:$A$13,CPT!$D$2:$D$13)</f>
        <v>260</v>
      </c>
      <c r="R5289" s="1">
        <f>_xlfn.XLOOKUP(C5289,Contract!$A$2:$A$9,Contract!$B$2:$B$9)</f>
        <v>0.45</v>
      </c>
      <c r="S5289" s="1">
        <f t="shared" si="328"/>
        <v>117</v>
      </c>
      <c r="T5289" s="1">
        <f t="shared" si="329"/>
        <v>5.5699999999999932</v>
      </c>
      <c r="U5289" s="1" t="str">
        <f t="shared" si="330"/>
        <v>OK</v>
      </c>
      <c r="V5289" s="1" t="str">
        <f>_xlfn.XLOOKUP(C5289,Payers!$A$2:$A$9,Payers!$B$2:$B$9)</f>
        <v>Blue Horizon Commercial</v>
      </c>
      <c r="W5289" s="1" t="str">
        <f t="shared" si="331"/>
        <v>2026-01</v>
      </c>
    </row>
    <row r="5290" spans="1:23">
      <c r="A5290" s="1" t="s">
        <v>8081</v>
      </c>
      <c r="B5290" s="1" t="s">
        <v>548</v>
      </c>
      <c r="C5290" s="1" t="s">
        <v>76</v>
      </c>
      <c r="D5290" s="1" t="s">
        <v>30</v>
      </c>
      <c r="E5290" s="1" t="s">
        <v>91</v>
      </c>
      <c r="F5290">
        <v>1</v>
      </c>
      <c r="G5290" s="2">
        <v>46270</v>
      </c>
      <c r="H5290" s="2">
        <v>46279</v>
      </c>
      <c r="I5290">
        <v>59.58</v>
      </c>
      <c r="M5290" s="1" t="s">
        <v>69</v>
      </c>
      <c r="N5290" s="1" t="s">
        <v>22</v>
      </c>
      <c r="O5290" s="2"/>
      <c r="P5290" s="2"/>
      <c r="Q5290">
        <f>_xlfn.XLOOKUP(E5290,CPT!$A$2:$A$13,CPT!$D$2:$D$13)</f>
        <v>58</v>
      </c>
      <c r="R5290" s="1">
        <f>_xlfn.XLOOKUP(C5290,Contract!$A$2:$A$9,Contract!$B$2:$B$9)</f>
        <v>0.43</v>
      </c>
      <c r="S5290" s="1">
        <f t="shared" si="328"/>
        <v>24.94</v>
      </c>
      <c r="T5290" s="1" t="str">
        <f t="shared" si="329"/>
        <v/>
      </c>
      <c r="U5290" s="1" t="str">
        <f t="shared" si="330"/>
        <v/>
      </c>
      <c r="V5290" s="1" t="str">
        <f>_xlfn.XLOOKUP(C5290,Payers!$A$2:$A$9,Payers!$B$2:$B$9)</f>
        <v>Summit Health Commercial</v>
      </c>
      <c r="W5290" s="1" t="str">
        <f t="shared" si="331"/>
        <v>2026-09</v>
      </c>
    </row>
    <row r="5291" spans="1:23">
      <c r="A5291" s="1" t="s">
        <v>8082</v>
      </c>
      <c r="B5291" s="1" t="s">
        <v>3032</v>
      </c>
      <c r="C5291" s="1" t="s">
        <v>60</v>
      </c>
      <c r="D5291" s="1" t="s">
        <v>37</v>
      </c>
      <c r="E5291" s="1" t="s">
        <v>38</v>
      </c>
      <c r="F5291">
        <v>10</v>
      </c>
      <c r="G5291" s="2">
        <v>46216</v>
      </c>
      <c r="H5291" s="2">
        <v>46220</v>
      </c>
      <c r="I5291">
        <v>14898.32</v>
      </c>
      <c r="J5291">
        <v>7356.44</v>
      </c>
      <c r="K5291">
        <v>6620.8</v>
      </c>
      <c r="L5291">
        <v>735.64</v>
      </c>
      <c r="M5291" s="1" t="s">
        <v>21</v>
      </c>
      <c r="N5291" s="1" t="s">
        <v>22</v>
      </c>
      <c r="O5291" s="2">
        <v>46238</v>
      </c>
      <c r="P5291" s="2">
        <v>46238</v>
      </c>
      <c r="Q5291">
        <f>_xlfn.XLOOKUP(E5291,CPT!$A$2:$A$13,CPT!$D$2:$D$13)</f>
        <v>1450</v>
      </c>
      <c r="R5291" s="1">
        <f>_xlfn.XLOOKUP(C5291,Contract!$A$2:$A$9,Contract!$B$2:$B$9)</f>
        <v>0.45</v>
      </c>
      <c r="S5291" s="1">
        <f t="shared" si="328"/>
        <v>6525</v>
      </c>
      <c r="T5291" s="1">
        <f t="shared" si="329"/>
        <v>-831.4399999999996</v>
      </c>
      <c r="U5291" s="1" t="str">
        <f t="shared" si="330"/>
        <v>OK</v>
      </c>
      <c r="V5291" s="1" t="str">
        <f>_xlfn.XLOOKUP(C5291,Payers!$A$2:$A$9,Payers!$B$2:$B$9)</f>
        <v>Blue Horizon Commercial</v>
      </c>
      <c r="W5291" s="1" t="str">
        <f t="shared" si="331"/>
        <v>2026-07</v>
      </c>
    </row>
    <row r="5292" spans="1:23">
      <c r="A5292" s="1" t="s">
        <v>8083</v>
      </c>
      <c r="B5292" s="1" t="s">
        <v>4700</v>
      </c>
      <c r="C5292" s="1" t="s">
        <v>60</v>
      </c>
      <c r="D5292" s="1" t="s">
        <v>26</v>
      </c>
      <c r="E5292" s="1" t="s">
        <v>113</v>
      </c>
      <c r="F5292">
        <v>1</v>
      </c>
      <c r="G5292" s="2">
        <v>45940</v>
      </c>
      <c r="H5292" s="2">
        <v>45945</v>
      </c>
      <c r="I5292">
        <v>1040.6500000000001</v>
      </c>
      <c r="M5292" s="1" t="s">
        <v>32</v>
      </c>
      <c r="N5292" s="1" t="s">
        <v>49</v>
      </c>
      <c r="O5292" s="2">
        <v>45961</v>
      </c>
      <c r="P5292" s="2"/>
      <c r="Q5292">
        <f>_xlfn.XLOOKUP(E5292,CPT!$A$2:$A$13,CPT!$D$2:$D$13)</f>
        <v>1050</v>
      </c>
      <c r="R5292" s="1">
        <f>_xlfn.XLOOKUP(C5292,Contract!$A$2:$A$9,Contract!$B$2:$B$9)</f>
        <v>0.45</v>
      </c>
      <c r="S5292" s="1">
        <f t="shared" si="328"/>
        <v>472.5</v>
      </c>
      <c r="T5292" s="1" t="str">
        <f t="shared" si="329"/>
        <v/>
      </c>
      <c r="U5292" s="1" t="str">
        <f t="shared" si="330"/>
        <v/>
      </c>
      <c r="V5292" s="1" t="str">
        <f>_xlfn.XLOOKUP(C5292,Payers!$A$2:$A$9,Payers!$B$2:$B$9)</f>
        <v>Blue Horizon Commercial</v>
      </c>
      <c r="W5292" s="1" t="str">
        <f t="shared" si="331"/>
        <v>2025-10</v>
      </c>
    </row>
    <row r="5293" spans="1:23">
      <c r="A5293" s="1" t="s">
        <v>8084</v>
      </c>
      <c r="B5293" s="1" t="s">
        <v>2325</v>
      </c>
      <c r="C5293" s="1" t="s">
        <v>76</v>
      </c>
      <c r="D5293" s="1" t="s">
        <v>26</v>
      </c>
      <c r="E5293" s="1" t="s">
        <v>27</v>
      </c>
      <c r="F5293">
        <v>1</v>
      </c>
      <c r="G5293" s="2">
        <v>46226</v>
      </c>
      <c r="H5293" s="2">
        <v>46231</v>
      </c>
      <c r="I5293">
        <v>243.47</v>
      </c>
      <c r="J5293">
        <v>118.63</v>
      </c>
      <c r="K5293">
        <v>106.77</v>
      </c>
      <c r="L5293">
        <v>11.86</v>
      </c>
      <c r="M5293" s="1" t="s">
        <v>21</v>
      </c>
      <c r="N5293" s="1" t="s">
        <v>22</v>
      </c>
      <c r="O5293" s="2">
        <v>46256</v>
      </c>
      <c r="P5293" s="2">
        <v>46256</v>
      </c>
      <c r="Q5293">
        <f>_xlfn.XLOOKUP(E5293,CPT!$A$2:$A$13,CPT!$D$2:$D$13)</f>
        <v>240</v>
      </c>
      <c r="R5293" s="1">
        <f>_xlfn.XLOOKUP(C5293,Contract!$A$2:$A$9,Contract!$B$2:$B$9)</f>
        <v>0.43</v>
      </c>
      <c r="S5293" s="1">
        <f t="shared" si="328"/>
        <v>103.2</v>
      </c>
      <c r="T5293" s="1">
        <f t="shared" si="329"/>
        <v>-15.429999999999993</v>
      </c>
      <c r="U5293" s="1" t="str">
        <f t="shared" si="330"/>
        <v>OK</v>
      </c>
      <c r="V5293" s="1" t="str">
        <f>_xlfn.XLOOKUP(C5293,Payers!$A$2:$A$9,Payers!$B$2:$B$9)</f>
        <v>Summit Health Commercial</v>
      </c>
      <c r="W5293" s="1" t="str">
        <f t="shared" si="331"/>
        <v>2026-07</v>
      </c>
    </row>
    <row r="5294" spans="1:23">
      <c r="A5294" s="1" t="s">
        <v>8085</v>
      </c>
      <c r="B5294" s="1" t="s">
        <v>8086</v>
      </c>
      <c r="C5294" s="1" t="s">
        <v>36</v>
      </c>
      <c r="D5294" s="1" t="s">
        <v>26</v>
      </c>
      <c r="E5294" s="1" t="s">
        <v>185</v>
      </c>
      <c r="F5294">
        <v>1</v>
      </c>
      <c r="G5294" s="2">
        <v>46128</v>
      </c>
      <c r="H5294" s="2">
        <v>46136</v>
      </c>
      <c r="I5294">
        <v>1170.6099999999999</v>
      </c>
      <c r="J5294">
        <v>282.2</v>
      </c>
      <c r="K5294">
        <v>282.2</v>
      </c>
      <c r="L5294">
        <v>0</v>
      </c>
      <c r="M5294" s="1" t="s">
        <v>21</v>
      </c>
      <c r="N5294" s="1" t="s">
        <v>22</v>
      </c>
      <c r="O5294" s="2">
        <v>46170</v>
      </c>
      <c r="P5294" s="2">
        <v>46170</v>
      </c>
      <c r="Q5294">
        <f>_xlfn.XLOOKUP(E5294,CPT!$A$2:$A$13,CPT!$D$2:$D$13)</f>
        <v>1150</v>
      </c>
      <c r="R5294" s="1">
        <f>_xlfn.XLOOKUP(C5294,Contract!$A$2:$A$9,Contract!$B$2:$B$9)</f>
        <v>0.27</v>
      </c>
      <c r="S5294" s="1">
        <f t="shared" si="328"/>
        <v>310.5</v>
      </c>
      <c r="T5294" s="1">
        <f t="shared" si="329"/>
        <v>28.300000000000011</v>
      </c>
      <c r="U5294" s="1" t="str">
        <f t="shared" si="330"/>
        <v>Underpaid</v>
      </c>
      <c r="V5294" s="1" t="str">
        <f>_xlfn.XLOOKUP(C5294,Payers!$A$2:$A$9,Payers!$B$2:$B$9)</f>
        <v>Florida Medicaid</v>
      </c>
      <c r="W5294" s="1" t="str">
        <f t="shared" si="331"/>
        <v>2026-04</v>
      </c>
    </row>
    <row r="5295" spans="1:23">
      <c r="A5295" s="1" t="s">
        <v>8087</v>
      </c>
      <c r="B5295" s="1" t="s">
        <v>1211</v>
      </c>
      <c r="C5295" s="1" t="s">
        <v>60</v>
      </c>
      <c r="D5295" s="1" t="s">
        <v>19</v>
      </c>
      <c r="E5295" s="1" t="s">
        <v>57</v>
      </c>
      <c r="F5295">
        <v>1</v>
      </c>
      <c r="G5295" s="2">
        <v>45936</v>
      </c>
      <c r="H5295" s="2">
        <v>45942</v>
      </c>
      <c r="I5295">
        <v>204.23</v>
      </c>
      <c r="J5295">
        <v>80.44</v>
      </c>
      <c r="K5295">
        <v>64.349999999999994</v>
      </c>
      <c r="L5295">
        <v>16.09</v>
      </c>
      <c r="M5295" s="1" t="s">
        <v>21</v>
      </c>
      <c r="N5295" s="1" t="s">
        <v>22</v>
      </c>
      <c r="O5295" s="2">
        <v>45977</v>
      </c>
      <c r="P5295" s="2">
        <v>45977</v>
      </c>
      <c r="Q5295">
        <f>_xlfn.XLOOKUP(E5295,CPT!$A$2:$A$13,CPT!$D$2:$D$13)</f>
        <v>210</v>
      </c>
      <c r="R5295" s="1">
        <f>_xlfn.XLOOKUP(C5295,Contract!$A$2:$A$9,Contract!$B$2:$B$9)</f>
        <v>0.45</v>
      </c>
      <c r="S5295" s="1">
        <f t="shared" si="328"/>
        <v>94.5</v>
      </c>
      <c r="T5295" s="1">
        <f t="shared" si="329"/>
        <v>14.060000000000002</v>
      </c>
      <c r="U5295" s="1" t="str">
        <f t="shared" si="330"/>
        <v>Underpaid</v>
      </c>
      <c r="V5295" s="1" t="str">
        <f>_xlfn.XLOOKUP(C5295,Payers!$A$2:$A$9,Payers!$B$2:$B$9)</f>
        <v>Blue Horizon Commercial</v>
      </c>
      <c r="W5295" s="1" t="str">
        <f t="shared" si="331"/>
        <v>2025-10</v>
      </c>
    </row>
    <row r="5296" spans="1:23">
      <c r="A5296" s="1" t="s">
        <v>8088</v>
      </c>
      <c r="B5296" s="1" t="s">
        <v>8089</v>
      </c>
      <c r="C5296" s="1" t="s">
        <v>76</v>
      </c>
      <c r="D5296" s="1" t="s">
        <v>30</v>
      </c>
      <c r="E5296" s="1" t="s">
        <v>31</v>
      </c>
      <c r="F5296">
        <v>1</v>
      </c>
      <c r="G5296" s="2">
        <v>46264</v>
      </c>
      <c r="H5296" s="2">
        <v>46270</v>
      </c>
      <c r="I5296">
        <v>61.5</v>
      </c>
      <c r="J5296">
        <v>29.64</v>
      </c>
      <c r="K5296">
        <v>29.64</v>
      </c>
      <c r="L5296">
        <v>0</v>
      </c>
      <c r="M5296" s="1" t="s">
        <v>21</v>
      </c>
      <c r="N5296" s="1" t="s">
        <v>22</v>
      </c>
      <c r="O5296" s="2">
        <v>46290</v>
      </c>
      <c r="P5296" s="2">
        <v>46290</v>
      </c>
      <c r="Q5296">
        <f>_xlfn.XLOOKUP(E5296,CPT!$A$2:$A$13,CPT!$D$2:$D$13)</f>
        <v>62</v>
      </c>
      <c r="R5296" s="1">
        <f>_xlfn.XLOOKUP(C5296,Contract!$A$2:$A$9,Contract!$B$2:$B$9)</f>
        <v>0.43</v>
      </c>
      <c r="S5296" s="1">
        <f t="shared" si="328"/>
        <v>26.66</v>
      </c>
      <c r="T5296" s="1">
        <f t="shared" si="329"/>
        <v>-2.9800000000000004</v>
      </c>
      <c r="U5296" s="1" t="str">
        <f t="shared" si="330"/>
        <v>OK</v>
      </c>
      <c r="V5296" s="1" t="str">
        <f>_xlfn.XLOOKUP(C5296,Payers!$A$2:$A$9,Payers!$B$2:$B$9)</f>
        <v>Summit Health Commercial</v>
      </c>
      <c r="W5296" s="1" t="str">
        <f t="shared" si="331"/>
        <v>2026-08</v>
      </c>
    </row>
    <row r="5297" spans="1:23">
      <c r="A5297" s="1" t="s">
        <v>8090</v>
      </c>
      <c r="B5297" s="1" t="s">
        <v>6308</v>
      </c>
      <c r="C5297" s="1" t="s">
        <v>60</v>
      </c>
      <c r="D5297" s="1" t="s">
        <v>26</v>
      </c>
      <c r="E5297" s="1" t="s">
        <v>44</v>
      </c>
      <c r="F5297">
        <v>1</v>
      </c>
      <c r="G5297" s="2">
        <v>45976</v>
      </c>
      <c r="H5297" s="2">
        <v>45978</v>
      </c>
      <c r="I5297">
        <v>4695.18</v>
      </c>
      <c r="M5297" s="1" t="s">
        <v>32</v>
      </c>
      <c r="N5297" s="1" t="s">
        <v>33</v>
      </c>
      <c r="O5297" s="2">
        <v>45994</v>
      </c>
      <c r="P5297" s="2"/>
      <c r="Q5297">
        <f>_xlfn.XLOOKUP(E5297,CPT!$A$2:$A$13,CPT!$D$2:$D$13)</f>
        <v>4800</v>
      </c>
      <c r="R5297" s="1">
        <f>_xlfn.XLOOKUP(C5297,Contract!$A$2:$A$9,Contract!$B$2:$B$9)</f>
        <v>0.45</v>
      </c>
      <c r="S5297" s="1">
        <f t="shared" si="328"/>
        <v>2160</v>
      </c>
      <c r="T5297" s="1" t="str">
        <f t="shared" si="329"/>
        <v/>
      </c>
      <c r="U5297" s="1" t="str">
        <f t="shared" si="330"/>
        <v/>
      </c>
      <c r="V5297" s="1" t="str">
        <f>_xlfn.XLOOKUP(C5297,Payers!$A$2:$A$9,Payers!$B$2:$B$9)</f>
        <v>Blue Horizon Commercial</v>
      </c>
      <c r="W5297" s="1" t="str">
        <f t="shared" si="331"/>
        <v>2025-11</v>
      </c>
    </row>
    <row r="5298" spans="1:23">
      <c r="A5298" s="1" t="s">
        <v>8091</v>
      </c>
      <c r="B5298" s="1" t="s">
        <v>8092</v>
      </c>
      <c r="C5298" s="1" t="s">
        <v>60</v>
      </c>
      <c r="D5298" s="1" t="s">
        <v>30</v>
      </c>
      <c r="E5298" s="1" t="s">
        <v>20</v>
      </c>
      <c r="F5298">
        <v>1</v>
      </c>
      <c r="G5298" s="2">
        <v>45953</v>
      </c>
      <c r="H5298" s="2">
        <v>45957</v>
      </c>
      <c r="I5298">
        <v>144.94</v>
      </c>
      <c r="J5298">
        <v>68.459999999999994</v>
      </c>
      <c r="K5298">
        <v>61.61</v>
      </c>
      <c r="L5298">
        <v>6.85</v>
      </c>
      <c r="M5298" s="1" t="s">
        <v>21</v>
      </c>
      <c r="N5298" s="1" t="s">
        <v>22</v>
      </c>
      <c r="O5298" s="2">
        <v>45991</v>
      </c>
      <c r="P5298" s="2">
        <v>45991</v>
      </c>
      <c r="Q5298">
        <f>_xlfn.XLOOKUP(E5298,CPT!$A$2:$A$13,CPT!$D$2:$D$13)</f>
        <v>145</v>
      </c>
      <c r="R5298" s="1">
        <f>_xlfn.XLOOKUP(C5298,Contract!$A$2:$A$9,Contract!$B$2:$B$9)</f>
        <v>0.45</v>
      </c>
      <c r="S5298" s="1">
        <f t="shared" si="328"/>
        <v>65.25</v>
      </c>
      <c r="T5298" s="1">
        <f t="shared" si="329"/>
        <v>-3.2099999999999937</v>
      </c>
      <c r="U5298" s="1" t="str">
        <f t="shared" si="330"/>
        <v>OK</v>
      </c>
      <c r="V5298" s="1" t="str">
        <f>_xlfn.XLOOKUP(C5298,Payers!$A$2:$A$9,Payers!$B$2:$B$9)</f>
        <v>Blue Horizon Commercial</v>
      </c>
      <c r="W5298" s="1" t="str">
        <f t="shared" si="331"/>
        <v>2025-10</v>
      </c>
    </row>
    <row r="5299" spans="1:23">
      <c r="A5299" s="1" t="s">
        <v>8093</v>
      </c>
      <c r="B5299" s="1" t="s">
        <v>277</v>
      </c>
      <c r="C5299" s="1" t="s">
        <v>79</v>
      </c>
      <c r="D5299" s="1" t="s">
        <v>26</v>
      </c>
      <c r="E5299" s="1" t="s">
        <v>185</v>
      </c>
      <c r="F5299">
        <v>1</v>
      </c>
      <c r="G5299" s="2">
        <v>46095</v>
      </c>
      <c r="H5299" s="2">
        <v>46097</v>
      </c>
      <c r="I5299">
        <v>1139.76</v>
      </c>
      <c r="M5299" s="1" t="s">
        <v>69</v>
      </c>
      <c r="N5299" s="1" t="s">
        <v>22</v>
      </c>
      <c r="O5299" s="2"/>
      <c r="P5299" s="2"/>
      <c r="Q5299">
        <f>_xlfn.XLOOKUP(E5299,CPT!$A$2:$A$13,CPT!$D$2:$D$13)</f>
        <v>1150</v>
      </c>
      <c r="R5299" s="1">
        <f>_xlfn.XLOOKUP(C5299,Contract!$A$2:$A$9,Contract!$B$2:$B$9)</f>
        <v>1</v>
      </c>
      <c r="S5299" s="1">
        <f t="shared" si="328"/>
        <v>1150</v>
      </c>
      <c r="T5299" s="1" t="str">
        <f t="shared" si="329"/>
        <v/>
      </c>
      <c r="U5299" s="1" t="str">
        <f t="shared" si="330"/>
        <v/>
      </c>
      <c r="V5299" s="1" t="str">
        <f>_xlfn.XLOOKUP(C5299,Payers!$A$2:$A$9,Payers!$B$2:$B$9)</f>
        <v>Self-Pay</v>
      </c>
      <c r="W5299" s="1" t="str">
        <f t="shared" si="331"/>
        <v>2026-03</v>
      </c>
    </row>
    <row r="5300" spans="1:23">
      <c r="A5300" s="1" t="s">
        <v>8094</v>
      </c>
      <c r="B5300" s="1" t="s">
        <v>5883</v>
      </c>
      <c r="C5300" s="1" t="s">
        <v>52</v>
      </c>
      <c r="D5300" s="1" t="s">
        <v>19</v>
      </c>
      <c r="E5300" s="1" t="s">
        <v>88</v>
      </c>
      <c r="F5300">
        <v>1</v>
      </c>
      <c r="G5300" s="2">
        <v>46138</v>
      </c>
      <c r="H5300" s="2">
        <v>46139</v>
      </c>
      <c r="I5300">
        <v>258.24</v>
      </c>
      <c r="J5300">
        <v>132.72999999999999</v>
      </c>
      <c r="K5300">
        <v>132.72999999999999</v>
      </c>
      <c r="L5300">
        <v>0</v>
      </c>
      <c r="M5300" s="1" t="s">
        <v>21</v>
      </c>
      <c r="N5300" s="1" t="s">
        <v>22</v>
      </c>
      <c r="O5300" s="2">
        <v>46198</v>
      </c>
      <c r="P5300" s="2">
        <v>46198</v>
      </c>
      <c r="Q5300">
        <f>_xlfn.XLOOKUP(E5300,CPT!$A$2:$A$13,CPT!$D$2:$D$13)</f>
        <v>260</v>
      </c>
      <c r="R5300" s="1">
        <f>_xlfn.XLOOKUP(C5300,Contract!$A$2:$A$9,Contract!$B$2:$B$9)</f>
        <v>0.47</v>
      </c>
      <c r="S5300" s="1">
        <f t="shared" si="328"/>
        <v>122.2</v>
      </c>
      <c r="T5300" s="1">
        <f t="shared" si="329"/>
        <v>-10.529999999999987</v>
      </c>
      <c r="U5300" s="1" t="str">
        <f t="shared" si="330"/>
        <v>OK</v>
      </c>
      <c r="V5300" s="1" t="str">
        <f>_xlfn.XLOOKUP(C5300,Payers!$A$2:$A$9,Payers!$B$2:$B$9)</f>
        <v>Keystone Commercial PPO</v>
      </c>
      <c r="W5300" s="1" t="str">
        <f t="shared" si="331"/>
        <v>2026-04</v>
      </c>
    </row>
    <row r="5301" spans="1:23">
      <c r="A5301" s="1" t="s">
        <v>8095</v>
      </c>
      <c r="B5301" s="1" t="s">
        <v>2609</v>
      </c>
      <c r="C5301" s="1" t="s">
        <v>25</v>
      </c>
      <c r="D5301" s="1" t="s">
        <v>26</v>
      </c>
      <c r="E5301" s="1" t="s">
        <v>88</v>
      </c>
      <c r="F5301">
        <v>1</v>
      </c>
      <c r="G5301" s="2">
        <v>46122</v>
      </c>
      <c r="H5301" s="2">
        <v>46124</v>
      </c>
      <c r="I5301">
        <v>260.86</v>
      </c>
      <c r="J5301">
        <v>95.2</v>
      </c>
      <c r="K5301">
        <v>85.68</v>
      </c>
      <c r="L5301">
        <v>9.52</v>
      </c>
      <c r="M5301" s="1" t="s">
        <v>21</v>
      </c>
      <c r="N5301" s="1" t="s">
        <v>22</v>
      </c>
      <c r="O5301" s="2">
        <v>46137</v>
      </c>
      <c r="P5301" s="2">
        <v>46137</v>
      </c>
      <c r="Q5301">
        <f>_xlfn.XLOOKUP(E5301,CPT!$A$2:$A$13,CPT!$D$2:$D$13)</f>
        <v>260</v>
      </c>
      <c r="R5301" s="1">
        <f>_xlfn.XLOOKUP(C5301,Contract!$A$2:$A$9,Contract!$B$2:$B$9)</f>
        <v>0.36</v>
      </c>
      <c r="S5301" s="1">
        <f t="shared" si="328"/>
        <v>93.6</v>
      </c>
      <c r="T5301" s="1">
        <f t="shared" si="329"/>
        <v>-1.6000000000000085</v>
      </c>
      <c r="U5301" s="1" t="str">
        <f t="shared" si="330"/>
        <v>OK</v>
      </c>
      <c r="V5301" s="1" t="str">
        <f>_xlfn.XLOOKUP(C5301,Payers!$A$2:$A$9,Payers!$B$2:$B$9)</f>
        <v>Medicare Part B</v>
      </c>
      <c r="W5301" s="1" t="str">
        <f t="shared" si="331"/>
        <v>2026-04</v>
      </c>
    </row>
    <row r="5302" spans="1:23">
      <c r="A5302" s="1" t="s">
        <v>8096</v>
      </c>
      <c r="B5302" s="1" t="s">
        <v>5829</v>
      </c>
      <c r="C5302" s="1" t="s">
        <v>60</v>
      </c>
      <c r="D5302" s="1" t="s">
        <v>30</v>
      </c>
      <c r="E5302" s="1" t="s">
        <v>91</v>
      </c>
      <c r="F5302">
        <v>3</v>
      </c>
      <c r="G5302" s="2">
        <v>46090</v>
      </c>
      <c r="H5302" s="2">
        <v>46097</v>
      </c>
      <c r="I5302">
        <v>179.19</v>
      </c>
      <c r="M5302" s="1" t="s">
        <v>32</v>
      </c>
      <c r="N5302" s="1" t="s">
        <v>33</v>
      </c>
      <c r="O5302" s="2">
        <v>46124</v>
      </c>
      <c r="P5302" s="2"/>
      <c r="Q5302">
        <f>_xlfn.XLOOKUP(E5302,CPT!$A$2:$A$13,CPT!$D$2:$D$13)</f>
        <v>58</v>
      </c>
      <c r="R5302" s="1">
        <f>_xlfn.XLOOKUP(C5302,Contract!$A$2:$A$9,Contract!$B$2:$B$9)</f>
        <v>0.45</v>
      </c>
      <c r="S5302" s="1">
        <f t="shared" si="328"/>
        <v>78.3</v>
      </c>
      <c r="T5302" s="1" t="str">
        <f t="shared" si="329"/>
        <v/>
      </c>
      <c r="U5302" s="1" t="str">
        <f t="shared" si="330"/>
        <v/>
      </c>
      <c r="V5302" s="1" t="str">
        <f>_xlfn.XLOOKUP(C5302,Payers!$A$2:$A$9,Payers!$B$2:$B$9)</f>
        <v>Blue Horizon Commercial</v>
      </c>
      <c r="W5302" s="1" t="str">
        <f t="shared" si="331"/>
        <v>2026-03</v>
      </c>
    </row>
    <row r="5303" spans="1:23">
      <c r="A5303" s="1" t="s">
        <v>8097</v>
      </c>
      <c r="B5303" s="1" t="s">
        <v>1100</v>
      </c>
      <c r="C5303" s="1" t="s">
        <v>36</v>
      </c>
      <c r="D5303" s="1" t="s">
        <v>37</v>
      </c>
      <c r="E5303" s="1" t="s">
        <v>57</v>
      </c>
      <c r="F5303">
        <v>1</v>
      </c>
      <c r="G5303" s="2">
        <v>46167</v>
      </c>
      <c r="H5303" s="2">
        <v>46170</v>
      </c>
      <c r="I5303">
        <v>208.24</v>
      </c>
      <c r="J5303">
        <v>48.64</v>
      </c>
      <c r="K5303">
        <v>48.64</v>
      </c>
      <c r="L5303">
        <v>0</v>
      </c>
      <c r="M5303" s="1" t="s">
        <v>21</v>
      </c>
      <c r="N5303" s="1" t="s">
        <v>22</v>
      </c>
      <c r="O5303" s="2">
        <v>46219</v>
      </c>
      <c r="P5303" s="2">
        <v>46219</v>
      </c>
      <c r="Q5303">
        <f>_xlfn.XLOOKUP(E5303,CPT!$A$2:$A$13,CPT!$D$2:$D$13)</f>
        <v>210</v>
      </c>
      <c r="R5303" s="1">
        <f>_xlfn.XLOOKUP(C5303,Contract!$A$2:$A$9,Contract!$B$2:$B$9)</f>
        <v>0.27</v>
      </c>
      <c r="S5303" s="1">
        <f t="shared" si="328"/>
        <v>56.7</v>
      </c>
      <c r="T5303" s="1">
        <f t="shared" si="329"/>
        <v>8.0600000000000023</v>
      </c>
      <c r="U5303" s="1" t="str">
        <f t="shared" si="330"/>
        <v>Underpaid</v>
      </c>
      <c r="V5303" s="1" t="str">
        <f>_xlfn.XLOOKUP(C5303,Payers!$A$2:$A$9,Payers!$B$2:$B$9)</f>
        <v>Florida Medicaid</v>
      </c>
      <c r="W5303" s="1" t="str">
        <f t="shared" si="331"/>
        <v>2026-05</v>
      </c>
    </row>
    <row r="5304" spans="1:23">
      <c r="A5304" s="1" t="s">
        <v>8098</v>
      </c>
      <c r="B5304" s="1" t="s">
        <v>7764</v>
      </c>
      <c r="C5304" s="1" t="s">
        <v>18</v>
      </c>
      <c r="D5304" s="1" t="s">
        <v>26</v>
      </c>
      <c r="E5304" s="1" t="s">
        <v>88</v>
      </c>
      <c r="F5304">
        <v>1</v>
      </c>
      <c r="G5304" s="2">
        <v>46098</v>
      </c>
      <c r="H5304" s="2">
        <v>46102</v>
      </c>
      <c r="I5304">
        <v>254.28</v>
      </c>
      <c r="J5304">
        <v>82.9</v>
      </c>
      <c r="K5304">
        <v>66.319999999999993</v>
      </c>
      <c r="L5304">
        <v>16.579999999999998</v>
      </c>
      <c r="M5304" s="1" t="s">
        <v>21</v>
      </c>
      <c r="N5304" s="1" t="s">
        <v>22</v>
      </c>
      <c r="O5304" s="2">
        <v>46157</v>
      </c>
      <c r="P5304" s="2">
        <v>46157</v>
      </c>
      <c r="Q5304">
        <f>_xlfn.XLOOKUP(E5304,CPT!$A$2:$A$13,CPT!$D$2:$D$13)</f>
        <v>260</v>
      </c>
      <c r="R5304" s="1">
        <f>_xlfn.XLOOKUP(C5304,Contract!$A$2:$A$9,Contract!$B$2:$B$9)</f>
        <v>0.38</v>
      </c>
      <c r="S5304" s="1">
        <f t="shared" si="328"/>
        <v>98.8</v>
      </c>
      <c r="T5304" s="1">
        <f t="shared" si="329"/>
        <v>15.899999999999991</v>
      </c>
      <c r="U5304" s="1" t="str">
        <f t="shared" si="330"/>
        <v>Underpaid</v>
      </c>
      <c r="V5304" s="1" t="str">
        <f>_xlfn.XLOOKUP(C5304,Payers!$A$2:$A$9,Payers!$B$2:$B$9)</f>
        <v>Sunshine Medicare Advantage</v>
      </c>
      <c r="W5304" s="1" t="str">
        <f t="shared" si="331"/>
        <v>2026-03</v>
      </c>
    </row>
    <row r="5305" spans="1:23">
      <c r="A5305" s="1" t="s">
        <v>8099</v>
      </c>
      <c r="B5305" s="1" t="s">
        <v>5333</v>
      </c>
      <c r="C5305" s="1" t="s">
        <v>60</v>
      </c>
      <c r="D5305" s="1" t="s">
        <v>19</v>
      </c>
      <c r="E5305" s="1" t="s">
        <v>88</v>
      </c>
      <c r="F5305">
        <v>1</v>
      </c>
      <c r="G5305" s="2">
        <v>45981</v>
      </c>
      <c r="H5305" s="2">
        <v>45982</v>
      </c>
      <c r="I5305">
        <v>254.51</v>
      </c>
      <c r="J5305">
        <v>103.32</v>
      </c>
      <c r="K5305">
        <v>92.99</v>
      </c>
      <c r="L5305">
        <v>10.33</v>
      </c>
      <c r="M5305" s="1" t="s">
        <v>21</v>
      </c>
      <c r="N5305" s="1" t="s">
        <v>22</v>
      </c>
      <c r="O5305" s="2">
        <v>46011</v>
      </c>
      <c r="P5305" s="2">
        <v>46011</v>
      </c>
      <c r="Q5305">
        <f>_xlfn.XLOOKUP(E5305,CPT!$A$2:$A$13,CPT!$D$2:$D$13)</f>
        <v>260</v>
      </c>
      <c r="R5305" s="1">
        <f>_xlfn.XLOOKUP(C5305,Contract!$A$2:$A$9,Contract!$B$2:$B$9)</f>
        <v>0.45</v>
      </c>
      <c r="S5305" s="1">
        <f t="shared" si="328"/>
        <v>117</v>
      </c>
      <c r="T5305" s="1">
        <f t="shared" si="329"/>
        <v>13.680000000000007</v>
      </c>
      <c r="U5305" s="1" t="str">
        <f t="shared" si="330"/>
        <v>Underpaid</v>
      </c>
      <c r="V5305" s="1" t="str">
        <f>_xlfn.XLOOKUP(C5305,Payers!$A$2:$A$9,Payers!$B$2:$B$9)</f>
        <v>Blue Horizon Commercial</v>
      </c>
      <c r="W5305" s="1" t="str">
        <f t="shared" si="331"/>
        <v>2025-11</v>
      </c>
    </row>
    <row r="5306" spans="1:23">
      <c r="A5306" s="1" t="s">
        <v>8100</v>
      </c>
      <c r="B5306" s="1" t="s">
        <v>4860</v>
      </c>
      <c r="C5306" s="1" t="s">
        <v>60</v>
      </c>
      <c r="D5306" s="1" t="s">
        <v>26</v>
      </c>
      <c r="E5306" s="1" t="s">
        <v>57</v>
      </c>
      <c r="F5306">
        <v>1</v>
      </c>
      <c r="G5306" s="2">
        <v>46001</v>
      </c>
      <c r="H5306" s="2">
        <v>46010</v>
      </c>
      <c r="I5306">
        <v>207.44</v>
      </c>
      <c r="M5306" s="1" t="s">
        <v>32</v>
      </c>
      <c r="N5306" s="1" t="s">
        <v>98</v>
      </c>
      <c r="O5306" s="2">
        <v>46024</v>
      </c>
      <c r="P5306" s="2"/>
      <c r="Q5306">
        <f>_xlfn.XLOOKUP(E5306,CPT!$A$2:$A$13,CPT!$D$2:$D$13)</f>
        <v>210</v>
      </c>
      <c r="R5306" s="1">
        <f>_xlfn.XLOOKUP(C5306,Contract!$A$2:$A$9,Contract!$B$2:$B$9)</f>
        <v>0.45</v>
      </c>
      <c r="S5306" s="1">
        <f t="shared" si="328"/>
        <v>94.5</v>
      </c>
      <c r="T5306" s="1" t="str">
        <f t="shared" si="329"/>
        <v/>
      </c>
      <c r="U5306" s="1" t="str">
        <f t="shared" si="330"/>
        <v/>
      </c>
      <c r="V5306" s="1" t="str">
        <f>_xlfn.XLOOKUP(C5306,Payers!$A$2:$A$9,Payers!$B$2:$B$9)</f>
        <v>Blue Horizon Commercial</v>
      </c>
      <c r="W5306" s="1" t="str">
        <f t="shared" si="331"/>
        <v>2025-12</v>
      </c>
    </row>
    <row r="5307" spans="1:23">
      <c r="A5307" s="1" t="s">
        <v>8101</v>
      </c>
      <c r="B5307" s="1" t="s">
        <v>8102</v>
      </c>
      <c r="C5307" s="1" t="s">
        <v>18</v>
      </c>
      <c r="D5307" s="1" t="s">
        <v>26</v>
      </c>
      <c r="E5307" s="1" t="s">
        <v>88</v>
      </c>
      <c r="F5307">
        <v>1</v>
      </c>
      <c r="G5307" s="2">
        <v>46164</v>
      </c>
      <c r="H5307" s="2">
        <v>46167</v>
      </c>
      <c r="I5307">
        <v>255.72</v>
      </c>
      <c r="J5307">
        <v>94.47</v>
      </c>
      <c r="K5307">
        <v>94.47</v>
      </c>
      <c r="L5307">
        <v>0</v>
      </c>
      <c r="M5307" s="1" t="s">
        <v>21</v>
      </c>
      <c r="N5307" s="1" t="s">
        <v>22</v>
      </c>
      <c r="O5307" s="2">
        <v>46224</v>
      </c>
      <c r="P5307" s="2">
        <v>46224</v>
      </c>
      <c r="Q5307">
        <f>_xlfn.XLOOKUP(E5307,CPT!$A$2:$A$13,CPT!$D$2:$D$13)</f>
        <v>260</v>
      </c>
      <c r="R5307" s="1">
        <f>_xlfn.XLOOKUP(C5307,Contract!$A$2:$A$9,Contract!$B$2:$B$9)</f>
        <v>0.38</v>
      </c>
      <c r="S5307" s="1">
        <f t="shared" si="328"/>
        <v>98.8</v>
      </c>
      <c r="T5307" s="1">
        <f t="shared" si="329"/>
        <v>4.3299999999999983</v>
      </c>
      <c r="U5307" s="1" t="str">
        <f t="shared" si="330"/>
        <v>OK</v>
      </c>
      <c r="V5307" s="1" t="str">
        <f>_xlfn.XLOOKUP(C5307,Payers!$A$2:$A$9,Payers!$B$2:$B$9)</f>
        <v>Sunshine Medicare Advantage</v>
      </c>
      <c r="W5307" s="1" t="str">
        <f t="shared" si="331"/>
        <v>2026-05</v>
      </c>
    </row>
    <row r="5308" spans="1:23">
      <c r="A5308" s="1" t="s">
        <v>8103</v>
      </c>
      <c r="B5308" s="1" t="s">
        <v>4166</v>
      </c>
      <c r="C5308" s="1" t="s">
        <v>25</v>
      </c>
      <c r="D5308" s="1" t="s">
        <v>19</v>
      </c>
      <c r="E5308" s="1" t="s">
        <v>88</v>
      </c>
      <c r="F5308">
        <v>1</v>
      </c>
      <c r="G5308" s="2">
        <v>46194</v>
      </c>
      <c r="H5308" s="2">
        <v>46198</v>
      </c>
      <c r="I5308">
        <v>266.39</v>
      </c>
      <c r="J5308">
        <v>106.85</v>
      </c>
      <c r="K5308">
        <v>106.85</v>
      </c>
      <c r="L5308">
        <v>0</v>
      </c>
      <c r="M5308" s="1" t="s">
        <v>21</v>
      </c>
      <c r="N5308" s="1" t="s">
        <v>22</v>
      </c>
      <c r="O5308" s="2">
        <v>46211</v>
      </c>
      <c r="P5308" s="2">
        <v>46211</v>
      </c>
      <c r="Q5308">
        <f>_xlfn.XLOOKUP(E5308,CPT!$A$2:$A$13,CPT!$D$2:$D$13)</f>
        <v>260</v>
      </c>
      <c r="R5308" s="1">
        <f>_xlfn.XLOOKUP(C5308,Contract!$A$2:$A$9,Contract!$B$2:$B$9)</f>
        <v>0.36</v>
      </c>
      <c r="S5308" s="1">
        <f t="shared" si="328"/>
        <v>93.6</v>
      </c>
      <c r="T5308" s="1">
        <f t="shared" si="329"/>
        <v>-13.25</v>
      </c>
      <c r="U5308" s="1" t="str">
        <f t="shared" si="330"/>
        <v>OK</v>
      </c>
      <c r="V5308" s="1" t="str">
        <f>_xlfn.XLOOKUP(C5308,Payers!$A$2:$A$9,Payers!$B$2:$B$9)</f>
        <v>Medicare Part B</v>
      </c>
      <c r="W5308" s="1" t="str">
        <f t="shared" si="331"/>
        <v>2026-06</v>
      </c>
    </row>
    <row r="5309" spans="1:23">
      <c r="A5309" s="1" t="s">
        <v>8104</v>
      </c>
      <c r="B5309" s="1" t="s">
        <v>1100</v>
      </c>
      <c r="C5309" s="1" t="s">
        <v>36</v>
      </c>
      <c r="D5309" s="1" t="s">
        <v>19</v>
      </c>
      <c r="E5309" s="1" t="s">
        <v>57</v>
      </c>
      <c r="F5309">
        <v>1</v>
      </c>
      <c r="G5309" s="2">
        <v>46096</v>
      </c>
      <c r="H5309" s="2">
        <v>46100</v>
      </c>
      <c r="I5309">
        <v>211.71</v>
      </c>
      <c r="J5309">
        <v>53.87</v>
      </c>
      <c r="K5309">
        <v>53.87</v>
      </c>
      <c r="L5309">
        <v>0</v>
      </c>
      <c r="M5309" s="1" t="s">
        <v>21</v>
      </c>
      <c r="N5309" s="1" t="s">
        <v>22</v>
      </c>
      <c r="O5309" s="2">
        <v>46116</v>
      </c>
      <c r="P5309" s="2">
        <v>46116</v>
      </c>
      <c r="Q5309">
        <f>_xlfn.XLOOKUP(E5309,CPT!$A$2:$A$13,CPT!$D$2:$D$13)</f>
        <v>210</v>
      </c>
      <c r="R5309" s="1">
        <f>_xlfn.XLOOKUP(C5309,Contract!$A$2:$A$9,Contract!$B$2:$B$9)</f>
        <v>0.27</v>
      </c>
      <c r="S5309" s="1">
        <f t="shared" si="328"/>
        <v>56.7</v>
      </c>
      <c r="T5309" s="1">
        <f t="shared" si="329"/>
        <v>2.8300000000000054</v>
      </c>
      <c r="U5309" s="1" t="str">
        <f t="shared" si="330"/>
        <v>OK</v>
      </c>
      <c r="V5309" s="1" t="str">
        <f>_xlfn.XLOOKUP(C5309,Payers!$A$2:$A$9,Payers!$B$2:$B$9)</f>
        <v>Florida Medicaid</v>
      </c>
      <c r="W5309" s="1" t="str">
        <f t="shared" si="331"/>
        <v>2026-03</v>
      </c>
    </row>
    <row r="5310" spans="1:23">
      <c r="A5310" s="1" t="s">
        <v>8105</v>
      </c>
      <c r="B5310" s="1" t="s">
        <v>8106</v>
      </c>
      <c r="C5310" s="1" t="s">
        <v>76</v>
      </c>
      <c r="D5310" s="1" t="s">
        <v>26</v>
      </c>
      <c r="E5310" s="1" t="s">
        <v>88</v>
      </c>
      <c r="F5310">
        <v>1</v>
      </c>
      <c r="G5310" s="2">
        <v>46211</v>
      </c>
      <c r="H5310" s="2">
        <v>46220</v>
      </c>
      <c r="I5310">
        <v>259.89</v>
      </c>
      <c r="J5310">
        <v>127.86</v>
      </c>
      <c r="K5310">
        <v>102.29</v>
      </c>
      <c r="L5310">
        <v>25.57</v>
      </c>
      <c r="M5310" s="1" t="s">
        <v>21</v>
      </c>
      <c r="N5310" s="1" t="s">
        <v>22</v>
      </c>
      <c r="O5310" s="2">
        <v>46239</v>
      </c>
      <c r="P5310" s="2">
        <v>46239</v>
      </c>
      <c r="Q5310">
        <f>_xlfn.XLOOKUP(E5310,CPT!$A$2:$A$13,CPT!$D$2:$D$13)</f>
        <v>260</v>
      </c>
      <c r="R5310" s="1">
        <f>_xlfn.XLOOKUP(C5310,Contract!$A$2:$A$9,Contract!$B$2:$B$9)</f>
        <v>0.43</v>
      </c>
      <c r="S5310" s="1">
        <f t="shared" si="328"/>
        <v>111.8</v>
      </c>
      <c r="T5310" s="1">
        <f t="shared" si="329"/>
        <v>-16.060000000000002</v>
      </c>
      <c r="U5310" s="1" t="str">
        <f t="shared" si="330"/>
        <v>OK</v>
      </c>
      <c r="V5310" s="1" t="str">
        <f>_xlfn.XLOOKUP(C5310,Payers!$A$2:$A$9,Payers!$B$2:$B$9)</f>
        <v>Summit Health Commercial</v>
      </c>
      <c r="W5310" s="1" t="str">
        <f t="shared" si="331"/>
        <v>2026-07</v>
      </c>
    </row>
    <row r="5311" spans="1:23">
      <c r="A5311" s="1" t="s">
        <v>8107</v>
      </c>
      <c r="B5311" s="1" t="s">
        <v>396</v>
      </c>
      <c r="C5311" s="1" t="s">
        <v>76</v>
      </c>
      <c r="D5311" s="1" t="s">
        <v>26</v>
      </c>
      <c r="E5311" s="1" t="s">
        <v>44</v>
      </c>
      <c r="F5311">
        <v>1</v>
      </c>
      <c r="G5311" s="2">
        <v>45991</v>
      </c>
      <c r="H5311" s="2">
        <v>45993</v>
      </c>
      <c r="I5311">
        <v>4923.3999999999996</v>
      </c>
      <c r="J5311">
        <v>2014.91</v>
      </c>
      <c r="K5311">
        <v>2014.91</v>
      </c>
      <c r="L5311">
        <v>0</v>
      </c>
      <c r="M5311" s="1" t="s">
        <v>21</v>
      </c>
      <c r="N5311" s="1" t="s">
        <v>22</v>
      </c>
      <c r="O5311" s="2">
        <v>46024</v>
      </c>
      <c r="P5311" s="2">
        <v>46024</v>
      </c>
      <c r="Q5311">
        <f>_xlfn.XLOOKUP(E5311,CPT!$A$2:$A$13,CPT!$D$2:$D$13)</f>
        <v>4800</v>
      </c>
      <c r="R5311" s="1">
        <f>_xlfn.XLOOKUP(C5311,Contract!$A$2:$A$9,Contract!$B$2:$B$9)</f>
        <v>0.43</v>
      </c>
      <c r="S5311" s="1">
        <f t="shared" si="328"/>
        <v>2064</v>
      </c>
      <c r="T5311" s="1">
        <f t="shared" si="329"/>
        <v>49.089999999999918</v>
      </c>
      <c r="U5311" s="1" t="str">
        <f t="shared" si="330"/>
        <v>OK</v>
      </c>
      <c r="V5311" s="1" t="str">
        <f>_xlfn.XLOOKUP(C5311,Payers!$A$2:$A$9,Payers!$B$2:$B$9)</f>
        <v>Summit Health Commercial</v>
      </c>
      <c r="W5311" s="1" t="str">
        <f t="shared" si="331"/>
        <v>2025-11</v>
      </c>
    </row>
    <row r="5312" spans="1:23">
      <c r="A5312" s="1" t="s">
        <v>8108</v>
      </c>
      <c r="B5312" s="1" t="s">
        <v>3721</v>
      </c>
      <c r="C5312" s="1" t="s">
        <v>25</v>
      </c>
      <c r="D5312" s="1" t="s">
        <v>30</v>
      </c>
      <c r="E5312" s="1" t="s">
        <v>91</v>
      </c>
      <c r="F5312">
        <v>2</v>
      </c>
      <c r="G5312" s="2">
        <v>46058</v>
      </c>
      <c r="H5312" s="2">
        <v>46061</v>
      </c>
      <c r="I5312">
        <v>114.83</v>
      </c>
      <c r="J5312">
        <v>47.21</v>
      </c>
      <c r="K5312">
        <v>47.21</v>
      </c>
      <c r="L5312">
        <v>0</v>
      </c>
      <c r="M5312" s="1" t="s">
        <v>21</v>
      </c>
      <c r="N5312" s="1" t="s">
        <v>22</v>
      </c>
      <c r="O5312" s="2">
        <v>46085</v>
      </c>
      <c r="P5312" s="2">
        <v>46085</v>
      </c>
      <c r="Q5312">
        <f>_xlfn.XLOOKUP(E5312,CPT!$A$2:$A$13,CPT!$D$2:$D$13)</f>
        <v>58</v>
      </c>
      <c r="R5312" s="1">
        <f>_xlfn.XLOOKUP(C5312,Contract!$A$2:$A$9,Contract!$B$2:$B$9)</f>
        <v>0.36</v>
      </c>
      <c r="S5312" s="1">
        <f t="shared" si="328"/>
        <v>41.76</v>
      </c>
      <c r="T5312" s="1">
        <f t="shared" si="329"/>
        <v>-5.4500000000000028</v>
      </c>
      <c r="U5312" s="1" t="str">
        <f t="shared" si="330"/>
        <v>OK</v>
      </c>
      <c r="V5312" s="1" t="str">
        <f>_xlfn.XLOOKUP(C5312,Payers!$A$2:$A$9,Payers!$B$2:$B$9)</f>
        <v>Medicare Part B</v>
      </c>
      <c r="W5312" s="1" t="str">
        <f t="shared" si="331"/>
        <v>2026-02</v>
      </c>
    </row>
    <row r="5313" spans="1:23">
      <c r="A5313" s="1" t="s">
        <v>8109</v>
      </c>
      <c r="B5313" s="1" t="s">
        <v>7374</v>
      </c>
      <c r="C5313" s="1" t="s">
        <v>52</v>
      </c>
      <c r="D5313" s="1" t="s">
        <v>26</v>
      </c>
      <c r="E5313" s="1" t="s">
        <v>185</v>
      </c>
      <c r="F5313">
        <v>1</v>
      </c>
      <c r="G5313" s="2">
        <v>46101</v>
      </c>
      <c r="H5313" s="2">
        <v>46102</v>
      </c>
      <c r="I5313">
        <v>1134.24</v>
      </c>
      <c r="J5313">
        <v>570.36</v>
      </c>
      <c r="K5313">
        <v>570.36</v>
      </c>
      <c r="L5313">
        <v>0</v>
      </c>
      <c r="M5313" s="1" t="s">
        <v>21</v>
      </c>
      <c r="N5313" s="1" t="s">
        <v>22</v>
      </c>
      <c r="O5313" s="2">
        <v>46142</v>
      </c>
      <c r="P5313" s="2">
        <v>46142</v>
      </c>
      <c r="Q5313">
        <f>_xlfn.XLOOKUP(E5313,CPT!$A$2:$A$13,CPT!$D$2:$D$13)</f>
        <v>1150</v>
      </c>
      <c r="R5313" s="1">
        <f>_xlfn.XLOOKUP(C5313,Contract!$A$2:$A$9,Contract!$B$2:$B$9)</f>
        <v>0.47</v>
      </c>
      <c r="S5313" s="1">
        <f t="shared" si="328"/>
        <v>540.5</v>
      </c>
      <c r="T5313" s="1">
        <f t="shared" si="329"/>
        <v>-29.860000000000014</v>
      </c>
      <c r="U5313" s="1" t="str">
        <f t="shared" si="330"/>
        <v>OK</v>
      </c>
      <c r="V5313" s="1" t="str">
        <f>_xlfn.XLOOKUP(C5313,Payers!$A$2:$A$9,Payers!$B$2:$B$9)</f>
        <v>Keystone Commercial PPO</v>
      </c>
      <c r="W5313" s="1" t="str">
        <f t="shared" si="331"/>
        <v>2026-03</v>
      </c>
    </row>
    <row r="5314" spans="1:23">
      <c r="A5314" s="1" t="s">
        <v>8110</v>
      </c>
      <c r="B5314" s="1" t="s">
        <v>8111</v>
      </c>
      <c r="C5314" s="1" t="s">
        <v>52</v>
      </c>
      <c r="D5314" s="1" t="s">
        <v>19</v>
      </c>
      <c r="E5314" s="1" t="s">
        <v>57</v>
      </c>
      <c r="F5314">
        <v>1</v>
      </c>
      <c r="G5314" s="2">
        <v>46061</v>
      </c>
      <c r="H5314" s="2">
        <v>46067</v>
      </c>
      <c r="I5314">
        <v>209.67</v>
      </c>
      <c r="J5314">
        <v>102.41</v>
      </c>
      <c r="K5314">
        <v>102.41</v>
      </c>
      <c r="L5314">
        <v>0</v>
      </c>
      <c r="M5314" s="1" t="s">
        <v>21</v>
      </c>
      <c r="N5314" s="1" t="s">
        <v>22</v>
      </c>
      <c r="O5314" s="2">
        <v>46095</v>
      </c>
      <c r="P5314" s="2">
        <v>46095</v>
      </c>
      <c r="Q5314">
        <f>_xlfn.XLOOKUP(E5314,CPT!$A$2:$A$13,CPT!$D$2:$D$13)</f>
        <v>210</v>
      </c>
      <c r="R5314" s="1">
        <f>_xlfn.XLOOKUP(C5314,Contract!$A$2:$A$9,Contract!$B$2:$B$9)</f>
        <v>0.47</v>
      </c>
      <c r="S5314" s="1">
        <f t="shared" ref="S5314:S5377" si="332">ROUND(Q5314*F5314*R5314,2)</f>
        <v>98.7</v>
      </c>
      <c r="T5314" s="1">
        <f t="shared" ref="T5314:T5377" si="333">IF(M5314="Paid",S5314-J5314,"")</f>
        <v>-3.7099999999999937</v>
      </c>
      <c r="U5314" s="1" t="str">
        <f t="shared" ref="U5314:U5377" si="334">IF(M5314&lt;&gt;"Paid","",IF(T5314&gt;S5314*0.05,"Underpaid","OK"))</f>
        <v>OK</v>
      </c>
      <c r="V5314" s="1" t="str">
        <f>_xlfn.XLOOKUP(C5314,Payers!$A$2:$A$9,Payers!$B$2:$B$9)</f>
        <v>Keystone Commercial PPO</v>
      </c>
      <c r="W5314" s="1" t="str">
        <f t="shared" ref="W5314:W5377" si="335">TEXT(G5314,"yyyy-mm")</f>
        <v>2026-02</v>
      </c>
    </row>
    <row r="5315" spans="1:23">
      <c r="A5315" s="1" t="s">
        <v>8112</v>
      </c>
      <c r="B5315" s="1" t="s">
        <v>8113</v>
      </c>
      <c r="C5315" s="1" t="s">
        <v>36</v>
      </c>
      <c r="D5315" s="1" t="s">
        <v>26</v>
      </c>
      <c r="E5315" s="1" t="s">
        <v>88</v>
      </c>
      <c r="F5315">
        <v>1</v>
      </c>
      <c r="G5315" s="2">
        <v>46052</v>
      </c>
      <c r="H5315" s="2">
        <v>46080</v>
      </c>
      <c r="I5315">
        <v>256.51</v>
      </c>
      <c r="J5315">
        <v>66.290000000000006</v>
      </c>
      <c r="K5315">
        <v>59.66</v>
      </c>
      <c r="L5315">
        <v>6.63</v>
      </c>
      <c r="M5315" s="1" t="s">
        <v>21</v>
      </c>
      <c r="N5315" s="1" t="s">
        <v>22</v>
      </c>
      <c r="O5315" s="2">
        <v>46138</v>
      </c>
      <c r="P5315" s="2">
        <v>46138</v>
      </c>
      <c r="Q5315">
        <f>_xlfn.XLOOKUP(E5315,CPT!$A$2:$A$13,CPT!$D$2:$D$13)</f>
        <v>260</v>
      </c>
      <c r="R5315" s="1">
        <f>_xlfn.XLOOKUP(C5315,Contract!$A$2:$A$9,Contract!$B$2:$B$9)</f>
        <v>0.27</v>
      </c>
      <c r="S5315" s="1">
        <f t="shared" si="332"/>
        <v>70.2</v>
      </c>
      <c r="T5315" s="1">
        <f t="shared" si="333"/>
        <v>3.9099999999999966</v>
      </c>
      <c r="U5315" s="1" t="str">
        <f t="shared" si="334"/>
        <v>Underpaid</v>
      </c>
      <c r="V5315" s="1" t="str">
        <f>_xlfn.XLOOKUP(C5315,Payers!$A$2:$A$9,Payers!$B$2:$B$9)</f>
        <v>Florida Medicaid</v>
      </c>
      <c r="W5315" s="1" t="str">
        <f t="shared" si="335"/>
        <v>2026-01</v>
      </c>
    </row>
    <row r="5316" spans="1:23">
      <c r="A5316" s="1" t="s">
        <v>8114</v>
      </c>
      <c r="B5316" s="1" t="s">
        <v>7619</v>
      </c>
      <c r="C5316" s="1" t="s">
        <v>60</v>
      </c>
      <c r="D5316" s="1" t="s">
        <v>19</v>
      </c>
      <c r="E5316" s="1" t="s">
        <v>20</v>
      </c>
      <c r="F5316">
        <v>1</v>
      </c>
      <c r="G5316" s="2">
        <v>46072</v>
      </c>
      <c r="H5316" s="2">
        <v>46083</v>
      </c>
      <c r="I5316">
        <v>142.19</v>
      </c>
      <c r="J5316">
        <v>58.82</v>
      </c>
      <c r="K5316">
        <v>47.06</v>
      </c>
      <c r="L5316">
        <v>11.76</v>
      </c>
      <c r="M5316" s="1" t="s">
        <v>21</v>
      </c>
      <c r="N5316" s="1" t="s">
        <v>22</v>
      </c>
      <c r="O5316" s="2">
        <v>46114</v>
      </c>
      <c r="P5316" s="2">
        <v>46114</v>
      </c>
      <c r="Q5316">
        <f>_xlfn.XLOOKUP(E5316,CPT!$A$2:$A$13,CPT!$D$2:$D$13)</f>
        <v>145</v>
      </c>
      <c r="R5316" s="1">
        <f>_xlfn.XLOOKUP(C5316,Contract!$A$2:$A$9,Contract!$B$2:$B$9)</f>
        <v>0.45</v>
      </c>
      <c r="S5316" s="1">
        <f t="shared" si="332"/>
        <v>65.25</v>
      </c>
      <c r="T5316" s="1">
        <f t="shared" si="333"/>
        <v>6.43</v>
      </c>
      <c r="U5316" s="1" t="str">
        <f t="shared" si="334"/>
        <v>Underpaid</v>
      </c>
      <c r="V5316" s="1" t="str">
        <f>_xlfn.XLOOKUP(C5316,Payers!$A$2:$A$9,Payers!$B$2:$B$9)</f>
        <v>Blue Horizon Commercial</v>
      </c>
      <c r="W5316" s="1" t="str">
        <f t="shared" si="335"/>
        <v>2026-02</v>
      </c>
    </row>
    <row r="5317" spans="1:23">
      <c r="A5317" s="1" t="s">
        <v>8115</v>
      </c>
      <c r="B5317" s="1" t="s">
        <v>4185</v>
      </c>
      <c r="C5317" s="1" t="s">
        <v>60</v>
      </c>
      <c r="D5317" s="1" t="s">
        <v>26</v>
      </c>
      <c r="E5317" s="1" t="s">
        <v>88</v>
      </c>
      <c r="F5317">
        <v>1</v>
      </c>
      <c r="G5317" s="2">
        <v>45983</v>
      </c>
      <c r="H5317" s="2">
        <v>45985</v>
      </c>
      <c r="I5317">
        <v>254.12</v>
      </c>
      <c r="J5317">
        <v>116.87</v>
      </c>
      <c r="K5317">
        <v>116.87</v>
      </c>
      <c r="L5317">
        <v>0</v>
      </c>
      <c r="M5317" s="1" t="s">
        <v>21</v>
      </c>
      <c r="N5317" s="1" t="s">
        <v>22</v>
      </c>
      <c r="O5317" s="2">
        <v>46023</v>
      </c>
      <c r="P5317" s="2">
        <v>46023</v>
      </c>
      <c r="Q5317">
        <f>_xlfn.XLOOKUP(E5317,CPT!$A$2:$A$13,CPT!$D$2:$D$13)</f>
        <v>260</v>
      </c>
      <c r="R5317" s="1">
        <f>_xlfn.XLOOKUP(C5317,Contract!$A$2:$A$9,Contract!$B$2:$B$9)</f>
        <v>0.45</v>
      </c>
      <c r="S5317" s="1">
        <f t="shared" si="332"/>
        <v>117</v>
      </c>
      <c r="T5317" s="1">
        <f t="shared" si="333"/>
        <v>0.12999999999999545</v>
      </c>
      <c r="U5317" s="1" t="str">
        <f t="shared" si="334"/>
        <v>OK</v>
      </c>
      <c r="V5317" s="1" t="str">
        <f>_xlfn.XLOOKUP(C5317,Payers!$A$2:$A$9,Payers!$B$2:$B$9)</f>
        <v>Blue Horizon Commercial</v>
      </c>
      <c r="W5317" s="1" t="str">
        <f t="shared" si="335"/>
        <v>2025-11</v>
      </c>
    </row>
    <row r="5318" spans="1:23">
      <c r="A5318" s="1" t="s">
        <v>8116</v>
      </c>
      <c r="B5318" s="1" t="s">
        <v>1299</v>
      </c>
      <c r="C5318" s="1" t="s">
        <v>76</v>
      </c>
      <c r="D5318" s="1" t="s">
        <v>19</v>
      </c>
      <c r="E5318" s="1" t="s">
        <v>88</v>
      </c>
      <c r="F5318">
        <v>1</v>
      </c>
      <c r="G5318" s="2">
        <v>46133</v>
      </c>
      <c r="H5318" s="2">
        <v>46143</v>
      </c>
      <c r="I5318">
        <v>257.81</v>
      </c>
      <c r="J5318">
        <v>100.37</v>
      </c>
      <c r="K5318">
        <v>80.3</v>
      </c>
      <c r="L5318">
        <v>20.07</v>
      </c>
      <c r="M5318" s="1" t="s">
        <v>21</v>
      </c>
      <c r="N5318" s="1" t="s">
        <v>22</v>
      </c>
      <c r="O5318" s="2">
        <v>46167</v>
      </c>
      <c r="P5318" s="2">
        <v>46167</v>
      </c>
      <c r="Q5318">
        <f>_xlfn.XLOOKUP(E5318,CPT!$A$2:$A$13,CPT!$D$2:$D$13)</f>
        <v>260</v>
      </c>
      <c r="R5318" s="1">
        <f>_xlfn.XLOOKUP(C5318,Contract!$A$2:$A$9,Contract!$B$2:$B$9)</f>
        <v>0.43</v>
      </c>
      <c r="S5318" s="1">
        <f t="shared" si="332"/>
        <v>111.8</v>
      </c>
      <c r="T5318" s="1">
        <f t="shared" si="333"/>
        <v>11.429999999999993</v>
      </c>
      <c r="U5318" s="1" t="str">
        <f t="shared" si="334"/>
        <v>Underpaid</v>
      </c>
      <c r="V5318" s="1" t="str">
        <f>_xlfn.XLOOKUP(C5318,Payers!$A$2:$A$9,Payers!$B$2:$B$9)</f>
        <v>Summit Health Commercial</v>
      </c>
      <c r="W5318" s="1" t="str">
        <f t="shared" si="335"/>
        <v>2026-04</v>
      </c>
    </row>
    <row r="5319" spans="1:23">
      <c r="A5319" s="1" t="s">
        <v>8117</v>
      </c>
      <c r="B5319" s="1" t="s">
        <v>8118</v>
      </c>
      <c r="C5319" s="1" t="s">
        <v>52</v>
      </c>
      <c r="D5319" s="1" t="s">
        <v>26</v>
      </c>
      <c r="E5319" s="1" t="s">
        <v>88</v>
      </c>
      <c r="F5319">
        <v>1</v>
      </c>
      <c r="G5319" s="2">
        <v>45958</v>
      </c>
      <c r="H5319" s="2">
        <v>45960</v>
      </c>
      <c r="I5319">
        <v>258.02999999999997</v>
      </c>
      <c r="J5319">
        <v>110.17</v>
      </c>
      <c r="K5319">
        <v>110.17</v>
      </c>
      <c r="L5319">
        <v>0</v>
      </c>
      <c r="M5319" s="1" t="s">
        <v>21</v>
      </c>
      <c r="N5319" s="1" t="s">
        <v>22</v>
      </c>
      <c r="O5319" s="2">
        <v>45995</v>
      </c>
      <c r="P5319" s="2">
        <v>45995</v>
      </c>
      <c r="Q5319">
        <f>_xlfn.XLOOKUP(E5319,CPT!$A$2:$A$13,CPT!$D$2:$D$13)</f>
        <v>260</v>
      </c>
      <c r="R5319" s="1">
        <f>_xlfn.XLOOKUP(C5319,Contract!$A$2:$A$9,Contract!$B$2:$B$9)</f>
        <v>0.47</v>
      </c>
      <c r="S5319" s="1">
        <f t="shared" si="332"/>
        <v>122.2</v>
      </c>
      <c r="T5319" s="1">
        <f t="shared" si="333"/>
        <v>12.030000000000001</v>
      </c>
      <c r="U5319" s="1" t="str">
        <f t="shared" si="334"/>
        <v>Underpaid</v>
      </c>
      <c r="V5319" s="1" t="str">
        <f>_xlfn.XLOOKUP(C5319,Payers!$A$2:$A$9,Payers!$B$2:$B$9)</f>
        <v>Keystone Commercial PPO</v>
      </c>
      <c r="W5319" s="1" t="str">
        <f t="shared" si="335"/>
        <v>2025-10</v>
      </c>
    </row>
    <row r="5320" spans="1:23">
      <c r="A5320" s="1" t="s">
        <v>8119</v>
      </c>
      <c r="B5320" s="1" t="s">
        <v>243</v>
      </c>
      <c r="C5320" s="1" t="s">
        <v>60</v>
      </c>
      <c r="D5320" s="1" t="s">
        <v>19</v>
      </c>
      <c r="E5320" s="1" t="s">
        <v>88</v>
      </c>
      <c r="F5320">
        <v>1</v>
      </c>
      <c r="G5320" s="2">
        <v>46026</v>
      </c>
      <c r="H5320" s="2">
        <v>46027</v>
      </c>
      <c r="I5320">
        <v>264.76</v>
      </c>
      <c r="J5320">
        <v>123.85</v>
      </c>
      <c r="K5320">
        <v>123.85</v>
      </c>
      <c r="L5320">
        <v>0</v>
      </c>
      <c r="M5320" s="1" t="s">
        <v>21</v>
      </c>
      <c r="N5320" s="1" t="s">
        <v>22</v>
      </c>
      <c r="O5320" s="2">
        <v>46055</v>
      </c>
      <c r="P5320" s="2">
        <v>46055</v>
      </c>
      <c r="Q5320">
        <f>_xlfn.XLOOKUP(E5320,CPT!$A$2:$A$13,CPT!$D$2:$D$13)</f>
        <v>260</v>
      </c>
      <c r="R5320" s="1">
        <f>_xlfn.XLOOKUP(C5320,Contract!$A$2:$A$9,Contract!$B$2:$B$9)</f>
        <v>0.45</v>
      </c>
      <c r="S5320" s="1">
        <f t="shared" si="332"/>
        <v>117</v>
      </c>
      <c r="T5320" s="1">
        <f t="shared" si="333"/>
        <v>-6.8499999999999943</v>
      </c>
      <c r="U5320" s="1" t="str">
        <f t="shared" si="334"/>
        <v>OK</v>
      </c>
      <c r="V5320" s="1" t="str">
        <f>_xlfn.XLOOKUP(C5320,Payers!$A$2:$A$9,Payers!$B$2:$B$9)</f>
        <v>Blue Horizon Commercial</v>
      </c>
      <c r="W5320" s="1" t="str">
        <f t="shared" si="335"/>
        <v>2026-01</v>
      </c>
    </row>
    <row r="5321" spans="1:23">
      <c r="A5321" s="1" t="s">
        <v>8120</v>
      </c>
      <c r="B5321" s="1" t="s">
        <v>3359</v>
      </c>
      <c r="C5321" s="1" t="s">
        <v>25</v>
      </c>
      <c r="D5321" s="1" t="s">
        <v>26</v>
      </c>
      <c r="E5321" s="1" t="s">
        <v>88</v>
      </c>
      <c r="F5321">
        <v>1</v>
      </c>
      <c r="G5321" s="2">
        <v>45991</v>
      </c>
      <c r="H5321" s="2">
        <v>46018</v>
      </c>
      <c r="I5321">
        <v>262.83999999999997</v>
      </c>
      <c r="J5321">
        <v>94.3</v>
      </c>
      <c r="K5321">
        <v>94.3</v>
      </c>
      <c r="L5321">
        <v>0</v>
      </c>
      <c r="M5321" s="1" t="s">
        <v>21</v>
      </c>
      <c r="N5321" s="1" t="s">
        <v>22</v>
      </c>
      <c r="O5321" s="2">
        <v>46033</v>
      </c>
      <c r="P5321" s="2">
        <v>46033</v>
      </c>
      <c r="Q5321">
        <f>_xlfn.XLOOKUP(E5321,CPT!$A$2:$A$13,CPT!$D$2:$D$13)</f>
        <v>260</v>
      </c>
      <c r="R5321" s="1">
        <f>_xlfn.XLOOKUP(C5321,Contract!$A$2:$A$9,Contract!$B$2:$B$9)</f>
        <v>0.36</v>
      </c>
      <c r="S5321" s="1">
        <f t="shared" si="332"/>
        <v>93.6</v>
      </c>
      <c r="T5321" s="1">
        <f t="shared" si="333"/>
        <v>-0.70000000000000284</v>
      </c>
      <c r="U5321" s="1" t="str">
        <f t="shared" si="334"/>
        <v>OK</v>
      </c>
      <c r="V5321" s="1" t="str">
        <f>_xlfn.XLOOKUP(C5321,Payers!$A$2:$A$9,Payers!$B$2:$B$9)</f>
        <v>Medicare Part B</v>
      </c>
      <c r="W5321" s="1" t="str">
        <f t="shared" si="335"/>
        <v>2025-11</v>
      </c>
    </row>
    <row r="5322" spans="1:23">
      <c r="A5322" s="1" t="s">
        <v>8121</v>
      </c>
      <c r="B5322" s="1" t="s">
        <v>8122</v>
      </c>
      <c r="C5322" s="1" t="s">
        <v>60</v>
      </c>
      <c r="D5322" s="1" t="s">
        <v>30</v>
      </c>
      <c r="E5322" s="1" t="s">
        <v>20</v>
      </c>
      <c r="F5322">
        <v>1</v>
      </c>
      <c r="G5322" s="2">
        <v>45948</v>
      </c>
      <c r="H5322" s="2">
        <v>45954</v>
      </c>
      <c r="I5322">
        <v>148.88999999999999</v>
      </c>
      <c r="J5322">
        <v>72.930000000000007</v>
      </c>
      <c r="K5322">
        <v>58.34</v>
      </c>
      <c r="L5322">
        <v>14.59</v>
      </c>
      <c r="M5322" s="1" t="s">
        <v>21</v>
      </c>
      <c r="N5322" s="1" t="s">
        <v>22</v>
      </c>
      <c r="O5322" s="2">
        <v>45965</v>
      </c>
      <c r="P5322" s="2">
        <v>45965</v>
      </c>
      <c r="Q5322">
        <f>_xlfn.XLOOKUP(E5322,CPT!$A$2:$A$13,CPT!$D$2:$D$13)</f>
        <v>145</v>
      </c>
      <c r="R5322" s="1">
        <f>_xlfn.XLOOKUP(C5322,Contract!$A$2:$A$9,Contract!$B$2:$B$9)</f>
        <v>0.45</v>
      </c>
      <c r="S5322" s="1">
        <f t="shared" si="332"/>
        <v>65.25</v>
      </c>
      <c r="T5322" s="1">
        <f t="shared" si="333"/>
        <v>-7.6800000000000068</v>
      </c>
      <c r="U5322" s="1" t="str">
        <f t="shared" si="334"/>
        <v>OK</v>
      </c>
      <c r="V5322" s="1" t="str">
        <f>_xlfn.XLOOKUP(C5322,Payers!$A$2:$A$9,Payers!$B$2:$B$9)</f>
        <v>Blue Horizon Commercial</v>
      </c>
      <c r="W5322" s="1" t="str">
        <f t="shared" si="335"/>
        <v>2025-10</v>
      </c>
    </row>
    <row r="5323" spans="1:23">
      <c r="A5323" s="1" t="s">
        <v>8123</v>
      </c>
      <c r="B5323" s="1" t="s">
        <v>1961</v>
      </c>
      <c r="C5323" s="1" t="s">
        <v>47</v>
      </c>
      <c r="D5323" s="1" t="s">
        <v>37</v>
      </c>
      <c r="E5323" s="1" t="s">
        <v>48</v>
      </c>
      <c r="F5323">
        <v>1</v>
      </c>
      <c r="G5323" s="2">
        <v>46286</v>
      </c>
      <c r="H5323" s="2">
        <v>46294</v>
      </c>
      <c r="I5323">
        <v>430.71</v>
      </c>
      <c r="M5323" s="1" t="s">
        <v>69</v>
      </c>
      <c r="N5323" s="1" t="s">
        <v>22</v>
      </c>
      <c r="O5323" s="2"/>
      <c r="P5323" s="2"/>
      <c r="Q5323">
        <f>_xlfn.XLOOKUP(E5323,CPT!$A$2:$A$13,CPT!$D$2:$D$13)</f>
        <v>420</v>
      </c>
      <c r="R5323" s="1">
        <f>_xlfn.XLOOKUP(C5323,Contract!$A$2:$A$9,Contract!$B$2:$B$9)</f>
        <v>0.28000000000000003</v>
      </c>
      <c r="S5323" s="1">
        <f t="shared" si="332"/>
        <v>117.6</v>
      </c>
      <c r="T5323" s="1" t="str">
        <f t="shared" si="333"/>
        <v/>
      </c>
      <c r="U5323" s="1" t="str">
        <f t="shared" si="334"/>
        <v/>
      </c>
      <c r="V5323" s="1" t="str">
        <f>_xlfn.XLOOKUP(C5323,Payers!$A$2:$A$9,Payers!$B$2:$B$9)</f>
        <v>Coastal Medicaid MCO</v>
      </c>
      <c r="W5323" s="1" t="str">
        <f t="shared" si="335"/>
        <v>2026-09</v>
      </c>
    </row>
    <row r="5324" spans="1:23">
      <c r="A5324" s="1" t="s">
        <v>8124</v>
      </c>
      <c r="B5324" s="1" t="s">
        <v>2070</v>
      </c>
      <c r="C5324" s="1" t="s">
        <v>36</v>
      </c>
      <c r="D5324" s="1" t="s">
        <v>26</v>
      </c>
      <c r="E5324" s="1" t="s">
        <v>57</v>
      </c>
      <c r="F5324">
        <v>1</v>
      </c>
      <c r="G5324" s="2">
        <v>45976</v>
      </c>
      <c r="H5324" s="2">
        <v>45977</v>
      </c>
      <c r="I5324">
        <v>209.16</v>
      </c>
      <c r="J5324">
        <v>51.64</v>
      </c>
      <c r="K5324">
        <v>41.31</v>
      </c>
      <c r="L5324">
        <v>10.33</v>
      </c>
      <c r="M5324" s="1" t="s">
        <v>21</v>
      </c>
      <c r="N5324" s="1" t="s">
        <v>22</v>
      </c>
      <c r="O5324" s="2">
        <v>45999</v>
      </c>
      <c r="P5324" s="2">
        <v>45999</v>
      </c>
      <c r="Q5324">
        <f>_xlfn.XLOOKUP(E5324,CPT!$A$2:$A$13,CPT!$D$2:$D$13)</f>
        <v>210</v>
      </c>
      <c r="R5324" s="1">
        <f>_xlfn.XLOOKUP(C5324,Contract!$A$2:$A$9,Contract!$B$2:$B$9)</f>
        <v>0.27</v>
      </c>
      <c r="S5324" s="1">
        <f t="shared" si="332"/>
        <v>56.7</v>
      </c>
      <c r="T5324" s="1">
        <f t="shared" si="333"/>
        <v>5.0600000000000023</v>
      </c>
      <c r="U5324" s="1" t="str">
        <f t="shared" si="334"/>
        <v>Underpaid</v>
      </c>
      <c r="V5324" s="1" t="str">
        <f>_xlfn.XLOOKUP(C5324,Payers!$A$2:$A$9,Payers!$B$2:$B$9)</f>
        <v>Florida Medicaid</v>
      </c>
      <c r="W5324" s="1" t="str">
        <f t="shared" si="335"/>
        <v>2025-11</v>
      </c>
    </row>
    <row r="5325" spans="1:23">
      <c r="A5325" s="1" t="s">
        <v>8125</v>
      </c>
      <c r="B5325" s="1" t="s">
        <v>8126</v>
      </c>
      <c r="C5325" s="1" t="s">
        <v>18</v>
      </c>
      <c r="D5325" s="1" t="s">
        <v>37</v>
      </c>
      <c r="E5325" s="1" t="s">
        <v>57</v>
      </c>
      <c r="F5325">
        <v>1</v>
      </c>
      <c r="G5325" s="2">
        <v>45986</v>
      </c>
      <c r="H5325" s="2">
        <v>45988</v>
      </c>
      <c r="I5325">
        <v>214.34</v>
      </c>
      <c r="J5325">
        <v>74.31</v>
      </c>
      <c r="K5325">
        <v>74.31</v>
      </c>
      <c r="L5325">
        <v>0</v>
      </c>
      <c r="M5325" s="1" t="s">
        <v>21</v>
      </c>
      <c r="N5325" s="1" t="s">
        <v>22</v>
      </c>
      <c r="O5325" s="2">
        <v>46035</v>
      </c>
      <c r="P5325" s="2">
        <v>46035</v>
      </c>
      <c r="Q5325">
        <f>_xlfn.XLOOKUP(E5325,CPT!$A$2:$A$13,CPT!$D$2:$D$13)</f>
        <v>210</v>
      </c>
      <c r="R5325" s="1">
        <f>_xlfn.XLOOKUP(C5325,Contract!$A$2:$A$9,Contract!$B$2:$B$9)</f>
        <v>0.38</v>
      </c>
      <c r="S5325" s="1">
        <f t="shared" si="332"/>
        <v>79.8</v>
      </c>
      <c r="T5325" s="1">
        <f t="shared" si="333"/>
        <v>5.4899999999999949</v>
      </c>
      <c r="U5325" s="1" t="str">
        <f t="shared" si="334"/>
        <v>Underpaid</v>
      </c>
      <c r="V5325" s="1" t="str">
        <f>_xlfn.XLOOKUP(C5325,Payers!$A$2:$A$9,Payers!$B$2:$B$9)</f>
        <v>Sunshine Medicare Advantage</v>
      </c>
      <c r="W5325" s="1" t="str">
        <f t="shared" si="335"/>
        <v>2025-11</v>
      </c>
    </row>
    <row r="5326" spans="1:23">
      <c r="A5326" s="1" t="s">
        <v>8127</v>
      </c>
      <c r="B5326" s="1" t="s">
        <v>8128</v>
      </c>
      <c r="C5326" s="1" t="s">
        <v>52</v>
      </c>
      <c r="D5326" s="1" t="s">
        <v>19</v>
      </c>
      <c r="E5326" s="1" t="s">
        <v>88</v>
      </c>
      <c r="F5326">
        <v>1</v>
      </c>
      <c r="G5326" s="2">
        <v>46056</v>
      </c>
      <c r="H5326" s="2">
        <v>46058</v>
      </c>
      <c r="I5326">
        <v>260.24</v>
      </c>
      <c r="J5326">
        <v>135.04</v>
      </c>
      <c r="K5326">
        <v>121.54</v>
      </c>
      <c r="L5326">
        <v>13.5</v>
      </c>
      <c r="M5326" s="1" t="s">
        <v>21</v>
      </c>
      <c r="N5326" s="1" t="s">
        <v>22</v>
      </c>
      <c r="O5326" s="2">
        <v>46108</v>
      </c>
      <c r="P5326" s="2">
        <v>46108</v>
      </c>
      <c r="Q5326">
        <f>_xlfn.XLOOKUP(E5326,CPT!$A$2:$A$13,CPT!$D$2:$D$13)</f>
        <v>260</v>
      </c>
      <c r="R5326" s="1">
        <f>_xlfn.XLOOKUP(C5326,Contract!$A$2:$A$9,Contract!$B$2:$B$9)</f>
        <v>0.47</v>
      </c>
      <c r="S5326" s="1">
        <f t="shared" si="332"/>
        <v>122.2</v>
      </c>
      <c r="T5326" s="1">
        <f t="shared" si="333"/>
        <v>-12.839999999999989</v>
      </c>
      <c r="U5326" s="1" t="str">
        <f t="shared" si="334"/>
        <v>OK</v>
      </c>
      <c r="V5326" s="1" t="str">
        <f>_xlfn.XLOOKUP(C5326,Payers!$A$2:$A$9,Payers!$B$2:$B$9)</f>
        <v>Keystone Commercial PPO</v>
      </c>
      <c r="W5326" s="1" t="str">
        <f t="shared" si="335"/>
        <v>2026-02</v>
      </c>
    </row>
    <row r="5327" spans="1:23">
      <c r="A5327" s="1" t="s">
        <v>8129</v>
      </c>
      <c r="B5327" s="1" t="s">
        <v>2206</v>
      </c>
      <c r="C5327" s="1" t="s">
        <v>36</v>
      </c>
      <c r="D5327" s="1" t="s">
        <v>19</v>
      </c>
      <c r="E5327" s="1" t="s">
        <v>20</v>
      </c>
      <c r="F5327">
        <v>1</v>
      </c>
      <c r="G5327" s="2">
        <v>46103</v>
      </c>
      <c r="H5327" s="2">
        <v>46108</v>
      </c>
      <c r="I5327">
        <v>147.35</v>
      </c>
      <c r="J5327">
        <v>37.08</v>
      </c>
      <c r="K5327">
        <v>29.66</v>
      </c>
      <c r="L5327">
        <v>7.42</v>
      </c>
      <c r="M5327" s="1" t="s">
        <v>21</v>
      </c>
      <c r="N5327" s="1" t="s">
        <v>22</v>
      </c>
      <c r="O5327" s="2">
        <v>46142</v>
      </c>
      <c r="P5327" s="2">
        <v>46142</v>
      </c>
      <c r="Q5327">
        <f>_xlfn.XLOOKUP(E5327,CPT!$A$2:$A$13,CPT!$D$2:$D$13)</f>
        <v>145</v>
      </c>
      <c r="R5327" s="1">
        <f>_xlfn.XLOOKUP(C5327,Contract!$A$2:$A$9,Contract!$B$2:$B$9)</f>
        <v>0.27</v>
      </c>
      <c r="S5327" s="1">
        <f t="shared" si="332"/>
        <v>39.15</v>
      </c>
      <c r="T5327" s="1">
        <f t="shared" si="333"/>
        <v>2.0700000000000003</v>
      </c>
      <c r="U5327" s="1" t="str">
        <f t="shared" si="334"/>
        <v>Underpaid</v>
      </c>
      <c r="V5327" s="1" t="str">
        <f>_xlfn.XLOOKUP(C5327,Payers!$A$2:$A$9,Payers!$B$2:$B$9)</f>
        <v>Florida Medicaid</v>
      </c>
      <c r="W5327" s="1" t="str">
        <f t="shared" si="335"/>
        <v>2026-03</v>
      </c>
    </row>
    <row r="5328" spans="1:23">
      <c r="A5328" s="1" t="s">
        <v>8130</v>
      </c>
      <c r="B5328" s="1" t="s">
        <v>255</v>
      </c>
      <c r="C5328" s="1" t="s">
        <v>60</v>
      </c>
      <c r="D5328" s="1" t="s">
        <v>30</v>
      </c>
      <c r="E5328" s="1" t="s">
        <v>31</v>
      </c>
      <c r="F5328">
        <v>1</v>
      </c>
      <c r="G5328" s="2">
        <v>46046</v>
      </c>
      <c r="H5328" s="2">
        <v>46047</v>
      </c>
      <c r="I5328">
        <v>60.74</v>
      </c>
      <c r="J5328">
        <v>28.66</v>
      </c>
      <c r="K5328">
        <v>28.66</v>
      </c>
      <c r="L5328">
        <v>0</v>
      </c>
      <c r="M5328" s="1" t="s">
        <v>21</v>
      </c>
      <c r="N5328" s="1" t="s">
        <v>22</v>
      </c>
      <c r="O5328" s="2">
        <v>46091</v>
      </c>
      <c r="P5328" s="2">
        <v>46091</v>
      </c>
      <c r="Q5328">
        <f>_xlfn.XLOOKUP(E5328,CPT!$A$2:$A$13,CPT!$D$2:$D$13)</f>
        <v>62</v>
      </c>
      <c r="R5328" s="1">
        <f>_xlfn.XLOOKUP(C5328,Contract!$A$2:$A$9,Contract!$B$2:$B$9)</f>
        <v>0.45</v>
      </c>
      <c r="S5328" s="1">
        <f t="shared" si="332"/>
        <v>27.9</v>
      </c>
      <c r="T5328" s="1">
        <f t="shared" si="333"/>
        <v>-0.76000000000000156</v>
      </c>
      <c r="U5328" s="1" t="str">
        <f t="shared" si="334"/>
        <v>OK</v>
      </c>
      <c r="V5328" s="1" t="str">
        <f>_xlfn.XLOOKUP(C5328,Payers!$A$2:$A$9,Payers!$B$2:$B$9)</f>
        <v>Blue Horizon Commercial</v>
      </c>
      <c r="W5328" s="1" t="str">
        <f t="shared" si="335"/>
        <v>2026-01</v>
      </c>
    </row>
    <row r="5329" spans="1:23">
      <c r="A5329" s="1" t="s">
        <v>8131</v>
      </c>
      <c r="B5329" s="1" t="s">
        <v>2791</v>
      </c>
      <c r="C5329" s="1" t="s">
        <v>52</v>
      </c>
      <c r="D5329" s="1" t="s">
        <v>26</v>
      </c>
      <c r="E5329" s="1" t="s">
        <v>57</v>
      </c>
      <c r="F5329">
        <v>1</v>
      </c>
      <c r="G5329" s="2">
        <v>46096</v>
      </c>
      <c r="H5329" s="2">
        <v>46098</v>
      </c>
      <c r="I5329">
        <v>212.39</v>
      </c>
      <c r="M5329" s="1" t="s">
        <v>32</v>
      </c>
      <c r="N5329" s="1" t="s">
        <v>33</v>
      </c>
      <c r="O5329" s="2">
        <v>46136</v>
      </c>
      <c r="P5329" s="2"/>
      <c r="Q5329">
        <f>_xlfn.XLOOKUP(E5329,CPT!$A$2:$A$13,CPT!$D$2:$D$13)</f>
        <v>210</v>
      </c>
      <c r="R5329" s="1">
        <f>_xlfn.XLOOKUP(C5329,Contract!$A$2:$A$9,Contract!$B$2:$B$9)</f>
        <v>0.47</v>
      </c>
      <c r="S5329" s="1">
        <f t="shared" si="332"/>
        <v>98.7</v>
      </c>
      <c r="T5329" s="1" t="str">
        <f t="shared" si="333"/>
        <v/>
      </c>
      <c r="U5329" s="1" t="str">
        <f t="shared" si="334"/>
        <v/>
      </c>
      <c r="V5329" s="1" t="str">
        <f>_xlfn.XLOOKUP(C5329,Payers!$A$2:$A$9,Payers!$B$2:$B$9)</f>
        <v>Keystone Commercial PPO</v>
      </c>
      <c r="W5329" s="1" t="str">
        <f t="shared" si="335"/>
        <v>2026-03</v>
      </c>
    </row>
    <row r="5330" spans="1:23">
      <c r="A5330" s="1" t="s">
        <v>8132</v>
      </c>
      <c r="B5330" s="1" t="s">
        <v>6262</v>
      </c>
      <c r="C5330" s="1" t="s">
        <v>47</v>
      </c>
      <c r="D5330" s="1" t="s">
        <v>30</v>
      </c>
      <c r="E5330" s="1" t="s">
        <v>20</v>
      </c>
      <c r="F5330">
        <v>1</v>
      </c>
      <c r="G5330" s="2">
        <v>45977</v>
      </c>
      <c r="H5330" s="2">
        <v>45979</v>
      </c>
      <c r="I5330">
        <v>143.27000000000001</v>
      </c>
      <c r="J5330">
        <v>36.57</v>
      </c>
      <c r="K5330">
        <v>36.57</v>
      </c>
      <c r="L5330">
        <v>0</v>
      </c>
      <c r="M5330" s="1" t="s">
        <v>21</v>
      </c>
      <c r="N5330" s="1" t="s">
        <v>22</v>
      </c>
      <c r="O5330" s="2">
        <v>46009</v>
      </c>
      <c r="P5330" s="2">
        <v>46009</v>
      </c>
      <c r="Q5330">
        <f>_xlfn.XLOOKUP(E5330,CPT!$A$2:$A$13,CPT!$D$2:$D$13)</f>
        <v>145</v>
      </c>
      <c r="R5330" s="1">
        <f>_xlfn.XLOOKUP(C5330,Contract!$A$2:$A$9,Contract!$B$2:$B$9)</f>
        <v>0.28000000000000003</v>
      </c>
      <c r="S5330" s="1">
        <f t="shared" si="332"/>
        <v>40.6</v>
      </c>
      <c r="T5330" s="1">
        <f t="shared" si="333"/>
        <v>4.0300000000000011</v>
      </c>
      <c r="U5330" s="1" t="str">
        <f t="shared" si="334"/>
        <v>Underpaid</v>
      </c>
      <c r="V5330" s="1" t="str">
        <f>_xlfn.XLOOKUP(C5330,Payers!$A$2:$A$9,Payers!$B$2:$B$9)</f>
        <v>Coastal Medicaid MCO</v>
      </c>
      <c r="W5330" s="1" t="str">
        <f t="shared" si="335"/>
        <v>2025-11</v>
      </c>
    </row>
    <row r="5331" spans="1:23">
      <c r="A5331" s="1" t="s">
        <v>8133</v>
      </c>
      <c r="B5331" s="1" t="s">
        <v>7096</v>
      </c>
      <c r="C5331" s="1" t="s">
        <v>18</v>
      </c>
      <c r="D5331" s="1" t="s">
        <v>26</v>
      </c>
      <c r="E5331" s="1" t="s">
        <v>44</v>
      </c>
      <c r="F5331">
        <v>1</v>
      </c>
      <c r="G5331" s="2">
        <v>45975</v>
      </c>
      <c r="H5331" s="2">
        <v>45976</v>
      </c>
      <c r="I5331">
        <v>4660.57</v>
      </c>
      <c r="J5331">
        <v>1604.46</v>
      </c>
      <c r="K5331">
        <v>1283.57</v>
      </c>
      <c r="L5331">
        <v>320.89</v>
      </c>
      <c r="M5331" s="1" t="s">
        <v>21</v>
      </c>
      <c r="N5331" s="1" t="s">
        <v>22</v>
      </c>
      <c r="O5331" s="2">
        <v>46028</v>
      </c>
      <c r="P5331" s="2">
        <v>46028</v>
      </c>
      <c r="Q5331">
        <f>_xlfn.XLOOKUP(E5331,CPT!$A$2:$A$13,CPT!$D$2:$D$13)</f>
        <v>4800</v>
      </c>
      <c r="R5331" s="1">
        <f>_xlfn.XLOOKUP(C5331,Contract!$A$2:$A$9,Contract!$B$2:$B$9)</f>
        <v>0.38</v>
      </c>
      <c r="S5331" s="1">
        <f t="shared" si="332"/>
        <v>1824</v>
      </c>
      <c r="T5331" s="1">
        <f t="shared" si="333"/>
        <v>219.53999999999996</v>
      </c>
      <c r="U5331" s="1" t="str">
        <f t="shared" si="334"/>
        <v>Underpaid</v>
      </c>
      <c r="V5331" s="1" t="str">
        <f>_xlfn.XLOOKUP(C5331,Payers!$A$2:$A$9,Payers!$B$2:$B$9)</f>
        <v>Sunshine Medicare Advantage</v>
      </c>
      <c r="W5331" s="1" t="str">
        <f t="shared" si="335"/>
        <v>2025-11</v>
      </c>
    </row>
    <row r="5332" spans="1:23">
      <c r="A5332" s="1" t="s">
        <v>8134</v>
      </c>
      <c r="B5332" s="1" t="s">
        <v>5107</v>
      </c>
      <c r="C5332" s="1" t="s">
        <v>47</v>
      </c>
      <c r="D5332" s="1" t="s">
        <v>19</v>
      </c>
      <c r="E5332" s="1" t="s">
        <v>57</v>
      </c>
      <c r="F5332">
        <v>1</v>
      </c>
      <c r="G5332" s="2">
        <v>46267</v>
      </c>
      <c r="H5332" s="2">
        <v>46269</v>
      </c>
      <c r="I5332">
        <v>211.12</v>
      </c>
      <c r="M5332" s="1" t="s">
        <v>69</v>
      </c>
      <c r="N5332" s="1" t="s">
        <v>22</v>
      </c>
      <c r="O5332" s="2"/>
      <c r="P5332" s="2"/>
      <c r="Q5332">
        <f>_xlfn.XLOOKUP(E5332,CPT!$A$2:$A$13,CPT!$D$2:$D$13)</f>
        <v>210</v>
      </c>
      <c r="R5332" s="1">
        <f>_xlfn.XLOOKUP(C5332,Contract!$A$2:$A$9,Contract!$B$2:$B$9)</f>
        <v>0.28000000000000003</v>
      </c>
      <c r="S5332" s="1">
        <f t="shared" si="332"/>
        <v>58.8</v>
      </c>
      <c r="T5332" s="1" t="str">
        <f t="shared" si="333"/>
        <v/>
      </c>
      <c r="U5332" s="1" t="str">
        <f t="shared" si="334"/>
        <v/>
      </c>
      <c r="V5332" s="1" t="str">
        <f>_xlfn.XLOOKUP(C5332,Payers!$A$2:$A$9,Payers!$B$2:$B$9)</f>
        <v>Coastal Medicaid MCO</v>
      </c>
      <c r="W5332" s="1" t="str">
        <f t="shared" si="335"/>
        <v>2026-09</v>
      </c>
    </row>
    <row r="5333" spans="1:23">
      <c r="A5333" s="1" t="s">
        <v>8135</v>
      </c>
      <c r="B5333" s="1" t="s">
        <v>873</v>
      </c>
      <c r="C5333" s="1" t="s">
        <v>76</v>
      </c>
      <c r="D5333" s="1" t="s">
        <v>19</v>
      </c>
      <c r="E5333" s="1" t="s">
        <v>41</v>
      </c>
      <c r="F5333">
        <v>1</v>
      </c>
      <c r="G5333" s="2">
        <v>46040</v>
      </c>
      <c r="H5333" s="2">
        <v>46043</v>
      </c>
      <c r="I5333">
        <v>37.07</v>
      </c>
      <c r="J5333">
        <v>13.73</v>
      </c>
      <c r="K5333">
        <v>12.36</v>
      </c>
      <c r="L5333">
        <v>1.37</v>
      </c>
      <c r="M5333" s="1" t="s">
        <v>21</v>
      </c>
      <c r="N5333" s="1" t="s">
        <v>22</v>
      </c>
      <c r="O5333" s="2">
        <v>46082</v>
      </c>
      <c r="P5333" s="2">
        <v>46082</v>
      </c>
      <c r="Q5333">
        <f>_xlfn.XLOOKUP(E5333,CPT!$A$2:$A$13,CPT!$D$2:$D$13)</f>
        <v>38</v>
      </c>
      <c r="R5333" s="1">
        <f>_xlfn.XLOOKUP(C5333,Contract!$A$2:$A$9,Contract!$B$2:$B$9)</f>
        <v>0.43</v>
      </c>
      <c r="S5333" s="1">
        <f t="shared" si="332"/>
        <v>16.34</v>
      </c>
      <c r="T5333" s="1">
        <f t="shared" si="333"/>
        <v>2.6099999999999994</v>
      </c>
      <c r="U5333" s="1" t="str">
        <f t="shared" si="334"/>
        <v>Underpaid</v>
      </c>
      <c r="V5333" s="1" t="str">
        <f>_xlfn.XLOOKUP(C5333,Payers!$A$2:$A$9,Payers!$B$2:$B$9)</f>
        <v>Summit Health Commercial</v>
      </c>
      <c r="W5333" s="1" t="str">
        <f t="shared" si="335"/>
        <v>2026-01</v>
      </c>
    </row>
    <row r="5334" spans="1:23">
      <c r="A5334" s="1" t="s">
        <v>8136</v>
      </c>
      <c r="B5334" s="1" t="s">
        <v>4618</v>
      </c>
      <c r="C5334" s="1" t="s">
        <v>79</v>
      </c>
      <c r="D5334" s="1" t="s">
        <v>26</v>
      </c>
      <c r="E5334" s="1" t="s">
        <v>57</v>
      </c>
      <c r="F5334">
        <v>1</v>
      </c>
      <c r="G5334" s="2">
        <v>46140</v>
      </c>
      <c r="H5334" s="2">
        <v>46142</v>
      </c>
      <c r="I5334">
        <v>208.04</v>
      </c>
      <c r="J5334">
        <v>208.04</v>
      </c>
      <c r="K5334">
        <v>208.04</v>
      </c>
      <c r="L5334">
        <v>0</v>
      </c>
      <c r="M5334" s="1" t="s">
        <v>21</v>
      </c>
      <c r="N5334" s="1" t="s">
        <v>22</v>
      </c>
      <c r="O5334" s="2">
        <v>46222</v>
      </c>
      <c r="P5334" s="2">
        <v>46222</v>
      </c>
      <c r="Q5334">
        <f>_xlfn.XLOOKUP(E5334,CPT!$A$2:$A$13,CPT!$D$2:$D$13)</f>
        <v>210</v>
      </c>
      <c r="R5334" s="1">
        <f>_xlfn.XLOOKUP(C5334,Contract!$A$2:$A$9,Contract!$B$2:$B$9)</f>
        <v>1</v>
      </c>
      <c r="S5334" s="1">
        <f t="shared" si="332"/>
        <v>210</v>
      </c>
      <c r="T5334" s="1">
        <f t="shared" si="333"/>
        <v>1.960000000000008</v>
      </c>
      <c r="U5334" s="1" t="str">
        <f t="shared" si="334"/>
        <v>OK</v>
      </c>
      <c r="V5334" s="1" t="str">
        <f>_xlfn.XLOOKUP(C5334,Payers!$A$2:$A$9,Payers!$B$2:$B$9)</f>
        <v>Self-Pay</v>
      </c>
      <c r="W5334" s="1" t="str">
        <f t="shared" si="335"/>
        <v>2026-04</v>
      </c>
    </row>
    <row r="5335" spans="1:23">
      <c r="A5335" s="1" t="s">
        <v>8137</v>
      </c>
      <c r="B5335" s="1" t="s">
        <v>2156</v>
      </c>
      <c r="C5335" s="1" t="s">
        <v>25</v>
      </c>
      <c r="D5335" s="1" t="s">
        <v>19</v>
      </c>
      <c r="E5335" s="1" t="s">
        <v>20</v>
      </c>
      <c r="F5335">
        <v>1</v>
      </c>
      <c r="G5335" s="2">
        <v>45943</v>
      </c>
      <c r="H5335" s="2">
        <v>45950</v>
      </c>
      <c r="I5335">
        <v>147.26</v>
      </c>
      <c r="M5335" s="1" t="s">
        <v>32</v>
      </c>
      <c r="N5335" s="1" t="s">
        <v>33</v>
      </c>
      <c r="O5335" s="2">
        <v>45971</v>
      </c>
      <c r="P5335" s="2"/>
      <c r="Q5335">
        <f>_xlfn.XLOOKUP(E5335,CPT!$A$2:$A$13,CPT!$D$2:$D$13)</f>
        <v>145</v>
      </c>
      <c r="R5335" s="1">
        <f>_xlfn.XLOOKUP(C5335,Contract!$A$2:$A$9,Contract!$B$2:$B$9)</f>
        <v>0.36</v>
      </c>
      <c r="S5335" s="1">
        <f t="shared" si="332"/>
        <v>52.2</v>
      </c>
      <c r="T5335" s="1" t="str">
        <f t="shared" si="333"/>
        <v/>
      </c>
      <c r="U5335" s="1" t="str">
        <f t="shared" si="334"/>
        <v/>
      </c>
      <c r="V5335" s="1" t="str">
        <f>_xlfn.XLOOKUP(C5335,Payers!$A$2:$A$9,Payers!$B$2:$B$9)</f>
        <v>Medicare Part B</v>
      </c>
      <c r="W5335" s="1" t="str">
        <f t="shared" si="335"/>
        <v>2025-10</v>
      </c>
    </row>
    <row r="5336" spans="1:23">
      <c r="A5336" s="1" t="s">
        <v>8138</v>
      </c>
      <c r="B5336" s="1" t="s">
        <v>5565</v>
      </c>
      <c r="C5336" s="1" t="s">
        <v>52</v>
      </c>
      <c r="D5336" s="1" t="s">
        <v>26</v>
      </c>
      <c r="E5336" s="1" t="s">
        <v>57</v>
      </c>
      <c r="F5336">
        <v>1</v>
      </c>
      <c r="G5336" s="2">
        <v>46123</v>
      </c>
      <c r="H5336" s="2">
        <v>46125</v>
      </c>
      <c r="I5336">
        <v>213.68</v>
      </c>
      <c r="J5336">
        <v>112.91</v>
      </c>
      <c r="K5336">
        <v>90.33</v>
      </c>
      <c r="L5336">
        <v>22.58</v>
      </c>
      <c r="M5336" s="1" t="s">
        <v>21</v>
      </c>
      <c r="N5336" s="1" t="s">
        <v>22</v>
      </c>
      <c r="O5336" s="2">
        <v>46157</v>
      </c>
      <c r="P5336" s="2">
        <v>46157</v>
      </c>
      <c r="Q5336">
        <f>_xlfn.XLOOKUP(E5336,CPT!$A$2:$A$13,CPT!$D$2:$D$13)</f>
        <v>210</v>
      </c>
      <c r="R5336" s="1">
        <f>_xlfn.XLOOKUP(C5336,Contract!$A$2:$A$9,Contract!$B$2:$B$9)</f>
        <v>0.47</v>
      </c>
      <c r="S5336" s="1">
        <f t="shared" si="332"/>
        <v>98.7</v>
      </c>
      <c r="T5336" s="1">
        <f t="shared" si="333"/>
        <v>-14.209999999999994</v>
      </c>
      <c r="U5336" s="1" t="str">
        <f t="shared" si="334"/>
        <v>OK</v>
      </c>
      <c r="V5336" s="1" t="str">
        <f>_xlfn.XLOOKUP(C5336,Payers!$A$2:$A$9,Payers!$B$2:$B$9)</f>
        <v>Keystone Commercial PPO</v>
      </c>
      <c r="W5336" s="1" t="str">
        <f t="shared" si="335"/>
        <v>2026-04</v>
      </c>
    </row>
    <row r="5337" spans="1:23">
      <c r="A5337" s="1" t="s">
        <v>8139</v>
      </c>
      <c r="B5337" s="1" t="s">
        <v>8140</v>
      </c>
      <c r="C5337" s="1" t="s">
        <v>60</v>
      </c>
      <c r="D5337" s="1" t="s">
        <v>19</v>
      </c>
      <c r="E5337" s="1" t="s">
        <v>88</v>
      </c>
      <c r="F5337">
        <v>1</v>
      </c>
      <c r="G5337" s="2">
        <v>45997</v>
      </c>
      <c r="H5337" s="2">
        <v>45999</v>
      </c>
      <c r="I5337">
        <v>263.62</v>
      </c>
      <c r="J5337">
        <v>103.63</v>
      </c>
      <c r="K5337">
        <v>103.63</v>
      </c>
      <c r="L5337">
        <v>0</v>
      </c>
      <c r="M5337" s="1" t="s">
        <v>21</v>
      </c>
      <c r="N5337" s="1" t="s">
        <v>22</v>
      </c>
      <c r="O5337" s="2">
        <v>46034</v>
      </c>
      <c r="P5337" s="2">
        <v>46034</v>
      </c>
      <c r="Q5337">
        <f>_xlfn.XLOOKUP(E5337,CPT!$A$2:$A$13,CPT!$D$2:$D$13)</f>
        <v>260</v>
      </c>
      <c r="R5337" s="1">
        <f>_xlfn.XLOOKUP(C5337,Contract!$A$2:$A$9,Contract!$B$2:$B$9)</f>
        <v>0.45</v>
      </c>
      <c r="S5337" s="1">
        <f t="shared" si="332"/>
        <v>117</v>
      </c>
      <c r="T5337" s="1">
        <f t="shared" si="333"/>
        <v>13.370000000000005</v>
      </c>
      <c r="U5337" s="1" t="str">
        <f t="shared" si="334"/>
        <v>Underpaid</v>
      </c>
      <c r="V5337" s="1" t="str">
        <f>_xlfn.XLOOKUP(C5337,Payers!$A$2:$A$9,Payers!$B$2:$B$9)</f>
        <v>Blue Horizon Commercial</v>
      </c>
      <c r="W5337" s="1" t="str">
        <f t="shared" si="335"/>
        <v>2025-12</v>
      </c>
    </row>
    <row r="5338" spans="1:23">
      <c r="A5338" s="1" t="s">
        <v>8141</v>
      </c>
      <c r="B5338" s="1" t="s">
        <v>3750</v>
      </c>
      <c r="C5338" s="1" t="s">
        <v>60</v>
      </c>
      <c r="D5338" s="1" t="s">
        <v>19</v>
      </c>
      <c r="E5338" s="1" t="s">
        <v>57</v>
      </c>
      <c r="F5338">
        <v>1</v>
      </c>
      <c r="G5338" s="2">
        <v>46294</v>
      </c>
      <c r="H5338" s="2">
        <v>46295</v>
      </c>
      <c r="I5338">
        <v>211.54</v>
      </c>
      <c r="M5338" s="1" t="s">
        <v>69</v>
      </c>
      <c r="N5338" s="1" t="s">
        <v>22</v>
      </c>
      <c r="O5338" s="2"/>
      <c r="P5338" s="2"/>
      <c r="Q5338">
        <f>_xlfn.XLOOKUP(E5338,CPT!$A$2:$A$13,CPT!$D$2:$D$13)</f>
        <v>210</v>
      </c>
      <c r="R5338" s="1">
        <f>_xlfn.XLOOKUP(C5338,Contract!$A$2:$A$9,Contract!$B$2:$B$9)</f>
        <v>0.45</v>
      </c>
      <c r="S5338" s="1">
        <f t="shared" si="332"/>
        <v>94.5</v>
      </c>
      <c r="T5338" s="1" t="str">
        <f t="shared" si="333"/>
        <v/>
      </c>
      <c r="U5338" s="1" t="str">
        <f t="shared" si="334"/>
        <v/>
      </c>
      <c r="V5338" s="1" t="str">
        <f>_xlfn.XLOOKUP(C5338,Payers!$A$2:$A$9,Payers!$B$2:$B$9)</f>
        <v>Blue Horizon Commercial</v>
      </c>
      <c r="W5338" s="1" t="str">
        <f t="shared" si="335"/>
        <v>2026-09</v>
      </c>
    </row>
    <row r="5339" spans="1:23">
      <c r="A5339" s="1" t="s">
        <v>8142</v>
      </c>
      <c r="B5339" s="1" t="s">
        <v>4120</v>
      </c>
      <c r="C5339" s="1" t="s">
        <v>60</v>
      </c>
      <c r="D5339" s="1" t="s">
        <v>30</v>
      </c>
      <c r="E5339" s="1" t="s">
        <v>20</v>
      </c>
      <c r="F5339">
        <v>1</v>
      </c>
      <c r="G5339" s="2">
        <v>46152</v>
      </c>
      <c r="H5339" s="2">
        <v>46155</v>
      </c>
      <c r="I5339">
        <v>144.82</v>
      </c>
      <c r="J5339">
        <v>61</v>
      </c>
      <c r="K5339">
        <v>61</v>
      </c>
      <c r="L5339">
        <v>0</v>
      </c>
      <c r="M5339" s="1" t="s">
        <v>21</v>
      </c>
      <c r="N5339" s="1" t="s">
        <v>22</v>
      </c>
      <c r="O5339" s="2">
        <v>46174</v>
      </c>
      <c r="P5339" s="2">
        <v>46174</v>
      </c>
      <c r="Q5339">
        <f>_xlfn.XLOOKUP(E5339,CPT!$A$2:$A$13,CPT!$D$2:$D$13)</f>
        <v>145</v>
      </c>
      <c r="R5339" s="1">
        <f>_xlfn.XLOOKUP(C5339,Contract!$A$2:$A$9,Contract!$B$2:$B$9)</f>
        <v>0.45</v>
      </c>
      <c r="S5339" s="1">
        <f t="shared" si="332"/>
        <v>65.25</v>
      </c>
      <c r="T5339" s="1">
        <f t="shared" si="333"/>
        <v>4.25</v>
      </c>
      <c r="U5339" s="1" t="str">
        <f t="shared" si="334"/>
        <v>Underpaid</v>
      </c>
      <c r="V5339" s="1" t="str">
        <f>_xlfn.XLOOKUP(C5339,Payers!$A$2:$A$9,Payers!$B$2:$B$9)</f>
        <v>Blue Horizon Commercial</v>
      </c>
      <c r="W5339" s="1" t="str">
        <f t="shared" si="335"/>
        <v>2026-05</v>
      </c>
    </row>
    <row r="5340" spans="1:23">
      <c r="A5340" s="1" t="s">
        <v>8143</v>
      </c>
      <c r="B5340" s="1" t="s">
        <v>1882</v>
      </c>
      <c r="C5340" s="1" t="s">
        <v>60</v>
      </c>
      <c r="D5340" s="1" t="s">
        <v>26</v>
      </c>
      <c r="E5340" s="1" t="s">
        <v>44</v>
      </c>
      <c r="F5340">
        <v>1</v>
      </c>
      <c r="G5340" s="2">
        <v>46202</v>
      </c>
      <c r="H5340" s="2">
        <v>46203</v>
      </c>
      <c r="I5340">
        <v>4854.1000000000004</v>
      </c>
      <c r="J5340">
        <v>2054.23</v>
      </c>
      <c r="K5340">
        <v>1848.81</v>
      </c>
      <c r="L5340">
        <v>205.42</v>
      </c>
      <c r="M5340" s="1" t="s">
        <v>21</v>
      </c>
      <c r="N5340" s="1" t="s">
        <v>22</v>
      </c>
      <c r="O5340" s="2">
        <v>46226</v>
      </c>
      <c r="P5340" s="2">
        <v>46226</v>
      </c>
      <c r="Q5340">
        <f>_xlfn.XLOOKUP(E5340,CPT!$A$2:$A$13,CPT!$D$2:$D$13)</f>
        <v>4800</v>
      </c>
      <c r="R5340" s="1">
        <f>_xlfn.XLOOKUP(C5340,Contract!$A$2:$A$9,Contract!$B$2:$B$9)</f>
        <v>0.45</v>
      </c>
      <c r="S5340" s="1">
        <f t="shared" si="332"/>
        <v>2160</v>
      </c>
      <c r="T5340" s="1">
        <f t="shared" si="333"/>
        <v>105.76999999999998</v>
      </c>
      <c r="U5340" s="1" t="str">
        <f t="shared" si="334"/>
        <v>OK</v>
      </c>
      <c r="V5340" s="1" t="str">
        <f>_xlfn.XLOOKUP(C5340,Payers!$A$2:$A$9,Payers!$B$2:$B$9)</f>
        <v>Blue Horizon Commercial</v>
      </c>
      <c r="W5340" s="1" t="str">
        <f t="shared" si="335"/>
        <v>2026-06</v>
      </c>
    </row>
    <row r="5341" spans="1:23">
      <c r="A5341" s="1" t="s">
        <v>8144</v>
      </c>
      <c r="B5341" s="1" t="s">
        <v>4097</v>
      </c>
      <c r="C5341" s="1" t="s">
        <v>47</v>
      </c>
      <c r="D5341" s="1" t="s">
        <v>19</v>
      </c>
      <c r="E5341" s="1" t="s">
        <v>57</v>
      </c>
      <c r="F5341">
        <v>1</v>
      </c>
      <c r="G5341" s="2">
        <v>46039</v>
      </c>
      <c r="H5341" s="2">
        <v>46040</v>
      </c>
      <c r="I5341">
        <v>206.17</v>
      </c>
      <c r="J5341">
        <v>57.1</v>
      </c>
      <c r="K5341">
        <v>57.1</v>
      </c>
      <c r="L5341">
        <v>0</v>
      </c>
      <c r="M5341" s="1" t="s">
        <v>21</v>
      </c>
      <c r="N5341" s="1" t="s">
        <v>22</v>
      </c>
      <c r="O5341" s="2">
        <v>46125</v>
      </c>
      <c r="P5341" s="2">
        <v>46125</v>
      </c>
      <c r="Q5341">
        <f>_xlfn.XLOOKUP(E5341,CPT!$A$2:$A$13,CPT!$D$2:$D$13)</f>
        <v>210</v>
      </c>
      <c r="R5341" s="1">
        <f>_xlfn.XLOOKUP(C5341,Contract!$A$2:$A$9,Contract!$B$2:$B$9)</f>
        <v>0.28000000000000003</v>
      </c>
      <c r="S5341" s="1">
        <f t="shared" si="332"/>
        <v>58.8</v>
      </c>
      <c r="T5341" s="1">
        <f t="shared" si="333"/>
        <v>1.6999999999999957</v>
      </c>
      <c r="U5341" s="1" t="str">
        <f t="shared" si="334"/>
        <v>OK</v>
      </c>
      <c r="V5341" s="1" t="str">
        <f>_xlfn.XLOOKUP(C5341,Payers!$A$2:$A$9,Payers!$B$2:$B$9)</f>
        <v>Coastal Medicaid MCO</v>
      </c>
      <c r="W5341" s="1" t="str">
        <f t="shared" si="335"/>
        <v>2026-01</v>
      </c>
    </row>
    <row r="5342" spans="1:23">
      <c r="A5342" s="1" t="s">
        <v>8145</v>
      </c>
      <c r="B5342" s="1" t="s">
        <v>6094</v>
      </c>
      <c r="C5342" s="1" t="s">
        <v>36</v>
      </c>
      <c r="D5342" s="1" t="s">
        <v>26</v>
      </c>
      <c r="E5342" s="1" t="s">
        <v>185</v>
      </c>
      <c r="F5342">
        <v>1</v>
      </c>
      <c r="G5342" s="2">
        <v>46234</v>
      </c>
      <c r="H5342" s="2">
        <v>46240</v>
      </c>
      <c r="I5342">
        <v>1153.22</v>
      </c>
      <c r="J5342">
        <v>291.24</v>
      </c>
      <c r="K5342">
        <v>262.12</v>
      </c>
      <c r="L5342">
        <v>29.12</v>
      </c>
      <c r="M5342" s="1" t="s">
        <v>21</v>
      </c>
      <c r="N5342" s="1" t="s">
        <v>22</v>
      </c>
      <c r="O5342" s="2">
        <v>46263</v>
      </c>
      <c r="P5342" s="2">
        <v>46263</v>
      </c>
      <c r="Q5342">
        <f>_xlfn.XLOOKUP(E5342,CPT!$A$2:$A$13,CPT!$D$2:$D$13)</f>
        <v>1150</v>
      </c>
      <c r="R5342" s="1">
        <f>_xlfn.XLOOKUP(C5342,Contract!$A$2:$A$9,Contract!$B$2:$B$9)</f>
        <v>0.27</v>
      </c>
      <c r="S5342" s="1">
        <f t="shared" si="332"/>
        <v>310.5</v>
      </c>
      <c r="T5342" s="1">
        <f t="shared" si="333"/>
        <v>19.259999999999991</v>
      </c>
      <c r="U5342" s="1" t="str">
        <f t="shared" si="334"/>
        <v>Underpaid</v>
      </c>
      <c r="V5342" s="1" t="str">
        <f>_xlfn.XLOOKUP(C5342,Payers!$A$2:$A$9,Payers!$B$2:$B$9)</f>
        <v>Florida Medicaid</v>
      </c>
      <c r="W5342" s="1" t="str">
        <f t="shared" si="335"/>
        <v>2026-07</v>
      </c>
    </row>
    <row r="5343" spans="1:23">
      <c r="A5343" s="1" t="s">
        <v>8146</v>
      </c>
      <c r="B5343" s="1" t="s">
        <v>4110</v>
      </c>
      <c r="C5343" s="1" t="s">
        <v>47</v>
      </c>
      <c r="D5343" s="1" t="s">
        <v>30</v>
      </c>
      <c r="E5343" s="1" t="s">
        <v>91</v>
      </c>
      <c r="F5343">
        <v>1</v>
      </c>
      <c r="G5343" s="2">
        <v>46268</v>
      </c>
      <c r="H5343" s="2">
        <v>46271</v>
      </c>
      <c r="I5343">
        <v>57.59</v>
      </c>
      <c r="M5343" s="1" t="s">
        <v>69</v>
      </c>
      <c r="N5343" s="1" t="s">
        <v>22</v>
      </c>
      <c r="O5343" s="2"/>
      <c r="P5343" s="2"/>
      <c r="Q5343">
        <f>_xlfn.XLOOKUP(E5343,CPT!$A$2:$A$13,CPT!$D$2:$D$13)</f>
        <v>58</v>
      </c>
      <c r="R5343" s="1">
        <f>_xlfn.XLOOKUP(C5343,Contract!$A$2:$A$9,Contract!$B$2:$B$9)</f>
        <v>0.28000000000000003</v>
      </c>
      <c r="S5343" s="1">
        <f t="shared" si="332"/>
        <v>16.239999999999998</v>
      </c>
      <c r="T5343" s="1" t="str">
        <f t="shared" si="333"/>
        <v/>
      </c>
      <c r="U5343" s="1" t="str">
        <f t="shared" si="334"/>
        <v/>
      </c>
      <c r="V5343" s="1" t="str">
        <f>_xlfn.XLOOKUP(C5343,Payers!$A$2:$A$9,Payers!$B$2:$B$9)</f>
        <v>Coastal Medicaid MCO</v>
      </c>
      <c r="W5343" s="1" t="str">
        <f t="shared" si="335"/>
        <v>2026-09</v>
      </c>
    </row>
    <row r="5344" spans="1:23">
      <c r="A5344" s="1" t="s">
        <v>8147</v>
      </c>
      <c r="B5344" s="1" t="s">
        <v>5860</v>
      </c>
      <c r="C5344" s="1" t="s">
        <v>60</v>
      </c>
      <c r="D5344" s="1" t="s">
        <v>26</v>
      </c>
      <c r="E5344" s="1" t="s">
        <v>88</v>
      </c>
      <c r="F5344">
        <v>1</v>
      </c>
      <c r="G5344" s="2">
        <v>46121</v>
      </c>
      <c r="H5344" s="2">
        <v>46122</v>
      </c>
      <c r="I5344">
        <v>254.18</v>
      </c>
      <c r="M5344" s="1" t="s">
        <v>32</v>
      </c>
      <c r="N5344" s="1" t="s">
        <v>281</v>
      </c>
      <c r="O5344" s="2">
        <v>46141</v>
      </c>
      <c r="P5344" s="2"/>
      <c r="Q5344">
        <f>_xlfn.XLOOKUP(E5344,CPT!$A$2:$A$13,CPT!$D$2:$D$13)</f>
        <v>260</v>
      </c>
      <c r="R5344" s="1">
        <f>_xlfn.XLOOKUP(C5344,Contract!$A$2:$A$9,Contract!$B$2:$B$9)</f>
        <v>0.45</v>
      </c>
      <c r="S5344" s="1">
        <f t="shared" si="332"/>
        <v>117</v>
      </c>
      <c r="T5344" s="1" t="str">
        <f t="shared" si="333"/>
        <v/>
      </c>
      <c r="U5344" s="1" t="str">
        <f t="shared" si="334"/>
        <v/>
      </c>
      <c r="V5344" s="1" t="str">
        <f>_xlfn.XLOOKUP(C5344,Payers!$A$2:$A$9,Payers!$B$2:$B$9)</f>
        <v>Blue Horizon Commercial</v>
      </c>
      <c r="W5344" s="1" t="str">
        <f t="shared" si="335"/>
        <v>2026-04</v>
      </c>
    </row>
    <row r="5345" spans="1:23">
      <c r="A5345" s="1" t="s">
        <v>8148</v>
      </c>
      <c r="B5345" s="1" t="s">
        <v>2120</v>
      </c>
      <c r="C5345" s="1" t="s">
        <v>60</v>
      </c>
      <c r="D5345" s="1" t="s">
        <v>19</v>
      </c>
      <c r="E5345" s="1" t="s">
        <v>57</v>
      </c>
      <c r="F5345">
        <v>1</v>
      </c>
      <c r="G5345" s="2">
        <v>46218</v>
      </c>
      <c r="H5345" s="2">
        <v>46220</v>
      </c>
      <c r="I5345">
        <v>210.34</v>
      </c>
      <c r="J5345">
        <v>96.2</v>
      </c>
      <c r="K5345">
        <v>96.2</v>
      </c>
      <c r="L5345">
        <v>0</v>
      </c>
      <c r="M5345" s="1" t="s">
        <v>21</v>
      </c>
      <c r="N5345" s="1" t="s">
        <v>22</v>
      </c>
      <c r="O5345" s="2">
        <v>46259</v>
      </c>
      <c r="P5345" s="2">
        <v>46259</v>
      </c>
      <c r="Q5345">
        <f>_xlfn.XLOOKUP(E5345,CPT!$A$2:$A$13,CPT!$D$2:$D$13)</f>
        <v>210</v>
      </c>
      <c r="R5345" s="1">
        <f>_xlfn.XLOOKUP(C5345,Contract!$A$2:$A$9,Contract!$B$2:$B$9)</f>
        <v>0.45</v>
      </c>
      <c r="S5345" s="1">
        <f t="shared" si="332"/>
        <v>94.5</v>
      </c>
      <c r="T5345" s="1">
        <f t="shared" si="333"/>
        <v>-1.7000000000000028</v>
      </c>
      <c r="U5345" s="1" t="str">
        <f t="shared" si="334"/>
        <v>OK</v>
      </c>
      <c r="V5345" s="1" t="str">
        <f>_xlfn.XLOOKUP(C5345,Payers!$A$2:$A$9,Payers!$B$2:$B$9)</f>
        <v>Blue Horizon Commercial</v>
      </c>
      <c r="W5345" s="1" t="str">
        <f t="shared" si="335"/>
        <v>2026-07</v>
      </c>
    </row>
    <row r="5346" spans="1:23">
      <c r="A5346" s="1" t="s">
        <v>8149</v>
      </c>
      <c r="B5346" s="1" t="s">
        <v>566</v>
      </c>
      <c r="C5346" s="1" t="s">
        <v>60</v>
      </c>
      <c r="D5346" s="1" t="s">
        <v>26</v>
      </c>
      <c r="E5346" s="1" t="s">
        <v>185</v>
      </c>
      <c r="F5346">
        <v>1</v>
      </c>
      <c r="G5346" s="2">
        <v>46057</v>
      </c>
      <c r="H5346" s="2">
        <v>46059</v>
      </c>
      <c r="I5346">
        <v>1160.8</v>
      </c>
      <c r="M5346" s="1" t="s">
        <v>32</v>
      </c>
      <c r="N5346" s="1" t="s">
        <v>315</v>
      </c>
      <c r="O5346" s="2">
        <v>46084</v>
      </c>
      <c r="P5346" s="2"/>
      <c r="Q5346">
        <f>_xlfn.XLOOKUP(E5346,CPT!$A$2:$A$13,CPT!$D$2:$D$13)</f>
        <v>1150</v>
      </c>
      <c r="R5346" s="1">
        <f>_xlfn.XLOOKUP(C5346,Contract!$A$2:$A$9,Contract!$B$2:$B$9)</f>
        <v>0.45</v>
      </c>
      <c r="S5346" s="1">
        <f t="shared" si="332"/>
        <v>517.5</v>
      </c>
      <c r="T5346" s="1" t="str">
        <f t="shared" si="333"/>
        <v/>
      </c>
      <c r="U5346" s="1" t="str">
        <f t="shared" si="334"/>
        <v/>
      </c>
      <c r="V5346" s="1" t="str">
        <f>_xlfn.XLOOKUP(C5346,Payers!$A$2:$A$9,Payers!$B$2:$B$9)</f>
        <v>Blue Horizon Commercial</v>
      </c>
      <c r="W5346" s="1" t="str">
        <f t="shared" si="335"/>
        <v>2026-02</v>
      </c>
    </row>
    <row r="5347" spans="1:23">
      <c r="A5347" s="1" t="s">
        <v>8150</v>
      </c>
      <c r="B5347" s="1" t="s">
        <v>8151</v>
      </c>
      <c r="C5347" s="1" t="s">
        <v>36</v>
      </c>
      <c r="D5347" s="1" t="s">
        <v>37</v>
      </c>
      <c r="E5347" s="1" t="s">
        <v>38</v>
      </c>
      <c r="F5347">
        <v>10</v>
      </c>
      <c r="G5347" s="2">
        <v>45975</v>
      </c>
      <c r="H5347" s="2">
        <v>45977</v>
      </c>
      <c r="I5347">
        <v>14787.66</v>
      </c>
      <c r="M5347" s="1" t="s">
        <v>32</v>
      </c>
      <c r="N5347" s="1" t="s">
        <v>49</v>
      </c>
      <c r="O5347" s="2">
        <v>46008</v>
      </c>
      <c r="P5347" s="2"/>
      <c r="Q5347">
        <f>_xlfn.XLOOKUP(E5347,CPT!$A$2:$A$13,CPT!$D$2:$D$13)</f>
        <v>1450</v>
      </c>
      <c r="R5347" s="1">
        <f>_xlfn.XLOOKUP(C5347,Contract!$A$2:$A$9,Contract!$B$2:$B$9)</f>
        <v>0.27</v>
      </c>
      <c r="S5347" s="1">
        <f t="shared" si="332"/>
        <v>3915</v>
      </c>
      <c r="T5347" s="1" t="str">
        <f t="shared" si="333"/>
        <v/>
      </c>
      <c r="U5347" s="1" t="str">
        <f t="shared" si="334"/>
        <v/>
      </c>
      <c r="V5347" s="1" t="str">
        <f>_xlfn.XLOOKUP(C5347,Payers!$A$2:$A$9,Payers!$B$2:$B$9)</f>
        <v>Florida Medicaid</v>
      </c>
      <c r="W5347" s="1" t="str">
        <f t="shared" si="335"/>
        <v>2025-11</v>
      </c>
    </row>
    <row r="5348" spans="1:23">
      <c r="A5348" s="1" t="s">
        <v>8152</v>
      </c>
      <c r="B5348" s="1" t="s">
        <v>1039</v>
      </c>
      <c r="C5348" s="1" t="s">
        <v>47</v>
      </c>
      <c r="D5348" s="1" t="s">
        <v>19</v>
      </c>
      <c r="E5348" s="1" t="s">
        <v>41</v>
      </c>
      <c r="F5348">
        <v>1</v>
      </c>
      <c r="G5348" s="2">
        <v>46293</v>
      </c>
      <c r="H5348" s="2">
        <v>46295</v>
      </c>
      <c r="I5348">
        <v>37.64</v>
      </c>
      <c r="M5348" s="1" t="s">
        <v>69</v>
      </c>
      <c r="N5348" s="1" t="s">
        <v>22</v>
      </c>
      <c r="O5348" s="2"/>
      <c r="P5348" s="2"/>
      <c r="Q5348">
        <f>_xlfn.XLOOKUP(E5348,CPT!$A$2:$A$13,CPT!$D$2:$D$13)</f>
        <v>38</v>
      </c>
      <c r="R5348" s="1">
        <f>_xlfn.XLOOKUP(C5348,Contract!$A$2:$A$9,Contract!$B$2:$B$9)</f>
        <v>0.28000000000000003</v>
      </c>
      <c r="S5348" s="1">
        <f t="shared" si="332"/>
        <v>10.64</v>
      </c>
      <c r="T5348" s="1" t="str">
        <f t="shared" si="333"/>
        <v/>
      </c>
      <c r="U5348" s="1" t="str">
        <f t="shared" si="334"/>
        <v/>
      </c>
      <c r="V5348" s="1" t="str">
        <f>_xlfn.XLOOKUP(C5348,Payers!$A$2:$A$9,Payers!$B$2:$B$9)</f>
        <v>Coastal Medicaid MCO</v>
      </c>
      <c r="W5348" s="1" t="str">
        <f t="shared" si="335"/>
        <v>2026-09</v>
      </c>
    </row>
    <row r="5349" spans="1:23">
      <c r="A5349" s="1" t="s">
        <v>8153</v>
      </c>
      <c r="B5349" s="1" t="s">
        <v>5209</v>
      </c>
      <c r="C5349" s="1" t="s">
        <v>18</v>
      </c>
      <c r="D5349" s="1" t="s">
        <v>37</v>
      </c>
      <c r="E5349" s="1" t="s">
        <v>38</v>
      </c>
      <c r="F5349">
        <v>5</v>
      </c>
      <c r="G5349" s="2">
        <v>46030</v>
      </c>
      <c r="H5349" s="2">
        <v>46032</v>
      </c>
      <c r="I5349">
        <v>7061.72</v>
      </c>
      <c r="J5349">
        <v>2987.68</v>
      </c>
      <c r="K5349">
        <v>2390.14</v>
      </c>
      <c r="L5349">
        <v>597.54</v>
      </c>
      <c r="M5349" s="1" t="s">
        <v>21</v>
      </c>
      <c r="N5349" s="1" t="s">
        <v>22</v>
      </c>
      <c r="O5349" s="2">
        <v>46037</v>
      </c>
      <c r="P5349" s="2">
        <v>46037</v>
      </c>
      <c r="Q5349">
        <f>_xlfn.XLOOKUP(E5349,CPT!$A$2:$A$13,CPT!$D$2:$D$13)</f>
        <v>1450</v>
      </c>
      <c r="R5349" s="1">
        <f>_xlfn.XLOOKUP(C5349,Contract!$A$2:$A$9,Contract!$B$2:$B$9)</f>
        <v>0.38</v>
      </c>
      <c r="S5349" s="1">
        <f t="shared" si="332"/>
        <v>2755</v>
      </c>
      <c r="T5349" s="1">
        <f t="shared" si="333"/>
        <v>-232.67999999999984</v>
      </c>
      <c r="U5349" s="1" t="str">
        <f t="shared" si="334"/>
        <v>OK</v>
      </c>
      <c r="V5349" s="1" t="str">
        <f>_xlfn.XLOOKUP(C5349,Payers!$A$2:$A$9,Payers!$B$2:$B$9)</f>
        <v>Sunshine Medicare Advantage</v>
      </c>
      <c r="W5349" s="1" t="str">
        <f t="shared" si="335"/>
        <v>2026-01</v>
      </c>
    </row>
    <row r="5350" spans="1:23">
      <c r="A5350" s="1" t="s">
        <v>8154</v>
      </c>
      <c r="B5350" s="1" t="s">
        <v>4149</v>
      </c>
      <c r="C5350" s="1" t="s">
        <v>79</v>
      </c>
      <c r="D5350" s="1" t="s">
        <v>19</v>
      </c>
      <c r="E5350" s="1" t="s">
        <v>20</v>
      </c>
      <c r="F5350">
        <v>1</v>
      </c>
      <c r="G5350" s="2">
        <v>46121</v>
      </c>
      <c r="H5350" s="2">
        <v>46122</v>
      </c>
      <c r="I5350">
        <v>147.06</v>
      </c>
      <c r="M5350" s="1" t="s">
        <v>69</v>
      </c>
      <c r="N5350" s="1" t="s">
        <v>22</v>
      </c>
      <c r="O5350" s="2"/>
      <c r="P5350" s="2"/>
      <c r="Q5350">
        <f>_xlfn.XLOOKUP(E5350,CPT!$A$2:$A$13,CPT!$D$2:$D$13)</f>
        <v>145</v>
      </c>
      <c r="R5350" s="1">
        <f>_xlfn.XLOOKUP(C5350,Contract!$A$2:$A$9,Contract!$B$2:$B$9)</f>
        <v>1</v>
      </c>
      <c r="S5350" s="1">
        <f t="shared" si="332"/>
        <v>145</v>
      </c>
      <c r="T5350" s="1" t="str">
        <f t="shared" si="333"/>
        <v/>
      </c>
      <c r="U5350" s="1" t="str">
        <f t="shared" si="334"/>
        <v/>
      </c>
      <c r="V5350" s="1" t="str">
        <f>_xlfn.XLOOKUP(C5350,Payers!$A$2:$A$9,Payers!$B$2:$B$9)</f>
        <v>Self-Pay</v>
      </c>
      <c r="W5350" s="1" t="str">
        <f t="shared" si="335"/>
        <v>2026-04</v>
      </c>
    </row>
    <row r="5351" spans="1:23">
      <c r="A5351" s="1" t="s">
        <v>8155</v>
      </c>
      <c r="B5351" s="1" t="s">
        <v>560</v>
      </c>
      <c r="C5351" s="1" t="s">
        <v>36</v>
      </c>
      <c r="D5351" s="1" t="s">
        <v>37</v>
      </c>
      <c r="E5351" s="1" t="s">
        <v>38</v>
      </c>
      <c r="F5351">
        <v>30</v>
      </c>
      <c r="G5351" s="2">
        <v>46005</v>
      </c>
      <c r="H5351" s="2">
        <v>46006</v>
      </c>
      <c r="I5351">
        <v>42848.94</v>
      </c>
      <c r="M5351" s="1" t="s">
        <v>32</v>
      </c>
      <c r="N5351" s="1" t="s">
        <v>315</v>
      </c>
      <c r="O5351" s="2">
        <v>46041</v>
      </c>
      <c r="P5351" s="2"/>
      <c r="Q5351">
        <f>_xlfn.XLOOKUP(E5351,CPT!$A$2:$A$13,CPT!$D$2:$D$13)</f>
        <v>1450</v>
      </c>
      <c r="R5351" s="1">
        <f>_xlfn.XLOOKUP(C5351,Contract!$A$2:$A$9,Contract!$B$2:$B$9)</f>
        <v>0.27</v>
      </c>
      <c r="S5351" s="1">
        <f t="shared" si="332"/>
        <v>11745</v>
      </c>
      <c r="T5351" s="1" t="str">
        <f t="shared" si="333"/>
        <v/>
      </c>
      <c r="U5351" s="1" t="str">
        <f t="shared" si="334"/>
        <v/>
      </c>
      <c r="V5351" s="1" t="str">
        <f>_xlfn.XLOOKUP(C5351,Payers!$A$2:$A$9,Payers!$B$2:$B$9)</f>
        <v>Florida Medicaid</v>
      </c>
      <c r="W5351" s="1" t="str">
        <f t="shared" si="335"/>
        <v>2025-12</v>
      </c>
    </row>
    <row r="5352" spans="1:23">
      <c r="A5352" s="1" t="s">
        <v>8156</v>
      </c>
      <c r="B5352" s="1" t="s">
        <v>3277</v>
      </c>
      <c r="C5352" s="1" t="s">
        <v>60</v>
      </c>
      <c r="D5352" s="1" t="s">
        <v>26</v>
      </c>
      <c r="E5352" s="1" t="s">
        <v>41</v>
      </c>
      <c r="F5352">
        <v>1</v>
      </c>
      <c r="G5352" s="2">
        <v>46284</v>
      </c>
      <c r="H5352" s="2">
        <v>46286</v>
      </c>
      <c r="I5352">
        <v>38.68</v>
      </c>
      <c r="M5352" s="1" t="s">
        <v>69</v>
      </c>
      <c r="N5352" s="1" t="s">
        <v>22</v>
      </c>
      <c r="O5352" s="2"/>
      <c r="P5352" s="2"/>
      <c r="Q5352">
        <f>_xlfn.XLOOKUP(E5352,CPT!$A$2:$A$13,CPT!$D$2:$D$13)</f>
        <v>38</v>
      </c>
      <c r="R5352" s="1">
        <f>_xlfn.XLOOKUP(C5352,Contract!$A$2:$A$9,Contract!$B$2:$B$9)</f>
        <v>0.45</v>
      </c>
      <c r="S5352" s="1">
        <f t="shared" si="332"/>
        <v>17.100000000000001</v>
      </c>
      <c r="T5352" s="1" t="str">
        <f t="shared" si="333"/>
        <v/>
      </c>
      <c r="U5352" s="1" t="str">
        <f t="shared" si="334"/>
        <v/>
      </c>
      <c r="V5352" s="1" t="str">
        <f>_xlfn.XLOOKUP(C5352,Payers!$A$2:$A$9,Payers!$B$2:$B$9)</f>
        <v>Blue Horizon Commercial</v>
      </c>
      <c r="W5352" s="1" t="str">
        <f t="shared" si="335"/>
        <v>2026-09</v>
      </c>
    </row>
    <row r="5353" spans="1:23">
      <c r="A5353" s="1" t="s">
        <v>8157</v>
      </c>
      <c r="B5353" s="1" t="s">
        <v>2505</v>
      </c>
      <c r="C5353" s="1" t="s">
        <v>47</v>
      </c>
      <c r="D5353" s="1" t="s">
        <v>26</v>
      </c>
      <c r="E5353" s="1" t="s">
        <v>185</v>
      </c>
      <c r="F5353">
        <v>1</v>
      </c>
      <c r="G5353" s="2">
        <v>45981</v>
      </c>
      <c r="H5353" s="2">
        <v>45982</v>
      </c>
      <c r="I5353">
        <v>1153.26</v>
      </c>
      <c r="M5353" s="1" t="s">
        <v>32</v>
      </c>
      <c r="N5353" s="1" t="s">
        <v>168</v>
      </c>
      <c r="O5353" s="2">
        <v>46027</v>
      </c>
      <c r="P5353" s="2"/>
      <c r="Q5353">
        <f>_xlfn.XLOOKUP(E5353,CPT!$A$2:$A$13,CPT!$D$2:$D$13)</f>
        <v>1150</v>
      </c>
      <c r="R5353" s="1">
        <f>_xlfn.XLOOKUP(C5353,Contract!$A$2:$A$9,Contract!$B$2:$B$9)</f>
        <v>0.28000000000000003</v>
      </c>
      <c r="S5353" s="1">
        <f t="shared" si="332"/>
        <v>322</v>
      </c>
      <c r="T5353" s="1" t="str">
        <f t="shared" si="333"/>
        <v/>
      </c>
      <c r="U5353" s="1" t="str">
        <f t="shared" si="334"/>
        <v/>
      </c>
      <c r="V5353" s="1" t="str">
        <f>_xlfn.XLOOKUP(C5353,Payers!$A$2:$A$9,Payers!$B$2:$B$9)</f>
        <v>Coastal Medicaid MCO</v>
      </c>
      <c r="W5353" s="1" t="str">
        <f t="shared" si="335"/>
        <v>2025-11</v>
      </c>
    </row>
    <row r="5354" spans="1:23">
      <c r="A5354" s="1" t="s">
        <v>8158</v>
      </c>
      <c r="B5354" s="1" t="s">
        <v>6152</v>
      </c>
      <c r="C5354" s="1" t="s">
        <v>25</v>
      </c>
      <c r="D5354" s="1" t="s">
        <v>19</v>
      </c>
      <c r="E5354" s="1" t="s">
        <v>20</v>
      </c>
      <c r="F5354">
        <v>1</v>
      </c>
      <c r="G5354" s="2">
        <v>46240</v>
      </c>
      <c r="H5354" s="2">
        <v>46241</v>
      </c>
      <c r="I5354">
        <v>143.03</v>
      </c>
      <c r="J5354">
        <v>57.51</v>
      </c>
      <c r="K5354">
        <v>57.51</v>
      </c>
      <c r="L5354">
        <v>0</v>
      </c>
      <c r="M5354" s="1" t="s">
        <v>21</v>
      </c>
      <c r="N5354" s="1" t="s">
        <v>22</v>
      </c>
      <c r="O5354" s="2">
        <v>46259</v>
      </c>
      <c r="P5354" s="2">
        <v>46259</v>
      </c>
      <c r="Q5354">
        <f>_xlfn.XLOOKUP(E5354,CPT!$A$2:$A$13,CPT!$D$2:$D$13)</f>
        <v>145</v>
      </c>
      <c r="R5354" s="1">
        <f>_xlfn.XLOOKUP(C5354,Contract!$A$2:$A$9,Contract!$B$2:$B$9)</f>
        <v>0.36</v>
      </c>
      <c r="S5354" s="1">
        <f t="shared" si="332"/>
        <v>52.2</v>
      </c>
      <c r="T5354" s="1">
        <f t="shared" si="333"/>
        <v>-5.3099999999999952</v>
      </c>
      <c r="U5354" s="1" t="str">
        <f t="shared" si="334"/>
        <v>OK</v>
      </c>
      <c r="V5354" s="1" t="str">
        <f>_xlfn.XLOOKUP(C5354,Payers!$A$2:$A$9,Payers!$B$2:$B$9)</f>
        <v>Medicare Part B</v>
      </c>
      <c r="W5354" s="1" t="str">
        <f t="shared" si="335"/>
        <v>2026-08</v>
      </c>
    </row>
    <row r="5355" spans="1:23">
      <c r="A5355" s="1" t="s">
        <v>8159</v>
      </c>
      <c r="B5355" s="1" t="s">
        <v>1561</v>
      </c>
      <c r="C5355" s="1" t="s">
        <v>47</v>
      </c>
      <c r="D5355" s="1" t="s">
        <v>19</v>
      </c>
      <c r="E5355" s="1" t="s">
        <v>20</v>
      </c>
      <c r="F5355">
        <v>1</v>
      </c>
      <c r="G5355" s="2">
        <v>46246</v>
      </c>
      <c r="H5355" s="2">
        <v>46250</v>
      </c>
      <c r="I5355">
        <v>144.68</v>
      </c>
      <c r="J5355">
        <v>38.22</v>
      </c>
      <c r="K5355">
        <v>38.22</v>
      </c>
      <c r="L5355">
        <v>0</v>
      </c>
      <c r="M5355" s="1" t="s">
        <v>21</v>
      </c>
      <c r="N5355" s="1" t="s">
        <v>22</v>
      </c>
      <c r="O5355" s="2">
        <v>46292</v>
      </c>
      <c r="P5355" s="2">
        <v>46292</v>
      </c>
      <c r="Q5355">
        <f>_xlfn.XLOOKUP(E5355,CPT!$A$2:$A$13,CPT!$D$2:$D$13)</f>
        <v>145</v>
      </c>
      <c r="R5355" s="1">
        <f>_xlfn.XLOOKUP(C5355,Contract!$A$2:$A$9,Contract!$B$2:$B$9)</f>
        <v>0.28000000000000003</v>
      </c>
      <c r="S5355" s="1">
        <f t="shared" si="332"/>
        <v>40.6</v>
      </c>
      <c r="T5355" s="1">
        <f t="shared" si="333"/>
        <v>2.3800000000000026</v>
      </c>
      <c r="U5355" s="1" t="str">
        <f t="shared" si="334"/>
        <v>Underpaid</v>
      </c>
      <c r="V5355" s="1" t="str">
        <f>_xlfn.XLOOKUP(C5355,Payers!$A$2:$A$9,Payers!$B$2:$B$9)</f>
        <v>Coastal Medicaid MCO</v>
      </c>
      <c r="W5355" s="1" t="str">
        <f t="shared" si="335"/>
        <v>2026-08</v>
      </c>
    </row>
    <row r="5356" spans="1:23">
      <c r="A5356" s="1" t="s">
        <v>8160</v>
      </c>
      <c r="B5356" s="1" t="s">
        <v>849</v>
      </c>
      <c r="C5356" s="1" t="s">
        <v>47</v>
      </c>
      <c r="D5356" s="1" t="s">
        <v>26</v>
      </c>
      <c r="E5356" s="1" t="s">
        <v>27</v>
      </c>
      <c r="F5356">
        <v>1</v>
      </c>
      <c r="G5356" s="2">
        <v>45942</v>
      </c>
      <c r="H5356" s="2">
        <v>45947</v>
      </c>
      <c r="I5356">
        <v>246.86</v>
      </c>
      <c r="J5356">
        <v>69.290000000000006</v>
      </c>
      <c r="K5356">
        <v>62.36</v>
      </c>
      <c r="L5356">
        <v>6.93</v>
      </c>
      <c r="M5356" s="1" t="s">
        <v>21</v>
      </c>
      <c r="N5356" s="1" t="s">
        <v>22</v>
      </c>
      <c r="O5356" s="2">
        <v>46025</v>
      </c>
      <c r="P5356" s="2">
        <v>46025</v>
      </c>
      <c r="Q5356">
        <f>_xlfn.XLOOKUP(E5356,CPT!$A$2:$A$13,CPT!$D$2:$D$13)</f>
        <v>240</v>
      </c>
      <c r="R5356" s="1">
        <f>_xlfn.XLOOKUP(C5356,Contract!$A$2:$A$9,Contract!$B$2:$B$9)</f>
        <v>0.28000000000000003</v>
      </c>
      <c r="S5356" s="1">
        <f t="shared" si="332"/>
        <v>67.2</v>
      </c>
      <c r="T5356" s="1">
        <f t="shared" si="333"/>
        <v>-2.0900000000000034</v>
      </c>
      <c r="U5356" s="1" t="str">
        <f t="shared" si="334"/>
        <v>OK</v>
      </c>
      <c r="V5356" s="1" t="str">
        <f>_xlfn.XLOOKUP(C5356,Payers!$A$2:$A$9,Payers!$B$2:$B$9)</f>
        <v>Coastal Medicaid MCO</v>
      </c>
      <c r="W5356" s="1" t="str">
        <f t="shared" si="335"/>
        <v>2025-10</v>
      </c>
    </row>
    <row r="5357" spans="1:23">
      <c r="A5357" s="1" t="s">
        <v>8161</v>
      </c>
      <c r="B5357" s="1" t="s">
        <v>8162</v>
      </c>
      <c r="C5357" s="1" t="s">
        <v>52</v>
      </c>
      <c r="D5357" s="1" t="s">
        <v>19</v>
      </c>
      <c r="E5357" s="1" t="s">
        <v>20</v>
      </c>
      <c r="F5357">
        <v>1</v>
      </c>
      <c r="G5357" s="2">
        <v>46179</v>
      </c>
      <c r="H5357" s="2">
        <v>46188</v>
      </c>
      <c r="I5357">
        <v>141.24</v>
      </c>
      <c r="J5357">
        <v>57.37</v>
      </c>
      <c r="K5357">
        <v>45.9</v>
      </c>
      <c r="L5357">
        <v>11.47</v>
      </c>
      <c r="M5357" s="1" t="s">
        <v>21</v>
      </c>
      <c r="N5357" s="1" t="s">
        <v>22</v>
      </c>
      <c r="O5357" s="2">
        <v>46239</v>
      </c>
      <c r="P5357" s="2">
        <v>46239</v>
      </c>
      <c r="Q5357">
        <f>_xlfn.XLOOKUP(E5357,CPT!$A$2:$A$13,CPT!$D$2:$D$13)</f>
        <v>145</v>
      </c>
      <c r="R5357" s="1">
        <f>_xlfn.XLOOKUP(C5357,Contract!$A$2:$A$9,Contract!$B$2:$B$9)</f>
        <v>0.47</v>
      </c>
      <c r="S5357" s="1">
        <f t="shared" si="332"/>
        <v>68.150000000000006</v>
      </c>
      <c r="T5357" s="1">
        <f t="shared" si="333"/>
        <v>10.780000000000008</v>
      </c>
      <c r="U5357" s="1" t="str">
        <f t="shared" si="334"/>
        <v>Underpaid</v>
      </c>
      <c r="V5357" s="1" t="str">
        <f>_xlfn.XLOOKUP(C5357,Payers!$A$2:$A$9,Payers!$B$2:$B$9)</f>
        <v>Keystone Commercial PPO</v>
      </c>
      <c r="W5357" s="1" t="str">
        <f t="shared" si="335"/>
        <v>2026-06</v>
      </c>
    </row>
    <row r="5358" spans="1:23">
      <c r="A5358" s="1" t="s">
        <v>8163</v>
      </c>
      <c r="B5358" s="1" t="s">
        <v>5201</v>
      </c>
      <c r="C5358" s="1" t="s">
        <v>60</v>
      </c>
      <c r="D5358" s="1" t="s">
        <v>19</v>
      </c>
      <c r="E5358" s="1" t="s">
        <v>88</v>
      </c>
      <c r="F5358">
        <v>1</v>
      </c>
      <c r="G5358" s="2">
        <v>46148</v>
      </c>
      <c r="H5358" s="2">
        <v>46149</v>
      </c>
      <c r="I5358">
        <v>260.79000000000002</v>
      </c>
      <c r="J5358">
        <v>135.38</v>
      </c>
      <c r="K5358">
        <v>121.84</v>
      </c>
      <c r="L5358">
        <v>13.54</v>
      </c>
      <c r="M5358" s="1" t="s">
        <v>21</v>
      </c>
      <c r="N5358" s="1" t="s">
        <v>22</v>
      </c>
      <c r="O5358" s="2">
        <v>46179</v>
      </c>
      <c r="P5358" s="2">
        <v>46179</v>
      </c>
      <c r="Q5358">
        <f>_xlfn.XLOOKUP(E5358,CPT!$A$2:$A$13,CPT!$D$2:$D$13)</f>
        <v>260</v>
      </c>
      <c r="R5358" s="1">
        <f>_xlfn.XLOOKUP(C5358,Contract!$A$2:$A$9,Contract!$B$2:$B$9)</f>
        <v>0.45</v>
      </c>
      <c r="S5358" s="1">
        <f t="shared" si="332"/>
        <v>117</v>
      </c>
      <c r="T5358" s="1">
        <f t="shared" si="333"/>
        <v>-18.379999999999995</v>
      </c>
      <c r="U5358" s="1" t="str">
        <f t="shared" si="334"/>
        <v>OK</v>
      </c>
      <c r="V5358" s="1" t="str">
        <f>_xlfn.XLOOKUP(C5358,Payers!$A$2:$A$9,Payers!$B$2:$B$9)</f>
        <v>Blue Horizon Commercial</v>
      </c>
      <c r="W5358" s="1" t="str">
        <f t="shared" si="335"/>
        <v>2026-05</v>
      </c>
    </row>
    <row r="5359" spans="1:23">
      <c r="A5359" s="1" t="s">
        <v>8164</v>
      </c>
      <c r="B5359" s="1" t="s">
        <v>4779</v>
      </c>
      <c r="C5359" s="1" t="s">
        <v>60</v>
      </c>
      <c r="D5359" s="1" t="s">
        <v>19</v>
      </c>
      <c r="E5359" s="1" t="s">
        <v>20</v>
      </c>
      <c r="F5359">
        <v>1</v>
      </c>
      <c r="G5359" s="2">
        <v>46103</v>
      </c>
      <c r="H5359" s="2">
        <v>46105</v>
      </c>
      <c r="I5359">
        <v>148.9</v>
      </c>
      <c r="J5359">
        <v>70.48</v>
      </c>
      <c r="K5359">
        <v>70.48</v>
      </c>
      <c r="L5359">
        <v>0</v>
      </c>
      <c r="M5359" s="1" t="s">
        <v>21</v>
      </c>
      <c r="N5359" s="1" t="s">
        <v>22</v>
      </c>
      <c r="O5359" s="2">
        <v>46128</v>
      </c>
      <c r="P5359" s="2">
        <v>46128</v>
      </c>
      <c r="Q5359">
        <f>_xlfn.XLOOKUP(E5359,CPT!$A$2:$A$13,CPT!$D$2:$D$13)</f>
        <v>145</v>
      </c>
      <c r="R5359" s="1">
        <f>_xlfn.XLOOKUP(C5359,Contract!$A$2:$A$9,Contract!$B$2:$B$9)</f>
        <v>0.45</v>
      </c>
      <c r="S5359" s="1">
        <f t="shared" si="332"/>
        <v>65.25</v>
      </c>
      <c r="T5359" s="1">
        <f t="shared" si="333"/>
        <v>-5.230000000000004</v>
      </c>
      <c r="U5359" s="1" t="str">
        <f t="shared" si="334"/>
        <v>OK</v>
      </c>
      <c r="V5359" s="1" t="str">
        <f>_xlfn.XLOOKUP(C5359,Payers!$A$2:$A$9,Payers!$B$2:$B$9)</f>
        <v>Blue Horizon Commercial</v>
      </c>
      <c r="W5359" s="1" t="str">
        <f t="shared" si="335"/>
        <v>2026-03</v>
      </c>
    </row>
    <row r="5360" spans="1:23">
      <c r="A5360" s="1" t="s">
        <v>8165</v>
      </c>
      <c r="B5360" s="1" t="s">
        <v>2754</v>
      </c>
      <c r="C5360" s="1" t="s">
        <v>60</v>
      </c>
      <c r="D5360" s="1" t="s">
        <v>19</v>
      </c>
      <c r="E5360" s="1" t="s">
        <v>88</v>
      </c>
      <c r="F5360">
        <v>1</v>
      </c>
      <c r="G5360" s="2">
        <v>46209</v>
      </c>
      <c r="H5360" s="2">
        <v>46210</v>
      </c>
      <c r="I5360">
        <v>260.83</v>
      </c>
      <c r="J5360">
        <v>127.72</v>
      </c>
      <c r="K5360">
        <v>102.18</v>
      </c>
      <c r="L5360">
        <v>25.54</v>
      </c>
      <c r="M5360" s="1" t="s">
        <v>21</v>
      </c>
      <c r="N5360" s="1" t="s">
        <v>22</v>
      </c>
      <c r="O5360" s="2">
        <v>46251</v>
      </c>
      <c r="P5360" s="2">
        <v>46251</v>
      </c>
      <c r="Q5360">
        <f>_xlfn.XLOOKUP(E5360,CPT!$A$2:$A$13,CPT!$D$2:$D$13)</f>
        <v>260</v>
      </c>
      <c r="R5360" s="1">
        <f>_xlfn.XLOOKUP(C5360,Contract!$A$2:$A$9,Contract!$B$2:$B$9)</f>
        <v>0.45</v>
      </c>
      <c r="S5360" s="1">
        <f t="shared" si="332"/>
        <v>117</v>
      </c>
      <c r="T5360" s="1">
        <f t="shared" si="333"/>
        <v>-10.719999999999999</v>
      </c>
      <c r="U5360" s="1" t="str">
        <f t="shared" si="334"/>
        <v>OK</v>
      </c>
      <c r="V5360" s="1" t="str">
        <f>_xlfn.XLOOKUP(C5360,Payers!$A$2:$A$9,Payers!$B$2:$B$9)</f>
        <v>Blue Horizon Commercial</v>
      </c>
      <c r="W5360" s="1" t="str">
        <f t="shared" si="335"/>
        <v>2026-07</v>
      </c>
    </row>
    <row r="5361" spans="1:23">
      <c r="A5361" s="1" t="s">
        <v>8166</v>
      </c>
      <c r="B5361" s="1" t="s">
        <v>249</v>
      </c>
      <c r="C5361" s="1" t="s">
        <v>25</v>
      </c>
      <c r="D5361" s="1" t="s">
        <v>26</v>
      </c>
      <c r="E5361" s="1" t="s">
        <v>88</v>
      </c>
      <c r="F5361">
        <v>1</v>
      </c>
      <c r="G5361" s="2">
        <v>46095</v>
      </c>
      <c r="H5361" s="2">
        <v>46097</v>
      </c>
      <c r="I5361">
        <v>254.02</v>
      </c>
      <c r="J5361">
        <v>101.81</v>
      </c>
      <c r="K5361">
        <v>81.45</v>
      </c>
      <c r="L5361">
        <v>20.36</v>
      </c>
      <c r="M5361" s="1" t="s">
        <v>21</v>
      </c>
      <c r="N5361" s="1" t="s">
        <v>22</v>
      </c>
      <c r="O5361" s="2">
        <v>46102</v>
      </c>
      <c r="P5361" s="2">
        <v>46102</v>
      </c>
      <c r="Q5361">
        <f>_xlfn.XLOOKUP(E5361,CPT!$A$2:$A$13,CPT!$D$2:$D$13)</f>
        <v>260</v>
      </c>
      <c r="R5361" s="1">
        <f>_xlfn.XLOOKUP(C5361,Contract!$A$2:$A$9,Contract!$B$2:$B$9)</f>
        <v>0.36</v>
      </c>
      <c r="S5361" s="1">
        <f t="shared" si="332"/>
        <v>93.6</v>
      </c>
      <c r="T5361" s="1">
        <f t="shared" si="333"/>
        <v>-8.210000000000008</v>
      </c>
      <c r="U5361" s="1" t="str">
        <f t="shared" si="334"/>
        <v>OK</v>
      </c>
      <c r="V5361" s="1" t="str">
        <f>_xlfn.XLOOKUP(C5361,Payers!$A$2:$A$9,Payers!$B$2:$B$9)</f>
        <v>Medicare Part B</v>
      </c>
      <c r="W5361" s="1" t="str">
        <f t="shared" si="335"/>
        <v>2026-03</v>
      </c>
    </row>
    <row r="5362" spans="1:23">
      <c r="A5362" s="1" t="s">
        <v>8167</v>
      </c>
      <c r="B5362" s="1" t="s">
        <v>163</v>
      </c>
      <c r="C5362" s="1" t="s">
        <v>18</v>
      </c>
      <c r="D5362" s="1" t="s">
        <v>19</v>
      </c>
      <c r="E5362" s="1" t="s">
        <v>20</v>
      </c>
      <c r="F5362">
        <v>1</v>
      </c>
      <c r="G5362" s="2">
        <v>46125</v>
      </c>
      <c r="H5362" s="2">
        <v>46127</v>
      </c>
      <c r="I5362">
        <v>145.62</v>
      </c>
      <c r="M5362" s="1" t="s">
        <v>32</v>
      </c>
      <c r="N5362" s="1" t="s">
        <v>33</v>
      </c>
      <c r="O5362" s="2">
        <v>46186</v>
      </c>
      <c r="P5362" s="2"/>
      <c r="Q5362">
        <f>_xlfn.XLOOKUP(E5362,CPT!$A$2:$A$13,CPT!$D$2:$D$13)</f>
        <v>145</v>
      </c>
      <c r="R5362" s="1">
        <f>_xlfn.XLOOKUP(C5362,Contract!$A$2:$A$9,Contract!$B$2:$B$9)</f>
        <v>0.38</v>
      </c>
      <c r="S5362" s="1">
        <f t="shared" si="332"/>
        <v>55.1</v>
      </c>
      <c r="T5362" s="1" t="str">
        <f t="shared" si="333"/>
        <v/>
      </c>
      <c r="U5362" s="1" t="str">
        <f t="shared" si="334"/>
        <v/>
      </c>
      <c r="V5362" s="1" t="str">
        <f>_xlfn.XLOOKUP(C5362,Payers!$A$2:$A$9,Payers!$B$2:$B$9)</f>
        <v>Sunshine Medicare Advantage</v>
      </c>
      <c r="W5362" s="1" t="str">
        <f t="shared" si="335"/>
        <v>2026-04</v>
      </c>
    </row>
    <row r="5363" spans="1:23">
      <c r="A5363" s="1" t="s">
        <v>8168</v>
      </c>
      <c r="B5363" s="1" t="s">
        <v>1023</v>
      </c>
      <c r="C5363" s="1" t="s">
        <v>25</v>
      </c>
      <c r="D5363" s="1" t="s">
        <v>19</v>
      </c>
      <c r="E5363" s="1" t="s">
        <v>41</v>
      </c>
      <c r="F5363">
        <v>1</v>
      </c>
      <c r="G5363" s="2">
        <v>46107</v>
      </c>
      <c r="H5363" s="2">
        <v>46121</v>
      </c>
      <c r="I5363">
        <v>37.909999999999997</v>
      </c>
      <c r="J5363">
        <v>14.22</v>
      </c>
      <c r="K5363">
        <v>12.8</v>
      </c>
      <c r="L5363">
        <v>1.42</v>
      </c>
      <c r="M5363" s="1" t="s">
        <v>21</v>
      </c>
      <c r="N5363" s="1" t="s">
        <v>22</v>
      </c>
      <c r="O5363" s="2">
        <v>46147</v>
      </c>
      <c r="P5363" s="2">
        <v>46147</v>
      </c>
      <c r="Q5363">
        <f>_xlfn.XLOOKUP(E5363,CPT!$A$2:$A$13,CPT!$D$2:$D$13)</f>
        <v>38</v>
      </c>
      <c r="R5363" s="1">
        <f>_xlfn.XLOOKUP(C5363,Contract!$A$2:$A$9,Contract!$B$2:$B$9)</f>
        <v>0.36</v>
      </c>
      <c r="S5363" s="1">
        <f t="shared" si="332"/>
        <v>13.68</v>
      </c>
      <c r="T5363" s="1">
        <f t="shared" si="333"/>
        <v>-0.54000000000000092</v>
      </c>
      <c r="U5363" s="1" t="str">
        <f t="shared" si="334"/>
        <v>OK</v>
      </c>
      <c r="V5363" s="1" t="str">
        <f>_xlfn.XLOOKUP(C5363,Payers!$A$2:$A$9,Payers!$B$2:$B$9)</f>
        <v>Medicare Part B</v>
      </c>
      <c r="W5363" s="1" t="str">
        <f t="shared" si="335"/>
        <v>2026-03</v>
      </c>
    </row>
    <row r="5364" spans="1:23">
      <c r="A5364" s="1" t="s">
        <v>8169</v>
      </c>
      <c r="B5364" s="1" t="s">
        <v>2381</v>
      </c>
      <c r="C5364" s="1" t="s">
        <v>52</v>
      </c>
      <c r="D5364" s="1" t="s">
        <v>26</v>
      </c>
      <c r="E5364" s="1" t="s">
        <v>88</v>
      </c>
      <c r="F5364">
        <v>1</v>
      </c>
      <c r="G5364" s="2">
        <v>46080</v>
      </c>
      <c r="H5364" s="2">
        <v>46084</v>
      </c>
      <c r="I5364">
        <v>257.62</v>
      </c>
      <c r="M5364" s="1" t="s">
        <v>32</v>
      </c>
      <c r="N5364" s="1" t="s">
        <v>33</v>
      </c>
      <c r="O5364" s="2">
        <v>46137</v>
      </c>
      <c r="P5364" s="2"/>
      <c r="Q5364">
        <f>_xlfn.XLOOKUP(E5364,CPT!$A$2:$A$13,CPT!$D$2:$D$13)</f>
        <v>260</v>
      </c>
      <c r="R5364" s="1">
        <f>_xlfn.XLOOKUP(C5364,Contract!$A$2:$A$9,Contract!$B$2:$B$9)</f>
        <v>0.47</v>
      </c>
      <c r="S5364" s="1">
        <f t="shared" si="332"/>
        <v>122.2</v>
      </c>
      <c r="T5364" s="1" t="str">
        <f t="shared" si="333"/>
        <v/>
      </c>
      <c r="U5364" s="1" t="str">
        <f t="shared" si="334"/>
        <v/>
      </c>
      <c r="V5364" s="1" t="str">
        <f>_xlfn.XLOOKUP(C5364,Payers!$A$2:$A$9,Payers!$B$2:$B$9)</f>
        <v>Keystone Commercial PPO</v>
      </c>
      <c r="W5364" s="1" t="str">
        <f t="shared" si="335"/>
        <v>2026-02</v>
      </c>
    </row>
    <row r="5365" spans="1:23">
      <c r="A5365" s="1" t="s">
        <v>8170</v>
      </c>
      <c r="B5365" s="1" t="s">
        <v>8171</v>
      </c>
      <c r="C5365" s="1" t="s">
        <v>47</v>
      </c>
      <c r="D5365" s="1" t="s">
        <v>26</v>
      </c>
      <c r="E5365" s="1" t="s">
        <v>88</v>
      </c>
      <c r="F5365">
        <v>1</v>
      </c>
      <c r="G5365" s="2">
        <v>46169</v>
      </c>
      <c r="H5365" s="2">
        <v>46176</v>
      </c>
      <c r="I5365">
        <v>258.32</v>
      </c>
      <c r="J5365">
        <v>73.73</v>
      </c>
      <c r="K5365">
        <v>73.73</v>
      </c>
      <c r="L5365">
        <v>0</v>
      </c>
      <c r="M5365" s="1" t="s">
        <v>21</v>
      </c>
      <c r="N5365" s="1" t="s">
        <v>22</v>
      </c>
      <c r="O5365" s="2">
        <v>46241</v>
      </c>
      <c r="P5365" s="2">
        <v>46241</v>
      </c>
      <c r="Q5365">
        <f>_xlfn.XLOOKUP(E5365,CPT!$A$2:$A$13,CPT!$D$2:$D$13)</f>
        <v>260</v>
      </c>
      <c r="R5365" s="1">
        <f>_xlfn.XLOOKUP(C5365,Contract!$A$2:$A$9,Contract!$B$2:$B$9)</f>
        <v>0.28000000000000003</v>
      </c>
      <c r="S5365" s="1">
        <f t="shared" si="332"/>
        <v>72.8</v>
      </c>
      <c r="T5365" s="1">
        <f t="shared" si="333"/>
        <v>-0.93000000000000682</v>
      </c>
      <c r="U5365" s="1" t="str">
        <f t="shared" si="334"/>
        <v>OK</v>
      </c>
      <c r="V5365" s="1" t="str">
        <f>_xlfn.XLOOKUP(C5365,Payers!$A$2:$A$9,Payers!$B$2:$B$9)</f>
        <v>Coastal Medicaid MCO</v>
      </c>
      <c r="W5365" s="1" t="str">
        <f t="shared" si="335"/>
        <v>2026-05</v>
      </c>
    </row>
    <row r="5366" spans="1:23">
      <c r="A5366" s="1" t="s">
        <v>8172</v>
      </c>
      <c r="B5366" s="1" t="s">
        <v>8173</v>
      </c>
      <c r="C5366" s="1" t="s">
        <v>47</v>
      </c>
      <c r="D5366" s="1" t="s">
        <v>30</v>
      </c>
      <c r="E5366" s="1" t="s">
        <v>31</v>
      </c>
      <c r="F5366">
        <v>1</v>
      </c>
      <c r="G5366" s="2">
        <v>46013</v>
      </c>
      <c r="H5366" s="2">
        <v>46025</v>
      </c>
      <c r="I5366">
        <v>61.44</v>
      </c>
      <c r="J5366">
        <v>15.56</v>
      </c>
      <c r="K5366">
        <v>15.56</v>
      </c>
      <c r="L5366">
        <v>0</v>
      </c>
      <c r="M5366" s="1" t="s">
        <v>21</v>
      </c>
      <c r="N5366" s="1" t="s">
        <v>22</v>
      </c>
      <c r="O5366" s="2">
        <v>46077</v>
      </c>
      <c r="P5366" s="2">
        <v>46077</v>
      </c>
      <c r="Q5366">
        <f>_xlfn.XLOOKUP(E5366,CPT!$A$2:$A$13,CPT!$D$2:$D$13)</f>
        <v>62</v>
      </c>
      <c r="R5366" s="1">
        <f>_xlfn.XLOOKUP(C5366,Contract!$A$2:$A$9,Contract!$B$2:$B$9)</f>
        <v>0.28000000000000003</v>
      </c>
      <c r="S5366" s="1">
        <f t="shared" si="332"/>
        <v>17.36</v>
      </c>
      <c r="T5366" s="1">
        <f t="shared" si="333"/>
        <v>1.7999999999999989</v>
      </c>
      <c r="U5366" s="1" t="str">
        <f t="shared" si="334"/>
        <v>Underpaid</v>
      </c>
      <c r="V5366" s="1" t="str">
        <f>_xlfn.XLOOKUP(C5366,Payers!$A$2:$A$9,Payers!$B$2:$B$9)</f>
        <v>Coastal Medicaid MCO</v>
      </c>
      <c r="W5366" s="1" t="str">
        <f t="shared" si="335"/>
        <v>2025-12</v>
      </c>
    </row>
    <row r="5367" spans="1:23">
      <c r="A5367" s="1" t="s">
        <v>8174</v>
      </c>
      <c r="B5367" s="1" t="s">
        <v>1557</v>
      </c>
      <c r="C5367" s="1" t="s">
        <v>60</v>
      </c>
      <c r="D5367" s="1" t="s">
        <v>19</v>
      </c>
      <c r="E5367" s="1" t="s">
        <v>88</v>
      </c>
      <c r="F5367">
        <v>1</v>
      </c>
      <c r="G5367" s="2">
        <v>46158</v>
      </c>
      <c r="H5367" s="2">
        <v>46165</v>
      </c>
      <c r="I5367">
        <v>254.22</v>
      </c>
      <c r="J5367">
        <v>98.03</v>
      </c>
      <c r="K5367">
        <v>78.42</v>
      </c>
      <c r="L5367">
        <v>19.61</v>
      </c>
      <c r="M5367" s="1" t="s">
        <v>21</v>
      </c>
      <c r="N5367" s="1" t="s">
        <v>22</v>
      </c>
      <c r="O5367" s="2">
        <v>46194</v>
      </c>
      <c r="P5367" s="2">
        <v>46194</v>
      </c>
      <c r="Q5367">
        <f>_xlfn.XLOOKUP(E5367,CPT!$A$2:$A$13,CPT!$D$2:$D$13)</f>
        <v>260</v>
      </c>
      <c r="R5367" s="1">
        <f>_xlfn.XLOOKUP(C5367,Contract!$A$2:$A$9,Contract!$B$2:$B$9)</f>
        <v>0.45</v>
      </c>
      <c r="S5367" s="1">
        <f t="shared" si="332"/>
        <v>117</v>
      </c>
      <c r="T5367" s="1">
        <f t="shared" si="333"/>
        <v>18.97</v>
      </c>
      <c r="U5367" s="1" t="str">
        <f t="shared" si="334"/>
        <v>Underpaid</v>
      </c>
      <c r="V5367" s="1" t="str">
        <f>_xlfn.XLOOKUP(C5367,Payers!$A$2:$A$9,Payers!$B$2:$B$9)</f>
        <v>Blue Horizon Commercial</v>
      </c>
      <c r="W5367" s="1" t="str">
        <f t="shared" si="335"/>
        <v>2026-05</v>
      </c>
    </row>
    <row r="5368" spans="1:23">
      <c r="A5368" s="1" t="s">
        <v>8175</v>
      </c>
      <c r="B5368" s="1" t="s">
        <v>5178</v>
      </c>
      <c r="C5368" s="1" t="s">
        <v>47</v>
      </c>
      <c r="D5368" s="1" t="s">
        <v>19</v>
      </c>
      <c r="E5368" s="1" t="s">
        <v>88</v>
      </c>
      <c r="F5368">
        <v>1</v>
      </c>
      <c r="G5368" s="2">
        <v>46262</v>
      </c>
      <c r="H5368" s="2">
        <v>46274</v>
      </c>
      <c r="I5368">
        <v>252.43</v>
      </c>
      <c r="M5368" s="1" t="s">
        <v>69</v>
      </c>
      <c r="N5368" s="1" t="s">
        <v>22</v>
      </c>
      <c r="O5368" s="2"/>
      <c r="P5368" s="2"/>
      <c r="Q5368">
        <f>_xlfn.XLOOKUP(E5368,CPT!$A$2:$A$13,CPT!$D$2:$D$13)</f>
        <v>260</v>
      </c>
      <c r="R5368" s="1">
        <f>_xlfn.XLOOKUP(C5368,Contract!$A$2:$A$9,Contract!$B$2:$B$9)</f>
        <v>0.28000000000000003</v>
      </c>
      <c r="S5368" s="1">
        <f t="shared" si="332"/>
        <v>72.8</v>
      </c>
      <c r="T5368" s="1" t="str">
        <f t="shared" si="333"/>
        <v/>
      </c>
      <c r="U5368" s="1" t="str">
        <f t="shared" si="334"/>
        <v/>
      </c>
      <c r="V5368" s="1" t="str">
        <f>_xlfn.XLOOKUP(C5368,Payers!$A$2:$A$9,Payers!$B$2:$B$9)</f>
        <v>Coastal Medicaid MCO</v>
      </c>
      <c r="W5368" s="1" t="str">
        <f t="shared" si="335"/>
        <v>2026-08</v>
      </c>
    </row>
    <row r="5369" spans="1:23">
      <c r="A5369" s="1" t="s">
        <v>8176</v>
      </c>
      <c r="B5369" s="1" t="s">
        <v>5012</v>
      </c>
      <c r="C5369" s="1" t="s">
        <v>76</v>
      </c>
      <c r="D5369" s="1" t="s">
        <v>19</v>
      </c>
      <c r="E5369" s="1" t="s">
        <v>88</v>
      </c>
      <c r="F5369">
        <v>1</v>
      </c>
      <c r="G5369" s="2">
        <v>46283</v>
      </c>
      <c r="H5369" s="2">
        <v>46295</v>
      </c>
      <c r="I5369">
        <v>266.20999999999998</v>
      </c>
      <c r="M5369" s="1" t="s">
        <v>69</v>
      </c>
      <c r="N5369" s="1" t="s">
        <v>22</v>
      </c>
      <c r="O5369" s="2"/>
      <c r="P5369" s="2"/>
      <c r="Q5369">
        <f>_xlfn.XLOOKUP(E5369,CPT!$A$2:$A$13,CPT!$D$2:$D$13)</f>
        <v>260</v>
      </c>
      <c r="R5369" s="1">
        <f>_xlfn.XLOOKUP(C5369,Contract!$A$2:$A$9,Contract!$B$2:$B$9)</f>
        <v>0.43</v>
      </c>
      <c r="S5369" s="1">
        <f t="shared" si="332"/>
        <v>111.8</v>
      </c>
      <c r="T5369" s="1" t="str">
        <f t="shared" si="333"/>
        <v/>
      </c>
      <c r="U5369" s="1" t="str">
        <f t="shared" si="334"/>
        <v/>
      </c>
      <c r="V5369" s="1" t="str">
        <f>_xlfn.XLOOKUP(C5369,Payers!$A$2:$A$9,Payers!$B$2:$B$9)</f>
        <v>Summit Health Commercial</v>
      </c>
      <c r="W5369" s="1" t="str">
        <f t="shared" si="335"/>
        <v>2026-09</v>
      </c>
    </row>
    <row r="5370" spans="1:23">
      <c r="A5370" s="1" t="s">
        <v>8177</v>
      </c>
      <c r="B5370" s="1" t="s">
        <v>4970</v>
      </c>
      <c r="C5370" s="1" t="s">
        <v>36</v>
      </c>
      <c r="D5370" s="1" t="s">
        <v>37</v>
      </c>
      <c r="E5370" s="1" t="s">
        <v>57</v>
      </c>
      <c r="F5370">
        <v>1</v>
      </c>
      <c r="G5370" s="2">
        <v>46219</v>
      </c>
      <c r="H5370" s="2">
        <v>46220</v>
      </c>
      <c r="I5370">
        <v>206.98</v>
      </c>
      <c r="J5370">
        <v>62.61</v>
      </c>
      <c r="K5370">
        <v>50.09</v>
      </c>
      <c r="L5370">
        <v>12.52</v>
      </c>
      <c r="M5370" s="1" t="s">
        <v>21</v>
      </c>
      <c r="N5370" s="1" t="s">
        <v>22</v>
      </c>
      <c r="O5370" s="2">
        <v>46257</v>
      </c>
      <c r="P5370" s="2">
        <v>46257</v>
      </c>
      <c r="Q5370">
        <f>_xlfn.XLOOKUP(E5370,CPT!$A$2:$A$13,CPT!$D$2:$D$13)</f>
        <v>210</v>
      </c>
      <c r="R5370" s="1">
        <f>_xlfn.XLOOKUP(C5370,Contract!$A$2:$A$9,Contract!$B$2:$B$9)</f>
        <v>0.27</v>
      </c>
      <c r="S5370" s="1">
        <f t="shared" si="332"/>
        <v>56.7</v>
      </c>
      <c r="T5370" s="1">
        <f t="shared" si="333"/>
        <v>-5.9099999999999966</v>
      </c>
      <c r="U5370" s="1" t="str">
        <f t="shared" si="334"/>
        <v>OK</v>
      </c>
      <c r="V5370" s="1" t="str">
        <f>_xlfn.XLOOKUP(C5370,Payers!$A$2:$A$9,Payers!$B$2:$B$9)</f>
        <v>Florida Medicaid</v>
      </c>
      <c r="W5370" s="1" t="str">
        <f t="shared" si="335"/>
        <v>2026-07</v>
      </c>
    </row>
    <row r="5371" spans="1:23">
      <c r="A5371" s="1" t="s">
        <v>8178</v>
      </c>
      <c r="B5371" s="1" t="s">
        <v>1228</v>
      </c>
      <c r="C5371" s="1" t="s">
        <v>60</v>
      </c>
      <c r="D5371" s="1" t="s">
        <v>26</v>
      </c>
      <c r="E5371" s="1" t="s">
        <v>185</v>
      </c>
      <c r="F5371">
        <v>1</v>
      </c>
      <c r="G5371" s="2">
        <v>46248</v>
      </c>
      <c r="H5371" s="2">
        <v>46258</v>
      </c>
      <c r="I5371">
        <v>1168.27</v>
      </c>
      <c r="M5371" s="1" t="s">
        <v>69</v>
      </c>
      <c r="N5371" s="1" t="s">
        <v>22</v>
      </c>
      <c r="O5371" s="2"/>
      <c r="P5371" s="2"/>
      <c r="Q5371">
        <f>_xlfn.XLOOKUP(E5371,CPT!$A$2:$A$13,CPT!$D$2:$D$13)</f>
        <v>1150</v>
      </c>
      <c r="R5371" s="1">
        <f>_xlfn.XLOOKUP(C5371,Contract!$A$2:$A$9,Contract!$B$2:$B$9)</f>
        <v>0.45</v>
      </c>
      <c r="S5371" s="1">
        <f t="shared" si="332"/>
        <v>517.5</v>
      </c>
      <c r="T5371" s="1" t="str">
        <f t="shared" si="333"/>
        <v/>
      </c>
      <c r="U5371" s="1" t="str">
        <f t="shared" si="334"/>
        <v/>
      </c>
      <c r="V5371" s="1" t="str">
        <f>_xlfn.XLOOKUP(C5371,Payers!$A$2:$A$9,Payers!$B$2:$B$9)</f>
        <v>Blue Horizon Commercial</v>
      </c>
      <c r="W5371" s="1" t="str">
        <f t="shared" si="335"/>
        <v>2026-08</v>
      </c>
    </row>
    <row r="5372" spans="1:23">
      <c r="A5372" s="1" t="s">
        <v>8179</v>
      </c>
      <c r="B5372" s="1" t="s">
        <v>8180</v>
      </c>
      <c r="C5372" s="1" t="s">
        <v>60</v>
      </c>
      <c r="D5372" s="1" t="s">
        <v>19</v>
      </c>
      <c r="E5372" s="1" t="s">
        <v>20</v>
      </c>
      <c r="F5372">
        <v>1</v>
      </c>
      <c r="G5372" s="2">
        <v>46160</v>
      </c>
      <c r="H5372" s="2">
        <v>46161</v>
      </c>
      <c r="I5372">
        <v>141.91999999999999</v>
      </c>
      <c r="J5372">
        <v>72.55</v>
      </c>
      <c r="K5372">
        <v>72.55</v>
      </c>
      <c r="L5372">
        <v>0</v>
      </c>
      <c r="M5372" s="1" t="s">
        <v>21</v>
      </c>
      <c r="N5372" s="1" t="s">
        <v>22</v>
      </c>
      <c r="O5372" s="2">
        <v>46184</v>
      </c>
      <c r="P5372" s="2">
        <v>46184</v>
      </c>
      <c r="Q5372">
        <f>_xlfn.XLOOKUP(E5372,CPT!$A$2:$A$13,CPT!$D$2:$D$13)</f>
        <v>145</v>
      </c>
      <c r="R5372" s="1">
        <f>_xlfn.XLOOKUP(C5372,Contract!$A$2:$A$9,Contract!$B$2:$B$9)</f>
        <v>0.45</v>
      </c>
      <c r="S5372" s="1">
        <f t="shared" si="332"/>
        <v>65.25</v>
      </c>
      <c r="T5372" s="1">
        <f t="shared" si="333"/>
        <v>-7.2999999999999972</v>
      </c>
      <c r="U5372" s="1" t="str">
        <f t="shared" si="334"/>
        <v>OK</v>
      </c>
      <c r="V5372" s="1" t="str">
        <f>_xlfn.XLOOKUP(C5372,Payers!$A$2:$A$9,Payers!$B$2:$B$9)</f>
        <v>Blue Horizon Commercial</v>
      </c>
      <c r="W5372" s="1" t="str">
        <f t="shared" si="335"/>
        <v>2026-05</v>
      </c>
    </row>
    <row r="5373" spans="1:23">
      <c r="A5373" s="1" t="s">
        <v>8181</v>
      </c>
      <c r="B5373" s="1" t="s">
        <v>7070</v>
      </c>
      <c r="C5373" s="1" t="s">
        <v>60</v>
      </c>
      <c r="D5373" s="1" t="s">
        <v>19</v>
      </c>
      <c r="E5373" s="1" t="s">
        <v>41</v>
      </c>
      <c r="F5373">
        <v>1</v>
      </c>
      <c r="G5373" s="2">
        <v>46218</v>
      </c>
      <c r="H5373" s="2">
        <v>46221</v>
      </c>
      <c r="I5373">
        <v>39.01</v>
      </c>
      <c r="M5373" s="1" t="s">
        <v>32</v>
      </c>
      <c r="N5373" s="1" t="s">
        <v>33</v>
      </c>
      <c r="O5373" s="2">
        <v>46247</v>
      </c>
      <c r="P5373" s="2"/>
      <c r="Q5373">
        <f>_xlfn.XLOOKUP(E5373,CPT!$A$2:$A$13,CPT!$D$2:$D$13)</f>
        <v>38</v>
      </c>
      <c r="R5373" s="1">
        <f>_xlfn.XLOOKUP(C5373,Contract!$A$2:$A$9,Contract!$B$2:$B$9)</f>
        <v>0.45</v>
      </c>
      <c r="S5373" s="1">
        <f t="shared" si="332"/>
        <v>17.100000000000001</v>
      </c>
      <c r="T5373" s="1" t="str">
        <f t="shared" si="333"/>
        <v/>
      </c>
      <c r="U5373" s="1" t="str">
        <f t="shared" si="334"/>
        <v/>
      </c>
      <c r="V5373" s="1" t="str">
        <f>_xlfn.XLOOKUP(C5373,Payers!$A$2:$A$9,Payers!$B$2:$B$9)</f>
        <v>Blue Horizon Commercial</v>
      </c>
      <c r="W5373" s="1" t="str">
        <f t="shared" si="335"/>
        <v>2026-07</v>
      </c>
    </row>
    <row r="5374" spans="1:23">
      <c r="A5374" s="1" t="s">
        <v>8182</v>
      </c>
      <c r="B5374" s="1" t="s">
        <v>301</v>
      </c>
      <c r="C5374" s="1" t="s">
        <v>60</v>
      </c>
      <c r="D5374" s="1" t="s">
        <v>26</v>
      </c>
      <c r="E5374" s="1" t="s">
        <v>88</v>
      </c>
      <c r="F5374">
        <v>1</v>
      </c>
      <c r="G5374" s="2">
        <v>45995</v>
      </c>
      <c r="H5374" s="2">
        <v>45996</v>
      </c>
      <c r="I5374">
        <v>261.88</v>
      </c>
      <c r="J5374">
        <v>100.31</v>
      </c>
      <c r="K5374">
        <v>90.28</v>
      </c>
      <c r="L5374">
        <v>10.029999999999999</v>
      </c>
      <c r="M5374" s="1" t="s">
        <v>21</v>
      </c>
      <c r="N5374" s="1" t="s">
        <v>22</v>
      </c>
      <c r="O5374" s="2">
        <v>46025</v>
      </c>
      <c r="P5374" s="2">
        <v>46025</v>
      </c>
      <c r="Q5374">
        <f>_xlfn.XLOOKUP(E5374,CPT!$A$2:$A$13,CPT!$D$2:$D$13)</f>
        <v>260</v>
      </c>
      <c r="R5374" s="1">
        <f>_xlfn.XLOOKUP(C5374,Contract!$A$2:$A$9,Contract!$B$2:$B$9)</f>
        <v>0.45</v>
      </c>
      <c r="S5374" s="1">
        <f t="shared" si="332"/>
        <v>117</v>
      </c>
      <c r="T5374" s="1">
        <f t="shared" si="333"/>
        <v>16.689999999999998</v>
      </c>
      <c r="U5374" s="1" t="str">
        <f t="shared" si="334"/>
        <v>Underpaid</v>
      </c>
      <c r="V5374" s="1" t="str">
        <f>_xlfn.XLOOKUP(C5374,Payers!$A$2:$A$9,Payers!$B$2:$B$9)</f>
        <v>Blue Horizon Commercial</v>
      </c>
      <c r="W5374" s="1" t="str">
        <f t="shared" si="335"/>
        <v>2025-12</v>
      </c>
    </row>
    <row r="5375" spans="1:23">
      <c r="A5375" s="1" t="s">
        <v>8183</v>
      </c>
      <c r="B5375" s="1" t="s">
        <v>6829</v>
      </c>
      <c r="C5375" s="1" t="s">
        <v>60</v>
      </c>
      <c r="D5375" s="1" t="s">
        <v>26</v>
      </c>
      <c r="E5375" s="1" t="s">
        <v>27</v>
      </c>
      <c r="F5375">
        <v>1</v>
      </c>
      <c r="G5375" s="2">
        <v>46105</v>
      </c>
      <c r="H5375" s="2">
        <v>46110</v>
      </c>
      <c r="I5375">
        <v>244.65</v>
      </c>
      <c r="J5375">
        <v>109.99</v>
      </c>
      <c r="K5375">
        <v>109.99</v>
      </c>
      <c r="L5375">
        <v>0</v>
      </c>
      <c r="M5375" s="1" t="s">
        <v>21</v>
      </c>
      <c r="N5375" s="1" t="s">
        <v>22</v>
      </c>
      <c r="O5375" s="2">
        <v>46146</v>
      </c>
      <c r="P5375" s="2">
        <v>46146</v>
      </c>
      <c r="Q5375">
        <f>_xlfn.XLOOKUP(E5375,CPT!$A$2:$A$13,CPT!$D$2:$D$13)</f>
        <v>240</v>
      </c>
      <c r="R5375" s="1">
        <f>_xlfn.XLOOKUP(C5375,Contract!$A$2:$A$9,Contract!$B$2:$B$9)</f>
        <v>0.45</v>
      </c>
      <c r="S5375" s="1">
        <f t="shared" si="332"/>
        <v>108</v>
      </c>
      <c r="T5375" s="1">
        <f t="shared" si="333"/>
        <v>-1.9899999999999949</v>
      </c>
      <c r="U5375" s="1" t="str">
        <f t="shared" si="334"/>
        <v>OK</v>
      </c>
      <c r="V5375" s="1" t="str">
        <f>_xlfn.XLOOKUP(C5375,Payers!$A$2:$A$9,Payers!$B$2:$B$9)</f>
        <v>Blue Horizon Commercial</v>
      </c>
      <c r="W5375" s="1" t="str">
        <f t="shared" si="335"/>
        <v>2026-03</v>
      </c>
    </row>
    <row r="5376" spans="1:23">
      <c r="A5376" s="1" t="s">
        <v>8184</v>
      </c>
      <c r="B5376" s="1" t="s">
        <v>2196</v>
      </c>
      <c r="C5376" s="1" t="s">
        <v>36</v>
      </c>
      <c r="D5376" s="1" t="s">
        <v>37</v>
      </c>
      <c r="E5376" s="1" t="s">
        <v>57</v>
      </c>
      <c r="F5376">
        <v>1</v>
      </c>
      <c r="G5376" s="2">
        <v>46210</v>
      </c>
      <c r="H5376" s="2">
        <v>46216</v>
      </c>
      <c r="I5376">
        <v>204.46</v>
      </c>
      <c r="J5376">
        <v>62.33</v>
      </c>
      <c r="K5376">
        <v>62.33</v>
      </c>
      <c r="L5376">
        <v>0</v>
      </c>
      <c r="M5376" s="1" t="s">
        <v>21</v>
      </c>
      <c r="N5376" s="1" t="s">
        <v>22</v>
      </c>
      <c r="O5376" s="2">
        <v>46273</v>
      </c>
      <c r="P5376" s="2">
        <v>46273</v>
      </c>
      <c r="Q5376">
        <f>_xlfn.XLOOKUP(E5376,CPT!$A$2:$A$13,CPT!$D$2:$D$13)</f>
        <v>210</v>
      </c>
      <c r="R5376" s="1">
        <f>_xlfn.XLOOKUP(C5376,Contract!$A$2:$A$9,Contract!$B$2:$B$9)</f>
        <v>0.27</v>
      </c>
      <c r="S5376" s="1">
        <f t="shared" si="332"/>
        <v>56.7</v>
      </c>
      <c r="T5376" s="1">
        <f t="shared" si="333"/>
        <v>-5.6299999999999955</v>
      </c>
      <c r="U5376" s="1" t="str">
        <f t="shared" si="334"/>
        <v>OK</v>
      </c>
      <c r="V5376" s="1" t="str">
        <f>_xlfn.XLOOKUP(C5376,Payers!$A$2:$A$9,Payers!$B$2:$B$9)</f>
        <v>Florida Medicaid</v>
      </c>
      <c r="W5376" s="1" t="str">
        <f t="shared" si="335"/>
        <v>2026-07</v>
      </c>
    </row>
    <row r="5377" spans="1:23">
      <c r="A5377" s="1" t="s">
        <v>8185</v>
      </c>
      <c r="B5377" s="1" t="s">
        <v>3148</v>
      </c>
      <c r="C5377" s="1" t="s">
        <v>79</v>
      </c>
      <c r="D5377" s="1" t="s">
        <v>30</v>
      </c>
      <c r="E5377" s="1" t="s">
        <v>20</v>
      </c>
      <c r="F5377">
        <v>1</v>
      </c>
      <c r="G5377" s="2">
        <v>46107</v>
      </c>
      <c r="H5377" s="2">
        <v>46115</v>
      </c>
      <c r="I5377">
        <v>140.87</v>
      </c>
      <c r="J5377">
        <v>140.87</v>
      </c>
      <c r="K5377">
        <v>140.87</v>
      </c>
      <c r="L5377">
        <v>0</v>
      </c>
      <c r="M5377" s="1" t="s">
        <v>21</v>
      </c>
      <c r="N5377" s="1" t="s">
        <v>22</v>
      </c>
      <c r="O5377" s="2">
        <v>46215</v>
      </c>
      <c r="P5377" s="2">
        <v>46215</v>
      </c>
      <c r="Q5377">
        <f>_xlfn.XLOOKUP(E5377,CPT!$A$2:$A$13,CPT!$D$2:$D$13)</f>
        <v>145</v>
      </c>
      <c r="R5377" s="1">
        <f>_xlfn.XLOOKUP(C5377,Contract!$A$2:$A$9,Contract!$B$2:$B$9)</f>
        <v>1</v>
      </c>
      <c r="S5377" s="1">
        <f t="shared" si="332"/>
        <v>145</v>
      </c>
      <c r="T5377" s="1">
        <f t="shared" si="333"/>
        <v>4.1299999999999955</v>
      </c>
      <c r="U5377" s="1" t="str">
        <f t="shared" si="334"/>
        <v>OK</v>
      </c>
      <c r="V5377" s="1" t="str">
        <f>_xlfn.XLOOKUP(C5377,Payers!$A$2:$A$9,Payers!$B$2:$B$9)</f>
        <v>Self-Pay</v>
      </c>
      <c r="W5377" s="1" t="str">
        <f t="shared" si="335"/>
        <v>2026-03</v>
      </c>
    </row>
    <row r="5378" spans="1:23">
      <c r="A5378" s="1" t="s">
        <v>8186</v>
      </c>
      <c r="B5378" s="1" t="s">
        <v>2106</v>
      </c>
      <c r="C5378" s="1" t="s">
        <v>36</v>
      </c>
      <c r="D5378" s="1" t="s">
        <v>30</v>
      </c>
      <c r="E5378" s="1" t="s">
        <v>20</v>
      </c>
      <c r="F5378">
        <v>1</v>
      </c>
      <c r="G5378" s="2">
        <v>46134</v>
      </c>
      <c r="H5378" s="2">
        <v>46260</v>
      </c>
      <c r="I5378">
        <v>145.16</v>
      </c>
      <c r="M5378" s="1" t="s">
        <v>69</v>
      </c>
      <c r="N5378" s="1" t="s">
        <v>22</v>
      </c>
      <c r="O5378" s="2"/>
      <c r="P5378" s="2"/>
      <c r="Q5378">
        <f>_xlfn.XLOOKUP(E5378,CPT!$A$2:$A$13,CPT!$D$2:$D$13)</f>
        <v>145</v>
      </c>
      <c r="R5378" s="1">
        <f>_xlfn.XLOOKUP(C5378,Contract!$A$2:$A$9,Contract!$B$2:$B$9)</f>
        <v>0.27</v>
      </c>
      <c r="S5378" s="1">
        <f t="shared" ref="S5378:S5441" si="336">ROUND(Q5378*F5378*R5378,2)</f>
        <v>39.15</v>
      </c>
      <c r="T5378" s="1" t="str">
        <f t="shared" ref="T5378:T5441" si="337">IF(M5378="Paid",S5378-J5378,"")</f>
        <v/>
      </c>
      <c r="U5378" s="1" t="str">
        <f t="shared" ref="U5378:U5441" si="338">IF(M5378&lt;&gt;"Paid","",IF(T5378&gt;S5378*0.05,"Underpaid","OK"))</f>
        <v/>
      </c>
      <c r="V5378" s="1" t="str">
        <f>_xlfn.XLOOKUP(C5378,Payers!$A$2:$A$9,Payers!$B$2:$B$9)</f>
        <v>Florida Medicaid</v>
      </c>
      <c r="W5378" s="1" t="str">
        <f t="shared" ref="W5378:W5441" si="339">TEXT(G5378,"yyyy-mm")</f>
        <v>2026-04</v>
      </c>
    </row>
    <row r="5379" spans="1:23">
      <c r="A5379" s="1" t="s">
        <v>8187</v>
      </c>
      <c r="B5379" s="1" t="s">
        <v>643</v>
      </c>
      <c r="C5379" s="1" t="s">
        <v>60</v>
      </c>
      <c r="D5379" s="1" t="s">
        <v>19</v>
      </c>
      <c r="E5379" s="1" t="s">
        <v>57</v>
      </c>
      <c r="F5379">
        <v>1</v>
      </c>
      <c r="G5379" s="2">
        <v>46018</v>
      </c>
      <c r="H5379" s="2">
        <v>46021</v>
      </c>
      <c r="I5379">
        <v>213.67</v>
      </c>
      <c r="J5379">
        <v>86.13</v>
      </c>
      <c r="K5379">
        <v>77.52</v>
      </c>
      <c r="L5379">
        <v>8.61</v>
      </c>
      <c r="M5379" s="1" t="s">
        <v>21</v>
      </c>
      <c r="N5379" s="1" t="s">
        <v>22</v>
      </c>
      <c r="O5379" s="2">
        <v>46042</v>
      </c>
      <c r="P5379" s="2">
        <v>46042</v>
      </c>
      <c r="Q5379">
        <f>_xlfn.XLOOKUP(E5379,CPT!$A$2:$A$13,CPT!$D$2:$D$13)</f>
        <v>210</v>
      </c>
      <c r="R5379" s="1">
        <f>_xlfn.XLOOKUP(C5379,Contract!$A$2:$A$9,Contract!$B$2:$B$9)</f>
        <v>0.45</v>
      </c>
      <c r="S5379" s="1">
        <f t="shared" si="336"/>
        <v>94.5</v>
      </c>
      <c r="T5379" s="1">
        <f t="shared" si="337"/>
        <v>8.3700000000000045</v>
      </c>
      <c r="U5379" s="1" t="str">
        <f t="shared" si="338"/>
        <v>Underpaid</v>
      </c>
      <c r="V5379" s="1" t="str">
        <f>_xlfn.XLOOKUP(C5379,Payers!$A$2:$A$9,Payers!$B$2:$B$9)</f>
        <v>Blue Horizon Commercial</v>
      </c>
      <c r="W5379" s="1" t="str">
        <f t="shared" si="339"/>
        <v>2025-12</v>
      </c>
    </row>
    <row r="5380" spans="1:23">
      <c r="A5380" s="1" t="s">
        <v>8188</v>
      </c>
      <c r="B5380" s="1" t="s">
        <v>8189</v>
      </c>
      <c r="C5380" s="1" t="s">
        <v>79</v>
      </c>
      <c r="D5380" s="1" t="s">
        <v>26</v>
      </c>
      <c r="E5380" s="1" t="s">
        <v>185</v>
      </c>
      <c r="F5380">
        <v>1</v>
      </c>
      <c r="G5380" s="2">
        <v>45978</v>
      </c>
      <c r="H5380" s="2">
        <v>46001</v>
      </c>
      <c r="I5380">
        <v>1179.78</v>
      </c>
      <c r="M5380" s="1" t="s">
        <v>69</v>
      </c>
      <c r="N5380" s="1" t="s">
        <v>22</v>
      </c>
      <c r="O5380" s="2"/>
      <c r="P5380" s="2"/>
      <c r="Q5380">
        <f>_xlfn.XLOOKUP(E5380,CPT!$A$2:$A$13,CPT!$D$2:$D$13)</f>
        <v>1150</v>
      </c>
      <c r="R5380" s="1">
        <f>_xlfn.XLOOKUP(C5380,Contract!$A$2:$A$9,Contract!$B$2:$B$9)</f>
        <v>1</v>
      </c>
      <c r="S5380" s="1">
        <f t="shared" si="336"/>
        <v>1150</v>
      </c>
      <c r="T5380" s="1" t="str">
        <f t="shared" si="337"/>
        <v/>
      </c>
      <c r="U5380" s="1" t="str">
        <f t="shared" si="338"/>
        <v/>
      </c>
      <c r="V5380" s="1" t="str">
        <f>_xlfn.XLOOKUP(C5380,Payers!$A$2:$A$9,Payers!$B$2:$B$9)</f>
        <v>Self-Pay</v>
      </c>
      <c r="W5380" s="1" t="str">
        <f t="shared" si="339"/>
        <v>2025-11</v>
      </c>
    </row>
    <row r="5381" spans="1:23">
      <c r="A5381" s="1" t="s">
        <v>8190</v>
      </c>
      <c r="B5381" s="1" t="s">
        <v>2260</v>
      </c>
      <c r="C5381" s="1" t="s">
        <v>47</v>
      </c>
      <c r="D5381" s="1" t="s">
        <v>30</v>
      </c>
      <c r="E5381" s="1" t="s">
        <v>20</v>
      </c>
      <c r="F5381">
        <v>1</v>
      </c>
      <c r="G5381" s="2">
        <v>46083</v>
      </c>
      <c r="H5381" s="2">
        <v>46097</v>
      </c>
      <c r="I5381">
        <v>148.61000000000001</v>
      </c>
      <c r="J5381">
        <v>46.78</v>
      </c>
      <c r="K5381">
        <v>42.1</v>
      </c>
      <c r="L5381">
        <v>4.68</v>
      </c>
      <c r="M5381" s="1" t="s">
        <v>21</v>
      </c>
      <c r="N5381" s="1" t="s">
        <v>22</v>
      </c>
      <c r="O5381" s="2">
        <v>46143</v>
      </c>
      <c r="P5381" s="2">
        <v>46143</v>
      </c>
      <c r="Q5381">
        <f>_xlfn.XLOOKUP(E5381,CPT!$A$2:$A$13,CPT!$D$2:$D$13)</f>
        <v>145</v>
      </c>
      <c r="R5381" s="1">
        <f>_xlfn.XLOOKUP(C5381,Contract!$A$2:$A$9,Contract!$B$2:$B$9)</f>
        <v>0.28000000000000003</v>
      </c>
      <c r="S5381" s="1">
        <f t="shared" si="336"/>
        <v>40.6</v>
      </c>
      <c r="T5381" s="1">
        <f t="shared" si="337"/>
        <v>-6.18</v>
      </c>
      <c r="U5381" s="1" t="str">
        <f t="shared" si="338"/>
        <v>OK</v>
      </c>
      <c r="V5381" s="1" t="str">
        <f>_xlfn.XLOOKUP(C5381,Payers!$A$2:$A$9,Payers!$B$2:$B$9)</f>
        <v>Coastal Medicaid MCO</v>
      </c>
      <c r="W5381" s="1" t="str">
        <f t="shared" si="339"/>
        <v>2026-03</v>
      </c>
    </row>
    <row r="5382" spans="1:23">
      <c r="A5382" s="1" t="s">
        <v>8191</v>
      </c>
      <c r="B5382" s="1" t="s">
        <v>606</v>
      </c>
      <c r="C5382" s="1" t="s">
        <v>52</v>
      </c>
      <c r="D5382" s="1" t="s">
        <v>26</v>
      </c>
      <c r="E5382" s="1" t="s">
        <v>88</v>
      </c>
      <c r="F5382">
        <v>1</v>
      </c>
      <c r="G5382" s="2">
        <v>45950</v>
      </c>
      <c r="H5382" s="2">
        <v>45951</v>
      </c>
      <c r="I5382">
        <v>264.83999999999997</v>
      </c>
      <c r="J5382">
        <v>133.07</v>
      </c>
      <c r="K5382">
        <v>133.07</v>
      </c>
      <c r="L5382">
        <v>0</v>
      </c>
      <c r="M5382" s="1" t="s">
        <v>21</v>
      </c>
      <c r="N5382" s="1" t="s">
        <v>22</v>
      </c>
      <c r="O5382" s="2">
        <v>46021</v>
      </c>
      <c r="P5382" s="2">
        <v>46021</v>
      </c>
      <c r="Q5382">
        <f>_xlfn.XLOOKUP(E5382,CPT!$A$2:$A$13,CPT!$D$2:$D$13)</f>
        <v>260</v>
      </c>
      <c r="R5382" s="1">
        <f>_xlfn.XLOOKUP(C5382,Contract!$A$2:$A$9,Contract!$B$2:$B$9)</f>
        <v>0.47</v>
      </c>
      <c r="S5382" s="1">
        <f t="shared" si="336"/>
        <v>122.2</v>
      </c>
      <c r="T5382" s="1">
        <f t="shared" si="337"/>
        <v>-10.86999999999999</v>
      </c>
      <c r="U5382" s="1" t="str">
        <f t="shared" si="338"/>
        <v>OK</v>
      </c>
      <c r="V5382" s="1" t="str">
        <f>_xlfn.XLOOKUP(C5382,Payers!$A$2:$A$9,Payers!$B$2:$B$9)</f>
        <v>Keystone Commercial PPO</v>
      </c>
      <c r="W5382" s="1" t="str">
        <f t="shared" si="339"/>
        <v>2025-10</v>
      </c>
    </row>
    <row r="5383" spans="1:23">
      <c r="A5383" s="1" t="s">
        <v>8192</v>
      </c>
      <c r="B5383" s="1" t="s">
        <v>1478</v>
      </c>
      <c r="C5383" s="1" t="s">
        <v>52</v>
      </c>
      <c r="D5383" s="1" t="s">
        <v>37</v>
      </c>
      <c r="E5383" s="1" t="s">
        <v>38</v>
      </c>
      <c r="F5383">
        <v>5</v>
      </c>
      <c r="G5383" s="2">
        <v>46022</v>
      </c>
      <c r="H5383" s="2">
        <v>46034</v>
      </c>
      <c r="I5383">
        <v>7042.49</v>
      </c>
      <c r="J5383">
        <v>3482.15</v>
      </c>
      <c r="K5383">
        <v>3482.15</v>
      </c>
      <c r="L5383">
        <v>0</v>
      </c>
      <c r="M5383" s="1" t="s">
        <v>21</v>
      </c>
      <c r="N5383" s="1" t="s">
        <v>22</v>
      </c>
      <c r="O5383" s="2">
        <v>46077</v>
      </c>
      <c r="P5383" s="2">
        <v>46077</v>
      </c>
      <c r="Q5383">
        <f>_xlfn.XLOOKUP(E5383,CPT!$A$2:$A$13,CPT!$D$2:$D$13)</f>
        <v>1450</v>
      </c>
      <c r="R5383" s="1">
        <f>_xlfn.XLOOKUP(C5383,Contract!$A$2:$A$9,Contract!$B$2:$B$9)</f>
        <v>0.47</v>
      </c>
      <c r="S5383" s="1">
        <f t="shared" si="336"/>
        <v>3407.5</v>
      </c>
      <c r="T5383" s="1">
        <f t="shared" si="337"/>
        <v>-74.650000000000091</v>
      </c>
      <c r="U5383" s="1" t="str">
        <f t="shared" si="338"/>
        <v>OK</v>
      </c>
      <c r="V5383" s="1" t="str">
        <f>_xlfn.XLOOKUP(C5383,Payers!$A$2:$A$9,Payers!$B$2:$B$9)</f>
        <v>Keystone Commercial PPO</v>
      </c>
      <c r="W5383" s="1" t="str">
        <f t="shared" si="339"/>
        <v>2025-12</v>
      </c>
    </row>
    <row r="5384" spans="1:23">
      <c r="A5384" s="1" t="s">
        <v>8193</v>
      </c>
      <c r="B5384" s="1" t="s">
        <v>5582</v>
      </c>
      <c r="C5384" s="1" t="s">
        <v>76</v>
      </c>
      <c r="D5384" s="1" t="s">
        <v>37</v>
      </c>
      <c r="E5384" s="1" t="s">
        <v>38</v>
      </c>
      <c r="F5384">
        <v>30</v>
      </c>
      <c r="G5384" s="2">
        <v>46069</v>
      </c>
      <c r="H5384" s="2">
        <v>46070</v>
      </c>
      <c r="I5384">
        <v>42666.38</v>
      </c>
      <c r="M5384" s="1" t="s">
        <v>32</v>
      </c>
      <c r="N5384" s="1" t="s">
        <v>315</v>
      </c>
      <c r="O5384" s="2">
        <v>46104</v>
      </c>
      <c r="P5384" s="2"/>
      <c r="Q5384">
        <f>_xlfn.XLOOKUP(E5384,CPT!$A$2:$A$13,CPT!$D$2:$D$13)</f>
        <v>1450</v>
      </c>
      <c r="R5384" s="1">
        <f>_xlfn.XLOOKUP(C5384,Contract!$A$2:$A$9,Contract!$B$2:$B$9)</f>
        <v>0.43</v>
      </c>
      <c r="S5384" s="1">
        <f t="shared" si="336"/>
        <v>18705</v>
      </c>
      <c r="T5384" s="1" t="str">
        <f t="shared" si="337"/>
        <v/>
      </c>
      <c r="U5384" s="1" t="str">
        <f t="shared" si="338"/>
        <v/>
      </c>
      <c r="V5384" s="1" t="str">
        <f>_xlfn.XLOOKUP(C5384,Payers!$A$2:$A$9,Payers!$B$2:$B$9)</f>
        <v>Summit Health Commercial</v>
      </c>
      <c r="W5384" s="1" t="str">
        <f t="shared" si="339"/>
        <v>2026-02</v>
      </c>
    </row>
    <row r="5385" spans="1:23">
      <c r="A5385" s="1" t="s">
        <v>8194</v>
      </c>
      <c r="B5385" s="1" t="s">
        <v>8195</v>
      </c>
      <c r="C5385" s="1" t="s">
        <v>60</v>
      </c>
      <c r="D5385" s="1" t="s">
        <v>30</v>
      </c>
      <c r="E5385" s="1" t="s">
        <v>91</v>
      </c>
      <c r="F5385">
        <v>2</v>
      </c>
      <c r="G5385" s="2">
        <v>46107</v>
      </c>
      <c r="H5385" s="2">
        <v>46112</v>
      </c>
      <c r="I5385">
        <v>118.5</v>
      </c>
      <c r="J5385">
        <v>58.44</v>
      </c>
      <c r="K5385">
        <v>58.44</v>
      </c>
      <c r="L5385">
        <v>0</v>
      </c>
      <c r="M5385" s="1" t="s">
        <v>21</v>
      </c>
      <c r="N5385" s="1" t="s">
        <v>22</v>
      </c>
      <c r="O5385" s="2">
        <v>46140</v>
      </c>
      <c r="P5385" s="2">
        <v>46140</v>
      </c>
      <c r="Q5385">
        <f>_xlfn.XLOOKUP(E5385,CPT!$A$2:$A$13,CPT!$D$2:$D$13)</f>
        <v>58</v>
      </c>
      <c r="R5385" s="1">
        <f>_xlfn.XLOOKUP(C5385,Contract!$A$2:$A$9,Contract!$B$2:$B$9)</f>
        <v>0.45</v>
      </c>
      <c r="S5385" s="1">
        <f t="shared" si="336"/>
        <v>52.2</v>
      </c>
      <c r="T5385" s="1">
        <f t="shared" si="337"/>
        <v>-6.2399999999999949</v>
      </c>
      <c r="U5385" s="1" t="str">
        <f t="shared" si="338"/>
        <v>OK</v>
      </c>
      <c r="V5385" s="1" t="str">
        <f>_xlfn.XLOOKUP(C5385,Payers!$A$2:$A$9,Payers!$B$2:$B$9)</f>
        <v>Blue Horizon Commercial</v>
      </c>
      <c r="W5385" s="1" t="str">
        <f t="shared" si="339"/>
        <v>2026-03</v>
      </c>
    </row>
    <row r="5386" spans="1:23">
      <c r="A5386" s="1" t="s">
        <v>8196</v>
      </c>
      <c r="B5386" s="1" t="s">
        <v>3625</v>
      </c>
      <c r="C5386" s="1" t="s">
        <v>18</v>
      </c>
      <c r="D5386" s="1" t="s">
        <v>30</v>
      </c>
      <c r="E5386" s="1" t="s">
        <v>31</v>
      </c>
      <c r="F5386">
        <v>1</v>
      </c>
      <c r="G5386" s="2">
        <v>46165</v>
      </c>
      <c r="H5386" s="2">
        <v>46295</v>
      </c>
      <c r="I5386">
        <v>63.13</v>
      </c>
      <c r="M5386" s="1" t="s">
        <v>69</v>
      </c>
      <c r="N5386" s="1" t="s">
        <v>22</v>
      </c>
      <c r="O5386" s="2"/>
      <c r="P5386" s="2"/>
      <c r="Q5386">
        <f>_xlfn.XLOOKUP(E5386,CPT!$A$2:$A$13,CPT!$D$2:$D$13)</f>
        <v>62</v>
      </c>
      <c r="R5386" s="1">
        <f>_xlfn.XLOOKUP(C5386,Contract!$A$2:$A$9,Contract!$B$2:$B$9)</f>
        <v>0.38</v>
      </c>
      <c r="S5386" s="1">
        <f t="shared" si="336"/>
        <v>23.56</v>
      </c>
      <c r="T5386" s="1" t="str">
        <f t="shared" si="337"/>
        <v/>
      </c>
      <c r="U5386" s="1" t="str">
        <f t="shared" si="338"/>
        <v/>
      </c>
      <c r="V5386" s="1" t="str">
        <f>_xlfn.XLOOKUP(C5386,Payers!$A$2:$A$9,Payers!$B$2:$B$9)</f>
        <v>Sunshine Medicare Advantage</v>
      </c>
      <c r="W5386" s="1" t="str">
        <f t="shared" si="339"/>
        <v>2026-05</v>
      </c>
    </row>
    <row r="5387" spans="1:23">
      <c r="A5387" s="1" t="s">
        <v>8197</v>
      </c>
      <c r="B5387" s="1" t="s">
        <v>8004</v>
      </c>
      <c r="C5387" s="1" t="s">
        <v>52</v>
      </c>
      <c r="D5387" s="1" t="s">
        <v>26</v>
      </c>
      <c r="E5387" s="1" t="s">
        <v>57</v>
      </c>
      <c r="F5387">
        <v>1</v>
      </c>
      <c r="G5387" s="2">
        <v>46078</v>
      </c>
      <c r="H5387" s="2">
        <v>46081</v>
      </c>
      <c r="I5387">
        <v>212.92</v>
      </c>
      <c r="J5387">
        <v>87.34</v>
      </c>
      <c r="K5387">
        <v>69.87</v>
      </c>
      <c r="L5387">
        <v>17.47</v>
      </c>
      <c r="M5387" s="1" t="s">
        <v>21</v>
      </c>
      <c r="N5387" s="1" t="s">
        <v>22</v>
      </c>
      <c r="O5387" s="2">
        <v>46120</v>
      </c>
      <c r="P5387" s="2">
        <v>46120</v>
      </c>
      <c r="Q5387">
        <f>_xlfn.XLOOKUP(E5387,CPT!$A$2:$A$13,CPT!$D$2:$D$13)</f>
        <v>210</v>
      </c>
      <c r="R5387" s="1">
        <f>_xlfn.XLOOKUP(C5387,Contract!$A$2:$A$9,Contract!$B$2:$B$9)</f>
        <v>0.47</v>
      </c>
      <c r="S5387" s="1">
        <f t="shared" si="336"/>
        <v>98.7</v>
      </c>
      <c r="T5387" s="1">
        <f t="shared" si="337"/>
        <v>11.36</v>
      </c>
      <c r="U5387" s="1" t="str">
        <f t="shared" si="338"/>
        <v>Underpaid</v>
      </c>
      <c r="V5387" s="1" t="str">
        <f>_xlfn.XLOOKUP(C5387,Payers!$A$2:$A$9,Payers!$B$2:$B$9)</f>
        <v>Keystone Commercial PPO</v>
      </c>
      <c r="W5387" s="1" t="str">
        <f t="shared" si="339"/>
        <v>2026-02</v>
      </c>
    </row>
    <row r="5388" spans="1:23">
      <c r="A5388" s="1" t="s">
        <v>8198</v>
      </c>
      <c r="B5388" s="1" t="s">
        <v>6186</v>
      </c>
      <c r="C5388" s="1" t="s">
        <v>18</v>
      </c>
      <c r="D5388" s="1" t="s">
        <v>19</v>
      </c>
      <c r="E5388" s="1" t="s">
        <v>88</v>
      </c>
      <c r="F5388">
        <v>1</v>
      </c>
      <c r="G5388" s="2">
        <v>46251</v>
      </c>
      <c r="H5388" s="2">
        <v>46252</v>
      </c>
      <c r="I5388">
        <v>253.35</v>
      </c>
      <c r="M5388" s="1" t="s">
        <v>69</v>
      </c>
      <c r="N5388" s="1" t="s">
        <v>22</v>
      </c>
      <c r="O5388" s="2"/>
      <c r="P5388" s="2"/>
      <c r="Q5388">
        <f>_xlfn.XLOOKUP(E5388,CPT!$A$2:$A$13,CPT!$D$2:$D$13)</f>
        <v>260</v>
      </c>
      <c r="R5388" s="1">
        <f>_xlfn.XLOOKUP(C5388,Contract!$A$2:$A$9,Contract!$B$2:$B$9)</f>
        <v>0.38</v>
      </c>
      <c r="S5388" s="1">
        <f t="shared" si="336"/>
        <v>98.8</v>
      </c>
      <c r="T5388" s="1" t="str">
        <f t="shared" si="337"/>
        <v/>
      </c>
      <c r="U5388" s="1" t="str">
        <f t="shared" si="338"/>
        <v/>
      </c>
      <c r="V5388" s="1" t="str">
        <f>_xlfn.XLOOKUP(C5388,Payers!$A$2:$A$9,Payers!$B$2:$B$9)</f>
        <v>Sunshine Medicare Advantage</v>
      </c>
      <c r="W5388" s="1" t="str">
        <f t="shared" si="339"/>
        <v>2026-08</v>
      </c>
    </row>
    <row r="5389" spans="1:23">
      <c r="A5389" s="1" t="s">
        <v>8199</v>
      </c>
      <c r="B5389" s="1" t="s">
        <v>3715</v>
      </c>
      <c r="C5389" s="1" t="s">
        <v>76</v>
      </c>
      <c r="D5389" s="1" t="s">
        <v>30</v>
      </c>
      <c r="E5389" s="1" t="s">
        <v>20</v>
      </c>
      <c r="F5389">
        <v>1</v>
      </c>
      <c r="G5389" s="2">
        <v>46090</v>
      </c>
      <c r="H5389" s="2">
        <v>46188</v>
      </c>
      <c r="I5389">
        <v>145.85</v>
      </c>
      <c r="M5389" s="1" t="s">
        <v>32</v>
      </c>
      <c r="N5389" s="1" t="s">
        <v>137</v>
      </c>
      <c r="O5389" s="2">
        <v>46218</v>
      </c>
      <c r="P5389" s="2"/>
      <c r="Q5389">
        <f>_xlfn.XLOOKUP(E5389,CPT!$A$2:$A$13,CPT!$D$2:$D$13)</f>
        <v>145</v>
      </c>
      <c r="R5389" s="1">
        <f>_xlfn.XLOOKUP(C5389,Contract!$A$2:$A$9,Contract!$B$2:$B$9)</f>
        <v>0.43</v>
      </c>
      <c r="S5389" s="1">
        <f t="shared" si="336"/>
        <v>62.35</v>
      </c>
      <c r="T5389" s="1" t="str">
        <f t="shared" si="337"/>
        <v/>
      </c>
      <c r="U5389" s="1" t="str">
        <f t="shared" si="338"/>
        <v/>
      </c>
      <c r="V5389" s="1" t="str">
        <f>_xlfn.XLOOKUP(C5389,Payers!$A$2:$A$9,Payers!$B$2:$B$9)</f>
        <v>Summit Health Commercial</v>
      </c>
      <c r="W5389" s="1" t="str">
        <f t="shared" si="339"/>
        <v>2026-03</v>
      </c>
    </row>
    <row r="5390" spans="1:23">
      <c r="A5390" s="1" t="s">
        <v>8200</v>
      </c>
      <c r="B5390" s="1" t="s">
        <v>8201</v>
      </c>
      <c r="C5390" s="1" t="s">
        <v>52</v>
      </c>
      <c r="D5390" s="1" t="s">
        <v>19</v>
      </c>
      <c r="E5390" s="1" t="s">
        <v>57</v>
      </c>
      <c r="F5390">
        <v>1</v>
      </c>
      <c r="G5390" s="2">
        <v>46043</v>
      </c>
      <c r="H5390" s="2">
        <v>46044</v>
      </c>
      <c r="I5390">
        <v>212.86</v>
      </c>
      <c r="J5390">
        <v>97.95</v>
      </c>
      <c r="K5390">
        <v>97.95</v>
      </c>
      <c r="L5390">
        <v>0</v>
      </c>
      <c r="M5390" s="1" t="s">
        <v>21</v>
      </c>
      <c r="N5390" s="1" t="s">
        <v>22</v>
      </c>
      <c r="O5390" s="2">
        <v>46105</v>
      </c>
      <c r="P5390" s="2">
        <v>46105</v>
      </c>
      <c r="Q5390">
        <f>_xlfn.XLOOKUP(E5390,CPT!$A$2:$A$13,CPT!$D$2:$D$13)</f>
        <v>210</v>
      </c>
      <c r="R5390" s="1">
        <f>_xlfn.XLOOKUP(C5390,Contract!$A$2:$A$9,Contract!$B$2:$B$9)</f>
        <v>0.47</v>
      </c>
      <c r="S5390" s="1">
        <f t="shared" si="336"/>
        <v>98.7</v>
      </c>
      <c r="T5390" s="1">
        <f t="shared" si="337"/>
        <v>0.75</v>
      </c>
      <c r="U5390" s="1" t="str">
        <f t="shared" si="338"/>
        <v>OK</v>
      </c>
      <c r="V5390" s="1" t="str">
        <f>_xlfn.XLOOKUP(C5390,Payers!$A$2:$A$9,Payers!$B$2:$B$9)</f>
        <v>Keystone Commercial PPO</v>
      </c>
      <c r="W5390" s="1" t="str">
        <f t="shared" si="339"/>
        <v>2026-01</v>
      </c>
    </row>
    <row r="5391" spans="1:23">
      <c r="A5391" s="1" t="s">
        <v>8202</v>
      </c>
      <c r="B5391" s="1" t="s">
        <v>8203</v>
      </c>
      <c r="C5391" s="1" t="s">
        <v>18</v>
      </c>
      <c r="D5391" s="1" t="s">
        <v>30</v>
      </c>
      <c r="E5391" s="1" t="s">
        <v>91</v>
      </c>
      <c r="F5391">
        <v>2</v>
      </c>
      <c r="G5391" s="2">
        <v>45980</v>
      </c>
      <c r="H5391" s="2">
        <v>45982</v>
      </c>
      <c r="I5391">
        <v>117.56</v>
      </c>
      <c r="J5391">
        <v>44.98</v>
      </c>
      <c r="K5391">
        <v>40.479999999999997</v>
      </c>
      <c r="L5391">
        <v>4.5</v>
      </c>
      <c r="M5391" s="1" t="s">
        <v>21</v>
      </c>
      <c r="N5391" s="1" t="s">
        <v>22</v>
      </c>
      <c r="O5391" s="2">
        <v>46020</v>
      </c>
      <c r="P5391" s="2">
        <v>46020</v>
      </c>
      <c r="Q5391">
        <f>_xlfn.XLOOKUP(E5391,CPT!$A$2:$A$13,CPT!$D$2:$D$13)</f>
        <v>58</v>
      </c>
      <c r="R5391" s="1">
        <f>_xlfn.XLOOKUP(C5391,Contract!$A$2:$A$9,Contract!$B$2:$B$9)</f>
        <v>0.38</v>
      </c>
      <c r="S5391" s="1">
        <f t="shared" si="336"/>
        <v>44.08</v>
      </c>
      <c r="T5391" s="1">
        <f t="shared" si="337"/>
        <v>-0.89999999999999858</v>
      </c>
      <c r="U5391" s="1" t="str">
        <f t="shared" si="338"/>
        <v>OK</v>
      </c>
      <c r="V5391" s="1" t="str">
        <f>_xlfn.XLOOKUP(C5391,Payers!$A$2:$A$9,Payers!$B$2:$B$9)</f>
        <v>Sunshine Medicare Advantage</v>
      </c>
      <c r="W5391" s="1" t="str">
        <f t="shared" si="339"/>
        <v>2025-11</v>
      </c>
    </row>
    <row r="5392" spans="1:23">
      <c r="A5392" s="1" t="s">
        <v>8204</v>
      </c>
      <c r="B5392" s="1" t="s">
        <v>8205</v>
      </c>
      <c r="C5392" s="1" t="s">
        <v>76</v>
      </c>
      <c r="D5392" s="1" t="s">
        <v>26</v>
      </c>
      <c r="E5392" s="1" t="s">
        <v>88</v>
      </c>
      <c r="F5392">
        <v>1</v>
      </c>
      <c r="G5392" s="2">
        <v>46257</v>
      </c>
      <c r="H5392" s="2">
        <v>46265</v>
      </c>
      <c r="I5392">
        <v>256.58</v>
      </c>
      <c r="J5392">
        <v>116.29</v>
      </c>
      <c r="K5392">
        <v>93.03</v>
      </c>
      <c r="L5392">
        <v>23.26</v>
      </c>
      <c r="M5392" s="1" t="s">
        <v>21</v>
      </c>
      <c r="N5392" s="1" t="s">
        <v>22</v>
      </c>
      <c r="O5392" s="2">
        <v>46288</v>
      </c>
      <c r="P5392" s="2">
        <v>46288</v>
      </c>
      <c r="Q5392">
        <f>_xlfn.XLOOKUP(E5392,CPT!$A$2:$A$13,CPT!$D$2:$D$13)</f>
        <v>260</v>
      </c>
      <c r="R5392" s="1">
        <f>_xlfn.XLOOKUP(C5392,Contract!$A$2:$A$9,Contract!$B$2:$B$9)</f>
        <v>0.43</v>
      </c>
      <c r="S5392" s="1">
        <f t="shared" si="336"/>
        <v>111.8</v>
      </c>
      <c r="T5392" s="1">
        <f t="shared" si="337"/>
        <v>-4.4900000000000091</v>
      </c>
      <c r="U5392" s="1" t="str">
        <f t="shared" si="338"/>
        <v>OK</v>
      </c>
      <c r="V5392" s="1" t="str">
        <f>_xlfn.XLOOKUP(C5392,Payers!$A$2:$A$9,Payers!$B$2:$B$9)</f>
        <v>Summit Health Commercial</v>
      </c>
      <c r="W5392" s="1" t="str">
        <f t="shared" si="339"/>
        <v>2026-08</v>
      </c>
    </row>
    <row r="5393" spans="1:23">
      <c r="A5393" s="1" t="s">
        <v>8206</v>
      </c>
      <c r="B5393" s="1" t="s">
        <v>3631</v>
      </c>
      <c r="C5393" s="1" t="s">
        <v>36</v>
      </c>
      <c r="D5393" s="1" t="s">
        <v>19</v>
      </c>
      <c r="E5393" s="1" t="s">
        <v>20</v>
      </c>
      <c r="F5393">
        <v>1</v>
      </c>
      <c r="G5393" s="2">
        <v>45952</v>
      </c>
      <c r="H5393" s="2">
        <v>45953</v>
      </c>
      <c r="I5393">
        <v>147.96</v>
      </c>
      <c r="J5393">
        <v>38.53</v>
      </c>
      <c r="K5393">
        <v>38.53</v>
      </c>
      <c r="L5393">
        <v>0</v>
      </c>
      <c r="M5393" s="1" t="s">
        <v>21</v>
      </c>
      <c r="N5393" s="1" t="s">
        <v>22</v>
      </c>
      <c r="O5393" s="2">
        <v>45998</v>
      </c>
      <c r="P5393" s="2">
        <v>45998</v>
      </c>
      <c r="Q5393">
        <f>_xlfn.XLOOKUP(E5393,CPT!$A$2:$A$13,CPT!$D$2:$D$13)</f>
        <v>145</v>
      </c>
      <c r="R5393" s="1">
        <f>_xlfn.XLOOKUP(C5393,Contract!$A$2:$A$9,Contract!$B$2:$B$9)</f>
        <v>0.27</v>
      </c>
      <c r="S5393" s="1">
        <f t="shared" si="336"/>
        <v>39.15</v>
      </c>
      <c r="T5393" s="1">
        <f t="shared" si="337"/>
        <v>0.61999999999999744</v>
      </c>
      <c r="U5393" s="1" t="str">
        <f t="shared" si="338"/>
        <v>OK</v>
      </c>
      <c r="V5393" s="1" t="str">
        <f>_xlfn.XLOOKUP(C5393,Payers!$A$2:$A$9,Payers!$B$2:$B$9)</f>
        <v>Florida Medicaid</v>
      </c>
      <c r="W5393" s="1" t="str">
        <f t="shared" si="339"/>
        <v>2025-10</v>
      </c>
    </row>
    <row r="5394" spans="1:23">
      <c r="A5394" s="1" t="s">
        <v>8207</v>
      </c>
      <c r="B5394" s="1" t="s">
        <v>1383</v>
      </c>
      <c r="C5394" s="1" t="s">
        <v>76</v>
      </c>
      <c r="D5394" s="1" t="s">
        <v>30</v>
      </c>
      <c r="E5394" s="1" t="s">
        <v>91</v>
      </c>
      <c r="F5394">
        <v>3</v>
      </c>
      <c r="G5394" s="2">
        <v>46227</v>
      </c>
      <c r="H5394" s="2">
        <v>46231</v>
      </c>
      <c r="I5394">
        <v>176.22</v>
      </c>
      <c r="J5394">
        <v>73.099999999999994</v>
      </c>
      <c r="K5394">
        <v>58.48</v>
      </c>
      <c r="L5394">
        <v>14.62</v>
      </c>
      <c r="M5394" s="1" t="s">
        <v>21</v>
      </c>
      <c r="N5394" s="1" t="s">
        <v>22</v>
      </c>
      <c r="O5394" s="2">
        <v>46258</v>
      </c>
      <c r="P5394" s="2">
        <v>46258</v>
      </c>
      <c r="Q5394">
        <f>_xlfn.XLOOKUP(E5394,CPT!$A$2:$A$13,CPT!$D$2:$D$13)</f>
        <v>58</v>
      </c>
      <c r="R5394" s="1">
        <f>_xlfn.XLOOKUP(C5394,Contract!$A$2:$A$9,Contract!$B$2:$B$9)</f>
        <v>0.43</v>
      </c>
      <c r="S5394" s="1">
        <f t="shared" si="336"/>
        <v>74.819999999999993</v>
      </c>
      <c r="T5394" s="1">
        <f t="shared" si="337"/>
        <v>1.7199999999999989</v>
      </c>
      <c r="U5394" s="1" t="str">
        <f t="shared" si="338"/>
        <v>OK</v>
      </c>
      <c r="V5394" s="1" t="str">
        <f>_xlfn.XLOOKUP(C5394,Payers!$A$2:$A$9,Payers!$B$2:$B$9)</f>
        <v>Summit Health Commercial</v>
      </c>
      <c r="W5394" s="1" t="str">
        <f t="shared" si="339"/>
        <v>2026-07</v>
      </c>
    </row>
    <row r="5395" spans="1:23">
      <c r="A5395" s="1" t="s">
        <v>8208</v>
      </c>
      <c r="B5395" s="1" t="s">
        <v>6089</v>
      </c>
      <c r="C5395" s="1" t="s">
        <v>36</v>
      </c>
      <c r="D5395" s="1" t="s">
        <v>19</v>
      </c>
      <c r="E5395" s="1" t="s">
        <v>41</v>
      </c>
      <c r="F5395">
        <v>1</v>
      </c>
      <c r="G5395" s="2">
        <v>46225</v>
      </c>
      <c r="H5395" s="2">
        <v>46226</v>
      </c>
      <c r="I5395">
        <v>38.49</v>
      </c>
      <c r="J5395">
        <v>9.11</v>
      </c>
      <c r="K5395">
        <v>8.1999999999999993</v>
      </c>
      <c r="L5395">
        <v>0.91</v>
      </c>
      <c r="M5395" s="1" t="s">
        <v>21</v>
      </c>
      <c r="N5395" s="1" t="s">
        <v>22</v>
      </c>
      <c r="O5395" s="2">
        <v>46273</v>
      </c>
      <c r="P5395" s="2">
        <v>46273</v>
      </c>
      <c r="Q5395">
        <f>_xlfn.XLOOKUP(E5395,CPT!$A$2:$A$13,CPT!$D$2:$D$13)</f>
        <v>38</v>
      </c>
      <c r="R5395" s="1">
        <f>_xlfn.XLOOKUP(C5395,Contract!$A$2:$A$9,Contract!$B$2:$B$9)</f>
        <v>0.27</v>
      </c>
      <c r="S5395" s="1">
        <f t="shared" si="336"/>
        <v>10.26</v>
      </c>
      <c r="T5395" s="1">
        <f t="shared" si="337"/>
        <v>1.1500000000000004</v>
      </c>
      <c r="U5395" s="1" t="str">
        <f t="shared" si="338"/>
        <v>Underpaid</v>
      </c>
      <c r="V5395" s="1" t="str">
        <f>_xlfn.XLOOKUP(C5395,Payers!$A$2:$A$9,Payers!$B$2:$B$9)</f>
        <v>Florida Medicaid</v>
      </c>
      <c r="W5395" s="1" t="str">
        <f t="shared" si="339"/>
        <v>2026-07</v>
      </c>
    </row>
    <row r="5396" spans="1:23">
      <c r="A5396" s="1" t="s">
        <v>8209</v>
      </c>
      <c r="B5396" s="1" t="s">
        <v>6032</v>
      </c>
      <c r="C5396" s="1" t="s">
        <v>36</v>
      </c>
      <c r="D5396" s="1" t="s">
        <v>26</v>
      </c>
      <c r="E5396" s="1" t="s">
        <v>185</v>
      </c>
      <c r="F5396">
        <v>1</v>
      </c>
      <c r="G5396" s="2">
        <v>46013</v>
      </c>
      <c r="H5396" s="2">
        <v>46034</v>
      </c>
      <c r="I5396">
        <v>1123.1300000000001</v>
      </c>
      <c r="M5396" s="1" t="s">
        <v>32</v>
      </c>
      <c r="N5396" s="1" t="s">
        <v>315</v>
      </c>
      <c r="O5396" s="2">
        <v>46080</v>
      </c>
      <c r="P5396" s="2"/>
      <c r="Q5396">
        <f>_xlfn.XLOOKUP(E5396,CPT!$A$2:$A$13,CPT!$D$2:$D$13)</f>
        <v>1150</v>
      </c>
      <c r="R5396" s="1">
        <f>_xlfn.XLOOKUP(C5396,Contract!$A$2:$A$9,Contract!$B$2:$B$9)</f>
        <v>0.27</v>
      </c>
      <c r="S5396" s="1">
        <f t="shared" si="336"/>
        <v>310.5</v>
      </c>
      <c r="T5396" s="1" t="str">
        <f t="shared" si="337"/>
        <v/>
      </c>
      <c r="U5396" s="1" t="str">
        <f t="shared" si="338"/>
        <v/>
      </c>
      <c r="V5396" s="1" t="str">
        <f>_xlfn.XLOOKUP(C5396,Payers!$A$2:$A$9,Payers!$B$2:$B$9)</f>
        <v>Florida Medicaid</v>
      </c>
      <c r="W5396" s="1" t="str">
        <f t="shared" si="339"/>
        <v>2025-12</v>
      </c>
    </row>
    <row r="5397" spans="1:23">
      <c r="A5397" s="1" t="s">
        <v>8210</v>
      </c>
      <c r="B5397" s="1" t="s">
        <v>2231</v>
      </c>
      <c r="C5397" s="1" t="s">
        <v>76</v>
      </c>
      <c r="D5397" s="1" t="s">
        <v>26</v>
      </c>
      <c r="E5397" s="1" t="s">
        <v>185</v>
      </c>
      <c r="F5397">
        <v>1</v>
      </c>
      <c r="G5397" s="2">
        <v>45937</v>
      </c>
      <c r="H5397" s="2">
        <v>45941</v>
      </c>
      <c r="I5397">
        <v>1116.6300000000001</v>
      </c>
      <c r="M5397" s="1" t="s">
        <v>32</v>
      </c>
      <c r="N5397" s="1" t="s">
        <v>124</v>
      </c>
      <c r="O5397" s="2">
        <v>45967</v>
      </c>
      <c r="P5397" s="2"/>
      <c r="Q5397">
        <f>_xlfn.XLOOKUP(E5397,CPT!$A$2:$A$13,CPT!$D$2:$D$13)</f>
        <v>1150</v>
      </c>
      <c r="R5397" s="1">
        <f>_xlfn.XLOOKUP(C5397,Contract!$A$2:$A$9,Contract!$B$2:$B$9)</f>
        <v>0.43</v>
      </c>
      <c r="S5397" s="1">
        <f t="shared" si="336"/>
        <v>494.5</v>
      </c>
      <c r="T5397" s="1" t="str">
        <f t="shared" si="337"/>
        <v/>
      </c>
      <c r="U5397" s="1" t="str">
        <f t="shared" si="338"/>
        <v/>
      </c>
      <c r="V5397" s="1" t="str">
        <f>_xlfn.XLOOKUP(C5397,Payers!$A$2:$A$9,Payers!$B$2:$B$9)</f>
        <v>Summit Health Commercial</v>
      </c>
      <c r="W5397" s="1" t="str">
        <f t="shared" si="339"/>
        <v>2025-10</v>
      </c>
    </row>
    <row r="5398" spans="1:23">
      <c r="A5398" s="1" t="s">
        <v>8211</v>
      </c>
      <c r="B5398" s="1" t="s">
        <v>3204</v>
      </c>
      <c r="C5398" s="1" t="s">
        <v>52</v>
      </c>
      <c r="D5398" s="1" t="s">
        <v>30</v>
      </c>
      <c r="E5398" s="1" t="s">
        <v>31</v>
      </c>
      <c r="F5398">
        <v>1</v>
      </c>
      <c r="G5398" s="2">
        <v>45969</v>
      </c>
      <c r="H5398" s="2">
        <v>45970</v>
      </c>
      <c r="I5398">
        <v>61.63</v>
      </c>
      <c r="M5398" s="1" t="s">
        <v>32</v>
      </c>
      <c r="N5398" s="1" t="s">
        <v>281</v>
      </c>
      <c r="O5398" s="2">
        <v>46003</v>
      </c>
      <c r="P5398" s="2"/>
      <c r="Q5398">
        <f>_xlfn.XLOOKUP(E5398,CPT!$A$2:$A$13,CPT!$D$2:$D$13)</f>
        <v>62</v>
      </c>
      <c r="R5398" s="1">
        <f>_xlfn.XLOOKUP(C5398,Contract!$A$2:$A$9,Contract!$B$2:$B$9)</f>
        <v>0.47</v>
      </c>
      <c r="S5398" s="1">
        <f t="shared" si="336"/>
        <v>29.14</v>
      </c>
      <c r="T5398" s="1" t="str">
        <f t="shared" si="337"/>
        <v/>
      </c>
      <c r="U5398" s="1" t="str">
        <f t="shared" si="338"/>
        <v/>
      </c>
      <c r="V5398" s="1" t="str">
        <f>_xlfn.XLOOKUP(C5398,Payers!$A$2:$A$9,Payers!$B$2:$B$9)</f>
        <v>Keystone Commercial PPO</v>
      </c>
      <c r="W5398" s="1" t="str">
        <f t="shared" si="339"/>
        <v>2025-11</v>
      </c>
    </row>
    <row r="5399" spans="1:23">
      <c r="A5399" s="1" t="s">
        <v>8212</v>
      </c>
      <c r="B5399" s="1" t="s">
        <v>955</v>
      </c>
      <c r="C5399" s="1" t="s">
        <v>79</v>
      </c>
      <c r="D5399" s="1" t="s">
        <v>26</v>
      </c>
      <c r="E5399" s="1" t="s">
        <v>113</v>
      </c>
      <c r="F5399">
        <v>1</v>
      </c>
      <c r="G5399" s="2">
        <v>46041</v>
      </c>
      <c r="H5399" s="2">
        <v>46042</v>
      </c>
      <c r="I5399">
        <v>1066.73</v>
      </c>
      <c r="M5399" s="1" t="s">
        <v>69</v>
      </c>
      <c r="N5399" s="1" t="s">
        <v>22</v>
      </c>
      <c r="O5399" s="2"/>
      <c r="P5399" s="2"/>
      <c r="Q5399">
        <f>_xlfn.XLOOKUP(E5399,CPT!$A$2:$A$13,CPT!$D$2:$D$13)</f>
        <v>1050</v>
      </c>
      <c r="R5399" s="1">
        <f>_xlfn.XLOOKUP(C5399,Contract!$A$2:$A$9,Contract!$B$2:$B$9)</f>
        <v>1</v>
      </c>
      <c r="S5399" s="1">
        <f t="shared" si="336"/>
        <v>1050</v>
      </c>
      <c r="T5399" s="1" t="str">
        <f t="shared" si="337"/>
        <v/>
      </c>
      <c r="U5399" s="1" t="str">
        <f t="shared" si="338"/>
        <v/>
      </c>
      <c r="V5399" s="1" t="str">
        <f>_xlfn.XLOOKUP(C5399,Payers!$A$2:$A$9,Payers!$B$2:$B$9)</f>
        <v>Self-Pay</v>
      </c>
      <c r="W5399" s="1" t="str">
        <f t="shared" si="339"/>
        <v>2026-01</v>
      </c>
    </row>
    <row r="5400" spans="1:23">
      <c r="A5400" s="1" t="s">
        <v>8213</v>
      </c>
      <c r="B5400" s="1" t="s">
        <v>1018</v>
      </c>
      <c r="C5400" s="1" t="s">
        <v>76</v>
      </c>
      <c r="D5400" s="1" t="s">
        <v>30</v>
      </c>
      <c r="E5400" s="1" t="s">
        <v>20</v>
      </c>
      <c r="F5400">
        <v>1</v>
      </c>
      <c r="G5400" s="2">
        <v>46267</v>
      </c>
      <c r="H5400" s="2">
        <v>46268</v>
      </c>
      <c r="I5400">
        <v>148.77000000000001</v>
      </c>
      <c r="M5400" s="1" t="s">
        <v>69</v>
      </c>
      <c r="N5400" s="1" t="s">
        <v>22</v>
      </c>
      <c r="O5400" s="2"/>
      <c r="P5400" s="2"/>
      <c r="Q5400">
        <f>_xlfn.XLOOKUP(E5400,CPT!$A$2:$A$13,CPT!$D$2:$D$13)</f>
        <v>145</v>
      </c>
      <c r="R5400" s="1">
        <f>_xlfn.XLOOKUP(C5400,Contract!$A$2:$A$9,Contract!$B$2:$B$9)</f>
        <v>0.43</v>
      </c>
      <c r="S5400" s="1">
        <f t="shared" si="336"/>
        <v>62.35</v>
      </c>
      <c r="T5400" s="1" t="str">
        <f t="shared" si="337"/>
        <v/>
      </c>
      <c r="U5400" s="1" t="str">
        <f t="shared" si="338"/>
        <v/>
      </c>
      <c r="V5400" s="1" t="str">
        <f>_xlfn.XLOOKUP(C5400,Payers!$A$2:$A$9,Payers!$B$2:$B$9)</f>
        <v>Summit Health Commercial</v>
      </c>
      <c r="W5400" s="1" t="str">
        <f t="shared" si="339"/>
        <v>2026-09</v>
      </c>
    </row>
    <row r="5401" spans="1:23">
      <c r="A5401" s="1" t="s">
        <v>8214</v>
      </c>
      <c r="B5401" s="1" t="s">
        <v>8215</v>
      </c>
      <c r="C5401" s="1" t="s">
        <v>18</v>
      </c>
      <c r="D5401" s="1" t="s">
        <v>26</v>
      </c>
      <c r="E5401" s="1" t="s">
        <v>41</v>
      </c>
      <c r="F5401">
        <v>1</v>
      </c>
      <c r="G5401" s="2">
        <v>46083</v>
      </c>
      <c r="H5401" s="2">
        <v>46089</v>
      </c>
      <c r="I5401">
        <v>37.26</v>
      </c>
      <c r="J5401">
        <v>12.23</v>
      </c>
      <c r="K5401">
        <v>11.01</v>
      </c>
      <c r="L5401">
        <v>1.22</v>
      </c>
      <c r="M5401" s="1" t="s">
        <v>21</v>
      </c>
      <c r="N5401" s="1" t="s">
        <v>22</v>
      </c>
      <c r="O5401" s="2">
        <v>46157</v>
      </c>
      <c r="P5401" s="2">
        <v>46157</v>
      </c>
      <c r="Q5401">
        <f>_xlfn.XLOOKUP(E5401,CPT!$A$2:$A$13,CPT!$D$2:$D$13)</f>
        <v>38</v>
      </c>
      <c r="R5401" s="1">
        <f>_xlfn.XLOOKUP(C5401,Contract!$A$2:$A$9,Contract!$B$2:$B$9)</f>
        <v>0.38</v>
      </c>
      <c r="S5401" s="1">
        <f t="shared" si="336"/>
        <v>14.44</v>
      </c>
      <c r="T5401" s="1">
        <f t="shared" si="337"/>
        <v>2.2099999999999991</v>
      </c>
      <c r="U5401" s="1" t="str">
        <f t="shared" si="338"/>
        <v>Underpaid</v>
      </c>
      <c r="V5401" s="1" t="str">
        <f>_xlfn.XLOOKUP(C5401,Payers!$A$2:$A$9,Payers!$B$2:$B$9)</f>
        <v>Sunshine Medicare Advantage</v>
      </c>
      <c r="W5401" s="1" t="str">
        <f t="shared" si="339"/>
        <v>2026-03</v>
      </c>
    </row>
    <row r="5402" spans="1:23">
      <c r="A5402" s="1" t="s">
        <v>8216</v>
      </c>
      <c r="B5402" s="1" t="s">
        <v>2793</v>
      </c>
      <c r="C5402" s="1" t="s">
        <v>79</v>
      </c>
      <c r="D5402" s="1" t="s">
        <v>26</v>
      </c>
      <c r="E5402" s="1" t="s">
        <v>57</v>
      </c>
      <c r="F5402">
        <v>1</v>
      </c>
      <c r="G5402" s="2">
        <v>45982</v>
      </c>
      <c r="H5402" s="2">
        <v>45988</v>
      </c>
      <c r="I5402">
        <v>205.53</v>
      </c>
      <c r="M5402" s="1" t="s">
        <v>69</v>
      </c>
      <c r="N5402" s="1" t="s">
        <v>22</v>
      </c>
      <c r="O5402" s="2"/>
      <c r="P5402" s="2"/>
      <c r="Q5402">
        <f>_xlfn.XLOOKUP(E5402,CPT!$A$2:$A$13,CPT!$D$2:$D$13)</f>
        <v>210</v>
      </c>
      <c r="R5402" s="1">
        <f>_xlfn.XLOOKUP(C5402,Contract!$A$2:$A$9,Contract!$B$2:$B$9)</f>
        <v>1</v>
      </c>
      <c r="S5402" s="1">
        <f t="shared" si="336"/>
        <v>210</v>
      </c>
      <c r="T5402" s="1" t="str">
        <f t="shared" si="337"/>
        <v/>
      </c>
      <c r="U5402" s="1" t="str">
        <f t="shared" si="338"/>
        <v/>
      </c>
      <c r="V5402" s="1" t="str">
        <f>_xlfn.XLOOKUP(C5402,Payers!$A$2:$A$9,Payers!$B$2:$B$9)</f>
        <v>Self-Pay</v>
      </c>
      <c r="W5402" s="1" t="str">
        <f t="shared" si="339"/>
        <v>2025-11</v>
      </c>
    </row>
    <row r="5403" spans="1:23">
      <c r="A5403" s="1" t="s">
        <v>8217</v>
      </c>
      <c r="B5403" s="1" t="s">
        <v>1256</v>
      </c>
      <c r="C5403" s="1" t="s">
        <v>76</v>
      </c>
      <c r="D5403" s="1" t="s">
        <v>30</v>
      </c>
      <c r="E5403" s="1" t="s">
        <v>20</v>
      </c>
      <c r="F5403">
        <v>1</v>
      </c>
      <c r="G5403" s="2">
        <v>46019</v>
      </c>
      <c r="H5403" s="2">
        <v>46020</v>
      </c>
      <c r="I5403">
        <v>148.59</v>
      </c>
      <c r="M5403" s="1" t="s">
        <v>32</v>
      </c>
      <c r="N5403" s="1" t="s">
        <v>124</v>
      </c>
      <c r="O5403" s="2">
        <v>46068</v>
      </c>
      <c r="P5403" s="2"/>
      <c r="Q5403">
        <f>_xlfn.XLOOKUP(E5403,CPT!$A$2:$A$13,CPT!$D$2:$D$13)</f>
        <v>145</v>
      </c>
      <c r="R5403" s="1">
        <f>_xlfn.XLOOKUP(C5403,Contract!$A$2:$A$9,Contract!$B$2:$B$9)</f>
        <v>0.43</v>
      </c>
      <c r="S5403" s="1">
        <f t="shared" si="336"/>
        <v>62.35</v>
      </c>
      <c r="T5403" s="1" t="str">
        <f t="shared" si="337"/>
        <v/>
      </c>
      <c r="U5403" s="1" t="str">
        <f t="shared" si="338"/>
        <v/>
      </c>
      <c r="V5403" s="1" t="str">
        <f>_xlfn.XLOOKUP(C5403,Payers!$A$2:$A$9,Payers!$B$2:$B$9)</f>
        <v>Summit Health Commercial</v>
      </c>
      <c r="W5403" s="1" t="str">
        <f t="shared" si="339"/>
        <v>2025-12</v>
      </c>
    </row>
    <row r="5404" spans="1:23">
      <c r="A5404" s="1" t="s">
        <v>8218</v>
      </c>
      <c r="B5404" s="1" t="s">
        <v>6032</v>
      </c>
      <c r="C5404" s="1" t="s">
        <v>18</v>
      </c>
      <c r="D5404" s="1" t="s">
        <v>26</v>
      </c>
      <c r="E5404" s="1" t="s">
        <v>113</v>
      </c>
      <c r="F5404">
        <v>1</v>
      </c>
      <c r="G5404" s="2">
        <v>46035</v>
      </c>
      <c r="H5404" s="2">
        <v>46036</v>
      </c>
      <c r="I5404">
        <v>1026.68</v>
      </c>
      <c r="M5404" s="1" t="s">
        <v>32</v>
      </c>
      <c r="N5404" s="1" t="s">
        <v>33</v>
      </c>
      <c r="O5404" s="2">
        <v>46089</v>
      </c>
      <c r="P5404" s="2"/>
      <c r="Q5404">
        <f>_xlfn.XLOOKUP(E5404,CPT!$A$2:$A$13,CPT!$D$2:$D$13)</f>
        <v>1050</v>
      </c>
      <c r="R5404" s="1">
        <f>_xlfn.XLOOKUP(C5404,Contract!$A$2:$A$9,Contract!$B$2:$B$9)</f>
        <v>0.38</v>
      </c>
      <c r="S5404" s="1">
        <f t="shared" si="336"/>
        <v>399</v>
      </c>
      <c r="T5404" s="1" t="str">
        <f t="shared" si="337"/>
        <v/>
      </c>
      <c r="U5404" s="1" t="str">
        <f t="shared" si="338"/>
        <v/>
      </c>
      <c r="V5404" s="1" t="str">
        <f>_xlfn.XLOOKUP(C5404,Payers!$A$2:$A$9,Payers!$B$2:$B$9)</f>
        <v>Sunshine Medicare Advantage</v>
      </c>
      <c r="W5404" s="1" t="str">
        <f t="shared" si="339"/>
        <v>2026-01</v>
      </c>
    </row>
    <row r="5405" spans="1:23">
      <c r="A5405" s="1" t="s">
        <v>8219</v>
      </c>
      <c r="B5405" s="1" t="s">
        <v>8220</v>
      </c>
      <c r="C5405" s="1" t="s">
        <v>60</v>
      </c>
      <c r="D5405" s="1" t="s">
        <v>37</v>
      </c>
      <c r="E5405" s="1" t="s">
        <v>48</v>
      </c>
      <c r="F5405">
        <v>1</v>
      </c>
      <c r="G5405" s="2">
        <v>46210</v>
      </c>
      <c r="H5405" s="2">
        <v>46211</v>
      </c>
      <c r="I5405">
        <v>410.44</v>
      </c>
      <c r="J5405">
        <v>205.36</v>
      </c>
      <c r="K5405">
        <v>164.29</v>
      </c>
      <c r="L5405">
        <v>41.07</v>
      </c>
      <c r="M5405" s="1" t="s">
        <v>21</v>
      </c>
      <c r="N5405" s="1" t="s">
        <v>22</v>
      </c>
      <c r="O5405" s="2">
        <v>46242</v>
      </c>
      <c r="P5405" s="2">
        <v>46242</v>
      </c>
      <c r="Q5405">
        <f>_xlfn.XLOOKUP(E5405,CPT!$A$2:$A$13,CPT!$D$2:$D$13)</f>
        <v>420</v>
      </c>
      <c r="R5405" s="1">
        <f>_xlfn.XLOOKUP(C5405,Contract!$A$2:$A$9,Contract!$B$2:$B$9)</f>
        <v>0.45</v>
      </c>
      <c r="S5405" s="1">
        <f t="shared" si="336"/>
        <v>189</v>
      </c>
      <c r="T5405" s="1">
        <f t="shared" si="337"/>
        <v>-16.360000000000014</v>
      </c>
      <c r="U5405" s="1" t="str">
        <f t="shared" si="338"/>
        <v>OK</v>
      </c>
      <c r="V5405" s="1" t="str">
        <f>_xlfn.XLOOKUP(C5405,Payers!$A$2:$A$9,Payers!$B$2:$B$9)</f>
        <v>Blue Horizon Commercial</v>
      </c>
      <c r="W5405" s="1" t="str">
        <f t="shared" si="339"/>
        <v>2026-07</v>
      </c>
    </row>
    <row r="5406" spans="1:23">
      <c r="A5406" s="1" t="s">
        <v>8221</v>
      </c>
      <c r="B5406" s="1" t="s">
        <v>3881</v>
      </c>
      <c r="C5406" s="1" t="s">
        <v>76</v>
      </c>
      <c r="D5406" s="1" t="s">
        <v>19</v>
      </c>
      <c r="E5406" s="1" t="s">
        <v>57</v>
      </c>
      <c r="F5406">
        <v>1</v>
      </c>
      <c r="G5406" s="2">
        <v>45991</v>
      </c>
      <c r="H5406" s="2">
        <v>45994</v>
      </c>
      <c r="I5406">
        <v>209.92</v>
      </c>
      <c r="J5406">
        <v>86.25</v>
      </c>
      <c r="K5406">
        <v>77.63</v>
      </c>
      <c r="L5406">
        <v>8.6199999999999992</v>
      </c>
      <c r="M5406" s="1" t="s">
        <v>21</v>
      </c>
      <c r="N5406" s="1" t="s">
        <v>22</v>
      </c>
      <c r="O5406" s="2">
        <v>46010</v>
      </c>
      <c r="P5406" s="2">
        <v>46010</v>
      </c>
      <c r="Q5406">
        <f>_xlfn.XLOOKUP(E5406,CPT!$A$2:$A$13,CPT!$D$2:$D$13)</f>
        <v>210</v>
      </c>
      <c r="R5406" s="1">
        <f>_xlfn.XLOOKUP(C5406,Contract!$A$2:$A$9,Contract!$B$2:$B$9)</f>
        <v>0.43</v>
      </c>
      <c r="S5406" s="1">
        <f t="shared" si="336"/>
        <v>90.3</v>
      </c>
      <c r="T5406" s="1">
        <f t="shared" si="337"/>
        <v>4.0499999999999972</v>
      </c>
      <c r="U5406" s="1" t="str">
        <f t="shared" si="338"/>
        <v>OK</v>
      </c>
      <c r="V5406" s="1" t="str">
        <f>_xlfn.XLOOKUP(C5406,Payers!$A$2:$A$9,Payers!$B$2:$B$9)</f>
        <v>Summit Health Commercial</v>
      </c>
      <c r="W5406" s="1" t="str">
        <f t="shared" si="339"/>
        <v>2025-11</v>
      </c>
    </row>
    <row r="5407" spans="1:23">
      <c r="A5407" s="1" t="s">
        <v>8222</v>
      </c>
      <c r="B5407" s="1" t="s">
        <v>8223</v>
      </c>
      <c r="C5407" s="1" t="s">
        <v>76</v>
      </c>
      <c r="D5407" s="1" t="s">
        <v>26</v>
      </c>
      <c r="E5407" s="1" t="s">
        <v>57</v>
      </c>
      <c r="F5407">
        <v>1</v>
      </c>
      <c r="G5407" s="2">
        <v>46252</v>
      </c>
      <c r="H5407" s="2">
        <v>46255</v>
      </c>
      <c r="I5407">
        <v>211.06</v>
      </c>
      <c r="J5407">
        <v>78.66</v>
      </c>
      <c r="K5407">
        <v>78.66</v>
      </c>
      <c r="L5407">
        <v>0</v>
      </c>
      <c r="M5407" s="1" t="s">
        <v>21</v>
      </c>
      <c r="N5407" s="1" t="s">
        <v>22</v>
      </c>
      <c r="O5407" s="2">
        <v>46282</v>
      </c>
      <c r="P5407" s="2">
        <v>46282</v>
      </c>
      <c r="Q5407">
        <f>_xlfn.XLOOKUP(E5407,CPT!$A$2:$A$13,CPT!$D$2:$D$13)</f>
        <v>210</v>
      </c>
      <c r="R5407" s="1">
        <f>_xlfn.XLOOKUP(C5407,Contract!$A$2:$A$9,Contract!$B$2:$B$9)</f>
        <v>0.43</v>
      </c>
      <c r="S5407" s="1">
        <f t="shared" si="336"/>
        <v>90.3</v>
      </c>
      <c r="T5407" s="1">
        <f t="shared" si="337"/>
        <v>11.64</v>
      </c>
      <c r="U5407" s="1" t="str">
        <f t="shared" si="338"/>
        <v>Underpaid</v>
      </c>
      <c r="V5407" s="1" t="str">
        <f>_xlfn.XLOOKUP(C5407,Payers!$A$2:$A$9,Payers!$B$2:$B$9)</f>
        <v>Summit Health Commercial</v>
      </c>
      <c r="W5407" s="1" t="str">
        <f t="shared" si="339"/>
        <v>2026-08</v>
      </c>
    </row>
    <row r="5408" spans="1:23">
      <c r="A5408" s="1" t="s">
        <v>8224</v>
      </c>
      <c r="B5408" s="1" t="s">
        <v>6189</v>
      </c>
      <c r="C5408" s="1" t="s">
        <v>47</v>
      </c>
      <c r="D5408" s="1" t="s">
        <v>26</v>
      </c>
      <c r="E5408" s="1" t="s">
        <v>44</v>
      </c>
      <c r="F5408">
        <v>1</v>
      </c>
      <c r="G5408" s="2">
        <v>45969</v>
      </c>
      <c r="H5408" s="2">
        <v>45979</v>
      </c>
      <c r="I5408">
        <v>4935.43</v>
      </c>
      <c r="M5408" s="1" t="s">
        <v>32</v>
      </c>
      <c r="N5408" s="1" t="s">
        <v>315</v>
      </c>
      <c r="O5408" s="2">
        <v>46019</v>
      </c>
      <c r="P5408" s="2"/>
      <c r="Q5408">
        <f>_xlfn.XLOOKUP(E5408,CPT!$A$2:$A$13,CPT!$D$2:$D$13)</f>
        <v>4800</v>
      </c>
      <c r="R5408" s="1">
        <f>_xlfn.XLOOKUP(C5408,Contract!$A$2:$A$9,Contract!$B$2:$B$9)</f>
        <v>0.28000000000000003</v>
      </c>
      <c r="S5408" s="1">
        <f t="shared" si="336"/>
        <v>1344</v>
      </c>
      <c r="T5408" s="1" t="str">
        <f t="shared" si="337"/>
        <v/>
      </c>
      <c r="U5408" s="1" t="str">
        <f t="shared" si="338"/>
        <v/>
      </c>
      <c r="V5408" s="1" t="str">
        <f>_xlfn.XLOOKUP(C5408,Payers!$A$2:$A$9,Payers!$B$2:$B$9)</f>
        <v>Coastal Medicaid MCO</v>
      </c>
      <c r="W5408" s="1" t="str">
        <f t="shared" si="339"/>
        <v>2025-11</v>
      </c>
    </row>
    <row r="5409" spans="1:23">
      <c r="A5409" s="1" t="s">
        <v>8225</v>
      </c>
      <c r="B5409" s="1" t="s">
        <v>4733</v>
      </c>
      <c r="C5409" s="1" t="s">
        <v>47</v>
      </c>
      <c r="D5409" s="1" t="s">
        <v>26</v>
      </c>
      <c r="E5409" s="1" t="s">
        <v>57</v>
      </c>
      <c r="F5409">
        <v>1</v>
      </c>
      <c r="G5409" s="2">
        <v>46124</v>
      </c>
      <c r="H5409" s="2">
        <v>46125</v>
      </c>
      <c r="I5409">
        <v>215.96</v>
      </c>
      <c r="M5409" s="1" t="s">
        <v>32</v>
      </c>
      <c r="N5409" s="1" t="s">
        <v>33</v>
      </c>
      <c r="O5409" s="2">
        <v>46205</v>
      </c>
      <c r="P5409" s="2"/>
      <c r="Q5409">
        <f>_xlfn.XLOOKUP(E5409,CPT!$A$2:$A$13,CPT!$D$2:$D$13)</f>
        <v>210</v>
      </c>
      <c r="R5409" s="1">
        <f>_xlfn.XLOOKUP(C5409,Contract!$A$2:$A$9,Contract!$B$2:$B$9)</f>
        <v>0.28000000000000003</v>
      </c>
      <c r="S5409" s="1">
        <f t="shared" si="336"/>
        <v>58.8</v>
      </c>
      <c r="T5409" s="1" t="str">
        <f t="shared" si="337"/>
        <v/>
      </c>
      <c r="U5409" s="1" t="str">
        <f t="shared" si="338"/>
        <v/>
      </c>
      <c r="V5409" s="1" t="str">
        <f>_xlfn.XLOOKUP(C5409,Payers!$A$2:$A$9,Payers!$B$2:$B$9)</f>
        <v>Coastal Medicaid MCO</v>
      </c>
      <c r="W5409" s="1" t="str">
        <f t="shared" si="339"/>
        <v>2026-04</v>
      </c>
    </row>
    <row r="5410" spans="1:23">
      <c r="A5410" s="1" t="s">
        <v>8226</v>
      </c>
      <c r="B5410" s="1" t="s">
        <v>8227</v>
      </c>
      <c r="C5410" s="1" t="s">
        <v>47</v>
      </c>
      <c r="D5410" s="1" t="s">
        <v>26</v>
      </c>
      <c r="E5410" s="1" t="s">
        <v>44</v>
      </c>
      <c r="F5410">
        <v>1</v>
      </c>
      <c r="G5410" s="2">
        <v>46145</v>
      </c>
      <c r="H5410" s="2">
        <v>46150</v>
      </c>
      <c r="I5410">
        <v>4865.62</v>
      </c>
      <c r="M5410" s="1" t="s">
        <v>32</v>
      </c>
      <c r="N5410" s="1" t="s">
        <v>33</v>
      </c>
      <c r="O5410" s="2">
        <v>46198</v>
      </c>
      <c r="P5410" s="2"/>
      <c r="Q5410">
        <f>_xlfn.XLOOKUP(E5410,CPT!$A$2:$A$13,CPT!$D$2:$D$13)</f>
        <v>4800</v>
      </c>
      <c r="R5410" s="1">
        <f>_xlfn.XLOOKUP(C5410,Contract!$A$2:$A$9,Contract!$B$2:$B$9)</f>
        <v>0.28000000000000003</v>
      </c>
      <c r="S5410" s="1">
        <f t="shared" si="336"/>
        <v>1344</v>
      </c>
      <c r="T5410" s="1" t="str">
        <f t="shared" si="337"/>
        <v/>
      </c>
      <c r="U5410" s="1" t="str">
        <f t="shared" si="338"/>
        <v/>
      </c>
      <c r="V5410" s="1" t="str">
        <f>_xlfn.XLOOKUP(C5410,Payers!$A$2:$A$9,Payers!$B$2:$B$9)</f>
        <v>Coastal Medicaid MCO</v>
      </c>
      <c r="W5410" s="1" t="str">
        <f t="shared" si="339"/>
        <v>2026-05</v>
      </c>
    </row>
    <row r="5411" spans="1:23">
      <c r="A5411" s="1" t="s">
        <v>8228</v>
      </c>
      <c r="B5411" s="1" t="s">
        <v>1616</v>
      </c>
      <c r="C5411" s="1" t="s">
        <v>52</v>
      </c>
      <c r="D5411" s="1" t="s">
        <v>26</v>
      </c>
      <c r="E5411" s="1" t="s">
        <v>185</v>
      </c>
      <c r="F5411">
        <v>1</v>
      </c>
      <c r="G5411" s="2">
        <v>46034</v>
      </c>
      <c r="H5411" s="2">
        <v>46035</v>
      </c>
      <c r="I5411">
        <v>1174.17</v>
      </c>
      <c r="M5411" s="1" t="s">
        <v>32</v>
      </c>
      <c r="N5411" s="1" t="s">
        <v>124</v>
      </c>
      <c r="O5411" s="2">
        <v>46073</v>
      </c>
      <c r="P5411" s="2"/>
      <c r="Q5411">
        <f>_xlfn.XLOOKUP(E5411,CPT!$A$2:$A$13,CPT!$D$2:$D$13)</f>
        <v>1150</v>
      </c>
      <c r="R5411" s="1">
        <f>_xlfn.XLOOKUP(C5411,Contract!$A$2:$A$9,Contract!$B$2:$B$9)</f>
        <v>0.47</v>
      </c>
      <c r="S5411" s="1">
        <f t="shared" si="336"/>
        <v>540.5</v>
      </c>
      <c r="T5411" s="1" t="str">
        <f t="shared" si="337"/>
        <v/>
      </c>
      <c r="U5411" s="1" t="str">
        <f t="shared" si="338"/>
        <v/>
      </c>
      <c r="V5411" s="1" t="str">
        <f>_xlfn.XLOOKUP(C5411,Payers!$A$2:$A$9,Payers!$B$2:$B$9)</f>
        <v>Keystone Commercial PPO</v>
      </c>
      <c r="W5411" s="1" t="str">
        <f t="shared" si="339"/>
        <v>2026-01</v>
      </c>
    </row>
    <row r="5412" spans="1:23">
      <c r="A5412" s="1" t="s">
        <v>8229</v>
      </c>
      <c r="B5412" s="1" t="s">
        <v>8118</v>
      </c>
      <c r="C5412" s="1" t="s">
        <v>52</v>
      </c>
      <c r="D5412" s="1" t="s">
        <v>26</v>
      </c>
      <c r="E5412" s="1" t="s">
        <v>44</v>
      </c>
      <c r="F5412">
        <v>1</v>
      </c>
      <c r="G5412" s="2">
        <v>45987</v>
      </c>
      <c r="H5412" s="2">
        <v>45992</v>
      </c>
      <c r="I5412">
        <v>4800.41</v>
      </c>
      <c r="J5412">
        <v>2162.23</v>
      </c>
      <c r="K5412">
        <v>1946.01</v>
      </c>
      <c r="L5412">
        <v>216.22</v>
      </c>
      <c r="M5412" s="1" t="s">
        <v>21</v>
      </c>
      <c r="N5412" s="1" t="s">
        <v>22</v>
      </c>
      <c r="O5412" s="2">
        <v>46031</v>
      </c>
      <c r="P5412" s="2">
        <v>46031</v>
      </c>
      <c r="Q5412">
        <f>_xlfn.XLOOKUP(E5412,CPT!$A$2:$A$13,CPT!$D$2:$D$13)</f>
        <v>4800</v>
      </c>
      <c r="R5412" s="1">
        <f>_xlfn.XLOOKUP(C5412,Contract!$A$2:$A$9,Contract!$B$2:$B$9)</f>
        <v>0.47</v>
      </c>
      <c r="S5412" s="1">
        <f t="shared" si="336"/>
        <v>2256</v>
      </c>
      <c r="T5412" s="1">
        <f t="shared" si="337"/>
        <v>93.769999999999982</v>
      </c>
      <c r="U5412" s="1" t="str">
        <f t="shared" si="338"/>
        <v>OK</v>
      </c>
      <c r="V5412" s="1" t="str">
        <f>_xlfn.XLOOKUP(C5412,Payers!$A$2:$A$9,Payers!$B$2:$B$9)</f>
        <v>Keystone Commercial PPO</v>
      </c>
      <c r="W5412" s="1" t="str">
        <f t="shared" si="339"/>
        <v>2025-11</v>
      </c>
    </row>
    <row r="5413" spans="1:23">
      <c r="A5413" s="1" t="s">
        <v>8230</v>
      </c>
      <c r="B5413" s="1" t="s">
        <v>2766</v>
      </c>
      <c r="C5413" s="1" t="s">
        <v>52</v>
      </c>
      <c r="D5413" s="1" t="s">
        <v>19</v>
      </c>
      <c r="E5413" s="1" t="s">
        <v>57</v>
      </c>
      <c r="F5413">
        <v>1</v>
      </c>
      <c r="G5413" s="2">
        <v>46216</v>
      </c>
      <c r="H5413" s="2">
        <v>46226</v>
      </c>
      <c r="I5413">
        <v>213.1</v>
      </c>
      <c r="J5413">
        <v>96.8</v>
      </c>
      <c r="K5413">
        <v>96.8</v>
      </c>
      <c r="L5413">
        <v>0</v>
      </c>
      <c r="M5413" s="1" t="s">
        <v>21</v>
      </c>
      <c r="N5413" s="1" t="s">
        <v>22</v>
      </c>
      <c r="O5413" s="2">
        <v>46276</v>
      </c>
      <c r="P5413" s="2">
        <v>46276</v>
      </c>
      <c r="Q5413">
        <f>_xlfn.XLOOKUP(E5413,CPT!$A$2:$A$13,CPT!$D$2:$D$13)</f>
        <v>210</v>
      </c>
      <c r="R5413" s="1">
        <f>_xlfn.XLOOKUP(C5413,Contract!$A$2:$A$9,Contract!$B$2:$B$9)</f>
        <v>0.47</v>
      </c>
      <c r="S5413" s="1">
        <f t="shared" si="336"/>
        <v>98.7</v>
      </c>
      <c r="T5413" s="1">
        <f t="shared" si="337"/>
        <v>1.9000000000000057</v>
      </c>
      <c r="U5413" s="1" t="str">
        <f t="shared" si="338"/>
        <v>OK</v>
      </c>
      <c r="V5413" s="1" t="str">
        <f>_xlfn.XLOOKUP(C5413,Payers!$A$2:$A$9,Payers!$B$2:$B$9)</f>
        <v>Keystone Commercial PPO</v>
      </c>
      <c r="W5413" s="1" t="str">
        <f t="shared" si="339"/>
        <v>2026-07</v>
      </c>
    </row>
    <row r="5414" spans="1:23">
      <c r="A5414" s="1" t="s">
        <v>8231</v>
      </c>
      <c r="B5414" s="1" t="s">
        <v>1357</v>
      </c>
      <c r="C5414" s="1" t="s">
        <v>76</v>
      </c>
      <c r="D5414" s="1" t="s">
        <v>30</v>
      </c>
      <c r="E5414" s="1" t="s">
        <v>20</v>
      </c>
      <c r="F5414">
        <v>1</v>
      </c>
      <c r="G5414" s="2">
        <v>46197</v>
      </c>
      <c r="H5414" s="2">
        <v>46198</v>
      </c>
      <c r="I5414">
        <v>144.88</v>
      </c>
      <c r="J5414">
        <v>56.27</v>
      </c>
      <c r="K5414">
        <v>45.02</v>
      </c>
      <c r="L5414">
        <v>11.25</v>
      </c>
      <c r="M5414" s="1" t="s">
        <v>21</v>
      </c>
      <c r="N5414" s="1" t="s">
        <v>22</v>
      </c>
      <c r="O5414" s="2">
        <v>46226</v>
      </c>
      <c r="P5414" s="2">
        <v>46226</v>
      </c>
      <c r="Q5414">
        <f>_xlfn.XLOOKUP(E5414,CPT!$A$2:$A$13,CPT!$D$2:$D$13)</f>
        <v>145</v>
      </c>
      <c r="R5414" s="1">
        <f>_xlfn.XLOOKUP(C5414,Contract!$A$2:$A$9,Contract!$B$2:$B$9)</f>
        <v>0.43</v>
      </c>
      <c r="S5414" s="1">
        <f t="shared" si="336"/>
        <v>62.35</v>
      </c>
      <c r="T5414" s="1">
        <f t="shared" si="337"/>
        <v>6.0799999999999983</v>
      </c>
      <c r="U5414" s="1" t="str">
        <f t="shared" si="338"/>
        <v>Underpaid</v>
      </c>
      <c r="V5414" s="1" t="str">
        <f>_xlfn.XLOOKUP(C5414,Payers!$A$2:$A$9,Payers!$B$2:$B$9)</f>
        <v>Summit Health Commercial</v>
      </c>
      <c r="W5414" s="1" t="str">
        <f t="shared" si="339"/>
        <v>2026-06</v>
      </c>
    </row>
    <row r="5415" spans="1:23">
      <c r="A5415" s="1" t="s">
        <v>8232</v>
      </c>
      <c r="B5415" s="1" t="s">
        <v>2586</v>
      </c>
      <c r="C5415" s="1" t="s">
        <v>76</v>
      </c>
      <c r="D5415" s="1" t="s">
        <v>19</v>
      </c>
      <c r="E5415" s="1" t="s">
        <v>88</v>
      </c>
      <c r="F5415">
        <v>1</v>
      </c>
      <c r="G5415" s="2">
        <v>46058</v>
      </c>
      <c r="H5415" s="2">
        <v>46061</v>
      </c>
      <c r="I5415">
        <v>258.23</v>
      </c>
      <c r="J5415">
        <v>124.57</v>
      </c>
      <c r="K5415">
        <v>124.57</v>
      </c>
      <c r="L5415">
        <v>0</v>
      </c>
      <c r="M5415" s="1" t="s">
        <v>21</v>
      </c>
      <c r="N5415" s="1" t="s">
        <v>22</v>
      </c>
      <c r="O5415" s="2">
        <v>46080</v>
      </c>
      <c r="P5415" s="2">
        <v>46080</v>
      </c>
      <c r="Q5415">
        <f>_xlfn.XLOOKUP(E5415,CPT!$A$2:$A$13,CPT!$D$2:$D$13)</f>
        <v>260</v>
      </c>
      <c r="R5415" s="1">
        <f>_xlfn.XLOOKUP(C5415,Contract!$A$2:$A$9,Contract!$B$2:$B$9)</f>
        <v>0.43</v>
      </c>
      <c r="S5415" s="1">
        <f t="shared" si="336"/>
        <v>111.8</v>
      </c>
      <c r="T5415" s="1">
        <f t="shared" si="337"/>
        <v>-12.769999999999996</v>
      </c>
      <c r="U5415" s="1" t="str">
        <f t="shared" si="338"/>
        <v>OK</v>
      </c>
      <c r="V5415" s="1" t="str">
        <f>_xlfn.XLOOKUP(C5415,Payers!$A$2:$A$9,Payers!$B$2:$B$9)</f>
        <v>Summit Health Commercial</v>
      </c>
      <c r="W5415" s="1" t="str">
        <f t="shared" si="339"/>
        <v>2026-02</v>
      </c>
    </row>
    <row r="5416" spans="1:23">
      <c r="A5416" s="1" t="s">
        <v>8233</v>
      </c>
      <c r="B5416" s="1" t="s">
        <v>8234</v>
      </c>
      <c r="C5416" s="1" t="s">
        <v>18</v>
      </c>
      <c r="D5416" s="1" t="s">
        <v>19</v>
      </c>
      <c r="E5416" s="1" t="s">
        <v>41</v>
      </c>
      <c r="F5416">
        <v>1</v>
      </c>
      <c r="G5416" s="2">
        <v>46284</v>
      </c>
      <c r="H5416" s="2">
        <v>46286</v>
      </c>
      <c r="I5416">
        <v>38.04</v>
      </c>
      <c r="M5416" s="1" t="s">
        <v>69</v>
      </c>
      <c r="N5416" s="1" t="s">
        <v>22</v>
      </c>
      <c r="O5416" s="2"/>
      <c r="P5416" s="2"/>
      <c r="Q5416">
        <f>_xlfn.XLOOKUP(E5416,CPT!$A$2:$A$13,CPT!$D$2:$D$13)</f>
        <v>38</v>
      </c>
      <c r="R5416" s="1">
        <f>_xlfn.XLOOKUP(C5416,Contract!$A$2:$A$9,Contract!$B$2:$B$9)</f>
        <v>0.38</v>
      </c>
      <c r="S5416" s="1">
        <f t="shared" si="336"/>
        <v>14.44</v>
      </c>
      <c r="T5416" s="1" t="str">
        <f t="shared" si="337"/>
        <v/>
      </c>
      <c r="U5416" s="1" t="str">
        <f t="shared" si="338"/>
        <v/>
      </c>
      <c r="V5416" s="1" t="str">
        <f>_xlfn.XLOOKUP(C5416,Payers!$A$2:$A$9,Payers!$B$2:$B$9)</f>
        <v>Sunshine Medicare Advantage</v>
      </c>
      <c r="W5416" s="1" t="str">
        <f t="shared" si="339"/>
        <v>2026-09</v>
      </c>
    </row>
    <row r="5417" spans="1:23">
      <c r="A5417" s="1" t="s">
        <v>8235</v>
      </c>
      <c r="B5417" s="1" t="s">
        <v>7051</v>
      </c>
      <c r="C5417" s="1" t="s">
        <v>60</v>
      </c>
      <c r="D5417" s="1" t="s">
        <v>37</v>
      </c>
      <c r="E5417" s="1" t="s">
        <v>57</v>
      </c>
      <c r="F5417">
        <v>1</v>
      </c>
      <c r="G5417" s="2">
        <v>46063</v>
      </c>
      <c r="H5417" s="2">
        <v>46066</v>
      </c>
      <c r="I5417">
        <v>205.73</v>
      </c>
      <c r="J5417">
        <v>101.99</v>
      </c>
      <c r="K5417">
        <v>101.99</v>
      </c>
      <c r="L5417">
        <v>0</v>
      </c>
      <c r="M5417" s="1" t="s">
        <v>21</v>
      </c>
      <c r="N5417" s="1" t="s">
        <v>22</v>
      </c>
      <c r="O5417" s="2">
        <v>46095</v>
      </c>
      <c r="P5417" s="2">
        <v>46095</v>
      </c>
      <c r="Q5417">
        <f>_xlfn.XLOOKUP(E5417,CPT!$A$2:$A$13,CPT!$D$2:$D$13)</f>
        <v>210</v>
      </c>
      <c r="R5417" s="1">
        <f>_xlfn.XLOOKUP(C5417,Contract!$A$2:$A$9,Contract!$B$2:$B$9)</f>
        <v>0.45</v>
      </c>
      <c r="S5417" s="1">
        <f t="shared" si="336"/>
        <v>94.5</v>
      </c>
      <c r="T5417" s="1">
        <f t="shared" si="337"/>
        <v>-7.4899999999999949</v>
      </c>
      <c r="U5417" s="1" t="str">
        <f t="shared" si="338"/>
        <v>OK</v>
      </c>
      <c r="V5417" s="1" t="str">
        <f>_xlfn.XLOOKUP(C5417,Payers!$A$2:$A$9,Payers!$B$2:$B$9)</f>
        <v>Blue Horizon Commercial</v>
      </c>
      <c r="W5417" s="1" t="str">
        <f t="shared" si="339"/>
        <v>2026-02</v>
      </c>
    </row>
    <row r="5418" spans="1:23">
      <c r="A5418" s="1" t="s">
        <v>8236</v>
      </c>
      <c r="B5418" s="1" t="s">
        <v>2321</v>
      </c>
      <c r="C5418" s="1" t="s">
        <v>18</v>
      </c>
      <c r="D5418" s="1" t="s">
        <v>19</v>
      </c>
      <c r="E5418" s="1" t="s">
        <v>20</v>
      </c>
      <c r="F5418">
        <v>1</v>
      </c>
      <c r="G5418" s="2">
        <v>46144</v>
      </c>
      <c r="H5418" s="2">
        <v>46148</v>
      </c>
      <c r="I5418">
        <v>143.85</v>
      </c>
      <c r="J5418">
        <v>46.7</v>
      </c>
      <c r="K5418">
        <v>37.36</v>
      </c>
      <c r="L5418">
        <v>9.34</v>
      </c>
      <c r="M5418" s="1" t="s">
        <v>21</v>
      </c>
      <c r="N5418" s="1" t="s">
        <v>22</v>
      </c>
      <c r="O5418" s="2">
        <v>46218</v>
      </c>
      <c r="P5418" s="2">
        <v>46218</v>
      </c>
      <c r="Q5418">
        <f>_xlfn.XLOOKUP(E5418,CPT!$A$2:$A$13,CPT!$D$2:$D$13)</f>
        <v>145</v>
      </c>
      <c r="R5418" s="1">
        <f>_xlfn.XLOOKUP(C5418,Contract!$A$2:$A$9,Contract!$B$2:$B$9)</f>
        <v>0.38</v>
      </c>
      <c r="S5418" s="1">
        <f t="shared" si="336"/>
        <v>55.1</v>
      </c>
      <c r="T5418" s="1">
        <f t="shared" si="337"/>
        <v>8.3999999999999986</v>
      </c>
      <c r="U5418" s="1" t="str">
        <f t="shared" si="338"/>
        <v>Underpaid</v>
      </c>
      <c r="V5418" s="1" t="str">
        <f>_xlfn.XLOOKUP(C5418,Payers!$A$2:$A$9,Payers!$B$2:$B$9)</f>
        <v>Sunshine Medicare Advantage</v>
      </c>
      <c r="W5418" s="1" t="str">
        <f t="shared" si="339"/>
        <v>2026-05</v>
      </c>
    </row>
    <row r="5419" spans="1:23">
      <c r="A5419" s="1" t="s">
        <v>8237</v>
      </c>
      <c r="B5419" s="1" t="s">
        <v>8238</v>
      </c>
      <c r="C5419" s="1" t="s">
        <v>47</v>
      </c>
      <c r="D5419" s="1" t="s">
        <v>26</v>
      </c>
      <c r="E5419" s="1" t="s">
        <v>113</v>
      </c>
      <c r="F5419">
        <v>1</v>
      </c>
      <c r="G5419" s="2">
        <v>46127</v>
      </c>
      <c r="H5419" s="2">
        <v>46128</v>
      </c>
      <c r="I5419">
        <v>1036.18</v>
      </c>
      <c r="M5419" s="1" t="s">
        <v>32</v>
      </c>
      <c r="N5419" s="1" t="s">
        <v>49</v>
      </c>
      <c r="O5419" s="2">
        <v>46196</v>
      </c>
      <c r="P5419" s="2"/>
      <c r="Q5419">
        <f>_xlfn.XLOOKUP(E5419,CPT!$A$2:$A$13,CPT!$D$2:$D$13)</f>
        <v>1050</v>
      </c>
      <c r="R5419" s="1">
        <f>_xlfn.XLOOKUP(C5419,Contract!$A$2:$A$9,Contract!$B$2:$B$9)</f>
        <v>0.28000000000000003</v>
      </c>
      <c r="S5419" s="1">
        <f t="shared" si="336"/>
        <v>294</v>
      </c>
      <c r="T5419" s="1" t="str">
        <f t="shared" si="337"/>
        <v/>
      </c>
      <c r="U5419" s="1" t="str">
        <f t="shared" si="338"/>
        <v/>
      </c>
      <c r="V5419" s="1" t="str">
        <f>_xlfn.XLOOKUP(C5419,Payers!$A$2:$A$9,Payers!$B$2:$B$9)</f>
        <v>Coastal Medicaid MCO</v>
      </c>
      <c r="W5419" s="1" t="str">
        <f t="shared" si="339"/>
        <v>2026-04</v>
      </c>
    </row>
    <row r="5420" spans="1:23">
      <c r="A5420" s="1" t="s">
        <v>8239</v>
      </c>
      <c r="B5420" s="1" t="s">
        <v>5408</v>
      </c>
      <c r="C5420" s="1" t="s">
        <v>76</v>
      </c>
      <c r="D5420" s="1" t="s">
        <v>19</v>
      </c>
      <c r="E5420" s="1" t="s">
        <v>57</v>
      </c>
      <c r="F5420">
        <v>1</v>
      </c>
      <c r="G5420" s="2">
        <v>46076</v>
      </c>
      <c r="H5420" s="2">
        <v>46078</v>
      </c>
      <c r="I5420">
        <v>215.41</v>
      </c>
      <c r="J5420">
        <v>79.040000000000006</v>
      </c>
      <c r="K5420">
        <v>79.040000000000006</v>
      </c>
      <c r="L5420">
        <v>0</v>
      </c>
      <c r="M5420" s="1" t="s">
        <v>21</v>
      </c>
      <c r="N5420" s="1" t="s">
        <v>22</v>
      </c>
      <c r="O5420" s="2">
        <v>46102</v>
      </c>
      <c r="P5420" s="2">
        <v>46102</v>
      </c>
      <c r="Q5420">
        <f>_xlfn.XLOOKUP(E5420,CPT!$A$2:$A$13,CPT!$D$2:$D$13)</f>
        <v>210</v>
      </c>
      <c r="R5420" s="1">
        <f>_xlfn.XLOOKUP(C5420,Contract!$A$2:$A$9,Contract!$B$2:$B$9)</f>
        <v>0.43</v>
      </c>
      <c r="S5420" s="1">
        <f t="shared" si="336"/>
        <v>90.3</v>
      </c>
      <c r="T5420" s="1">
        <f t="shared" si="337"/>
        <v>11.259999999999991</v>
      </c>
      <c r="U5420" s="1" t="str">
        <f t="shared" si="338"/>
        <v>Underpaid</v>
      </c>
      <c r="V5420" s="1" t="str">
        <f>_xlfn.XLOOKUP(C5420,Payers!$A$2:$A$9,Payers!$B$2:$B$9)</f>
        <v>Summit Health Commercial</v>
      </c>
      <c r="W5420" s="1" t="str">
        <f t="shared" si="339"/>
        <v>2026-02</v>
      </c>
    </row>
    <row r="5421" spans="1:23">
      <c r="A5421" s="1" t="s">
        <v>8240</v>
      </c>
      <c r="B5421" s="1" t="s">
        <v>1515</v>
      </c>
      <c r="C5421" s="1" t="s">
        <v>36</v>
      </c>
      <c r="D5421" s="1" t="s">
        <v>37</v>
      </c>
      <c r="E5421" s="1" t="s">
        <v>57</v>
      </c>
      <c r="F5421">
        <v>1</v>
      </c>
      <c r="G5421" s="2">
        <v>46249</v>
      </c>
      <c r="H5421" s="2">
        <v>46251</v>
      </c>
      <c r="I5421">
        <v>208.61</v>
      </c>
      <c r="M5421" s="1" t="s">
        <v>32</v>
      </c>
      <c r="N5421" s="1" t="s">
        <v>124</v>
      </c>
      <c r="O5421" s="2">
        <v>46288</v>
      </c>
      <c r="P5421" s="2"/>
      <c r="Q5421">
        <f>_xlfn.XLOOKUP(E5421,CPT!$A$2:$A$13,CPT!$D$2:$D$13)</f>
        <v>210</v>
      </c>
      <c r="R5421" s="1">
        <f>_xlfn.XLOOKUP(C5421,Contract!$A$2:$A$9,Contract!$B$2:$B$9)</f>
        <v>0.27</v>
      </c>
      <c r="S5421" s="1">
        <f t="shared" si="336"/>
        <v>56.7</v>
      </c>
      <c r="T5421" s="1" t="str">
        <f t="shared" si="337"/>
        <v/>
      </c>
      <c r="U5421" s="1" t="str">
        <f t="shared" si="338"/>
        <v/>
      </c>
      <c r="V5421" s="1" t="str">
        <f>_xlfn.XLOOKUP(C5421,Payers!$A$2:$A$9,Payers!$B$2:$B$9)</f>
        <v>Florida Medicaid</v>
      </c>
      <c r="W5421" s="1" t="str">
        <f t="shared" si="339"/>
        <v>2026-08</v>
      </c>
    </row>
    <row r="5422" spans="1:23">
      <c r="A5422" s="1" t="s">
        <v>8241</v>
      </c>
      <c r="B5422" s="1" t="s">
        <v>8242</v>
      </c>
      <c r="C5422" s="1" t="s">
        <v>25</v>
      </c>
      <c r="D5422" s="1" t="s">
        <v>26</v>
      </c>
      <c r="E5422" s="1" t="s">
        <v>57</v>
      </c>
      <c r="F5422">
        <v>1</v>
      </c>
      <c r="G5422" s="2">
        <v>46171</v>
      </c>
      <c r="H5422" s="2">
        <v>46177</v>
      </c>
      <c r="I5422">
        <v>215.32</v>
      </c>
      <c r="J5422">
        <v>76.81</v>
      </c>
      <c r="K5422">
        <v>69.13</v>
      </c>
      <c r="L5422">
        <v>7.68</v>
      </c>
      <c r="M5422" s="1" t="s">
        <v>21</v>
      </c>
      <c r="N5422" s="1" t="s">
        <v>22</v>
      </c>
      <c r="O5422" s="2">
        <v>46192</v>
      </c>
      <c r="P5422" s="2">
        <v>46192</v>
      </c>
      <c r="Q5422">
        <f>_xlfn.XLOOKUP(E5422,CPT!$A$2:$A$13,CPT!$D$2:$D$13)</f>
        <v>210</v>
      </c>
      <c r="R5422" s="1">
        <f>_xlfn.XLOOKUP(C5422,Contract!$A$2:$A$9,Contract!$B$2:$B$9)</f>
        <v>0.36</v>
      </c>
      <c r="S5422" s="1">
        <f t="shared" si="336"/>
        <v>75.599999999999994</v>
      </c>
      <c r="T5422" s="1">
        <f t="shared" si="337"/>
        <v>-1.210000000000008</v>
      </c>
      <c r="U5422" s="1" t="str">
        <f t="shared" si="338"/>
        <v>OK</v>
      </c>
      <c r="V5422" s="1" t="str">
        <f>_xlfn.XLOOKUP(C5422,Payers!$A$2:$A$9,Payers!$B$2:$B$9)</f>
        <v>Medicare Part B</v>
      </c>
      <c r="W5422" s="1" t="str">
        <f t="shared" si="339"/>
        <v>2026-05</v>
      </c>
    </row>
    <row r="5423" spans="1:23">
      <c r="A5423" s="1" t="s">
        <v>8243</v>
      </c>
      <c r="B5423" s="1" t="s">
        <v>5095</v>
      </c>
      <c r="C5423" s="1" t="s">
        <v>36</v>
      </c>
      <c r="D5423" s="1" t="s">
        <v>37</v>
      </c>
      <c r="E5423" s="1" t="s">
        <v>57</v>
      </c>
      <c r="F5423">
        <v>1</v>
      </c>
      <c r="G5423" s="2">
        <v>46029</v>
      </c>
      <c r="H5423" s="2">
        <v>46034</v>
      </c>
      <c r="I5423">
        <v>212.06</v>
      </c>
      <c r="J5423">
        <v>58.01</v>
      </c>
      <c r="K5423">
        <v>46.41</v>
      </c>
      <c r="L5423">
        <v>11.6</v>
      </c>
      <c r="M5423" s="1" t="s">
        <v>21</v>
      </c>
      <c r="N5423" s="1" t="s">
        <v>22</v>
      </c>
      <c r="O5423" s="2">
        <v>46081</v>
      </c>
      <c r="P5423" s="2">
        <v>46081</v>
      </c>
      <c r="Q5423">
        <f>_xlfn.XLOOKUP(E5423,CPT!$A$2:$A$13,CPT!$D$2:$D$13)</f>
        <v>210</v>
      </c>
      <c r="R5423" s="1">
        <f>_xlfn.XLOOKUP(C5423,Contract!$A$2:$A$9,Contract!$B$2:$B$9)</f>
        <v>0.27</v>
      </c>
      <c r="S5423" s="1">
        <f t="shared" si="336"/>
        <v>56.7</v>
      </c>
      <c r="T5423" s="1">
        <f t="shared" si="337"/>
        <v>-1.3099999999999952</v>
      </c>
      <c r="U5423" s="1" t="str">
        <f t="shared" si="338"/>
        <v>OK</v>
      </c>
      <c r="V5423" s="1" t="str">
        <f>_xlfn.XLOOKUP(C5423,Payers!$A$2:$A$9,Payers!$B$2:$B$9)</f>
        <v>Florida Medicaid</v>
      </c>
      <c r="W5423" s="1" t="str">
        <f t="shared" si="339"/>
        <v>2026-01</v>
      </c>
    </row>
    <row r="5424" spans="1:23">
      <c r="A5424" s="1" t="s">
        <v>8244</v>
      </c>
      <c r="B5424" s="1" t="s">
        <v>1306</v>
      </c>
      <c r="C5424" s="1" t="s">
        <v>25</v>
      </c>
      <c r="D5424" s="1" t="s">
        <v>19</v>
      </c>
      <c r="E5424" s="1" t="s">
        <v>41</v>
      </c>
      <c r="F5424">
        <v>1</v>
      </c>
      <c r="G5424" s="2">
        <v>46236</v>
      </c>
      <c r="H5424" s="2">
        <v>46247</v>
      </c>
      <c r="I5424">
        <v>38.86</v>
      </c>
      <c r="J5424">
        <v>14.56</v>
      </c>
      <c r="K5424">
        <v>13.1</v>
      </c>
      <c r="L5424">
        <v>1.46</v>
      </c>
      <c r="M5424" s="1" t="s">
        <v>21</v>
      </c>
      <c r="N5424" s="1" t="s">
        <v>22</v>
      </c>
      <c r="O5424" s="2">
        <v>46260</v>
      </c>
      <c r="P5424" s="2">
        <v>46260</v>
      </c>
      <c r="Q5424">
        <f>_xlfn.XLOOKUP(E5424,CPT!$A$2:$A$13,CPT!$D$2:$D$13)</f>
        <v>38</v>
      </c>
      <c r="R5424" s="1">
        <f>_xlfn.XLOOKUP(C5424,Contract!$A$2:$A$9,Contract!$B$2:$B$9)</f>
        <v>0.36</v>
      </c>
      <c r="S5424" s="1">
        <f t="shared" si="336"/>
        <v>13.68</v>
      </c>
      <c r="T5424" s="1">
        <f t="shared" si="337"/>
        <v>-0.88000000000000078</v>
      </c>
      <c r="U5424" s="1" t="str">
        <f t="shared" si="338"/>
        <v>OK</v>
      </c>
      <c r="V5424" s="1" t="str">
        <f>_xlfn.XLOOKUP(C5424,Payers!$A$2:$A$9,Payers!$B$2:$B$9)</f>
        <v>Medicare Part B</v>
      </c>
      <c r="W5424" s="1" t="str">
        <f t="shared" si="339"/>
        <v>2026-08</v>
      </c>
    </row>
    <row r="5425" spans="1:23">
      <c r="A5425" s="1" t="s">
        <v>8245</v>
      </c>
      <c r="B5425" s="1" t="s">
        <v>3440</v>
      </c>
      <c r="C5425" s="1" t="s">
        <v>52</v>
      </c>
      <c r="D5425" s="1" t="s">
        <v>19</v>
      </c>
      <c r="E5425" s="1" t="s">
        <v>57</v>
      </c>
      <c r="F5425">
        <v>1</v>
      </c>
      <c r="G5425" s="2">
        <v>45994</v>
      </c>
      <c r="H5425" s="2">
        <v>46000</v>
      </c>
      <c r="I5425">
        <v>210.83</v>
      </c>
      <c r="J5425">
        <v>113.62</v>
      </c>
      <c r="K5425">
        <v>113.62</v>
      </c>
      <c r="L5425">
        <v>0</v>
      </c>
      <c r="M5425" s="1" t="s">
        <v>21</v>
      </c>
      <c r="N5425" s="1" t="s">
        <v>22</v>
      </c>
      <c r="O5425" s="2">
        <v>46036</v>
      </c>
      <c r="P5425" s="2">
        <v>46036</v>
      </c>
      <c r="Q5425">
        <f>_xlfn.XLOOKUP(E5425,CPT!$A$2:$A$13,CPT!$D$2:$D$13)</f>
        <v>210</v>
      </c>
      <c r="R5425" s="1">
        <f>_xlfn.XLOOKUP(C5425,Contract!$A$2:$A$9,Contract!$B$2:$B$9)</f>
        <v>0.47</v>
      </c>
      <c r="S5425" s="1">
        <f t="shared" si="336"/>
        <v>98.7</v>
      </c>
      <c r="T5425" s="1">
        <f t="shared" si="337"/>
        <v>-14.920000000000002</v>
      </c>
      <c r="U5425" s="1" t="str">
        <f t="shared" si="338"/>
        <v>OK</v>
      </c>
      <c r="V5425" s="1" t="str">
        <f>_xlfn.XLOOKUP(C5425,Payers!$A$2:$A$9,Payers!$B$2:$B$9)</f>
        <v>Keystone Commercial PPO</v>
      </c>
      <c r="W5425" s="1" t="str">
        <f t="shared" si="339"/>
        <v>2025-12</v>
      </c>
    </row>
    <row r="5426" spans="1:23">
      <c r="A5426" s="1" t="s">
        <v>8246</v>
      </c>
      <c r="B5426" s="1" t="s">
        <v>4017</v>
      </c>
      <c r="C5426" s="1" t="s">
        <v>60</v>
      </c>
      <c r="D5426" s="1" t="s">
        <v>37</v>
      </c>
      <c r="E5426" s="1" t="s">
        <v>48</v>
      </c>
      <c r="F5426">
        <v>1</v>
      </c>
      <c r="G5426" s="2">
        <v>46047</v>
      </c>
      <c r="H5426" s="2">
        <v>46049</v>
      </c>
      <c r="I5426">
        <v>417.46</v>
      </c>
      <c r="J5426">
        <v>168.03</v>
      </c>
      <c r="K5426">
        <v>151.22999999999999</v>
      </c>
      <c r="L5426">
        <v>16.8</v>
      </c>
      <c r="M5426" s="1" t="s">
        <v>21</v>
      </c>
      <c r="N5426" s="1" t="s">
        <v>22</v>
      </c>
      <c r="O5426" s="2">
        <v>46085</v>
      </c>
      <c r="P5426" s="2">
        <v>46085</v>
      </c>
      <c r="Q5426">
        <f>_xlfn.XLOOKUP(E5426,CPT!$A$2:$A$13,CPT!$D$2:$D$13)</f>
        <v>420</v>
      </c>
      <c r="R5426" s="1">
        <f>_xlfn.XLOOKUP(C5426,Contract!$A$2:$A$9,Contract!$B$2:$B$9)</f>
        <v>0.45</v>
      </c>
      <c r="S5426" s="1">
        <f t="shared" si="336"/>
        <v>189</v>
      </c>
      <c r="T5426" s="1">
        <f t="shared" si="337"/>
        <v>20.97</v>
      </c>
      <c r="U5426" s="1" t="str">
        <f t="shared" si="338"/>
        <v>Underpaid</v>
      </c>
      <c r="V5426" s="1" t="str">
        <f>_xlfn.XLOOKUP(C5426,Payers!$A$2:$A$9,Payers!$B$2:$B$9)</f>
        <v>Blue Horizon Commercial</v>
      </c>
      <c r="W5426" s="1" t="str">
        <f t="shared" si="339"/>
        <v>2026-01</v>
      </c>
    </row>
    <row r="5427" spans="1:23">
      <c r="A5427" s="1" t="s">
        <v>8247</v>
      </c>
      <c r="B5427" s="1" t="s">
        <v>1538</v>
      </c>
      <c r="C5427" s="1" t="s">
        <v>60</v>
      </c>
      <c r="D5427" s="1" t="s">
        <v>26</v>
      </c>
      <c r="E5427" s="1" t="s">
        <v>44</v>
      </c>
      <c r="F5427">
        <v>1</v>
      </c>
      <c r="G5427" s="2">
        <v>46061</v>
      </c>
      <c r="H5427" s="2">
        <v>46066</v>
      </c>
      <c r="I5427">
        <v>4784.79</v>
      </c>
      <c r="J5427">
        <v>2466.61</v>
      </c>
      <c r="K5427">
        <v>2466.61</v>
      </c>
      <c r="L5427">
        <v>0</v>
      </c>
      <c r="M5427" s="1" t="s">
        <v>21</v>
      </c>
      <c r="N5427" s="1" t="s">
        <v>22</v>
      </c>
      <c r="O5427" s="2">
        <v>46099</v>
      </c>
      <c r="P5427" s="2">
        <v>46099</v>
      </c>
      <c r="Q5427">
        <f>_xlfn.XLOOKUP(E5427,CPT!$A$2:$A$13,CPT!$D$2:$D$13)</f>
        <v>4800</v>
      </c>
      <c r="R5427" s="1">
        <f>_xlfn.XLOOKUP(C5427,Contract!$A$2:$A$9,Contract!$B$2:$B$9)</f>
        <v>0.45</v>
      </c>
      <c r="S5427" s="1">
        <f t="shared" si="336"/>
        <v>2160</v>
      </c>
      <c r="T5427" s="1">
        <f t="shared" si="337"/>
        <v>-306.61000000000013</v>
      </c>
      <c r="U5427" s="1" t="str">
        <f t="shared" si="338"/>
        <v>OK</v>
      </c>
      <c r="V5427" s="1" t="str">
        <f>_xlfn.XLOOKUP(C5427,Payers!$A$2:$A$9,Payers!$B$2:$B$9)</f>
        <v>Blue Horizon Commercial</v>
      </c>
      <c r="W5427" s="1" t="str">
        <f t="shared" si="339"/>
        <v>2026-02</v>
      </c>
    </row>
    <row r="5428" spans="1:23">
      <c r="A5428" s="1" t="s">
        <v>8248</v>
      </c>
      <c r="B5428" s="1" t="s">
        <v>6812</v>
      </c>
      <c r="C5428" s="1" t="s">
        <v>60</v>
      </c>
      <c r="D5428" s="1" t="s">
        <v>19</v>
      </c>
      <c r="E5428" s="1" t="s">
        <v>41</v>
      </c>
      <c r="F5428">
        <v>1</v>
      </c>
      <c r="G5428" s="2">
        <v>46263</v>
      </c>
      <c r="H5428" s="2">
        <v>46266</v>
      </c>
      <c r="I5428">
        <v>37.19</v>
      </c>
      <c r="J5428">
        <v>17.690000000000001</v>
      </c>
      <c r="K5428">
        <v>17.690000000000001</v>
      </c>
      <c r="L5428">
        <v>0</v>
      </c>
      <c r="M5428" s="1" t="s">
        <v>21</v>
      </c>
      <c r="N5428" s="1" t="s">
        <v>22</v>
      </c>
      <c r="O5428" s="2">
        <v>46281</v>
      </c>
      <c r="P5428" s="2">
        <v>46281</v>
      </c>
      <c r="Q5428">
        <f>_xlfn.XLOOKUP(E5428,CPT!$A$2:$A$13,CPT!$D$2:$D$13)</f>
        <v>38</v>
      </c>
      <c r="R5428" s="1">
        <f>_xlfn.XLOOKUP(C5428,Contract!$A$2:$A$9,Contract!$B$2:$B$9)</f>
        <v>0.45</v>
      </c>
      <c r="S5428" s="1">
        <f t="shared" si="336"/>
        <v>17.100000000000001</v>
      </c>
      <c r="T5428" s="1">
        <f t="shared" si="337"/>
        <v>-0.58999999999999986</v>
      </c>
      <c r="U5428" s="1" t="str">
        <f t="shared" si="338"/>
        <v>OK</v>
      </c>
      <c r="V5428" s="1" t="str">
        <f>_xlfn.XLOOKUP(C5428,Payers!$A$2:$A$9,Payers!$B$2:$B$9)</f>
        <v>Blue Horizon Commercial</v>
      </c>
      <c r="W5428" s="1" t="str">
        <f t="shared" si="339"/>
        <v>2026-08</v>
      </c>
    </row>
    <row r="5429" spans="1:23">
      <c r="A5429" s="1" t="s">
        <v>8249</v>
      </c>
      <c r="B5429" s="1" t="s">
        <v>8250</v>
      </c>
      <c r="C5429" s="1" t="s">
        <v>36</v>
      </c>
      <c r="D5429" s="1" t="s">
        <v>30</v>
      </c>
      <c r="E5429" s="1" t="s">
        <v>20</v>
      </c>
      <c r="F5429">
        <v>1</v>
      </c>
      <c r="G5429" s="2">
        <v>45945</v>
      </c>
      <c r="H5429" s="2">
        <v>45947</v>
      </c>
      <c r="I5429">
        <v>142.94999999999999</v>
      </c>
      <c r="J5429">
        <v>43.72</v>
      </c>
      <c r="K5429">
        <v>39.35</v>
      </c>
      <c r="L5429">
        <v>4.37</v>
      </c>
      <c r="M5429" s="1" t="s">
        <v>21</v>
      </c>
      <c r="N5429" s="1" t="s">
        <v>22</v>
      </c>
      <c r="O5429" s="2">
        <v>45985</v>
      </c>
      <c r="P5429" s="2">
        <v>45985</v>
      </c>
      <c r="Q5429">
        <f>_xlfn.XLOOKUP(E5429,CPT!$A$2:$A$13,CPT!$D$2:$D$13)</f>
        <v>145</v>
      </c>
      <c r="R5429" s="1">
        <f>_xlfn.XLOOKUP(C5429,Contract!$A$2:$A$9,Contract!$B$2:$B$9)</f>
        <v>0.27</v>
      </c>
      <c r="S5429" s="1">
        <f t="shared" si="336"/>
        <v>39.15</v>
      </c>
      <c r="T5429" s="1">
        <f t="shared" si="337"/>
        <v>-4.57</v>
      </c>
      <c r="U5429" s="1" t="str">
        <f t="shared" si="338"/>
        <v>OK</v>
      </c>
      <c r="V5429" s="1" t="str">
        <f>_xlfn.XLOOKUP(C5429,Payers!$A$2:$A$9,Payers!$B$2:$B$9)</f>
        <v>Florida Medicaid</v>
      </c>
      <c r="W5429" s="1" t="str">
        <f t="shared" si="339"/>
        <v>2025-10</v>
      </c>
    </row>
    <row r="5430" spans="1:23">
      <c r="A5430" s="1" t="s">
        <v>8251</v>
      </c>
      <c r="B5430" s="1" t="s">
        <v>2635</v>
      </c>
      <c r="C5430" s="1" t="s">
        <v>36</v>
      </c>
      <c r="D5430" s="1" t="s">
        <v>26</v>
      </c>
      <c r="E5430" s="1" t="s">
        <v>41</v>
      </c>
      <c r="F5430">
        <v>1</v>
      </c>
      <c r="G5430" s="2">
        <v>46175</v>
      </c>
      <c r="H5430" s="2">
        <v>46181</v>
      </c>
      <c r="I5430">
        <v>38.92</v>
      </c>
      <c r="J5430">
        <v>9.8800000000000008</v>
      </c>
      <c r="K5430">
        <v>7.9</v>
      </c>
      <c r="L5430">
        <v>1.98</v>
      </c>
      <c r="M5430" s="1" t="s">
        <v>21</v>
      </c>
      <c r="N5430" s="1" t="s">
        <v>22</v>
      </c>
      <c r="O5430" s="2">
        <v>46210</v>
      </c>
      <c r="P5430" s="2">
        <v>46210</v>
      </c>
      <c r="Q5430">
        <f>_xlfn.XLOOKUP(E5430,CPT!$A$2:$A$13,CPT!$D$2:$D$13)</f>
        <v>38</v>
      </c>
      <c r="R5430" s="1">
        <f>_xlfn.XLOOKUP(C5430,Contract!$A$2:$A$9,Contract!$B$2:$B$9)</f>
        <v>0.27</v>
      </c>
      <c r="S5430" s="1">
        <f t="shared" si="336"/>
        <v>10.26</v>
      </c>
      <c r="T5430" s="1">
        <f t="shared" si="337"/>
        <v>0.37999999999999901</v>
      </c>
      <c r="U5430" s="1" t="str">
        <f t="shared" si="338"/>
        <v>OK</v>
      </c>
      <c r="V5430" s="1" t="str">
        <f>_xlfn.XLOOKUP(C5430,Payers!$A$2:$A$9,Payers!$B$2:$B$9)</f>
        <v>Florida Medicaid</v>
      </c>
      <c r="W5430" s="1" t="str">
        <f t="shared" si="339"/>
        <v>2026-06</v>
      </c>
    </row>
    <row r="5431" spans="1:23">
      <c r="A5431" s="1" t="s">
        <v>8252</v>
      </c>
      <c r="B5431" s="1" t="s">
        <v>8253</v>
      </c>
      <c r="C5431" s="1" t="s">
        <v>76</v>
      </c>
      <c r="D5431" s="1" t="s">
        <v>37</v>
      </c>
      <c r="E5431" s="1" t="s">
        <v>38</v>
      </c>
      <c r="F5431">
        <v>10</v>
      </c>
      <c r="G5431" s="2">
        <v>45994</v>
      </c>
      <c r="H5431" s="2">
        <v>45997</v>
      </c>
      <c r="I5431">
        <v>14746.69</v>
      </c>
      <c r="J5431">
        <v>5406.37</v>
      </c>
      <c r="K5431">
        <v>5406.37</v>
      </c>
      <c r="L5431">
        <v>0</v>
      </c>
      <c r="M5431" s="1" t="s">
        <v>21</v>
      </c>
      <c r="N5431" s="1" t="s">
        <v>22</v>
      </c>
      <c r="O5431" s="2">
        <v>46032</v>
      </c>
      <c r="P5431" s="2">
        <v>46032</v>
      </c>
      <c r="Q5431">
        <f>_xlfn.XLOOKUP(E5431,CPT!$A$2:$A$13,CPT!$D$2:$D$13)</f>
        <v>1450</v>
      </c>
      <c r="R5431" s="1">
        <f>_xlfn.XLOOKUP(C5431,Contract!$A$2:$A$9,Contract!$B$2:$B$9)</f>
        <v>0.43</v>
      </c>
      <c r="S5431" s="1">
        <f t="shared" si="336"/>
        <v>6235</v>
      </c>
      <c r="T5431" s="1">
        <f t="shared" si="337"/>
        <v>828.63000000000011</v>
      </c>
      <c r="U5431" s="1" t="str">
        <f t="shared" si="338"/>
        <v>Underpaid</v>
      </c>
      <c r="V5431" s="1" t="str">
        <f>_xlfn.XLOOKUP(C5431,Payers!$A$2:$A$9,Payers!$B$2:$B$9)</f>
        <v>Summit Health Commercial</v>
      </c>
      <c r="W5431" s="1" t="str">
        <f t="shared" si="339"/>
        <v>2025-12</v>
      </c>
    </row>
    <row r="5432" spans="1:23">
      <c r="A5432" s="1" t="s">
        <v>8254</v>
      </c>
      <c r="B5432" s="1" t="s">
        <v>731</v>
      </c>
      <c r="C5432" s="1" t="s">
        <v>25</v>
      </c>
      <c r="D5432" s="1" t="s">
        <v>30</v>
      </c>
      <c r="E5432" s="1" t="s">
        <v>31</v>
      </c>
      <c r="F5432">
        <v>1</v>
      </c>
      <c r="G5432" s="2">
        <v>46014</v>
      </c>
      <c r="H5432" s="2">
        <v>46021</v>
      </c>
      <c r="I5432">
        <v>60.22</v>
      </c>
      <c r="J5432">
        <v>19.23</v>
      </c>
      <c r="K5432">
        <v>17.309999999999999</v>
      </c>
      <c r="L5432">
        <v>1.92</v>
      </c>
      <c r="M5432" s="1" t="s">
        <v>21</v>
      </c>
      <c r="N5432" s="1" t="s">
        <v>22</v>
      </c>
      <c r="O5432" s="2">
        <v>46042</v>
      </c>
      <c r="P5432" s="2">
        <v>46042</v>
      </c>
      <c r="Q5432">
        <f>_xlfn.XLOOKUP(E5432,CPT!$A$2:$A$13,CPT!$D$2:$D$13)</f>
        <v>62</v>
      </c>
      <c r="R5432" s="1">
        <f>_xlfn.XLOOKUP(C5432,Contract!$A$2:$A$9,Contract!$B$2:$B$9)</f>
        <v>0.36</v>
      </c>
      <c r="S5432" s="1">
        <f t="shared" si="336"/>
        <v>22.32</v>
      </c>
      <c r="T5432" s="1">
        <f t="shared" si="337"/>
        <v>3.09</v>
      </c>
      <c r="U5432" s="1" t="str">
        <f t="shared" si="338"/>
        <v>Underpaid</v>
      </c>
      <c r="V5432" s="1" t="str">
        <f>_xlfn.XLOOKUP(C5432,Payers!$A$2:$A$9,Payers!$B$2:$B$9)</f>
        <v>Medicare Part B</v>
      </c>
      <c r="W5432" s="1" t="str">
        <f t="shared" si="339"/>
        <v>2025-12</v>
      </c>
    </row>
    <row r="5433" spans="1:23">
      <c r="A5433" s="1" t="s">
        <v>8255</v>
      </c>
      <c r="B5433" s="1" t="s">
        <v>1258</v>
      </c>
      <c r="C5433" s="1" t="s">
        <v>79</v>
      </c>
      <c r="D5433" s="1" t="s">
        <v>26</v>
      </c>
      <c r="E5433" s="1" t="s">
        <v>57</v>
      </c>
      <c r="F5433">
        <v>1</v>
      </c>
      <c r="G5433" s="2">
        <v>46246</v>
      </c>
      <c r="H5433" s="2">
        <v>46249</v>
      </c>
      <c r="I5433">
        <v>211.63</v>
      </c>
      <c r="M5433" s="1" t="s">
        <v>69</v>
      </c>
      <c r="N5433" s="1" t="s">
        <v>22</v>
      </c>
      <c r="O5433" s="2"/>
      <c r="P5433" s="2"/>
      <c r="Q5433">
        <f>_xlfn.XLOOKUP(E5433,CPT!$A$2:$A$13,CPT!$D$2:$D$13)</f>
        <v>210</v>
      </c>
      <c r="R5433" s="1">
        <f>_xlfn.XLOOKUP(C5433,Contract!$A$2:$A$9,Contract!$B$2:$B$9)</f>
        <v>1</v>
      </c>
      <c r="S5433" s="1">
        <f t="shared" si="336"/>
        <v>210</v>
      </c>
      <c r="T5433" s="1" t="str">
        <f t="shared" si="337"/>
        <v/>
      </c>
      <c r="U5433" s="1" t="str">
        <f t="shared" si="338"/>
        <v/>
      </c>
      <c r="V5433" s="1" t="str">
        <f>_xlfn.XLOOKUP(C5433,Payers!$A$2:$A$9,Payers!$B$2:$B$9)</f>
        <v>Self-Pay</v>
      </c>
      <c r="W5433" s="1" t="str">
        <f t="shared" si="339"/>
        <v>2026-08</v>
      </c>
    </row>
    <row r="5434" spans="1:23">
      <c r="A5434" s="1" t="s">
        <v>8256</v>
      </c>
      <c r="B5434" s="1" t="s">
        <v>8257</v>
      </c>
      <c r="C5434" s="1" t="s">
        <v>36</v>
      </c>
      <c r="D5434" s="1" t="s">
        <v>26</v>
      </c>
      <c r="E5434" s="1" t="s">
        <v>27</v>
      </c>
      <c r="F5434">
        <v>1</v>
      </c>
      <c r="G5434" s="2">
        <v>46280</v>
      </c>
      <c r="H5434" s="2">
        <v>46285</v>
      </c>
      <c r="I5434">
        <v>246.61</v>
      </c>
      <c r="M5434" s="1" t="s">
        <v>69</v>
      </c>
      <c r="N5434" s="1" t="s">
        <v>22</v>
      </c>
      <c r="O5434" s="2"/>
      <c r="P5434" s="2"/>
      <c r="Q5434">
        <f>_xlfn.XLOOKUP(E5434,CPT!$A$2:$A$13,CPT!$D$2:$D$13)</f>
        <v>240</v>
      </c>
      <c r="R5434" s="1">
        <f>_xlfn.XLOOKUP(C5434,Contract!$A$2:$A$9,Contract!$B$2:$B$9)</f>
        <v>0.27</v>
      </c>
      <c r="S5434" s="1">
        <f t="shared" si="336"/>
        <v>64.8</v>
      </c>
      <c r="T5434" s="1" t="str">
        <f t="shared" si="337"/>
        <v/>
      </c>
      <c r="U5434" s="1" t="str">
        <f t="shared" si="338"/>
        <v/>
      </c>
      <c r="V5434" s="1" t="str">
        <f>_xlfn.XLOOKUP(C5434,Payers!$A$2:$A$9,Payers!$B$2:$B$9)</f>
        <v>Florida Medicaid</v>
      </c>
      <c r="W5434" s="1" t="str">
        <f t="shared" si="339"/>
        <v>2026-09</v>
      </c>
    </row>
    <row r="5435" spans="1:23">
      <c r="A5435" s="1" t="s">
        <v>8258</v>
      </c>
      <c r="B5435" s="1" t="s">
        <v>6389</v>
      </c>
      <c r="C5435" s="1" t="s">
        <v>60</v>
      </c>
      <c r="D5435" s="1" t="s">
        <v>19</v>
      </c>
      <c r="E5435" s="1" t="s">
        <v>57</v>
      </c>
      <c r="F5435">
        <v>1</v>
      </c>
      <c r="G5435" s="2">
        <v>46116</v>
      </c>
      <c r="H5435" s="2">
        <v>46123</v>
      </c>
      <c r="I5435">
        <v>211.2</v>
      </c>
      <c r="J5435">
        <v>99.97</v>
      </c>
      <c r="K5435">
        <v>89.97</v>
      </c>
      <c r="L5435">
        <v>10</v>
      </c>
      <c r="M5435" s="1" t="s">
        <v>21</v>
      </c>
      <c r="N5435" s="1" t="s">
        <v>22</v>
      </c>
      <c r="O5435" s="2">
        <v>46158</v>
      </c>
      <c r="P5435" s="2">
        <v>46158</v>
      </c>
      <c r="Q5435">
        <f>_xlfn.XLOOKUP(E5435,CPT!$A$2:$A$13,CPT!$D$2:$D$13)</f>
        <v>210</v>
      </c>
      <c r="R5435" s="1">
        <f>_xlfn.XLOOKUP(C5435,Contract!$A$2:$A$9,Contract!$B$2:$B$9)</f>
        <v>0.45</v>
      </c>
      <c r="S5435" s="1">
        <f t="shared" si="336"/>
        <v>94.5</v>
      </c>
      <c r="T5435" s="1">
        <f t="shared" si="337"/>
        <v>-5.4699999999999989</v>
      </c>
      <c r="U5435" s="1" t="str">
        <f t="shared" si="338"/>
        <v>OK</v>
      </c>
      <c r="V5435" s="1" t="str">
        <f>_xlfn.XLOOKUP(C5435,Payers!$A$2:$A$9,Payers!$B$2:$B$9)</f>
        <v>Blue Horizon Commercial</v>
      </c>
      <c r="W5435" s="1" t="str">
        <f t="shared" si="339"/>
        <v>2026-04</v>
      </c>
    </row>
    <row r="5436" spans="1:23">
      <c r="A5436" s="1" t="s">
        <v>8259</v>
      </c>
      <c r="B5436" s="1" t="s">
        <v>6023</v>
      </c>
      <c r="C5436" s="1" t="s">
        <v>76</v>
      </c>
      <c r="D5436" s="1" t="s">
        <v>19</v>
      </c>
      <c r="E5436" s="1" t="s">
        <v>88</v>
      </c>
      <c r="F5436">
        <v>1</v>
      </c>
      <c r="G5436" s="2">
        <v>46094</v>
      </c>
      <c r="H5436" s="2">
        <v>46102</v>
      </c>
      <c r="I5436">
        <v>266.45</v>
      </c>
      <c r="M5436" s="1" t="s">
        <v>32</v>
      </c>
      <c r="N5436" s="1" t="s">
        <v>281</v>
      </c>
      <c r="O5436" s="2">
        <v>46132</v>
      </c>
      <c r="P5436" s="2"/>
      <c r="Q5436">
        <f>_xlfn.XLOOKUP(E5436,CPT!$A$2:$A$13,CPT!$D$2:$D$13)</f>
        <v>260</v>
      </c>
      <c r="R5436" s="1">
        <f>_xlfn.XLOOKUP(C5436,Contract!$A$2:$A$9,Contract!$B$2:$B$9)</f>
        <v>0.43</v>
      </c>
      <c r="S5436" s="1">
        <f t="shared" si="336"/>
        <v>111.8</v>
      </c>
      <c r="T5436" s="1" t="str">
        <f t="shared" si="337"/>
        <v/>
      </c>
      <c r="U5436" s="1" t="str">
        <f t="shared" si="338"/>
        <v/>
      </c>
      <c r="V5436" s="1" t="str">
        <f>_xlfn.XLOOKUP(C5436,Payers!$A$2:$A$9,Payers!$B$2:$B$9)</f>
        <v>Summit Health Commercial</v>
      </c>
      <c r="W5436" s="1" t="str">
        <f t="shared" si="339"/>
        <v>2026-03</v>
      </c>
    </row>
    <row r="5437" spans="1:23">
      <c r="A5437" s="1" t="s">
        <v>8260</v>
      </c>
      <c r="B5437" s="1" t="s">
        <v>8261</v>
      </c>
      <c r="C5437" s="1" t="s">
        <v>60</v>
      </c>
      <c r="D5437" s="1" t="s">
        <v>30</v>
      </c>
      <c r="E5437" s="1" t="s">
        <v>20</v>
      </c>
      <c r="F5437">
        <v>1</v>
      </c>
      <c r="G5437" s="2">
        <v>46238</v>
      </c>
      <c r="H5437" s="2">
        <v>46243</v>
      </c>
      <c r="I5437">
        <v>145.03</v>
      </c>
      <c r="J5437">
        <v>59.95</v>
      </c>
      <c r="K5437">
        <v>53.95</v>
      </c>
      <c r="L5437">
        <v>6</v>
      </c>
      <c r="M5437" s="1" t="s">
        <v>21</v>
      </c>
      <c r="N5437" s="1" t="s">
        <v>22</v>
      </c>
      <c r="O5437" s="2">
        <v>46261</v>
      </c>
      <c r="P5437" s="2">
        <v>46261</v>
      </c>
      <c r="Q5437">
        <f>_xlfn.XLOOKUP(E5437,CPT!$A$2:$A$13,CPT!$D$2:$D$13)</f>
        <v>145</v>
      </c>
      <c r="R5437" s="1">
        <f>_xlfn.XLOOKUP(C5437,Contract!$A$2:$A$9,Contract!$B$2:$B$9)</f>
        <v>0.45</v>
      </c>
      <c r="S5437" s="1">
        <f t="shared" si="336"/>
        <v>65.25</v>
      </c>
      <c r="T5437" s="1">
        <f t="shared" si="337"/>
        <v>5.2999999999999972</v>
      </c>
      <c r="U5437" s="1" t="str">
        <f t="shared" si="338"/>
        <v>Underpaid</v>
      </c>
      <c r="V5437" s="1" t="str">
        <f>_xlfn.XLOOKUP(C5437,Payers!$A$2:$A$9,Payers!$B$2:$B$9)</f>
        <v>Blue Horizon Commercial</v>
      </c>
      <c r="W5437" s="1" t="str">
        <f t="shared" si="339"/>
        <v>2026-08</v>
      </c>
    </row>
    <row r="5438" spans="1:23">
      <c r="A5438" s="1" t="s">
        <v>8262</v>
      </c>
      <c r="B5438" s="1" t="s">
        <v>1093</v>
      </c>
      <c r="C5438" s="1" t="s">
        <v>25</v>
      </c>
      <c r="D5438" s="1" t="s">
        <v>26</v>
      </c>
      <c r="E5438" s="1" t="s">
        <v>88</v>
      </c>
      <c r="F5438">
        <v>1</v>
      </c>
      <c r="G5438" s="2">
        <v>46112</v>
      </c>
      <c r="H5438" s="2">
        <v>46114</v>
      </c>
      <c r="I5438">
        <v>267.27</v>
      </c>
      <c r="J5438">
        <v>105.04</v>
      </c>
      <c r="K5438">
        <v>94.54</v>
      </c>
      <c r="L5438">
        <v>10.5</v>
      </c>
      <c r="M5438" s="1" t="s">
        <v>21</v>
      </c>
      <c r="N5438" s="1" t="s">
        <v>22</v>
      </c>
      <c r="O5438" s="2">
        <v>46134</v>
      </c>
      <c r="P5438" s="2">
        <v>46134</v>
      </c>
      <c r="Q5438">
        <f>_xlfn.XLOOKUP(E5438,CPT!$A$2:$A$13,CPT!$D$2:$D$13)</f>
        <v>260</v>
      </c>
      <c r="R5438" s="1">
        <f>_xlfn.XLOOKUP(C5438,Contract!$A$2:$A$9,Contract!$B$2:$B$9)</f>
        <v>0.36</v>
      </c>
      <c r="S5438" s="1">
        <f t="shared" si="336"/>
        <v>93.6</v>
      </c>
      <c r="T5438" s="1">
        <f t="shared" si="337"/>
        <v>-11.440000000000012</v>
      </c>
      <c r="U5438" s="1" t="str">
        <f t="shared" si="338"/>
        <v>OK</v>
      </c>
      <c r="V5438" s="1" t="str">
        <f>_xlfn.XLOOKUP(C5438,Payers!$A$2:$A$9,Payers!$B$2:$B$9)</f>
        <v>Medicare Part B</v>
      </c>
      <c r="W5438" s="1" t="str">
        <f t="shared" si="339"/>
        <v>2026-03</v>
      </c>
    </row>
    <row r="5439" spans="1:23">
      <c r="A5439" s="1" t="s">
        <v>8263</v>
      </c>
      <c r="B5439" s="1" t="s">
        <v>977</v>
      </c>
      <c r="C5439" s="1" t="s">
        <v>36</v>
      </c>
      <c r="D5439" s="1" t="s">
        <v>30</v>
      </c>
      <c r="E5439" s="1" t="s">
        <v>91</v>
      </c>
      <c r="F5439">
        <v>1</v>
      </c>
      <c r="G5439" s="2">
        <v>45995</v>
      </c>
      <c r="H5439" s="2">
        <v>46000</v>
      </c>
      <c r="I5439">
        <v>59.31</v>
      </c>
      <c r="J5439">
        <v>14.87</v>
      </c>
      <c r="K5439">
        <v>11.9</v>
      </c>
      <c r="L5439">
        <v>2.97</v>
      </c>
      <c r="M5439" s="1" t="s">
        <v>21</v>
      </c>
      <c r="N5439" s="1" t="s">
        <v>22</v>
      </c>
      <c r="O5439" s="2">
        <v>46054</v>
      </c>
      <c r="P5439" s="2">
        <v>46054</v>
      </c>
      <c r="Q5439">
        <f>_xlfn.XLOOKUP(E5439,CPT!$A$2:$A$13,CPT!$D$2:$D$13)</f>
        <v>58</v>
      </c>
      <c r="R5439" s="1">
        <f>_xlfn.XLOOKUP(C5439,Contract!$A$2:$A$9,Contract!$B$2:$B$9)</f>
        <v>0.27</v>
      </c>
      <c r="S5439" s="1">
        <f t="shared" si="336"/>
        <v>15.66</v>
      </c>
      <c r="T5439" s="1">
        <f t="shared" si="337"/>
        <v>0.79000000000000092</v>
      </c>
      <c r="U5439" s="1" t="str">
        <f t="shared" si="338"/>
        <v>Underpaid</v>
      </c>
      <c r="V5439" s="1" t="str">
        <f>_xlfn.XLOOKUP(C5439,Payers!$A$2:$A$9,Payers!$B$2:$B$9)</f>
        <v>Florida Medicaid</v>
      </c>
      <c r="W5439" s="1" t="str">
        <f t="shared" si="339"/>
        <v>2025-12</v>
      </c>
    </row>
    <row r="5440" spans="1:23">
      <c r="A5440" s="1" t="s">
        <v>8264</v>
      </c>
      <c r="B5440" s="1" t="s">
        <v>1784</v>
      </c>
      <c r="C5440" s="1" t="s">
        <v>60</v>
      </c>
      <c r="D5440" s="1" t="s">
        <v>19</v>
      </c>
      <c r="E5440" s="1" t="s">
        <v>41</v>
      </c>
      <c r="F5440">
        <v>1</v>
      </c>
      <c r="G5440" s="2">
        <v>46260</v>
      </c>
      <c r="H5440" s="2">
        <v>46263</v>
      </c>
      <c r="I5440">
        <v>36.9</v>
      </c>
      <c r="J5440">
        <v>18.46</v>
      </c>
      <c r="K5440">
        <v>18.46</v>
      </c>
      <c r="L5440">
        <v>0</v>
      </c>
      <c r="M5440" s="1" t="s">
        <v>21</v>
      </c>
      <c r="N5440" s="1" t="s">
        <v>22</v>
      </c>
      <c r="O5440" s="2">
        <v>46279</v>
      </c>
      <c r="P5440" s="2">
        <v>46279</v>
      </c>
      <c r="Q5440">
        <f>_xlfn.XLOOKUP(E5440,CPT!$A$2:$A$13,CPT!$D$2:$D$13)</f>
        <v>38</v>
      </c>
      <c r="R5440" s="1">
        <f>_xlfn.XLOOKUP(C5440,Contract!$A$2:$A$9,Contract!$B$2:$B$9)</f>
        <v>0.45</v>
      </c>
      <c r="S5440" s="1">
        <f t="shared" si="336"/>
        <v>17.100000000000001</v>
      </c>
      <c r="T5440" s="1">
        <f t="shared" si="337"/>
        <v>-1.3599999999999994</v>
      </c>
      <c r="U5440" s="1" t="str">
        <f t="shared" si="338"/>
        <v>OK</v>
      </c>
      <c r="V5440" s="1" t="str">
        <f>_xlfn.XLOOKUP(C5440,Payers!$A$2:$A$9,Payers!$B$2:$B$9)</f>
        <v>Blue Horizon Commercial</v>
      </c>
      <c r="W5440" s="1" t="str">
        <f t="shared" si="339"/>
        <v>2026-08</v>
      </c>
    </row>
    <row r="5441" spans="1:23">
      <c r="A5441" s="1" t="s">
        <v>8265</v>
      </c>
      <c r="B5441" s="1" t="s">
        <v>7846</v>
      </c>
      <c r="C5441" s="1" t="s">
        <v>36</v>
      </c>
      <c r="D5441" s="1" t="s">
        <v>19</v>
      </c>
      <c r="E5441" s="1" t="s">
        <v>41</v>
      </c>
      <c r="F5441">
        <v>1</v>
      </c>
      <c r="G5441" s="2">
        <v>46279</v>
      </c>
      <c r="H5441" s="2">
        <v>46290</v>
      </c>
      <c r="I5441">
        <v>37.9</v>
      </c>
      <c r="M5441" s="1" t="s">
        <v>69</v>
      </c>
      <c r="N5441" s="1" t="s">
        <v>22</v>
      </c>
      <c r="O5441" s="2"/>
      <c r="P5441" s="2"/>
      <c r="Q5441">
        <f>_xlfn.XLOOKUP(E5441,CPT!$A$2:$A$13,CPT!$D$2:$D$13)</f>
        <v>38</v>
      </c>
      <c r="R5441" s="1">
        <f>_xlfn.XLOOKUP(C5441,Contract!$A$2:$A$9,Contract!$B$2:$B$9)</f>
        <v>0.27</v>
      </c>
      <c r="S5441" s="1">
        <f t="shared" si="336"/>
        <v>10.26</v>
      </c>
      <c r="T5441" s="1" t="str">
        <f t="shared" si="337"/>
        <v/>
      </c>
      <c r="U5441" s="1" t="str">
        <f t="shared" si="338"/>
        <v/>
      </c>
      <c r="V5441" s="1" t="str">
        <f>_xlfn.XLOOKUP(C5441,Payers!$A$2:$A$9,Payers!$B$2:$B$9)</f>
        <v>Florida Medicaid</v>
      </c>
      <c r="W5441" s="1" t="str">
        <f t="shared" si="339"/>
        <v>2026-09</v>
      </c>
    </row>
    <row r="5442" spans="1:23">
      <c r="A5442" s="1" t="s">
        <v>8266</v>
      </c>
      <c r="B5442" s="1" t="s">
        <v>2829</v>
      </c>
      <c r="C5442" s="1" t="s">
        <v>60</v>
      </c>
      <c r="D5442" s="1" t="s">
        <v>26</v>
      </c>
      <c r="E5442" s="1" t="s">
        <v>44</v>
      </c>
      <c r="F5442">
        <v>1</v>
      </c>
      <c r="G5442" s="2">
        <v>46251</v>
      </c>
      <c r="H5442" s="2">
        <v>46253</v>
      </c>
      <c r="I5442">
        <v>4814.88</v>
      </c>
      <c r="J5442">
        <v>1955.3</v>
      </c>
      <c r="K5442">
        <v>1955.3</v>
      </c>
      <c r="L5442">
        <v>0</v>
      </c>
      <c r="M5442" s="1" t="s">
        <v>21</v>
      </c>
      <c r="N5442" s="1" t="s">
        <v>22</v>
      </c>
      <c r="O5442" s="2">
        <v>46271</v>
      </c>
      <c r="P5442" s="2">
        <v>46271</v>
      </c>
      <c r="Q5442">
        <f>_xlfn.XLOOKUP(E5442,CPT!$A$2:$A$13,CPT!$D$2:$D$13)</f>
        <v>4800</v>
      </c>
      <c r="R5442" s="1">
        <f>_xlfn.XLOOKUP(C5442,Contract!$A$2:$A$9,Contract!$B$2:$B$9)</f>
        <v>0.45</v>
      </c>
      <c r="S5442" s="1">
        <f t="shared" ref="S5442:S5505" si="340">ROUND(Q5442*F5442*R5442,2)</f>
        <v>2160</v>
      </c>
      <c r="T5442" s="1">
        <f t="shared" ref="T5442:T5505" si="341">IF(M5442="Paid",S5442-J5442,"")</f>
        <v>204.70000000000005</v>
      </c>
      <c r="U5442" s="1" t="str">
        <f t="shared" ref="U5442:U5505" si="342">IF(M5442&lt;&gt;"Paid","",IF(T5442&gt;S5442*0.05,"Underpaid","OK"))</f>
        <v>Underpaid</v>
      </c>
      <c r="V5442" s="1" t="str">
        <f>_xlfn.XLOOKUP(C5442,Payers!$A$2:$A$9,Payers!$B$2:$B$9)</f>
        <v>Blue Horizon Commercial</v>
      </c>
      <c r="W5442" s="1" t="str">
        <f t="shared" ref="W5442:W5505" si="343">TEXT(G5442,"yyyy-mm")</f>
        <v>2026-08</v>
      </c>
    </row>
    <row r="5443" spans="1:23">
      <c r="A5443" s="1" t="s">
        <v>8267</v>
      </c>
      <c r="B5443" s="1" t="s">
        <v>8268</v>
      </c>
      <c r="C5443" s="1" t="s">
        <v>47</v>
      </c>
      <c r="D5443" s="1" t="s">
        <v>26</v>
      </c>
      <c r="E5443" s="1" t="s">
        <v>185</v>
      </c>
      <c r="F5443">
        <v>1</v>
      </c>
      <c r="G5443" s="2">
        <v>45960</v>
      </c>
      <c r="H5443" s="2">
        <v>45969</v>
      </c>
      <c r="I5443">
        <v>1116.22</v>
      </c>
      <c r="M5443" s="1" t="s">
        <v>32</v>
      </c>
      <c r="N5443" s="1" t="s">
        <v>33</v>
      </c>
      <c r="O5443" s="2">
        <v>46028</v>
      </c>
      <c r="P5443" s="2"/>
      <c r="Q5443">
        <f>_xlfn.XLOOKUP(E5443,CPT!$A$2:$A$13,CPT!$D$2:$D$13)</f>
        <v>1150</v>
      </c>
      <c r="R5443" s="1">
        <f>_xlfn.XLOOKUP(C5443,Contract!$A$2:$A$9,Contract!$B$2:$B$9)</f>
        <v>0.28000000000000003</v>
      </c>
      <c r="S5443" s="1">
        <f t="shared" si="340"/>
        <v>322</v>
      </c>
      <c r="T5443" s="1" t="str">
        <f t="shared" si="341"/>
        <v/>
      </c>
      <c r="U5443" s="1" t="str">
        <f t="shared" si="342"/>
        <v/>
      </c>
      <c r="V5443" s="1" t="str">
        <f>_xlfn.XLOOKUP(C5443,Payers!$A$2:$A$9,Payers!$B$2:$B$9)</f>
        <v>Coastal Medicaid MCO</v>
      </c>
      <c r="W5443" s="1" t="str">
        <f t="shared" si="343"/>
        <v>2025-10</v>
      </c>
    </row>
    <row r="5444" spans="1:23">
      <c r="A5444" s="1" t="s">
        <v>8269</v>
      </c>
      <c r="B5444" s="1" t="s">
        <v>6050</v>
      </c>
      <c r="C5444" s="1" t="s">
        <v>60</v>
      </c>
      <c r="D5444" s="1" t="s">
        <v>30</v>
      </c>
      <c r="E5444" s="1" t="s">
        <v>91</v>
      </c>
      <c r="F5444">
        <v>1</v>
      </c>
      <c r="G5444" s="2">
        <v>46051</v>
      </c>
      <c r="H5444" s="2">
        <v>46052</v>
      </c>
      <c r="I5444">
        <v>56.57</v>
      </c>
      <c r="J5444">
        <v>26.98</v>
      </c>
      <c r="K5444">
        <v>26.98</v>
      </c>
      <c r="L5444">
        <v>0</v>
      </c>
      <c r="M5444" s="1" t="s">
        <v>21</v>
      </c>
      <c r="N5444" s="1" t="s">
        <v>22</v>
      </c>
      <c r="O5444" s="2">
        <v>46072</v>
      </c>
      <c r="P5444" s="2">
        <v>46072</v>
      </c>
      <c r="Q5444">
        <f>_xlfn.XLOOKUP(E5444,CPT!$A$2:$A$13,CPT!$D$2:$D$13)</f>
        <v>58</v>
      </c>
      <c r="R5444" s="1">
        <f>_xlfn.XLOOKUP(C5444,Contract!$A$2:$A$9,Contract!$B$2:$B$9)</f>
        <v>0.45</v>
      </c>
      <c r="S5444" s="1">
        <f t="shared" si="340"/>
        <v>26.1</v>
      </c>
      <c r="T5444" s="1">
        <f t="shared" si="341"/>
        <v>-0.87999999999999901</v>
      </c>
      <c r="U5444" s="1" t="str">
        <f t="shared" si="342"/>
        <v>OK</v>
      </c>
      <c r="V5444" s="1" t="str">
        <f>_xlfn.XLOOKUP(C5444,Payers!$A$2:$A$9,Payers!$B$2:$B$9)</f>
        <v>Blue Horizon Commercial</v>
      </c>
      <c r="W5444" s="1" t="str">
        <f t="shared" si="343"/>
        <v>2026-01</v>
      </c>
    </row>
    <row r="5445" spans="1:23">
      <c r="A5445" s="1" t="s">
        <v>8270</v>
      </c>
      <c r="B5445" s="1" t="s">
        <v>1463</v>
      </c>
      <c r="C5445" s="1" t="s">
        <v>76</v>
      </c>
      <c r="D5445" s="1" t="s">
        <v>19</v>
      </c>
      <c r="E5445" s="1" t="s">
        <v>41</v>
      </c>
      <c r="F5445">
        <v>1</v>
      </c>
      <c r="G5445" s="2">
        <v>46269</v>
      </c>
      <c r="H5445" s="2">
        <v>46270</v>
      </c>
      <c r="I5445">
        <v>39.130000000000003</v>
      </c>
      <c r="M5445" s="1" t="s">
        <v>69</v>
      </c>
      <c r="N5445" s="1" t="s">
        <v>22</v>
      </c>
      <c r="O5445" s="2"/>
      <c r="P5445" s="2"/>
      <c r="Q5445">
        <f>_xlfn.XLOOKUP(E5445,CPT!$A$2:$A$13,CPT!$D$2:$D$13)</f>
        <v>38</v>
      </c>
      <c r="R5445" s="1">
        <f>_xlfn.XLOOKUP(C5445,Contract!$A$2:$A$9,Contract!$B$2:$B$9)</f>
        <v>0.43</v>
      </c>
      <c r="S5445" s="1">
        <f t="shared" si="340"/>
        <v>16.34</v>
      </c>
      <c r="T5445" s="1" t="str">
        <f t="shared" si="341"/>
        <v/>
      </c>
      <c r="U5445" s="1" t="str">
        <f t="shared" si="342"/>
        <v/>
      </c>
      <c r="V5445" s="1" t="str">
        <f>_xlfn.XLOOKUP(C5445,Payers!$A$2:$A$9,Payers!$B$2:$B$9)</f>
        <v>Summit Health Commercial</v>
      </c>
      <c r="W5445" s="1" t="str">
        <f t="shared" si="343"/>
        <v>2026-09</v>
      </c>
    </row>
    <row r="5446" spans="1:23">
      <c r="A5446" s="1" t="s">
        <v>8271</v>
      </c>
      <c r="B5446" s="1" t="s">
        <v>1582</v>
      </c>
      <c r="C5446" s="1" t="s">
        <v>76</v>
      </c>
      <c r="D5446" s="1" t="s">
        <v>37</v>
      </c>
      <c r="E5446" s="1" t="s">
        <v>57</v>
      </c>
      <c r="F5446">
        <v>1</v>
      </c>
      <c r="G5446" s="2">
        <v>46078</v>
      </c>
      <c r="H5446" s="2">
        <v>46079</v>
      </c>
      <c r="I5446">
        <v>215.9</v>
      </c>
      <c r="J5446">
        <v>102.24</v>
      </c>
      <c r="K5446">
        <v>92.02</v>
      </c>
      <c r="L5446">
        <v>10.220000000000001</v>
      </c>
      <c r="M5446" s="1" t="s">
        <v>21</v>
      </c>
      <c r="N5446" s="1" t="s">
        <v>22</v>
      </c>
      <c r="O5446" s="2">
        <v>46106</v>
      </c>
      <c r="P5446" s="2">
        <v>46106</v>
      </c>
      <c r="Q5446">
        <f>_xlfn.XLOOKUP(E5446,CPT!$A$2:$A$13,CPT!$D$2:$D$13)</f>
        <v>210</v>
      </c>
      <c r="R5446" s="1">
        <f>_xlfn.XLOOKUP(C5446,Contract!$A$2:$A$9,Contract!$B$2:$B$9)</f>
        <v>0.43</v>
      </c>
      <c r="S5446" s="1">
        <f t="shared" si="340"/>
        <v>90.3</v>
      </c>
      <c r="T5446" s="1">
        <f t="shared" si="341"/>
        <v>-11.939999999999998</v>
      </c>
      <c r="U5446" s="1" t="str">
        <f t="shared" si="342"/>
        <v>OK</v>
      </c>
      <c r="V5446" s="1" t="str">
        <f>_xlfn.XLOOKUP(C5446,Payers!$A$2:$A$9,Payers!$B$2:$B$9)</f>
        <v>Summit Health Commercial</v>
      </c>
      <c r="W5446" s="1" t="str">
        <f t="shared" si="343"/>
        <v>2026-02</v>
      </c>
    </row>
    <row r="5447" spans="1:23">
      <c r="A5447" s="1" t="s">
        <v>8272</v>
      </c>
      <c r="B5447" s="1" t="s">
        <v>811</v>
      </c>
      <c r="C5447" s="1" t="s">
        <v>47</v>
      </c>
      <c r="D5447" s="1" t="s">
        <v>26</v>
      </c>
      <c r="E5447" s="1" t="s">
        <v>57</v>
      </c>
      <c r="F5447">
        <v>1</v>
      </c>
      <c r="G5447" s="2">
        <v>46217</v>
      </c>
      <c r="H5447" s="2">
        <v>46223</v>
      </c>
      <c r="I5447">
        <v>213.88</v>
      </c>
      <c r="M5447" s="1" t="s">
        <v>32</v>
      </c>
      <c r="N5447" s="1" t="s">
        <v>124</v>
      </c>
      <c r="O5447" s="2">
        <v>46275</v>
      </c>
      <c r="P5447" s="2"/>
      <c r="Q5447">
        <f>_xlfn.XLOOKUP(E5447,CPT!$A$2:$A$13,CPT!$D$2:$D$13)</f>
        <v>210</v>
      </c>
      <c r="R5447" s="1">
        <f>_xlfn.XLOOKUP(C5447,Contract!$A$2:$A$9,Contract!$B$2:$B$9)</f>
        <v>0.28000000000000003</v>
      </c>
      <c r="S5447" s="1">
        <f t="shared" si="340"/>
        <v>58.8</v>
      </c>
      <c r="T5447" s="1" t="str">
        <f t="shared" si="341"/>
        <v/>
      </c>
      <c r="U5447" s="1" t="str">
        <f t="shared" si="342"/>
        <v/>
      </c>
      <c r="V5447" s="1" t="str">
        <f>_xlfn.XLOOKUP(C5447,Payers!$A$2:$A$9,Payers!$B$2:$B$9)</f>
        <v>Coastal Medicaid MCO</v>
      </c>
      <c r="W5447" s="1" t="str">
        <f t="shared" si="343"/>
        <v>2026-07</v>
      </c>
    </row>
    <row r="5448" spans="1:23">
      <c r="A5448" s="1" t="s">
        <v>8273</v>
      </c>
      <c r="B5448" s="1" t="s">
        <v>3554</v>
      </c>
      <c r="C5448" s="1" t="s">
        <v>47</v>
      </c>
      <c r="D5448" s="1" t="s">
        <v>30</v>
      </c>
      <c r="E5448" s="1" t="s">
        <v>20</v>
      </c>
      <c r="F5448">
        <v>1</v>
      </c>
      <c r="G5448" s="2">
        <v>46235</v>
      </c>
      <c r="H5448" s="2">
        <v>46236</v>
      </c>
      <c r="I5448">
        <v>143.69999999999999</v>
      </c>
      <c r="J5448">
        <v>37.89</v>
      </c>
      <c r="K5448">
        <v>34.1</v>
      </c>
      <c r="L5448">
        <v>3.79</v>
      </c>
      <c r="M5448" s="1" t="s">
        <v>21</v>
      </c>
      <c r="N5448" s="1" t="s">
        <v>22</v>
      </c>
      <c r="O5448" s="2">
        <v>46284</v>
      </c>
      <c r="P5448" s="2">
        <v>46284</v>
      </c>
      <c r="Q5448">
        <f>_xlfn.XLOOKUP(E5448,CPT!$A$2:$A$13,CPT!$D$2:$D$13)</f>
        <v>145</v>
      </c>
      <c r="R5448" s="1">
        <f>_xlfn.XLOOKUP(C5448,Contract!$A$2:$A$9,Contract!$B$2:$B$9)</f>
        <v>0.28000000000000003</v>
      </c>
      <c r="S5448" s="1">
        <f t="shared" si="340"/>
        <v>40.6</v>
      </c>
      <c r="T5448" s="1">
        <f t="shared" si="341"/>
        <v>2.7100000000000009</v>
      </c>
      <c r="U5448" s="1" t="str">
        <f t="shared" si="342"/>
        <v>Underpaid</v>
      </c>
      <c r="V5448" s="1" t="str">
        <f>_xlfn.XLOOKUP(C5448,Payers!$A$2:$A$9,Payers!$B$2:$B$9)</f>
        <v>Coastal Medicaid MCO</v>
      </c>
      <c r="W5448" s="1" t="str">
        <f t="shared" si="343"/>
        <v>2026-08</v>
      </c>
    </row>
    <row r="5449" spans="1:23">
      <c r="A5449" s="1" t="s">
        <v>8274</v>
      </c>
      <c r="B5449" s="1" t="s">
        <v>898</v>
      </c>
      <c r="C5449" s="1" t="s">
        <v>79</v>
      </c>
      <c r="D5449" s="1" t="s">
        <v>26</v>
      </c>
      <c r="E5449" s="1" t="s">
        <v>44</v>
      </c>
      <c r="F5449">
        <v>1</v>
      </c>
      <c r="G5449" s="2">
        <v>46036</v>
      </c>
      <c r="H5449" s="2">
        <v>46043</v>
      </c>
      <c r="I5449">
        <v>4731.71</v>
      </c>
      <c r="M5449" s="1" t="s">
        <v>32</v>
      </c>
      <c r="N5449" s="1" t="s">
        <v>168</v>
      </c>
      <c r="O5449" s="2">
        <v>46080</v>
      </c>
      <c r="P5449" s="2"/>
      <c r="Q5449">
        <f>_xlfn.XLOOKUP(E5449,CPT!$A$2:$A$13,CPT!$D$2:$D$13)</f>
        <v>4800</v>
      </c>
      <c r="R5449" s="1">
        <f>_xlfn.XLOOKUP(C5449,Contract!$A$2:$A$9,Contract!$B$2:$B$9)</f>
        <v>1</v>
      </c>
      <c r="S5449" s="1">
        <f t="shared" si="340"/>
        <v>4800</v>
      </c>
      <c r="T5449" s="1" t="str">
        <f t="shared" si="341"/>
        <v/>
      </c>
      <c r="U5449" s="1" t="str">
        <f t="shared" si="342"/>
        <v/>
      </c>
      <c r="V5449" s="1" t="str">
        <f>_xlfn.XLOOKUP(C5449,Payers!$A$2:$A$9,Payers!$B$2:$B$9)</f>
        <v>Self-Pay</v>
      </c>
      <c r="W5449" s="1" t="str">
        <f t="shared" si="343"/>
        <v>2026-01</v>
      </c>
    </row>
    <row r="5450" spans="1:23">
      <c r="A5450" s="1" t="s">
        <v>8275</v>
      </c>
      <c r="B5450" s="1" t="s">
        <v>8276</v>
      </c>
      <c r="C5450" s="1" t="s">
        <v>47</v>
      </c>
      <c r="D5450" s="1" t="s">
        <v>30</v>
      </c>
      <c r="E5450" s="1" t="s">
        <v>91</v>
      </c>
      <c r="F5450">
        <v>2</v>
      </c>
      <c r="G5450" s="2">
        <v>46127</v>
      </c>
      <c r="H5450" s="2">
        <v>46128</v>
      </c>
      <c r="I5450">
        <v>118.14</v>
      </c>
      <c r="J5450">
        <v>31.77</v>
      </c>
      <c r="K5450">
        <v>28.59</v>
      </c>
      <c r="L5450">
        <v>3.18</v>
      </c>
      <c r="M5450" s="1" t="s">
        <v>21</v>
      </c>
      <c r="N5450" s="1" t="s">
        <v>22</v>
      </c>
      <c r="O5450" s="2">
        <v>46195</v>
      </c>
      <c r="P5450" s="2">
        <v>46195</v>
      </c>
      <c r="Q5450">
        <f>_xlfn.XLOOKUP(E5450,CPT!$A$2:$A$13,CPT!$D$2:$D$13)</f>
        <v>58</v>
      </c>
      <c r="R5450" s="1">
        <f>_xlfn.XLOOKUP(C5450,Contract!$A$2:$A$9,Contract!$B$2:$B$9)</f>
        <v>0.28000000000000003</v>
      </c>
      <c r="S5450" s="1">
        <f t="shared" si="340"/>
        <v>32.479999999999997</v>
      </c>
      <c r="T5450" s="1">
        <f t="shared" si="341"/>
        <v>0.7099999999999973</v>
      </c>
      <c r="U5450" s="1" t="str">
        <f t="shared" si="342"/>
        <v>OK</v>
      </c>
      <c r="V5450" s="1" t="str">
        <f>_xlfn.XLOOKUP(C5450,Payers!$A$2:$A$9,Payers!$B$2:$B$9)</f>
        <v>Coastal Medicaid MCO</v>
      </c>
      <c r="W5450" s="1" t="str">
        <f t="shared" si="343"/>
        <v>2026-04</v>
      </c>
    </row>
    <row r="5451" spans="1:23">
      <c r="A5451" s="1" t="s">
        <v>8277</v>
      </c>
      <c r="B5451" s="1" t="s">
        <v>2244</v>
      </c>
      <c r="C5451" s="1" t="s">
        <v>52</v>
      </c>
      <c r="D5451" s="1" t="s">
        <v>30</v>
      </c>
      <c r="E5451" s="1" t="s">
        <v>20</v>
      </c>
      <c r="F5451">
        <v>1</v>
      </c>
      <c r="G5451" s="2">
        <v>45945</v>
      </c>
      <c r="H5451" s="2">
        <v>45946</v>
      </c>
      <c r="I5451">
        <v>143.74</v>
      </c>
      <c r="J5451">
        <v>63.17</v>
      </c>
      <c r="K5451">
        <v>63.17</v>
      </c>
      <c r="L5451">
        <v>0</v>
      </c>
      <c r="M5451" s="1" t="s">
        <v>21</v>
      </c>
      <c r="N5451" s="1" t="s">
        <v>22</v>
      </c>
      <c r="O5451" s="2">
        <v>45991</v>
      </c>
      <c r="P5451" s="2">
        <v>45991</v>
      </c>
      <c r="Q5451">
        <f>_xlfn.XLOOKUP(E5451,CPT!$A$2:$A$13,CPT!$D$2:$D$13)</f>
        <v>145</v>
      </c>
      <c r="R5451" s="1">
        <f>_xlfn.XLOOKUP(C5451,Contract!$A$2:$A$9,Contract!$B$2:$B$9)</f>
        <v>0.47</v>
      </c>
      <c r="S5451" s="1">
        <f t="shared" si="340"/>
        <v>68.150000000000006</v>
      </c>
      <c r="T5451" s="1">
        <f t="shared" si="341"/>
        <v>4.980000000000004</v>
      </c>
      <c r="U5451" s="1" t="str">
        <f t="shared" si="342"/>
        <v>Underpaid</v>
      </c>
      <c r="V5451" s="1" t="str">
        <f>_xlfn.XLOOKUP(C5451,Payers!$A$2:$A$9,Payers!$B$2:$B$9)</f>
        <v>Keystone Commercial PPO</v>
      </c>
      <c r="W5451" s="1" t="str">
        <f t="shared" si="343"/>
        <v>2025-10</v>
      </c>
    </row>
    <row r="5452" spans="1:23">
      <c r="A5452" s="1" t="s">
        <v>8278</v>
      </c>
      <c r="B5452" s="1" t="s">
        <v>606</v>
      </c>
      <c r="C5452" s="1" t="s">
        <v>60</v>
      </c>
      <c r="D5452" s="1" t="s">
        <v>26</v>
      </c>
      <c r="E5452" s="1" t="s">
        <v>185</v>
      </c>
      <c r="F5452">
        <v>1</v>
      </c>
      <c r="G5452" s="2">
        <v>46248</v>
      </c>
      <c r="H5452" s="2">
        <v>46249</v>
      </c>
      <c r="I5452">
        <v>1116.9000000000001</v>
      </c>
      <c r="J5452">
        <v>512.79</v>
      </c>
      <c r="K5452">
        <v>512.79</v>
      </c>
      <c r="L5452">
        <v>0</v>
      </c>
      <c r="M5452" s="1" t="s">
        <v>21</v>
      </c>
      <c r="N5452" s="1" t="s">
        <v>22</v>
      </c>
      <c r="O5452" s="2">
        <v>46277</v>
      </c>
      <c r="P5452" s="2">
        <v>46277</v>
      </c>
      <c r="Q5452">
        <f>_xlfn.XLOOKUP(E5452,CPT!$A$2:$A$13,CPT!$D$2:$D$13)</f>
        <v>1150</v>
      </c>
      <c r="R5452" s="1">
        <f>_xlfn.XLOOKUP(C5452,Contract!$A$2:$A$9,Contract!$B$2:$B$9)</f>
        <v>0.45</v>
      </c>
      <c r="S5452" s="1">
        <f t="shared" si="340"/>
        <v>517.5</v>
      </c>
      <c r="T5452" s="1">
        <f t="shared" si="341"/>
        <v>4.7100000000000364</v>
      </c>
      <c r="U5452" s="1" t="str">
        <f t="shared" si="342"/>
        <v>OK</v>
      </c>
      <c r="V5452" s="1" t="str">
        <f>_xlfn.XLOOKUP(C5452,Payers!$A$2:$A$9,Payers!$B$2:$B$9)</f>
        <v>Blue Horizon Commercial</v>
      </c>
      <c r="W5452" s="1" t="str">
        <f t="shared" si="343"/>
        <v>2026-08</v>
      </c>
    </row>
    <row r="5453" spans="1:23">
      <c r="A5453" s="1" t="s">
        <v>8279</v>
      </c>
      <c r="B5453" s="1" t="s">
        <v>1129</v>
      </c>
      <c r="C5453" s="1" t="s">
        <v>47</v>
      </c>
      <c r="D5453" s="1" t="s">
        <v>19</v>
      </c>
      <c r="E5453" s="1" t="s">
        <v>57</v>
      </c>
      <c r="F5453">
        <v>1</v>
      </c>
      <c r="G5453" s="2">
        <v>46152</v>
      </c>
      <c r="H5453" s="2">
        <v>46162</v>
      </c>
      <c r="I5453">
        <v>205.08</v>
      </c>
      <c r="J5453">
        <v>51.08</v>
      </c>
      <c r="K5453">
        <v>51.08</v>
      </c>
      <c r="L5453">
        <v>0</v>
      </c>
      <c r="M5453" s="1" t="s">
        <v>21</v>
      </c>
      <c r="N5453" s="1" t="s">
        <v>22</v>
      </c>
      <c r="O5453" s="2">
        <v>46211</v>
      </c>
      <c r="P5453" s="2">
        <v>46211</v>
      </c>
      <c r="Q5453">
        <f>_xlfn.XLOOKUP(E5453,CPT!$A$2:$A$13,CPT!$D$2:$D$13)</f>
        <v>210</v>
      </c>
      <c r="R5453" s="1">
        <f>_xlfn.XLOOKUP(C5453,Contract!$A$2:$A$9,Contract!$B$2:$B$9)</f>
        <v>0.28000000000000003</v>
      </c>
      <c r="S5453" s="1">
        <f t="shared" si="340"/>
        <v>58.8</v>
      </c>
      <c r="T5453" s="1">
        <f t="shared" si="341"/>
        <v>7.7199999999999989</v>
      </c>
      <c r="U5453" s="1" t="str">
        <f t="shared" si="342"/>
        <v>Underpaid</v>
      </c>
      <c r="V5453" s="1" t="str">
        <f>_xlfn.XLOOKUP(C5453,Payers!$A$2:$A$9,Payers!$B$2:$B$9)</f>
        <v>Coastal Medicaid MCO</v>
      </c>
      <c r="W5453" s="1" t="str">
        <f t="shared" si="343"/>
        <v>2026-05</v>
      </c>
    </row>
    <row r="5454" spans="1:23">
      <c r="A5454" s="1" t="s">
        <v>8280</v>
      </c>
      <c r="B5454" s="1" t="s">
        <v>8281</v>
      </c>
      <c r="C5454" s="1" t="s">
        <v>60</v>
      </c>
      <c r="D5454" s="1" t="s">
        <v>26</v>
      </c>
      <c r="E5454" s="1" t="s">
        <v>185</v>
      </c>
      <c r="F5454">
        <v>1</v>
      </c>
      <c r="G5454" s="2">
        <v>46213</v>
      </c>
      <c r="H5454" s="2">
        <v>46214</v>
      </c>
      <c r="I5454">
        <v>1172.33</v>
      </c>
      <c r="J5454">
        <v>535.62</v>
      </c>
      <c r="K5454">
        <v>482.06</v>
      </c>
      <c r="L5454">
        <v>53.56</v>
      </c>
      <c r="M5454" s="1" t="s">
        <v>21</v>
      </c>
      <c r="N5454" s="1" t="s">
        <v>22</v>
      </c>
      <c r="O5454" s="2">
        <v>46252</v>
      </c>
      <c r="P5454" s="2">
        <v>46252</v>
      </c>
      <c r="Q5454">
        <f>_xlfn.XLOOKUP(E5454,CPT!$A$2:$A$13,CPT!$D$2:$D$13)</f>
        <v>1150</v>
      </c>
      <c r="R5454" s="1">
        <f>_xlfn.XLOOKUP(C5454,Contract!$A$2:$A$9,Contract!$B$2:$B$9)</f>
        <v>0.45</v>
      </c>
      <c r="S5454" s="1">
        <f t="shared" si="340"/>
        <v>517.5</v>
      </c>
      <c r="T5454" s="1">
        <f t="shared" si="341"/>
        <v>-18.120000000000005</v>
      </c>
      <c r="U5454" s="1" t="str">
        <f t="shared" si="342"/>
        <v>OK</v>
      </c>
      <c r="V5454" s="1" t="str">
        <f>_xlfn.XLOOKUP(C5454,Payers!$A$2:$A$9,Payers!$B$2:$B$9)</f>
        <v>Blue Horizon Commercial</v>
      </c>
      <c r="W5454" s="1" t="str">
        <f t="shared" si="343"/>
        <v>2026-07</v>
      </c>
    </row>
    <row r="5455" spans="1:23">
      <c r="A5455" s="1" t="s">
        <v>8282</v>
      </c>
      <c r="B5455" s="1" t="s">
        <v>392</v>
      </c>
      <c r="C5455" s="1" t="s">
        <v>47</v>
      </c>
      <c r="D5455" s="1" t="s">
        <v>37</v>
      </c>
      <c r="E5455" s="1" t="s">
        <v>48</v>
      </c>
      <c r="F5455">
        <v>1</v>
      </c>
      <c r="G5455" s="2">
        <v>46020</v>
      </c>
      <c r="H5455" s="2">
        <v>46024</v>
      </c>
      <c r="I5455">
        <v>419.29</v>
      </c>
      <c r="J5455">
        <v>125.21</v>
      </c>
      <c r="K5455">
        <v>100.17</v>
      </c>
      <c r="L5455">
        <v>25.04</v>
      </c>
      <c r="M5455" s="1" t="s">
        <v>21</v>
      </c>
      <c r="N5455" s="1" t="s">
        <v>22</v>
      </c>
      <c r="O5455" s="2">
        <v>46110</v>
      </c>
      <c r="P5455" s="2">
        <v>46110</v>
      </c>
      <c r="Q5455">
        <f>_xlfn.XLOOKUP(E5455,CPT!$A$2:$A$13,CPT!$D$2:$D$13)</f>
        <v>420</v>
      </c>
      <c r="R5455" s="1">
        <f>_xlfn.XLOOKUP(C5455,Contract!$A$2:$A$9,Contract!$B$2:$B$9)</f>
        <v>0.28000000000000003</v>
      </c>
      <c r="S5455" s="1">
        <f t="shared" si="340"/>
        <v>117.6</v>
      </c>
      <c r="T5455" s="1">
        <f t="shared" si="341"/>
        <v>-7.6099999999999994</v>
      </c>
      <c r="U5455" s="1" t="str">
        <f t="shared" si="342"/>
        <v>OK</v>
      </c>
      <c r="V5455" s="1" t="str">
        <f>_xlfn.XLOOKUP(C5455,Payers!$A$2:$A$9,Payers!$B$2:$B$9)</f>
        <v>Coastal Medicaid MCO</v>
      </c>
      <c r="W5455" s="1" t="str">
        <f t="shared" si="343"/>
        <v>2025-12</v>
      </c>
    </row>
    <row r="5456" spans="1:23">
      <c r="A5456" s="1" t="s">
        <v>8283</v>
      </c>
      <c r="B5456" s="1" t="s">
        <v>430</v>
      </c>
      <c r="C5456" s="1" t="s">
        <v>76</v>
      </c>
      <c r="D5456" s="1" t="s">
        <v>19</v>
      </c>
      <c r="E5456" s="1" t="s">
        <v>88</v>
      </c>
      <c r="F5456">
        <v>1</v>
      </c>
      <c r="G5456" s="2">
        <v>46140</v>
      </c>
      <c r="H5456" s="2">
        <v>46160</v>
      </c>
      <c r="I5456">
        <v>267.32</v>
      </c>
      <c r="J5456">
        <v>123.36</v>
      </c>
      <c r="K5456">
        <v>98.69</v>
      </c>
      <c r="L5456">
        <v>24.67</v>
      </c>
      <c r="M5456" s="1" t="s">
        <v>21</v>
      </c>
      <c r="N5456" s="1" t="s">
        <v>22</v>
      </c>
      <c r="O5456" s="2">
        <v>46173</v>
      </c>
      <c r="P5456" s="2">
        <v>46173</v>
      </c>
      <c r="Q5456">
        <f>_xlfn.XLOOKUP(E5456,CPT!$A$2:$A$13,CPT!$D$2:$D$13)</f>
        <v>260</v>
      </c>
      <c r="R5456" s="1">
        <f>_xlfn.XLOOKUP(C5456,Contract!$A$2:$A$9,Contract!$B$2:$B$9)</f>
        <v>0.43</v>
      </c>
      <c r="S5456" s="1">
        <f t="shared" si="340"/>
        <v>111.8</v>
      </c>
      <c r="T5456" s="1">
        <f t="shared" si="341"/>
        <v>-11.560000000000002</v>
      </c>
      <c r="U5456" s="1" t="str">
        <f t="shared" si="342"/>
        <v>OK</v>
      </c>
      <c r="V5456" s="1" t="str">
        <f>_xlfn.XLOOKUP(C5456,Payers!$A$2:$A$9,Payers!$B$2:$B$9)</f>
        <v>Summit Health Commercial</v>
      </c>
      <c r="W5456" s="1" t="str">
        <f t="shared" si="343"/>
        <v>2026-04</v>
      </c>
    </row>
    <row r="5457" spans="1:23">
      <c r="A5457" s="1" t="s">
        <v>8284</v>
      </c>
      <c r="B5457" s="1" t="s">
        <v>5341</v>
      </c>
      <c r="C5457" s="1" t="s">
        <v>47</v>
      </c>
      <c r="D5457" s="1" t="s">
        <v>30</v>
      </c>
      <c r="E5457" s="1" t="s">
        <v>31</v>
      </c>
      <c r="F5457">
        <v>1</v>
      </c>
      <c r="G5457" s="2">
        <v>46248</v>
      </c>
      <c r="H5457" s="2">
        <v>46253</v>
      </c>
      <c r="I5457">
        <v>61.97</v>
      </c>
      <c r="M5457" s="1" t="s">
        <v>69</v>
      </c>
      <c r="N5457" s="1" t="s">
        <v>22</v>
      </c>
      <c r="O5457" s="2"/>
      <c r="P5457" s="2"/>
      <c r="Q5457">
        <f>_xlfn.XLOOKUP(E5457,CPT!$A$2:$A$13,CPT!$D$2:$D$13)</f>
        <v>62</v>
      </c>
      <c r="R5457" s="1">
        <f>_xlfn.XLOOKUP(C5457,Contract!$A$2:$A$9,Contract!$B$2:$B$9)</f>
        <v>0.28000000000000003</v>
      </c>
      <c r="S5457" s="1">
        <f t="shared" si="340"/>
        <v>17.36</v>
      </c>
      <c r="T5457" s="1" t="str">
        <f t="shared" si="341"/>
        <v/>
      </c>
      <c r="U5457" s="1" t="str">
        <f t="shared" si="342"/>
        <v/>
      </c>
      <c r="V5457" s="1" t="str">
        <f>_xlfn.XLOOKUP(C5457,Payers!$A$2:$A$9,Payers!$B$2:$B$9)</f>
        <v>Coastal Medicaid MCO</v>
      </c>
      <c r="W5457" s="1" t="str">
        <f t="shared" si="343"/>
        <v>2026-08</v>
      </c>
    </row>
    <row r="5458" spans="1:23">
      <c r="A5458" s="1" t="s">
        <v>8285</v>
      </c>
      <c r="B5458" s="1" t="s">
        <v>8286</v>
      </c>
      <c r="C5458" s="1" t="s">
        <v>76</v>
      </c>
      <c r="D5458" s="1" t="s">
        <v>26</v>
      </c>
      <c r="E5458" s="1" t="s">
        <v>41</v>
      </c>
      <c r="F5458">
        <v>1</v>
      </c>
      <c r="G5458" s="2">
        <v>46062</v>
      </c>
      <c r="H5458" s="2">
        <v>46078</v>
      </c>
      <c r="I5458">
        <v>38.729999999999997</v>
      </c>
      <c r="J5458">
        <v>17.11</v>
      </c>
      <c r="K5458">
        <v>15.4</v>
      </c>
      <c r="L5458">
        <v>1.71</v>
      </c>
      <c r="M5458" s="1" t="s">
        <v>21</v>
      </c>
      <c r="N5458" s="1" t="s">
        <v>22</v>
      </c>
      <c r="O5458" s="2">
        <v>46109</v>
      </c>
      <c r="P5458" s="2">
        <v>46109</v>
      </c>
      <c r="Q5458">
        <f>_xlfn.XLOOKUP(E5458,CPT!$A$2:$A$13,CPT!$D$2:$D$13)</f>
        <v>38</v>
      </c>
      <c r="R5458" s="1">
        <f>_xlfn.XLOOKUP(C5458,Contract!$A$2:$A$9,Contract!$B$2:$B$9)</f>
        <v>0.43</v>
      </c>
      <c r="S5458" s="1">
        <f t="shared" si="340"/>
        <v>16.34</v>
      </c>
      <c r="T5458" s="1">
        <f t="shared" si="341"/>
        <v>-0.76999999999999957</v>
      </c>
      <c r="U5458" s="1" t="str">
        <f t="shared" si="342"/>
        <v>OK</v>
      </c>
      <c r="V5458" s="1" t="str">
        <f>_xlfn.XLOOKUP(C5458,Payers!$A$2:$A$9,Payers!$B$2:$B$9)</f>
        <v>Summit Health Commercial</v>
      </c>
      <c r="W5458" s="1" t="str">
        <f t="shared" si="343"/>
        <v>2026-02</v>
      </c>
    </row>
    <row r="5459" spans="1:23">
      <c r="A5459" s="1" t="s">
        <v>8287</v>
      </c>
      <c r="B5459" s="1" t="s">
        <v>2212</v>
      </c>
      <c r="C5459" s="1" t="s">
        <v>76</v>
      </c>
      <c r="D5459" s="1" t="s">
        <v>19</v>
      </c>
      <c r="E5459" s="1" t="s">
        <v>88</v>
      </c>
      <c r="F5459">
        <v>1</v>
      </c>
      <c r="G5459" s="2">
        <v>46264</v>
      </c>
      <c r="H5459" s="2">
        <v>46270</v>
      </c>
      <c r="I5459">
        <v>263.42</v>
      </c>
      <c r="M5459" s="1" t="s">
        <v>69</v>
      </c>
      <c r="N5459" s="1" t="s">
        <v>22</v>
      </c>
      <c r="O5459" s="2"/>
      <c r="P5459" s="2"/>
      <c r="Q5459">
        <f>_xlfn.XLOOKUP(E5459,CPT!$A$2:$A$13,CPT!$D$2:$D$13)</f>
        <v>260</v>
      </c>
      <c r="R5459" s="1">
        <f>_xlfn.XLOOKUP(C5459,Contract!$A$2:$A$9,Contract!$B$2:$B$9)</f>
        <v>0.43</v>
      </c>
      <c r="S5459" s="1">
        <f t="shared" si="340"/>
        <v>111.8</v>
      </c>
      <c r="T5459" s="1" t="str">
        <f t="shared" si="341"/>
        <v/>
      </c>
      <c r="U5459" s="1" t="str">
        <f t="shared" si="342"/>
        <v/>
      </c>
      <c r="V5459" s="1" t="str">
        <f>_xlfn.XLOOKUP(C5459,Payers!$A$2:$A$9,Payers!$B$2:$B$9)</f>
        <v>Summit Health Commercial</v>
      </c>
      <c r="W5459" s="1" t="str">
        <f t="shared" si="343"/>
        <v>2026-08</v>
      </c>
    </row>
    <row r="5460" spans="1:23">
      <c r="A5460" s="1" t="s">
        <v>8288</v>
      </c>
      <c r="B5460" s="1" t="s">
        <v>879</v>
      </c>
      <c r="C5460" s="1" t="s">
        <v>60</v>
      </c>
      <c r="D5460" s="1" t="s">
        <v>19</v>
      </c>
      <c r="E5460" s="1" t="s">
        <v>41</v>
      </c>
      <c r="F5460">
        <v>1</v>
      </c>
      <c r="G5460" s="2">
        <v>46089</v>
      </c>
      <c r="H5460" s="2">
        <v>46096</v>
      </c>
      <c r="I5460">
        <v>38.35</v>
      </c>
      <c r="J5460">
        <v>14.74</v>
      </c>
      <c r="K5460">
        <v>11.79</v>
      </c>
      <c r="L5460">
        <v>2.95</v>
      </c>
      <c r="M5460" s="1" t="s">
        <v>21</v>
      </c>
      <c r="N5460" s="1" t="s">
        <v>22</v>
      </c>
      <c r="O5460" s="2">
        <v>46143</v>
      </c>
      <c r="P5460" s="2">
        <v>46143</v>
      </c>
      <c r="Q5460">
        <f>_xlfn.XLOOKUP(E5460,CPT!$A$2:$A$13,CPT!$D$2:$D$13)</f>
        <v>38</v>
      </c>
      <c r="R5460" s="1">
        <f>_xlfn.XLOOKUP(C5460,Contract!$A$2:$A$9,Contract!$B$2:$B$9)</f>
        <v>0.45</v>
      </c>
      <c r="S5460" s="1">
        <f t="shared" si="340"/>
        <v>17.100000000000001</v>
      </c>
      <c r="T5460" s="1">
        <f t="shared" si="341"/>
        <v>2.3600000000000012</v>
      </c>
      <c r="U5460" s="1" t="str">
        <f t="shared" si="342"/>
        <v>Underpaid</v>
      </c>
      <c r="V5460" s="1" t="str">
        <f>_xlfn.XLOOKUP(C5460,Payers!$A$2:$A$9,Payers!$B$2:$B$9)</f>
        <v>Blue Horizon Commercial</v>
      </c>
      <c r="W5460" s="1" t="str">
        <f t="shared" si="343"/>
        <v>2026-03</v>
      </c>
    </row>
    <row r="5461" spans="1:23">
      <c r="A5461" s="1" t="s">
        <v>8289</v>
      </c>
      <c r="B5461" s="1" t="s">
        <v>1006</v>
      </c>
      <c r="C5461" s="1" t="s">
        <v>52</v>
      </c>
      <c r="D5461" s="1" t="s">
        <v>30</v>
      </c>
      <c r="E5461" s="1" t="s">
        <v>31</v>
      </c>
      <c r="F5461">
        <v>2</v>
      </c>
      <c r="G5461" s="2">
        <v>46158</v>
      </c>
      <c r="H5461" s="2">
        <v>46257</v>
      </c>
      <c r="I5461">
        <v>126.49</v>
      </c>
      <c r="M5461" s="1" t="s">
        <v>69</v>
      </c>
      <c r="N5461" s="1" t="s">
        <v>22</v>
      </c>
      <c r="O5461" s="2"/>
      <c r="P5461" s="2"/>
      <c r="Q5461">
        <f>_xlfn.XLOOKUP(E5461,CPT!$A$2:$A$13,CPT!$D$2:$D$13)</f>
        <v>62</v>
      </c>
      <c r="R5461" s="1">
        <f>_xlfn.XLOOKUP(C5461,Contract!$A$2:$A$9,Contract!$B$2:$B$9)</f>
        <v>0.47</v>
      </c>
      <c r="S5461" s="1">
        <f t="shared" si="340"/>
        <v>58.28</v>
      </c>
      <c r="T5461" s="1" t="str">
        <f t="shared" si="341"/>
        <v/>
      </c>
      <c r="U5461" s="1" t="str">
        <f t="shared" si="342"/>
        <v/>
      </c>
      <c r="V5461" s="1" t="str">
        <f>_xlfn.XLOOKUP(C5461,Payers!$A$2:$A$9,Payers!$B$2:$B$9)</f>
        <v>Keystone Commercial PPO</v>
      </c>
      <c r="W5461" s="1" t="str">
        <f t="shared" si="343"/>
        <v>2026-05</v>
      </c>
    </row>
    <row r="5462" spans="1:23">
      <c r="A5462" s="1" t="s">
        <v>8290</v>
      </c>
      <c r="B5462" s="1" t="s">
        <v>8291</v>
      </c>
      <c r="C5462" s="1" t="s">
        <v>18</v>
      </c>
      <c r="D5462" s="1" t="s">
        <v>19</v>
      </c>
      <c r="E5462" s="1" t="s">
        <v>20</v>
      </c>
      <c r="F5462">
        <v>1</v>
      </c>
      <c r="G5462" s="2">
        <v>46043</v>
      </c>
      <c r="H5462" s="2">
        <v>46044</v>
      </c>
      <c r="I5462">
        <v>144.76</v>
      </c>
      <c r="M5462" s="1" t="s">
        <v>32</v>
      </c>
      <c r="N5462" s="1" t="s">
        <v>33</v>
      </c>
      <c r="O5462" s="2">
        <v>46089</v>
      </c>
      <c r="P5462" s="2"/>
      <c r="Q5462">
        <f>_xlfn.XLOOKUP(E5462,CPT!$A$2:$A$13,CPT!$D$2:$D$13)</f>
        <v>145</v>
      </c>
      <c r="R5462" s="1">
        <f>_xlfn.XLOOKUP(C5462,Contract!$A$2:$A$9,Contract!$B$2:$B$9)</f>
        <v>0.38</v>
      </c>
      <c r="S5462" s="1">
        <f t="shared" si="340"/>
        <v>55.1</v>
      </c>
      <c r="T5462" s="1" t="str">
        <f t="shared" si="341"/>
        <v/>
      </c>
      <c r="U5462" s="1" t="str">
        <f t="shared" si="342"/>
        <v/>
      </c>
      <c r="V5462" s="1" t="str">
        <f>_xlfn.XLOOKUP(C5462,Payers!$A$2:$A$9,Payers!$B$2:$B$9)</f>
        <v>Sunshine Medicare Advantage</v>
      </c>
      <c r="W5462" s="1" t="str">
        <f t="shared" si="343"/>
        <v>2026-01</v>
      </c>
    </row>
    <row r="5463" spans="1:23">
      <c r="A5463" s="1" t="s">
        <v>8292</v>
      </c>
      <c r="B5463" s="1" t="s">
        <v>2924</v>
      </c>
      <c r="C5463" s="1" t="s">
        <v>47</v>
      </c>
      <c r="D5463" s="1" t="s">
        <v>26</v>
      </c>
      <c r="E5463" s="1" t="s">
        <v>44</v>
      </c>
      <c r="F5463">
        <v>1</v>
      </c>
      <c r="G5463" s="2">
        <v>46275</v>
      </c>
      <c r="H5463" s="2">
        <v>46278</v>
      </c>
      <c r="I5463">
        <v>4694.63</v>
      </c>
      <c r="M5463" s="1" t="s">
        <v>69</v>
      </c>
      <c r="N5463" s="1" t="s">
        <v>22</v>
      </c>
      <c r="O5463" s="2"/>
      <c r="P5463" s="2"/>
      <c r="Q5463">
        <f>_xlfn.XLOOKUP(E5463,CPT!$A$2:$A$13,CPT!$D$2:$D$13)</f>
        <v>4800</v>
      </c>
      <c r="R5463" s="1">
        <f>_xlfn.XLOOKUP(C5463,Contract!$A$2:$A$9,Contract!$B$2:$B$9)</f>
        <v>0.28000000000000003</v>
      </c>
      <c r="S5463" s="1">
        <f t="shared" si="340"/>
        <v>1344</v>
      </c>
      <c r="T5463" s="1" t="str">
        <f t="shared" si="341"/>
        <v/>
      </c>
      <c r="U5463" s="1" t="str">
        <f t="shared" si="342"/>
        <v/>
      </c>
      <c r="V5463" s="1" t="str">
        <f>_xlfn.XLOOKUP(C5463,Payers!$A$2:$A$9,Payers!$B$2:$B$9)</f>
        <v>Coastal Medicaid MCO</v>
      </c>
      <c r="W5463" s="1" t="str">
        <f t="shared" si="343"/>
        <v>2026-09</v>
      </c>
    </row>
    <row r="5464" spans="1:23">
      <c r="A5464" s="1" t="s">
        <v>8293</v>
      </c>
      <c r="B5464" s="1" t="s">
        <v>4601</v>
      </c>
      <c r="C5464" s="1" t="s">
        <v>60</v>
      </c>
      <c r="D5464" s="1" t="s">
        <v>19</v>
      </c>
      <c r="E5464" s="1" t="s">
        <v>88</v>
      </c>
      <c r="F5464">
        <v>1</v>
      </c>
      <c r="G5464" s="2">
        <v>45975</v>
      </c>
      <c r="H5464" s="2">
        <v>45977</v>
      </c>
      <c r="I5464">
        <v>252.32</v>
      </c>
      <c r="J5464">
        <v>119.87</v>
      </c>
      <c r="K5464">
        <v>119.87</v>
      </c>
      <c r="L5464">
        <v>0</v>
      </c>
      <c r="M5464" s="1" t="s">
        <v>21</v>
      </c>
      <c r="N5464" s="1" t="s">
        <v>22</v>
      </c>
      <c r="O5464" s="2">
        <v>46010</v>
      </c>
      <c r="P5464" s="2">
        <v>46010</v>
      </c>
      <c r="Q5464">
        <f>_xlfn.XLOOKUP(E5464,CPT!$A$2:$A$13,CPT!$D$2:$D$13)</f>
        <v>260</v>
      </c>
      <c r="R5464" s="1">
        <f>_xlfn.XLOOKUP(C5464,Contract!$A$2:$A$9,Contract!$B$2:$B$9)</f>
        <v>0.45</v>
      </c>
      <c r="S5464" s="1">
        <f t="shared" si="340"/>
        <v>117</v>
      </c>
      <c r="T5464" s="1">
        <f t="shared" si="341"/>
        <v>-2.8700000000000045</v>
      </c>
      <c r="U5464" s="1" t="str">
        <f t="shared" si="342"/>
        <v>OK</v>
      </c>
      <c r="V5464" s="1" t="str">
        <f>_xlfn.XLOOKUP(C5464,Payers!$A$2:$A$9,Payers!$B$2:$B$9)</f>
        <v>Blue Horizon Commercial</v>
      </c>
      <c r="W5464" s="1" t="str">
        <f t="shared" si="343"/>
        <v>2025-11</v>
      </c>
    </row>
    <row r="5465" spans="1:23">
      <c r="A5465" s="1" t="s">
        <v>8294</v>
      </c>
      <c r="B5465" s="1" t="s">
        <v>6608</v>
      </c>
      <c r="C5465" s="1" t="s">
        <v>60</v>
      </c>
      <c r="D5465" s="1" t="s">
        <v>19</v>
      </c>
      <c r="E5465" s="1" t="s">
        <v>88</v>
      </c>
      <c r="F5465">
        <v>1</v>
      </c>
      <c r="G5465" s="2">
        <v>46153</v>
      </c>
      <c r="H5465" s="2">
        <v>46162</v>
      </c>
      <c r="I5465">
        <v>254.89</v>
      </c>
      <c r="M5465" s="1" t="s">
        <v>32</v>
      </c>
      <c r="N5465" s="1" t="s">
        <v>33</v>
      </c>
      <c r="O5465" s="2">
        <v>46195</v>
      </c>
      <c r="P5465" s="2"/>
      <c r="Q5465">
        <f>_xlfn.XLOOKUP(E5465,CPT!$A$2:$A$13,CPT!$D$2:$D$13)</f>
        <v>260</v>
      </c>
      <c r="R5465" s="1">
        <f>_xlfn.XLOOKUP(C5465,Contract!$A$2:$A$9,Contract!$B$2:$B$9)</f>
        <v>0.45</v>
      </c>
      <c r="S5465" s="1">
        <f t="shared" si="340"/>
        <v>117</v>
      </c>
      <c r="T5465" s="1" t="str">
        <f t="shared" si="341"/>
        <v/>
      </c>
      <c r="U5465" s="1" t="str">
        <f t="shared" si="342"/>
        <v/>
      </c>
      <c r="V5465" s="1" t="str">
        <f>_xlfn.XLOOKUP(C5465,Payers!$A$2:$A$9,Payers!$B$2:$B$9)</f>
        <v>Blue Horizon Commercial</v>
      </c>
      <c r="W5465" s="1" t="str">
        <f t="shared" si="343"/>
        <v>2026-05</v>
      </c>
    </row>
    <row r="5466" spans="1:23">
      <c r="A5466" s="1" t="s">
        <v>8295</v>
      </c>
      <c r="B5466" s="1" t="s">
        <v>7202</v>
      </c>
      <c r="C5466" s="1" t="s">
        <v>76</v>
      </c>
      <c r="D5466" s="1" t="s">
        <v>37</v>
      </c>
      <c r="E5466" s="1" t="s">
        <v>48</v>
      </c>
      <c r="F5466">
        <v>1</v>
      </c>
      <c r="G5466" s="2">
        <v>46158</v>
      </c>
      <c r="H5466" s="2">
        <v>46159</v>
      </c>
      <c r="I5466">
        <v>411.57</v>
      </c>
      <c r="J5466">
        <v>200.15</v>
      </c>
      <c r="K5466">
        <v>200.15</v>
      </c>
      <c r="L5466">
        <v>0</v>
      </c>
      <c r="M5466" s="1" t="s">
        <v>21</v>
      </c>
      <c r="N5466" s="1" t="s">
        <v>22</v>
      </c>
      <c r="O5466" s="2">
        <v>46179</v>
      </c>
      <c r="P5466" s="2">
        <v>46179</v>
      </c>
      <c r="Q5466">
        <f>_xlfn.XLOOKUP(E5466,CPT!$A$2:$A$13,CPT!$D$2:$D$13)</f>
        <v>420</v>
      </c>
      <c r="R5466" s="1">
        <f>_xlfn.XLOOKUP(C5466,Contract!$A$2:$A$9,Contract!$B$2:$B$9)</f>
        <v>0.43</v>
      </c>
      <c r="S5466" s="1">
        <f t="shared" si="340"/>
        <v>180.6</v>
      </c>
      <c r="T5466" s="1">
        <f t="shared" si="341"/>
        <v>-19.550000000000011</v>
      </c>
      <c r="U5466" s="1" t="str">
        <f t="shared" si="342"/>
        <v>OK</v>
      </c>
      <c r="V5466" s="1" t="str">
        <f>_xlfn.XLOOKUP(C5466,Payers!$A$2:$A$9,Payers!$B$2:$B$9)</f>
        <v>Summit Health Commercial</v>
      </c>
      <c r="W5466" s="1" t="str">
        <f t="shared" si="343"/>
        <v>2026-05</v>
      </c>
    </row>
    <row r="5467" spans="1:23">
      <c r="A5467" s="1" t="s">
        <v>8296</v>
      </c>
      <c r="B5467" s="1" t="s">
        <v>5586</v>
      </c>
      <c r="C5467" s="1" t="s">
        <v>25</v>
      </c>
      <c r="D5467" s="1" t="s">
        <v>30</v>
      </c>
      <c r="E5467" s="1" t="s">
        <v>91</v>
      </c>
      <c r="F5467">
        <v>1</v>
      </c>
      <c r="G5467" s="2">
        <v>46112</v>
      </c>
      <c r="H5467" s="2">
        <v>46238</v>
      </c>
      <c r="I5467">
        <v>58.13</v>
      </c>
      <c r="M5467" s="1" t="s">
        <v>32</v>
      </c>
      <c r="N5467" s="1" t="s">
        <v>137</v>
      </c>
      <c r="O5467" s="2">
        <v>46259</v>
      </c>
      <c r="P5467" s="2"/>
      <c r="Q5467">
        <f>_xlfn.XLOOKUP(E5467,CPT!$A$2:$A$13,CPT!$D$2:$D$13)</f>
        <v>58</v>
      </c>
      <c r="R5467" s="1">
        <f>_xlfn.XLOOKUP(C5467,Contract!$A$2:$A$9,Contract!$B$2:$B$9)</f>
        <v>0.36</v>
      </c>
      <c r="S5467" s="1">
        <f t="shared" si="340"/>
        <v>20.88</v>
      </c>
      <c r="T5467" s="1" t="str">
        <f t="shared" si="341"/>
        <v/>
      </c>
      <c r="U5467" s="1" t="str">
        <f t="shared" si="342"/>
        <v/>
      </c>
      <c r="V5467" s="1" t="str">
        <f>_xlfn.XLOOKUP(C5467,Payers!$A$2:$A$9,Payers!$B$2:$B$9)</f>
        <v>Medicare Part B</v>
      </c>
      <c r="W5467" s="1" t="str">
        <f t="shared" si="343"/>
        <v>2026-03</v>
      </c>
    </row>
    <row r="5468" spans="1:23">
      <c r="A5468" s="1" t="s">
        <v>8297</v>
      </c>
      <c r="B5468" s="1" t="s">
        <v>4752</v>
      </c>
      <c r="C5468" s="1" t="s">
        <v>18</v>
      </c>
      <c r="D5468" s="1" t="s">
        <v>30</v>
      </c>
      <c r="E5468" s="1" t="s">
        <v>20</v>
      </c>
      <c r="F5468">
        <v>1</v>
      </c>
      <c r="G5468" s="2">
        <v>46242</v>
      </c>
      <c r="H5468" s="2">
        <v>46244</v>
      </c>
      <c r="I5468">
        <v>146.93</v>
      </c>
      <c r="M5468" s="1" t="s">
        <v>69</v>
      </c>
      <c r="N5468" s="1" t="s">
        <v>22</v>
      </c>
      <c r="O5468" s="2"/>
      <c r="P5468" s="2"/>
      <c r="Q5468">
        <f>_xlfn.XLOOKUP(E5468,CPT!$A$2:$A$13,CPT!$D$2:$D$13)</f>
        <v>145</v>
      </c>
      <c r="R5468" s="1">
        <f>_xlfn.XLOOKUP(C5468,Contract!$A$2:$A$9,Contract!$B$2:$B$9)</f>
        <v>0.38</v>
      </c>
      <c r="S5468" s="1">
        <f t="shared" si="340"/>
        <v>55.1</v>
      </c>
      <c r="T5468" s="1" t="str">
        <f t="shared" si="341"/>
        <v/>
      </c>
      <c r="U5468" s="1" t="str">
        <f t="shared" si="342"/>
        <v/>
      </c>
      <c r="V5468" s="1" t="str">
        <f>_xlfn.XLOOKUP(C5468,Payers!$A$2:$A$9,Payers!$B$2:$B$9)</f>
        <v>Sunshine Medicare Advantage</v>
      </c>
      <c r="W5468" s="1" t="str">
        <f t="shared" si="343"/>
        <v>2026-08</v>
      </c>
    </row>
    <row r="5469" spans="1:23">
      <c r="A5469" s="1" t="s">
        <v>8298</v>
      </c>
      <c r="B5469" s="1" t="s">
        <v>7619</v>
      </c>
      <c r="C5469" s="1" t="s">
        <v>60</v>
      </c>
      <c r="D5469" s="1" t="s">
        <v>26</v>
      </c>
      <c r="E5469" s="1" t="s">
        <v>44</v>
      </c>
      <c r="F5469">
        <v>1</v>
      </c>
      <c r="G5469" s="2">
        <v>46163</v>
      </c>
      <c r="H5469" s="2">
        <v>46165</v>
      </c>
      <c r="I5469">
        <v>4939.32</v>
      </c>
      <c r="J5469">
        <v>2028.58</v>
      </c>
      <c r="K5469">
        <v>1825.72</v>
      </c>
      <c r="L5469">
        <v>202.86</v>
      </c>
      <c r="M5469" s="1" t="s">
        <v>21</v>
      </c>
      <c r="N5469" s="1" t="s">
        <v>22</v>
      </c>
      <c r="O5469" s="2">
        <v>46193</v>
      </c>
      <c r="P5469" s="2">
        <v>46193</v>
      </c>
      <c r="Q5469">
        <f>_xlfn.XLOOKUP(E5469,CPT!$A$2:$A$13,CPT!$D$2:$D$13)</f>
        <v>4800</v>
      </c>
      <c r="R5469" s="1">
        <f>_xlfn.XLOOKUP(C5469,Contract!$A$2:$A$9,Contract!$B$2:$B$9)</f>
        <v>0.45</v>
      </c>
      <c r="S5469" s="1">
        <f t="shared" si="340"/>
        <v>2160</v>
      </c>
      <c r="T5469" s="1">
        <f t="shared" si="341"/>
        <v>131.42000000000007</v>
      </c>
      <c r="U5469" s="1" t="str">
        <f t="shared" si="342"/>
        <v>Underpaid</v>
      </c>
      <c r="V5469" s="1" t="str">
        <f>_xlfn.XLOOKUP(C5469,Payers!$A$2:$A$9,Payers!$B$2:$B$9)</f>
        <v>Blue Horizon Commercial</v>
      </c>
      <c r="W5469" s="1" t="str">
        <f t="shared" si="343"/>
        <v>2026-05</v>
      </c>
    </row>
    <row r="5470" spans="1:23">
      <c r="A5470" s="1" t="s">
        <v>8299</v>
      </c>
      <c r="B5470" s="1" t="s">
        <v>4140</v>
      </c>
      <c r="C5470" s="1" t="s">
        <v>79</v>
      </c>
      <c r="D5470" s="1" t="s">
        <v>26</v>
      </c>
      <c r="E5470" s="1" t="s">
        <v>41</v>
      </c>
      <c r="F5470">
        <v>1</v>
      </c>
      <c r="G5470" s="2">
        <v>46272</v>
      </c>
      <c r="H5470" s="2">
        <v>46274</v>
      </c>
      <c r="I5470">
        <v>37.020000000000003</v>
      </c>
      <c r="M5470" s="1" t="s">
        <v>69</v>
      </c>
      <c r="N5470" s="1" t="s">
        <v>22</v>
      </c>
      <c r="O5470" s="2"/>
      <c r="P5470" s="2"/>
      <c r="Q5470">
        <f>_xlfn.XLOOKUP(E5470,CPT!$A$2:$A$13,CPT!$D$2:$D$13)</f>
        <v>38</v>
      </c>
      <c r="R5470" s="1">
        <f>_xlfn.XLOOKUP(C5470,Contract!$A$2:$A$9,Contract!$B$2:$B$9)</f>
        <v>1</v>
      </c>
      <c r="S5470" s="1">
        <f t="shared" si="340"/>
        <v>38</v>
      </c>
      <c r="T5470" s="1" t="str">
        <f t="shared" si="341"/>
        <v/>
      </c>
      <c r="U5470" s="1" t="str">
        <f t="shared" si="342"/>
        <v/>
      </c>
      <c r="V5470" s="1" t="str">
        <f>_xlfn.XLOOKUP(C5470,Payers!$A$2:$A$9,Payers!$B$2:$B$9)</f>
        <v>Self-Pay</v>
      </c>
      <c r="W5470" s="1" t="str">
        <f t="shared" si="343"/>
        <v>2026-09</v>
      </c>
    </row>
    <row r="5471" spans="1:23">
      <c r="A5471" s="1" t="s">
        <v>8300</v>
      </c>
      <c r="B5471" s="1" t="s">
        <v>3983</v>
      </c>
      <c r="C5471" s="1" t="s">
        <v>60</v>
      </c>
      <c r="D5471" s="1" t="s">
        <v>19</v>
      </c>
      <c r="E5471" s="1" t="s">
        <v>41</v>
      </c>
      <c r="F5471">
        <v>1</v>
      </c>
      <c r="G5471" s="2">
        <v>46231</v>
      </c>
      <c r="H5471" s="2">
        <v>46235</v>
      </c>
      <c r="I5471">
        <v>37.9</v>
      </c>
      <c r="J5471">
        <v>19.309999999999999</v>
      </c>
      <c r="K5471">
        <v>19.309999999999999</v>
      </c>
      <c r="L5471">
        <v>0</v>
      </c>
      <c r="M5471" s="1" t="s">
        <v>21</v>
      </c>
      <c r="N5471" s="1" t="s">
        <v>22</v>
      </c>
      <c r="O5471" s="2">
        <v>46254</v>
      </c>
      <c r="P5471" s="2">
        <v>46254</v>
      </c>
      <c r="Q5471">
        <f>_xlfn.XLOOKUP(E5471,CPT!$A$2:$A$13,CPT!$D$2:$D$13)</f>
        <v>38</v>
      </c>
      <c r="R5471" s="1">
        <f>_xlfn.XLOOKUP(C5471,Contract!$A$2:$A$9,Contract!$B$2:$B$9)</f>
        <v>0.45</v>
      </c>
      <c r="S5471" s="1">
        <f t="shared" si="340"/>
        <v>17.100000000000001</v>
      </c>
      <c r="T5471" s="1">
        <f t="shared" si="341"/>
        <v>-2.2099999999999973</v>
      </c>
      <c r="U5471" s="1" t="str">
        <f t="shared" si="342"/>
        <v>OK</v>
      </c>
      <c r="V5471" s="1" t="str">
        <f>_xlfn.XLOOKUP(C5471,Payers!$A$2:$A$9,Payers!$B$2:$B$9)</f>
        <v>Blue Horizon Commercial</v>
      </c>
      <c r="W5471" s="1" t="str">
        <f t="shared" si="343"/>
        <v>2026-07</v>
      </c>
    </row>
    <row r="5472" spans="1:23">
      <c r="A5472" s="1" t="s">
        <v>8301</v>
      </c>
      <c r="B5472" s="1" t="s">
        <v>4024</v>
      </c>
      <c r="C5472" s="1" t="s">
        <v>60</v>
      </c>
      <c r="D5472" s="1" t="s">
        <v>19</v>
      </c>
      <c r="E5472" s="1" t="s">
        <v>57</v>
      </c>
      <c r="F5472">
        <v>1</v>
      </c>
      <c r="G5472" s="2">
        <v>45955</v>
      </c>
      <c r="H5472" s="2">
        <v>45963</v>
      </c>
      <c r="I5472">
        <v>209.23</v>
      </c>
      <c r="J5472">
        <v>80.45</v>
      </c>
      <c r="K5472">
        <v>72.41</v>
      </c>
      <c r="L5472">
        <v>8.0399999999999991</v>
      </c>
      <c r="M5472" s="1" t="s">
        <v>21</v>
      </c>
      <c r="N5472" s="1" t="s">
        <v>22</v>
      </c>
      <c r="O5472" s="2">
        <v>45983</v>
      </c>
      <c r="P5472" s="2">
        <v>45983</v>
      </c>
      <c r="Q5472">
        <f>_xlfn.XLOOKUP(E5472,CPT!$A$2:$A$13,CPT!$D$2:$D$13)</f>
        <v>210</v>
      </c>
      <c r="R5472" s="1">
        <f>_xlfn.XLOOKUP(C5472,Contract!$A$2:$A$9,Contract!$B$2:$B$9)</f>
        <v>0.45</v>
      </c>
      <c r="S5472" s="1">
        <f t="shared" si="340"/>
        <v>94.5</v>
      </c>
      <c r="T5472" s="1">
        <f t="shared" si="341"/>
        <v>14.049999999999997</v>
      </c>
      <c r="U5472" s="1" t="str">
        <f t="shared" si="342"/>
        <v>Underpaid</v>
      </c>
      <c r="V5472" s="1" t="str">
        <f>_xlfn.XLOOKUP(C5472,Payers!$A$2:$A$9,Payers!$B$2:$B$9)</f>
        <v>Blue Horizon Commercial</v>
      </c>
      <c r="W5472" s="1" t="str">
        <f t="shared" si="343"/>
        <v>2025-10</v>
      </c>
    </row>
    <row r="5473" spans="1:23">
      <c r="A5473" s="1" t="s">
        <v>8302</v>
      </c>
      <c r="B5473" s="1" t="s">
        <v>2389</v>
      </c>
      <c r="C5473" s="1" t="s">
        <v>79</v>
      </c>
      <c r="D5473" s="1" t="s">
        <v>19</v>
      </c>
      <c r="E5473" s="1" t="s">
        <v>41</v>
      </c>
      <c r="F5473">
        <v>1</v>
      </c>
      <c r="G5473" s="2">
        <v>45954</v>
      </c>
      <c r="H5473" s="2">
        <v>45956</v>
      </c>
      <c r="I5473">
        <v>37.43</v>
      </c>
      <c r="J5473">
        <v>37.43</v>
      </c>
      <c r="K5473">
        <v>37.43</v>
      </c>
      <c r="L5473">
        <v>0</v>
      </c>
      <c r="M5473" s="1" t="s">
        <v>21</v>
      </c>
      <c r="N5473" s="1" t="s">
        <v>22</v>
      </c>
      <c r="O5473" s="2">
        <v>45997</v>
      </c>
      <c r="P5473" s="2">
        <v>45997</v>
      </c>
      <c r="Q5473">
        <f>_xlfn.XLOOKUP(E5473,CPT!$A$2:$A$13,CPT!$D$2:$D$13)</f>
        <v>38</v>
      </c>
      <c r="R5473" s="1">
        <f>_xlfn.XLOOKUP(C5473,Contract!$A$2:$A$9,Contract!$B$2:$B$9)</f>
        <v>1</v>
      </c>
      <c r="S5473" s="1">
        <f t="shared" si="340"/>
        <v>38</v>
      </c>
      <c r="T5473" s="1">
        <f t="shared" si="341"/>
        <v>0.57000000000000028</v>
      </c>
      <c r="U5473" s="1" t="str">
        <f t="shared" si="342"/>
        <v>OK</v>
      </c>
      <c r="V5473" s="1" t="str">
        <f>_xlfn.XLOOKUP(C5473,Payers!$A$2:$A$9,Payers!$B$2:$B$9)</f>
        <v>Self-Pay</v>
      </c>
      <c r="W5473" s="1" t="str">
        <f t="shared" si="343"/>
        <v>2025-10</v>
      </c>
    </row>
    <row r="5474" spans="1:23">
      <c r="A5474" s="1" t="s">
        <v>8303</v>
      </c>
      <c r="B5474" s="1" t="s">
        <v>6370</v>
      </c>
      <c r="C5474" s="1" t="s">
        <v>52</v>
      </c>
      <c r="D5474" s="1" t="s">
        <v>19</v>
      </c>
      <c r="E5474" s="1" t="s">
        <v>41</v>
      </c>
      <c r="F5474">
        <v>1</v>
      </c>
      <c r="G5474" s="2">
        <v>46058</v>
      </c>
      <c r="H5474" s="2">
        <v>46060</v>
      </c>
      <c r="I5474">
        <v>37.159999999999997</v>
      </c>
      <c r="J5474">
        <v>16.97</v>
      </c>
      <c r="K5474">
        <v>13.58</v>
      </c>
      <c r="L5474">
        <v>3.39</v>
      </c>
      <c r="M5474" s="1" t="s">
        <v>21</v>
      </c>
      <c r="N5474" s="1" t="s">
        <v>22</v>
      </c>
      <c r="O5474" s="2">
        <v>46129</v>
      </c>
      <c r="P5474" s="2">
        <v>46129</v>
      </c>
      <c r="Q5474">
        <f>_xlfn.XLOOKUP(E5474,CPT!$A$2:$A$13,CPT!$D$2:$D$13)</f>
        <v>38</v>
      </c>
      <c r="R5474" s="1">
        <f>_xlfn.XLOOKUP(C5474,Contract!$A$2:$A$9,Contract!$B$2:$B$9)</f>
        <v>0.47</v>
      </c>
      <c r="S5474" s="1">
        <f t="shared" si="340"/>
        <v>17.86</v>
      </c>
      <c r="T5474" s="1">
        <f t="shared" si="341"/>
        <v>0.89000000000000057</v>
      </c>
      <c r="U5474" s="1" t="str">
        <f t="shared" si="342"/>
        <v>OK</v>
      </c>
      <c r="V5474" s="1" t="str">
        <f>_xlfn.XLOOKUP(C5474,Payers!$A$2:$A$9,Payers!$B$2:$B$9)</f>
        <v>Keystone Commercial PPO</v>
      </c>
      <c r="W5474" s="1" t="str">
        <f t="shared" si="343"/>
        <v>2026-02</v>
      </c>
    </row>
    <row r="5475" spans="1:23">
      <c r="A5475" s="1" t="s">
        <v>8304</v>
      </c>
      <c r="B5475" s="1" t="s">
        <v>727</v>
      </c>
      <c r="C5475" s="1" t="s">
        <v>25</v>
      </c>
      <c r="D5475" s="1" t="s">
        <v>26</v>
      </c>
      <c r="E5475" s="1" t="s">
        <v>27</v>
      </c>
      <c r="F5475">
        <v>1</v>
      </c>
      <c r="G5475" s="2">
        <v>46040</v>
      </c>
      <c r="H5475" s="2">
        <v>46047</v>
      </c>
      <c r="I5475">
        <v>246.52</v>
      </c>
      <c r="J5475">
        <v>80.72</v>
      </c>
      <c r="K5475">
        <v>80.72</v>
      </c>
      <c r="L5475">
        <v>0</v>
      </c>
      <c r="M5475" s="1" t="s">
        <v>21</v>
      </c>
      <c r="N5475" s="1" t="s">
        <v>22</v>
      </c>
      <c r="O5475" s="2">
        <v>46066</v>
      </c>
      <c r="P5475" s="2">
        <v>46066</v>
      </c>
      <c r="Q5475">
        <f>_xlfn.XLOOKUP(E5475,CPT!$A$2:$A$13,CPT!$D$2:$D$13)</f>
        <v>240</v>
      </c>
      <c r="R5475" s="1">
        <f>_xlfn.XLOOKUP(C5475,Contract!$A$2:$A$9,Contract!$B$2:$B$9)</f>
        <v>0.36</v>
      </c>
      <c r="S5475" s="1">
        <f t="shared" si="340"/>
        <v>86.4</v>
      </c>
      <c r="T5475" s="1">
        <f t="shared" si="341"/>
        <v>5.6800000000000068</v>
      </c>
      <c r="U5475" s="1" t="str">
        <f t="shared" si="342"/>
        <v>Underpaid</v>
      </c>
      <c r="V5475" s="1" t="str">
        <f>_xlfn.XLOOKUP(C5475,Payers!$A$2:$A$9,Payers!$B$2:$B$9)</f>
        <v>Medicare Part B</v>
      </c>
      <c r="W5475" s="1" t="str">
        <f t="shared" si="343"/>
        <v>2026-01</v>
      </c>
    </row>
    <row r="5476" spans="1:23">
      <c r="A5476" s="1" t="s">
        <v>8305</v>
      </c>
      <c r="B5476" s="1" t="s">
        <v>5707</v>
      </c>
      <c r="C5476" s="1" t="s">
        <v>60</v>
      </c>
      <c r="D5476" s="1" t="s">
        <v>19</v>
      </c>
      <c r="E5476" s="1" t="s">
        <v>57</v>
      </c>
      <c r="F5476">
        <v>1</v>
      </c>
      <c r="G5476" s="2">
        <v>46154</v>
      </c>
      <c r="H5476" s="2">
        <v>46156</v>
      </c>
      <c r="I5476">
        <v>205.97</v>
      </c>
      <c r="J5476">
        <v>93.33</v>
      </c>
      <c r="K5476">
        <v>93.33</v>
      </c>
      <c r="L5476">
        <v>0</v>
      </c>
      <c r="M5476" s="1" t="s">
        <v>21</v>
      </c>
      <c r="N5476" s="1" t="s">
        <v>22</v>
      </c>
      <c r="O5476" s="2">
        <v>46184</v>
      </c>
      <c r="P5476" s="2">
        <v>46184</v>
      </c>
      <c r="Q5476">
        <f>_xlfn.XLOOKUP(E5476,CPT!$A$2:$A$13,CPT!$D$2:$D$13)</f>
        <v>210</v>
      </c>
      <c r="R5476" s="1">
        <f>_xlfn.XLOOKUP(C5476,Contract!$A$2:$A$9,Contract!$B$2:$B$9)</f>
        <v>0.45</v>
      </c>
      <c r="S5476" s="1">
        <f t="shared" si="340"/>
        <v>94.5</v>
      </c>
      <c r="T5476" s="1">
        <f t="shared" si="341"/>
        <v>1.1700000000000017</v>
      </c>
      <c r="U5476" s="1" t="str">
        <f t="shared" si="342"/>
        <v>OK</v>
      </c>
      <c r="V5476" s="1" t="str">
        <f>_xlfn.XLOOKUP(C5476,Payers!$A$2:$A$9,Payers!$B$2:$B$9)</f>
        <v>Blue Horizon Commercial</v>
      </c>
      <c r="W5476" s="1" t="str">
        <f t="shared" si="343"/>
        <v>2026-05</v>
      </c>
    </row>
    <row r="5477" spans="1:23">
      <c r="A5477" s="1" t="s">
        <v>8306</v>
      </c>
      <c r="B5477" s="1" t="s">
        <v>1419</v>
      </c>
      <c r="C5477" s="1" t="s">
        <v>47</v>
      </c>
      <c r="D5477" s="1" t="s">
        <v>26</v>
      </c>
      <c r="E5477" s="1" t="s">
        <v>27</v>
      </c>
      <c r="F5477">
        <v>1</v>
      </c>
      <c r="G5477" s="2">
        <v>46265</v>
      </c>
      <c r="H5477" s="2">
        <v>46266</v>
      </c>
      <c r="I5477">
        <v>244.44</v>
      </c>
      <c r="M5477" s="1" t="s">
        <v>69</v>
      </c>
      <c r="N5477" s="1" t="s">
        <v>22</v>
      </c>
      <c r="O5477" s="2"/>
      <c r="P5477" s="2"/>
      <c r="Q5477">
        <f>_xlfn.XLOOKUP(E5477,CPT!$A$2:$A$13,CPT!$D$2:$D$13)</f>
        <v>240</v>
      </c>
      <c r="R5477" s="1">
        <f>_xlfn.XLOOKUP(C5477,Contract!$A$2:$A$9,Contract!$B$2:$B$9)</f>
        <v>0.28000000000000003</v>
      </c>
      <c r="S5477" s="1">
        <f t="shared" si="340"/>
        <v>67.2</v>
      </c>
      <c r="T5477" s="1" t="str">
        <f t="shared" si="341"/>
        <v/>
      </c>
      <c r="U5477" s="1" t="str">
        <f t="shared" si="342"/>
        <v/>
      </c>
      <c r="V5477" s="1" t="str">
        <f>_xlfn.XLOOKUP(C5477,Payers!$A$2:$A$9,Payers!$B$2:$B$9)</f>
        <v>Coastal Medicaid MCO</v>
      </c>
      <c r="W5477" s="1" t="str">
        <f t="shared" si="343"/>
        <v>2026-08</v>
      </c>
    </row>
    <row r="5478" spans="1:23">
      <c r="A5478" s="1" t="s">
        <v>8307</v>
      </c>
      <c r="B5478" s="1" t="s">
        <v>6468</v>
      </c>
      <c r="C5478" s="1" t="s">
        <v>60</v>
      </c>
      <c r="D5478" s="1" t="s">
        <v>26</v>
      </c>
      <c r="E5478" s="1" t="s">
        <v>44</v>
      </c>
      <c r="F5478">
        <v>1</v>
      </c>
      <c r="G5478" s="2">
        <v>46266</v>
      </c>
      <c r="H5478" s="2">
        <v>46279</v>
      </c>
      <c r="I5478">
        <v>4837.43</v>
      </c>
      <c r="J5478">
        <v>2181.0300000000002</v>
      </c>
      <c r="K5478">
        <v>2181.0300000000002</v>
      </c>
      <c r="L5478">
        <v>0</v>
      </c>
      <c r="M5478" s="1" t="s">
        <v>21</v>
      </c>
      <c r="N5478" s="1" t="s">
        <v>22</v>
      </c>
      <c r="O5478" s="2">
        <v>46289</v>
      </c>
      <c r="P5478" s="2">
        <v>46289</v>
      </c>
      <c r="Q5478">
        <f>_xlfn.XLOOKUP(E5478,CPT!$A$2:$A$13,CPT!$D$2:$D$13)</f>
        <v>4800</v>
      </c>
      <c r="R5478" s="1">
        <f>_xlfn.XLOOKUP(C5478,Contract!$A$2:$A$9,Contract!$B$2:$B$9)</f>
        <v>0.45</v>
      </c>
      <c r="S5478" s="1">
        <f t="shared" si="340"/>
        <v>2160</v>
      </c>
      <c r="T5478" s="1">
        <f t="shared" si="341"/>
        <v>-21.0300000000002</v>
      </c>
      <c r="U5478" s="1" t="str">
        <f t="shared" si="342"/>
        <v>OK</v>
      </c>
      <c r="V5478" s="1" t="str">
        <f>_xlfn.XLOOKUP(C5478,Payers!$A$2:$A$9,Payers!$B$2:$B$9)</f>
        <v>Blue Horizon Commercial</v>
      </c>
      <c r="W5478" s="1" t="str">
        <f t="shared" si="343"/>
        <v>2026-09</v>
      </c>
    </row>
    <row r="5479" spans="1:23">
      <c r="A5479" s="1" t="s">
        <v>8308</v>
      </c>
      <c r="B5479" s="1" t="s">
        <v>3807</v>
      </c>
      <c r="C5479" s="1" t="s">
        <v>18</v>
      </c>
      <c r="D5479" s="1" t="s">
        <v>26</v>
      </c>
      <c r="E5479" s="1" t="s">
        <v>88</v>
      </c>
      <c r="F5479">
        <v>1</v>
      </c>
      <c r="G5479" s="2">
        <v>46048</v>
      </c>
      <c r="H5479" s="2">
        <v>46049</v>
      </c>
      <c r="I5479">
        <v>255.14</v>
      </c>
      <c r="J5479">
        <v>86.25</v>
      </c>
      <c r="K5479">
        <v>69</v>
      </c>
      <c r="L5479">
        <v>17.25</v>
      </c>
      <c r="M5479" s="1" t="s">
        <v>21</v>
      </c>
      <c r="N5479" s="1" t="s">
        <v>22</v>
      </c>
      <c r="O5479" s="2">
        <v>46084</v>
      </c>
      <c r="P5479" s="2">
        <v>46084</v>
      </c>
      <c r="Q5479">
        <f>_xlfn.XLOOKUP(E5479,CPT!$A$2:$A$13,CPT!$D$2:$D$13)</f>
        <v>260</v>
      </c>
      <c r="R5479" s="1">
        <f>_xlfn.XLOOKUP(C5479,Contract!$A$2:$A$9,Contract!$B$2:$B$9)</f>
        <v>0.38</v>
      </c>
      <c r="S5479" s="1">
        <f t="shared" si="340"/>
        <v>98.8</v>
      </c>
      <c r="T5479" s="1">
        <f t="shared" si="341"/>
        <v>12.549999999999997</v>
      </c>
      <c r="U5479" s="1" t="str">
        <f t="shared" si="342"/>
        <v>Underpaid</v>
      </c>
      <c r="V5479" s="1" t="str">
        <f>_xlfn.XLOOKUP(C5479,Payers!$A$2:$A$9,Payers!$B$2:$B$9)</f>
        <v>Sunshine Medicare Advantage</v>
      </c>
      <c r="W5479" s="1" t="str">
        <f t="shared" si="343"/>
        <v>2026-01</v>
      </c>
    </row>
    <row r="5480" spans="1:23">
      <c r="A5480" s="1" t="s">
        <v>8309</v>
      </c>
      <c r="B5480" s="1" t="s">
        <v>1474</v>
      </c>
      <c r="C5480" s="1" t="s">
        <v>76</v>
      </c>
      <c r="D5480" s="1" t="s">
        <v>26</v>
      </c>
      <c r="E5480" s="1" t="s">
        <v>57</v>
      </c>
      <c r="F5480">
        <v>1</v>
      </c>
      <c r="G5480" s="2">
        <v>46284</v>
      </c>
      <c r="H5480" s="2">
        <v>46286</v>
      </c>
      <c r="I5480">
        <v>210.4</v>
      </c>
      <c r="M5480" s="1" t="s">
        <v>69</v>
      </c>
      <c r="N5480" s="1" t="s">
        <v>22</v>
      </c>
      <c r="O5480" s="2"/>
      <c r="P5480" s="2"/>
      <c r="Q5480">
        <f>_xlfn.XLOOKUP(E5480,CPT!$A$2:$A$13,CPT!$D$2:$D$13)</f>
        <v>210</v>
      </c>
      <c r="R5480" s="1">
        <f>_xlfn.XLOOKUP(C5480,Contract!$A$2:$A$9,Contract!$B$2:$B$9)</f>
        <v>0.43</v>
      </c>
      <c r="S5480" s="1">
        <f t="shared" si="340"/>
        <v>90.3</v>
      </c>
      <c r="T5480" s="1" t="str">
        <f t="shared" si="341"/>
        <v/>
      </c>
      <c r="U5480" s="1" t="str">
        <f t="shared" si="342"/>
        <v/>
      </c>
      <c r="V5480" s="1" t="str">
        <f>_xlfn.XLOOKUP(C5480,Payers!$A$2:$A$9,Payers!$B$2:$B$9)</f>
        <v>Summit Health Commercial</v>
      </c>
      <c r="W5480" s="1" t="str">
        <f t="shared" si="343"/>
        <v>2026-09</v>
      </c>
    </row>
    <row r="5481" spans="1:23">
      <c r="A5481" s="1" t="s">
        <v>8310</v>
      </c>
      <c r="B5481" s="1" t="s">
        <v>536</v>
      </c>
      <c r="C5481" s="1" t="s">
        <v>18</v>
      </c>
      <c r="D5481" s="1" t="s">
        <v>26</v>
      </c>
      <c r="E5481" s="1" t="s">
        <v>44</v>
      </c>
      <c r="F5481">
        <v>1</v>
      </c>
      <c r="G5481" s="2">
        <v>46281</v>
      </c>
      <c r="H5481" s="2">
        <v>46293</v>
      </c>
      <c r="I5481">
        <v>4876.57</v>
      </c>
      <c r="M5481" s="1" t="s">
        <v>69</v>
      </c>
      <c r="N5481" s="1" t="s">
        <v>22</v>
      </c>
      <c r="O5481" s="2"/>
      <c r="P5481" s="2"/>
      <c r="Q5481">
        <f>_xlfn.XLOOKUP(E5481,CPT!$A$2:$A$13,CPT!$D$2:$D$13)</f>
        <v>4800</v>
      </c>
      <c r="R5481" s="1">
        <f>_xlfn.XLOOKUP(C5481,Contract!$A$2:$A$9,Contract!$B$2:$B$9)</f>
        <v>0.38</v>
      </c>
      <c r="S5481" s="1">
        <f t="shared" si="340"/>
        <v>1824</v>
      </c>
      <c r="T5481" s="1" t="str">
        <f t="shared" si="341"/>
        <v/>
      </c>
      <c r="U5481" s="1" t="str">
        <f t="shared" si="342"/>
        <v/>
      </c>
      <c r="V5481" s="1" t="str">
        <f>_xlfn.XLOOKUP(C5481,Payers!$A$2:$A$9,Payers!$B$2:$B$9)</f>
        <v>Sunshine Medicare Advantage</v>
      </c>
      <c r="W5481" s="1" t="str">
        <f t="shared" si="343"/>
        <v>2026-09</v>
      </c>
    </row>
    <row r="5482" spans="1:23">
      <c r="A5482" s="1" t="s">
        <v>8311</v>
      </c>
      <c r="B5482" s="1" t="s">
        <v>4151</v>
      </c>
      <c r="C5482" s="1" t="s">
        <v>25</v>
      </c>
      <c r="D5482" s="1" t="s">
        <v>26</v>
      </c>
      <c r="E5482" s="1" t="s">
        <v>41</v>
      </c>
      <c r="F5482">
        <v>1</v>
      </c>
      <c r="G5482" s="2">
        <v>46128</v>
      </c>
      <c r="H5482" s="2">
        <v>46130</v>
      </c>
      <c r="I5482">
        <v>38.61</v>
      </c>
      <c r="J5482">
        <v>11.98</v>
      </c>
      <c r="K5482">
        <v>11.98</v>
      </c>
      <c r="L5482">
        <v>0</v>
      </c>
      <c r="M5482" s="1" t="s">
        <v>21</v>
      </c>
      <c r="N5482" s="1" t="s">
        <v>22</v>
      </c>
      <c r="O5482" s="2">
        <v>46151</v>
      </c>
      <c r="P5482" s="2">
        <v>46151</v>
      </c>
      <c r="Q5482">
        <f>_xlfn.XLOOKUP(E5482,CPT!$A$2:$A$13,CPT!$D$2:$D$13)</f>
        <v>38</v>
      </c>
      <c r="R5482" s="1">
        <f>_xlfn.XLOOKUP(C5482,Contract!$A$2:$A$9,Contract!$B$2:$B$9)</f>
        <v>0.36</v>
      </c>
      <c r="S5482" s="1">
        <f t="shared" si="340"/>
        <v>13.68</v>
      </c>
      <c r="T5482" s="1">
        <f t="shared" si="341"/>
        <v>1.6999999999999993</v>
      </c>
      <c r="U5482" s="1" t="str">
        <f t="shared" si="342"/>
        <v>Underpaid</v>
      </c>
      <c r="V5482" s="1" t="str">
        <f>_xlfn.XLOOKUP(C5482,Payers!$A$2:$A$9,Payers!$B$2:$B$9)</f>
        <v>Medicare Part B</v>
      </c>
      <c r="W5482" s="1" t="str">
        <f t="shared" si="343"/>
        <v>2026-04</v>
      </c>
    </row>
    <row r="5483" spans="1:23">
      <c r="A5483" s="1" t="s">
        <v>8312</v>
      </c>
      <c r="B5483" s="1" t="s">
        <v>6342</v>
      </c>
      <c r="C5483" s="1" t="s">
        <v>76</v>
      </c>
      <c r="D5483" s="1" t="s">
        <v>30</v>
      </c>
      <c r="E5483" s="1" t="s">
        <v>91</v>
      </c>
      <c r="F5483">
        <v>1</v>
      </c>
      <c r="G5483" s="2">
        <v>45995</v>
      </c>
      <c r="H5483" s="2">
        <v>46005</v>
      </c>
      <c r="I5483">
        <v>56.72</v>
      </c>
      <c r="J5483">
        <v>23.45</v>
      </c>
      <c r="K5483">
        <v>21.1</v>
      </c>
      <c r="L5483">
        <v>2.35</v>
      </c>
      <c r="M5483" s="1" t="s">
        <v>21</v>
      </c>
      <c r="N5483" s="1" t="s">
        <v>22</v>
      </c>
      <c r="O5483" s="2">
        <v>46039</v>
      </c>
      <c r="P5483" s="2">
        <v>46039</v>
      </c>
      <c r="Q5483">
        <f>_xlfn.XLOOKUP(E5483,CPT!$A$2:$A$13,CPT!$D$2:$D$13)</f>
        <v>58</v>
      </c>
      <c r="R5483" s="1">
        <f>_xlfn.XLOOKUP(C5483,Contract!$A$2:$A$9,Contract!$B$2:$B$9)</f>
        <v>0.43</v>
      </c>
      <c r="S5483" s="1">
        <f t="shared" si="340"/>
        <v>24.94</v>
      </c>
      <c r="T5483" s="1">
        <f t="shared" si="341"/>
        <v>1.490000000000002</v>
      </c>
      <c r="U5483" s="1" t="str">
        <f t="shared" si="342"/>
        <v>Underpaid</v>
      </c>
      <c r="V5483" s="1" t="str">
        <f>_xlfn.XLOOKUP(C5483,Payers!$A$2:$A$9,Payers!$B$2:$B$9)</f>
        <v>Summit Health Commercial</v>
      </c>
      <c r="W5483" s="1" t="str">
        <f t="shared" si="343"/>
        <v>2025-12</v>
      </c>
    </row>
    <row r="5484" spans="1:23">
      <c r="A5484" s="1" t="s">
        <v>8313</v>
      </c>
      <c r="B5484" s="1" t="s">
        <v>1926</v>
      </c>
      <c r="C5484" s="1" t="s">
        <v>18</v>
      </c>
      <c r="D5484" s="1" t="s">
        <v>37</v>
      </c>
      <c r="E5484" s="1" t="s">
        <v>38</v>
      </c>
      <c r="F5484">
        <v>20</v>
      </c>
      <c r="G5484" s="2">
        <v>46205</v>
      </c>
      <c r="H5484" s="2">
        <v>46216</v>
      </c>
      <c r="I5484">
        <v>28858.68</v>
      </c>
      <c r="J5484">
        <v>11809.14</v>
      </c>
      <c r="K5484">
        <v>9447.31</v>
      </c>
      <c r="L5484">
        <v>2361.83</v>
      </c>
      <c r="M5484" s="1" t="s">
        <v>21</v>
      </c>
      <c r="N5484" s="1" t="s">
        <v>22</v>
      </c>
      <c r="O5484" s="2">
        <v>46264</v>
      </c>
      <c r="P5484" s="2">
        <v>46264</v>
      </c>
      <c r="Q5484">
        <f>_xlfn.XLOOKUP(E5484,CPT!$A$2:$A$13,CPT!$D$2:$D$13)</f>
        <v>1450</v>
      </c>
      <c r="R5484" s="1">
        <f>_xlfn.XLOOKUP(C5484,Contract!$A$2:$A$9,Contract!$B$2:$B$9)</f>
        <v>0.38</v>
      </c>
      <c r="S5484" s="1">
        <f t="shared" si="340"/>
        <v>11020</v>
      </c>
      <c r="T5484" s="1">
        <f t="shared" si="341"/>
        <v>-789.13999999999942</v>
      </c>
      <c r="U5484" s="1" t="str">
        <f t="shared" si="342"/>
        <v>OK</v>
      </c>
      <c r="V5484" s="1" t="str">
        <f>_xlfn.XLOOKUP(C5484,Payers!$A$2:$A$9,Payers!$B$2:$B$9)</f>
        <v>Sunshine Medicare Advantage</v>
      </c>
      <c r="W5484" s="1" t="str">
        <f t="shared" si="343"/>
        <v>2026-07</v>
      </c>
    </row>
    <row r="5485" spans="1:23">
      <c r="A5485" s="1" t="s">
        <v>8314</v>
      </c>
      <c r="B5485" s="1" t="s">
        <v>488</v>
      </c>
      <c r="C5485" s="1" t="s">
        <v>52</v>
      </c>
      <c r="D5485" s="1" t="s">
        <v>19</v>
      </c>
      <c r="E5485" s="1" t="s">
        <v>20</v>
      </c>
      <c r="F5485">
        <v>1</v>
      </c>
      <c r="G5485" s="2">
        <v>46003</v>
      </c>
      <c r="H5485" s="2">
        <v>46016</v>
      </c>
      <c r="I5485">
        <v>143.05000000000001</v>
      </c>
      <c r="J5485">
        <v>62.02</v>
      </c>
      <c r="K5485">
        <v>49.62</v>
      </c>
      <c r="L5485">
        <v>12.4</v>
      </c>
      <c r="M5485" s="1" t="s">
        <v>21</v>
      </c>
      <c r="N5485" s="1" t="s">
        <v>22</v>
      </c>
      <c r="O5485" s="2">
        <v>46055</v>
      </c>
      <c r="P5485" s="2">
        <v>46055</v>
      </c>
      <c r="Q5485">
        <f>_xlfn.XLOOKUP(E5485,CPT!$A$2:$A$13,CPT!$D$2:$D$13)</f>
        <v>145</v>
      </c>
      <c r="R5485" s="1">
        <f>_xlfn.XLOOKUP(C5485,Contract!$A$2:$A$9,Contract!$B$2:$B$9)</f>
        <v>0.47</v>
      </c>
      <c r="S5485" s="1">
        <f t="shared" si="340"/>
        <v>68.150000000000006</v>
      </c>
      <c r="T5485" s="1">
        <f t="shared" si="341"/>
        <v>6.1300000000000026</v>
      </c>
      <c r="U5485" s="1" t="str">
        <f t="shared" si="342"/>
        <v>Underpaid</v>
      </c>
      <c r="V5485" s="1" t="str">
        <f>_xlfn.XLOOKUP(C5485,Payers!$A$2:$A$9,Payers!$B$2:$B$9)</f>
        <v>Keystone Commercial PPO</v>
      </c>
      <c r="W5485" s="1" t="str">
        <f t="shared" si="343"/>
        <v>2025-12</v>
      </c>
    </row>
    <row r="5486" spans="1:23">
      <c r="A5486" s="1" t="s">
        <v>8315</v>
      </c>
      <c r="B5486" s="1" t="s">
        <v>400</v>
      </c>
      <c r="C5486" s="1" t="s">
        <v>36</v>
      </c>
      <c r="D5486" s="1" t="s">
        <v>26</v>
      </c>
      <c r="E5486" s="1" t="s">
        <v>113</v>
      </c>
      <c r="F5486">
        <v>1</v>
      </c>
      <c r="G5486" s="2">
        <v>46147</v>
      </c>
      <c r="H5486" s="2">
        <v>46157</v>
      </c>
      <c r="I5486">
        <v>1067.32</v>
      </c>
      <c r="J5486">
        <v>263.58</v>
      </c>
      <c r="K5486">
        <v>210.86</v>
      </c>
      <c r="L5486">
        <v>52.72</v>
      </c>
      <c r="M5486" s="1" t="s">
        <v>21</v>
      </c>
      <c r="N5486" s="1" t="s">
        <v>22</v>
      </c>
      <c r="O5486" s="2">
        <v>46178</v>
      </c>
      <c r="P5486" s="2">
        <v>46178</v>
      </c>
      <c r="Q5486">
        <f>_xlfn.XLOOKUP(E5486,CPT!$A$2:$A$13,CPT!$D$2:$D$13)</f>
        <v>1050</v>
      </c>
      <c r="R5486" s="1">
        <f>_xlfn.XLOOKUP(C5486,Contract!$A$2:$A$9,Contract!$B$2:$B$9)</f>
        <v>0.27</v>
      </c>
      <c r="S5486" s="1">
        <f t="shared" si="340"/>
        <v>283.5</v>
      </c>
      <c r="T5486" s="1">
        <f t="shared" si="341"/>
        <v>19.920000000000016</v>
      </c>
      <c r="U5486" s="1" t="str">
        <f t="shared" si="342"/>
        <v>Underpaid</v>
      </c>
      <c r="V5486" s="1" t="str">
        <f>_xlfn.XLOOKUP(C5486,Payers!$A$2:$A$9,Payers!$B$2:$B$9)</f>
        <v>Florida Medicaid</v>
      </c>
      <c r="W5486" s="1" t="str">
        <f t="shared" si="343"/>
        <v>2026-05</v>
      </c>
    </row>
    <row r="5487" spans="1:23">
      <c r="A5487" s="1" t="s">
        <v>8316</v>
      </c>
      <c r="B5487" s="1" t="s">
        <v>1419</v>
      </c>
      <c r="C5487" s="1" t="s">
        <v>18</v>
      </c>
      <c r="D5487" s="1" t="s">
        <v>26</v>
      </c>
      <c r="E5487" s="1" t="s">
        <v>185</v>
      </c>
      <c r="F5487">
        <v>1</v>
      </c>
      <c r="G5487" s="2">
        <v>45953</v>
      </c>
      <c r="H5487" s="2">
        <v>45960</v>
      </c>
      <c r="I5487">
        <v>1152.02</v>
      </c>
      <c r="M5487" s="1" t="s">
        <v>32</v>
      </c>
      <c r="N5487" s="1" t="s">
        <v>315</v>
      </c>
      <c r="O5487" s="2">
        <v>45989</v>
      </c>
      <c r="P5487" s="2"/>
      <c r="Q5487">
        <f>_xlfn.XLOOKUP(E5487,CPT!$A$2:$A$13,CPT!$D$2:$D$13)</f>
        <v>1150</v>
      </c>
      <c r="R5487" s="1">
        <f>_xlfn.XLOOKUP(C5487,Contract!$A$2:$A$9,Contract!$B$2:$B$9)</f>
        <v>0.38</v>
      </c>
      <c r="S5487" s="1">
        <f t="shared" si="340"/>
        <v>437</v>
      </c>
      <c r="T5487" s="1" t="str">
        <f t="shared" si="341"/>
        <v/>
      </c>
      <c r="U5487" s="1" t="str">
        <f t="shared" si="342"/>
        <v/>
      </c>
      <c r="V5487" s="1" t="str">
        <f>_xlfn.XLOOKUP(C5487,Payers!$A$2:$A$9,Payers!$B$2:$B$9)</f>
        <v>Sunshine Medicare Advantage</v>
      </c>
      <c r="W5487" s="1" t="str">
        <f t="shared" si="343"/>
        <v>2025-10</v>
      </c>
    </row>
    <row r="5488" spans="1:23">
      <c r="A5488" s="1" t="s">
        <v>8317</v>
      </c>
      <c r="B5488" s="1" t="s">
        <v>2495</v>
      </c>
      <c r="C5488" s="1" t="s">
        <v>47</v>
      </c>
      <c r="D5488" s="1" t="s">
        <v>19</v>
      </c>
      <c r="E5488" s="1" t="s">
        <v>41</v>
      </c>
      <c r="F5488">
        <v>1</v>
      </c>
      <c r="G5488" s="2">
        <v>46230</v>
      </c>
      <c r="H5488" s="2">
        <v>46231</v>
      </c>
      <c r="I5488">
        <v>37.24</v>
      </c>
      <c r="M5488" s="1" t="s">
        <v>69</v>
      </c>
      <c r="N5488" s="1" t="s">
        <v>22</v>
      </c>
      <c r="O5488" s="2"/>
      <c r="P5488" s="2"/>
      <c r="Q5488">
        <f>_xlfn.XLOOKUP(E5488,CPT!$A$2:$A$13,CPT!$D$2:$D$13)</f>
        <v>38</v>
      </c>
      <c r="R5488" s="1">
        <f>_xlfn.XLOOKUP(C5488,Contract!$A$2:$A$9,Contract!$B$2:$B$9)</f>
        <v>0.28000000000000003</v>
      </c>
      <c r="S5488" s="1">
        <f t="shared" si="340"/>
        <v>10.64</v>
      </c>
      <c r="T5488" s="1" t="str">
        <f t="shared" si="341"/>
        <v/>
      </c>
      <c r="U5488" s="1" t="str">
        <f t="shared" si="342"/>
        <v/>
      </c>
      <c r="V5488" s="1" t="str">
        <f>_xlfn.XLOOKUP(C5488,Payers!$A$2:$A$9,Payers!$B$2:$B$9)</f>
        <v>Coastal Medicaid MCO</v>
      </c>
      <c r="W5488" s="1" t="str">
        <f t="shared" si="343"/>
        <v>2026-07</v>
      </c>
    </row>
    <row r="5489" spans="1:23">
      <c r="A5489" s="1" t="s">
        <v>8318</v>
      </c>
      <c r="B5489" s="1" t="s">
        <v>2070</v>
      </c>
      <c r="C5489" s="1" t="s">
        <v>52</v>
      </c>
      <c r="D5489" s="1" t="s">
        <v>26</v>
      </c>
      <c r="E5489" s="1" t="s">
        <v>88</v>
      </c>
      <c r="F5489">
        <v>1</v>
      </c>
      <c r="G5489" s="2">
        <v>46171</v>
      </c>
      <c r="H5489" s="2">
        <v>46175</v>
      </c>
      <c r="I5489">
        <v>253.14</v>
      </c>
      <c r="J5489">
        <v>132.93</v>
      </c>
      <c r="K5489">
        <v>106.34</v>
      </c>
      <c r="L5489">
        <v>26.59</v>
      </c>
      <c r="M5489" s="1" t="s">
        <v>21</v>
      </c>
      <c r="N5489" s="1" t="s">
        <v>22</v>
      </c>
      <c r="O5489" s="2">
        <v>46216</v>
      </c>
      <c r="P5489" s="2">
        <v>46216</v>
      </c>
      <c r="Q5489">
        <f>_xlfn.XLOOKUP(E5489,CPT!$A$2:$A$13,CPT!$D$2:$D$13)</f>
        <v>260</v>
      </c>
      <c r="R5489" s="1">
        <f>_xlfn.XLOOKUP(C5489,Contract!$A$2:$A$9,Contract!$B$2:$B$9)</f>
        <v>0.47</v>
      </c>
      <c r="S5489" s="1">
        <f t="shared" si="340"/>
        <v>122.2</v>
      </c>
      <c r="T5489" s="1">
        <f t="shared" si="341"/>
        <v>-10.730000000000004</v>
      </c>
      <c r="U5489" s="1" t="str">
        <f t="shared" si="342"/>
        <v>OK</v>
      </c>
      <c r="V5489" s="1" t="str">
        <f>_xlfn.XLOOKUP(C5489,Payers!$A$2:$A$9,Payers!$B$2:$B$9)</f>
        <v>Keystone Commercial PPO</v>
      </c>
      <c r="W5489" s="1" t="str">
        <f t="shared" si="343"/>
        <v>2026-05</v>
      </c>
    </row>
    <row r="5490" spans="1:23">
      <c r="A5490" s="1" t="s">
        <v>8319</v>
      </c>
      <c r="B5490" s="1" t="s">
        <v>490</v>
      </c>
      <c r="C5490" s="1" t="s">
        <v>18</v>
      </c>
      <c r="D5490" s="1" t="s">
        <v>30</v>
      </c>
      <c r="E5490" s="1" t="s">
        <v>31</v>
      </c>
      <c r="F5490">
        <v>3</v>
      </c>
      <c r="G5490" s="2">
        <v>46061</v>
      </c>
      <c r="H5490" s="2">
        <v>46063</v>
      </c>
      <c r="I5490">
        <v>187.7</v>
      </c>
      <c r="M5490" s="1" t="s">
        <v>32</v>
      </c>
      <c r="N5490" s="1" t="s">
        <v>33</v>
      </c>
      <c r="O5490" s="2">
        <v>46092</v>
      </c>
      <c r="P5490" s="2"/>
      <c r="Q5490">
        <f>_xlfn.XLOOKUP(E5490,CPT!$A$2:$A$13,CPT!$D$2:$D$13)</f>
        <v>62</v>
      </c>
      <c r="R5490" s="1">
        <f>_xlfn.XLOOKUP(C5490,Contract!$A$2:$A$9,Contract!$B$2:$B$9)</f>
        <v>0.38</v>
      </c>
      <c r="S5490" s="1">
        <f t="shared" si="340"/>
        <v>70.680000000000007</v>
      </c>
      <c r="T5490" s="1" t="str">
        <f t="shared" si="341"/>
        <v/>
      </c>
      <c r="U5490" s="1" t="str">
        <f t="shared" si="342"/>
        <v/>
      </c>
      <c r="V5490" s="1" t="str">
        <f>_xlfn.XLOOKUP(C5490,Payers!$A$2:$A$9,Payers!$B$2:$B$9)</f>
        <v>Sunshine Medicare Advantage</v>
      </c>
      <c r="W5490" s="1" t="str">
        <f t="shared" si="343"/>
        <v>2026-02</v>
      </c>
    </row>
    <row r="5491" spans="1:23">
      <c r="A5491" s="1" t="s">
        <v>8320</v>
      </c>
      <c r="B5491" s="1" t="s">
        <v>2746</v>
      </c>
      <c r="C5491" s="1" t="s">
        <v>60</v>
      </c>
      <c r="D5491" s="1" t="s">
        <v>26</v>
      </c>
      <c r="E5491" s="1" t="s">
        <v>44</v>
      </c>
      <c r="F5491">
        <v>1</v>
      </c>
      <c r="G5491" s="2">
        <v>46279</v>
      </c>
      <c r="H5491" s="2">
        <v>46281</v>
      </c>
      <c r="I5491">
        <v>4934.88</v>
      </c>
      <c r="M5491" s="1" t="s">
        <v>69</v>
      </c>
      <c r="N5491" s="1" t="s">
        <v>22</v>
      </c>
      <c r="O5491" s="2"/>
      <c r="P5491" s="2"/>
      <c r="Q5491">
        <f>_xlfn.XLOOKUP(E5491,CPT!$A$2:$A$13,CPT!$D$2:$D$13)</f>
        <v>4800</v>
      </c>
      <c r="R5491" s="1">
        <f>_xlfn.XLOOKUP(C5491,Contract!$A$2:$A$9,Contract!$B$2:$B$9)</f>
        <v>0.45</v>
      </c>
      <c r="S5491" s="1">
        <f t="shared" si="340"/>
        <v>2160</v>
      </c>
      <c r="T5491" s="1" t="str">
        <f t="shared" si="341"/>
        <v/>
      </c>
      <c r="U5491" s="1" t="str">
        <f t="shared" si="342"/>
        <v/>
      </c>
      <c r="V5491" s="1" t="str">
        <f>_xlfn.XLOOKUP(C5491,Payers!$A$2:$A$9,Payers!$B$2:$B$9)</f>
        <v>Blue Horizon Commercial</v>
      </c>
      <c r="W5491" s="1" t="str">
        <f t="shared" si="343"/>
        <v>2026-09</v>
      </c>
    </row>
    <row r="5492" spans="1:23">
      <c r="A5492" s="1" t="s">
        <v>8321</v>
      </c>
      <c r="B5492" s="1" t="s">
        <v>5288</v>
      </c>
      <c r="C5492" s="1" t="s">
        <v>25</v>
      </c>
      <c r="D5492" s="1" t="s">
        <v>37</v>
      </c>
      <c r="E5492" s="1" t="s">
        <v>48</v>
      </c>
      <c r="F5492">
        <v>1</v>
      </c>
      <c r="G5492" s="2">
        <v>46273</v>
      </c>
      <c r="H5492" s="2">
        <v>46286</v>
      </c>
      <c r="I5492">
        <v>415.79</v>
      </c>
      <c r="M5492" s="1" t="s">
        <v>69</v>
      </c>
      <c r="N5492" s="1" t="s">
        <v>22</v>
      </c>
      <c r="O5492" s="2"/>
      <c r="P5492" s="2"/>
      <c r="Q5492">
        <f>_xlfn.XLOOKUP(E5492,CPT!$A$2:$A$13,CPT!$D$2:$D$13)</f>
        <v>420</v>
      </c>
      <c r="R5492" s="1">
        <f>_xlfn.XLOOKUP(C5492,Contract!$A$2:$A$9,Contract!$B$2:$B$9)</f>
        <v>0.36</v>
      </c>
      <c r="S5492" s="1">
        <f t="shared" si="340"/>
        <v>151.19999999999999</v>
      </c>
      <c r="T5492" s="1" t="str">
        <f t="shared" si="341"/>
        <v/>
      </c>
      <c r="U5492" s="1" t="str">
        <f t="shared" si="342"/>
        <v/>
      </c>
      <c r="V5492" s="1" t="str">
        <f>_xlfn.XLOOKUP(C5492,Payers!$A$2:$A$9,Payers!$B$2:$B$9)</f>
        <v>Medicare Part B</v>
      </c>
      <c r="W5492" s="1" t="str">
        <f t="shared" si="343"/>
        <v>2026-09</v>
      </c>
    </row>
    <row r="5493" spans="1:23">
      <c r="A5493" s="1" t="s">
        <v>8322</v>
      </c>
      <c r="B5493" s="1" t="s">
        <v>1774</v>
      </c>
      <c r="C5493" s="1" t="s">
        <v>47</v>
      </c>
      <c r="D5493" s="1" t="s">
        <v>37</v>
      </c>
      <c r="E5493" s="1" t="s">
        <v>38</v>
      </c>
      <c r="F5493">
        <v>30</v>
      </c>
      <c r="G5493" s="2">
        <v>46186</v>
      </c>
      <c r="H5493" s="2">
        <v>46188</v>
      </c>
      <c r="I5493">
        <v>42626.400000000001</v>
      </c>
      <c r="M5493" s="1" t="s">
        <v>32</v>
      </c>
      <c r="N5493" s="1" t="s">
        <v>49</v>
      </c>
      <c r="O5493" s="2">
        <v>46246</v>
      </c>
      <c r="P5493" s="2"/>
      <c r="Q5493">
        <f>_xlfn.XLOOKUP(E5493,CPT!$A$2:$A$13,CPT!$D$2:$D$13)</f>
        <v>1450</v>
      </c>
      <c r="R5493" s="1">
        <f>_xlfn.XLOOKUP(C5493,Contract!$A$2:$A$9,Contract!$B$2:$B$9)</f>
        <v>0.28000000000000003</v>
      </c>
      <c r="S5493" s="1">
        <f t="shared" si="340"/>
        <v>12180</v>
      </c>
      <c r="T5493" s="1" t="str">
        <f t="shared" si="341"/>
        <v/>
      </c>
      <c r="U5493" s="1" t="str">
        <f t="shared" si="342"/>
        <v/>
      </c>
      <c r="V5493" s="1" t="str">
        <f>_xlfn.XLOOKUP(C5493,Payers!$A$2:$A$9,Payers!$B$2:$B$9)</f>
        <v>Coastal Medicaid MCO</v>
      </c>
      <c r="W5493" s="1" t="str">
        <f t="shared" si="343"/>
        <v>2026-06</v>
      </c>
    </row>
    <row r="5494" spans="1:23">
      <c r="A5494" s="1" t="s">
        <v>8323</v>
      </c>
      <c r="B5494" s="1" t="s">
        <v>857</v>
      </c>
      <c r="C5494" s="1" t="s">
        <v>36</v>
      </c>
      <c r="D5494" s="1" t="s">
        <v>19</v>
      </c>
      <c r="E5494" s="1" t="s">
        <v>20</v>
      </c>
      <c r="F5494">
        <v>1</v>
      </c>
      <c r="G5494" s="2">
        <v>45977</v>
      </c>
      <c r="H5494" s="2">
        <v>45978</v>
      </c>
      <c r="I5494">
        <v>145.25</v>
      </c>
      <c r="M5494" s="1" t="s">
        <v>32</v>
      </c>
      <c r="N5494" s="1" t="s">
        <v>168</v>
      </c>
      <c r="O5494" s="2">
        <v>46022</v>
      </c>
      <c r="P5494" s="2"/>
      <c r="Q5494">
        <f>_xlfn.XLOOKUP(E5494,CPT!$A$2:$A$13,CPT!$D$2:$D$13)</f>
        <v>145</v>
      </c>
      <c r="R5494" s="1">
        <f>_xlfn.XLOOKUP(C5494,Contract!$A$2:$A$9,Contract!$B$2:$B$9)</f>
        <v>0.27</v>
      </c>
      <c r="S5494" s="1">
        <f t="shared" si="340"/>
        <v>39.15</v>
      </c>
      <c r="T5494" s="1" t="str">
        <f t="shared" si="341"/>
        <v/>
      </c>
      <c r="U5494" s="1" t="str">
        <f t="shared" si="342"/>
        <v/>
      </c>
      <c r="V5494" s="1" t="str">
        <f>_xlfn.XLOOKUP(C5494,Payers!$A$2:$A$9,Payers!$B$2:$B$9)</f>
        <v>Florida Medicaid</v>
      </c>
      <c r="W5494" s="1" t="str">
        <f t="shared" si="343"/>
        <v>2025-11</v>
      </c>
    </row>
    <row r="5495" spans="1:23">
      <c r="A5495" s="1" t="s">
        <v>8324</v>
      </c>
      <c r="B5495" s="1" t="s">
        <v>1385</v>
      </c>
      <c r="C5495" s="1" t="s">
        <v>18</v>
      </c>
      <c r="D5495" s="1" t="s">
        <v>26</v>
      </c>
      <c r="E5495" s="1" t="s">
        <v>88</v>
      </c>
      <c r="F5495">
        <v>1</v>
      </c>
      <c r="G5495" s="2">
        <v>46214</v>
      </c>
      <c r="H5495" s="2">
        <v>46217</v>
      </c>
      <c r="I5495">
        <v>253.32</v>
      </c>
      <c r="J5495">
        <v>83.54</v>
      </c>
      <c r="K5495">
        <v>83.54</v>
      </c>
      <c r="L5495">
        <v>0</v>
      </c>
      <c r="M5495" s="1" t="s">
        <v>21</v>
      </c>
      <c r="N5495" s="1" t="s">
        <v>22</v>
      </c>
      <c r="O5495" s="2">
        <v>46284</v>
      </c>
      <c r="P5495" s="2">
        <v>46284</v>
      </c>
      <c r="Q5495">
        <f>_xlfn.XLOOKUP(E5495,CPT!$A$2:$A$13,CPT!$D$2:$D$13)</f>
        <v>260</v>
      </c>
      <c r="R5495" s="1">
        <f>_xlfn.XLOOKUP(C5495,Contract!$A$2:$A$9,Contract!$B$2:$B$9)</f>
        <v>0.38</v>
      </c>
      <c r="S5495" s="1">
        <f t="shared" si="340"/>
        <v>98.8</v>
      </c>
      <c r="T5495" s="1">
        <f t="shared" si="341"/>
        <v>15.259999999999991</v>
      </c>
      <c r="U5495" s="1" t="str">
        <f t="shared" si="342"/>
        <v>Underpaid</v>
      </c>
      <c r="V5495" s="1" t="str">
        <f>_xlfn.XLOOKUP(C5495,Payers!$A$2:$A$9,Payers!$B$2:$B$9)</f>
        <v>Sunshine Medicare Advantage</v>
      </c>
      <c r="W5495" s="1" t="str">
        <f t="shared" si="343"/>
        <v>2026-07</v>
      </c>
    </row>
    <row r="5496" spans="1:23">
      <c r="A5496" s="1" t="s">
        <v>8325</v>
      </c>
      <c r="B5496" s="1" t="s">
        <v>8326</v>
      </c>
      <c r="C5496" s="1" t="s">
        <v>76</v>
      </c>
      <c r="D5496" s="1" t="s">
        <v>19</v>
      </c>
      <c r="E5496" s="1" t="s">
        <v>57</v>
      </c>
      <c r="F5496">
        <v>1</v>
      </c>
      <c r="G5496" s="2">
        <v>45969</v>
      </c>
      <c r="H5496" s="2">
        <v>45970</v>
      </c>
      <c r="I5496">
        <v>205.93</v>
      </c>
      <c r="J5496">
        <v>92.43</v>
      </c>
      <c r="K5496">
        <v>92.43</v>
      </c>
      <c r="L5496">
        <v>0</v>
      </c>
      <c r="M5496" s="1" t="s">
        <v>21</v>
      </c>
      <c r="N5496" s="1" t="s">
        <v>22</v>
      </c>
      <c r="O5496" s="2">
        <v>46006</v>
      </c>
      <c r="P5496" s="2">
        <v>46006</v>
      </c>
      <c r="Q5496">
        <f>_xlfn.XLOOKUP(E5496,CPT!$A$2:$A$13,CPT!$D$2:$D$13)</f>
        <v>210</v>
      </c>
      <c r="R5496" s="1">
        <f>_xlfn.XLOOKUP(C5496,Contract!$A$2:$A$9,Contract!$B$2:$B$9)</f>
        <v>0.43</v>
      </c>
      <c r="S5496" s="1">
        <f t="shared" si="340"/>
        <v>90.3</v>
      </c>
      <c r="T5496" s="1">
        <f t="shared" si="341"/>
        <v>-2.1300000000000097</v>
      </c>
      <c r="U5496" s="1" t="str">
        <f t="shared" si="342"/>
        <v>OK</v>
      </c>
      <c r="V5496" s="1" t="str">
        <f>_xlfn.XLOOKUP(C5496,Payers!$A$2:$A$9,Payers!$B$2:$B$9)</f>
        <v>Summit Health Commercial</v>
      </c>
      <c r="W5496" s="1" t="str">
        <f t="shared" si="343"/>
        <v>2025-11</v>
      </c>
    </row>
    <row r="5497" spans="1:23">
      <c r="A5497" s="1" t="s">
        <v>8327</v>
      </c>
      <c r="B5497" s="1" t="s">
        <v>5484</v>
      </c>
      <c r="C5497" s="1" t="s">
        <v>60</v>
      </c>
      <c r="D5497" s="1" t="s">
        <v>30</v>
      </c>
      <c r="E5497" s="1" t="s">
        <v>20</v>
      </c>
      <c r="F5497">
        <v>1</v>
      </c>
      <c r="G5497" s="2">
        <v>46090</v>
      </c>
      <c r="H5497" s="2">
        <v>46097</v>
      </c>
      <c r="I5497">
        <v>141.19999999999999</v>
      </c>
      <c r="J5497">
        <v>69.36</v>
      </c>
      <c r="K5497">
        <v>69.36</v>
      </c>
      <c r="L5497">
        <v>0</v>
      </c>
      <c r="M5497" s="1" t="s">
        <v>21</v>
      </c>
      <c r="N5497" s="1" t="s">
        <v>22</v>
      </c>
      <c r="O5497" s="2">
        <v>46117</v>
      </c>
      <c r="P5497" s="2">
        <v>46117</v>
      </c>
      <c r="Q5497">
        <f>_xlfn.XLOOKUP(E5497,CPT!$A$2:$A$13,CPT!$D$2:$D$13)</f>
        <v>145</v>
      </c>
      <c r="R5497" s="1">
        <f>_xlfn.XLOOKUP(C5497,Contract!$A$2:$A$9,Contract!$B$2:$B$9)</f>
        <v>0.45</v>
      </c>
      <c r="S5497" s="1">
        <f t="shared" si="340"/>
        <v>65.25</v>
      </c>
      <c r="T5497" s="1">
        <f t="shared" si="341"/>
        <v>-4.1099999999999994</v>
      </c>
      <c r="U5497" s="1" t="str">
        <f t="shared" si="342"/>
        <v>OK</v>
      </c>
      <c r="V5497" s="1" t="str">
        <f>_xlfn.XLOOKUP(C5497,Payers!$A$2:$A$9,Payers!$B$2:$B$9)</f>
        <v>Blue Horizon Commercial</v>
      </c>
      <c r="W5497" s="1" t="str">
        <f t="shared" si="343"/>
        <v>2026-03</v>
      </c>
    </row>
    <row r="5498" spans="1:23">
      <c r="A5498" s="1" t="s">
        <v>8328</v>
      </c>
      <c r="B5498" s="1" t="s">
        <v>4425</v>
      </c>
      <c r="C5498" s="1" t="s">
        <v>52</v>
      </c>
      <c r="D5498" s="1" t="s">
        <v>30</v>
      </c>
      <c r="E5498" s="1" t="s">
        <v>20</v>
      </c>
      <c r="F5498">
        <v>1</v>
      </c>
      <c r="G5498" s="2">
        <v>45939</v>
      </c>
      <c r="H5498" s="2">
        <v>45941</v>
      </c>
      <c r="I5498">
        <v>141.04</v>
      </c>
      <c r="J5498">
        <v>73.209999999999994</v>
      </c>
      <c r="K5498">
        <v>65.89</v>
      </c>
      <c r="L5498">
        <v>7.32</v>
      </c>
      <c r="M5498" s="1" t="s">
        <v>21</v>
      </c>
      <c r="N5498" s="1" t="s">
        <v>22</v>
      </c>
      <c r="O5498" s="2">
        <v>45991</v>
      </c>
      <c r="P5498" s="2">
        <v>45991</v>
      </c>
      <c r="Q5498">
        <f>_xlfn.XLOOKUP(E5498,CPT!$A$2:$A$13,CPT!$D$2:$D$13)</f>
        <v>145</v>
      </c>
      <c r="R5498" s="1">
        <f>_xlfn.XLOOKUP(C5498,Contract!$A$2:$A$9,Contract!$B$2:$B$9)</f>
        <v>0.47</v>
      </c>
      <c r="S5498" s="1">
        <f t="shared" si="340"/>
        <v>68.150000000000006</v>
      </c>
      <c r="T5498" s="1">
        <f t="shared" si="341"/>
        <v>-5.0599999999999881</v>
      </c>
      <c r="U5498" s="1" t="str">
        <f t="shared" si="342"/>
        <v>OK</v>
      </c>
      <c r="V5498" s="1" t="str">
        <f>_xlfn.XLOOKUP(C5498,Payers!$A$2:$A$9,Payers!$B$2:$B$9)</f>
        <v>Keystone Commercial PPO</v>
      </c>
      <c r="W5498" s="1" t="str">
        <f t="shared" si="343"/>
        <v>2025-10</v>
      </c>
    </row>
    <row r="5499" spans="1:23">
      <c r="A5499" s="1" t="s">
        <v>8329</v>
      </c>
      <c r="B5499" s="1" t="s">
        <v>8330</v>
      </c>
      <c r="C5499" s="1" t="s">
        <v>79</v>
      </c>
      <c r="D5499" s="1" t="s">
        <v>26</v>
      </c>
      <c r="E5499" s="1" t="s">
        <v>41</v>
      </c>
      <c r="F5499">
        <v>1</v>
      </c>
      <c r="G5499" s="2">
        <v>46119</v>
      </c>
      <c r="H5499" s="2">
        <v>46125</v>
      </c>
      <c r="I5499">
        <v>37.85</v>
      </c>
      <c r="J5499">
        <v>37.85</v>
      </c>
      <c r="K5499">
        <v>37.85</v>
      </c>
      <c r="L5499">
        <v>0</v>
      </c>
      <c r="M5499" s="1" t="s">
        <v>21</v>
      </c>
      <c r="N5499" s="1" t="s">
        <v>22</v>
      </c>
      <c r="O5499" s="2">
        <v>46171</v>
      </c>
      <c r="P5499" s="2">
        <v>46171</v>
      </c>
      <c r="Q5499">
        <f>_xlfn.XLOOKUP(E5499,CPT!$A$2:$A$13,CPT!$D$2:$D$13)</f>
        <v>38</v>
      </c>
      <c r="R5499" s="1">
        <f>_xlfn.XLOOKUP(C5499,Contract!$A$2:$A$9,Contract!$B$2:$B$9)</f>
        <v>1</v>
      </c>
      <c r="S5499" s="1">
        <f t="shared" si="340"/>
        <v>38</v>
      </c>
      <c r="T5499" s="1">
        <f t="shared" si="341"/>
        <v>0.14999999999999858</v>
      </c>
      <c r="U5499" s="1" t="str">
        <f t="shared" si="342"/>
        <v>OK</v>
      </c>
      <c r="V5499" s="1" t="str">
        <f>_xlfn.XLOOKUP(C5499,Payers!$A$2:$A$9,Payers!$B$2:$B$9)</f>
        <v>Self-Pay</v>
      </c>
      <c r="W5499" s="1" t="str">
        <f t="shared" si="343"/>
        <v>2026-04</v>
      </c>
    </row>
    <row r="5500" spans="1:23">
      <c r="A5500" s="1" t="s">
        <v>8331</v>
      </c>
      <c r="B5500" s="1" t="s">
        <v>6114</v>
      </c>
      <c r="C5500" s="1" t="s">
        <v>25</v>
      </c>
      <c r="D5500" s="1" t="s">
        <v>37</v>
      </c>
      <c r="E5500" s="1" t="s">
        <v>38</v>
      </c>
      <c r="F5500">
        <v>20</v>
      </c>
      <c r="G5500" s="2">
        <v>46088</v>
      </c>
      <c r="H5500" s="2">
        <v>46091</v>
      </c>
      <c r="I5500">
        <v>28369.95</v>
      </c>
      <c r="J5500">
        <v>9696.8700000000008</v>
      </c>
      <c r="K5500">
        <v>9696.8700000000008</v>
      </c>
      <c r="L5500">
        <v>0</v>
      </c>
      <c r="M5500" s="1" t="s">
        <v>21</v>
      </c>
      <c r="N5500" s="1" t="s">
        <v>22</v>
      </c>
      <c r="O5500" s="2">
        <v>46117</v>
      </c>
      <c r="P5500" s="2">
        <v>46117</v>
      </c>
      <c r="Q5500">
        <f>_xlfn.XLOOKUP(E5500,CPT!$A$2:$A$13,CPT!$D$2:$D$13)</f>
        <v>1450</v>
      </c>
      <c r="R5500" s="1">
        <f>_xlfn.XLOOKUP(C5500,Contract!$A$2:$A$9,Contract!$B$2:$B$9)</f>
        <v>0.36</v>
      </c>
      <c r="S5500" s="1">
        <f t="shared" si="340"/>
        <v>10440</v>
      </c>
      <c r="T5500" s="1">
        <f t="shared" si="341"/>
        <v>743.1299999999992</v>
      </c>
      <c r="U5500" s="1" t="str">
        <f t="shared" si="342"/>
        <v>Underpaid</v>
      </c>
      <c r="V5500" s="1" t="str">
        <f>_xlfn.XLOOKUP(C5500,Payers!$A$2:$A$9,Payers!$B$2:$B$9)</f>
        <v>Medicare Part B</v>
      </c>
      <c r="W5500" s="1" t="str">
        <f t="shared" si="343"/>
        <v>2026-03</v>
      </c>
    </row>
    <row r="5501" spans="1:23">
      <c r="A5501" s="1" t="s">
        <v>8332</v>
      </c>
      <c r="B5501" s="1" t="s">
        <v>604</v>
      </c>
      <c r="C5501" s="1" t="s">
        <v>18</v>
      </c>
      <c r="D5501" s="1" t="s">
        <v>19</v>
      </c>
      <c r="E5501" s="1" t="s">
        <v>88</v>
      </c>
      <c r="F5501">
        <v>1</v>
      </c>
      <c r="G5501" s="2">
        <v>46029</v>
      </c>
      <c r="H5501" s="2">
        <v>46041</v>
      </c>
      <c r="I5501">
        <v>267.49</v>
      </c>
      <c r="J5501">
        <v>102.71</v>
      </c>
      <c r="K5501">
        <v>92.44</v>
      </c>
      <c r="L5501">
        <v>10.27</v>
      </c>
      <c r="M5501" s="1" t="s">
        <v>21</v>
      </c>
      <c r="N5501" s="1" t="s">
        <v>22</v>
      </c>
      <c r="O5501" s="2">
        <v>46091</v>
      </c>
      <c r="P5501" s="2">
        <v>46091</v>
      </c>
      <c r="Q5501">
        <f>_xlfn.XLOOKUP(E5501,CPT!$A$2:$A$13,CPT!$D$2:$D$13)</f>
        <v>260</v>
      </c>
      <c r="R5501" s="1">
        <f>_xlfn.XLOOKUP(C5501,Contract!$A$2:$A$9,Contract!$B$2:$B$9)</f>
        <v>0.38</v>
      </c>
      <c r="S5501" s="1">
        <f t="shared" si="340"/>
        <v>98.8</v>
      </c>
      <c r="T5501" s="1">
        <f t="shared" si="341"/>
        <v>-3.9099999999999966</v>
      </c>
      <c r="U5501" s="1" t="str">
        <f t="shared" si="342"/>
        <v>OK</v>
      </c>
      <c r="V5501" s="1" t="str">
        <f>_xlfn.XLOOKUP(C5501,Payers!$A$2:$A$9,Payers!$B$2:$B$9)</f>
        <v>Sunshine Medicare Advantage</v>
      </c>
      <c r="W5501" s="1" t="str">
        <f t="shared" si="343"/>
        <v>2026-01</v>
      </c>
    </row>
    <row r="5502" spans="1:23">
      <c r="A5502" s="1" t="s">
        <v>8333</v>
      </c>
      <c r="B5502" s="1" t="s">
        <v>170</v>
      </c>
      <c r="C5502" s="1" t="s">
        <v>18</v>
      </c>
      <c r="D5502" s="1" t="s">
        <v>26</v>
      </c>
      <c r="E5502" s="1" t="s">
        <v>57</v>
      </c>
      <c r="F5502">
        <v>1</v>
      </c>
      <c r="G5502" s="2">
        <v>46000</v>
      </c>
      <c r="H5502" s="2">
        <v>46002</v>
      </c>
      <c r="I5502">
        <v>214.07</v>
      </c>
      <c r="J5502">
        <v>84.98</v>
      </c>
      <c r="K5502">
        <v>76.48</v>
      </c>
      <c r="L5502">
        <v>8.5</v>
      </c>
      <c r="M5502" s="1" t="s">
        <v>21</v>
      </c>
      <c r="N5502" s="1" t="s">
        <v>22</v>
      </c>
      <c r="O5502" s="2">
        <v>46053</v>
      </c>
      <c r="P5502" s="2">
        <v>46053</v>
      </c>
      <c r="Q5502">
        <f>_xlfn.XLOOKUP(E5502,CPT!$A$2:$A$13,CPT!$D$2:$D$13)</f>
        <v>210</v>
      </c>
      <c r="R5502" s="1">
        <f>_xlfn.XLOOKUP(C5502,Contract!$A$2:$A$9,Contract!$B$2:$B$9)</f>
        <v>0.38</v>
      </c>
      <c r="S5502" s="1">
        <f t="shared" si="340"/>
        <v>79.8</v>
      </c>
      <c r="T5502" s="1">
        <f t="shared" si="341"/>
        <v>-5.1800000000000068</v>
      </c>
      <c r="U5502" s="1" t="str">
        <f t="shared" si="342"/>
        <v>OK</v>
      </c>
      <c r="V5502" s="1" t="str">
        <f>_xlfn.XLOOKUP(C5502,Payers!$A$2:$A$9,Payers!$B$2:$B$9)</f>
        <v>Sunshine Medicare Advantage</v>
      </c>
      <c r="W5502" s="1" t="str">
        <f t="shared" si="343"/>
        <v>2025-12</v>
      </c>
    </row>
    <row r="5503" spans="1:23">
      <c r="A5503" s="1" t="s">
        <v>8334</v>
      </c>
      <c r="B5503" s="1" t="s">
        <v>2774</v>
      </c>
      <c r="C5503" s="1" t="s">
        <v>18</v>
      </c>
      <c r="D5503" s="1" t="s">
        <v>26</v>
      </c>
      <c r="E5503" s="1" t="s">
        <v>57</v>
      </c>
      <c r="F5503">
        <v>1</v>
      </c>
      <c r="G5503" s="2">
        <v>46034</v>
      </c>
      <c r="H5503" s="2">
        <v>46043</v>
      </c>
      <c r="I5503">
        <v>205.56</v>
      </c>
      <c r="J5503">
        <v>76.94</v>
      </c>
      <c r="K5503">
        <v>76.94</v>
      </c>
      <c r="L5503">
        <v>0</v>
      </c>
      <c r="M5503" s="1" t="s">
        <v>21</v>
      </c>
      <c r="N5503" s="1" t="s">
        <v>22</v>
      </c>
      <c r="O5503" s="2">
        <v>46103</v>
      </c>
      <c r="P5503" s="2">
        <v>46103</v>
      </c>
      <c r="Q5503">
        <f>_xlfn.XLOOKUP(E5503,CPT!$A$2:$A$13,CPT!$D$2:$D$13)</f>
        <v>210</v>
      </c>
      <c r="R5503" s="1">
        <f>_xlfn.XLOOKUP(C5503,Contract!$A$2:$A$9,Contract!$B$2:$B$9)</f>
        <v>0.38</v>
      </c>
      <c r="S5503" s="1">
        <f t="shared" si="340"/>
        <v>79.8</v>
      </c>
      <c r="T5503" s="1">
        <f t="shared" si="341"/>
        <v>2.8599999999999994</v>
      </c>
      <c r="U5503" s="1" t="str">
        <f t="shared" si="342"/>
        <v>OK</v>
      </c>
      <c r="V5503" s="1" t="str">
        <f>_xlfn.XLOOKUP(C5503,Payers!$A$2:$A$9,Payers!$B$2:$B$9)</f>
        <v>Sunshine Medicare Advantage</v>
      </c>
      <c r="W5503" s="1" t="str">
        <f t="shared" si="343"/>
        <v>2026-01</v>
      </c>
    </row>
    <row r="5504" spans="1:23">
      <c r="A5504" s="1" t="s">
        <v>8335</v>
      </c>
      <c r="B5504" s="1" t="s">
        <v>961</v>
      </c>
      <c r="C5504" s="1" t="s">
        <v>47</v>
      </c>
      <c r="D5504" s="1" t="s">
        <v>26</v>
      </c>
      <c r="E5504" s="1" t="s">
        <v>57</v>
      </c>
      <c r="F5504">
        <v>1</v>
      </c>
      <c r="G5504" s="2">
        <v>46040</v>
      </c>
      <c r="H5504" s="2">
        <v>46043</v>
      </c>
      <c r="I5504">
        <v>203.84</v>
      </c>
      <c r="J5504">
        <v>59.15</v>
      </c>
      <c r="K5504">
        <v>59.15</v>
      </c>
      <c r="L5504">
        <v>0</v>
      </c>
      <c r="M5504" s="1" t="s">
        <v>21</v>
      </c>
      <c r="N5504" s="1" t="s">
        <v>22</v>
      </c>
      <c r="O5504" s="2">
        <v>46105</v>
      </c>
      <c r="P5504" s="2">
        <v>46105</v>
      </c>
      <c r="Q5504">
        <f>_xlfn.XLOOKUP(E5504,CPT!$A$2:$A$13,CPT!$D$2:$D$13)</f>
        <v>210</v>
      </c>
      <c r="R5504" s="1">
        <f>_xlfn.XLOOKUP(C5504,Contract!$A$2:$A$9,Contract!$B$2:$B$9)</f>
        <v>0.28000000000000003</v>
      </c>
      <c r="S5504" s="1">
        <f t="shared" si="340"/>
        <v>58.8</v>
      </c>
      <c r="T5504" s="1">
        <f t="shared" si="341"/>
        <v>-0.35000000000000142</v>
      </c>
      <c r="U5504" s="1" t="str">
        <f t="shared" si="342"/>
        <v>OK</v>
      </c>
      <c r="V5504" s="1" t="str">
        <f>_xlfn.XLOOKUP(C5504,Payers!$A$2:$A$9,Payers!$B$2:$B$9)</f>
        <v>Coastal Medicaid MCO</v>
      </c>
      <c r="W5504" s="1" t="str">
        <f t="shared" si="343"/>
        <v>2026-01</v>
      </c>
    </row>
    <row r="5505" spans="1:23">
      <c r="A5505" s="1" t="s">
        <v>8336</v>
      </c>
      <c r="B5505" s="1" t="s">
        <v>1247</v>
      </c>
      <c r="C5505" s="1" t="s">
        <v>18</v>
      </c>
      <c r="D5505" s="1" t="s">
        <v>26</v>
      </c>
      <c r="E5505" s="1" t="s">
        <v>57</v>
      </c>
      <c r="F5505">
        <v>1</v>
      </c>
      <c r="G5505" s="2">
        <v>46146</v>
      </c>
      <c r="H5505" s="2">
        <v>46151</v>
      </c>
      <c r="I5505">
        <v>209.61</v>
      </c>
      <c r="M5505" s="1" t="s">
        <v>32</v>
      </c>
      <c r="N5505" s="1" t="s">
        <v>33</v>
      </c>
      <c r="O5505" s="2">
        <v>46209</v>
      </c>
      <c r="P5505" s="2"/>
      <c r="Q5505">
        <f>_xlfn.XLOOKUP(E5505,CPT!$A$2:$A$13,CPT!$D$2:$D$13)</f>
        <v>210</v>
      </c>
      <c r="R5505" s="1">
        <f>_xlfn.XLOOKUP(C5505,Contract!$A$2:$A$9,Contract!$B$2:$B$9)</f>
        <v>0.38</v>
      </c>
      <c r="S5505" s="1">
        <f t="shared" si="340"/>
        <v>79.8</v>
      </c>
      <c r="T5505" s="1" t="str">
        <f t="shared" si="341"/>
        <v/>
      </c>
      <c r="U5505" s="1" t="str">
        <f t="shared" si="342"/>
        <v/>
      </c>
      <c r="V5505" s="1" t="str">
        <f>_xlfn.XLOOKUP(C5505,Payers!$A$2:$A$9,Payers!$B$2:$B$9)</f>
        <v>Sunshine Medicare Advantage</v>
      </c>
      <c r="W5505" s="1" t="str">
        <f t="shared" si="343"/>
        <v>2026-05</v>
      </c>
    </row>
    <row r="5506" spans="1:23">
      <c r="A5506" s="1" t="s">
        <v>8337</v>
      </c>
      <c r="B5506" s="1" t="s">
        <v>951</v>
      </c>
      <c r="C5506" s="1" t="s">
        <v>18</v>
      </c>
      <c r="D5506" s="1" t="s">
        <v>19</v>
      </c>
      <c r="E5506" s="1" t="s">
        <v>57</v>
      </c>
      <c r="F5506">
        <v>1</v>
      </c>
      <c r="G5506" s="2">
        <v>46008</v>
      </c>
      <c r="H5506" s="2">
        <v>46009</v>
      </c>
      <c r="I5506">
        <v>204.66</v>
      </c>
      <c r="M5506" s="1" t="s">
        <v>32</v>
      </c>
      <c r="N5506" s="1" t="s">
        <v>98</v>
      </c>
      <c r="O5506" s="2">
        <v>46039</v>
      </c>
      <c r="P5506" s="2"/>
      <c r="Q5506">
        <f>_xlfn.XLOOKUP(E5506,CPT!$A$2:$A$13,CPT!$D$2:$D$13)</f>
        <v>210</v>
      </c>
      <c r="R5506" s="1">
        <f>_xlfn.XLOOKUP(C5506,Contract!$A$2:$A$9,Contract!$B$2:$B$9)</f>
        <v>0.38</v>
      </c>
      <c r="S5506" s="1">
        <f t="shared" ref="S5506:S5569" si="344">ROUND(Q5506*F5506*R5506,2)</f>
        <v>79.8</v>
      </c>
      <c r="T5506" s="1" t="str">
        <f t="shared" ref="T5506:T5569" si="345">IF(M5506="Paid",S5506-J5506,"")</f>
        <v/>
      </c>
      <c r="U5506" s="1" t="str">
        <f t="shared" ref="U5506:U5569" si="346">IF(M5506&lt;&gt;"Paid","",IF(T5506&gt;S5506*0.05,"Underpaid","OK"))</f>
        <v/>
      </c>
      <c r="V5506" s="1" t="str">
        <f>_xlfn.XLOOKUP(C5506,Payers!$A$2:$A$9,Payers!$B$2:$B$9)</f>
        <v>Sunshine Medicare Advantage</v>
      </c>
      <c r="W5506" s="1" t="str">
        <f t="shared" ref="W5506:W5569" si="347">TEXT(G5506,"yyyy-mm")</f>
        <v>2025-12</v>
      </c>
    </row>
    <row r="5507" spans="1:23">
      <c r="A5507" s="1" t="s">
        <v>8338</v>
      </c>
      <c r="B5507" s="1" t="s">
        <v>7214</v>
      </c>
      <c r="C5507" s="1" t="s">
        <v>52</v>
      </c>
      <c r="D5507" s="1" t="s">
        <v>30</v>
      </c>
      <c r="E5507" s="1" t="s">
        <v>31</v>
      </c>
      <c r="F5507">
        <v>3</v>
      </c>
      <c r="G5507" s="2">
        <v>46263</v>
      </c>
      <c r="H5507" s="2">
        <v>46268</v>
      </c>
      <c r="I5507">
        <v>181.34</v>
      </c>
      <c r="M5507" s="1" t="s">
        <v>69</v>
      </c>
      <c r="N5507" s="1" t="s">
        <v>22</v>
      </c>
      <c r="O5507" s="2"/>
      <c r="P5507" s="2"/>
      <c r="Q5507">
        <f>_xlfn.XLOOKUP(E5507,CPT!$A$2:$A$13,CPT!$D$2:$D$13)</f>
        <v>62</v>
      </c>
      <c r="R5507" s="1">
        <f>_xlfn.XLOOKUP(C5507,Contract!$A$2:$A$9,Contract!$B$2:$B$9)</f>
        <v>0.47</v>
      </c>
      <c r="S5507" s="1">
        <f t="shared" si="344"/>
        <v>87.42</v>
      </c>
      <c r="T5507" s="1" t="str">
        <f t="shared" si="345"/>
        <v/>
      </c>
      <c r="U5507" s="1" t="str">
        <f t="shared" si="346"/>
        <v/>
      </c>
      <c r="V5507" s="1" t="str">
        <f>_xlfn.XLOOKUP(C5507,Payers!$A$2:$A$9,Payers!$B$2:$B$9)</f>
        <v>Keystone Commercial PPO</v>
      </c>
      <c r="W5507" s="1" t="str">
        <f t="shared" si="347"/>
        <v>2026-08</v>
      </c>
    </row>
    <row r="5508" spans="1:23">
      <c r="A5508" s="1" t="s">
        <v>8339</v>
      </c>
      <c r="B5508" s="1" t="s">
        <v>8340</v>
      </c>
      <c r="C5508" s="1" t="s">
        <v>18</v>
      </c>
      <c r="D5508" s="1" t="s">
        <v>26</v>
      </c>
      <c r="E5508" s="1" t="s">
        <v>44</v>
      </c>
      <c r="F5508">
        <v>1</v>
      </c>
      <c r="G5508" s="2">
        <v>46192</v>
      </c>
      <c r="H5508" s="2">
        <v>46196</v>
      </c>
      <c r="I5508">
        <v>4700.1400000000003</v>
      </c>
      <c r="J5508">
        <v>1889.47</v>
      </c>
      <c r="K5508">
        <v>1889.47</v>
      </c>
      <c r="L5508">
        <v>0</v>
      </c>
      <c r="M5508" s="1" t="s">
        <v>21</v>
      </c>
      <c r="N5508" s="1" t="s">
        <v>22</v>
      </c>
      <c r="O5508" s="2">
        <v>46240</v>
      </c>
      <c r="P5508" s="2">
        <v>46240</v>
      </c>
      <c r="Q5508">
        <f>_xlfn.XLOOKUP(E5508,CPT!$A$2:$A$13,CPT!$D$2:$D$13)</f>
        <v>4800</v>
      </c>
      <c r="R5508" s="1">
        <f>_xlfn.XLOOKUP(C5508,Contract!$A$2:$A$9,Contract!$B$2:$B$9)</f>
        <v>0.38</v>
      </c>
      <c r="S5508" s="1">
        <f t="shared" si="344"/>
        <v>1824</v>
      </c>
      <c r="T5508" s="1">
        <f t="shared" si="345"/>
        <v>-65.470000000000027</v>
      </c>
      <c r="U5508" s="1" t="str">
        <f t="shared" si="346"/>
        <v>OK</v>
      </c>
      <c r="V5508" s="1" t="str">
        <f>_xlfn.XLOOKUP(C5508,Payers!$A$2:$A$9,Payers!$B$2:$B$9)</f>
        <v>Sunshine Medicare Advantage</v>
      </c>
      <c r="W5508" s="1" t="str">
        <f t="shared" si="347"/>
        <v>2026-06</v>
      </c>
    </row>
    <row r="5509" spans="1:23">
      <c r="A5509" s="1" t="s">
        <v>8341</v>
      </c>
      <c r="B5509" s="1" t="s">
        <v>398</v>
      </c>
      <c r="C5509" s="1" t="s">
        <v>76</v>
      </c>
      <c r="D5509" s="1" t="s">
        <v>26</v>
      </c>
      <c r="E5509" s="1" t="s">
        <v>44</v>
      </c>
      <c r="F5509">
        <v>1</v>
      </c>
      <c r="G5509" s="2">
        <v>46260</v>
      </c>
      <c r="H5509" s="2">
        <v>46270</v>
      </c>
      <c r="I5509">
        <v>4888.59</v>
      </c>
      <c r="M5509" s="1" t="s">
        <v>69</v>
      </c>
      <c r="N5509" s="1" t="s">
        <v>22</v>
      </c>
      <c r="O5509" s="2"/>
      <c r="P5509" s="2"/>
      <c r="Q5509">
        <f>_xlfn.XLOOKUP(E5509,CPT!$A$2:$A$13,CPT!$D$2:$D$13)</f>
        <v>4800</v>
      </c>
      <c r="R5509" s="1">
        <f>_xlfn.XLOOKUP(C5509,Contract!$A$2:$A$9,Contract!$B$2:$B$9)</f>
        <v>0.43</v>
      </c>
      <c r="S5509" s="1">
        <f t="shared" si="344"/>
        <v>2064</v>
      </c>
      <c r="T5509" s="1" t="str">
        <f t="shared" si="345"/>
        <v/>
      </c>
      <c r="U5509" s="1" t="str">
        <f t="shared" si="346"/>
        <v/>
      </c>
      <c r="V5509" s="1" t="str">
        <f>_xlfn.XLOOKUP(C5509,Payers!$A$2:$A$9,Payers!$B$2:$B$9)</f>
        <v>Summit Health Commercial</v>
      </c>
      <c r="W5509" s="1" t="str">
        <f t="shared" si="347"/>
        <v>2026-08</v>
      </c>
    </row>
    <row r="5510" spans="1:23">
      <c r="A5510" s="1" t="s">
        <v>8342</v>
      </c>
      <c r="B5510" s="1" t="s">
        <v>7484</v>
      </c>
      <c r="C5510" s="1" t="s">
        <v>52</v>
      </c>
      <c r="D5510" s="1" t="s">
        <v>30</v>
      </c>
      <c r="E5510" s="1" t="s">
        <v>91</v>
      </c>
      <c r="F5510">
        <v>1</v>
      </c>
      <c r="G5510" s="2">
        <v>46218</v>
      </c>
      <c r="H5510" s="2">
        <v>46222</v>
      </c>
      <c r="I5510">
        <v>57.52</v>
      </c>
      <c r="J5510">
        <v>28.52</v>
      </c>
      <c r="K5510">
        <v>28.52</v>
      </c>
      <c r="L5510">
        <v>0</v>
      </c>
      <c r="M5510" s="1" t="s">
        <v>21</v>
      </c>
      <c r="N5510" s="1" t="s">
        <v>22</v>
      </c>
      <c r="O5510" s="2">
        <v>46273</v>
      </c>
      <c r="P5510" s="2">
        <v>46273</v>
      </c>
      <c r="Q5510">
        <f>_xlfn.XLOOKUP(E5510,CPT!$A$2:$A$13,CPT!$D$2:$D$13)</f>
        <v>58</v>
      </c>
      <c r="R5510" s="1">
        <f>_xlfn.XLOOKUP(C5510,Contract!$A$2:$A$9,Contract!$B$2:$B$9)</f>
        <v>0.47</v>
      </c>
      <c r="S5510" s="1">
        <f t="shared" si="344"/>
        <v>27.26</v>
      </c>
      <c r="T5510" s="1">
        <f t="shared" si="345"/>
        <v>-1.259999999999998</v>
      </c>
      <c r="U5510" s="1" t="str">
        <f t="shared" si="346"/>
        <v>OK</v>
      </c>
      <c r="V5510" s="1" t="str">
        <f>_xlfn.XLOOKUP(C5510,Payers!$A$2:$A$9,Payers!$B$2:$B$9)</f>
        <v>Keystone Commercial PPO</v>
      </c>
      <c r="W5510" s="1" t="str">
        <f t="shared" si="347"/>
        <v>2026-07</v>
      </c>
    </row>
    <row r="5511" spans="1:23">
      <c r="A5511" s="1" t="s">
        <v>8343</v>
      </c>
      <c r="B5511" s="1" t="s">
        <v>496</v>
      </c>
      <c r="C5511" s="1" t="s">
        <v>25</v>
      </c>
      <c r="D5511" s="1" t="s">
        <v>19</v>
      </c>
      <c r="E5511" s="1" t="s">
        <v>41</v>
      </c>
      <c r="F5511">
        <v>1</v>
      </c>
      <c r="G5511" s="2">
        <v>46022</v>
      </c>
      <c r="H5511" s="2">
        <v>46025</v>
      </c>
      <c r="I5511">
        <v>37.5</v>
      </c>
      <c r="J5511">
        <v>15.3</v>
      </c>
      <c r="K5511">
        <v>13.77</v>
      </c>
      <c r="L5511">
        <v>1.53</v>
      </c>
      <c r="M5511" s="1" t="s">
        <v>21</v>
      </c>
      <c r="N5511" s="1" t="s">
        <v>22</v>
      </c>
      <c r="O5511" s="2">
        <v>46037</v>
      </c>
      <c r="P5511" s="2">
        <v>46037</v>
      </c>
      <c r="Q5511">
        <f>_xlfn.XLOOKUP(E5511,CPT!$A$2:$A$13,CPT!$D$2:$D$13)</f>
        <v>38</v>
      </c>
      <c r="R5511" s="1">
        <f>_xlfn.XLOOKUP(C5511,Contract!$A$2:$A$9,Contract!$B$2:$B$9)</f>
        <v>0.36</v>
      </c>
      <c r="S5511" s="1">
        <f t="shared" si="344"/>
        <v>13.68</v>
      </c>
      <c r="T5511" s="1">
        <f t="shared" si="345"/>
        <v>-1.620000000000001</v>
      </c>
      <c r="U5511" s="1" t="str">
        <f t="shared" si="346"/>
        <v>OK</v>
      </c>
      <c r="V5511" s="1" t="str">
        <f>_xlfn.XLOOKUP(C5511,Payers!$A$2:$A$9,Payers!$B$2:$B$9)</f>
        <v>Medicare Part B</v>
      </c>
      <c r="W5511" s="1" t="str">
        <f t="shared" si="347"/>
        <v>2025-12</v>
      </c>
    </row>
    <row r="5512" spans="1:23">
      <c r="A5512" s="1" t="s">
        <v>8344</v>
      </c>
      <c r="B5512" s="1" t="s">
        <v>829</v>
      </c>
      <c r="C5512" s="1" t="s">
        <v>76</v>
      </c>
      <c r="D5512" s="1" t="s">
        <v>19</v>
      </c>
      <c r="E5512" s="1" t="s">
        <v>41</v>
      </c>
      <c r="F5512">
        <v>1</v>
      </c>
      <c r="G5512" s="2">
        <v>46070</v>
      </c>
      <c r="H5512" s="2">
        <v>46076</v>
      </c>
      <c r="I5512">
        <v>36.92</v>
      </c>
      <c r="J5512">
        <v>14.24</v>
      </c>
      <c r="K5512">
        <v>14.24</v>
      </c>
      <c r="L5512">
        <v>0</v>
      </c>
      <c r="M5512" s="1" t="s">
        <v>21</v>
      </c>
      <c r="N5512" s="1" t="s">
        <v>22</v>
      </c>
      <c r="O5512" s="2">
        <v>46108</v>
      </c>
      <c r="P5512" s="2">
        <v>46108</v>
      </c>
      <c r="Q5512">
        <f>_xlfn.XLOOKUP(E5512,CPT!$A$2:$A$13,CPT!$D$2:$D$13)</f>
        <v>38</v>
      </c>
      <c r="R5512" s="1">
        <f>_xlfn.XLOOKUP(C5512,Contract!$A$2:$A$9,Contract!$B$2:$B$9)</f>
        <v>0.43</v>
      </c>
      <c r="S5512" s="1">
        <f t="shared" si="344"/>
        <v>16.34</v>
      </c>
      <c r="T5512" s="1">
        <f t="shared" si="345"/>
        <v>2.0999999999999996</v>
      </c>
      <c r="U5512" s="1" t="str">
        <f t="shared" si="346"/>
        <v>Underpaid</v>
      </c>
      <c r="V5512" s="1" t="str">
        <f>_xlfn.XLOOKUP(C5512,Payers!$A$2:$A$9,Payers!$B$2:$B$9)</f>
        <v>Summit Health Commercial</v>
      </c>
      <c r="W5512" s="1" t="str">
        <f t="shared" si="347"/>
        <v>2026-02</v>
      </c>
    </row>
    <row r="5513" spans="1:23">
      <c r="A5513" s="1" t="s">
        <v>8345</v>
      </c>
      <c r="B5513" s="1" t="s">
        <v>110</v>
      </c>
      <c r="C5513" s="1" t="s">
        <v>47</v>
      </c>
      <c r="D5513" s="1" t="s">
        <v>26</v>
      </c>
      <c r="E5513" s="1" t="s">
        <v>113</v>
      </c>
      <c r="F5513">
        <v>1</v>
      </c>
      <c r="G5513" s="2">
        <v>46061</v>
      </c>
      <c r="H5513" s="2">
        <v>46068</v>
      </c>
      <c r="I5513">
        <v>1080.47</v>
      </c>
      <c r="J5513">
        <v>341.45</v>
      </c>
      <c r="K5513">
        <v>307.3</v>
      </c>
      <c r="L5513">
        <v>34.15</v>
      </c>
      <c r="M5513" s="1" t="s">
        <v>21</v>
      </c>
      <c r="N5513" s="1" t="s">
        <v>22</v>
      </c>
      <c r="O5513" s="2">
        <v>46124</v>
      </c>
      <c r="P5513" s="2">
        <v>46124</v>
      </c>
      <c r="Q5513">
        <f>_xlfn.XLOOKUP(E5513,CPT!$A$2:$A$13,CPT!$D$2:$D$13)</f>
        <v>1050</v>
      </c>
      <c r="R5513" s="1">
        <f>_xlfn.XLOOKUP(C5513,Contract!$A$2:$A$9,Contract!$B$2:$B$9)</f>
        <v>0.28000000000000003</v>
      </c>
      <c r="S5513" s="1">
        <f t="shared" si="344"/>
        <v>294</v>
      </c>
      <c r="T5513" s="1">
        <f t="shared" si="345"/>
        <v>-47.449999999999989</v>
      </c>
      <c r="U5513" s="1" t="str">
        <f t="shared" si="346"/>
        <v>OK</v>
      </c>
      <c r="V5513" s="1" t="str">
        <f>_xlfn.XLOOKUP(C5513,Payers!$A$2:$A$9,Payers!$B$2:$B$9)</f>
        <v>Coastal Medicaid MCO</v>
      </c>
      <c r="W5513" s="1" t="str">
        <f t="shared" si="347"/>
        <v>2026-02</v>
      </c>
    </row>
    <row r="5514" spans="1:23">
      <c r="A5514" s="1" t="s">
        <v>8346</v>
      </c>
      <c r="B5514" s="1" t="s">
        <v>7736</v>
      </c>
      <c r="C5514" s="1" t="s">
        <v>60</v>
      </c>
      <c r="D5514" s="1" t="s">
        <v>19</v>
      </c>
      <c r="E5514" s="1" t="s">
        <v>20</v>
      </c>
      <c r="F5514">
        <v>1</v>
      </c>
      <c r="G5514" s="2">
        <v>46168</v>
      </c>
      <c r="H5514" s="2">
        <v>46172</v>
      </c>
      <c r="I5514">
        <v>144.02000000000001</v>
      </c>
      <c r="J5514">
        <v>71.16</v>
      </c>
      <c r="K5514">
        <v>71.16</v>
      </c>
      <c r="L5514">
        <v>0</v>
      </c>
      <c r="M5514" s="1" t="s">
        <v>21</v>
      </c>
      <c r="N5514" s="1" t="s">
        <v>22</v>
      </c>
      <c r="O5514" s="2">
        <v>46202</v>
      </c>
      <c r="P5514" s="2">
        <v>46202</v>
      </c>
      <c r="Q5514">
        <f>_xlfn.XLOOKUP(E5514,CPT!$A$2:$A$13,CPT!$D$2:$D$13)</f>
        <v>145</v>
      </c>
      <c r="R5514" s="1">
        <f>_xlfn.XLOOKUP(C5514,Contract!$A$2:$A$9,Contract!$B$2:$B$9)</f>
        <v>0.45</v>
      </c>
      <c r="S5514" s="1">
        <f t="shared" si="344"/>
        <v>65.25</v>
      </c>
      <c r="T5514" s="1">
        <f t="shared" si="345"/>
        <v>-5.9099999999999966</v>
      </c>
      <c r="U5514" s="1" t="str">
        <f t="shared" si="346"/>
        <v>OK</v>
      </c>
      <c r="V5514" s="1" t="str">
        <f>_xlfn.XLOOKUP(C5514,Payers!$A$2:$A$9,Payers!$B$2:$B$9)</f>
        <v>Blue Horizon Commercial</v>
      </c>
      <c r="W5514" s="1" t="str">
        <f t="shared" si="347"/>
        <v>2026-05</v>
      </c>
    </row>
    <row r="5515" spans="1:23">
      <c r="A5515" s="1" t="s">
        <v>8347</v>
      </c>
      <c r="B5515" s="1" t="s">
        <v>3429</v>
      </c>
      <c r="C5515" s="1" t="s">
        <v>76</v>
      </c>
      <c r="D5515" s="1" t="s">
        <v>30</v>
      </c>
      <c r="E5515" s="1" t="s">
        <v>91</v>
      </c>
      <c r="F5515">
        <v>2</v>
      </c>
      <c r="G5515" s="2">
        <v>46191</v>
      </c>
      <c r="H5515" s="2">
        <v>46194</v>
      </c>
      <c r="I5515">
        <v>115.42</v>
      </c>
      <c r="J5515">
        <v>53.64</v>
      </c>
      <c r="K5515">
        <v>48.28</v>
      </c>
      <c r="L5515">
        <v>5.36</v>
      </c>
      <c r="M5515" s="1" t="s">
        <v>21</v>
      </c>
      <c r="N5515" s="1" t="s">
        <v>22</v>
      </c>
      <c r="O5515" s="2">
        <v>46220</v>
      </c>
      <c r="P5515" s="2">
        <v>46220</v>
      </c>
      <c r="Q5515">
        <f>_xlfn.XLOOKUP(E5515,CPT!$A$2:$A$13,CPT!$D$2:$D$13)</f>
        <v>58</v>
      </c>
      <c r="R5515" s="1">
        <f>_xlfn.XLOOKUP(C5515,Contract!$A$2:$A$9,Contract!$B$2:$B$9)</f>
        <v>0.43</v>
      </c>
      <c r="S5515" s="1">
        <f t="shared" si="344"/>
        <v>49.88</v>
      </c>
      <c r="T5515" s="1">
        <f t="shared" si="345"/>
        <v>-3.759999999999998</v>
      </c>
      <c r="U5515" s="1" t="str">
        <f t="shared" si="346"/>
        <v>OK</v>
      </c>
      <c r="V5515" s="1" t="str">
        <f>_xlfn.XLOOKUP(C5515,Payers!$A$2:$A$9,Payers!$B$2:$B$9)</f>
        <v>Summit Health Commercial</v>
      </c>
      <c r="W5515" s="1" t="str">
        <f t="shared" si="347"/>
        <v>2026-06</v>
      </c>
    </row>
    <row r="5516" spans="1:23">
      <c r="A5516" s="1" t="s">
        <v>8348</v>
      </c>
      <c r="B5516" s="1" t="s">
        <v>2168</v>
      </c>
      <c r="C5516" s="1" t="s">
        <v>79</v>
      </c>
      <c r="D5516" s="1" t="s">
        <v>30</v>
      </c>
      <c r="E5516" s="1" t="s">
        <v>91</v>
      </c>
      <c r="F5516">
        <v>1</v>
      </c>
      <c r="G5516" s="2">
        <v>46097</v>
      </c>
      <c r="H5516" s="2">
        <v>46101</v>
      </c>
      <c r="I5516">
        <v>57.73</v>
      </c>
      <c r="M5516" s="1" t="s">
        <v>69</v>
      </c>
      <c r="N5516" s="1" t="s">
        <v>22</v>
      </c>
      <c r="O5516" s="2"/>
      <c r="P5516" s="2"/>
      <c r="Q5516">
        <f>_xlfn.XLOOKUP(E5516,CPT!$A$2:$A$13,CPT!$D$2:$D$13)</f>
        <v>58</v>
      </c>
      <c r="R5516" s="1">
        <f>_xlfn.XLOOKUP(C5516,Contract!$A$2:$A$9,Contract!$B$2:$B$9)</f>
        <v>1</v>
      </c>
      <c r="S5516" s="1">
        <f t="shared" si="344"/>
        <v>58</v>
      </c>
      <c r="T5516" s="1" t="str">
        <f t="shared" si="345"/>
        <v/>
      </c>
      <c r="U5516" s="1" t="str">
        <f t="shared" si="346"/>
        <v/>
      </c>
      <c r="V5516" s="1" t="str">
        <f>_xlfn.XLOOKUP(C5516,Payers!$A$2:$A$9,Payers!$B$2:$B$9)</f>
        <v>Self-Pay</v>
      </c>
      <c r="W5516" s="1" t="str">
        <f t="shared" si="347"/>
        <v>2026-03</v>
      </c>
    </row>
    <row r="5517" spans="1:23">
      <c r="A5517" s="1" t="s">
        <v>8349</v>
      </c>
      <c r="B5517" s="1" t="s">
        <v>7240</v>
      </c>
      <c r="C5517" s="1" t="s">
        <v>60</v>
      </c>
      <c r="D5517" s="1" t="s">
        <v>19</v>
      </c>
      <c r="E5517" s="1" t="s">
        <v>41</v>
      </c>
      <c r="F5517">
        <v>1</v>
      </c>
      <c r="G5517" s="2">
        <v>46273</v>
      </c>
      <c r="H5517" s="2">
        <v>46284</v>
      </c>
      <c r="I5517">
        <v>37.020000000000003</v>
      </c>
      <c r="J5517">
        <v>18.38</v>
      </c>
      <c r="K5517">
        <v>14.7</v>
      </c>
      <c r="L5517">
        <v>3.68</v>
      </c>
      <c r="M5517" s="1" t="s">
        <v>21</v>
      </c>
      <c r="N5517" s="1" t="s">
        <v>22</v>
      </c>
      <c r="O5517" s="2">
        <v>46293</v>
      </c>
      <c r="P5517" s="2">
        <v>46293</v>
      </c>
      <c r="Q5517">
        <f>_xlfn.XLOOKUP(E5517,CPT!$A$2:$A$13,CPT!$D$2:$D$13)</f>
        <v>38</v>
      </c>
      <c r="R5517" s="1">
        <f>_xlfn.XLOOKUP(C5517,Contract!$A$2:$A$9,Contract!$B$2:$B$9)</f>
        <v>0.45</v>
      </c>
      <c r="S5517" s="1">
        <f t="shared" si="344"/>
        <v>17.100000000000001</v>
      </c>
      <c r="T5517" s="1">
        <f t="shared" si="345"/>
        <v>-1.2799999999999976</v>
      </c>
      <c r="U5517" s="1" t="str">
        <f t="shared" si="346"/>
        <v>OK</v>
      </c>
      <c r="V5517" s="1" t="str">
        <f>_xlfn.XLOOKUP(C5517,Payers!$A$2:$A$9,Payers!$B$2:$B$9)</f>
        <v>Blue Horizon Commercial</v>
      </c>
      <c r="W5517" s="1" t="str">
        <f t="shared" si="347"/>
        <v>2026-09</v>
      </c>
    </row>
    <row r="5518" spans="1:23">
      <c r="A5518" s="1" t="s">
        <v>8350</v>
      </c>
      <c r="B5518" s="1" t="s">
        <v>6846</v>
      </c>
      <c r="C5518" s="1" t="s">
        <v>76</v>
      </c>
      <c r="D5518" s="1" t="s">
        <v>30</v>
      </c>
      <c r="E5518" s="1" t="s">
        <v>20</v>
      </c>
      <c r="F5518">
        <v>1</v>
      </c>
      <c r="G5518" s="2">
        <v>46268</v>
      </c>
      <c r="H5518" s="2">
        <v>46270</v>
      </c>
      <c r="I5518">
        <v>144.34</v>
      </c>
      <c r="M5518" s="1" t="s">
        <v>69</v>
      </c>
      <c r="N5518" s="1" t="s">
        <v>22</v>
      </c>
      <c r="O5518" s="2"/>
      <c r="P5518" s="2"/>
      <c r="Q5518">
        <f>_xlfn.XLOOKUP(E5518,CPT!$A$2:$A$13,CPT!$D$2:$D$13)</f>
        <v>145</v>
      </c>
      <c r="R5518" s="1">
        <f>_xlfn.XLOOKUP(C5518,Contract!$A$2:$A$9,Contract!$B$2:$B$9)</f>
        <v>0.43</v>
      </c>
      <c r="S5518" s="1">
        <f t="shared" si="344"/>
        <v>62.35</v>
      </c>
      <c r="T5518" s="1" t="str">
        <f t="shared" si="345"/>
        <v/>
      </c>
      <c r="U5518" s="1" t="str">
        <f t="shared" si="346"/>
        <v/>
      </c>
      <c r="V5518" s="1" t="str">
        <f>_xlfn.XLOOKUP(C5518,Payers!$A$2:$A$9,Payers!$B$2:$B$9)</f>
        <v>Summit Health Commercial</v>
      </c>
      <c r="W5518" s="1" t="str">
        <f t="shared" si="347"/>
        <v>2026-09</v>
      </c>
    </row>
    <row r="5519" spans="1:23">
      <c r="A5519" s="1" t="s">
        <v>8351</v>
      </c>
      <c r="B5519" s="1" t="s">
        <v>115</v>
      </c>
      <c r="C5519" s="1" t="s">
        <v>60</v>
      </c>
      <c r="D5519" s="1" t="s">
        <v>19</v>
      </c>
      <c r="E5519" s="1" t="s">
        <v>20</v>
      </c>
      <c r="F5519">
        <v>1</v>
      </c>
      <c r="G5519" s="2">
        <v>45953</v>
      </c>
      <c r="H5519" s="2">
        <v>45954</v>
      </c>
      <c r="I5519">
        <v>143.99</v>
      </c>
      <c r="J5519">
        <v>73.64</v>
      </c>
      <c r="K5519">
        <v>73.64</v>
      </c>
      <c r="L5519">
        <v>0</v>
      </c>
      <c r="M5519" s="1" t="s">
        <v>21</v>
      </c>
      <c r="N5519" s="1" t="s">
        <v>22</v>
      </c>
      <c r="O5519" s="2">
        <v>45967</v>
      </c>
      <c r="P5519" s="2">
        <v>45967</v>
      </c>
      <c r="Q5519">
        <f>_xlfn.XLOOKUP(E5519,CPT!$A$2:$A$13,CPT!$D$2:$D$13)</f>
        <v>145</v>
      </c>
      <c r="R5519" s="1">
        <f>_xlfn.XLOOKUP(C5519,Contract!$A$2:$A$9,Contract!$B$2:$B$9)</f>
        <v>0.45</v>
      </c>
      <c r="S5519" s="1">
        <f t="shared" si="344"/>
        <v>65.25</v>
      </c>
      <c r="T5519" s="1">
        <f t="shared" si="345"/>
        <v>-8.39</v>
      </c>
      <c r="U5519" s="1" t="str">
        <f t="shared" si="346"/>
        <v>OK</v>
      </c>
      <c r="V5519" s="1" t="str">
        <f>_xlfn.XLOOKUP(C5519,Payers!$A$2:$A$9,Payers!$B$2:$B$9)</f>
        <v>Blue Horizon Commercial</v>
      </c>
      <c r="W5519" s="1" t="str">
        <f t="shared" si="347"/>
        <v>2025-10</v>
      </c>
    </row>
    <row r="5520" spans="1:23">
      <c r="A5520" s="1" t="s">
        <v>8352</v>
      </c>
      <c r="B5520" s="1" t="s">
        <v>8353</v>
      </c>
      <c r="C5520" s="1" t="s">
        <v>76</v>
      </c>
      <c r="D5520" s="1" t="s">
        <v>26</v>
      </c>
      <c r="E5520" s="1" t="s">
        <v>41</v>
      </c>
      <c r="F5520">
        <v>1</v>
      </c>
      <c r="G5520" s="2">
        <v>46232</v>
      </c>
      <c r="H5520" s="2">
        <v>46234</v>
      </c>
      <c r="I5520">
        <v>37.81</v>
      </c>
      <c r="J5520">
        <v>15.33</v>
      </c>
      <c r="K5520">
        <v>13.8</v>
      </c>
      <c r="L5520">
        <v>1.53</v>
      </c>
      <c r="M5520" s="1" t="s">
        <v>21</v>
      </c>
      <c r="N5520" s="1" t="s">
        <v>22</v>
      </c>
      <c r="O5520" s="2">
        <v>46262</v>
      </c>
      <c r="P5520" s="2">
        <v>46262</v>
      </c>
      <c r="Q5520">
        <f>_xlfn.XLOOKUP(E5520,CPT!$A$2:$A$13,CPT!$D$2:$D$13)</f>
        <v>38</v>
      </c>
      <c r="R5520" s="1">
        <f>_xlfn.XLOOKUP(C5520,Contract!$A$2:$A$9,Contract!$B$2:$B$9)</f>
        <v>0.43</v>
      </c>
      <c r="S5520" s="1">
        <f t="shared" si="344"/>
        <v>16.34</v>
      </c>
      <c r="T5520" s="1">
        <f t="shared" si="345"/>
        <v>1.0099999999999998</v>
      </c>
      <c r="U5520" s="1" t="str">
        <f t="shared" si="346"/>
        <v>Underpaid</v>
      </c>
      <c r="V5520" s="1" t="str">
        <f>_xlfn.XLOOKUP(C5520,Payers!$A$2:$A$9,Payers!$B$2:$B$9)</f>
        <v>Summit Health Commercial</v>
      </c>
      <c r="W5520" s="1" t="str">
        <f t="shared" si="347"/>
        <v>2026-07</v>
      </c>
    </row>
    <row r="5521" spans="1:23">
      <c r="A5521" s="1" t="s">
        <v>8354</v>
      </c>
      <c r="B5521" s="1" t="s">
        <v>5410</v>
      </c>
      <c r="C5521" s="1" t="s">
        <v>76</v>
      </c>
      <c r="D5521" s="1" t="s">
        <v>19</v>
      </c>
      <c r="E5521" s="1" t="s">
        <v>88</v>
      </c>
      <c r="F5521">
        <v>1</v>
      </c>
      <c r="G5521" s="2">
        <v>46153</v>
      </c>
      <c r="H5521" s="2">
        <v>46159</v>
      </c>
      <c r="I5521">
        <v>252.49</v>
      </c>
      <c r="J5521">
        <v>118.41</v>
      </c>
      <c r="K5521">
        <v>106.57</v>
      </c>
      <c r="L5521">
        <v>11.84</v>
      </c>
      <c r="M5521" s="1" t="s">
        <v>21</v>
      </c>
      <c r="N5521" s="1" t="s">
        <v>22</v>
      </c>
      <c r="O5521" s="2">
        <v>46195</v>
      </c>
      <c r="P5521" s="2">
        <v>46195</v>
      </c>
      <c r="Q5521">
        <f>_xlfn.XLOOKUP(E5521,CPT!$A$2:$A$13,CPT!$D$2:$D$13)</f>
        <v>260</v>
      </c>
      <c r="R5521" s="1">
        <f>_xlfn.XLOOKUP(C5521,Contract!$A$2:$A$9,Contract!$B$2:$B$9)</f>
        <v>0.43</v>
      </c>
      <c r="S5521" s="1">
        <f t="shared" si="344"/>
        <v>111.8</v>
      </c>
      <c r="T5521" s="1">
        <f t="shared" si="345"/>
        <v>-6.6099999999999994</v>
      </c>
      <c r="U5521" s="1" t="str">
        <f t="shared" si="346"/>
        <v>OK</v>
      </c>
      <c r="V5521" s="1" t="str">
        <f>_xlfn.XLOOKUP(C5521,Payers!$A$2:$A$9,Payers!$B$2:$B$9)</f>
        <v>Summit Health Commercial</v>
      </c>
      <c r="W5521" s="1" t="str">
        <f t="shared" si="347"/>
        <v>2026-05</v>
      </c>
    </row>
    <row r="5522" spans="1:23">
      <c r="A5522" s="1" t="s">
        <v>8355</v>
      </c>
      <c r="B5522" s="1" t="s">
        <v>5872</v>
      </c>
      <c r="C5522" s="1" t="s">
        <v>18</v>
      </c>
      <c r="D5522" s="1" t="s">
        <v>37</v>
      </c>
      <c r="E5522" s="1" t="s">
        <v>57</v>
      </c>
      <c r="F5522">
        <v>1</v>
      </c>
      <c r="G5522" s="2">
        <v>45964</v>
      </c>
      <c r="H5522" s="2">
        <v>45967</v>
      </c>
      <c r="I5522">
        <v>210.42</v>
      </c>
      <c r="J5522">
        <v>86.69</v>
      </c>
      <c r="K5522">
        <v>86.69</v>
      </c>
      <c r="L5522">
        <v>0</v>
      </c>
      <c r="M5522" s="1" t="s">
        <v>21</v>
      </c>
      <c r="N5522" s="1" t="s">
        <v>22</v>
      </c>
      <c r="O5522" s="2">
        <v>46001</v>
      </c>
      <c r="P5522" s="2">
        <v>46001</v>
      </c>
      <c r="Q5522">
        <f>_xlfn.XLOOKUP(E5522,CPT!$A$2:$A$13,CPT!$D$2:$D$13)</f>
        <v>210</v>
      </c>
      <c r="R5522" s="1">
        <f>_xlfn.XLOOKUP(C5522,Contract!$A$2:$A$9,Contract!$B$2:$B$9)</f>
        <v>0.38</v>
      </c>
      <c r="S5522" s="1">
        <f t="shared" si="344"/>
        <v>79.8</v>
      </c>
      <c r="T5522" s="1">
        <f t="shared" si="345"/>
        <v>-6.8900000000000006</v>
      </c>
      <c r="U5522" s="1" t="str">
        <f t="shared" si="346"/>
        <v>OK</v>
      </c>
      <c r="V5522" s="1" t="str">
        <f>_xlfn.XLOOKUP(C5522,Payers!$A$2:$A$9,Payers!$B$2:$B$9)</f>
        <v>Sunshine Medicare Advantage</v>
      </c>
      <c r="W5522" s="1" t="str">
        <f t="shared" si="347"/>
        <v>2025-11</v>
      </c>
    </row>
    <row r="5523" spans="1:23">
      <c r="A5523" s="1" t="s">
        <v>8356</v>
      </c>
      <c r="B5523" s="1" t="s">
        <v>8357</v>
      </c>
      <c r="C5523" s="1" t="s">
        <v>25</v>
      </c>
      <c r="D5523" s="1" t="s">
        <v>37</v>
      </c>
      <c r="E5523" s="1" t="s">
        <v>48</v>
      </c>
      <c r="F5523">
        <v>1</v>
      </c>
      <c r="G5523" s="2">
        <v>46278</v>
      </c>
      <c r="H5523" s="2">
        <v>46279</v>
      </c>
      <c r="I5523">
        <v>407.7</v>
      </c>
      <c r="M5523" s="1" t="s">
        <v>69</v>
      </c>
      <c r="N5523" s="1" t="s">
        <v>22</v>
      </c>
      <c r="O5523" s="2"/>
      <c r="P5523" s="2"/>
      <c r="Q5523">
        <f>_xlfn.XLOOKUP(E5523,CPT!$A$2:$A$13,CPT!$D$2:$D$13)</f>
        <v>420</v>
      </c>
      <c r="R5523" s="1">
        <f>_xlfn.XLOOKUP(C5523,Contract!$A$2:$A$9,Contract!$B$2:$B$9)</f>
        <v>0.36</v>
      </c>
      <c r="S5523" s="1">
        <f t="shared" si="344"/>
        <v>151.19999999999999</v>
      </c>
      <c r="T5523" s="1" t="str">
        <f t="shared" si="345"/>
        <v/>
      </c>
      <c r="U5523" s="1" t="str">
        <f t="shared" si="346"/>
        <v/>
      </c>
      <c r="V5523" s="1" t="str">
        <f>_xlfn.XLOOKUP(C5523,Payers!$A$2:$A$9,Payers!$B$2:$B$9)</f>
        <v>Medicare Part B</v>
      </c>
      <c r="W5523" s="1" t="str">
        <f t="shared" si="347"/>
        <v>2026-09</v>
      </c>
    </row>
    <row r="5524" spans="1:23">
      <c r="A5524" s="1" t="s">
        <v>8358</v>
      </c>
      <c r="B5524" s="1" t="s">
        <v>3791</v>
      </c>
      <c r="C5524" s="1" t="s">
        <v>60</v>
      </c>
      <c r="D5524" s="1" t="s">
        <v>37</v>
      </c>
      <c r="E5524" s="1" t="s">
        <v>38</v>
      </c>
      <c r="F5524">
        <v>5</v>
      </c>
      <c r="G5524" s="2">
        <v>46112</v>
      </c>
      <c r="H5524" s="2">
        <v>46114</v>
      </c>
      <c r="I5524">
        <v>7234.84</v>
      </c>
      <c r="J5524">
        <v>3711.61</v>
      </c>
      <c r="K5524">
        <v>3711.61</v>
      </c>
      <c r="L5524">
        <v>0</v>
      </c>
      <c r="M5524" s="1" t="s">
        <v>21</v>
      </c>
      <c r="N5524" s="1" t="s">
        <v>22</v>
      </c>
      <c r="O5524" s="2">
        <v>46143</v>
      </c>
      <c r="P5524" s="2">
        <v>46143</v>
      </c>
      <c r="Q5524">
        <f>_xlfn.XLOOKUP(E5524,CPT!$A$2:$A$13,CPT!$D$2:$D$13)</f>
        <v>1450</v>
      </c>
      <c r="R5524" s="1">
        <f>_xlfn.XLOOKUP(C5524,Contract!$A$2:$A$9,Contract!$B$2:$B$9)</f>
        <v>0.45</v>
      </c>
      <c r="S5524" s="1">
        <f t="shared" si="344"/>
        <v>3262.5</v>
      </c>
      <c r="T5524" s="1">
        <f t="shared" si="345"/>
        <v>-449.11000000000013</v>
      </c>
      <c r="U5524" s="1" t="str">
        <f t="shared" si="346"/>
        <v>OK</v>
      </c>
      <c r="V5524" s="1" t="str">
        <f>_xlfn.XLOOKUP(C5524,Payers!$A$2:$A$9,Payers!$B$2:$B$9)</f>
        <v>Blue Horizon Commercial</v>
      </c>
      <c r="W5524" s="1" t="str">
        <f t="shared" si="347"/>
        <v>2026-03</v>
      </c>
    </row>
    <row r="5525" spans="1:23">
      <c r="A5525" s="1" t="s">
        <v>8359</v>
      </c>
      <c r="B5525" s="1" t="s">
        <v>4599</v>
      </c>
      <c r="C5525" s="1" t="s">
        <v>60</v>
      </c>
      <c r="D5525" s="1" t="s">
        <v>37</v>
      </c>
      <c r="E5525" s="1" t="s">
        <v>48</v>
      </c>
      <c r="F5525">
        <v>1</v>
      </c>
      <c r="G5525" s="2">
        <v>46104</v>
      </c>
      <c r="H5525" s="2">
        <v>46105</v>
      </c>
      <c r="I5525">
        <v>415.9</v>
      </c>
      <c r="J5525">
        <v>197.18</v>
      </c>
      <c r="K5525">
        <v>197.18</v>
      </c>
      <c r="L5525">
        <v>0</v>
      </c>
      <c r="M5525" s="1" t="s">
        <v>21</v>
      </c>
      <c r="N5525" s="1" t="s">
        <v>22</v>
      </c>
      <c r="O5525" s="2">
        <v>46139</v>
      </c>
      <c r="P5525" s="2">
        <v>46139</v>
      </c>
      <c r="Q5525">
        <f>_xlfn.XLOOKUP(E5525,CPT!$A$2:$A$13,CPT!$D$2:$D$13)</f>
        <v>420</v>
      </c>
      <c r="R5525" s="1">
        <f>_xlfn.XLOOKUP(C5525,Contract!$A$2:$A$9,Contract!$B$2:$B$9)</f>
        <v>0.45</v>
      </c>
      <c r="S5525" s="1">
        <f t="shared" si="344"/>
        <v>189</v>
      </c>
      <c r="T5525" s="1">
        <f t="shared" si="345"/>
        <v>-8.1800000000000068</v>
      </c>
      <c r="U5525" s="1" t="str">
        <f t="shared" si="346"/>
        <v>OK</v>
      </c>
      <c r="V5525" s="1" t="str">
        <f>_xlfn.XLOOKUP(C5525,Payers!$A$2:$A$9,Payers!$B$2:$B$9)</f>
        <v>Blue Horizon Commercial</v>
      </c>
      <c r="W5525" s="1" t="str">
        <f t="shared" si="347"/>
        <v>2026-03</v>
      </c>
    </row>
    <row r="5526" spans="1:23">
      <c r="A5526" s="1" t="s">
        <v>8360</v>
      </c>
      <c r="B5526" s="1" t="s">
        <v>2398</v>
      </c>
      <c r="C5526" s="1" t="s">
        <v>76</v>
      </c>
      <c r="D5526" s="1" t="s">
        <v>26</v>
      </c>
      <c r="E5526" s="1" t="s">
        <v>44</v>
      </c>
      <c r="F5526">
        <v>1</v>
      </c>
      <c r="G5526" s="2">
        <v>46047</v>
      </c>
      <c r="H5526" s="2">
        <v>46064</v>
      </c>
      <c r="I5526">
        <v>4870.95</v>
      </c>
      <c r="J5526">
        <v>1845.28</v>
      </c>
      <c r="K5526">
        <v>1476.22</v>
      </c>
      <c r="L5526">
        <v>369.06</v>
      </c>
      <c r="M5526" s="1" t="s">
        <v>21</v>
      </c>
      <c r="N5526" s="1" t="s">
        <v>22</v>
      </c>
      <c r="O5526" s="2">
        <v>46090</v>
      </c>
      <c r="P5526" s="2">
        <v>46090</v>
      </c>
      <c r="Q5526">
        <f>_xlfn.XLOOKUP(E5526,CPT!$A$2:$A$13,CPT!$D$2:$D$13)</f>
        <v>4800</v>
      </c>
      <c r="R5526" s="1">
        <f>_xlfn.XLOOKUP(C5526,Contract!$A$2:$A$9,Contract!$B$2:$B$9)</f>
        <v>0.43</v>
      </c>
      <c r="S5526" s="1">
        <f t="shared" si="344"/>
        <v>2064</v>
      </c>
      <c r="T5526" s="1">
        <f t="shared" si="345"/>
        <v>218.72000000000003</v>
      </c>
      <c r="U5526" s="1" t="str">
        <f t="shared" si="346"/>
        <v>Underpaid</v>
      </c>
      <c r="V5526" s="1" t="str">
        <f>_xlfn.XLOOKUP(C5526,Payers!$A$2:$A$9,Payers!$B$2:$B$9)</f>
        <v>Summit Health Commercial</v>
      </c>
      <c r="W5526" s="1" t="str">
        <f t="shared" si="347"/>
        <v>2026-01</v>
      </c>
    </row>
    <row r="5527" spans="1:23">
      <c r="A5527" s="1" t="s">
        <v>8361</v>
      </c>
      <c r="B5527" s="1" t="s">
        <v>1127</v>
      </c>
      <c r="C5527" s="1" t="s">
        <v>79</v>
      </c>
      <c r="D5527" s="1" t="s">
        <v>26</v>
      </c>
      <c r="E5527" s="1" t="s">
        <v>27</v>
      </c>
      <c r="F5527">
        <v>1</v>
      </c>
      <c r="G5527" s="2">
        <v>46113</v>
      </c>
      <c r="H5527" s="2">
        <v>46115</v>
      </c>
      <c r="I5527">
        <v>236.18</v>
      </c>
      <c r="M5527" s="1" t="s">
        <v>69</v>
      </c>
      <c r="N5527" s="1" t="s">
        <v>22</v>
      </c>
      <c r="O5527" s="2"/>
      <c r="P5527" s="2"/>
      <c r="Q5527">
        <f>_xlfn.XLOOKUP(E5527,CPT!$A$2:$A$13,CPT!$D$2:$D$13)</f>
        <v>240</v>
      </c>
      <c r="R5527" s="1">
        <f>_xlfn.XLOOKUP(C5527,Contract!$A$2:$A$9,Contract!$B$2:$B$9)</f>
        <v>1</v>
      </c>
      <c r="S5527" s="1">
        <f t="shared" si="344"/>
        <v>240</v>
      </c>
      <c r="T5527" s="1" t="str">
        <f t="shared" si="345"/>
        <v/>
      </c>
      <c r="U5527" s="1" t="str">
        <f t="shared" si="346"/>
        <v/>
      </c>
      <c r="V5527" s="1" t="str">
        <f>_xlfn.XLOOKUP(C5527,Payers!$A$2:$A$9,Payers!$B$2:$B$9)</f>
        <v>Self-Pay</v>
      </c>
      <c r="W5527" s="1" t="str">
        <f t="shared" si="347"/>
        <v>2026-04</v>
      </c>
    </row>
    <row r="5528" spans="1:23">
      <c r="A5528" s="1" t="s">
        <v>8362</v>
      </c>
      <c r="B5528" s="1" t="s">
        <v>764</v>
      </c>
      <c r="C5528" s="1" t="s">
        <v>60</v>
      </c>
      <c r="D5528" s="1" t="s">
        <v>30</v>
      </c>
      <c r="E5528" s="1" t="s">
        <v>31</v>
      </c>
      <c r="F5528">
        <v>1</v>
      </c>
      <c r="G5528" s="2">
        <v>46197</v>
      </c>
      <c r="H5528" s="2">
        <v>46198</v>
      </c>
      <c r="I5528">
        <v>63.74</v>
      </c>
      <c r="J5528">
        <v>32.43</v>
      </c>
      <c r="K5528">
        <v>29.19</v>
      </c>
      <c r="L5528">
        <v>3.24</v>
      </c>
      <c r="M5528" s="1" t="s">
        <v>21</v>
      </c>
      <c r="N5528" s="1" t="s">
        <v>22</v>
      </c>
      <c r="O5528" s="2">
        <v>46238</v>
      </c>
      <c r="P5528" s="2">
        <v>46238</v>
      </c>
      <c r="Q5528">
        <f>_xlfn.XLOOKUP(E5528,CPT!$A$2:$A$13,CPT!$D$2:$D$13)</f>
        <v>62</v>
      </c>
      <c r="R5528" s="1">
        <f>_xlfn.XLOOKUP(C5528,Contract!$A$2:$A$9,Contract!$B$2:$B$9)</f>
        <v>0.45</v>
      </c>
      <c r="S5528" s="1">
        <f t="shared" si="344"/>
        <v>27.9</v>
      </c>
      <c r="T5528" s="1">
        <f t="shared" si="345"/>
        <v>-4.5300000000000011</v>
      </c>
      <c r="U5528" s="1" t="str">
        <f t="shared" si="346"/>
        <v>OK</v>
      </c>
      <c r="V5528" s="1" t="str">
        <f>_xlfn.XLOOKUP(C5528,Payers!$A$2:$A$9,Payers!$B$2:$B$9)</f>
        <v>Blue Horizon Commercial</v>
      </c>
      <c r="W5528" s="1" t="str">
        <f t="shared" si="347"/>
        <v>2026-06</v>
      </c>
    </row>
    <row r="5529" spans="1:23">
      <c r="A5529" s="1" t="s">
        <v>8363</v>
      </c>
      <c r="B5529" s="1" t="s">
        <v>8242</v>
      </c>
      <c r="C5529" s="1" t="s">
        <v>52</v>
      </c>
      <c r="D5529" s="1" t="s">
        <v>19</v>
      </c>
      <c r="E5529" s="1" t="s">
        <v>88</v>
      </c>
      <c r="F5529">
        <v>1</v>
      </c>
      <c r="G5529" s="2">
        <v>45947</v>
      </c>
      <c r="H5529" s="2">
        <v>45949</v>
      </c>
      <c r="I5529">
        <v>258</v>
      </c>
      <c r="M5529" s="1" t="s">
        <v>32</v>
      </c>
      <c r="N5529" s="1" t="s">
        <v>168</v>
      </c>
      <c r="O5529" s="2">
        <v>45999</v>
      </c>
      <c r="P5529" s="2"/>
      <c r="Q5529">
        <f>_xlfn.XLOOKUP(E5529,CPT!$A$2:$A$13,CPT!$D$2:$D$13)</f>
        <v>260</v>
      </c>
      <c r="R5529" s="1">
        <f>_xlfn.XLOOKUP(C5529,Contract!$A$2:$A$9,Contract!$B$2:$B$9)</f>
        <v>0.47</v>
      </c>
      <c r="S5529" s="1">
        <f t="shared" si="344"/>
        <v>122.2</v>
      </c>
      <c r="T5529" s="1" t="str">
        <f t="shared" si="345"/>
        <v/>
      </c>
      <c r="U5529" s="1" t="str">
        <f t="shared" si="346"/>
        <v/>
      </c>
      <c r="V5529" s="1" t="str">
        <f>_xlfn.XLOOKUP(C5529,Payers!$A$2:$A$9,Payers!$B$2:$B$9)</f>
        <v>Keystone Commercial PPO</v>
      </c>
      <c r="W5529" s="1" t="str">
        <f t="shared" si="347"/>
        <v>2025-10</v>
      </c>
    </row>
    <row r="5530" spans="1:23">
      <c r="A5530" s="1" t="s">
        <v>8364</v>
      </c>
      <c r="B5530" s="1" t="s">
        <v>7228</v>
      </c>
      <c r="C5530" s="1" t="s">
        <v>60</v>
      </c>
      <c r="D5530" s="1" t="s">
        <v>37</v>
      </c>
      <c r="E5530" s="1" t="s">
        <v>38</v>
      </c>
      <c r="F5530">
        <v>5</v>
      </c>
      <c r="G5530" s="2">
        <v>46191</v>
      </c>
      <c r="H5530" s="2">
        <v>46194</v>
      </c>
      <c r="I5530">
        <v>7155.52</v>
      </c>
      <c r="J5530">
        <v>3443.33</v>
      </c>
      <c r="K5530">
        <v>3443.33</v>
      </c>
      <c r="L5530">
        <v>0</v>
      </c>
      <c r="M5530" s="1" t="s">
        <v>21</v>
      </c>
      <c r="N5530" s="1" t="s">
        <v>22</v>
      </c>
      <c r="O5530" s="2">
        <v>46236</v>
      </c>
      <c r="P5530" s="2">
        <v>46236</v>
      </c>
      <c r="Q5530">
        <f>_xlfn.XLOOKUP(E5530,CPT!$A$2:$A$13,CPT!$D$2:$D$13)</f>
        <v>1450</v>
      </c>
      <c r="R5530" s="1">
        <f>_xlfn.XLOOKUP(C5530,Contract!$A$2:$A$9,Contract!$B$2:$B$9)</f>
        <v>0.45</v>
      </c>
      <c r="S5530" s="1">
        <f t="shared" si="344"/>
        <v>3262.5</v>
      </c>
      <c r="T5530" s="1">
        <f t="shared" si="345"/>
        <v>-180.82999999999993</v>
      </c>
      <c r="U5530" s="1" t="str">
        <f t="shared" si="346"/>
        <v>OK</v>
      </c>
      <c r="V5530" s="1" t="str">
        <f>_xlfn.XLOOKUP(C5530,Payers!$A$2:$A$9,Payers!$B$2:$B$9)</f>
        <v>Blue Horizon Commercial</v>
      </c>
      <c r="W5530" s="1" t="str">
        <f t="shared" si="347"/>
        <v>2026-06</v>
      </c>
    </row>
    <row r="5531" spans="1:23">
      <c r="A5531" s="1" t="s">
        <v>8365</v>
      </c>
      <c r="B5531" s="1" t="s">
        <v>3279</v>
      </c>
      <c r="C5531" s="1" t="s">
        <v>79</v>
      </c>
      <c r="D5531" s="1" t="s">
        <v>26</v>
      </c>
      <c r="E5531" s="1" t="s">
        <v>185</v>
      </c>
      <c r="F5531">
        <v>1</v>
      </c>
      <c r="G5531" s="2">
        <v>45983</v>
      </c>
      <c r="H5531" s="2">
        <v>45989</v>
      </c>
      <c r="I5531">
        <v>1168.95</v>
      </c>
      <c r="M5531" s="1" t="s">
        <v>69</v>
      </c>
      <c r="N5531" s="1" t="s">
        <v>22</v>
      </c>
      <c r="O5531" s="2"/>
      <c r="P5531" s="2"/>
      <c r="Q5531">
        <f>_xlfn.XLOOKUP(E5531,CPT!$A$2:$A$13,CPT!$D$2:$D$13)</f>
        <v>1150</v>
      </c>
      <c r="R5531" s="1">
        <f>_xlfn.XLOOKUP(C5531,Contract!$A$2:$A$9,Contract!$B$2:$B$9)</f>
        <v>1</v>
      </c>
      <c r="S5531" s="1">
        <f t="shared" si="344"/>
        <v>1150</v>
      </c>
      <c r="T5531" s="1" t="str">
        <f t="shared" si="345"/>
        <v/>
      </c>
      <c r="U5531" s="1" t="str">
        <f t="shared" si="346"/>
        <v/>
      </c>
      <c r="V5531" s="1" t="str">
        <f>_xlfn.XLOOKUP(C5531,Payers!$A$2:$A$9,Payers!$B$2:$B$9)</f>
        <v>Self-Pay</v>
      </c>
      <c r="W5531" s="1" t="str">
        <f t="shared" si="347"/>
        <v>2025-11</v>
      </c>
    </row>
    <row r="5532" spans="1:23">
      <c r="A5532" s="1" t="s">
        <v>8366</v>
      </c>
      <c r="B5532" s="1" t="s">
        <v>3933</v>
      </c>
      <c r="C5532" s="1" t="s">
        <v>52</v>
      </c>
      <c r="D5532" s="1" t="s">
        <v>19</v>
      </c>
      <c r="E5532" s="1" t="s">
        <v>57</v>
      </c>
      <c r="F5532">
        <v>1</v>
      </c>
      <c r="G5532" s="2">
        <v>46288</v>
      </c>
      <c r="H5532" s="2">
        <v>46289</v>
      </c>
      <c r="I5532">
        <v>206.46</v>
      </c>
      <c r="M5532" s="1" t="s">
        <v>69</v>
      </c>
      <c r="N5532" s="1" t="s">
        <v>22</v>
      </c>
      <c r="O5532" s="2"/>
      <c r="P5532" s="2"/>
      <c r="Q5532">
        <f>_xlfn.XLOOKUP(E5532,CPT!$A$2:$A$13,CPT!$D$2:$D$13)</f>
        <v>210</v>
      </c>
      <c r="R5532" s="1">
        <f>_xlfn.XLOOKUP(C5532,Contract!$A$2:$A$9,Contract!$B$2:$B$9)</f>
        <v>0.47</v>
      </c>
      <c r="S5532" s="1">
        <f t="shared" si="344"/>
        <v>98.7</v>
      </c>
      <c r="T5532" s="1" t="str">
        <f t="shared" si="345"/>
        <v/>
      </c>
      <c r="U5532" s="1" t="str">
        <f t="shared" si="346"/>
        <v/>
      </c>
      <c r="V5532" s="1" t="str">
        <f>_xlfn.XLOOKUP(C5532,Payers!$A$2:$A$9,Payers!$B$2:$B$9)</f>
        <v>Keystone Commercial PPO</v>
      </c>
      <c r="W5532" s="1" t="str">
        <f t="shared" si="347"/>
        <v>2026-09</v>
      </c>
    </row>
    <row r="5533" spans="1:23">
      <c r="A5533" s="1" t="s">
        <v>8367</v>
      </c>
      <c r="B5533" s="1" t="s">
        <v>8368</v>
      </c>
      <c r="C5533" s="1" t="s">
        <v>76</v>
      </c>
      <c r="D5533" s="1" t="s">
        <v>37</v>
      </c>
      <c r="E5533" s="1" t="s">
        <v>57</v>
      </c>
      <c r="F5533">
        <v>1</v>
      </c>
      <c r="G5533" s="2">
        <v>46206</v>
      </c>
      <c r="H5533" s="2">
        <v>46208</v>
      </c>
      <c r="I5533">
        <v>213.26</v>
      </c>
      <c r="J5533">
        <v>104.36</v>
      </c>
      <c r="K5533">
        <v>83.49</v>
      </c>
      <c r="L5533">
        <v>20.87</v>
      </c>
      <c r="M5533" s="1" t="s">
        <v>21</v>
      </c>
      <c r="N5533" s="1" t="s">
        <v>22</v>
      </c>
      <c r="O5533" s="2">
        <v>46251</v>
      </c>
      <c r="P5533" s="2">
        <v>46251</v>
      </c>
      <c r="Q5533">
        <f>_xlfn.XLOOKUP(E5533,CPT!$A$2:$A$13,CPT!$D$2:$D$13)</f>
        <v>210</v>
      </c>
      <c r="R5533" s="1">
        <f>_xlfn.XLOOKUP(C5533,Contract!$A$2:$A$9,Contract!$B$2:$B$9)</f>
        <v>0.43</v>
      </c>
      <c r="S5533" s="1">
        <f t="shared" si="344"/>
        <v>90.3</v>
      </c>
      <c r="T5533" s="1">
        <f t="shared" si="345"/>
        <v>-14.060000000000002</v>
      </c>
      <c r="U5533" s="1" t="str">
        <f t="shared" si="346"/>
        <v>OK</v>
      </c>
      <c r="V5533" s="1" t="str">
        <f>_xlfn.XLOOKUP(C5533,Payers!$A$2:$A$9,Payers!$B$2:$B$9)</f>
        <v>Summit Health Commercial</v>
      </c>
      <c r="W5533" s="1" t="str">
        <f t="shared" si="347"/>
        <v>2026-07</v>
      </c>
    </row>
    <row r="5534" spans="1:23">
      <c r="A5534" s="1" t="s">
        <v>8369</v>
      </c>
      <c r="B5534" s="1" t="s">
        <v>7835</v>
      </c>
      <c r="C5534" s="1" t="s">
        <v>76</v>
      </c>
      <c r="D5534" s="1" t="s">
        <v>26</v>
      </c>
      <c r="E5534" s="1" t="s">
        <v>88</v>
      </c>
      <c r="F5534">
        <v>1</v>
      </c>
      <c r="G5534" s="2">
        <v>46285</v>
      </c>
      <c r="H5534" s="2">
        <v>46288</v>
      </c>
      <c r="I5534">
        <v>267.47000000000003</v>
      </c>
      <c r="M5534" s="1" t="s">
        <v>69</v>
      </c>
      <c r="N5534" s="1" t="s">
        <v>22</v>
      </c>
      <c r="O5534" s="2"/>
      <c r="P5534" s="2"/>
      <c r="Q5534">
        <f>_xlfn.XLOOKUP(E5534,CPT!$A$2:$A$13,CPT!$D$2:$D$13)</f>
        <v>260</v>
      </c>
      <c r="R5534" s="1">
        <f>_xlfn.XLOOKUP(C5534,Contract!$A$2:$A$9,Contract!$B$2:$B$9)</f>
        <v>0.43</v>
      </c>
      <c r="S5534" s="1">
        <f t="shared" si="344"/>
        <v>111.8</v>
      </c>
      <c r="T5534" s="1" t="str">
        <f t="shared" si="345"/>
        <v/>
      </c>
      <c r="U5534" s="1" t="str">
        <f t="shared" si="346"/>
        <v/>
      </c>
      <c r="V5534" s="1" t="str">
        <f>_xlfn.XLOOKUP(C5534,Payers!$A$2:$A$9,Payers!$B$2:$B$9)</f>
        <v>Summit Health Commercial</v>
      </c>
      <c r="W5534" s="1" t="str">
        <f t="shared" si="347"/>
        <v>2026-09</v>
      </c>
    </row>
    <row r="5535" spans="1:23">
      <c r="A5535" s="1" t="s">
        <v>8370</v>
      </c>
      <c r="B5535" s="1" t="s">
        <v>8371</v>
      </c>
      <c r="C5535" s="1" t="s">
        <v>25</v>
      </c>
      <c r="D5535" s="1" t="s">
        <v>26</v>
      </c>
      <c r="E5535" s="1" t="s">
        <v>41</v>
      </c>
      <c r="F5535">
        <v>1</v>
      </c>
      <c r="G5535" s="2">
        <v>46238</v>
      </c>
      <c r="H5535" s="2">
        <v>46241</v>
      </c>
      <c r="I5535">
        <v>38.090000000000003</v>
      </c>
      <c r="J5535">
        <v>12.39</v>
      </c>
      <c r="K5535">
        <v>9.91</v>
      </c>
      <c r="L5535">
        <v>2.48</v>
      </c>
      <c r="M5535" s="1" t="s">
        <v>21</v>
      </c>
      <c r="N5535" s="1" t="s">
        <v>22</v>
      </c>
      <c r="O5535" s="2">
        <v>46251</v>
      </c>
      <c r="P5535" s="2">
        <v>46251</v>
      </c>
      <c r="Q5535">
        <f>_xlfn.XLOOKUP(E5535,CPT!$A$2:$A$13,CPT!$D$2:$D$13)</f>
        <v>38</v>
      </c>
      <c r="R5535" s="1">
        <f>_xlfn.XLOOKUP(C5535,Contract!$A$2:$A$9,Contract!$B$2:$B$9)</f>
        <v>0.36</v>
      </c>
      <c r="S5535" s="1">
        <f t="shared" si="344"/>
        <v>13.68</v>
      </c>
      <c r="T5535" s="1">
        <f t="shared" si="345"/>
        <v>1.2899999999999991</v>
      </c>
      <c r="U5535" s="1" t="str">
        <f t="shared" si="346"/>
        <v>Underpaid</v>
      </c>
      <c r="V5535" s="1" t="str">
        <f>_xlfn.XLOOKUP(C5535,Payers!$A$2:$A$9,Payers!$B$2:$B$9)</f>
        <v>Medicare Part B</v>
      </c>
      <c r="W5535" s="1" t="str">
        <f t="shared" si="347"/>
        <v>2026-08</v>
      </c>
    </row>
    <row r="5536" spans="1:23">
      <c r="A5536" s="1" t="s">
        <v>8372</v>
      </c>
      <c r="B5536" s="1" t="s">
        <v>241</v>
      </c>
      <c r="C5536" s="1" t="s">
        <v>18</v>
      </c>
      <c r="D5536" s="1" t="s">
        <v>26</v>
      </c>
      <c r="E5536" s="1" t="s">
        <v>57</v>
      </c>
      <c r="F5536">
        <v>1</v>
      </c>
      <c r="G5536" s="2">
        <v>46100</v>
      </c>
      <c r="H5536" s="2">
        <v>46112</v>
      </c>
      <c r="I5536">
        <v>208.17</v>
      </c>
      <c r="J5536">
        <v>87.82</v>
      </c>
      <c r="K5536">
        <v>70.260000000000005</v>
      </c>
      <c r="L5536">
        <v>17.559999999999999</v>
      </c>
      <c r="M5536" s="1" t="s">
        <v>21</v>
      </c>
      <c r="N5536" s="1" t="s">
        <v>22</v>
      </c>
      <c r="O5536" s="2">
        <v>46144</v>
      </c>
      <c r="P5536" s="2">
        <v>46144</v>
      </c>
      <c r="Q5536">
        <f>_xlfn.XLOOKUP(E5536,CPT!$A$2:$A$13,CPT!$D$2:$D$13)</f>
        <v>210</v>
      </c>
      <c r="R5536" s="1">
        <f>_xlfn.XLOOKUP(C5536,Contract!$A$2:$A$9,Contract!$B$2:$B$9)</f>
        <v>0.38</v>
      </c>
      <c r="S5536" s="1">
        <f t="shared" si="344"/>
        <v>79.8</v>
      </c>
      <c r="T5536" s="1">
        <f t="shared" si="345"/>
        <v>-8.019999999999996</v>
      </c>
      <c r="U5536" s="1" t="str">
        <f t="shared" si="346"/>
        <v>OK</v>
      </c>
      <c r="V5536" s="1" t="str">
        <f>_xlfn.XLOOKUP(C5536,Payers!$A$2:$A$9,Payers!$B$2:$B$9)</f>
        <v>Sunshine Medicare Advantage</v>
      </c>
      <c r="W5536" s="1" t="str">
        <f t="shared" si="347"/>
        <v>2026-03</v>
      </c>
    </row>
    <row r="5537" spans="1:23">
      <c r="A5537" s="1" t="s">
        <v>8373</v>
      </c>
      <c r="B5537" s="1" t="s">
        <v>7686</v>
      </c>
      <c r="C5537" s="1" t="s">
        <v>76</v>
      </c>
      <c r="D5537" s="1" t="s">
        <v>37</v>
      </c>
      <c r="E5537" s="1" t="s">
        <v>38</v>
      </c>
      <c r="F5537">
        <v>20</v>
      </c>
      <c r="G5537" s="2">
        <v>45983</v>
      </c>
      <c r="H5537" s="2">
        <v>45985</v>
      </c>
      <c r="I5537">
        <v>29577.85</v>
      </c>
      <c r="J5537">
        <v>12775.78</v>
      </c>
      <c r="K5537">
        <v>10220.620000000001</v>
      </c>
      <c r="L5537">
        <v>2555.16</v>
      </c>
      <c r="M5537" s="1" t="s">
        <v>21</v>
      </c>
      <c r="N5537" s="1" t="s">
        <v>22</v>
      </c>
      <c r="O5537" s="2">
        <v>46021</v>
      </c>
      <c r="P5537" s="2">
        <v>46021</v>
      </c>
      <c r="Q5537">
        <f>_xlfn.XLOOKUP(E5537,CPT!$A$2:$A$13,CPT!$D$2:$D$13)</f>
        <v>1450</v>
      </c>
      <c r="R5537" s="1">
        <f>_xlfn.XLOOKUP(C5537,Contract!$A$2:$A$9,Contract!$B$2:$B$9)</f>
        <v>0.43</v>
      </c>
      <c r="S5537" s="1">
        <f t="shared" si="344"/>
        <v>12470</v>
      </c>
      <c r="T5537" s="1">
        <f t="shared" si="345"/>
        <v>-305.78000000000065</v>
      </c>
      <c r="U5537" s="1" t="str">
        <f t="shared" si="346"/>
        <v>OK</v>
      </c>
      <c r="V5537" s="1" t="str">
        <f>_xlfn.XLOOKUP(C5537,Payers!$A$2:$A$9,Payers!$B$2:$B$9)</f>
        <v>Summit Health Commercial</v>
      </c>
      <c r="W5537" s="1" t="str">
        <f t="shared" si="347"/>
        <v>2025-11</v>
      </c>
    </row>
    <row r="5538" spans="1:23">
      <c r="A5538" s="1" t="s">
        <v>8374</v>
      </c>
      <c r="B5538" s="1" t="s">
        <v>8227</v>
      </c>
      <c r="C5538" s="1" t="s">
        <v>60</v>
      </c>
      <c r="D5538" s="1" t="s">
        <v>26</v>
      </c>
      <c r="E5538" s="1" t="s">
        <v>185</v>
      </c>
      <c r="F5538">
        <v>1</v>
      </c>
      <c r="G5538" s="2">
        <v>46055</v>
      </c>
      <c r="H5538" s="2">
        <v>46061</v>
      </c>
      <c r="I5538">
        <v>1140.8800000000001</v>
      </c>
      <c r="J5538">
        <v>438.76</v>
      </c>
      <c r="K5538">
        <v>351.01</v>
      </c>
      <c r="L5538">
        <v>87.75</v>
      </c>
      <c r="M5538" s="1" t="s">
        <v>21</v>
      </c>
      <c r="N5538" s="1" t="s">
        <v>22</v>
      </c>
      <c r="O5538" s="2">
        <v>46089</v>
      </c>
      <c r="P5538" s="2">
        <v>46089</v>
      </c>
      <c r="Q5538">
        <f>_xlfn.XLOOKUP(E5538,CPT!$A$2:$A$13,CPT!$D$2:$D$13)</f>
        <v>1150</v>
      </c>
      <c r="R5538" s="1">
        <f>_xlfn.XLOOKUP(C5538,Contract!$A$2:$A$9,Contract!$B$2:$B$9)</f>
        <v>0.45</v>
      </c>
      <c r="S5538" s="1">
        <f t="shared" si="344"/>
        <v>517.5</v>
      </c>
      <c r="T5538" s="1">
        <f t="shared" si="345"/>
        <v>78.740000000000009</v>
      </c>
      <c r="U5538" s="1" t="str">
        <f t="shared" si="346"/>
        <v>Underpaid</v>
      </c>
      <c r="V5538" s="1" t="str">
        <f>_xlfn.XLOOKUP(C5538,Payers!$A$2:$A$9,Payers!$B$2:$B$9)</f>
        <v>Blue Horizon Commercial</v>
      </c>
      <c r="W5538" s="1" t="str">
        <f t="shared" si="347"/>
        <v>2026-02</v>
      </c>
    </row>
    <row r="5539" spans="1:23">
      <c r="A5539" s="1" t="s">
        <v>8375</v>
      </c>
      <c r="B5539" s="1" t="s">
        <v>3758</v>
      </c>
      <c r="C5539" s="1" t="s">
        <v>47</v>
      </c>
      <c r="D5539" s="1" t="s">
        <v>26</v>
      </c>
      <c r="E5539" s="1" t="s">
        <v>185</v>
      </c>
      <c r="F5539">
        <v>1</v>
      </c>
      <c r="G5539" s="2">
        <v>46187</v>
      </c>
      <c r="H5539" s="2">
        <v>46195</v>
      </c>
      <c r="I5539">
        <v>1135.23</v>
      </c>
      <c r="M5539" s="1" t="s">
        <v>32</v>
      </c>
      <c r="N5539" s="1" t="s">
        <v>315</v>
      </c>
      <c r="O5539" s="2">
        <v>46294</v>
      </c>
      <c r="P5539" s="2"/>
      <c r="Q5539">
        <f>_xlfn.XLOOKUP(E5539,CPT!$A$2:$A$13,CPT!$D$2:$D$13)</f>
        <v>1150</v>
      </c>
      <c r="R5539" s="1">
        <f>_xlfn.XLOOKUP(C5539,Contract!$A$2:$A$9,Contract!$B$2:$B$9)</f>
        <v>0.28000000000000003</v>
      </c>
      <c r="S5539" s="1">
        <f t="shared" si="344"/>
        <v>322</v>
      </c>
      <c r="T5539" s="1" t="str">
        <f t="shared" si="345"/>
        <v/>
      </c>
      <c r="U5539" s="1" t="str">
        <f t="shared" si="346"/>
        <v/>
      </c>
      <c r="V5539" s="1" t="str">
        <f>_xlfn.XLOOKUP(C5539,Payers!$A$2:$A$9,Payers!$B$2:$B$9)</f>
        <v>Coastal Medicaid MCO</v>
      </c>
      <c r="W5539" s="1" t="str">
        <f t="shared" si="347"/>
        <v>2026-06</v>
      </c>
    </row>
    <row r="5540" spans="1:23">
      <c r="A5540" s="1" t="s">
        <v>8376</v>
      </c>
      <c r="B5540" s="1" t="s">
        <v>229</v>
      </c>
      <c r="C5540" s="1" t="s">
        <v>47</v>
      </c>
      <c r="D5540" s="1" t="s">
        <v>19</v>
      </c>
      <c r="E5540" s="1" t="s">
        <v>41</v>
      </c>
      <c r="F5540">
        <v>1</v>
      </c>
      <c r="G5540" s="2">
        <v>46130</v>
      </c>
      <c r="H5540" s="2">
        <v>46134</v>
      </c>
      <c r="I5540">
        <v>38.43</v>
      </c>
      <c r="J5540">
        <v>10.94</v>
      </c>
      <c r="K5540">
        <v>10.94</v>
      </c>
      <c r="L5540">
        <v>0</v>
      </c>
      <c r="M5540" s="1" t="s">
        <v>21</v>
      </c>
      <c r="N5540" s="1" t="s">
        <v>22</v>
      </c>
      <c r="O5540" s="2">
        <v>46210</v>
      </c>
      <c r="P5540" s="2">
        <v>46210</v>
      </c>
      <c r="Q5540">
        <f>_xlfn.XLOOKUP(E5540,CPT!$A$2:$A$13,CPT!$D$2:$D$13)</f>
        <v>38</v>
      </c>
      <c r="R5540" s="1">
        <f>_xlfn.XLOOKUP(C5540,Contract!$A$2:$A$9,Contract!$B$2:$B$9)</f>
        <v>0.28000000000000003</v>
      </c>
      <c r="S5540" s="1">
        <f t="shared" si="344"/>
        <v>10.64</v>
      </c>
      <c r="T5540" s="1">
        <f t="shared" si="345"/>
        <v>-0.29999999999999893</v>
      </c>
      <c r="U5540" s="1" t="str">
        <f t="shared" si="346"/>
        <v>OK</v>
      </c>
      <c r="V5540" s="1" t="str">
        <f>_xlfn.XLOOKUP(C5540,Payers!$A$2:$A$9,Payers!$B$2:$B$9)</f>
        <v>Coastal Medicaid MCO</v>
      </c>
      <c r="W5540" s="1" t="str">
        <f t="shared" si="347"/>
        <v>2026-04</v>
      </c>
    </row>
    <row r="5541" spans="1:23">
      <c r="A5541" s="1" t="s">
        <v>8377</v>
      </c>
      <c r="B5541" s="1" t="s">
        <v>6582</v>
      </c>
      <c r="C5541" s="1" t="s">
        <v>47</v>
      </c>
      <c r="D5541" s="1" t="s">
        <v>19</v>
      </c>
      <c r="E5541" s="1" t="s">
        <v>20</v>
      </c>
      <c r="F5541">
        <v>1</v>
      </c>
      <c r="G5541" s="2">
        <v>46291</v>
      </c>
      <c r="H5541" s="2">
        <v>46294</v>
      </c>
      <c r="I5541">
        <v>148.06</v>
      </c>
      <c r="M5541" s="1" t="s">
        <v>69</v>
      </c>
      <c r="N5541" s="1" t="s">
        <v>22</v>
      </c>
      <c r="O5541" s="2"/>
      <c r="P5541" s="2"/>
      <c r="Q5541">
        <f>_xlfn.XLOOKUP(E5541,CPT!$A$2:$A$13,CPT!$D$2:$D$13)</f>
        <v>145</v>
      </c>
      <c r="R5541" s="1">
        <f>_xlfn.XLOOKUP(C5541,Contract!$A$2:$A$9,Contract!$B$2:$B$9)</f>
        <v>0.28000000000000003</v>
      </c>
      <c r="S5541" s="1">
        <f t="shared" si="344"/>
        <v>40.6</v>
      </c>
      <c r="T5541" s="1" t="str">
        <f t="shared" si="345"/>
        <v/>
      </c>
      <c r="U5541" s="1" t="str">
        <f t="shared" si="346"/>
        <v/>
      </c>
      <c r="V5541" s="1" t="str">
        <f>_xlfn.XLOOKUP(C5541,Payers!$A$2:$A$9,Payers!$B$2:$B$9)</f>
        <v>Coastal Medicaid MCO</v>
      </c>
      <c r="W5541" s="1" t="str">
        <f t="shared" si="347"/>
        <v>2026-09</v>
      </c>
    </row>
    <row r="5542" spans="1:23">
      <c r="A5542" s="1" t="s">
        <v>8378</v>
      </c>
      <c r="B5542" s="1" t="s">
        <v>879</v>
      </c>
      <c r="C5542" s="1" t="s">
        <v>36</v>
      </c>
      <c r="D5542" s="1" t="s">
        <v>19</v>
      </c>
      <c r="E5542" s="1" t="s">
        <v>57</v>
      </c>
      <c r="F5542">
        <v>1</v>
      </c>
      <c r="G5542" s="2">
        <v>46186</v>
      </c>
      <c r="H5542" s="2">
        <v>46192</v>
      </c>
      <c r="I5542">
        <v>212</v>
      </c>
      <c r="J5542">
        <v>52.51</v>
      </c>
      <c r="K5542">
        <v>52.51</v>
      </c>
      <c r="L5542">
        <v>0</v>
      </c>
      <c r="M5542" s="1" t="s">
        <v>21</v>
      </c>
      <c r="N5542" s="1" t="s">
        <v>22</v>
      </c>
      <c r="O5542" s="2">
        <v>46240</v>
      </c>
      <c r="P5542" s="2">
        <v>46240</v>
      </c>
      <c r="Q5542">
        <f>_xlfn.XLOOKUP(E5542,CPT!$A$2:$A$13,CPT!$D$2:$D$13)</f>
        <v>210</v>
      </c>
      <c r="R5542" s="1">
        <f>_xlfn.XLOOKUP(C5542,Contract!$A$2:$A$9,Contract!$B$2:$B$9)</f>
        <v>0.27</v>
      </c>
      <c r="S5542" s="1">
        <f t="shared" si="344"/>
        <v>56.7</v>
      </c>
      <c r="T5542" s="1">
        <f t="shared" si="345"/>
        <v>4.1900000000000048</v>
      </c>
      <c r="U5542" s="1" t="str">
        <f t="shared" si="346"/>
        <v>Underpaid</v>
      </c>
      <c r="V5542" s="1" t="str">
        <f>_xlfn.XLOOKUP(C5542,Payers!$A$2:$A$9,Payers!$B$2:$B$9)</f>
        <v>Florida Medicaid</v>
      </c>
      <c r="W5542" s="1" t="str">
        <f t="shared" si="347"/>
        <v>2026-06</v>
      </c>
    </row>
    <row r="5543" spans="1:23">
      <c r="A5543" s="1" t="s">
        <v>8379</v>
      </c>
      <c r="B5543" s="1" t="s">
        <v>8380</v>
      </c>
      <c r="C5543" s="1" t="s">
        <v>60</v>
      </c>
      <c r="D5543" s="1" t="s">
        <v>26</v>
      </c>
      <c r="E5543" s="1" t="s">
        <v>44</v>
      </c>
      <c r="F5543">
        <v>1</v>
      </c>
      <c r="G5543" s="2">
        <v>45997</v>
      </c>
      <c r="H5543" s="2">
        <v>46000</v>
      </c>
      <c r="I5543">
        <v>4736.78</v>
      </c>
      <c r="M5543" s="1" t="s">
        <v>32</v>
      </c>
      <c r="N5543" s="1" t="s">
        <v>33</v>
      </c>
      <c r="O5543" s="2">
        <v>46027</v>
      </c>
      <c r="P5543" s="2"/>
      <c r="Q5543">
        <f>_xlfn.XLOOKUP(E5543,CPT!$A$2:$A$13,CPT!$D$2:$D$13)</f>
        <v>4800</v>
      </c>
      <c r="R5543" s="1">
        <f>_xlfn.XLOOKUP(C5543,Contract!$A$2:$A$9,Contract!$B$2:$B$9)</f>
        <v>0.45</v>
      </c>
      <c r="S5543" s="1">
        <f t="shared" si="344"/>
        <v>2160</v>
      </c>
      <c r="T5543" s="1" t="str">
        <f t="shared" si="345"/>
        <v/>
      </c>
      <c r="U5543" s="1" t="str">
        <f t="shared" si="346"/>
        <v/>
      </c>
      <c r="V5543" s="1" t="str">
        <f>_xlfn.XLOOKUP(C5543,Payers!$A$2:$A$9,Payers!$B$2:$B$9)</f>
        <v>Blue Horizon Commercial</v>
      </c>
      <c r="W5543" s="1" t="str">
        <f t="shared" si="347"/>
        <v>2025-12</v>
      </c>
    </row>
    <row r="5544" spans="1:23">
      <c r="A5544" s="1" t="s">
        <v>8381</v>
      </c>
      <c r="B5544" s="1" t="s">
        <v>5733</v>
      </c>
      <c r="C5544" s="1" t="s">
        <v>18</v>
      </c>
      <c r="D5544" s="1" t="s">
        <v>37</v>
      </c>
      <c r="E5544" s="1" t="s">
        <v>48</v>
      </c>
      <c r="F5544">
        <v>1</v>
      </c>
      <c r="G5544" s="2">
        <v>46177</v>
      </c>
      <c r="H5544" s="2">
        <v>46179</v>
      </c>
      <c r="I5544">
        <v>414.6</v>
      </c>
      <c r="J5544">
        <v>168.01</v>
      </c>
      <c r="K5544">
        <v>168.01</v>
      </c>
      <c r="L5544">
        <v>0</v>
      </c>
      <c r="M5544" s="1" t="s">
        <v>21</v>
      </c>
      <c r="N5544" s="1" t="s">
        <v>22</v>
      </c>
      <c r="O5544" s="2">
        <v>46239</v>
      </c>
      <c r="P5544" s="2">
        <v>46239</v>
      </c>
      <c r="Q5544">
        <f>_xlfn.XLOOKUP(E5544,CPT!$A$2:$A$13,CPT!$D$2:$D$13)</f>
        <v>420</v>
      </c>
      <c r="R5544" s="1">
        <f>_xlfn.XLOOKUP(C5544,Contract!$A$2:$A$9,Contract!$B$2:$B$9)</f>
        <v>0.38</v>
      </c>
      <c r="S5544" s="1">
        <f t="shared" si="344"/>
        <v>159.6</v>
      </c>
      <c r="T5544" s="1">
        <f t="shared" si="345"/>
        <v>-8.4099999999999966</v>
      </c>
      <c r="U5544" s="1" t="str">
        <f t="shared" si="346"/>
        <v>OK</v>
      </c>
      <c r="V5544" s="1" t="str">
        <f>_xlfn.XLOOKUP(C5544,Payers!$A$2:$A$9,Payers!$B$2:$B$9)</f>
        <v>Sunshine Medicare Advantage</v>
      </c>
      <c r="W5544" s="1" t="str">
        <f t="shared" si="347"/>
        <v>2026-06</v>
      </c>
    </row>
    <row r="5545" spans="1:23">
      <c r="A5545" s="1" t="s">
        <v>8382</v>
      </c>
      <c r="B5545" s="1" t="s">
        <v>455</v>
      </c>
      <c r="C5545" s="1" t="s">
        <v>76</v>
      </c>
      <c r="D5545" s="1" t="s">
        <v>30</v>
      </c>
      <c r="E5545" s="1" t="s">
        <v>20</v>
      </c>
      <c r="F5545">
        <v>1</v>
      </c>
      <c r="G5545" s="2">
        <v>46118</v>
      </c>
      <c r="H5545" s="2">
        <v>46120</v>
      </c>
      <c r="I5545">
        <v>143.30000000000001</v>
      </c>
      <c r="J5545">
        <v>67.55</v>
      </c>
      <c r="K5545">
        <v>60.8</v>
      </c>
      <c r="L5545">
        <v>6.75</v>
      </c>
      <c r="M5545" s="1" t="s">
        <v>21</v>
      </c>
      <c r="N5545" s="1" t="s">
        <v>22</v>
      </c>
      <c r="O5545" s="2">
        <v>46166</v>
      </c>
      <c r="P5545" s="2">
        <v>46166</v>
      </c>
      <c r="Q5545">
        <f>_xlfn.XLOOKUP(E5545,CPT!$A$2:$A$13,CPT!$D$2:$D$13)</f>
        <v>145</v>
      </c>
      <c r="R5545" s="1">
        <f>_xlfn.XLOOKUP(C5545,Contract!$A$2:$A$9,Contract!$B$2:$B$9)</f>
        <v>0.43</v>
      </c>
      <c r="S5545" s="1">
        <f t="shared" si="344"/>
        <v>62.35</v>
      </c>
      <c r="T5545" s="1">
        <f t="shared" si="345"/>
        <v>-5.1999999999999957</v>
      </c>
      <c r="U5545" s="1" t="str">
        <f t="shared" si="346"/>
        <v>OK</v>
      </c>
      <c r="V5545" s="1" t="str">
        <f>_xlfn.XLOOKUP(C5545,Payers!$A$2:$A$9,Payers!$B$2:$B$9)</f>
        <v>Summit Health Commercial</v>
      </c>
      <c r="W5545" s="1" t="str">
        <f t="shared" si="347"/>
        <v>2026-04</v>
      </c>
    </row>
    <row r="5546" spans="1:23">
      <c r="A5546" s="1" t="s">
        <v>8383</v>
      </c>
      <c r="B5546" s="1" t="s">
        <v>746</v>
      </c>
      <c r="C5546" s="1" t="s">
        <v>18</v>
      </c>
      <c r="D5546" s="1" t="s">
        <v>30</v>
      </c>
      <c r="E5546" s="1" t="s">
        <v>31</v>
      </c>
      <c r="F5546">
        <v>3</v>
      </c>
      <c r="G5546" s="2">
        <v>46122</v>
      </c>
      <c r="H5546" s="2">
        <v>46125</v>
      </c>
      <c r="I5546">
        <v>184.12</v>
      </c>
      <c r="M5546" s="1" t="s">
        <v>32</v>
      </c>
      <c r="N5546" s="1" t="s">
        <v>98</v>
      </c>
      <c r="O5546" s="2">
        <v>46184</v>
      </c>
      <c r="P5546" s="2"/>
      <c r="Q5546">
        <f>_xlfn.XLOOKUP(E5546,CPT!$A$2:$A$13,CPT!$D$2:$D$13)</f>
        <v>62</v>
      </c>
      <c r="R5546" s="1">
        <f>_xlfn.XLOOKUP(C5546,Contract!$A$2:$A$9,Contract!$B$2:$B$9)</f>
        <v>0.38</v>
      </c>
      <c r="S5546" s="1">
        <f t="shared" si="344"/>
        <v>70.680000000000007</v>
      </c>
      <c r="T5546" s="1" t="str">
        <f t="shared" si="345"/>
        <v/>
      </c>
      <c r="U5546" s="1" t="str">
        <f t="shared" si="346"/>
        <v/>
      </c>
      <c r="V5546" s="1" t="str">
        <f>_xlfn.XLOOKUP(C5546,Payers!$A$2:$A$9,Payers!$B$2:$B$9)</f>
        <v>Sunshine Medicare Advantage</v>
      </c>
      <c r="W5546" s="1" t="str">
        <f t="shared" si="347"/>
        <v>2026-04</v>
      </c>
    </row>
    <row r="5547" spans="1:23">
      <c r="A5547" s="1" t="s">
        <v>8384</v>
      </c>
      <c r="B5547" s="1" t="s">
        <v>8385</v>
      </c>
      <c r="C5547" s="1" t="s">
        <v>79</v>
      </c>
      <c r="D5547" s="1" t="s">
        <v>30</v>
      </c>
      <c r="E5547" s="1" t="s">
        <v>31</v>
      </c>
      <c r="F5547">
        <v>4</v>
      </c>
      <c r="G5547" s="2">
        <v>46020</v>
      </c>
      <c r="H5547" s="2">
        <v>46025</v>
      </c>
      <c r="I5547">
        <v>244.79</v>
      </c>
      <c r="M5547" s="1" t="s">
        <v>69</v>
      </c>
      <c r="N5547" s="1" t="s">
        <v>22</v>
      </c>
      <c r="O5547" s="2"/>
      <c r="P5547" s="2"/>
      <c r="Q5547">
        <f>_xlfn.XLOOKUP(E5547,CPT!$A$2:$A$13,CPT!$D$2:$D$13)</f>
        <v>62</v>
      </c>
      <c r="R5547" s="1">
        <f>_xlfn.XLOOKUP(C5547,Contract!$A$2:$A$9,Contract!$B$2:$B$9)</f>
        <v>1</v>
      </c>
      <c r="S5547" s="1">
        <f t="shared" si="344"/>
        <v>248</v>
      </c>
      <c r="T5547" s="1" t="str">
        <f t="shared" si="345"/>
        <v/>
      </c>
      <c r="U5547" s="1" t="str">
        <f t="shared" si="346"/>
        <v/>
      </c>
      <c r="V5547" s="1" t="str">
        <f>_xlfn.XLOOKUP(C5547,Payers!$A$2:$A$9,Payers!$B$2:$B$9)</f>
        <v>Self-Pay</v>
      </c>
      <c r="W5547" s="1" t="str">
        <f t="shared" si="347"/>
        <v>2025-12</v>
      </c>
    </row>
    <row r="5548" spans="1:23">
      <c r="A5548" s="1" t="s">
        <v>8386</v>
      </c>
      <c r="B5548" s="1" t="s">
        <v>2138</v>
      </c>
      <c r="C5548" s="1" t="s">
        <v>25</v>
      </c>
      <c r="D5548" s="1" t="s">
        <v>19</v>
      </c>
      <c r="E5548" s="1" t="s">
        <v>57</v>
      </c>
      <c r="F5548">
        <v>1</v>
      </c>
      <c r="G5548" s="2">
        <v>46242</v>
      </c>
      <c r="H5548" s="2">
        <v>46246</v>
      </c>
      <c r="I5548">
        <v>205.68</v>
      </c>
      <c r="J5548">
        <v>63.26</v>
      </c>
      <c r="K5548">
        <v>50.61</v>
      </c>
      <c r="L5548">
        <v>12.65</v>
      </c>
      <c r="M5548" s="1" t="s">
        <v>21</v>
      </c>
      <c r="N5548" s="1" t="s">
        <v>22</v>
      </c>
      <c r="O5548" s="2">
        <v>46263</v>
      </c>
      <c r="P5548" s="2">
        <v>46263</v>
      </c>
      <c r="Q5548">
        <f>_xlfn.XLOOKUP(E5548,CPT!$A$2:$A$13,CPT!$D$2:$D$13)</f>
        <v>210</v>
      </c>
      <c r="R5548" s="1">
        <f>_xlfn.XLOOKUP(C5548,Contract!$A$2:$A$9,Contract!$B$2:$B$9)</f>
        <v>0.36</v>
      </c>
      <c r="S5548" s="1">
        <f t="shared" si="344"/>
        <v>75.599999999999994</v>
      </c>
      <c r="T5548" s="1">
        <f t="shared" si="345"/>
        <v>12.339999999999996</v>
      </c>
      <c r="U5548" s="1" t="str">
        <f t="shared" si="346"/>
        <v>Underpaid</v>
      </c>
      <c r="V5548" s="1" t="str">
        <f>_xlfn.XLOOKUP(C5548,Payers!$A$2:$A$9,Payers!$B$2:$B$9)</f>
        <v>Medicare Part B</v>
      </c>
      <c r="W5548" s="1" t="str">
        <f t="shared" si="347"/>
        <v>2026-08</v>
      </c>
    </row>
    <row r="5549" spans="1:23">
      <c r="A5549" s="1" t="s">
        <v>8387</v>
      </c>
      <c r="B5549" s="1" t="s">
        <v>8388</v>
      </c>
      <c r="C5549" s="1" t="s">
        <v>60</v>
      </c>
      <c r="D5549" s="1" t="s">
        <v>19</v>
      </c>
      <c r="E5549" s="1" t="s">
        <v>88</v>
      </c>
      <c r="F5549">
        <v>1</v>
      </c>
      <c r="G5549" s="2">
        <v>46169</v>
      </c>
      <c r="H5549" s="2">
        <v>46181</v>
      </c>
      <c r="I5549">
        <v>257.11</v>
      </c>
      <c r="J5549">
        <v>103.14</v>
      </c>
      <c r="K5549">
        <v>82.51</v>
      </c>
      <c r="L5549">
        <v>20.63</v>
      </c>
      <c r="M5549" s="1" t="s">
        <v>21</v>
      </c>
      <c r="N5549" s="1" t="s">
        <v>22</v>
      </c>
      <c r="O5549" s="2">
        <v>46198</v>
      </c>
      <c r="P5549" s="2">
        <v>46198</v>
      </c>
      <c r="Q5549">
        <f>_xlfn.XLOOKUP(E5549,CPT!$A$2:$A$13,CPT!$D$2:$D$13)</f>
        <v>260</v>
      </c>
      <c r="R5549" s="1">
        <f>_xlfn.XLOOKUP(C5549,Contract!$A$2:$A$9,Contract!$B$2:$B$9)</f>
        <v>0.45</v>
      </c>
      <c r="S5549" s="1">
        <f t="shared" si="344"/>
        <v>117</v>
      </c>
      <c r="T5549" s="1">
        <f t="shared" si="345"/>
        <v>13.86</v>
      </c>
      <c r="U5549" s="1" t="str">
        <f t="shared" si="346"/>
        <v>Underpaid</v>
      </c>
      <c r="V5549" s="1" t="str">
        <f>_xlfn.XLOOKUP(C5549,Payers!$A$2:$A$9,Payers!$B$2:$B$9)</f>
        <v>Blue Horizon Commercial</v>
      </c>
      <c r="W5549" s="1" t="str">
        <f t="shared" si="347"/>
        <v>2026-05</v>
      </c>
    </row>
    <row r="5550" spans="1:23">
      <c r="A5550" s="1" t="s">
        <v>8389</v>
      </c>
      <c r="B5550" s="1" t="s">
        <v>1909</v>
      </c>
      <c r="C5550" s="1" t="s">
        <v>76</v>
      </c>
      <c r="D5550" s="1" t="s">
        <v>26</v>
      </c>
      <c r="E5550" s="1" t="s">
        <v>44</v>
      </c>
      <c r="F5550">
        <v>1</v>
      </c>
      <c r="G5550" s="2">
        <v>46223</v>
      </c>
      <c r="H5550" s="2">
        <v>46228</v>
      </c>
      <c r="I5550">
        <v>4851.72</v>
      </c>
      <c r="M5550" s="1" t="s">
        <v>32</v>
      </c>
      <c r="N5550" s="1" t="s">
        <v>49</v>
      </c>
      <c r="O5550" s="2">
        <v>46263</v>
      </c>
      <c r="P5550" s="2"/>
      <c r="Q5550">
        <f>_xlfn.XLOOKUP(E5550,CPT!$A$2:$A$13,CPT!$D$2:$D$13)</f>
        <v>4800</v>
      </c>
      <c r="R5550" s="1">
        <f>_xlfn.XLOOKUP(C5550,Contract!$A$2:$A$9,Contract!$B$2:$B$9)</f>
        <v>0.43</v>
      </c>
      <c r="S5550" s="1">
        <f t="shared" si="344"/>
        <v>2064</v>
      </c>
      <c r="T5550" s="1" t="str">
        <f t="shared" si="345"/>
        <v/>
      </c>
      <c r="U5550" s="1" t="str">
        <f t="shared" si="346"/>
        <v/>
      </c>
      <c r="V5550" s="1" t="str">
        <f>_xlfn.XLOOKUP(C5550,Payers!$A$2:$A$9,Payers!$B$2:$B$9)</f>
        <v>Summit Health Commercial</v>
      </c>
      <c r="W5550" s="1" t="str">
        <f t="shared" si="347"/>
        <v>2026-07</v>
      </c>
    </row>
    <row r="5551" spans="1:23">
      <c r="A5551" s="1" t="s">
        <v>8390</v>
      </c>
      <c r="B5551" s="1" t="s">
        <v>5353</v>
      </c>
      <c r="C5551" s="1" t="s">
        <v>18</v>
      </c>
      <c r="D5551" s="1" t="s">
        <v>26</v>
      </c>
      <c r="E5551" s="1" t="s">
        <v>44</v>
      </c>
      <c r="F5551">
        <v>1</v>
      </c>
      <c r="G5551" s="2">
        <v>46028</v>
      </c>
      <c r="H5551" s="2">
        <v>46037</v>
      </c>
      <c r="I5551">
        <v>4789.62</v>
      </c>
      <c r="M5551" s="1" t="s">
        <v>32</v>
      </c>
      <c r="N5551" s="1" t="s">
        <v>49</v>
      </c>
      <c r="O5551" s="2">
        <v>46100</v>
      </c>
      <c r="P5551" s="2"/>
      <c r="Q5551">
        <f>_xlfn.XLOOKUP(E5551,CPT!$A$2:$A$13,CPT!$D$2:$D$13)</f>
        <v>4800</v>
      </c>
      <c r="R5551" s="1">
        <f>_xlfn.XLOOKUP(C5551,Contract!$A$2:$A$9,Contract!$B$2:$B$9)</f>
        <v>0.38</v>
      </c>
      <c r="S5551" s="1">
        <f t="shared" si="344"/>
        <v>1824</v>
      </c>
      <c r="T5551" s="1" t="str">
        <f t="shared" si="345"/>
        <v/>
      </c>
      <c r="U5551" s="1" t="str">
        <f t="shared" si="346"/>
        <v/>
      </c>
      <c r="V5551" s="1" t="str">
        <f>_xlfn.XLOOKUP(C5551,Payers!$A$2:$A$9,Payers!$B$2:$B$9)</f>
        <v>Sunshine Medicare Advantage</v>
      </c>
      <c r="W5551" s="1" t="str">
        <f t="shared" si="347"/>
        <v>2026-01</v>
      </c>
    </row>
    <row r="5552" spans="1:23">
      <c r="A5552" s="1" t="s">
        <v>8391</v>
      </c>
      <c r="B5552" s="1" t="s">
        <v>8392</v>
      </c>
      <c r="C5552" s="1" t="s">
        <v>25</v>
      </c>
      <c r="D5552" s="1" t="s">
        <v>26</v>
      </c>
      <c r="E5552" s="1" t="s">
        <v>57</v>
      </c>
      <c r="F5552">
        <v>1</v>
      </c>
      <c r="G5552" s="2">
        <v>46049</v>
      </c>
      <c r="H5552" s="2">
        <v>46057</v>
      </c>
      <c r="I5552">
        <v>210.76</v>
      </c>
      <c r="J5552">
        <v>65</v>
      </c>
      <c r="K5552">
        <v>65</v>
      </c>
      <c r="L5552">
        <v>0</v>
      </c>
      <c r="M5552" s="1" t="s">
        <v>21</v>
      </c>
      <c r="N5552" s="1" t="s">
        <v>22</v>
      </c>
      <c r="O5552" s="2">
        <v>46072</v>
      </c>
      <c r="P5552" s="2">
        <v>46072</v>
      </c>
      <c r="Q5552">
        <f>_xlfn.XLOOKUP(E5552,CPT!$A$2:$A$13,CPT!$D$2:$D$13)</f>
        <v>210</v>
      </c>
      <c r="R5552" s="1">
        <f>_xlfn.XLOOKUP(C5552,Contract!$A$2:$A$9,Contract!$B$2:$B$9)</f>
        <v>0.36</v>
      </c>
      <c r="S5552" s="1">
        <f t="shared" si="344"/>
        <v>75.599999999999994</v>
      </c>
      <c r="T5552" s="1">
        <f t="shared" si="345"/>
        <v>10.599999999999994</v>
      </c>
      <c r="U5552" s="1" t="str">
        <f t="shared" si="346"/>
        <v>Underpaid</v>
      </c>
      <c r="V5552" s="1" t="str">
        <f>_xlfn.XLOOKUP(C5552,Payers!$A$2:$A$9,Payers!$B$2:$B$9)</f>
        <v>Medicare Part B</v>
      </c>
      <c r="W5552" s="1" t="str">
        <f t="shared" si="347"/>
        <v>2026-01</v>
      </c>
    </row>
    <row r="5553" spans="1:23">
      <c r="A5553" s="1" t="s">
        <v>8393</v>
      </c>
      <c r="B5553" s="1" t="s">
        <v>7094</v>
      </c>
      <c r="C5553" s="1" t="s">
        <v>25</v>
      </c>
      <c r="D5553" s="1" t="s">
        <v>37</v>
      </c>
      <c r="E5553" s="1" t="s">
        <v>57</v>
      </c>
      <c r="F5553">
        <v>1</v>
      </c>
      <c r="G5553" s="2">
        <v>46267</v>
      </c>
      <c r="H5553" s="2">
        <v>46276</v>
      </c>
      <c r="I5553">
        <v>205.31</v>
      </c>
      <c r="J5553">
        <v>80.5</v>
      </c>
      <c r="K5553">
        <v>80.5</v>
      </c>
      <c r="L5553">
        <v>0</v>
      </c>
      <c r="M5553" s="1" t="s">
        <v>21</v>
      </c>
      <c r="N5553" s="1" t="s">
        <v>22</v>
      </c>
      <c r="O5553" s="2">
        <v>46291</v>
      </c>
      <c r="P5553" s="2">
        <v>46291</v>
      </c>
      <c r="Q5553">
        <f>_xlfn.XLOOKUP(E5553,CPT!$A$2:$A$13,CPT!$D$2:$D$13)</f>
        <v>210</v>
      </c>
      <c r="R5553" s="1">
        <f>_xlfn.XLOOKUP(C5553,Contract!$A$2:$A$9,Contract!$B$2:$B$9)</f>
        <v>0.36</v>
      </c>
      <c r="S5553" s="1">
        <f t="shared" si="344"/>
        <v>75.599999999999994</v>
      </c>
      <c r="T5553" s="1">
        <f t="shared" si="345"/>
        <v>-4.9000000000000057</v>
      </c>
      <c r="U5553" s="1" t="str">
        <f t="shared" si="346"/>
        <v>OK</v>
      </c>
      <c r="V5553" s="1" t="str">
        <f>_xlfn.XLOOKUP(C5553,Payers!$A$2:$A$9,Payers!$B$2:$B$9)</f>
        <v>Medicare Part B</v>
      </c>
      <c r="W5553" s="1" t="str">
        <f t="shared" si="347"/>
        <v>2026-09</v>
      </c>
    </row>
    <row r="5554" spans="1:23">
      <c r="A5554" s="1" t="s">
        <v>8394</v>
      </c>
      <c r="B5554" s="1" t="s">
        <v>6604</v>
      </c>
      <c r="C5554" s="1" t="s">
        <v>36</v>
      </c>
      <c r="D5554" s="1" t="s">
        <v>26</v>
      </c>
      <c r="E5554" s="1" t="s">
        <v>113</v>
      </c>
      <c r="F5554">
        <v>1</v>
      </c>
      <c r="G5554" s="2">
        <v>45931</v>
      </c>
      <c r="H5554" s="2">
        <v>45933</v>
      </c>
      <c r="I5554">
        <v>1050.74</v>
      </c>
      <c r="J5554">
        <v>244.4</v>
      </c>
      <c r="K5554">
        <v>219.96</v>
      </c>
      <c r="L5554">
        <v>24.44</v>
      </c>
      <c r="M5554" s="1" t="s">
        <v>21</v>
      </c>
      <c r="N5554" s="1" t="s">
        <v>22</v>
      </c>
      <c r="O5554" s="2">
        <v>45978</v>
      </c>
      <c r="P5554" s="2">
        <v>45978</v>
      </c>
      <c r="Q5554">
        <f>_xlfn.XLOOKUP(E5554,CPT!$A$2:$A$13,CPT!$D$2:$D$13)</f>
        <v>1050</v>
      </c>
      <c r="R5554" s="1">
        <f>_xlfn.XLOOKUP(C5554,Contract!$A$2:$A$9,Contract!$B$2:$B$9)</f>
        <v>0.27</v>
      </c>
      <c r="S5554" s="1">
        <f t="shared" si="344"/>
        <v>283.5</v>
      </c>
      <c r="T5554" s="1">
        <f t="shared" si="345"/>
        <v>39.099999999999994</v>
      </c>
      <c r="U5554" s="1" t="str">
        <f t="shared" si="346"/>
        <v>Underpaid</v>
      </c>
      <c r="V5554" s="1" t="str">
        <f>_xlfn.XLOOKUP(C5554,Payers!$A$2:$A$9,Payers!$B$2:$B$9)</f>
        <v>Florida Medicaid</v>
      </c>
      <c r="W5554" s="1" t="str">
        <f t="shared" si="347"/>
        <v>2025-10</v>
      </c>
    </row>
    <row r="5555" spans="1:23">
      <c r="A5555" s="1" t="s">
        <v>8395</v>
      </c>
      <c r="B5555" s="1" t="s">
        <v>6917</v>
      </c>
      <c r="C5555" s="1" t="s">
        <v>76</v>
      </c>
      <c r="D5555" s="1" t="s">
        <v>30</v>
      </c>
      <c r="E5555" s="1" t="s">
        <v>91</v>
      </c>
      <c r="F5555">
        <v>1</v>
      </c>
      <c r="G5555" s="2">
        <v>45981</v>
      </c>
      <c r="H5555" s="2">
        <v>45995</v>
      </c>
      <c r="I5555">
        <v>59.18</v>
      </c>
      <c r="M5555" s="1" t="s">
        <v>32</v>
      </c>
      <c r="N5555" s="1" t="s">
        <v>33</v>
      </c>
      <c r="O5555" s="2">
        <v>46031</v>
      </c>
      <c r="P5555" s="2"/>
      <c r="Q5555">
        <f>_xlfn.XLOOKUP(E5555,CPT!$A$2:$A$13,CPT!$D$2:$D$13)</f>
        <v>58</v>
      </c>
      <c r="R5555" s="1">
        <f>_xlfn.XLOOKUP(C5555,Contract!$A$2:$A$9,Contract!$B$2:$B$9)</f>
        <v>0.43</v>
      </c>
      <c r="S5555" s="1">
        <f t="shared" si="344"/>
        <v>24.94</v>
      </c>
      <c r="T5555" s="1" t="str">
        <f t="shared" si="345"/>
        <v/>
      </c>
      <c r="U5555" s="1" t="str">
        <f t="shared" si="346"/>
        <v/>
      </c>
      <c r="V5555" s="1" t="str">
        <f>_xlfn.XLOOKUP(C5555,Payers!$A$2:$A$9,Payers!$B$2:$B$9)</f>
        <v>Summit Health Commercial</v>
      </c>
      <c r="W5555" s="1" t="str">
        <f t="shared" si="347"/>
        <v>2025-11</v>
      </c>
    </row>
    <row r="5556" spans="1:23">
      <c r="A5556" s="1" t="s">
        <v>8396</v>
      </c>
      <c r="B5556" s="1" t="s">
        <v>3991</v>
      </c>
      <c r="C5556" s="1" t="s">
        <v>25</v>
      </c>
      <c r="D5556" s="1" t="s">
        <v>26</v>
      </c>
      <c r="E5556" s="1" t="s">
        <v>41</v>
      </c>
      <c r="F5556">
        <v>1</v>
      </c>
      <c r="G5556" s="2">
        <v>45962</v>
      </c>
      <c r="H5556" s="2">
        <v>45963</v>
      </c>
      <c r="I5556">
        <v>37.04</v>
      </c>
      <c r="J5556">
        <v>14.9</v>
      </c>
      <c r="K5556">
        <v>14.9</v>
      </c>
      <c r="L5556">
        <v>0</v>
      </c>
      <c r="M5556" s="1" t="s">
        <v>21</v>
      </c>
      <c r="N5556" s="1" t="s">
        <v>22</v>
      </c>
      <c r="O5556" s="2">
        <v>45988</v>
      </c>
      <c r="P5556" s="2">
        <v>45988</v>
      </c>
      <c r="Q5556">
        <f>_xlfn.XLOOKUP(E5556,CPT!$A$2:$A$13,CPT!$D$2:$D$13)</f>
        <v>38</v>
      </c>
      <c r="R5556" s="1">
        <f>_xlfn.XLOOKUP(C5556,Contract!$A$2:$A$9,Contract!$B$2:$B$9)</f>
        <v>0.36</v>
      </c>
      <c r="S5556" s="1">
        <f t="shared" si="344"/>
        <v>13.68</v>
      </c>
      <c r="T5556" s="1">
        <f t="shared" si="345"/>
        <v>-1.2200000000000006</v>
      </c>
      <c r="U5556" s="1" t="str">
        <f t="shared" si="346"/>
        <v>OK</v>
      </c>
      <c r="V5556" s="1" t="str">
        <f>_xlfn.XLOOKUP(C5556,Payers!$A$2:$A$9,Payers!$B$2:$B$9)</f>
        <v>Medicare Part B</v>
      </c>
      <c r="W5556" s="1" t="str">
        <f t="shared" si="347"/>
        <v>2025-11</v>
      </c>
    </row>
    <row r="5557" spans="1:23">
      <c r="A5557" s="1" t="s">
        <v>8397</v>
      </c>
      <c r="B5557" s="1" t="s">
        <v>2798</v>
      </c>
      <c r="C5557" s="1" t="s">
        <v>47</v>
      </c>
      <c r="D5557" s="1" t="s">
        <v>19</v>
      </c>
      <c r="E5557" s="1" t="s">
        <v>57</v>
      </c>
      <c r="F5557">
        <v>1</v>
      </c>
      <c r="G5557" s="2">
        <v>46207</v>
      </c>
      <c r="H5557" s="2">
        <v>46216</v>
      </c>
      <c r="I5557">
        <v>207.67</v>
      </c>
      <c r="M5557" s="1" t="s">
        <v>69</v>
      </c>
      <c r="N5557" s="1" t="s">
        <v>22</v>
      </c>
      <c r="O5557" s="2"/>
      <c r="P5557" s="2"/>
      <c r="Q5557">
        <f>_xlfn.XLOOKUP(E5557,CPT!$A$2:$A$13,CPT!$D$2:$D$13)</f>
        <v>210</v>
      </c>
      <c r="R5557" s="1">
        <f>_xlfn.XLOOKUP(C5557,Contract!$A$2:$A$9,Contract!$B$2:$B$9)</f>
        <v>0.28000000000000003</v>
      </c>
      <c r="S5557" s="1">
        <f t="shared" si="344"/>
        <v>58.8</v>
      </c>
      <c r="T5557" s="1" t="str">
        <f t="shared" si="345"/>
        <v/>
      </c>
      <c r="U5557" s="1" t="str">
        <f t="shared" si="346"/>
        <v/>
      </c>
      <c r="V5557" s="1" t="str">
        <f>_xlfn.XLOOKUP(C5557,Payers!$A$2:$A$9,Payers!$B$2:$B$9)</f>
        <v>Coastal Medicaid MCO</v>
      </c>
      <c r="W5557" s="1" t="str">
        <f t="shared" si="347"/>
        <v>2026-07</v>
      </c>
    </row>
    <row r="5558" spans="1:23">
      <c r="A5558" s="1" t="s">
        <v>8398</v>
      </c>
      <c r="B5558" s="1" t="s">
        <v>2365</v>
      </c>
      <c r="C5558" s="1" t="s">
        <v>60</v>
      </c>
      <c r="D5558" s="1" t="s">
        <v>19</v>
      </c>
      <c r="E5558" s="1" t="s">
        <v>88</v>
      </c>
      <c r="F5558">
        <v>1</v>
      </c>
      <c r="G5558" s="2">
        <v>46001</v>
      </c>
      <c r="H5558" s="2">
        <v>46003</v>
      </c>
      <c r="I5558">
        <v>253.76</v>
      </c>
      <c r="J5558">
        <v>118.37</v>
      </c>
      <c r="K5558">
        <v>118.37</v>
      </c>
      <c r="L5558">
        <v>0</v>
      </c>
      <c r="M5558" s="1" t="s">
        <v>21</v>
      </c>
      <c r="N5558" s="1" t="s">
        <v>22</v>
      </c>
      <c r="O5558" s="2">
        <v>46028</v>
      </c>
      <c r="P5558" s="2">
        <v>46028</v>
      </c>
      <c r="Q5558">
        <f>_xlfn.XLOOKUP(E5558,CPT!$A$2:$A$13,CPT!$D$2:$D$13)</f>
        <v>260</v>
      </c>
      <c r="R5558" s="1">
        <f>_xlfn.XLOOKUP(C5558,Contract!$A$2:$A$9,Contract!$B$2:$B$9)</f>
        <v>0.45</v>
      </c>
      <c r="S5558" s="1">
        <f t="shared" si="344"/>
        <v>117</v>
      </c>
      <c r="T5558" s="1">
        <f t="shared" si="345"/>
        <v>-1.3700000000000045</v>
      </c>
      <c r="U5558" s="1" t="str">
        <f t="shared" si="346"/>
        <v>OK</v>
      </c>
      <c r="V5558" s="1" t="str">
        <f>_xlfn.XLOOKUP(C5558,Payers!$A$2:$A$9,Payers!$B$2:$B$9)</f>
        <v>Blue Horizon Commercial</v>
      </c>
      <c r="W5558" s="1" t="str">
        <f t="shared" si="347"/>
        <v>2025-12</v>
      </c>
    </row>
    <row r="5559" spans="1:23">
      <c r="A5559" s="1" t="s">
        <v>8399</v>
      </c>
      <c r="B5559" s="1" t="s">
        <v>6100</v>
      </c>
      <c r="C5559" s="1" t="s">
        <v>76</v>
      </c>
      <c r="D5559" s="1" t="s">
        <v>30</v>
      </c>
      <c r="E5559" s="1" t="s">
        <v>20</v>
      </c>
      <c r="F5559">
        <v>1</v>
      </c>
      <c r="G5559" s="2">
        <v>46280</v>
      </c>
      <c r="H5559" s="2">
        <v>46281</v>
      </c>
      <c r="I5559">
        <v>141.88</v>
      </c>
      <c r="M5559" s="1" t="s">
        <v>69</v>
      </c>
      <c r="N5559" s="1" t="s">
        <v>22</v>
      </c>
      <c r="O5559" s="2"/>
      <c r="P5559" s="2"/>
      <c r="Q5559">
        <f>_xlfn.XLOOKUP(E5559,CPT!$A$2:$A$13,CPT!$D$2:$D$13)</f>
        <v>145</v>
      </c>
      <c r="R5559" s="1">
        <f>_xlfn.XLOOKUP(C5559,Contract!$A$2:$A$9,Contract!$B$2:$B$9)</f>
        <v>0.43</v>
      </c>
      <c r="S5559" s="1">
        <f t="shared" si="344"/>
        <v>62.35</v>
      </c>
      <c r="T5559" s="1" t="str">
        <f t="shared" si="345"/>
        <v/>
      </c>
      <c r="U5559" s="1" t="str">
        <f t="shared" si="346"/>
        <v/>
      </c>
      <c r="V5559" s="1" t="str">
        <f>_xlfn.XLOOKUP(C5559,Payers!$A$2:$A$9,Payers!$B$2:$B$9)</f>
        <v>Summit Health Commercial</v>
      </c>
      <c r="W5559" s="1" t="str">
        <f t="shared" si="347"/>
        <v>2026-09</v>
      </c>
    </row>
    <row r="5560" spans="1:23">
      <c r="A5560" s="1" t="s">
        <v>8400</v>
      </c>
      <c r="B5560" s="1" t="s">
        <v>8401</v>
      </c>
      <c r="C5560" s="1" t="s">
        <v>25</v>
      </c>
      <c r="D5560" s="1" t="s">
        <v>37</v>
      </c>
      <c r="E5560" s="1" t="s">
        <v>57</v>
      </c>
      <c r="F5560">
        <v>1</v>
      </c>
      <c r="G5560" s="2">
        <v>46081</v>
      </c>
      <c r="H5560" s="2">
        <v>46090</v>
      </c>
      <c r="I5560">
        <v>215.45</v>
      </c>
      <c r="J5560">
        <v>85.78</v>
      </c>
      <c r="K5560">
        <v>77.2</v>
      </c>
      <c r="L5560">
        <v>8.58</v>
      </c>
      <c r="M5560" s="1" t="s">
        <v>21</v>
      </c>
      <c r="N5560" s="1" t="s">
        <v>22</v>
      </c>
      <c r="O5560" s="2">
        <v>46106</v>
      </c>
      <c r="P5560" s="2">
        <v>46106</v>
      </c>
      <c r="Q5560">
        <f>_xlfn.XLOOKUP(E5560,CPT!$A$2:$A$13,CPT!$D$2:$D$13)</f>
        <v>210</v>
      </c>
      <c r="R5560" s="1">
        <f>_xlfn.XLOOKUP(C5560,Contract!$A$2:$A$9,Contract!$B$2:$B$9)</f>
        <v>0.36</v>
      </c>
      <c r="S5560" s="1">
        <f t="shared" si="344"/>
        <v>75.599999999999994</v>
      </c>
      <c r="T5560" s="1">
        <f t="shared" si="345"/>
        <v>-10.180000000000007</v>
      </c>
      <c r="U5560" s="1" t="str">
        <f t="shared" si="346"/>
        <v>OK</v>
      </c>
      <c r="V5560" s="1" t="str">
        <f>_xlfn.XLOOKUP(C5560,Payers!$A$2:$A$9,Payers!$B$2:$B$9)</f>
        <v>Medicare Part B</v>
      </c>
      <c r="W5560" s="1" t="str">
        <f t="shared" si="347"/>
        <v>2026-02</v>
      </c>
    </row>
    <row r="5561" spans="1:23">
      <c r="A5561" s="1" t="s">
        <v>8402</v>
      </c>
      <c r="B5561" s="1" t="s">
        <v>8403</v>
      </c>
      <c r="C5561" s="1" t="s">
        <v>47</v>
      </c>
      <c r="D5561" s="1" t="s">
        <v>37</v>
      </c>
      <c r="E5561" s="1" t="s">
        <v>57</v>
      </c>
      <c r="F5561">
        <v>1</v>
      </c>
      <c r="G5561" s="2">
        <v>46170</v>
      </c>
      <c r="H5561" s="2">
        <v>46177</v>
      </c>
      <c r="I5561">
        <v>215.59</v>
      </c>
      <c r="J5561">
        <v>59.88</v>
      </c>
      <c r="K5561">
        <v>59.88</v>
      </c>
      <c r="L5561">
        <v>0</v>
      </c>
      <c r="M5561" s="1" t="s">
        <v>21</v>
      </c>
      <c r="N5561" s="1" t="s">
        <v>22</v>
      </c>
      <c r="O5561" s="2">
        <v>46213</v>
      </c>
      <c r="P5561" s="2">
        <v>46213</v>
      </c>
      <c r="Q5561">
        <f>_xlfn.XLOOKUP(E5561,CPT!$A$2:$A$13,CPT!$D$2:$D$13)</f>
        <v>210</v>
      </c>
      <c r="R5561" s="1">
        <f>_xlfn.XLOOKUP(C5561,Contract!$A$2:$A$9,Contract!$B$2:$B$9)</f>
        <v>0.28000000000000003</v>
      </c>
      <c r="S5561" s="1">
        <f t="shared" si="344"/>
        <v>58.8</v>
      </c>
      <c r="T5561" s="1">
        <f t="shared" si="345"/>
        <v>-1.0800000000000054</v>
      </c>
      <c r="U5561" s="1" t="str">
        <f t="shared" si="346"/>
        <v>OK</v>
      </c>
      <c r="V5561" s="1" t="str">
        <f>_xlfn.XLOOKUP(C5561,Payers!$A$2:$A$9,Payers!$B$2:$B$9)</f>
        <v>Coastal Medicaid MCO</v>
      </c>
      <c r="W5561" s="1" t="str">
        <f t="shared" si="347"/>
        <v>2026-05</v>
      </c>
    </row>
    <row r="5562" spans="1:23">
      <c r="A5562" s="1" t="s">
        <v>8404</v>
      </c>
      <c r="B5562" s="1" t="s">
        <v>7202</v>
      </c>
      <c r="C5562" s="1" t="s">
        <v>36</v>
      </c>
      <c r="D5562" s="1" t="s">
        <v>37</v>
      </c>
      <c r="E5562" s="1" t="s">
        <v>57</v>
      </c>
      <c r="F5562">
        <v>1</v>
      </c>
      <c r="G5562" s="2">
        <v>45983</v>
      </c>
      <c r="H5562" s="2">
        <v>45985</v>
      </c>
      <c r="I5562">
        <v>205.06</v>
      </c>
      <c r="J5562">
        <v>59.36</v>
      </c>
      <c r="K5562">
        <v>59.36</v>
      </c>
      <c r="L5562">
        <v>0</v>
      </c>
      <c r="M5562" s="1" t="s">
        <v>21</v>
      </c>
      <c r="N5562" s="1" t="s">
        <v>22</v>
      </c>
      <c r="O5562" s="2">
        <v>46032</v>
      </c>
      <c r="P5562" s="2">
        <v>46032</v>
      </c>
      <c r="Q5562">
        <f>_xlfn.XLOOKUP(E5562,CPT!$A$2:$A$13,CPT!$D$2:$D$13)</f>
        <v>210</v>
      </c>
      <c r="R5562" s="1">
        <f>_xlfn.XLOOKUP(C5562,Contract!$A$2:$A$9,Contract!$B$2:$B$9)</f>
        <v>0.27</v>
      </c>
      <c r="S5562" s="1">
        <f t="shared" si="344"/>
        <v>56.7</v>
      </c>
      <c r="T5562" s="1">
        <f t="shared" si="345"/>
        <v>-2.6599999999999966</v>
      </c>
      <c r="U5562" s="1" t="str">
        <f t="shared" si="346"/>
        <v>OK</v>
      </c>
      <c r="V5562" s="1" t="str">
        <f>_xlfn.XLOOKUP(C5562,Payers!$A$2:$A$9,Payers!$B$2:$B$9)</f>
        <v>Florida Medicaid</v>
      </c>
      <c r="W5562" s="1" t="str">
        <f t="shared" si="347"/>
        <v>2025-11</v>
      </c>
    </row>
    <row r="5563" spans="1:23">
      <c r="A5563" s="1" t="s">
        <v>8405</v>
      </c>
      <c r="B5563" s="1" t="s">
        <v>2389</v>
      </c>
      <c r="C5563" s="1" t="s">
        <v>47</v>
      </c>
      <c r="D5563" s="1" t="s">
        <v>37</v>
      </c>
      <c r="E5563" s="1" t="s">
        <v>38</v>
      </c>
      <c r="F5563">
        <v>20</v>
      </c>
      <c r="G5563" s="2">
        <v>45931</v>
      </c>
      <c r="H5563" s="2">
        <v>45941</v>
      </c>
      <c r="I5563">
        <v>29303.22</v>
      </c>
      <c r="J5563">
        <v>7252.75</v>
      </c>
      <c r="K5563">
        <v>7252.75</v>
      </c>
      <c r="L5563">
        <v>0</v>
      </c>
      <c r="M5563" s="1" t="s">
        <v>21</v>
      </c>
      <c r="N5563" s="1" t="s">
        <v>22</v>
      </c>
      <c r="O5563" s="2">
        <v>45976</v>
      </c>
      <c r="P5563" s="2">
        <v>45976</v>
      </c>
      <c r="Q5563">
        <f>_xlfn.XLOOKUP(E5563,CPT!$A$2:$A$13,CPT!$D$2:$D$13)</f>
        <v>1450</v>
      </c>
      <c r="R5563" s="1">
        <f>_xlfn.XLOOKUP(C5563,Contract!$A$2:$A$9,Contract!$B$2:$B$9)</f>
        <v>0.28000000000000003</v>
      </c>
      <c r="S5563" s="1">
        <f t="shared" si="344"/>
        <v>8120</v>
      </c>
      <c r="T5563" s="1">
        <f t="shared" si="345"/>
        <v>867.25</v>
      </c>
      <c r="U5563" s="1" t="str">
        <f t="shared" si="346"/>
        <v>Underpaid</v>
      </c>
      <c r="V5563" s="1" t="str">
        <f>_xlfn.XLOOKUP(C5563,Payers!$A$2:$A$9,Payers!$B$2:$B$9)</f>
        <v>Coastal Medicaid MCO</v>
      </c>
      <c r="W5563" s="1" t="str">
        <f t="shared" si="347"/>
        <v>2025-10</v>
      </c>
    </row>
    <row r="5564" spans="1:23">
      <c r="A5564" s="1" t="s">
        <v>8406</v>
      </c>
      <c r="B5564" s="1" t="s">
        <v>8407</v>
      </c>
      <c r="C5564" s="1" t="s">
        <v>76</v>
      </c>
      <c r="D5564" s="1" t="s">
        <v>26</v>
      </c>
      <c r="E5564" s="1" t="s">
        <v>185</v>
      </c>
      <c r="F5564">
        <v>1</v>
      </c>
      <c r="G5564" s="2">
        <v>46005</v>
      </c>
      <c r="H5564" s="2">
        <v>46006</v>
      </c>
      <c r="I5564">
        <v>1160.19</v>
      </c>
      <c r="M5564" s="1" t="s">
        <v>32</v>
      </c>
      <c r="N5564" s="1" t="s">
        <v>49</v>
      </c>
      <c r="O5564" s="2">
        <v>46036</v>
      </c>
      <c r="P5564" s="2"/>
      <c r="Q5564">
        <f>_xlfn.XLOOKUP(E5564,CPT!$A$2:$A$13,CPT!$D$2:$D$13)</f>
        <v>1150</v>
      </c>
      <c r="R5564" s="1">
        <f>_xlfn.XLOOKUP(C5564,Contract!$A$2:$A$9,Contract!$B$2:$B$9)</f>
        <v>0.43</v>
      </c>
      <c r="S5564" s="1">
        <f t="shared" si="344"/>
        <v>494.5</v>
      </c>
      <c r="T5564" s="1" t="str">
        <f t="shared" si="345"/>
        <v/>
      </c>
      <c r="U5564" s="1" t="str">
        <f t="shared" si="346"/>
        <v/>
      </c>
      <c r="V5564" s="1" t="str">
        <f>_xlfn.XLOOKUP(C5564,Payers!$A$2:$A$9,Payers!$B$2:$B$9)</f>
        <v>Summit Health Commercial</v>
      </c>
      <c r="W5564" s="1" t="str">
        <f t="shared" si="347"/>
        <v>2025-12</v>
      </c>
    </row>
    <row r="5565" spans="1:23">
      <c r="A5565" s="1" t="s">
        <v>8408</v>
      </c>
      <c r="B5565" s="1" t="s">
        <v>1320</v>
      </c>
      <c r="C5565" s="1" t="s">
        <v>60</v>
      </c>
      <c r="D5565" s="1" t="s">
        <v>19</v>
      </c>
      <c r="E5565" s="1" t="s">
        <v>57</v>
      </c>
      <c r="F5565">
        <v>1</v>
      </c>
      <c r="G5565" s="2">
        <v>46257</v>
      </c>
      <c r="H5565" s="2">
        <v>46259</v>
      </c>
      <c r="I5565">
        <v>207.67</v>
      </c>
      <c r="J5565">
        <v>92.41</v>
      </c>
      <c r="K5565">
        <v>92.41</v>
      </c>
      <c r="L5565">
        <v>0</v>
      </c>
      <c r="M5565" s="1" t="s">
        <v>21</v>
      </c>
      <c r="N5565" s="1" t="s">
        <v>22</v>
      </c>
      <c r="O5565" s="2">
        <v>46281</v>
      </c>
      <c r="P5565" s="2">
        <v>46281</v>
      </c>
      <c r="Q5565">
        <f>_xlfn.XLOOKUP(E5565,CPT!$A$2:$A$13,CPT!$D$2:$D$13)</f>
        <v>210</v>
      </c>
      <c r="R5565" s="1">
        <f>_xlfn.XLOOKUP(C5565,Contract!$A$2:$A$9,Contract!$B$2:$B$9)</f>
        <v>0.45</v>
      </c>
      <c r="S5565" s="1">
        <f t="shared" si="344"/>
        <v>94.5</v>
      </c>
      <c r="T5565" s="1">
        <f t="shared" si="345"/>
        <v>2.0900000000000034</v>
      </c>
      <c r="U5565" s="1" t="str">
        <f t="shared" si="346"/>
        <v>OK</v>
      </c>
      <c r="V5565" s="1" t="str">
        <f>_xlfn.XLOOKUP(C5565,Payers!$A$2:$A$9,Payers!$B$2:$B$9)</f>
        <v>Blue Horizon Commercial</v>
      </c>
      <c r="W5565" s="1" t="str">
        <f t="shared" si="347"/>
        <v>2026-08</v>
      </c>
    </row>
    <row r="5566" spans="1:23">
      <c r="A5566" s="1" t="s">
        <v>8409</v>
      </c>
      <c r="B5566" s="1" t="s">
        <v>213</v>
      </c>
      <c r="C5566" s="1" t="s">
        <v>47</v>
      </c>
      <c r="D5566" s="1" t="s">
        <v>19</v>
      </c>
      <c r="E5566" s="1" t="s">
        <v>20</v>
      </c>
      <c r="F5566">
        <v>1</v>
      </c>
      <c r="G5566" s="2">
        <v>46003</v>
      </c>
      <c r="H5566" s="2">
        <v>46010</v>
      </c>
      <c r="I5566">
        <v>144.69</v>
      </c>
      <c r="J5566">
        <v>37.99</v>
      </c>
      <c r="K5566">
        <v>37.99</v>
      </c>
      <c r="L5566">
        <v>0</v>
      </c>
      <c r="M5566" s="1" t="s">
        <v>21</v>
      </c>
      <c r="N5566" s="1" t="s">
        <v>22</v>
      </c>
      <c r="O5566" s="2">
        <v>46070</v>
      </c>
      <c r="P5566" s="2">
        <v>46070</v>
      </c>
      <c r="Q5566">
        <f>_xlfn.XLOOKUP(E5566,CPT!$A$2:$A$13,CPT!$D$2:$D$13)</f>
        <v>145</v>
      </c>
      <c r="R5566" s="1">
        <f>_xlfn.XLOOKUP(C5566,Contract!$A$2:$A$9,Contract!$B$2:$B$9)</f>
        <v>0.28000000000000003</v>
      </c>
      <c r="S5566" s="1">
        <f t="shared" si="344"/>
        <v>40.6</v>
      </c>
      <c r="T5566" s="1">
        <f t="shared" si="345"/>
        <v>2.6099999999999994</v>
      </c>
      <c r="U5566" s="1" t="str">
        <f t="shared" si="346"/>
        <v>Underpaid</v>
      </c>
      <c r="V5566" s="1" t="str">
        <f>_xlfn.XLOOKUP(C5566,Payers!$A$2:$A$9,Payers!$B$2:$B$9)</f>
        <v>Coastal Medicaid MCO</v>
      </c>
      <c r="W5566" s="1" t="str">
        <f t="shared" si="347"/>
        <v>2025-12</v>
      </c>
    </row>
    <row r="5567" spans="1:23">
      <c r="A5567" s="1" t="s">
        <v>8410</v>
      </c>
      <c r="B5567" s="1" t="s">
        <v>1201</v>
      </c>
      <c r="C5567" s="1" t="s">
        <v>60</v>
      </c>
      <c r="D5567" s="1" t="s">
        <v>19</v>
      </c>
      <c r="E5567" s="1" t="s">
        <v>41</v>
      </c>
      <c r="F5567">
        <v>1</v>
      </c>
      <c r="G5567" s="2">
        <v>46034</v>
      </c>
      <c r="H5567" s="2">
        <v>46040</v>
      </c>
      <c r="I5567">
        <v>37.43</v>
      </c>
      <c r="J5567">
        <v>17.53</v>
      </c>
      <c r="K5567">
        <v>14.02</v>
      </c>
      <c r="L5567">
        <v>3.51</v>
      </c>
      <c r="M5567" s="1" t="s">
        <v>21</v>
      </c>
      <c r="N5567" s="1" t="s">
        <v>22</v>
      </c>
      <c r="O5567" s="2">
        <v>46069</v>
      </c>
      <c r="P5567" s="2">
        <v>46069</v>
      </c>
      <c r="Q5567">
        <f>_xlfn.XLOOKUP(E5567,CPT!$A$2:$A$13,CPT!$D$2:$D$13)</f>
        <v>38</v>
      </c>
      <c r="R5567" s="1">
        <f>_xlfn.XLOOKUP(C5567,Contract!$A$2:$A$9,Contract!$B$2:$B$9)</f>
        <v>0.45</v>
      </c>
      <c r="S5567" s="1">
        <f t="shared" si="344"/>
        <v>17.100000000000001</v>
      </c>
      <c r="T5567" s="1">
        <f t="shared" si="345"/>
        <v>-0.42999999999999972</v>
      </c>
      <c r="U5567" s="1" t="str">
        <f t="shared" si="346"/>
        <v>OK</v>
      </c>
      <c r="V5567" s="1" t="str">
        <f>_xlfn.XLOOKUP(C5567,Payers!$A$2:$A$9,Payers!$B$2:$B$9)</f>
        <v>Blue Horizon Commercial</v>
      </c>
      <c r="W5567" s="1" t="str">
        <f t="shared" si="347"/>
        <v>2026-01</v>
      </c>
    </row>
    <row r="5568" spans="1:23">
      <c r="A5568" s="1" t="s">
        <v>8411</v>
      </c>
      <c r="B5568" s="1" t="s">
        <v>7998</v>
      </c>
      <c r="C5568" s="1" t="s">
        <v>60</v>
      </c>
      <c r="D5568" s="1" t="s">
        <v>26</v>
      </c>
      <c r="E5568" s="1" t="s">
        <v>41</v>
      </c>
      <c r="F5568">
        <v>1</v>
      </c>
      <c r="G5568" s="2">
        <v>46133</v>
      </c>
      <c r="H5568" s="2">
        <v>46142</v>
      </c>
      <c r="I5568">
        <v>38.130000000000003</v>
      </c>
      <c r="J5568">
        <v>19.64</v>
      </c>
      <c r="K5568">
        <v>19.64</v>
      </c>
      <c r="L5568">
        <v>0</v>
      </c>
      <c r="M5568" s="1" t="s">
        <v>21</v>
      </c>
      <c r="N5568" s="1" t="s">
        <v>22</v>
      </c>
      <c r="O5568" s="2">
        <v>46178</v>
      </c>
      <c r="P5568" s="2">
        <v>46178</v>
      </c>
      <c r="Q5568">
        <f>_xlfn.XLOOKUP(E5568,CPT!$A$2:$A$13,CPT!$D$2:$D$13)</f>
        <v>38</v>
      </c>
      <c r="R5568" s="1">
        <f>_xlfn.XLOOKUP(C5568,Contract!$A$2:$A$9,Contract!$B$2:$B$9)</f>
        <v>0.45</v>
      </c>
      <c r="S5568" s="1">
        <f t="shared" si="344"/>
        <v>17.100000000000001</v>
      </c>
      <c r="T5568" s="1">
        <f t="shared" si="345"/>
        <v>-2.5399999999999991</v>
      </c>
      <c r="U5568" s="1" t="str">
        <f t="shared" si="346"/>
        <v>OK</v>
      </c>
      <c r="V5568" s="1" t="str">
        <f>_xlfn.XLOOKUP(C5568,Payers!$A$2:$A$9,Payers!$B$2:$B$9)</f>
        <v>Blue Horizon Commercial</v>
      </c>
      <c r="W5568" s="1" t="str">
        <f t="shared" si="347"/>
        <v>2026-04</v>
      </c>
    </row>
    <row r="5569" spans="1:23">
      <c r="A5569" s="1" t="s">
        <v>8412</v>
      </c>
      <c r="B5569" s="1" t="s">
        <v>2983</v>
      </c>
      <c r="C5569" s="1" t="s">
        <v>79</v>
      </c>
      <c r="D5569" s="1" t="s">
        <v>26</v>
      </c>
      <c r="E5569" s="1" t="s">
        <v>41</v>
      </c>
      <c r="F5569">
        <v>1</v>
      </c>
      <c r="G5569" s="2">
        <v>46000</v>
      </c>
      <c r="H5569" s="2">
        <v>46001</v>
      </c>
      <c r="I5569">
        <v>38.729999999999997</v>
      </c>
      <c r="M5569" s="1" t="s">
        <v>69</v>
      </c>
      <c r="N5569" s="1" t="s">
        <v>22</v>
      </c>
      <c r="O5569" s="2"/>
      <c r="P5569" s="2"/>
      <c r="Q5569">
        <f>_xlfn.XLOOKUP(E5569,CPT!$A$2:$A$13,CPT!$D$2:$D$13)</f>
        <v>38</v>
      </c>
      <c r="R5569" s="1">
        <f>_xlfn.XLOOKUP(C5569,Contract!$A$2:$A$9,Contract!$B$2:$B$9)</f>
        <v>1</v>
      </c>
      <c r="S5569" s="1">
        <f t="shared" si="344"/>
        <v>38</v>
      </c>
      <c r="T5569" s="1" t="str">
        <f t="shared" si="345"/>
        <v/>
      </c>
      <c r="U5569" s="1" t="str">
        <f t="shared" si="346"/>
        <v/>
      </c>
      <c r="V5569" s="1" t="str">
        <f>_xlfn.XLOOKUP(C5569,Payers!$A$2:$A$9,Payers!$B$2:$B$9)</f>
        <v>Self-Pay</v>
      </c>
      <c r="W5569" s="1" t="str">
        <f t="shared" si="347"/>
        <v>2025-12</v>
      </c>
    </row>
    <row r="5570" spans="1:23">
      <c r="A5570" s="1" t="s">
        <v>8413</v>
      </c>
      <c r="B5570" s="1" t="s">
        <v>3961</v>
      </c>
      <c r="C5570" s="1" t="s">
        <v>18</v>
      </c>
      <c r="D5570" s="1" t="s">
        <v>26</v>
      </c>
      <c r="E5570" s="1" t="s">
        <v>113</v>
      </c>
      <c r="F5570">
        <v>1</v>
      </c>
      <c r="G5570" s="2">
        <v>46150</v>
      </c>
      <c r="H5570" s="2">
        <v>46157</v>
      </c>
      <c r="I5570">
        <v>1072.93</v>
      </c>
      <c r="J5570">
        <v>379.2</v>
      </c>
      <c r="K5570">
        <v>303.36</v>
      </c>
      <c r="L5570">
        <v>75.84</v>
      </c>
      <c r="M5570" s="1" t="s">
        <v>21</v>
      </c>
      <c r="N5570" s="1" t="s">
        <v>22</v>
      </c>
      <c r="O5570" s="2">
        <v>46206</v>
      </c>
      <c r="P5570" s="2">
        <v>46206</v>
      </c>
      <c r="Q5570">
        <f>_xlfn.XLOOKUP(E5570,CPT!$A$2:$A$13,CPT!$D$2:$D$13)</f>
        <v>1050</v>
      </c>
      <c r="R5570" s="1">
        <f>_xlfn.XLOOKUP(C5570,Contract!$A$2:$A$9,Contract!$B$2:$B$9)</f>
        <v>0.38</v>
      </c>
      <c r="S5570" s="1">
        <f t="shared" ref="S5570:S5633" si="348">ROUND(Q5570*F5570*R5570,2)</f>
        <v>399</v>
      </c>
      <c r="T5570" s="1">
        <f t="shared" ref="T5570:T5633" si="349">IF(M5570="Paid",S5570-J5570,"")</f>
        <v>19.800000000000011</v>
      </c>
      <c r="U5570" s="1" t="str">
        <f t="shared" ref="U5570:U5633" si="350">IF(M5570&lt;&gt;"Paid","",IF(T5570&gt;S5570*0.05,"Underpaid","OK"))</f>
        <v>OK</v>
      </c>
      <c r="V5570" s="1" t="str">
        <f>_xlfn.XLOOKUP(C5570,Payers!$A$2:$A$9,Payers!$B$2:$B$9)</f>
        <v>Sunshine Medicare Advantage</v>
      </c>
      <c r="W5570" s="1" t="str">
        <f t="shared" ref="W5570:W5633" si="351">TEXT(G5570,"yyyy-mm")</f>
        <v>2026-05</v>
      </c>
    </row>
    <row r="5571" spans="1:23">
      <c r="A5571" s="1" t="s">
        <v>8414</v>
      </c>
      <c r="B5571" s="1" t="s">
        <v>3895</v>
      </c>
      <c r="C5571" s="1" t="s">
        <v>76</v>
      </c>
      <c r="D5571" s="1" t="s">
        <v>37</v>
      </c>
      <c r="E5571" s="1" t="s">
        <v>38</v>
      </c>
      <c r="F5571">
        <v>20</v>
      </c>
      <c r="G5571" s="2">
        <v>46207</v>
      </c>
      <c r="H5571" s="2">
        <v>46211</v>
      </c>
      <c r="I5571">
        <v>29031.95</v>
      </c>
      <c r="M5571" s="1" t="s">
        <v>32</v>
      </c>
      <c r="N5571" s="1" t="s">
        <v>315</v>
      </c>
      <c r="O5571" s="2">
        <v>46238</v>
      </c>
      <c r="P5571" s="2"/>
      <c r="Q5571">
        <f>_xlfn.XLOOKUP(E5571,CPT!$A$2:$A$13,CPT!$D$2:$D$13)</f>
        <v>1450</v>
      </c>
      <c r="R5571" s="1">
        <f>_xlfn.XLOOKUP(C5571,Contract!$A$2:$A$9,Contract!$B$2:$B$9)</f>
        <v>0.43</v>
      </c>
      <c r="S5571" s="1">
        <f t="shared" si="348"/>
        <v>12470</v>
      </c>
      <c r="T5571" s="1" t="str">
        <f t="shared" si="349"/>
        <v/>
      </c>
      <c r="U5571" s="1" t="str">
        <f t="shared" si="350"/>
        <v/>
      </c>
      <c r="V5571" s="1" t="str">
        <f>_xlfn.XLOOKUP(C5571,Payers!$A$2:$A$9,Payers!$B$2:$B$9)</f>
        <v>Summit Health Commercial</v>
      </c>
      <c r="W5571" s="1" t="str">
        <f t="shared" si="351"/>
        <v>2026-07</v>
      </c>
    </row>
    <row r="5572" spans="1:23">
      <c r="A5572" s="1" t="s">
        <v>8415</v>
      </c>
      <c r="B5572" s="1" t="s">
        <v>3313</v>
      </c>
      <c r="C5572" s="1" t="s">
        <v>25</v>
      </c>
      <c r="D5572" s="1" t="s">
        <v>19</v>
      </c>
      <c r="E5572" s="1" t="s">
        <v>41</v>
      </c>
      <c r="F5572">
        <v>1</v>
      </c>
      <c r="G5572" s="2">
        <v>46075</v>
      </c>
      <c r="H5572" s="2">
        <v>46090</v>
      </c>
      <c r="I5572">
        <v>38.909999999999997</v>
      </c>
      <c r="J5572">
        <v>15.06</v>
      </c>
      <c r="K5572">
        <v>15.06</v>
      </c>
      <c r="L5572">
        <v>0</v>
      </c>
      <c r="M5572" s="1" t="s">
        <v>21</v>
      </c>
      <c r="N5572" s="1" t="s">
        <v>22</v>
      </c>
      <c r="O5572" s="2">
        <v>46105</v>
      </c>
      <c r="P5572" s="2">
        <v>46105</v>
      </c>
      <c r="Q5572">
        <f>_xlfn.XLOOKUP(E5572,CPT!$A$2:$A$13,CPT!$D$2:$D$13)</f>
        <v>38</v>
      </c>
      <c r="R5572" s="1">
        <f>_xlfn.XLOOKUP(C5572,Contract!$A$2:$A$9,Contract!$B$2:$B$9)</f>
        <v>0.36</v>
      </c>
      <c r="S5572" s="1">
        <f t="shared" si="348"/>
        <v>13.68</v>
      </c>
      <c r="T5572" s="1">
        <f t="shared" si="349"/>
        <v>-1.3800000000000008</v>
      </c>
      <c r="U5572" s="1" t="str">
        <f t="shared" si="350"/>
        <v>OK</v>
      </c>
      <c r="V5572" s="1" t="str">
        <f>_xlfn.XLOOKUP(C5572,Payers!$A$2:$A$9,Payers!$B$2:$B$9)</f>
        <v>Medicare Part B</v>
      </c>
      <c r="W5572" s="1" t="str">
        <f t="shared" si="351"/>
        <v>2026-02</v>
      </c>
    </row>
    <row r="5573" spans="1:23">
      <c r="A5573" s="1" t="s">
        <v>8416</v>
      </c>
      <c r="B5573" s="1" t="s">
        <v>6124</v>
      </c>
      <c r="C5573" s="1" t="s">
        <v>60</v>
      </c>
      <c r="D5573" s="1" t="s">
        <v>19</v>
      </c>
      <c r="E5573" s="1" t="s">
        <v>20</v>
      </c>
      <c r="F5573">
        <v>1</v>
      </c>
      <c r="G5573" s="2">
        <v>46219</v>
      </c>
      <c r="H5573" s="2">
        <v>46221</v>
      </c>
      <c r="I5573">
        <v>145.12</v>
      </c>
      <c r="J5573">
        <v>60.64</v>
      </c>
      <c r="K5573">
        <v>54.58</v>
      </c>
      <c r="L5573">
        <v>6.06</v>
      </c>
      <c r="M5573" s="1" t="s">
        <v>21</v>
      </c>
      <c r="N5573" s="1" t="s">
        <v>22</v>
      </c>
      <c r="O5573" s="2">
        <v>46262</v>
      </c>
      <c r="P5573" s="2">
        <v>46262</v>
      </c>
      <c r="Q5573">
        <f>_xlfn.XLOOKUP(E5573,CPT!$A$2:$A$13,CPT!$D$2:$D$13)</f>
        <v>145</v>
      </c>
      <c r="R5573" s="1">
        <f>_xlfn.XLOOKUP(C5573,Contract!$A$2:$A$9,Contract!$B$2:$B$9)</f>
        <v>0.45</v>
      </c>
      <c r="S5573" s="1">
        <f t="shared" si="348"/>
        <v>65.25</v>
      </c>
      <c r="T5573" s="1">
        <f t="shared" si="349"/>
        <v>4.6099999999999994</v>
      </c>
      <c r="U5573" s="1" t="str">
        <f t="shared" si="350"/>
        <v>Underpaid</v>
      </c>
      <c r="V5573" s="1" t="str">
        <f>_xlfn.XLOOKUP(C5573,Payers!$A$2:$A$9,Payers!$B$2:$B$9)</f>
        <v>Blue Horizon Commercial</v>
      </c>
      <c r="W5573" s="1" t="str">
        <f t="shared" si="351"/>
        <v>2026-07</v>
      </c>
    </row>
    <row r="5574" spans="1:23">
      <c r="A5574" s="1" t="s">
        <v>8417</v>
      </c>
      <c r="B5574" s="1" t="s">
        <v>6846</v>
      </c>
      <c r="C5574" s="1" t="s">
        <v>36</v>
      </c>
      <c r="D5574" s="1" t="s">
        <v>26</v>
      </c>
      <c r="E5574" s="1" t="s">
        <v>185</v>
      </c>
      <c r="F5574">
        <v>1</v>
      </c>
      <c r="G5574" s="2">
        <v>45941</v>
      </c>
      <c r="H5574" s="2">
        <v>45942</v>
      </c>
      <c r="I5574">
        <v>1157.69</v>
      </c>
      <c r="J5574">
        <v>313.07</v>
      </c>
      <c r="K5574">
        <v>313.07</v>
      </c>
      <c r="L5574">
        <v>0</v>
      </c>
      <c r="M5574" s="1" t="s">
        <v>21</v>
      </c>
      <c r="N5574" s="1" t="s">
        <v>22</v>
      </c>
      <c r="O5574" s="2">
        <v>45977</v>
      </c>
      <c r="P5574" s="2">
        <v>45977</v>
      </c>
      <c r="Q5574">
        <f>_xlfn.XLOOKUP(E5574,CPT!$A$2:$A$13,CPT!$D$2:$D$13)</f>
        <v>1150</v>
      </c>
      <c r="R5574" s="1">
        <f>_xlfn.XLOOKUP(C5574,Contract!$A$2:$A$9,Contract!$B$2:$B$9)</f>
        <v>0.27</v>
      </c>
      <c r="S5574" s="1">
        <f t="shared" si="348"/>
        <v>310.5</v>
      </c>
      <c r="T5574" s="1">
        <f t="shared" si="349"/>
        <v>-2.5699999999999932</v>
      </c>
      <c r="U5574" s="1" t="str">
        <f t="shared" si="350"/>
        <v>OK</v>
      </c>
      <c r="V5574" s="1" t="str">
        <f>_xlfn.XLOOKUP(C5574,Payers!$A$2:$A$9,Payers!$B$2:$B$9)</f>
        <v>Florida Medicaid</v>
      </c>
      <c r="W5574" s="1" t="str">
        <f t="shared" si="351"/>
        <v>2025-10</v>
      </c>
    </row>
    <row r="5575" spans="1:23">
      <c r="A5575" s="1" t="s">
        <v>8418</v>
      </c>
      <c r="B5575" s="1" t="s">
        <v>4881</v>
      </c>
      <c r="C5575" s="1" t="s">
        <v>47</v>
      </c>
      <c r="D5575" s="1" t="s">
        <v>26</v>
      </c>
      <c r="E5575" s="1" t="s">
        <v>44</v>
      </c>
      <c r="F5575">
        <v>1</v>
      </c>
      <c r="G5575" s="2">
        <v>46188</v>
      </c>
      <c r="H5575" s="2">
        <v>46189</v>
      </c>
      <c r="I5575">
        <v>4754.16</v>
      </c>
      <c r="J5575">
        <v>1285.18</v>
      </c>
      <c r="K5575">
        <v>1156.6600000000001</v>
      </c>
      <c r="L5575">
        <v>128.52000000000001</v>
      </c>
      <c r="M5575" s="1" t="s">
        <v>21</v>
      </c>
      <c r="N5575" s="1" t="s">
        <v>22</v>
      </c>
      <c r="O5575" s="2">
        <v>46239</v>
      </c>
      <c r="P5575" s="2">
        <v>46239</v>
      </c>
      <c r="Q5575">
        <f>_xlfn.XLOOKUP(E5575,CPT!$A$2:$A$13,CPT!$D$2:$D$13)</f>
        <v>4800</v>
      </c>
      <c r="R5575" s="1">
        <f>_xlfn.XLOOKUP(C5575,Contract!$A$2:$A$9,Contract!$B$2:$B$9)</f>
        <v>0.28000000000000003</v>
      </c>
      <c r="S5575" s="1">
        <f t="shared" si="348"/>
        <v>1344</v>
      </c>
      <c r="T5575" s="1">
        <f t="shared" si="349"/>
        <v>58.819999999999936</v>
      </c>
      <c r="U5575" s="1" t="str">
        <f t="shared" si="350"/>
        <v>OK</v>
      </c>
      <c r="V5575" s="1" t="str">
        <f>_xlfn.XLOOKUP(C5575,Payers!$A$2:$A$9,Payers!$B$2:$B$9)</f>
        <v>Coastal Medicaid MCO</v>
      </c>
      <c r="W5575" s="1" t="str">
        <f t="shared" si="351"/>
        <v>2026-06</v>
      </c>
    </row>
    <row r="5576" spans="1:23">
      <c r="A5576" s="1" t="s">
        <v>8419</v>
      </c>
      <c r="B5576" s="1" t="s">
        <v>1505</v>
      </c>
      <c r="C5576" s="1" t="s">
        <v>76</v>
      </c>
      <c r="D5576" s="1" t="s">
        <v>19</v>
      </c>
      <c r="E5576" s="1" t="s">
        <v>57</v>
      </c>
      <c r="F5576">
        <v>1</v>
      </c>
      <c r="G5576" s="2">
        <v>45957</v>
      </c>
      <c r="H5576" s="2">
        <v>45964</v>
      </c>
      <c r="I5576">
        <v>207.99</v>
      </c>
      <c r="J5576">
        <v>95.4</v>
      </c>
      <c r="K5576">
        <v>76.319999999999993</v>
      </c>
      <c r="L5576">
        <v>19.079999999999998</v>
      </c>
      <c r="M5576" s="1" t="s">
        <v>21</v>
      </c>
      <c r="N5576" s="1" t="s">
        <v>22</v>
      </c>
      <c r="O5576" s="2">
        <v>45997</v>
      </c>
      <c r="P5576" s="2">
        <v>45997</v>
      </c>
      <c r="Q5576">
        <f>_xlfn.XLOOKUP(E5576,CPT!$A$2:$A$13,CPT!$D$2:$D$13)</f>
        <v>210</v>
      </c>
      <c r="R5576" s="1">
        <f>_xlfn.XLOOKUP(C5576,Contract!$A$2:$A$9,Contract!$B$2:$B$9)</f>
        <v>0.43</v>
      </c>
      <c r="S5576" s="1">
        <f t="shared" si="348"/>
        <v>90.3</v>
      </c>
      <c r="T5576" s="1">
        <f t="shared" si="349"/>
        <v>-5.1000000000000085</v>
      </c>
      <c r="U5576" s="1" t="str">
        <f t="shared" si="350"/>
        <v>OK</v>
      </c>
      <c r="V5576" s="1" t="str">
        <f>_xlfn.XLOOKUP(C5576,Payers!$A$2:$A$9,Payers!$B$2:$B$9)</f>
        <v>Summit Health Commercial</v>
      </c>
      <c r="W5576" s="1" t="str">
        <f t="shared" si="351"/>
        <v>2025-10</v>
      </c>
    </row>
    <row r="5577" spans="1:23">
      <c r="A5577" s="1" t="s">
        <v>8420</v>
      </c>
      <c r="B5577" s="1" t="s">
        <v>8421</v>
      </c>
      <c r="C5577" s="1" t="s">
        <v>18</v>
      </c>
      <c r="D5577" s="1" t="s">
        <v>26</v>
      </c>
      <c r="E5577" s="1" t="s">
        <v>57</v>
      </c>
      <c r="F5577">
        <v>1</v>
      </c>
      <c r="G5577" s="2">
        <v>46107</v>
      </c>
      <c r="H5577" s="2">
        <v>46109</v>
      </c>
      <c r="I5577">
        <v>215.58</v>
      </c>
      <c r="J5577">
        <v>88.93</v>
      </c>
      <c r="K5577">
        <v>80.040000000000006</v>
      </c>
      <c r="L5577">
        <v>8.89</v>
      </c>
      <c r="M5577" s="1" t="s">
        <v>21</v>
      </c>
      <c r="N5577" s="1" t="s">
        <v>22</v>
      </c>
      <c r="O5577" s="2">
        <v>46155</v>
      </c>
      <c r="P5577" s="2">
        <v>46155</v>
      </c>
      <c r="Q5577">
        <f>_xlfn.XLOOKUP(E5577,CPT!$A$2:$A$13,CPT!$D$2:$D$13)</f>
        <v>210</v>
      </c>
      <c r="R5577" s="1">
        <f>_xlfn.XLOOKUP(C5577,Contract!$A$2:$A$9,Contract!$B$2:$B$9)</f>
        <v>0.38</v>
      </c>
      <c r="S5577" s="1">
        <f t="shared" si="348"/>
        <v>79.8</v>
      </c>
      <c r="T5577" s="1">
        <f t="shared" si="349"/>
        <v>-9.1300000000000097</v>
      </c>
      <c r="U5577" s="1" t="str">
        <f t="shared" si="350"/>
        <v>OK</v>
      </c>
      <c r="V5577" s="1" t="str">
        <f>_xlfn.XLOOKUP(C5577,Payers!$A$2:$A$9,Payers!$B$2:$B$9)</f>
        <v>Sunshine Medicare Advantage</v>
      </c>
      <c r="W5577" s="1" t="str">
        <f t="shared" si="351"/>
        <v>2026-03</v>
      </c>
    </row>
    <row r="5578" spans="1:23">
      <c r="A5578" s="1" t="s">
        <v>8422</v>
      </c>
      <c r="B5578" s="1" t="s">
        <v>8423</v>
      </c>
      <c r="C5578" s="1" t="s">
        <v>18</v>
      </c>
      <c r="D5578" s="1" t="s">
        <v>30</v>
      </c>
      <c r="E5578" s="1" t="s">
        <v>20</v>
      </c>
      <c r="F5578">
        <v>1</v>
      </c>
      <c r="G5578" s="2">
        <v>46002</v>
      </c>
      <c r="H5578" s="2">
        <v>46003</v>
      </c>
      <c r="I5578">
        <v>147.22</v>
      </c>
      <c r="J5578">
        <v>52.29</v>
      </c>
      <c r="K5578">
        <v>52.29</v>
      </c>
      <c r="L5578">
        <v>0</v>
      </c>
      <c r="M5578" s="1" t="s">
        <v>21</v>
      </c>
      <c r="N5578" s="1" t="s">
        <v>22</v>
      </c>
      <c r="O5578" s="2">
        <v>46047</v>
      </c>
      <c r="P5578" s="2">
        <v>46047</v>
      </c>
      <c r="Q5578">
        <f>_xlfn.XLOOKUP(E5578,CPT!$A$2:$A$13,CPT!$D$2:$D$13)</f>
        <v>145</v>
      </c>
      <c r="R5578" s="1">
        <f>_xlfn.XLOOKUP(C5578,Contract!$A$2:$A$9,Contract!$B$2:$B$9)</f>
        <v>0.38</v>
      </c>
      <c r="S5578" s="1">
        <f t="shared" si="348"/>
        <v>55.1</v>
      </c>
      <c r="T5578" s="1">
        <f t="shared" si="349"/>
        <v>2.8100000000000023</v>
      </c>
      <c r="U5578" s="1" t="str">
        <f t="shared" si="350"/>
        <v>Underpaid</v>
      </c>
      <c r="V5578" s="1" t="str">
        <f>_xlfn.XLOOKUP(C5578,Payers!$A$2:$A$9,Payers!$B$2:$B$9)</f>
        <v>Sunshine Medicare Advantage</v>
      </c>
      <c r="W5578" s="1" t="str">
        <f t="shared" si="351"/>
        <v>2025-12</v>
      </c>
    </row>
    <row r="5579" spans="1:23">
      <c r="A5579" s="1" t="s">
        <v>8424</v>
      </c>
      <c r="B5579" s="1" t="s">
        <v>3291</v>
      </c>
      <c r="C5579" s="1" t="s">
        <v>47</v>
      </c>
      <c r="D5579" s="1" t="s">
        <v>30</v>
      </c>
      <c r="E5579" s="1" t="s">
        <v>91</v>
      </c>
      <c r="F5579">
        <v>1</v>
      </c>
      <c r="G5579" s="2">
        <v>46223</v>
      </c>
      <c r="H5579" s="2">
        <v>46227</v>
      </c>
      <c r="I5579">
        <v>59.49</v>
      </c>
      <c r="J5579">
        <v>14.96</v>
      </c>
      <c r="K5579">
        <v>14.96</v>
      </c>
      <c r="L5579">
        <v>0</v>
      </c>
      <c r="M5579" s="1" t="s">
        <v>21</v>
      </c>
      <c r="N5579" s="1" t="s">
        <v>22</v>
      </c>
      <c r="O5579" s="2">
        <v>46281</v>
      </c>
      <c r="P5579" s="2">
        <v>46281</v>
      </c>
      <c r="Q5579">
        <f>_xlfn.XLOOKUP(E5579,CPT!$A$2:$A$13,CPT!$D$2:$D$13)</f>
        <v>58</v>
      </c>
      <c r="R5579" s="1">
        <f>_xlfn.XLOOKUP(C5579,Contract!$A$2:$A$9,Contract!$B$2:$B$9)</f>
        <v>0.28000000000000003</v>
      </c>
      <c r="S5579" s="1">
        <f t="shared" si="348"/>
        <v>16.239999999999998</v>
      </c>
      <c r="T5579" s="1">
        <f t="shared" si="349"/>
        <v>1.2799999999999976</v>
      </c>
      <c r="U5579" s="1" t="str">
        <f t="shared" si="350"/>
        <v>Underpaid</v>
      </c>
      <c r="V5579" s="1" t="str">
        <f>_xlfn.XLOOKUP(C5579,Payers!$A$2:$A$9,Payers!$B$2:$B$9)</f>
        <v>Coastal Medicaid MCO</v>
      </c>
      <c r="W5579" s="1" t="str">
        <f t="shared" si="351"/>
        <v>2026-07</v>
      </c>
    </row>
    <row r="5580" spans="1:23">
      <c r="A5580" s="1" t="s">
        <v>8425</v>
      </c>
      <c r="B5580" s="1" t="s">
        <v>2035</v>
      </c>
      <c r="C5580" s="1" t="s">
        <v>18</v>
      </c>
      <c r="D5580" s="1" t="s">
        <v>19</v>
      </c>
      <c r="E5580" s="1" t="s">
        <v>88</v>
      </c>
      <c r="F5580">
        <v>1</v>
      </c>
      <c r="G5580" s="2">
        <v>46166</v>
      </c>
      <c r="H5580" s="2">
        <v>46168</v>
      </c>
      <c r="I5580">
        <v>267.64</v>
      </c>
      <c r="J5580">
        <v>117.08</v>
      </c>
      <c r="K5580">
        <v>93.66</v>
      </c>
      <c r="L5580">
        <v>23.42</v>
      </c>
      <c r="M5580" s="1" t="s">
        <v>21</v>
      </c>
      <c r="N5580" s="1" t="s">
        <v>22</v>
      </c>
      <c r="O5580" s="2">
        <v>46237</v>
      </c>
      <c r="P5580" s="2">
        <v>46237</v>
      </c>
      <c r="Q5580">
        <f>_xlfn.XLOOKUP(E5580,CPT!$A$2:$A$13,CPT!$D$2:$D$13)</f>
        <v>260</v>
      </c>
      <c r="R5580" s="1">
        <f>_xlfn.XLOOKUP(C5580,Contract!$A$2:$A$9,Contract!$B$2:$B$9)</f>
        <v>0.38</v>
      </c>
      <c r="S5580" s="1">
        <f t="shared" si="348"/>
        <v>98.8</v>
      </c>
      <c r="T5580" s="1">
        <f t="shared" si="349"/>
        <v>-18.28</v>
      </c>
      <c r="U5580" s="1" t="str">
        <f t="shared" si="350"/>
        <v>OK</v>
      </c>
      <c r="V5580" s="1" t="str">
        <f>_xlfn.XLOOKUP(C5580,Payers!$A$2:$A$9,Payers!$B$2:$B$9)</f>
        <v>Sunshine Medicare Advantage</v>
      </c>
      <c r="W5580" s="1" t="str">
        <f t="shared" si="351"/>
        <v>2026-05</v>
      </c>
    </row>
    <row r="5581" spans="1:23">
      <c r="A5581" s="1" t="s">
        <v>8426</v>
      </c>
      <c r="B5581" s="1" t="s">
        <v>1039</v>
      </c>
      <c r="C5581" s="1" t="s">
        <v>76</v>
      </c>
      <c r="D5581" s="1" t="s">
        <v>26</v>
      </c>
      <c r="E5581" s="1" t="s">
        <v>44</v>
      </c>
      <c r="F5581">
        <v>1</v>
      </c>
      <c r="G5581" s="2">
        <v>46095</v>
      </c>
      <c r="H5581" s="2">
        <v>46097</v>
      </c>
      <c r="I5581">
        <v>4893.1899999999996</v>
      </c>
      <c r="J5581">
        <v>2281.25</v>
      </c>
      <c r="K5581">
        <v>2053.13</v>
      </c>
      <c r="L5581">
        <v>228.12</v>
      </c>
      <c r="M5581" s="1" t="s">
        <v>21</v>
      </c>
      <c r="N5581" s="1" t="s">
        <v>22</v>
      </c>
      <c r="O5581" s="2">
        <v>46121</v>
      </c>
      <c r="P5581" s="2">
        <v>46121</v>
      </c>
      <c r="Q5581">
        <f>_xlfn.XLOOKUP(E5581,CPT!$A$2:$A$13,CPT!$D$2:$D$13)</f>
        <v>4800</v>
      </c>
      <c r="R5581" s="1">
        <f>_xlfn.XLOOKUP(C5581,Contract!$A$2:$A$9,Contract!$B$2:$B$9)</f>
        <v>0.43</v>
      </c>
      <c r="S5581" s="1">
        <f t="shared" si="348"/>
        <v>2064</v>
      </c>
      <c r="T5581" s="1">
        <f t="shared" si="349"/>
        <v>-217.25</v>
      </c>
      <c r="U5581" s="1" t="str">
        <f t="shared" si="350"/>
        <v>OK</v>
      </c>
      <c r="V5581" s="1" t="str">
        <f>_xlfn.XLOOKUP(C5581,Payers!$A$2:$A$9,Payers!$B$2:$B$9)</f>
        <v>Summit Health Commercial</v>
      </c>
      <c r="W5581" s="1" t="str">
        <f t="shared" si="351"/>
        <v>2026-03</v>
      </c>
    </row>
    <row r="5582" spans="1:23">
      <c r="A5582" s="1" t="s">
        <v>8427</v>
      </c>
      <c r="B5582" s="1" t="s">
        <v>1819</v>
      </c>
      <c r="C5582" s="1" t="s">
        <v>18</v>
      </c>
      <c r="D5582" s="1" t="s">
        <v>19</v>
      </c>
      <c r="E5582" s="1" t="s">
        <v>41</v>
      </c>
      <c r="F5582">
        <v>1</v>
      </c>
      <c r="G5582" s="2">
        <v>45965</v>
      </c>
      <c r="H5582" s="2">
        <v>45966</v>
      </c>
      <c r="I5582">
        <v>38.869999999999997</v>
      </c>
      <c r="J5582">
        <v>13.33</v>
      </c>
      <c r="K5582">
        <v>12</v>
      </c>
      <c r="L5582">
        <v>1.33</v>
      </c>
      <c r="M5582" s="1" t="s">
        <v>21</v>
      </c>
      <c r="N5582" s="1" t="s">
        <v>22</v>
      </c>
      <c r="O5582" s="2">
        <v>46015</v>
      </c>
      <c r="P5582" s="2">
        <v>46015</v>
      </c>
      <c r="Q5582">
        <f>_xlfn.XLOOKUP(E5582,CPT!$A$2:$A$13,CPT!$D$2:$D$13)</f>
        <v>38</v>
      </c>
      <c r="R5582" s="1">
        <f>_xlfn.XLOOKUP(C5582,Contract!$A$2:$A$9,Contract!$B$2:$B$9)</f>
        <v>0.38</v>
      </c>
      <c r="S5582" s="1">
        <f t="shared" si="348"/>
        <v>14.44</v>
      </c>
      <c r="T5582" s="1">
        <f t="shared" si="349"/>
        <v>1.1099999999999994</v>
      </c>
      <c r="U5582" s="1" t="str">
        <f t="shared" si="350"/>
        <v>Underpaid</v>
      </c>
      <c r="V5582" s="1" t="str">
        <f>_xlfn.XLOOKUP(C5582,Payers!$A$2:$A$9,Payers!$B$2:$B$9)</f>
        <v>Sunshine Medicare Advantage</v>
      </c>
      <c r="W5582" s="1" t="str">
        <f t="shared" si="351"/>
        <v>2025-11</v>
      </c>
    </row>
    <row r="5583" spans="1:23">
      <c r="A5583" s="1" t="s">
        <v>8428</v>
      </c>
      <c r="B5583" s="1" t="s">
        <v>5755</v>
      </c>
      <c r="C5583" s="1" t="s">
        <v>76</v>
      </c>
      <c r="D5583" s="1" t="s">
        <v>30</v>
      </c>
      <c r="E5583" s="1" t="s">
        <v>31</v>
      </c>
      <c r="F5583">
        <v>1</v>
      </c>
      <c r="G5583" s="2">
        <v>46015</v>
      </c>
      <c r="H5583" s="2">
        <v>46025</v>
      </c>
      <c r="I5583">
        <v>60.59</v>
      </c>
      <c r="J5583">
        <v>24.94</v>
      </c>
      <c r="K5583">
        <v>24.94</v>
      </c>
      <c r="L5583">
        <v>0</v>
      </c>
      <c r="M5583" s="1" t="s">
        <v>21</v>
      </c>
      <c r="N5583" s="1" t="s">
        <v>22</v>
      </c>
      <c r="O5583" s="2">
        <v>46053</v>
      </c>
      <c r="P5583" s="2">
        <v>46053</v>
      </c>
      <c r="Q5583">
        <f>_xlfn.XLOOKUP(E5583,CPT!$A$2:$A$13,CPT!$D$2:$D$13)</f>
        <v>62</v>
      </c>
      <c r="R5583" s="1">
        <f>_xlfn.XLOOKUP(C5583,Contract!$A$2:$A$9,Contract!$B$2:$B$9)</f>
        <v>0.43</v>
      </c>
      <c r="S5583" s="1">
        <f t="shared" si="348"/>
        <v>26.66</v>
      </c>
      <c r="T5583" s="1">
        <f t="shared" si="349"/>
        <v>1.7199999999999989</v>
      </c>
      <c r="U5583" s="1" t="str">
        <f t="shared" si="350"/>
        <v>Underpaid</v>
      </c>
      <c r="V5583" s="1" t="str">
        <f>_xlfn.XLOOKUP(C5583,Payers!$A$2:$A$9,Payers!$B$2:$B$9)</f>
        <v>Summit Health Commercial</v>
      </c>
      <c r="W5583" s="1" t="str">
        <f t="shared" si="351"/>
        <v>2025-12</v>
      </c>
    </row>
    <row r="5584" spans="1:23">
      <c r="A5584" s="1" t="s">
        <v>8429</v>
      </c>
      <c r="B5584" s="1" t="s">
        <v>343</v>
      </c>
      <c r="C5584" s="1" t="s">
        <v>79</v>
      </c>
      <c r="D5584" s="1" t="s">
        <v>30</v>
      </c>
      <c r="E5584" s="1" t="s">
        <v>91</v>
      </c>
      <c r="F5584">
        <v>1</v>
      </c>
      <c r="G5584" s="2">
        <v>46123</v>
      </c>
      <c r="H5584" s="2">
        <v>46131</v>
      </c>
      <c r="I5584">
        <v>59.14</v>
      </c>
      <c r="M5584" s="1" t="s">
        <v>69</v>
      </c>
      <c r="N5584" s="1" t="s">
        <v>22</v>
      </c>
      <c r="O5584" s="2"/>
      <c r="P5584" s="2"/>
      <c r="Q5584">
        <f>_xlfn.XLOOKUP(E5584,CPT!$A$2:$A$13,CPT!$D$2:$D$13)</f>
        <v>58</v>
      </c>
      <c r="R5584" s="1">
        <f>_xlfn.XLOOKUP(C5584,Contract!$A$2:$A$9,Contract!$B$2:$B$9)</f>
        <v>1</v>
      </c>
      <c r="S5584" s="1">
        <f t="shared" si="348"/>
        <v>58</v>
      </c>
      <c r="T5584" s="1" t="str">
        <f t="shared" si="349"/>
        <v/>
      </c>
      <c r="U5584" s="1" t="str">
        <f t="shared" si="350"/>
        <v/>
      </c>
      <c r="V5584" s="1" t="str">
        <f>_xlfn.XLOOKUP(C5584,Payers!$A$2:$A$9,Payers!$B$2:$B$9)</f>
        <v>Self-Pay</v>
      </c>
      <c r="W5584" s="1" t="str">
        <f t="shared" si="351"/>
        <v>2026-04</v>
      </c>
    </row>
    <row r="5585" spans="1:23">
      <c r="A5585" s="1" t="s">
        <v>8430</v>
      </c>
      <c r="B5585" s="1" t="s">
        <v>8431</v>
      </c>
      <c r="C5585" s="1" t="s">
        <v>36</v>
      </c>
      <c r="D5585" s="1" t="s">
        <v>26</v>
      </c>
      <c r="E5585" s="1" t="s">
        <v>41</v>
      </c>
      <c r="F5585">
        <v>1</v>
      </c>
      <c r="G5585" s="2">
        <v>46034</v>
      </c>
      <c r="H5585" s="2">
        <v>46042</v>
      </c>
      <c r="I5585">
        <v>37.590000000000003</v>
      </c>
      <c r="M5585" s="1" t="s">
        <v>32</v>
      </c>
      <c r="N5585" s="1" t="s">
        <v>124</v>
      </c>
      <c r="O5585" s="2">
        <v>46085</v>
      </c>
      <c r="P5585" s="2"/>
      <c r="Q5585">
        <f>_xlfn.XLOOKUP(E5585,CPT!$A$2:$A$13,CPT!$D$2:$D$13)</f>
        <v>38</v>
      </c>
      <c r="R5585" s="1">
        <f>_xlfn.XLOOKUP(C5585,Contract!$A$2:$A$9,Contract!$B$2:$B$9)</f>
        <v>0.27</v>
      </c>
      <c r="S5585" s="1">
        <f t="shared" si="348"/>
        <v>10.26</v>
      </c>
      <c r="T5585" s="1" t="str">
        <f t="shared" si="349"/>
        <v/>
      </c>
      <c r="U5585" s="1" t="str">
        <f t="shared" si="350"/>
        <v/>
      </c>
      <c r="V5585" s="1" t="str">
        <f>_xlfn.XLOOKUP(C5585,Payers!$A$2:$A$9,Payers!$B$2:$B$9)</f>
        <v>Florida Medicaid</v>
      </c>
      <c r="W5585" s="1" t="str">
        <f t="shared" si="351"/>
        <v>2026-01</v>
      </c>
    </row>
    <row r="5586" spans="1:23">
      <c r="A5586" s="1" t="s">
        <v>8432</v>
      </c>
      <c r="B5586" s="1" t="s">
        <v>8433</v>
      </c>
      <c r="C5586" s="1" t="s">
        <v>76</v>
      </c>
      <c r="D5586" s="1" t="s">
        <v>19</v>
      </c>
      <c r="E5586" s="1" t="s">
        <v>20</v>
      </c>
      <c r="F5586">
        <v>1</v>
      </c>
      <c r="G5586" s="2">
        <v>46130</v>
      </c>
      <c r="H5586" s="2">
        <v>46140</v>
      </c>
      <c r="I5586">
        <v>149.13999999999999</v>
      </c>
      <c r="J5586">
        <v>60.59</v>
      </c>
      <c r="K5586">
        <v>60.59</v>
      </c>
      <c r="L5586">
        <v>0</v>
      </c>
      <c r="M5586" s="1" t="s">
        <v>21</v>
      </c>
      <c r="N5586" s="1" t="s">
        <v>22</v>
      </c>
      <c r="O5586" s="2">
        <v>46177</v>
      </c>
      <c r="P5586" s="2">
        <v>46177</v>
      </c>
      <c r="Q5586">
        <f>_xlfn.XLOOKUP(E5586,CPT!$A$2:$A$13,CPT!$D$2:$D$13)</f>
        <v>145</v>
      </c>
      <c r="R5586" s="1">
        <f>_xlfn.XLOOKUP(C5586,Contract!$A$2:$A$9,Contract!$B$2:$B$9)</f>
        <v>0.43</v>
      </c>
      <c r="S5586" s="1">
        <f t="shared" si="348"/>
        <v>62.35</v>
      </c>
      <c r="T5586" s="1">
        <f t="shared" si="349"/>
        <v>1.759999999999998</v>
      </c>
      <c r="U5586" s="1" t="str">
        <f t="shared" si="350"/>
        <v>OK</v>
      </c>
      <c r="V5586" s="1" t="str">
        <f>_xlfn.XLOOKUP(C5586,Payers!$A$2:$A$9,Payers!$B$2:$B$9)</f>
        <v>Summit Health Commercial</v>
      </c>
      <c r="W5586" s="1" t="str">
        <f t="shared" si="351"/>
        <v>2026-04</v>
      </c>
    </row>
    <row r="5587" spans="1:23">
      <c r="A5587" s="1" t="s">
        <v>8434</v>
      </c>
      <c r="B5587" s="1" t="s">
        <v>8435</v>
      </c>
      <c r="C5587" s="1" t="s">
        <v>76</v>
      </c>
      <c r="D5587" s="1" t="s">
        <v>37</v>
      </c>
      <c r="E5587" s="1" t="s">
        <v>57</v>
      </c>
      <c r="F5587">
        <v>1</v>
      </c>
      <c r="G5587" s="2">
        <v>46007</v>
      </c>
      <c r="H5587" s="2">
        <v>46010</v>
      </c>
      <c r="I5587">
        <v>208.34</v>
      </c>
      <c r="J5587">
        <v>94.61</v>
      </c>
      <c r="K5587">
        <v>75.69</v>
      </c>
      <c r="L5587">
        <v>18.920000000000002</v>
      </c>
      <c r="M5587" s="1" t="s">
        <v>21</v>
      </c>
      <c r="N5587" s="1" t="s">
        <v>22</v>
      </c>
      <c r="O5587" s="2">
        <v>46040</v>
      </c>
      <c r="P5587" s="2">
        <v>46040</v>
      </c>
      <c r="Q5587">
        <f>_xlfn.XLOOKUP(E5587,CPT!$A$2:$A$13,CPT!$D$2:$D$13)</f>
        <v>210</v>
      </c>
      <c r="R5587" s="1">
        <f>_xlfn.XLOOKUP(C5587,Contract!$A$2:$A$9,Contract!$B$2:$B$9)</f>
        <v>0.43</v>
      </c>
      <c r="S5587" s="1">
        <f t="shared" si="348"/>
        <v>90.3</v>
      </c>
      <c r="T5587" s="1">
        <f t="shared" si="349"/>
        <v>-4.3100000000000023</v>
      </c>
      <c r="U5587" s="1" t="str">
        <f t="shared" si="350"/>
        <v>OK</v>
      </c>
      <c r="V5587" s="1" t="str">
        <f>_xlfn.XLOOKUP(C5587,Payers!$A$2:$A$9,Payers!$B$2:$B$9)</f>
        <v>Summit Health Commercial</v>
      </c>
      <c r="W5587" s="1" t="str">
        <f t="shared" si="351"/>
        <v>2025-12</v>
      </c>
    </row>
    <row r="5588" spans="1:23">
      <c r="A5588" s="1" t="s">
        <v>8436</v>
      </c>
      <c r="B5588" s="1" t="s">
        <v>3100</v>
      </c>
      <c r="C5588" s="1" t="s">
        <v>47</v>
      </c>
      <c r="D5588" s="1" t="s">
        <v>30</v>
      </c>
      <c r="E5588" s="1" t="s">
        <v>91</v>
      </c>
      <c r="F5588">
        <v>2</v>
      </c>
      <c r="G5588" s="2">
        <v>46117</v>
      </c>
      <c r="H5588" s="2">
        <v>46123</v>
      </c>
      <c r="I5588">
        <v>117.3</v>
      </c>
      <c r="J5588">
        <v>27.77</v>
      </c>
      <c r="K5588">
        <v>24.99</v>
      </c>
      <c r="L5588">
        <v>2.78</v>
      </c>
      <c r="M5588" s="1" t="s">
        <v>21</v>
      </c>
      <c r="N5588" s="1" t="s">
        <v>22</v>
      </c>
      <c r="O5588" s="2">
        <v>46188</v>
      </c>
      <c r="P5588" s="2">
        <v>46188</v>
      </c>
      <c r="Q5588">
        <f>_xlfn.XLOOKUP(E5588,CPT!$A$2:$A$13,CPT!$D$2:$D$13)</f>
        <v>58</v>
      </c>
      <c r="R5588" s="1">
        <f>_xlfn.XLOOKUP(C5588,Contract!$A$2:$A$9,Contract!$B$2:$B$9)</f>
        <v>0.28000000000000003</v>
      </c>
      <c r="S5588" s="1">
        <f t="shared" si="348"/>
        <v>32.479999999999997</v>
      </c>
      <c r="T5588" s="1">
        <f t="shared" si="349"/>
        <v>4.7099999999999973</v>
      </c>
      <c r="U5588" s="1" t="str">
        <f t="shared" si="350"/>
        <v>Underpaid</v>
      </c>
      <c r="V5588" s="1" t="str">
        <f>_xlfn.XLOOKUP(C5588,Payers!$A$2:$A$9,Payers!$B$2:$B$9)</f>
        <v>Coastal Medicaid MCO</v>
      </c>
      <c r="W5588" s="1" t="str">
        <f t="shared" si="351"/>
        <v>2026-04</v>
      </c>
    </row>
    <row r="5589" spans="1:23">
      <c r="A5589" s="1" t="s">
        <v>8437</v>
      </c>
      <c r="B5589" s="1" t="s">
        <v>5982</v>
      </c>
      <c r="C5589" s="1" t="s">
        <v>60</v>
      </c>
      <c r="D5589" s="1" t="s">
        <v>19</v>
      </c>
      <c r="E5589" s="1" t="s">
        <v>41</v>
      </c>
      <c r="F5589">
        <v>1</v>
      </c>
      <c r="G5589" s="2">
        <v>45959</v>
      </c>
      <c r="H5589" s="2">
        <v>45966</v>
      </c>
      <c r="I5589">
        <v>37.82</v>
      </c>
      <c r="J5589">
        <v>16.440000000000001</v>
      </c>
      <c r="K5589">
        <v>16.440000000000001</v>
      </c>
      <c r="L5589">
        <v>0</v>
      </c>
      <c r="M5589" s="1" t="s">
        <v>21</v>
      </c>
      <c r="N5589" s="1" t="s">
        <v>22</v>
      </c>
      <c r="O5589" s="2">
        <v>46002</v>
      </c>
      <c r="P5589" s="2">
        <v>46002</v>
      </c>
      <c r="Q5589">
        <f>_xlfn.XLOOKUP(E5589,CPT!$A$2:$A$13,CPT!$D$2:$D$13)</f>
        <v>38</v>
      </c>
      <c r="R5589" s="1">
        <f>_xlfn.XLOOKUP(C5589,Contract!$A$2:$A$9,Contract!$B$2:$B$9)</f>
        <v>0.45</v>
      </c>
      <c r="S5589" s="1">
        <f t="shared" si="348"/>
        <v>17.100000000000001</v>
      </c>
      <c r="T5589" s="1">
        <f t="shared" si="349"/>
        <v>0.66000000000000014</v>
      </c>
      <c r="U5589" s="1" t="str">
        <f t="shared" si="350"/>
        <v>OK</v>
      </c>
      <c r="V5589" s="1" t="str">
        <f>_xlfn.XLOOKUP(C5589,Payers!$A$2:$A$9,Payers!$B$2:$B$9)</f>
        <v>Blue Horizon Commercial</v>
      </c>
      <c r="W5589" s="1" t="str">
        <f t="shared" si="351"/>
        <v>2025-10</v>
      </c>
    </row>
    <row r="5590" spans="1:23">
      <c r="A5590" s="1" t="s">
        <v>8438</v>
      </c>
      <c r="B5590" s="1" t="s">
        <v>2629</v>
      </c>
      <c r="C5590" s="1" t="s">
        <v>76</v>
      </c>
      <c r="D5590" s="1" t="s">
        <v>30</v>
      </c>
      <c r="E5590" s="1" t="s">
        <v>31</v>
      </c>
      <c r="F5590">
        <v>4</v>
      </c>
      <c r="G5590" s="2">
        <v>46230</v>
      </c>
      <c r="H5590" s="2">
        <v>46231</v>
      </c>
      <c r="I5590">
        <v>246.61</v>
      </c>
      <c r="J5590">
        <v>108.73</v>
      </c>
      <c r="K5590">
        <v>108.73</v>
      </c>
      <c r="L5590">
        <v>0</v>
      </c>
      <c r="M5590" s="1" t="s">
        <v>21</v>
      </c>
      <c r="N5590" s="1" t="s">
        <v>22</v>
      </c>
      <c r="O5590" s="2">
        <v>46272</v>
      </c>
      <c r="P5590" s="2">
        <v>46272</v>
      </c>
      <c r="Q5590">
        <f>_xlfn.XLOOKUP(E5590,CPT!$A$2:$A$13,CPT!$D$2:$D$13)</f>
        <v>62</v>
      </c>
      <c r="R5590" s="1">
        <f>_xlfn.XLOOKUP(C5590,Contract!$A$2:$A$9,Contract!$B$2:$B$9)</f>
        <v>0.43</v>
      </c>
      <c r="S5590" s="1">
        <f t="shared" si="348"/>
        <v>106.64</v>
      </c>
      <c r="T5590" s="1">
        <f t="shared" si="349"/>
        <v>-2.0900000000000034</v>
      </c>
      <c r="U5590" s="1" t="str">
        <f t="shared" si="350"/>
        <v>OK</v>
      </c>
      <c r="V5590" s="1" t="str">
        <f>_xlfn.XLOOKUP(C5590,Payers!$A$2:$A$9,Payers!$B$2:$B$9)</f>
        <v>Summit Health Commercial</v>
      </c>
      <c r="W5590" s="1" t="str">
        <f t="shared" si="351"/>
        <v>2026-07</v>
      </c>
    </row>
    <row r="5591" spans="1:23">
      <c r="A5591" s="1" t="s">
        <v>8439</v>
      </c>
      <c r="B5591" s="1" t="s">
        <v>8440</v>
      </c>
      <c r="C5591" s="1" t="s">
        <v>79</v>
      </c>
      <c r="D5591" s="1" t="s">
        <v>19</v>
      </c>
      <c r="E5591" s="1" t="s">
        <v>57</v>
      </c>
      <c r="F5591">
        <v>1</v>
      </c>
      <c r="G5591" s="2">
        <v>46237</v>
      </c>
      <c r="H5591" s="2">
        <v>46240</v>
      </c>
      <c r="I5591">
        <v>213.4</v>
      </c>
      <c r="M5591" s="1" t="s">
        <v>69</v>
      </c>
      <c r="N5591" s="1" t="s">
        <v>22</v>
      </c>
      <c r="O5591" s="2"/>
      <c r="P5591" s="2"/>
      <c r="Q5591">
        <f>_xlfn.XLOOKUP(E5591,CPT!$A$2:$A$13,CPT!$D$2:$D$13)</f>
        <v>210</v>
      </c>
      <c r="R5591" s="1">
        <f>_xlfn.XLOOKUP(C5591,Contract!$A$2:$A$9,Contract!$B$2:$B$9)</f>
        <v>1</v>
      </c>
      <c r="S5591" s="1">
        <f t="shared" si="348"/>
        <v>210</v>
      </c>
      <c r="T5591" s="1" t="str">
        <f t="shared" si="349"/>
        <v/>
      </c>
      <c r="U5591" s="1" t="str">
        <f t="shared" si="350"/>
        <v/>
      </c>
      <c r="V5591" s="1" t="str">
        <f>_xlfn.XLOOKUP(C5591,Payers!$A$2:$A$9,Payers!$B$2:$B$9)</f>
        <v>Self-Pay</v>
      </c>
      <c r="W5591" s="1" t="str">
        <f t="shared" si="351"/>
        <v>2026-08</v>
      </c>
    </row>
    <row r="5592" spans="1:23">
      <c r="A5592" s="1" t="s">
        <v>8441</v>
      </c>
      <c r="B5592" s="1" t="s">
        <v>2968</v>
      </c>
      <c r="C5592" s="1" t="s">
        <v>60</v>
      </c>
      <c r="D5592" s="1" t="s">
        <v>19</v>
      </c>
      <c r="E5592" s="1" t="s">
        <v>57</v>
      </c>
      <c r="F5592">
        <v>1</v>
      </c>
      <c r="G5592" s="2">
        <v>46057</v>
      </c>
      <c r="H5592" s="2">
        <v>46069</v>
      </c>
      <c r="I5592">
        <v>208.93</v>
      </c>
      <c r="J5592">
        <v>107.34</v>
      </c>
      <c r="K5592">
        <v>85.87</v>
      </c>
      <c r="L5592">
        <v>21.47</v>
      </c>
      <c r="M5592" s="1" t="s">
        <v>21</v>
      </c>
      <c r="N5592" s="1" t="s">
        <v>22</v>
      </c>
      <c r="O5592" s="2">
        <v>46116</v>
      </c>
      <c r="P5592" s="2">
        <v>46116</v>
      </c>
      <c r="Q5592">
        <f>_xlfn.XLOOKUP(E5592,CPT!$A$2:$A$13,CPT!$D$2:$D$13)</f>
        <v>210</v>
      </c>
      <c r="R5592" s="1">
        <f>_xlfn.XLOOKUP(C5592,Contract!$A$2:$A$9,Contract!$B$2:$B$9)</f>
        <v>0.45</v>
      </c>
      <c r="S5592" s="1">
        <f t="shared" si="348"/>
        <v>94.5</v>
      </c>
      <c r="T5592" s="1">
        <f t="shared" si="349"/>
        <v>-12.840000000000003</v>
      </c>
      <c r="U5592" s="1" t="str">
        <f t="shared" si="350"/>
        <v>OK</v>
      </c>
      <c r="V5592" s="1" t="str">
        <f>_xlfn.XLOOKUP(C5592,Payers!$A$2:$A$9,Payers!$B$2:$B$9)</f>
        <v>Blue Horizon Commercial</v>
      </c>
      <c r="W5592" s="1" t="str">
        <f t="shared" si="351"/>
        <v>2026-02</v>
      </c>
    </row>
    <row r="5593" spans="1:23">
      <c r="A5593" s="1" t="s">
        <v>8442</v>
      </c>
      <c r="B5593" s="1" t="s">
        <v>3721</v>
      </c>
      <c r="C5593" s="1" t="s">
        <v>76</v>
      </c>
      <c r="D5593" s="1" t="s">
        <v>37</v>
      </c>
      <c r="E5593" s="1" t="s">
        <v>38</v>
      </c>
      <c r="F5593">
        <v>20</v>
      </c>
      <c r="G5593" s="2">
        <v>46075</v>
      </c>
      <c r="H5593" s="2">
        <v>46077</v>
      </c>
      <c r="I5593">
        <v>28193.59</v>
      </c>
      <c r="J5593">
        <v>12768.7</v>
      </c>
      <c r="K5593">
        <v>12768.7</v>
      </c>
      <c r="L5593">
        <v>0</v>
      </c>
      <c r="M5593" s="1" t="s">
        <v>21</v>
      </c>
      <c r="N5593" s="1" t="s">
        <v>22</v>
      </c>
      <c r="O5593" s="2">
        <v>46101</v>
      </c>
      <c r="P5593" s="2">
        <v>46101</v>
      </c>
      <c r="Q5593">
        <f>_xlfn.XLOOKUP(E5593,CPT!$A$2:$A$13,CPT!$D$2:$D$13)</f>
        <v>1450</v>
      </c>
      <c r="R5593" s="1">
        <f>_xlfn.XLOOKUP(C5593,Contract!$A$2:$A$9,Contract!$B$2:$B$9)</f>
        <v>0.43</v>
      </c>
      <c r="S5593" s="1">
        <f t="shared" si="348"/>
        <v>12470</v>
      </c>
      <c r="T5593" s="1">
        <f t="shared" si="349"/>
        <v>-298.70000000000073</v>
      </c>
      <c r="U5593" s="1" t="str">
        <f t="shared" si="350"/>
        <v>OK</v>
      </c>
      <c r="V5593" s="1" t="str">
        <f>_xlfn.XLOOKUP(C5593,Payers!$A$2:$A$9,Payers!$B$2:$B$9)</f>
        <v>Summit Health Commercial</v>
      </c>
      <c r="W5593" s="1" t="str">
        <f t="shared" si="351"/>
        <v>2026-02</v>
      </c>
    </row>
    <row r="5594" spans="1:23">
      <c r="A5594" s="1" t="s">
        <v>8443</v>
      </c>
      <c r="B5594" s="1" t="s">
        <v>8444</v>
      </c>
      <c r="C5594" s="1" t="s">
        <v>25</v>
      </c>
      <c r="D5594" s="1" t="s">
        <v>37</v>
      </c>
      <c r="E5594" s="1" t="s">
        <v>57</v>
      </c>
      <c r="F5594">
        <v>1</v>
      </c>
      <c r="G5594" s="2">
        <v>46089</v>
      </c>
      <c r="H5594" s="2">
        <v>46098</v>
      </c>
      <c r="I5594">
        <v>211.4</v>
      </c>
      <c r="J5594">
        <v>79.36</v>
      </c>
      <c r="K5594">
        <v>71.42</v>
      </c>
      <c r="L5594">
        <v>7.94</v>
      </c>
      <c r="M5594" s="1" t="s">
        <v>21</v>
      </c>
      <c r="N5594" s="1" t="s">
        <v>22</v>
      </c>
      <c r="O5594" s="2">
        <v>46112</v>
      </c>
      <c r="P5594" s="2">
        <v>46112</v>
      </c>
      <c r="Q5594">
        <f>_xlfn.XLOOKUP(E5594,CPT!$A$2:$A$13,CPT!$D$2:$D$13)</f>
        <v>210</v>
      </c>
      <c r="R5594" s="1">
        <f>_xlfn.XLOOKUP(C5594,Contract!$A$2:$A$9,Contract!$B$2:$B$9)</f>
        <v>0.36</v>
      </c>
      <c r="S5594" s="1">
        <f t="shared" si="348"/>
        <v>75.599999999999994</v>
      </c>
      <c r="T5594" s="1">
        <f t="shared" si="349"/>
        <v>-3.7600000000000051</v>
      </c>
      <c r="U5594" s="1" t="str">
        <f t="shared" si="350"/>
        <v>OK</v>
      </c>
      <c r="V5594" s="1" t="str">
        <f>_xlfn.XLOOKUP(C5594,Payers!$A$2:$A$9,Payers!$B$2:$B$9)</f>
        <v>Medicare Part B</v>
      </c>
      <c r="W5594" s="1" t="str">
        <f t="shared" si="351"/>
        <v>2026-03</v>
      </c>
    </row>
    <row r="5595" spans="1:23">
      <c r="A5595" s="1" t="s">
        <v>8445</v>
      </c>
      <c r="B5595" s="1" t="s">
        <v>4310</v>
      </c>
      <c r="C5595" s="1" t="s">
        <v>36</v>
      </c>
      <c r="D5595" s="1" t="s">
        <v>26</v>
      </c>
      <c r="E5595" s="1" t="s">
        <v>44</v>
      </c>
      <c r="F5595">
        <v>1</v>
      </c>
      <c r="G5595" s="2">
        <v>46123</v>
      </c>
      <c r="H5595" s="2">
        <v>46126</v>
      </c>
      <c r="I5595">
        <v>4657.79</v>
      </c>
      <c r="J5595">
        <v>1396.8</v>
      </c>
      <c r="K5595">
        <v>1117.44</v>
      </c>
      <c r="L5595">
        <v>279.36</v>
      </c>
      <c r="M5595" s="1" t="s">
        <v>21</v>
      </c>
      <c r="N5595" s="1" t="s">
        <v>22</v>
      </c>
      <c r="O5595" s="2">
        <v>46157</v>
      </c>
      <c r="P5595" s="2">
        <v>46157</v>
      </c>
      <c r="Q5595">
        <f>_xlfn.XLOOKUP(E5595,CPT!$A$2:$A$13,CPT!$D$2:$D$13)</f>
        <v>4800</v>
      </c>
      <c r="R5595" s="1">
        <f>_xlfn.XLOOKUP(C5595,Contract!$A$2:$A$9,Contract!$B$2:$B$9)</f>
        <v>0.27</v>
      </c>
      <c r="S5595" s="1">
        <f t="shared" si="348"/>
        <v>1296</v>
      </c>
      <c r="T5595" s="1">
        <f t="shared" si="349"/>
        <v>-100.79999999999995</v>
      </c>
      <c r="U5595" s="1" t="str">
        <f t="shared" si="350"/>
        <v>OK</v>
      </c>
      <c r="V5595" s="1" t="str">
        <f>_xlfn.XLOOKUP(C5595,Payers!$A$2:$A$9,Payers!$B$2:$B$9)</f>
        <v>Florida Medicaid</v>
      </c>
      <c r="W5595" s="1" t="str">
        <f t="shared" si="351"/>
        <v>2026-04</v>
      </c>
    </row>
    <row r="5596" spans="1:23">
      <c r="A5596" s="1" t="s">
        <v>8446</v>
      </c>
      <c r="B5596" s="1" t="s">
        <v>7059</v>
      </c>
      <c r="C5596" s="1" t="s">
        <v>60</v>
      </c>
      <c r="D5596" s="1" t="s">
        <v>19</v>
      </c>
      <c r="E5596" s="1" t="s">
        <v>20</v>
      </c>
      <c r="F5596">
        <v>1</v>
      </c>
      <c r="G5596" s="2">
        <v>46123</v>
      </c>
      <c r="H5596" s="2">
        <v>46124</v>
      </c>
      <c r="I5596">
        <v>148.28</v>
      </c>
      <c r="J5596">
        <v>62.22</v>
      </c>
      <c r="K5596">
        <v>62.22</v>
      </c>
      <c r="L5596">
        <v>0</v>
      </c>
      <c r="M5596" s="1" t="s">
        <v>21</v>
      </c>
      <c r="N5596" s="1" t="s">
        <v>22</v>
      </c>
      <c r="O5596" s="2">
        <v>46143</v>
      </c>
      <c r="P5596" s="2">
        <v>46143</v>
      </c>
      <c r="Q5596">
        <f>_xlfn.XLOOKUP(E5596,CPT!$A$2:$A$13,CPT!$D$2:$D$13)</f>
        <v>145</v>
      </c>
      <c r="R5596" s="1">
        <f>_xlfn.XLOOKUP(C5596,Contract!$A$2:$A$9,Contract!$B$2:$B$9)</f>
        <v>0.45</v>
      </c>
      <c r="S5596" s="1">
        <f t="shared" si="348"/>
        <v>65.25</v>
      </c>
      <c r="T5596" s="1">
        <f t="shared" si="349"/>
        <v>3.0300000000000011</v>
      </c>
      <c r="U5596" s="1" t="str">
        <f t="shared" si="350"/>
        <v>OK</v>
      </c>
      <c r="V5596" s="1" t="str">
        <f>_xlfn.XLOOKUP(C5596,Payers!$A$2:$A$9,Payers!$B$2:$B$9)</f>
        <v>Blue Horizon Commercial</v>
      </c>
      <c r="W5596" s="1" t="str">
        <f t="shared" si="351"/>
        <v>2026-04</v>
      </c>
    </row>
    <row r="5597" spans="1:23">
      <c r="A5597" s="1" t="s">
        <v>8447</v>
      </c>
      <c r="B5597" s="1" t="s">
        <v>4824</v>
      </c>
      <c r="C5597" s="1" t="s">
        <v>60</v>
      </c>
      <c r="D5597" s="1" t="s">
        <v>19</v>
      </c>
      <c r="E5597" s="1" t="s">
        <v>57</v>
      </c>
      <c r="F5597">
        <v>1</v>
      </c>
      <c r="G5597" s="2">
        <v>46045</v>
      </c>
      <c r="H5597" s="2">
        <v>46051</v>
      </c>
      <c r="I5597">
        <v>208.87</v>
      </c>
      <c r="J5597">
        <v>92.1</v>
      </c>
      <c r="K5597">
        <v>73.680000000000007</v>
      </c>
      <c r="L5597">
        <v>18.420000000000002</v>
      </c>
      <c r="M5597" s="1" t="s">
        <v>21</v>
      </c>
      <c r="N5597" s="1" t="s">
        <v>22</v>
      </c>
      <c r="O5597" s="2">
        <v>46076</v>
      </c>
      <c r="P5597" s="2">
        <v>46076</v>
      </c>
      <c r="Q5597">
        <f>_xlfn.XLOOKUP(E5597,CPT!$A$2:$A$13,CPT!$D$2:$D$13)</f>
        <v>210</v>
      </c>
      <c r="R5597" s="1">
        <f>_xlfn.XLOOKUP(C5597,Contract!$A$2:$A$9,Contract!$B$2:$B$9)</f>
        <v>0.45</v>
      </c>
      <c r="S5597" s="1">
        <f t="shared" si="348"/>
        <v>94.5</v>
      </c>
      <c r="T5597" s="1">
        <f t="shared" si="349"/>
        <v>2.4000000000000057</v>
      </c>
      <c r="U5597" s="1" t="str">
        <f t="shared" si="350"/>
        <v>OK</v>
      </c>
      <c r="V5597" s="1" t="str">
        <f>_xlfn.XLOOKUP(C5597,Payers!$A$2:$A$9,Payers!$B$2:$B$9)</f>
        <v>Blue Horizon Commercial</v>
      </c>
      <c r="W5597" s="1" t="str">
        <f t="shared" si="351"/>
        <v>2026-01</v>
      </c>
    </row>
    <row r="5598" spans="1:23">
      <c r="A5598" s="1" t="s">
        <v>8448</v>
      </c>
      <c r="B5598" s="1" t="s">
        <v>8449</v>
      </c>
      <c r="C5598" s="1" t="s">
        <v>76</v>
      </c>
      <c r="D5598" s="1" t="s">
        <v>30</v>
      </c>
      <c r="E5598" s="1" t="s">
        <v>31</v>
      </c>
      <c r="F5598">
        <v>1</v>
      </c>
      <c r="G5598" s="2">
        <v>46279</v>
      </c>
      <c r="H5598" s="2">
        <v>46289</v>
      </c>
      <c r="I5598">
        <v>63.61</v>
      </c>
      <c r="M5598" s="1" t="s">
        <v>69</v>
      </c>
      <c r="N5598" s="1" t="s">
        <v>22</v>
      </c>
      <c r="O5598" s="2"/>
      <c r="P5598" s="2"/>
      <c r="Q5598">
        <f>_xlfn.XLOOKUP(E5598,CPT!$A$2:$A$13,CPT!$D$2:$D$13)</f>
        <v>62</v>
      </c>
      <c r="R5598" s="1">
        <f>_xlfn.XLOOKUP(C5598,Contract!$A$2:$A$9,Contract!$B$2:$B$9)</f>
        <v>0.43</v>
      </c>
      <c r="S5598" s="1">
        <f t="shared" si="348"/>
        <v>26.66</v>
      </c>
      <c r="T5598" s="1" t="str">
        <f t="shared" si="349"/>
        <v/>
      </c>
      <c r="U5598" s="1" t="str">
        <f t="shared" si="350"/>
        <v/>
      </c>
      <c r="V5598" s="1" t="str">
        <f>_xlfn.XLOOKUP(C5598,Payers!$A$2:$A$9,Payers!$B$2:$B$9)</f>
        <v>Summit Health Commercial</v>
      </c>
      <c r="W5598" s="1" t="str">
        <f t="shared" si="351"/>
        <v>2026-09</v>
      </c>
    </row>
    <row r="5599" spans="1:23">
      <c r="A5599" s="1" t="s">
        <v>8450</v>
      </c>
      <c r="B5599" s="1" t="s">
        <v>8451</v>
      </c>
      <c r="C5599" s="1" t="s">
        <v>60</v>
      </c>
      <c r="D5599" s="1" t="s">
        <v>37</v>
      </c>
      <c r="E5599" s="1" t="s">
        <v>48</v>
      </c>
      <c r="F5599">
        <v>1</v>
      </c>
      <c r="G5599" s="2">
        <v>46063</v>
      </c>
      <c r="H5599" s="2">
        <v>46066</v>
      </c>
      <c r="I5599">
        <v>418.98</v>
      </c>
      <c r="J5599">
        <v>206.24</v>
      </c>
      <c r="K5599">
        <v>164.99</v>
      </c>
      <c r="L5599">
        <v>41.25</v>
      </c>
      <c r="M5599" s="1" t="s">
        <v>21</v>
      </c>
      <c r="N5599" s="1" t="s">
        <v>22</v>
      </c>
      <c r="O5599" s="2">
        <v>46088</v>
      </c>
      <c r="P5599" s="2">
        <v>46088</v>
      </c>
      <c r="Q5599">
        <f>_xlfn.XLOOKUP(E5599,CPT!$A$2:$A$13,CPT!$D$2:$D$13)</f>
        <v>420</v>
      </c>
      <c r="R5599" s="1">
        <f>_xlfn.XLOOKUP(C5599,Contract!$A$2:$A$9,Contract!$B$2:$B$9)</f>
        <v>0.45</v>
      </c>
      <c r="S5599" s="1">
        <f t="shared" si="348"/>
        <v>189</v>
      </c>
      <c r="T5599" s="1">
        <f t="shared" si="349"/>
        <v>-17.240000000000009</v>
      </c>
      <c r="U5599" s="1" t="str">
        <f t="shared" si="350"/>
        <v>OK</v>
      </c>
      <c r="V5599" s="1" t="str">
        <f>_xlfn.XLOOKUP(C5599,Payers!$A$2:$A$9,Payers!$B$2:$B$9)</f>
        <v>Blue Horizon Commercial</v>
      </c>
      <c r="W5599" s="1" t="str">
        <f t="shared" si="351"/>
        <v>2026-02</v>
      </c>
    </row>
    <row r="5600" spans="1:23">
      <c r="A5600" s="1" t="s">
        <v>8452</v>
      </c>
      <c r="B5600" s="1" t="s">
        <v>1385</v>
      </c>
      <c r="C5600" s="1" t="s">
        <v>60</v>
      </c>
      <c r="D5600" s="1" t="s">
        <v>26</v>
      </c>
      <c r="E5600" s="1" t="s">
        <v>185</v>
      </c>
      <c r="F5600">
        <v>1</v>
      </c>
      <c r="G5600" s="2">
        <v>46011</v>
      </c>
      <c r="H5600" s="2">
        <v>46012</v>
      </c>
      <c r="I5600">
        <v>1126.3900000000001</v>
      </c>
      <c r="J5600">
        <v>544.88</v>
      </c>
      <c r="K5600">
        <v>490.39</v>
      </c>
      <c r="L5600">
        <v>54.49</v>
      </c>
      <c r="M5600" s="1" t="s">
        <v>21</v>
      </c>
      <c r="N5600" s="1" t="s">
        <v>22</v>
      </c>
      <c r="O5600" s="2">
        <v>46043</v>
      </c>
      <c r="P5600" s="2">
        <v>46043</v>
      </c>
      <c r="Q5600">
        <f>_xlfn.XLOOKUP(E5600,CPT!$A$2:$A$13,CPT!$D$2:$D$13)</f>
        <v>1150</v>
      </c>
      <c r="R5600" s="1">
        <f>_xlfn.XLOOKUP(C5600,Contract!$A$2:$A$9,Contract!$B$2:$B$9)</f>
        <v>0.45</v>
      </c>
      <c r="S5600" s="1">
        <f t="shared" si="348"/>
        <v>517.5</v>
      </c>
      <c r="T5600" s="1">
        <f t="shared" si="349"/>
        <v>-27.379999999999995</v>
      </c>
      <c r="U5600" s="1" t="str">
        <f t="shared" si="350"/>
        <v>OK</v>
      </c>
      <c r="V5600" s="1" t="str">
        <f>_xlfn.XLOOKUP(C5600,Payers!$A$2:$A$9,Payers!$B$2:$B$9)</f>
        <v>Blue Horizon Commercial</v>
      </c>
      <c r="W5600" s="1" t="str">
        <f t="shared" si="351"/>
        <v>2025-12</v>
      </c>
    </row>
    <row r="5601" spans="1:23">
      <c r="A5601" s="1" t="s">
        <v>8453</v>
      </c>
      <c r="B5601" s="1" t="s">
        <v>426</v>
      </c>
      <c r="C5601" s="1" t="s">
        <v>52</v>
      </c>
      <c r="D5601" s="1" t="s">
        <v>30</v>
      </c>
      <c r="E5601" s="1" t="s">
        <v>20</v>
      </c>
      <c r="F5601">
        <v>1</v>
      </c>
      <c r="G5601" s="2">
        <v>46067</v>
      </c>
      <c r="H5601" s="2">
        <v>46189</v>
      </c>
      <c r="I5601">
        <v>146.65</v>
      </c>
      <c r="M5601" s="1" t="s">
        <v>32</v>
      </c>
      <c r="N5601" s="1" t="s">
        <v>137</v>
      </c>
      <c r="O5601" s="2">
        <v>46240</v>
      </c>
      <c r="P5601" s="2"/>
      <c r="Q5601">
        <f>_xlfn.XLOOKUP(E5601,CPT!$A$2:$A$13,CPT!$D$2:$D$13)</f>
        <v>145</v>
      </c>
      <c r="R5601" s="1">
        <f>_xlfn.XLOOKUP(C5601,Contract!$A$2:$A$9,Contract!$B$2:$B$9)</f>
        <v>0.47</v>
      </c>
      <c r="S5601" s="1">
        <f t="shared" si="348"/>
        <v>68.150000000000006</v>
      </c>
      <c r="T5601" s="1" t="str">
        <f t="shared" si="349"/>
        <v/>
      </c>
      <c r="U5601" s="1" t="str">
        <f t="shared" si="350"/>
        <v/>
      </c>
      <c r="V5601" s="1" t="str">
        <f>_xlfn.XLOOKUP(C5601,Payers!$A$2:$A$9,Payers!$B$2:$B$9)</f>
        <v>Keystone Commercial PPO</v>
      </c>
      <c r="W5601" s="1" t="str">
        <f t="shared" si="351"/>
        <v>2026-02</v>
      </c>
    </row>
    <row r="5602" spans="1:23">
      <c r="A5602" s="1" t="s">
        <v>8454</v>
      </c>
      <c r="B5602" s="1" t="s">
        <v>7137</v>
      </c>
      <c r="C5602" s="1" t="s">
        <v>36</v>
      </c>
      <c r="D5602" s="1" t="s">
        <v>19</v>
      </c>
      <c r="E5602" s="1" t="s">
        <v>88</v>
      </c>
      <c r="F5602">
        <v>1</v>
      </c>
      <c r="G5602" s="2">
        <v>46256</v>
      </c>
      <c r="H5602" s="2">
        <v>46260</v>
      </c>
      <c r="I5602">
        <v>253.34</v>
      </c>
      <c r="J5602">
        <v>65</v>
      </c>
      <c r="K5602">
        <v>65</v>
      </c>
      <c r="L5602">
        <v>0</v>
      </c>
      <c r="M5602" s="1" t="s">
        <v>21</v>
      </c>
      <c r="N5602" s="1" t="s">
        <v>22</v>
      </c>
      <c r="O5602" s="2">
        <v>46291</v>
      </c>
      <c r="P5602" s="2">
        <v>46291</v>
      </c>
      <c r="Q5602">
        <f>_xlfn.XLOOKUP(E5602,CPT!$A$2:$A$13,CPT!$D$2:$D$13)</f>
        <v>260</v>
      </c>
      <c r="R5602" s="1">
        <f>_xlfn.XLOOKUP(C5602,Contract!$A$2:$A$9,Contract!$B$2:$B$9)</f>
        <v>0.27</v>
      </c>
      <c r="S5602" s="1">
        <f t="shared" si="348"/>
        <v>70.2</v>
      </c>
      <c r="T5602" s="1">
        <f t="shared" si="349"/>
        <v>5.2000000000000028</v>
      </c>
      <c r="U5602" s="1" t="str">
        <f t="shared" si="350"/>
        <v>Underpaid</v>
      </c>
      <c r="V5602" s="1" t="str">
        <f>_xlfn.XLOOKUP(C5602,Payers!$A$2:$A$9,Payers!$B$2:$B$9)</f>
        <v>Florida Medicaid</v>
      </c>
      <c r="W5602" s="1" t="str">
        <f t="shared" si="351"/>
        <v>2026-08</v>
      </c>
    </row>
    <row r="5603" spans="1:23">
      <c r="A5603" s="1" t="s">
        <v>8455</v>
      </c>
      <c r="B5603" s="1" t="s">
        <v>6928</v>
      </c>
      <c r="C5603" s="1" t="s">
        <v>25</v>
      </c>
      <c r="D5603" s="1" t="s">
        <v>26</v>
      </c>
      <c r="E5603" s="1" t="s">
        <v>27</v>
      </c>
      <c r="F5603">
        <v>1</v>
      </c>
      <c r="G5603" s="2">
        <v>45939</v>
      </c>
      <c r="H5603" s="2">
        <v>45940</v>
      </c>
      <c r="I5603">
        <v>239.87</v>
      </c>
      <c r="J5603">
        <v>93.04</v>
      </c>
      <c r="K5603">
        <v>83.74</v>
      </c>
      <c r="L5603">
        <v>9.3000000000000007</v>
      </c>
      <c r="M5603" s="1" t="s">
        <v>21</v>
      </c>
      <c r="N5603" s="1" t="s">
        <v>22</v>
      </c>
      <c r="O5603" s="2">
        <v>45952</v>
      </c>
      <c r="P5603" s="2">
        <v>45952</v>
      </c>
      <c r="Q5603">
        <f>_xlfn.XLOOKUP(E5603,CPT!$A$2:$A$13,CPT!$D$2:$D$13)</f>
        <v>240</v>
      </c>
      <c r="R5603" s="1">
        <f>_xlfn.XLOOKUP(C5603,Contract!$A$2:$A$9,Contract!$B$2:$B$9)</f>
        <v>0.36</v>
      </c>
      <c r="S5603" s="1">
        <f t="shared" si="348"/>
        <v>86.4</v>
      </c>
      <c r="T5603" s="1">
        <f t="shared" si="349"/>
        <v>-6.6400000000000006</v>
      </c>
      <c r="U5603" s="1" t="str">
        <f t="shared" si="350"/>
        <v>OK</v>
      </c>
      <c r="V5603" s="1" t="str">
        <f>_xlfn.XLOOKUP(C5603,Payers!$A$2:$A$9,Payers!$B$2:$B$9)</f>
        <v>Medicare Part B</v>
      </c>
      <c r="W5603" s="1" t="str">
        <f t="shared" si="351"/>
        <v>2025-10</v>
      </c>
    </row>
    <row r="5604" spans="1:23">
      <c r="A5604" s="1" t="s">
        <v>8456</v>
      </c>
      <c r="B5604" s="1" t="s">
        <v>8457</v>
      </c>
      <c r="C5604" s="1" t="s">
        <v>60</v>
      </c>
      <c r="D5604" s="1" t="s">
        <v>37</v>
      </c>
      <c r="E5604" s="1" t="s">
        <v>48</v>
      </c>
      <c r="F5604">
        <v>1</v>
      </c>
      <c r="G5604" s="2">
        <v>46029</v>
      </c>
      <c r="H5604" s="2">
        <v>46034</v>
      </c>
      <c r="I5604">
        <v>428.18</v>
      </c>
      <c r="J5604">
        <v>165.12</v>
      </c>
      <c r="K5604">
        <v>165.12</v>
      </c>
      <c r="L5604">
        <v>0</v>
      </c>
      <c r="M5604" s="1" t="s">
        <v>21</v>
      </c>
      <c r="N5604" s="1" t="s">
        <v>22</v>
      </c>
      <c r="O5604" s="2">
        <v>46062</v>
      </c>
      <c r="P5604" s="2">
        <v>46062</v>
      </c>
      <c r="Q5604">
        <f>_xlfn.XLOOKUP(E5604,CPT!$A$2:$A$13,CPT!$D$2:$D$13)</f>
        <v>420</v>
      </c>
      <c r="R5604" s="1">
        <f>_xlfn.XLOOKUP(C5604,Contract!$A$2:$A$9,Contract!$B$2:$B$9)</f>
        <v>0.45</v>
      </c>
      <c r="S5604" s="1">
        <f t="shared" si="348"/>
        <v>189</v>
      </c>
      <c r="T5604" s="1">
        <f t="shared" si="349"/>
        <v>23.879999999999995</v>
      </c>
      <c r="U5604" s="1" t="str">
        <f t="shared" si="350"/>
        <v>Underpaid</v>
      </c>
      <c r="V5604" s="1" t="str">
        <f>_xlfn.XLOOKUP(C5604,Payers!$A$2:$A$9,Payers!$B$2:$B$9)</f>
        <v>Blue Horizon Commercial</v>
      </c>
      <c r="W5604" s="1" t="str">
        <f t="shared" si="351"/>
        <v>2026-01</v>
      </c>
    </row>
    <row r="5605" spans="1:23">
      <c r="A5605" s="1" t="s">
        <v>8458</v>
      </c>
      <c r="B5605" s="1" t="s">
        <v>5622</v>
      </c>
      <c r="C5605" s="1" t="s">
        <v>76</v>
      </c>
      <c r="D5605" s="1" t="s">
        <v>37</v>
      </c>
      <c r="E5605" s="1" t="s">
        <v>38</v>
      </c>
      <c r="F5605">
        <v>10</v>
      </c>
      <c r="G5605" s="2">
        <v>46137</v>
      </c>
      <c r="H5605" s="2">
        <v>46141</v>
      </c>
      <c r="I5605">
        <v>14332.6</v>
      </c>
      <c r="J5605">
        <v>5868.07</v>
      </c>
      <c r="K5605">
        <v>5868.07</v>
      </c>
      <c r="L5605">
        <v>0</v>
      </c>
      <c r="M5605" s="1" t="s">
        <v>21</v>
      </c>
      <c r="N5605" s="1" t="s">
        <v>22</v>
      </c>
      <c r="O5605" s="2">
        <v>46168</v>
      </c>
      <c r="P5605" s="2">
        <v>46168</v>
      </c>
      <c r="Q5605">
        <f>_xlfn.XLOOKUP(E5605,CPT!$A$2:$A$13,CPT!$D$2:$D$13)</f>
        <v>1450</v>
      </c>
      <c r="R5605" s="1">
        <f>_xlfn.XLOOKUP(C5605,Contract!$A$2:$A$9,Contract!$B$2:$B$9)</f>
        <v>0.43</v>
      </c>
      <c r="S5605" s="1">
        <f t="shared" si="348"/>
        <v>6235</v>
      </c>
      <c r="T5605" s="1">
        <f t="shared" si="349"/>
        <v>366.93000000000029</v>
      </c>
      <c r="U5605" s="1" t="str">
        <f t="shared" si="350"/>
        <v>Underpaid</v>
      </c>
      <c r="V5605" s="1" t="str">
        <f>_xlfn.XLOOKUP(C5605,Payers!$A$2:$A$9,Payers!$B$2:$B$9)</f>
        <v>Summit Health Commercial</v>
      </c>
      <c r="W5605" s="1" t="str">
        <f t="shared" si="351"/>
        <v>2026-04</v>
      </c>
    </row>
    <row r="5606" spans="1:23">
      <c r="A5606" s="1" t="s">
        <v>8459</v>
      </c>
      <c r="B5606" s="1" t="s">
        <v>736</v>
      </c>
      <c r="C5606" s="1" t="s">
        <v>60</v>
      </c>
      <c r="D5606" s="1" t="s">
        <v>26</v>
      </c>
      <c r="E5606" s="1" t="s">
        <v>57</v>
      </c>
      <c r="F5606">
        <v>1</v>
      </c>
      <c r="G5606" s="2">
        <v>46208</v>
      </c>
      <c r="H5606" s="2">
        <v>46212</v>
      </c>
      <c r="I5606">
        <v>214.18</v>
      </c>
      <c r="J5606">
        <v>97.22</v>
      </c>
      <c r="K5606">
        <v>97.22</v>
      </c>
      <c r="L5606">
        <v>0</v>
      </c>
      <c r="M5606" s="1" t="s">
        <v>21</v>
      </c>
      <c r="N5606" s="1" t="s">
        <v>22</v>
      </c>
      <c r="O5606" s="2">
        <v>46242</v>
      </c>
      <c r="P5606" s="2">
        <v>46242</v>
      </c>
      <c r="Q5606">
        <f>_xlfn.XLOOKUP(E5606,CPT!$A$2:$A$13,CPT!$D$2:$D$13)</f>
        <v>210</v>
      </c>
      <c r="R5606" s="1">
        <f>_xlfn.XLOOKUP(C5606,Contract!$A$2:$A$9,Contract!$B$2:$B$9)</f>
        <v>0.45</v>
      </c>
      <c r="S5606" s="1">
        <f t="shared" si="348"/>
        <v>94.5</v>
      </c>
      <c r="T5606" s="1">
        <f t="shared" si="349"/>
        <v>-2.7199999999999989</v>
      </c>
      <c r="U5606" s="1" t="str">
        <f t="shared" si="350"/>
        <v>OK</v>
      </c>
      <c r="V5606" s="1" t="str">
        <f>_xlfn.XLOOKUP(C5606,Payers!$A$2:$A$9,Payers!$B$2:$B$9)</f>
        <v>Blue Horizon Commercial</v>
      </c>
      <c r="W5606" s="1" t="str">
        <f t="shared" si="351"/>
        <v>2026-07</v>
      </c>
    </row>
    <row r="5607" spans="1:23">
      <c r="A5607" s="1" t="s">
        <v>8460</v>
      </c>
      <c r="B5607" s="1" t="s">
        <v>5792</v>
      </c>
      <c r="C5607" s="1" t="s">
        <v>18</v>
      </c>
      <c r="D5607" s="1" t="s">
        <v>26</v>
      </c>
      <c r="E5607" s="1" t="s">
        <v>185</v>
      </c>
      <c r="F5607">
        <v>1</v>
      </c>
      <c r="G5607" s="2">
        <v>45981</v>
      </c>
      <c r="H5607" s="2">
        <v>45982</v>
      </c>
      <c r="I5607">
        <v>1179.79</v>
      </c>
      <c r="J5607">
        <v>471.25</v>
      </c>
      <c r="K5607">
        <v>471.25</v>
      </c>
      <c r="L5607">
        <v>0</v>
      </c>
      <c r="M5607" s="1" t="s">
        <v>21</v>
      </c>
      <c r="N5607" s="1" t="s">
        <v>22</v>
      </c>
      <c r="O5607" s="2">
        <v>46057</v>
      </c>
      <c r="P5607" s="2">
        <v>46057</v>
      </c>
      <c r="Q5607">
        <f>_xlfn.XLOOKUP(E5607,CPT!$A$2:$A$13,CPT!$D$2:$D$13)</f>
        <v>1150</v>
      </c>
      <c r="R5607" s="1">
        <f>_xlfn.XLOOKUP(C5607,Contract!$A$2:$A$9,Contract!$B$2:$B$9)</f>
        <v>0.38</v>
      </c>
      <c r="S5607" s="1">
        <f t="shared" si="348"/>
        <v>437</v>
      </c>
      <c r="T5607" s="1">
        <f t="shared" si="349"/>
        <v>-34.25</v>
      </c>
      <c r="U5607" s="1" t="str">
        <f t="shared" si="350"/>
        <v>OK</v>
      </c>
      <c r="V5607" s="1" t="str">
        <f>_xlfn.XLOOKUP(C5607,Payers!$A$2:$A$9,Payers!$B$2:$B$9)</f>
        <v>Sunshine Medicare Advantage</v>
      </c>
      <c r="W5607" s="1" t="str">
        <f t="shared" si="351"/>
        <v>2025-11</v>
      </c>
    </row>
    <row r="5608" spans="1:23">
      <c r="A5608" s="1" t="s">
        <v>8461</v>
      </c>
      <c r="B5608" s="1" t="s">
        <v>1156</v>
      </c>
      <c r="C5608" s="1" t="s">
        <v>60</v>
      </c>
      <c r="D5608" s="1" t="s">
        <v>37</v>
      </c>
      <c r="E5608" s="1" t="s">
        <v>48</v>
      </c>
      <c r="F5608">
        <v>1</v>
      </c>
      <c r="G5608" s="2">
        <v>46076</v>
      </c>
      <c r="H5608" s="2">
        <v>46077</v>
      </c>
      <c r="I5608">
        <v>420.66</v>
      </c>
      <c r="J5608">
        <v>165.04</v>
      </c>
      <c r="K5608">
        <v>165.04</v>
      </c>
      <c r="L5608">
        <v>0</v>
      </c>
      <c r="M5608" s="1" t="s">
        <v>21</v>
      </c>
      <c r="N5608" s="1" t="s">
        <v>22</v>
      </c>
      <c r="O5608" s="2">
        <v>46110</v>
      </c>
      <c r="P5608" s="2">
        <v>46110</v>
      </c>
      <c r="Q5608">
        <f>_xlfn.XLOOKUP(E5608,CPT!$A$2:$A$13,CPT!$D$2:$D$13)</f>
        <v>420</v>
      </c>
      <c r="R5608" s="1">
        <f>_xlfn.XLOOKUP(C5608,Contract!$A$2:$A$9,Contract!$B$2:$B$9)</f>
        <v>0.45</v>
      </c>
      <c r="S5608" s="1">
        <f t="shared" si="348"/>
        <v>189</v>
      </c>
      <c r="T5608" s="1">
        <f t="shared" si="349"/>
        <v>23.960000000000008</v>
      </c>
      <c r="U5608" s="1" t="str">
        <f t="shared" si="350"/>
        <v>Underpaid</v>
      </c>
      <c r="V5608" s="1" t="str">
        <f>_xlfn.XLOOKUP(C5608,Payers!$A$2:$A$9,Payers!$B$2:$B$9)</f>
        <v>Blue Horizon Commercial</v>
      </c>
      <c r="W5608" s="1" t="str">
        <f t="shared" si="351"/>
        <v>2026-02</v>
      </c>
    </row>
    <row r="5609" spans="1:23">
      <c r="A5609" s="1" t="s">
        <v>8462</v>
      </c>
      <c r="B5609" s="1" t="s">
        <v>2454</v>
      </c>
      <c r="C5609" s="1" t="s">
        <v>52</v>
      </c>
      <c r="D5609" s="1" t="s">
        <v>37</v>
      </c>
      <c r="E5609" s="1" t="s">
        <v>38</v>
      </c>
      <c r="F5609">
        <v>20</v>
      </c>
      <c r="G5609" s="2">
        <v>45934</v>
      </c>
      <c r="H5609" s="2">
        <v>45937</v>
      </c>
      <c r="I5609">
        <v>29600.39</v>
      </c>
      <c r="M5609" s="1" t="s">
        <v>32</v>
      </c>
      <c r="N5609" s="1" t="s">
        <v>168</v>
      </c>
      <c r="O5609" s="2">
        <v>45960</v>
      </c>
      <c r="P5609" s="2"/>
      <c r="Q5609">
        <f>_xlfn.XLOOKUP(E5609,CPT!$A$2:$A$13,CPT!$D$2:$D$13)</f>
        <v>1450</v>
      </c>
      <c r="R5609" s="1">
        <f>_xlfn.XLOOKUP(C5609,Contract!$A$2:$A$9,Contract!$B$2:$B$9)</f>
        <v>0.47</v>
      </c>
      <c r="S5609" s="1">
        <f t="shared" si="348"/>
        <v>13630</v>
      </c>
      <c r="T5609" s="1" t="str">
        <f t="shared" si="349"/>
        <v/>
      </c>
      <c r="U5609" s="1" t="str">
        <f t="shared" si="350"/>
        <v/>
      </c>
      <c r="V5609" s="1" t="str">
        <f>_xlfn.XLOOKUP(C5609,Payers!$A$2:$A$9,Payers!$B$2:$B$9)</f>
        <v>Keystone Commercial PPO</v>
      </c>
      <c r="W5609" s="1" t="str">
        <f t="shared" si="351"/>
        <v>2025-10</v>
      </c>
    </row>
    <row r="5610" spans="1:23">
      <c r="A5610" s="1" t="s">
        <v>8463</v>
      </c>
      <c r="B5610" s="1" t="s">
        <v>6666</v>
      </c>
      <c r="C5610" s="1" t="s">
        <v>36</v>
      </c>
      <c r="D5610" s="1" t="s">
        <v>19</v>
      </c>
      <c r="E5610" s="1" t="s">
        <v>88</v>
      </c>
      <c r="F5610">
        <v>1</v>
      </c>
      <c r="G5610" s="2">
        <v>45958</v>
      </c>
      <c r="H5610" s="2">
        <v>45964</v>
      </c>
      <c r="I5610">
        <v>254.84</v>
      </c>
      <c r="J5610">
        <v>67.95</v>
      </c>
      <c r="K5610">
        <v>67.95</v>
      </c>
      <c r="L5610">
        <v>0</v>
      </c>
      <c r="M5610" s="1" t="s">
        <v>21</v>
      </c>
      <c r="N5610" s="1" t="s">
        <v>22</v>
      </c>
      <c r="O5610" s="2">
        <v>46010</v>
      </c>
      <c r="P5610" s="2">
        <v>46010</v>
      </c>
      <c r="Q5610">
        <f>_xlfn.XLOOKUP(E5610,CPT!$A$2:$A$13,CPT!$D$2:$D$13)</f>
        <v>260</v>
      </c>
      <c r="R5610" s="1">
        <f>_xlfn.XLOOKUP(C5610,Contract!$A$2:$A$9,Contract!$B$2:$B$9)</f>
        <v>0.27</v>
      </c>
      <c r="S5610" s="1">
        <f t="shared" si="348"/>
        <v>70.2</v>
      </c>
      <c r="T5610" s="1">
        <f t="shared" si="349"/>
        <v>2.25</v>
      </c>
      <c r="U5610" s="1" t="str">
        <f t="shared" si="350"/>
        <v>OK</v>
      </c>
      <c r="V5610" s="1" t="str">
        <f>_xlfn.XLOOKUP(C5610,Payers!$A$2:$A$9,Payers!$B$2:$B$9)</f>
        <v>Florida Medicaid</v>
      </c>
      <c r="W5610" s="1" t="str">
        <f t="shared" si="351"/>
        <v>2025-10</v>
      </c>
    </row>
    <row r="5611" spans="1:23">
      <c r="A5611" s="1" t="s">
        <v>8464</v>
      </c>
      <c r="B5611" s="1" t="s">
        <v>8465</v>
      </c>
      <c r="C5611" s="1" t="s">
        <v>76</v>
      </c>
      <c r="D5611" s="1" t="s">
        <v>19</v>
      </c>
      <c r="E5611" s="1" t="s">
        <v>57</v>
      </c>
      <c r="F5611">
        <v>1</v>
      </c>
      <c r="G5611" s="2">
        <v>46075</v>
      </c>
      <c r="H5611" s="2">
        <v>46083</v>
      </c>
      <c r="I5611">
        <v>213.23</v>
      </c>
      <c r="J5611">
        <v>86.52</v>
      </c>
      <c r="K5611">
        <v>86.52</v>
      </c>
      <c r="L5611">
        <v>0</v>
      </c>
      <c r="M5611" s="1" t="s">
        <v>21</v>
      </c>
      <c r="N5611" s="1" t="s">
        <v>22</v>
      </c>
      <c r="O5611" s="2">
        <v>46104</v>
      </c>
      <c r="P5611" s="2">
        <v>46104</v>
      </c>
      <c r="Q5611">
        <f>_xlfn.XLOOKUP(E5611,CPT!$A$2:$A$13,CPT!$D$2:$D$13)</f>
        <v>210</v>
      </c>
      <c r="R5611" s="1">
        <f>_xlfn.XLOOKUP(C5611,Contract!$A$2:$A$9,Contract!$B$2:$B$9)</f>
        <v>0.43</v>
      </c>
      <c r="S5611" s="1">
        <f t="shared" si="348"/>
        <v>90.3</v>
      </c>
      <c r="T5611" s="1">
        <f t="shared" si="349"/>
        <v>3.7800000000000011</v>
      </c>
      <c r="U5611" s="1" t="str">
        <f t="shared" si="350"/>
        <v>OK</v>
      </c>
      <c r="V5611" s="1" t="str">
        <f>_xlfn.XLOOKUP(C5611,Payers!$A$2:$A$9,Payers!$B$2:$B$9)</f>
        <v>Summit Health Commercial</v>
      </c>
      <c r="W5611" s="1" t="str">
        <f t="shared" si="351"/>
        <v>2026-02</v>
      </c>
    </row>
    <row r="5612" spans="1:23">
      <c r="A5612" s="1" t="s">
        <v>8466</v>
      </c>
      <c r="B5612" s="1" t="s">
        <v>5160</v>
      </c>
      <c r="C5612" s="1" t="s">
        <v>47</v>
      </c>
      <c r="D5612" s="1" t="s">
        <v>30</v>
      </c>
      <c r="E5612" s="1" t="s">
        <v>91</v>
      </c>
      <c r="F5612">
        <v>4</v>
      </c>
      <c r="G5612" s="2">
        <v>46034</v>
      </c>
      <c r="H5612" s="2">
        <v>46035</v>
      </c>
      <c r="I5612">
        <v>225.91</v>
      </c>
      <c r="M5612" s="1" t="s">
        <v>32</v>
      </c>
      <c r="N5612" s="1" t="s">
        <v>124</v>
      </c>
      <c r="O5612" s="2">
        <v>46085</v>
      </c>
      <c r="P5612" s="2"/>
      <c r="Q5612">
        <f>_xlfn.XLOOKUP(E5612,CPT!$A$2:$A$13,CPT!$D$2:$D$13)</f>
        <v>58</v>
      </c>
      <c r="R5612" s="1">
        <f>_xlfn.XLOOKUP(C5612,Contract!$A$2:$A$9,Contract!$B$2:$B$9)</f>
        <v>0.28000000000000003</v>
      </c>
      <c r="S5612" s="1">
        <f t="shared" si="348"/>
        <v>64.959999999999994</v>
      </c>
      <c r="T5612" s="1" t="str">
        <f t="shared" si="349"/>
        <v/>
      </c>
      <c r="U5612" s="1" t="str">
        <f t="shared" si="350"/>
        <v/>
      </c>
      <c r="V5612" s="1" t="str">
        <f>_xlfn.XLOOKUP(C5612,Payers!$A$2:$A$9,Payers!$B$2:$B$9)</f>
        <v>Coastal Medicaid MCO</v>
      </c>
      <c r="W5612" s="1" t="str">
        <f t="shared" si="351"/>
        <v>2026-01</v>
      </c>
    </row>
    <row r="5613" spans="1:23">
      <c r="A5613" s="1" t="s">
        <v>8467</v>
      </c>
      <c r="B5613" s="1" t="s">
        <v>7686</v>
      </c>
      <c r="C5613" s="1" t="s">
        <v>76</v>
      </c>
      <c r="D5613" s="1" t="s">
        <v>26</v>
      </c>
      <c r="E5613" s="1" t="s">
        <v>185</v>
      </c>
      <c r="F5613">
        <v>1</v>
      </c>
      <c r="G5613" s="2">
        <v>46258</v>
      </c>
      <c r="H5613" s="2">
        <v>46260</v>
      </c>
      <c r="I5613">
        <v>1143.23</v>
      </c>
      <c r="M5613" s="1" t="s">
        <v>32</v>
      </c>
      <c r="N5613" s="1" t="s">
        <v>315</v>
      </c>
      <c r="O5613" s="2">
        <v>46275</v>
      </c>
      <c r="P5613" s="2"/>
      <c r="Q5613">
        <f>_xlfn.XLOOKUP(E5613,CPT!$A$2:$A$13,CPT!$D$2:$D$13)</f>
        <v>1150</v>
      </c>
      <c r="R5613" s="1">
        <f>_xlfn.XLOOKUP(C5613,Contract!$A$2:$A$9,Contract!$B$2:$B$9)</f>
        <v>0.43</v>
      </c>
      <c r="S5613" s="1">
        <f t="shared" si="348"/>
        <v>494.5</v>
      </c>
      <c r="T5613" s="1" t="str">
        <f t="shared" si="349"/>
        <v/>
      </c>
      <c r="U5613" s="1" t="str">
        <f t="shared" si="350"/>
        <v/>
      </c>
      <c r="V5613" s="1" t="str">
        <f>_xlfn.XLOOKUP(C5613,Payers!$A$2:$A$9,Payers!$B$2:$B$9)</f>
        <v>Summit Health Commercial</v>
      </c>
      <c r="W5613" s="1" t="str">
        <f t="shared" si="351"/>
        <v>2026-08</v>
      </c>
    </row>
    <row r="5614" spans="1:23">
      <c r="A5614" s="1" t="s">
        <v>8468</v>
      </c>
      <c r="B5614" s="1" t="s">
        <v>8469</v>
      </c>
      <c r="C5614" s="1" t="s">
        <v>60</v>
      </c>
      <c r="D5614" s="1" t="s">
        <v>19</v>
      </c>
      <c r="E5614" s="1" t="s">
        <v>41</v>
      </c>
      <c r="F5614">
        <v>1</v>
      </c>
      <c r="G5614" s="2">
        <v>45976</v>
      </c>
      <c r="H5614" s="2">
        <v>45978</v>
      </c>
      <c r="I5614">
        <v>39.08</v>
      </c>
      <c r="J5614">
        <v>15.94</v>
      </c>
      <c r="K5614">
        <v>12.75</v>
      </c>
      <c r="L5614">
        <v>3.19</v>
      </c>
      <c r="M5614" s="1" t="s">
        <v>21</v>
      </c>
      <c r="N5614" s="1" t="s">
        <v>22</v>
      </c>
      <c r="O5614" s="2">
        <v>46017</v>
      </c>
      <c r="P5614" s="2">
        <v>46017</v>
      </c>
      <c r="Q5614">
        <f>_xlfn.XLOOKUP(E5614,CPT!$A$2:$A$13,CPT!$D$2:$D$13)</f>
        <v>38</v>
      </c>
      <c r="R5614" s="1">
        <f>_xlfn.XLOOKUP(C5614,Contract!$A$2:$A$9,Contract!$B$2:$B$9)</f>
        <v>0.45</v>
      </c>
      <c r="S5614" s="1">
        <f t="shared" si="348"/>
        <v>17.100000000000001</v>
      </c>
      <c r="T5614" s="1">
        <f t="shared" si="349"/>
        <v>1.1600000000000019</v>
      </c>
      <c r="U5614" s="1" t="str">
        <f t="shared" si="350"/>
        <v>Underpaid</v>
      </c>
      <c r="V5614" s="1" t="str">
        <f>_xlfn.XLOOKUP(C5614,Payers!$A$2:$A$9,Payers!$B$2:$B$9)</f>
        <v>Blue Horizon Commercial</v>
      </c>
      <c r="W5614" s="1" t="str">
        <f t="shared" si="351"/>
        <v>2025-11</v>
      </c>
    </row>
    <row r="5615" spans="1:23">
      <c r="A5615" s="1" t="s">
        <v>8470</v>
      </c>
      <c r="B5615" s="1" t="s">
        <v>957</v>
      </c>
      <c r="C5615" s="1" t="s">
        <v>25</v>
      </c>
      <c r="D5615" s="1" t="s">
        <v>19</v>
      </c>
      <c r="E5615" s="1" t="s">
        <v>41</v>
      </c>
      <c r="F5615">
        <v>1</v>
      </c>
      <c r="G5615" s="2">
        <v>46255</v>
      </c>
      <c r="H5615" s="2">
        <v>46256</v>
      </c>
      <c r="I5615">
        <v>37.619999999999997</v>
      </c>
      <c r="J5615">
        <v>15.23</v>
      </c>
      <c r="K5615">
        <v>15.23</v>
      </c>
      <c r="L5615">
        <v>0</v>
      </c>
      <c r="M5615" s="1" t="s">
        <v>21</v>
      </c>
      <c r="N5615" s="1" t="s">
        <v>22</v>
      </c>
      <c r="O5615" s="2">
        <v>46266</v>
      </c>
      <c r="P5615" s="2">
        <v>46266</v>
      </c>
      <c r="Q5615">
        <f>_xlfn.XLOOKUP(E5615,CPT!$A$2:$A$13,CPT!$D$2:$D$13)</f>
        <v>38</v>
      </c>
      <c r="R5615" s="1">
        <f>_xlfn.XLOOKUP(C5615,Contract!$A$2:$A$9,Contract!$B$2:$B$9)</f>
        <v>0.36</v>
      </c>
      <c r="S5615" s="1">
        <f t="shared" si="348"/>
        <v>13.68</v>
      </c>
      <c r="T5615" s="1">
        <f t="shared" si="349"/>
        <v>-1.5500000000000007</v>
      </c>
      <c r="U5615" s="1" t="str">
        <f t="shared" si="350"/>
        <v>OK</v>
      </c>
      <c r="V5615" s="1" t="str">
        <f>_xlfn.XLOOKUP(C5615,Payers!$A$2:$A$9,Payers!$B$2:$B$9)</f>
        <v>Medicare Part B</v>
      </c>
      <c r="W5615" s="1" t="str">
        <f t="shared" si="351"/>
        <v>2026-08</v>
      </c>
    </row>
    <row r="5616" spans="1:23">
      <c r="A5616" s="1" t="s">
        <v>8471</v>
      </c>
      <c r="B5616" s="1" t="s">
        <v>3010</v>
      </c>
      <c r="C5616" s="1" t="s">
        <v>76</v>
      </c>
      <c r="D5616" s="1" t="s">
        <v>37</v>
      </c>
      <c r="E5616" s="1" t="s">
        <v>57</v>
      </c>
      <c r="F5616">
        <v>1</v>
      </c>
      <c r="G5616" s="2">
        <v>46035</v>
      </c>
      <c r="H5616" s="2">
        <v>46043</v>
      </c>
      <c r="I5616">
        <v>205.21</v>
      </c>
      <c r="J5616">
        <v>78.92</v>
      </c>
      <c r="K5616">
        <v>78.92</v>
      </c>
      <c r="L5616">
        <v>0</v>
      </c>
      <c r="M5616" s="1" t="s">
        <v>21</v>
      </c>
      <c r="N5616" s="1" t="s">
        <v>22</v>
      </c>
      <c r="O5616" s="2">
        <v>46073</v>
      </c>
      <c r="P5616" s="2">
        <v>46073</v>
      </c>
      <c r="Q5616">
        <f>_xlfn.XLOOKUP(E5616,CPT!$A$2:$A$13,CPT!$D$2:$D$13)</f>
        <v>210</v>
      </c>
      <c r="R5616" s="1">
        <f>_xlfn.XLOOKUP(C5616,Contract!$A$2:$A$9,Contract!$B$2:$B$9)</f>
        <v>0.43</v>
      </c>
      <c r="S5616" s="1">
        <f t="shared" si="348"/>
        <v>90.3</v>
      </c>
      <c r="T5616" s="1">
        <f t="shared" si="349"/>
        <v>11.379999999999995</v>
      </c>
      <c r="U5616" s="1" t="str">
        <f t="shared" si="350"/>
        <v>Underpaid</v>
      </c>
      <c r="V5616" s="1" t="str">
        <f>_xlfn.XLOOKUP(C5616,Payers!$A$2:$A$9,Payers!$B$2:$B$9)</f>
        <v>Summit Health Commercial</v>
      </c>
      <c r="W5616" s="1" t="str">
        <f t="shared" si="351"/>
        <v>2026-01</v>
      </c>
    </row>
    <row r="5617" spans="1:23">
      <c r="A5617" s="1" t="s">
        <v>8472</v>
      </c>
      <c r="B5617" s="1" t="s">
        <v>1171</v>
      </c>
      <c r="C5617" s="1" t="s">
        <v>60</v>
      </c>
      <c r="D5617" s="1" t="s">
        <v>26</v>
      </c>
      <c r="E5617" s="1" t="s">
        <v>44</v>
      </c>
      <c r="F5617">
        <v>1</v>
      </c>
      <c r="G5617" s="2">
        <v>46120</v>
      </c>
      <c r="H5617" s="2">
        <v>46121</v>
      </c>
      <c r="I5617">
        <v>4932.09</v>
      </c>
      <c r="J5617">
        <v>1885.65</v>
      </c>
      <c r="K5617">
        <v>1697.08</v>
      </c>
      <c r="L5617">
        <v>188.57</v>
      </c>
      <c r="M5617" s="1" t="s">
        <v>21</v>
      </c>
      <c r="N5617" s="1" t="s">
        <v>22</v>
      </c>
      <c r="O5617" s="2">
        <v>46140</v>
      </c>
      <c r="P5617" s="2">
        <v>46140</v>
      </c>
      <c r="Q5617">
        <f>_xlfn.XLOOKUP(E5617,CPT!$A$2:$A$13,CPT!$D$2:$D$13)</f>
        <v>4800</v>
      </c>
      <c r="R5617" s="1">
        <f>_xlfn.XLOOKUP(C5617,Contract!$A$2:$A$9,Contract!$B$2:$B$9)</f>
        <v>0.45</v>
      </c>
      <c r="S5617" s="1">
        <f t="shared" si="348"/>
        <v>2160</v>
      </c>
      <c r="T5617" s="1">
        <f t="shared" si="349"/>
        <v>274.34999999999991</v>
      </c>
      <c r="U5617" s="1" t="str">
        <f t="shared" si="350"/>
        <v>Underpaid</v>
      </c>
      <c r="V5617" s="1" t="str">
        <f>_xlfn.XLOOKUP(C5617,Payers!$A$2:$A$9,Payers!$B$2:$B$9)</f>
        <v>Blue Horizon Commercial</v>
      </c>
      <c r="W5617" s="1" t="str">
        <f t="shared" si="351"/>
        <v>2026-04</v>
      </c>
    </row>
    <row r="5618" spans="1:23">
      <c r="A5618" s="1" t="s">
        <v>8473</v>
      </c>
      <c r="B5618" s="1" t="s">
        <v>8474</v>
      </c>
      <c r="C5618" s="1" t="s">
        <v>36</v>
      </c>
      <c r="D5618" s="1" t="s">
        <v>26</v>
      </c>
      <c r="E5618" s="1" t="s">
        <v>57</v>
      </c>
      <c r="F5618">
        <v>1</v>
      </c>
      <c r="G5618" s="2">
        <v>46043</v>
      </c>
      <c r="H5618" s="2">
        <v>46046</v>
      </c>
      <c r="I5618">
        <v>211.76</v>
      </c>
      <c r="J5618">
        <v>51.61</v>
      </c>
      <c r="K5618">
        <v>41.29</v>
      </c>
      <c r="L5618">
        <v>10.32</v>
      </c>
      <c r="M5618" s="1" t="s">
        <v>21</v>
      </c>
      <c r="N5618" s="1" t="s">
        <v>22</v>
      </c>
      <c r="O5618" s="2">
        <v>46070</v>
      </c>
      <c r="P5618" s="2">
        <v>46070</v>
      </c>
      <c r="Q5618">
        <f>_xlfn.XLOOKUP(E5618,CPT!$A$2:$A$13,CPT!$D$2:$D$13)</f>
        <v>210</v>
      </c>
      <c r="R5618" s="1">
        <f>_xlfn.XLOOKUP(C5618,Contract!$A$2:$A$9,Contract!$B$2:$B$9)</f>
        <v>0.27</v>
      </c>
      <c r="S5618" s="1">
        <f t="shared" si="348"/>
        <v>56.7</v>
      </c>
      <c r="T5618" s="1">
        <f t="shared" si="349"/>
        <v>5.0900000000000034</v>
      </c>
      <c r="U5618" s="1" t="str">
        <f t="shared" si="350"/>
        <v>Underpaid</v>
      </c>
      <c r="V5618" s="1" t="str">
        <f>_xlfn.XLOOKUP(C5618,Payers!$A$2:$A$9,Payers!$B$2:$B$9)</f>
        <v>Florida Medicaid</v>
      </c>
      <c r="W5618" s="1" t="str">
        <f t="shared" si="351"/>
        <v>2026-01</v>
      </c>
    </row>
    <row r="5619" spans="1:23">
      <c r="A5619" s="1" t="s">
        <v>8475</v>
      </c>
      <c r="B5619" s="1" t="s">
        <v>8476</v>
      </c>
      <c r="C5619" s="1" t="s">
        <v>76</v>
      </c>
      <c r="D5619" s="1" t="s">
        <v>26</v>
      </c>
      <c r="E5619" s="1" t="s">
        <v>185</v>
      </c>
      <c r="F5619">
        <v>1</v>
      </c>
      <c r="G5619" s="2">
        <v>46089</v>
      </c>
      <c r="H5619" s="2">
        <v>46091</v>
      </c>
      <c r="I5619">
        <v>1170.5899999999999</v>
      </c>
      <c r="J5619">
        <v>561.25</v>
      </c>
      <c r="K5619">
        <v>561.25</v>
      </c>
      <c r="L5619">
        <v>0</v>
      </c>
      <c r="M5619" s="1" t="s">
        <v>21</v>
      </c>
      <c r="N5619" s="1" t="s">
        <v>22</v>
      </c>
      <c r="O5619" s="2">
        <v>46112</v>
      </c>
      <c r="P5619" s="2">
        <v>46112</v>
      </c>
      <c r="Q5619">
        <f>_xlfn.XLOOKUP(E5619,CPT!$A$2:$A$13,CPT!$D$2:$D$13)</f>
        <v>1150</v>
      </c>
      <c r="R5619" s="1">
        <f>_xlfn.XLOOKUP(C5619,Contract!$A$2:$A$9,Contract!$B$2:$B$9)</f>
        <v>0.43</v>
      </c>
      <c r="S5619" s="1">
        <f t="shared" si="348"/>
        <v>494.5</v>
      </c>
      <c r="T5619" s="1">
        <f t="shared" si="349"/>
        <v>-66.75</v>
      </c>
      <c r="U5619" s="1" t="str">
        <f t="shared" si="350"/>
        <v>OK</v>
      </c>
      <c r="V5619" s="1" t="str">
        <f>_xlfn.XLOOKUP(C5619,Payers!$A$2:$A$9,Payers!$B$2:$B$9)</f>
        <v>Summit Health Commercial</v>
      </c>
      <c r="W5619" s="1" t="str">
        <f t="shared" si="351"/>
        <v>2026-03</v>
      </c>
    </row>
    <row r="5620" spans="1:23">
      <c r="A5620" s="1" t="s">
        <v>8477</v>
      </c>
      <c r="B5620" s="1" t="s">
        <v>3184</v>
      </c>
      <c r="C5620" s="1" t="s">
        <v>52</v>
      </c>
      <c r="D5620" s="1" t="s">
        <v>19</v>
      </c>
      <c r="E5620" s="1" t="s">
        <v>20</v>
      </c>
      <c r="F5620">
        <v>1</v>
      </c>
      <c r="G5620" s="2">
        <v>45938</v>
      </c>
      <c r="H5620" s="2">
        <v>45943</v>
      </c>
      <c r="I5620">
        <v>147.31</v>
      </c>
      <c r="J5620">
        <v>70.67</v>
      </c>
      <c r="K5620">
        <v>70.67</v>
      </c>
      <c r="L5620">
        <v>0</v>
      </c>
      <c r="M5620" s="1" t="s">
        <v>21</v>
      </c>
      <c r="N5620" s="1" t="s">
        <v>22</v>
      </c>
      <c r="O5620" s="2">
        <v>45977</v>
      </c>
      <c r="P5620" s="2">
        <v>45977</v>
      </c>
      <c r="Q5620">
        <f>_xlfn.XLOOKUP(E5620,CPT!$A$2:$A$13,CPT!$D$2:$D$13)</f>
        <v>145</v>
      </c>
      <c r="R5620" s="1">
        <f>_xlfn.XLOOKUP(C5620,Contract!$A$2:$A$9,Contract!$B$2:$B$9)</f>
        <v>0.47</v>
      </c>
      <c r="S5620" s="1">
        <f t="shared" si="348"/>
        <v>68.150000000000006</v>
      </c>
      <c r="T5620" s="1">
        <f t="shared" si="349"/>
        <v>-2.519999999999996</v>
      </c>
      <c r="U5620" s="1" t="str">
        <f t="shared" si="350"/>
        <v>OK</v>
      </c>
      <c r="V5620" s="1" t="str">
        <f>_xlfn.XLOOKUP(C5620,Payers!$A$2:$A$9,Payers!$B$2:$B$9)</f>
        <v>Keystone Commercial PPO</v>
      </c>
      <c r="W5620" s="1" t="str">
        <f t="shared" si="351"/>
        <v>2025-10</v>
      </c>
    </row>
    <row r="5621" spans="1:23">
      <c r="A5621" s="1" t="s">
        <v>8478</v>
      </c>
      <c r="B5621" s="1" t="s">
        <v>6044</v>
      </c>
      <c r="C5621" s="1" t="s">
        <v>18</v>
      </c>
      <c r="D5621" s="1" t="s">
        <v>30</v>
      </c>
      <c r="E5621" s="1" t="s">
        <v>20</v>
      </c>
      <c r="F5621">
        <v>1</v>
      </c>
      <c r="G5621" s="2">
        <v>46073</v>
      </c>
      <c r="H5621" s="2">
        <v>46078</v>
      </c>
      <c r="I5621">
        <v>143.82</v>
      </c>
      <c r="M5621" s="1" t="s">
        <v>32</v>
      </c>
      <c r="N5621" s="1" t="s">
        <v>168</v>
      </c>
      <c r="O5621" s="2">
        <v>46135</v>
      </c>
      <c r="P5621" s="2"/>
      <c r="Q5621">
        <f>_xlfn.XLOOKUP(E5621,CPT!$A$2:$A$13,CPT!$D$2:$D$13)</f>
        <v>145</v>
      </c>
      <c r="R5621" s="1">
        <f>_xlfn.XLOOKUP(C5621,Contract!$A$2:$A$9,Contract!$B$2:$B$9)</f>
        <v>0.38</v>
      </c>
      <c r="S5621" s="1">
        <f t="shared" si="348"/>
        <v>55.1</v>
      </c>
      <c r="T5621" s="1" t="str">
        <f t="shared" si="349"/>
        <v/>
      </c>
      <c r="U5621" s="1" t="str">
        <f t="shared" si="350"/>
        <v/>
      </c>
      <c r="V5621" s="1" t="str">
        <f>_xlfn.XLOOKUP(C5621,Payers!$A$2:$A$9,Payers!$B$2:$B$9)</f>
        <v>Sunshine Medicare Advantage</v>
      </c>
      <c r="W5621" s="1" t="str">
        <f t="shared" si="351"/>
        <v>2026-02</v>
      </c>
    </row>
    <row r="5622" spans="1:23">
      <c r="A5622" s="1" t="s">
        <v>8479</v>
      </c>
      <c r="B5622" s="1" t="s">
        <v>4879</v>
      </c>
      <c r="C5622" s="1" t="s">
        <v>60</v>
      </c>
      <c r="D5622" s="1" t="s">
        <v>37</v>
      </c>
      <c r="E5622" s="1" t="s">
        <v>48</v>
      </c>
      <c r="F5622">
        <v>1</v>
      </c>
      <c r="G5622" s="2">
        <v>46130</v>
      </c>
      <c r="H5622" s="2">
        <v>46135</v>
      </c>
      <c r="I5622">
        <v>407.88</v>
      </c>
      <c r="M5622" s="1" t="s">
        <v>32</v>
      </c>
      <c r="N5622" s="1" t="s">
        <v>33</v>
      </c>
      <c r="O5622" s="2">
        <v>46170</v>
      </c>
      <c r="P5622" s="2"/>
      <c r="Q5622">
        <f>_xlfn.XLOOKUP(E5622,CPT!$A$2:$A$13,CPT!$D$2:$D$13)</f>
        <v>420</v>
      </c>
      <c r="R5622" s="1">
        <f>_xlfn.XLOOKUP(C5622,Contract!$A$2:$A$9,Contract!$B$2:$B$9)</f>
        <v>0.45</v>
      </c>
      <c r="S5622" s="1">
        <f t="shared" si="348"/>
        <v>189</v>
      </c>
      <c r="T5622" s="1" t="str">
        <f t="shared" si="349"/>
        <v/>
      </c>
      <c r="U5622" s="1" t="str">
        <f t="shared" si="350"/>
        <v/>
      </c>
      <c r="V5622" s="1" t="str">
        <f>_xlfn.XLOOKUP(C5622,Payers!$A$2:$A$9,Payers!$B$2:$B$9)</f>
        <v>Blue Horizon Commercial</v>
      </c>
      <c r="W5622" s="1" t="str">
        <f t="shared" si="351"/>
        <v>2026-04</v>
      </c>
    </row>
    <row r="5623" spans="1:23">
      <c r="A5623" s="1" t="s">
        <v>8480</v>
      </c>
      <c r="B5623" s="1" t="s">
        <v>8481</v>
      </c>
      <c r="C5623" s="1" t="s">
        <v>76</v>
      </c>
      <c r="D5623" s="1" t="s">
        <v>26</v>
      </c>
      <c r="E5623" s="1" t="s">
        <v>27</v>
      </c>
      <c r="F5623">
        <v>1</v>
      </c>
      <c r="G5623" s="2">
        <v>46048</v>
      </c>
      <c r="H5623" s="2">
        <v>46049</v>
      </c>
      <c r="I5623">
        <v>247.18</v>
      </c>
      <c r="M5623" s="1" t="s">
        <v>32</v>
      </c>
      <c r="N5623" s="1" t="s">
        <v>98</v>
      </c>
      <c r="O5623" s="2">
        <v>46068</v>
      </c>
      <c r="P5623" s="2"/>
      <c r="Q5623">
        <f>_xlfn.XLOOKUP(E5623,CPT!$A$2:$A$13,CPT!$D$2:$D$13)</f>
        <v>240</v>
      </c>
      <c r="R5623" s="1">
        <f>_xlfn.XLOOKUP(C5623,Contract!$A$2:$A$9,Contract!$B$2:$B$9)</f>
        <v>0.43</v>
      </c>
      <c r="S5623" s="1">
        <f t="shared" si="348"/>
        <v>103.2</v>
      </c>
      <c r="T5623" s="1" t="str">
        <f t="shared" si="349"/>
        <v/>
      </c>
      <c r="U5623" s="1" t="str">
        <f t="shared" si="350"/>
        <v/>
      </c>
      <c r="V5623" s="1" t="str">
        <f>_xlfn.XLOOKUP(C5623,Payers!$A$2:$A$9,Payers!$B$2:$B$9)</f>
        <v>Summit Health Commercial</v>
      </c>
      <c r="W5623" s="1" t="str">
        <f t="shared" si="351"/>
        <v>2026-01</v>
      </c>
    </row>
    <row r="5624" spans="1:23">
      <c r="A5624" s="1" t="s">
        <v>8482</v>
      </c>
      <c r="B5624" s="1" t="s">
        <v>2244</v>
      </c>
      <c r="C5624" s="1" t="s">
        <v>18</v>
      </c>
      <c r="D5624" s="1" t="s">
        <v>37</v>
      </c>
      <c r="E5624" s="1" t="s">
        <v>48</v>
      </c>
      <c r="F5624">
        <v>1</v>
      </c>
      <c r="G5624" s="2">
        <v>45935</v>
      </c>
      <c r="H5624" s="2">
        <v>45937</v>
      </c>
      <c r="I5624">
        <v>414.32</v>
      </c>
      <c r="J5624">
        <v>150.1</v>
      </c>
      <c r="K5624">
        <v>150.1</v>
      </c>
      <c r="L5624">
        <v>0</v>
      </c>
      <c r="M5624" s="1" t="s">
        <v>21</v>
      </c>
      <c r="N5624" s="1" t="s">
        <v>22</v>
      </c>
      <c r="O5624" s="2">
        <v>45996</v>
      </c>
      <c r="P5624" s="2">
        <v>45996</v>
      </c>
      <c r="Q5624">
        <f>_xlfn.XLOOKUP(E5624,CPT!$A$2:$A$13,CPT!$D$2:$D$13)</f>
        <v>420</v>
      </c>
      <c r="R5624" s="1">
        <f>_xlfn.XLOOKUP(C5624,Contract!$A$2:$A$9,Contract!$B$2:$B$9)</f>
        <v>0.38</v>
      </c>
      <c r="S5624" s="1">
        <f t="shared" si="348"/>
        <v>159.6</v>
      </c>
      <c r="T5624" s="1">
        <f t="shared" si="349"/>
        <v>9.5</v>
      </c>
      <c r="U5624" s="1" t="str">
        <f t="shared" si="350"/>
        <v>Underpaid</v>
      </c>
      <c r="V5624" s="1" t="str">
        <f>_xlfn.XLOOKUP(C5624,Payers!$A$2:$A$9,Payers!$B$2:$B$9)</f>
        <v>Sunshine Medicare Advantage</v>
      </c>
      <c r="W5624" s="1" t="str">
        <f t="shared" si="351"/>
        <v>2025-10</v>
      </c>
    </row>
    <row r="5625" spans="1:23">
      <c r="A5625" s="1" t="s">
        <v>8483</v>
      </c>
      <c r="B5625" s="1" t="s">
        <v>4227</v>
      </c>
      <c r="C5625" s="1" t="s">
        <v>25</v>
      </c>
      <c r="D5625" s="1" t="s">
        <v>19</v>
      </c>
      <c r="E5625" s="1" t="s">
        <v>57</v>
      </c>
      <c r="F5625">
        <v>1</v>
      </c>
      <c r="G5625" s="2">
        <v>45968</v>
      </c>
      <c r="H5625" s="2">
        <v>45977</v>
      </c>
      <c r="I5625">
        <v>213.95</v>
      </c>
      <c r="J5625">
        <v>80.209999999999994</v>
      </c>
      <c r="K5625">
        <v>64.17</v>
      </c>
      <c r="L5625">
        <v>16.04</v>
      </c>
      <c r="M5625" s="1" t="s">
        <v>21</v>
      </c>
      <c r="N5625" s="1" t="s">
        <v>22</v>
      </c>
      <c r="O5625" s="2">
        <v>45994</v>
      </c>
      <c r="P5625" s="2">
        <v>45994</v>
      </c>
      <c r="Q5625">
        <f>_xlfn.XLOOKUP(E5625,CPT!$A$2:$A$13,CPT!$D$2:$D$13)</f>
        <v>210</v>
      </c>
      <c r="R5625" s="1">
        <f>_xlfn.XLOOKUP(C5625,Contract!$A$2:$A$9,Contract!$B$2:$B$9)</f>
        <v>0.36</v>
      </c>
      <c r="S5625" s="1">
        <f t="shared" si="348"/>
        <v>75.599999999999994</v>
      </c>
      <c r="T5625" s="1">
        <f t="shared" si="349"/>
        <v>-4.6099999999999994</v>
      </c>
      <c r="U5625" s="1" t="str">
        <f t="shared" si="350"/>
        <v>OK</v>
      </c>
      <c r="V5625" s="1" t="str">
        <f>_xlfn.XLOOKUP(C5625,Payers!$A$2:$A$9,Payers!$B$2:$B$9)</f>
        <v>Medicare Part B</v>
      </c>
      <c r="W5625" s="1" t="str">
        <f t="shared" si="351"/>
        <v>2025-11</v>
      </c>
    </row>
    <row r="5626" spans="1:23">
      <c r="A5626" s="1" t="s">
        <v>8484</v>
      </c>
      <c r="B5626" s="1" t="s">
        <v>219</v>
      </c>
      <c r="C5626" s="1" t="s">
        <v>60</v>
      </c>
      <c r="D5626" s="1" t="s">
        <v>19</v>
      </c>
      <c r="E5626" s="1" t="s">
        <v>41</v>
      </c>
      <c r="F5626">
        <v>1</v>
      </c>
      <c r="G5626" s="2">
        <v>46279</v>
      </c>
      <c r="H5626" s="2">
        <v>46281</v>
      </c>
      <c r="I5626">
        <v>39.08</v>
      </c>
      <c r="M5626" s="1" t="s">
        <v>69</v>
      </c>
      <c r="N5626" s="1" t="s">
        <v>22</v>
      </c>
      <c r="O5626" s="2"/>
      <c r="P5626" s="2"/>
      <c r="Q5626">
        <f>_xlfn.XLOOKUP(E5626,CPT!$A$2:$A$13,CPT!$D$2:$D$13)</f>
        <v>38</v>
      </c>
      <c r="R5626" s="1">
        <f>_xlfn.XLOOKUP(C5626,Contract!$A$2:$A$9,Contract!$B$2:$B$9)</f>
        <v>0.45</v>
      </c>
      <c r="S5626" s="1">
        <f t="shared" si="348"/>
        <v>17.100000000000001</v>
      </c>
      <c r="T5626" s="1" t="str">
        <f t="shared" si="349"/>
        <v/>
      </c>
      <c r="U5626" s="1" t="str">
        <f t="shared" si="350"/>
        <v/>
      </c>
      <c r="V5626" s="1" t="str">
        <f>_xlfn.XLOOKUP(C5626,Payers!$A$2:$A$9,Payers!$B$2:$B$9)</f>
        <v>Blue Horizon Commercial</v>
      </c>
      <c r="W5626" s="1" t="str">
        <f t="shared" si="351"/>
        <v>2026-09</v>
      </c>
    </row>
    <row r="5627" spans="1:23">
      <c r="A5627" s="1" t="s">
        <v>8485</v>
      </c>
      <c r="B5627" s="1" t="s">
        <v>6265</v>
      </c>
      <c r="C5627" s="1" t="s">
        <v>60</v>
      </c>
      <c r="D5627" s="1" t="s">
        <v>26</v>
      </c>
      <c r="E5627" s="1" t="s">
        <v>57</v>
      </c>
      <c r="F5627">
        <v>1</v>
      </c>
      <c r="G5627" s="2">
        <v>45944</v>
      </c>
      <c r="H5627" s="2">
        <v>45945</v>
      </c>
      <c r="I5627">
        <v>213.02</v>
      </c>
      <c r="M5627" s="1" t="s">
        <v>32</v>
      </c>
      <c r="N5627" s="1" t="s">
        <v>281</v>
      </c>
      <c r="O5627" s="2">
        <v>45978</v>
      </c>
      <c r="P5627" s="2"/>
      <c r="Q5627">
        <f>_xlfn.XLOOKUP(E5627,CPT!$A$2:$A$13,CPT!$D$2:$D$13)</f>
        <v>210</v>
      </c>
      <c r="R5627" s="1">
        <f>_xlfn.XLOOKUP(C5627,Contract!$A$2:$A$9,Contract!$B$2:$B$9)</f>
        <v>0.45</v>
      </c>
      <c r="S5627" s="1">
        <f t="shared" si="348"/>
        <v>94.5</v>
      </c>
      <c r="T5627" s="1" t="str">
        <f t="shared" si="349"/>
        <v/>
      </c>
      <c r="U5627" s="1" t="str">
        <f t="shared" si="350"/>
        <v/>
      </c>
      <c r="V5627" s="1" t="str">
        <f>_xlfn.XLOOKUP(C5627,Payers!$A$2:$A$9,Payers!$B$2:$B$9)</f>
        <v>Blue Horizon Commercial</v>
      </c>
      <c r="W5627" s="1" t="str">
        <f t="shared" si="351"/>
        <v>2025-10</v>
      </c>
    </row>
    <row r="5628" spans="1:23">
      <c r="A5628" s="1" t="s">
        <v>8486</v>
      </c>
      <c r="B5628" s="1" t="s">
        <v>8487</v>
      </c>
      <c r="C5628" s="1" t="s">
        <v>25</v>
      </c>
      <c r="D5628" s="1" t="s">
        <v>37</v>
      </c>
      <c r="E5628" s="1" t="s">
        <v>38</v>
      </c>
      <c r="F5628">
        <v>20</v>
      </c>
      <c r="G5628" s="2">
        <v>46016</v>
      </c>
      <c r="H5628" s="2">
        <v>46017</v>
      </c>
      <c r="I5628">
        <v>29299.94</v>
      </c>
      <c r="J5628">
        <v>11319.01</v>
      </c>
      <c r="K5628">
        <v>11319.01</v>
      </c>
      <c r="L5628">
        <v>0</v>
      </c>
      <c r="M5628" s="1" t="s">
        <v>21</v>
      </c>
      <c r="N5628" s="1" t="s">
        <v>22</v>
      </c>
      <c r="O5628" s="2">
        <v>46032</v>
      </c>
      <c r="P5628" s="2">
        <v>46032</v>
      </c>
      <c r="Q5628">
        <f>_xlfn.XLOOKUP(E5628,CPT!$A$2:$A$13,CPT!$D$2:$D$13)</f>
        <v>1450</v>
      </c>
      <c r="R5628" s="1">
        <f>_xlfn.XLOOKUP(C5628,Contract!$A$2:$A$9,Contract!$B$2:$B$9)</f>
        <v>0.36</v>
      </c>
      <c r="S5628" s="1">
        <f t="shared" si="348"/>
        <v>10440</v>
      </c>
      <c r="T5628" s="1">
        <f t="shared" si="349"/>
        <v>-879.01000000000022</v>
      </c>
      <c r="U5628" s="1" t="str">
        <f t="shared" si="350"/>
        <v>OK</v>
      </c>
      <c r="V5628" s="1" t="str">
        <f>_xlfn.XLOOKUP(C5628,Payers!$A$2:$A$9,Payers!$B$2:$B$9)</f>
        <v>Medicare Part B</v>
      </c>
      <c r="W5628" s="1" t="str">
        <f t="shared" si="351"/>
        <v>2025-12</v>
      </c>
    </row>
    <row r="5629" spans="1:23">
      <c r="A5629" s="1" t="s">
        <v>8488</v>
      </c>
      <c r="B5629" s="1" t="s">
        <v>8489</v>
      </c>
      <c r="C5629" s="1" t="s">
        <v>52</v>
      </c>
      <c r="D5629" s="1" t="s">
        <v>26</v>
      </c>
      <c r="E5629" s="1" t="s">
        <v>41</v>
      </c>
      <c r="F5629">
        <v>1</v>
      </c>
      <c r="G5629" s="2">
        <v>46176</v>
      </c>
      <c r="H5629" s="2">
        <v>46177</v>
      </c>
      <c r="I5629">
        <v>38.29</v>
      </c>
      <c r="M5629" s="1" t="s">
        <v>32</v>
      </c>
      <c r="N5629" s="1" t="s">
        <v>33</v>
      </c>
      <c r="O5629" s="2">
        <v>46232</v>
      </c>
      <c r="P5629" s="2"/>
      <c r="Q5629">
        <f>_xlfn.XLOOKUP(E5629,CPT!$A$2:$A$13,CPT!$D$2:$D$13)</f>
        <v>38</v>
      </c>
      <c r="R5629" s="1">
        <f>_xlfn.XLOOKUP(C5629,Contract!$A$2:$A$9,Contract!$B$2:$B$9)</f>
        <v>0.47</v>
      </c>
      <c r="S5629" s="1">
        <f t="shared" si="348"/>
        <v>17.86</v>
      </c>
      <c r="T5629" s="1" t="str">
        <f t="shared" si="349"/>
        <v/>
      </c>
      <c r="U5629" s="1" t="str">
        <f t="shared" si="350"/>
        <v/>
      </c>
      <c r="V5629" s="1" t="str">
        <f>_xlfn.XLOOKUP(C5629,Payers!$A$2:$A$9,Payers!$B$2:$B$9)</f>
        <v>Keystone Commercial PPO</v>
      </c>
      <c r="W5629" s="1" t="str">
        <f t="shared" si="351"/>
        <v>2026-06</v>
      </c>
    </row>
    <row r="5630" spans="1:23">
      <c r="A5630" s="1" t="s">
        <v>8490</v>
      </c>
      <c r="B5630" s="1" t="s">
        <v>3352</v>
      </c>
      <c r="C5630" s="1" t="s">
        <v>25</v>
      </c>
      <c r="D5630" s="1" t="s">
        <v>30</v>
      </c>
      <c r="E5630" s="1" t="s">
        <v>20</v>
      </c>
      <c r="F5630">
        <v>1</v>
      </c>
      <c r="G5630" s="2">
        <v>46066</v>
      </c>
      <c r="H5630" s="2">
        <v>46070</v>
      </c>
      <c r="I5630">
        <v>147.13</v>
      </c>
      <c r="J5630">
        <v>53.31</v>
      </c>
      <c r="K5630">
        <v>53.31</v>
      </c>
      <c r="L5630">
        <v>0</v>
      </c>
      <c r="M5630" s="1" t="s">
        <v>21</v>
      </c>
      <c r="N5630" s="1" t="s">
        <v>22</v>
      </c>
      <c r="O5630" s="2">
        <v>46092</v>
      </c>
      <c r="P5630" s="2">
        <v>46092</v>
      </c>
      <c r="Q5630">
        <f>_xlfn.XLOOKUP(E5630,CPT!$A$2:$A$13,CPT!$D$2:$D$13)</f>
        <v>145</v>
      </c>
      <c r="R5630" s="1">
        <f>_xlfn.XLOOKUP(C5630,Contract!$A$2:$A$9,Contract!$B$2:$B$9)</f>
        <v>0.36</v>
      </c>
      <c r="S5630" s="1">
        <f t="shared" si="348"/>
        <v>52.2</v>
      </c>
      <c r="T5630" s="1">
        <f t="shared" si="349"/>
        <v>-1.1099999999999994</v>
      </c>
      <c r="U5630" s="1" t="str">
        <f t="shared" si="350"/>
        <v>OK</v>
      </c>
      <c r="V5630" s="1" t="str">
        <f>_xlfn.XLOOKUP(C5630,Payers!$A$2:$A$9,Payers!$B$2:$B$9)</f>
        <v>Medicare Part B</v>
      </c>
      <c r="W5630" s="1" t="str">
        <f t="shared" si="351"/>
        <v>2026-02</v>
      </c>
    </row>
    <row r="5631" spans="1:23">
      <c r="A5631" s="1" t="s">
        <v>8491</v>
      </c>
      <c r="B5631" s="1" t="s">
        <v>2051</v>
      </c>
      <c r="C5631" s="1" t="s">
        <v>36</v>
      </c>
      <c r="D5631" s="1" t="s">
        <v>37</v>
      </c>
      <c r="E5631" s="1" t="s">
        <v>48</v>
      </c>
      <c r="F5631">
        <v>1</v>
      </c>
      <c r="G5631" s="2">
        <v>46043</v>
      </c>
      <c r="H5631" s="2">
        <v>46045</v>
      </c>
      <c r="I5631">
        <v>432.59</v>
      </c>
      <c r="J5631">
        <v>120.07</v>
      </c>
      <c r="K5631">
        <v>108.06</v>
      </c>
      <c r="L5631">
        <v>12.01</v>
      </c>
      <c r="M5631" s="1" t="s">
        <v>21</v>
      </c>
      <c r="N5631" s="1" t="s">
        <v>22</v>
      </c>
      <c r="O5631" s="2">
        <v>46065</v>
      </c>
      <c r="P5631" s="2">
        <v>46065</v>
      </c>
      <c r="Q5631">
        <f>_xlfn.XLOOKUP(E5631,CPT!$A$2:$A$13,CPT!$D$2:$D$13)</f>
        <v>420</v>
      </c>
      <c r="R5631" s="1">
        <f>_xlfn.XLOOKUP(C5631,Contract!$A$2:$A$9,Contract!$B$2:$B$9)</f>
        <v>0.27</v>
      </c>
      <c r="S5631" s="1">
        <f t="shared" si="348"/>
        <v>113.4</v>
      </c>
      <c r="T5631" s="1">
        <f t="shared" si="349"/>
        <v>-6.6699999999999875</v>
      </c>
      <c r="U5631" s="1" t="str">
        <f t="shared" si="350"/>
        <v>OK</v>
      </c>
      <c r="V5631" s="1" t="str">
        <f>_xlfn.XLOOKUP(C5631,Payers!$A$2:$A$9,Payers!$B$2:$B$9)</f>
        <v>Florida Medicaid</v>
      </c>
      <c r="W5631" s="1" t="str">
        <f t="shared" si="351"/>
        <v>2026-01</v>
      </c>
    </row>
    <row r="5632" spans="1:23">
      <c r="A5632" s="1" t="s">
        <v>8492</v>
      </c>
      <c r="B5632" s="1" t="s">
        <v>4407</v>
      </c>
      <c r="C5632" s="1" t="s">
        <v>36</v>
      </c>
      <c r="D5632" s="1" t="s">
        <v>19</v>
      </c>
      <c r="E5632" s="1" t="s">
        <v>41</v>
      </c>
      <c r="F5632">
        <v>1</v>
      </c>
      <c r="G5632" s="2">
        <v>45945</v>
      </c>
      <c r="H5632" s="2">
        <v>45950</v>
      </c>
      <c r="I5632">
        <v>38.82</v>
      </c>
      <c r="J5632">
        <v>8.98</v>
      </c>
      <c r="K5632">
        <v>7.18</v>
      </c>
      <c r="L5632">
        <v>1.8</v>
      </c>
      <c r="M5632" s="1" t="s">
        <v>21</v>
      </c>
      <c r="N5632" s="1" t="s">
        <v>22</v>
      </c>
      <c r="O5632" s="2">
        <v>45973</v>
      </c>
      <c r="P5632" s="2">
        <v>45973</v>
      </c>
      <c r="Q5632">
        <f>_xlfn.XLOOKUP(E5632,CPT!$A$2:$A$13,CPT!$D$2:$D$13)</f>
        <v>38</v>
      </c>
      <c r="R5632" s="1">
        <f>_xlfn.XLOOKUP(C5632,Contract!$A$2:$A$9,Contract!$B$2:$B$9)</f>
        <v>0.27</v>
      </c>
      <c r="S5632" s="1">
        <f t="shared" si="348"/>
        <v>10.26</v>
      </c>
      <c r="T5632" s="1">
        <f t="shared" si="349"/>
        <v>1.2799999999999994</v>
      </c>
      <c r="U5632" s="1" t="str">
        <f t="shared" si="350"/>
        <v>Underpaid</v>
      </c>
      <c r="V5632" s="1" t="str">
        <f>_xlfn.XLOOKUP(C5632,Payers!$A$2:$A$9,Payers!$B$2:$B$9)</f>
        <v>Florida Medicaid</v>
      </c>
      <c r="W5632" s="1" t="str">
        <f t="shared" si="351"/>
        <v>2025-10</v>
      </c>
    </row>
    <row r="5633" spans="1:23">
      <c r="A5633" s="1" t="s">
        <v>8493</v>
      </c>
      <c r="B5633" s="1" t="s">
        <v>8494</v>
      </c>
      <c r="C5633" s="1" t="s">
        <v>18</v>
      </c>
      <c r="D5633" s="1" t="s">
        <v>30</v>
      </c>
      <c r="E5633" s="1" t="s">
        <v>91</v>
      </c>
      <c r="F5633">
        <v>4</v>
      </c>
      <c r="G5633" s="2">
        <v>46200</v>
      </c>
      <c r="H5633" s="2">
        <v>46211</v>
      </c>
      <c r="I5633">
        <v>233.18</v>
      </c>
      <c r="J5633">
        <v>81.319999999999993</v>
      </c>
      <c r="K5633">
        <v>81.319999999999993</v>
      </c>
      <c r="L5633">
        <v>0</v>
      </c>
      <c r="M5633" s="1" t="s">
        <v>21</v>
      </c>
      <c r="N5633" s="1" t="s">
        <v>22</v>
      </c>
      <c r="O5633" s="2">
        <v>46261</v>
      </c>
      <c r="P5633" s="2">
        <v>46261</v>
      </c>
      <c r="Q5633">
        <f>_xlfn.XLOOKUP(E5633,CPT!$A$2:$A$13,CPT!$D$2:$D$13)</f>
        <v>58</v>
      </c>
      <c r="R5633" s="1">
        <f>_xlfn.XLOOKUP(C5633,Contract!$A$2:$A$9,Contract!$B$2:$B$9)</f>
        <v>0.38</v>
      </c>
      <c r="S5633" s="1">
        <f t="shared" si="348"/>
        <v>88.16</v>
      </c>
      <c r="T5633" s="1">
        <f t="shared" si="349"/>
        <v>6.8400000000000034</v>
      </c>
      <c r="U5633" s="1" t="str">
        <f t="shared" si="350"/>
        <v>Underpaid</v>
      </c>
      <c r="V5633" s="1" t="str">
        <f>_xlfn.XLOOKUP(C5633,Payers!$A$2:$A$9,Payers!$B$2:$B$9)</f>
        <v>Sunshine Medicare Advantage</v>
      </c>
      <c r="W5633" s="1" t="str">
        <f t="shared" si="351"/>
        <v>2026-06</v>
      </c>
    </row>
    <row r="5634" spans="1:23">
      <c r="A5634" s="1" t="s">
        <v>8495</v>
      </c>
      <c r="B5634" s="1" t="s">
        <v>1909</v>
      </c>
      <c r="C5634" s="1" t="s">
        <v>60</v>
      </c>
      <c r="D5634" s="1" t="s">
        <v>19</v>
      </c>
      <c r="E5634" s="1" t="s">
        <v>41</v>
      </c>
      <c r="F5634">
        <v>1</v>
      </c>
      <c r="G5634" s="2">
        <v>46158</v>
      </c>
      <c r="H5634" s="2">
        <v>46162</v>
      </c>
      <c r="I5634">
        <v>38.659999999999997</v>
      </c>
      <c r="J5634">
        <v>18.420000000000002</v>
      </c>
      <c r="K5634">
        <v>14.74</v>
      </c>
      <c r="L5634">
        <v>3.68</v>
      </c>
      <c r="M5634" s="1" t="s">
        <v>21</v>
      </c>
      <c r="N5634" s="1" t="s">
        <v>22</v>
      </c>
      <c r="O5634" s="2">
        <v>46187</v>
      </c>
      <c r="P5634" s="2">
        <v>46187</v>
      </c>
      <c r="Q5634">
        <f>_xlfn.XLOOKUP(E5634,CPT!$A$2:$A$13,CPT!$D$2:$D$13)</f>
        <v>38</v>
      </c>
      <c r="R5634" s="1">
        <f>_xlfn.XLOOKUP(C5634,Contract!$A$2:$A$9,Contract!$B$2:$B$9)</f>
        <v>0.45</v>
      </c>
      <c r="S5634" s="1">
        <f t="shared" ref="S5634:S5697" si="352">ROUND(Q5634*F5634*R5634,2)</f>
        <v>17.100000000000001</v>
      </c>
      <c r="T5634" s="1">
        <f t="shared" ref="T5634:T5697" si="353">IF(M5634="Paid",S5634-J5634,"")</f>
        <v>-1.3200000000000003</v>
      </c>
      <c r="U5634" s="1" t="str">
        <f t="shared" ref="U5634:U5697" si="354">IF(M5634&lt;&gt;"Paid","",IF(T5634&gt;S5634*0.05,"Underpaid","OK"))</f>
        <v>OK</v>
      </c>
      <c r="V5634" s="1" t="str">
        <f>_xlfn.XLOOKUP(C5634,Payers!$A$2:$A$9,Payers!$B$2:$B$9)</f>
        <v>Blue Horizon Commercial</v>
      </c>
      <c r="W5634" s="1" t="str">
        <f t="shared" ref="W5634:W5697" si="355">TEXT(G5634,"yyyy-mm")</f>
        <v>2026-05</v>
      </c>
    </row>
    <row r="5635" spans="1:23">
      <c r="A5635" s="1" t="s">
        <v>8496</v>
      </c>
      <c r="B5635" s="1" t="s">
        <v>8497</v>
      </c>
      <c r="C5635" s="1" t="s">
        <v>60</v>
      </c>
      <c r="D5635" s="1" t="s">
        <v>37</v>
      </c>
      <c r="E5635" s="1" t="s">
        <v>57</v>
      </c>
      <c r="F5635">
        <v>1</v>
      </c>
      <c r="G5635" s="2">
        <v>46253</v>
      </c>
      <c r="H5635" s="2">
        <v>46258</v>
      </c>
      <c r="I5635">
        <v>212.33</v>
      </c>
      <c r="J5635">
        <v>104.09</v>
      </c>
      <c r="K5635">
        <v>104.09</v>
      </c>
      <c r="L5635">
        <v>0</v>
      </c>
      <c r="M5635" s="1" t="s">
        <v>21</v>
      </c>
      <c r="N5635" s="1" t="s">
        <v>22</v>
      </c>
      <c r="O5635" s="2">
        <v>46286</v>
      </c>
      <c r="P5635" s="2">
        <v>46286</v>
      </c>
      <c r="Q5635">
        <f>_xlfn.XLOOKUP(E5635,CPT!$A$2:$A$13,CPT!$D$2:$D$13)</f>
        <v>210</v>
      </c>
      <c r="R5635" s="1">
        <f>_xlfn.XLOOKUP(C5635,Contract!$A$2:$A$9,Contract!$B$2:$B$9)</f>
        <v>0.45</v>
      </c>
      <c r="S5635" s="1">
        <f t="shared" si="352"/>
        <v>94.5</v>
      </c>
      <c r="T5635" s="1">
        <f t="shared" si="353"/>
        <v>-9.5900000000000034</v>
      </c>
      <c r="U5635" s="1" t="str">
        <f t="shared" si="354"/>
        <v>OK</v>
      </c>
      <c r="V5635" s="1" t="str">
        <f>_xlfn.XLOOKUP(C5635,Payers!$A$2:$A$9,Payers!$B$2:$B$9)</f>
        <v>Blue Horizon Commercial</v>
      </c>
      <c r="W5635" s="1" t="str">
        <f t="shared" si="355"/>
        <v>2026-08</v>
      </c>
    </row>
    <row r="5636" spans="1:23">
      <c r="A5636" s="1" t="s">
        <v>8498</v>
      </c>
      <c r="B5636" s="1" t="s">
        <v>5761</v>
      </c>
      <c r="C5636" s="1" t="s">
        <v>25</v>
      </c>
      <c r="D5636" s="1" t="s">
        <v>19</v>
      </c>
      <c r="E5636" s="1" t="s">
        <v>88</v>
      </c>
      <c r="F5636">
        <v>1</v>
      </c>
      <c r="G5636" s="2">
        <v>46077</v>
      </c>
      <c r="H5636" s="2">
        <v>46081</v>
      </c>
      <c r="I5636">
        <v>260.72000000000003</v>
      </c>
      <c r="J5636">
        <v>95.96</v>
      </c>
      <c r="K5636">
        <v>95.96</v>
      </c>
      <c r="L5636">
        <v>0</v>
      </c>
      <c r="M5636" s="1" t="s">
        <v>21</v>
      </c>
      <c r="N5636" s="1" t="s">
        <v>22</v>
      </c>
      <c r="O5636" s="2">
        <v>46104</v>
      </c>
      <c r="P5636" s="2">
        <v>46104</v>
      </c>
      <c r="Q5636">
        <f>_xlfn.XLOOKUP(E5636,CPT!$A$2:$A$13,CPT!$D$2:$D$13)</f>
        <v>260</v>
      </c>
      <c r="R5636" s="1">
        <f>_xlfn.XLOOKUP(C5636,Contract!$A$2:$A$9,Contract!$B$2:$B$9)</f>
        <v>0.36</v>
      </c>
      <c r="S5636" s="1">
        <f t="shared" si="352"/>
        <v>93.6</v>
      </c>
      <c r="T5636" s="1">
        <f t="shared" si="353"/>
        <v>-2.3599999999999994</v>
      </c>
      <c r="U5636" s="1" t="str">
        <f t="shared" si="354"/>
        <v>OK</v>
      </c>
      <c r="V5636" s="1" t="str">
        <f>_xlfn.XLOOKUP(C5636,Payers!$A$2:$A$9,Payers!$B$2:$B$9)</f>
        <v>Medicare Part B</v>
      </c>
      <c r="W5636" s="1" t="str">
        <f t="shared" si="355"/>
        <v>2026-02</v>
      </c>
    </row>
    <row r="5637" spans="1:23">
      <c r="A5637" s="1" t="s">
        <v>8499</v>
      </c>
      <c r="B5637" s="1" t="s">
        <v>1333</v>
      </c>
      <c r="C5637" s="1" t="s">
        <v>76</v>
      </c>
      <c r="D5637" s="1" t="s">
        <v>37</v>
      </c>
      <c r="E5637" s="1" t="s">
        <v>38</v>
      </c>
      <c r="F5637">
        <v>30</v>
      </c>
      <c r="G5637" s="2">
        <v>46177</v>
      </c>
      <c r="H5637" s="2">
        <v>46180</v>
      </c>
      <c r="I5637">
        <v>44194.63</v>
      </c>
      <c r="J5637">
        <v>17464.79</v>
      </c>
      <c r="K5637">
        <v>13971.83</v>
      </c>
      <c r="L5637">
        <v>3492.96</v>
      </c>
      <c r="M5637" s="1" t="s">
        <v>21</v>
      </c>
      <c r="N5637" s="1" t="s">
        <v>22</v>
      </c>
      <c r="O5637" s="2">
        <v>46218</v>
      </c>
      <c r="P5637" s="2">
        <v>46218</v>
      </c>
      <c r="Q5637">
        <f>_xlfn.XLOOKUP(E5637,CPT!$A$2:$A$13,CPT!$D$2:$D$13)</f>
        <v>1450</v>
      </c>
      <c r="R5637" s="1">
        <f>_xlfn.XLOOKUP(C5637,Contract!$A$2:$A$9,Contract!$B$2:$B$9)</f>
        <v>0.43</v>
      </c>
      <c r="S5637" s="1">
        <f t="shared" si="352"/>
        <v>18705</v>
      </c>
      <c r="T5637" s="1">
        <f t="shared" si="353"/>
        <v>1240.2099999999991</v>
      </c>
      <c r="U5637" s="1" t="str">
        <f t="shared" si="354"/>
        <v>Underpaid</v>
      </c>
      <c r="V5637" s="1" t="str">
        <f>_xlfn.XLOOKUP(C5637,Payers!$A$2:$A$9,Payers!$B$2:$B$9)</f>
        <v>Summit Health Commercial</v>
      </c>
      <c r="W5637" s="1" t="str">
        <f t="shared" si="355"/>
        <v>2026-06</v>
      </c>
    </row>
    <row r="5638" spans="1:23">
      <c r="A5638" s="1" t="s">
        <v>8500</v>
      </c>
      <c r="B5638" s="1" t="s">
        <v>3463</v>
      </c>
      <c r="C5638" s="1" t="s">
        <v>36</v>
      </c>
      <c r="D5638" s="1" t="s">
        <v>19</v>
      </c>
      <c r="E5638" s="1" t="s">
        <v>88</v>
      </c>
      <c r="F5638">
        <v>1</v>
      </c>
      <c r="G5638" s="2">
        <v>46127</v>
      </c>
      <c r="H5638" s="2">
        <v>46130</v>
      </c>
      <c r="I5638">
        <v>257.23</v>
      </c>
      <c r="J5638">
        <v>72.95</v>
      </c>
      <c r="K5638">
        <v>65.650000000000006</v>
      </c>
      <c r="L5638">
        <v>7.3</v>
      </c>
      <c r="M5638" s="1" t="s">
        <v>21</v>
      </c>
      <c r="N5638" s="1" t="s">
        <v>22</v>
      </c>
      <c r="O5638" s="2">
        <v>46184</v>
      </c>
      <c r="P5638" s="2">
        <v>46184</v>
      </c>
      <c r="Q5638">
        <f>_xlfn.XLOOKUP(E5638,CPT!$A$2:$A$13,CPT!$D$2:$D$13)</f>
        <v>260</v>
      </c>
      <c r="R5638" s="1">
        <f>_xlfn.XLOOKUP(C5638,Contract!$A$2:$A$9,Contract!$B$2:$B$9)</f>
        <v>0.27</v>
      </c>
      <c r="S5638" s="1">
        <f t="shared" si="352"/>
        <v>70.2</v>
      </c>
      <c r="T5638" s="1">
        <f t="shared" si="353"/>
        <v>-2.75</v>
      </c>
      <c r="U5638" s="1" t="str">
        <f t="shared" si="354"/>
        <v>OK</v>
      </c>
      <c r="V5638" s="1" t="str">
        <f>_xlfn.XLOOKUP(C5638,Payers!$A$2:$A$9,Payers!$B$2:$B$9)</f>
        <v>Florida Medicaid</v>
      </c>
      <c r="W5638" s="1" t="str">
        <f t="shared" si="355"/>
        <v>2026-04</v>
      </c>
    </row>
    <row r="5639" spans="1:23">
      <c r="A5639" s="1" t="s">
        <v>8501</v>
      </c>
      <c r="B5639" s="1" t="s">
        <v>8205</v>
      </c>
      <c r="C5639" s="1" t="s">
        <v>60</v>
      </c>
      <c r="D5639" s="1" t="s">
        <v>37</v>
      </c>
      <c r="E5639" s="1" t="s">
        <v>38</v>
      </c>
      <c r="F5639">
        <v>30</v>
      </c>
      <c r="G5639" s="2">
        <v>46136</v>
      </c>
      <c r="H5639" s="2">
        <v>46137</v>
      </c>
      <c r="I5639">
        <v>42701.4</v>
      </c>
      <c r="J5639">
        <v>21271.41</v>
      </c>
      <c r="K5639">
        <v>17017.13</v>
      </c>
      <c r="L5639">
        <v>4254.28</v>
      </c>
      <c r="M5639" s="1" t="s">
        <v>21</v>
      </c>
      <c r="N5639" s="1" t="s">
        <v>22</v>
      </c>
      <c r="O5639" s="2">
        <v>46157</v>
      </c>
      <c r="P5639" s="2">
        <v>46157</v>
      </c>
      <c r="Q5639">
        <f>_xlfn.XLOOKUP(E5639,CPT!$A$2:$A$13,CPT!$D$2:$D$13)</f>
        <v>1450</v>
      </c>
      <c r="R5639" s="1">
        <f>_xlfn.XLOOKUP(C5639,Contract!$A$2:$A$9,Contract!$B$2:$B$9)</f>
        <v>0.45</v>
      </c>
      <c r="S5639" s="1">
        <f t="shared" si="352"/>
        <v>19575</v>
      </c>
      <c r="T5639" s="1">
        <f t="shared" si="353"/>
        <v>-1696.4099999999999</v>
      </c>
      <c r="U5639" s="1" t="str">
        <f t="shared" si="354"/>
        <v>OK</v>
      </c>
      <c r="V5639" s="1" t="str">
        <f>_xlfn.XLOOKUP(C5639,Payers!$A$2:$A$9,Payers!$B$2:$B$9)</f>
        <v>Blue Horizon Commercial</v>
      </c>
      <c r="W5639" s="1" t="str">
        <f t="shared" si="355"/>
        <v>2026-04</v>
      </c>
    </row>
    <row r="5640" spans="1:23">
      <c r="A5640" s="1" t="s">
        <v>8502</v>
      </c>
      <c r="B5640" s="1" t="s">
        <v>6483</v>
      </c>
      <c r="C5640" s="1" t="s">
        <v>60</v>
      </c>
      <c r="D5640" s="1" t="s">
        <v>30</v>
      </c>
      <c r="E5640" s="1" t="s">
        <v>31</v>
      </c>
      <c r="F5640">
        <v>4</v>
      </c>
      <c r="G5640" s="2">
        <v>46105</v>
      </c>
      <c r="H5640" s="2">
        <v>46117</v>
      </c>
      <c r="I5640">
        <v>250.73</v>
      </c>
      <c r="J5640">
        <v>125.02</v>
      </c>
      <c r="K5640">
        <v>100.02</v>
      </c>
      <c r="L5640">
        <v>25</v>
      </c>
      <c r="M5640" s="1" t="s">
        <v>21</v>
      </c>
      <c r="N5640" s="1" t="s">
        <v>22</v>
      </c>
      <c r="O5640" s="2">
        <v>46139</v>
      </c>
      <c r="P5640" s="2">
        <v>46139</v>
      </c>
      <c r="Q5640">
        <f>_xlfn.XLOOKUP(E5640,CPT!$A$2:$A$13,CPT!$D$2:$D$13)</f>
        <v>62</v>
      </c>
      <c r="R5640" s="1">
        <f>_xlfn.XLOOKUP(C5640,Contract!$A$2:$A$9,Contract!$B$2:$B$9)</f>
        <v>0.45</v>
      </c>
      <c r="S5640" s="1">
        <f t="shared" si="352"/>
        <v>111.6</v>
      </c>
      <c r="T5640" s="1">
        <f t="shared" si="353"/>
        <v>-13.420000000000002</v>
      </c>
      <c r="U5640" s="1" t="str">
        <f t="shared" si="354"/>
        <v>OK</v>
      </c>
      <c r="V5640" s="1" t="str">
        <f>_xlfn.XLOOKUP(C5640,Payers!$A$2:$A$9,Payers!$B$2:$B$9)</f>
        <v>Blue Horizon Commercial</v>
      </c>
      <c r="W5640" s="1" t="str">
        <f t="shared" si="355"/>
        <v>2026-03</v>
      </c>
    </row>
    <row r="5641" spans="1:23">
      <c r="A5641" s="1" t="s">
        <v>8503</v>
      </c>
      <c r="B5641" s="1" t="s">
        <v>5079</v>
      </c>
      <c r="C5641" s="1" t="s">
        <v>52</v>
      </c>
      <c r="D5641" s="1" t="s">
        <v>19</v>
      </c>
      <c r="E5641" s="1" t="s">
        <v>57</v>
      </c>
      <c r="F5641">
        <v>1</v>
      </c>
      <c r="G5641" s="2">
        <v>45945</v>
      </c>
      <c r="H5641" s="2">
        <v>45946</v>
      </c>
      <c r="I5641">
        <v>206.46</v>
      </c>
      <c r="M5641" s="1" t="s">
        <v>32</v>
      </c>
      <c r="N5641" s="1" t="s">
        <v>98</v>
      </c>
      <c r="O5641" s="2">
        <v>46005</v>
      </c>
      <c r="P5641" s="2"/>
      <c r="Q5641">
        <f>_xlfn.XLOOKUP(E5641,CPT!$A$2:$A$13,CPT!$D$2:$D$13)</f>
        <v>210</v>
      </c>
      <c r="R5641" s="1">
        <f>_xlfn.XLOOKUP(C5641,Contract!$A$2:$A$9,Contract!$B$2:$B$9)</f>
        <v>0.47</v>
      </c>
      <c r="S5641" s="1">
        <f t="shared" si="352"/>
        <v>98.7</v>
      </c>
      <c r="T5641" s="1" t="str">
        <f t="shared" si="353"/>
        <v/>
      </c>
      <c r="U5641" s="1" t="str">
        <f t="shared" si="354"/>
        <v/>
      </c>
      <c r="V5641" s="1" t="str">
        <f>_xlfn.XLOOKUP(C5641,Payers!$A$2:$A$9,Payers!$B$2:$B$9)</f>
        <v>Keystone Commercial PPO</v>
      </c>
      <c r="W5641" s="1" t="str">
        <f t="shared" si="355"/>
        <v>2025-10</v>
      </c>
    </row>
    <row r="5642" spans="1:23">
      <c r="A5642" s="1" t="s">
        <v>8504</v>
      </c>
      <c r="B5642" s="1" t="s">
        <v>8238</v>
      </c>
      <c r="C5642" s="1" t="s">
        <v>47</v>
      </c>
      <c r="D5642" s="1" t="s">
        <v>19</v>
      </c>
      <c r="E5642" s="1" t="s">
        <v>88</v>
      </c>
      <c r="F5642">
        <v>1</v>
      </c>
      <c r="G5642" s="2">
        <v>46283</v>
      </c>
      <c r="H5642" s="2">
        <v>46287</v>
      </c>
      <c r="I5642">
        <v>263.27999999999997</v>
      </c>
      <c r="M5642" s="1" t="s">
        <v>69</v>
      </c>
      <c r="N5642" s="1" t="s">
        <v>22</v>
      </c>
      <c r="O5642" s="2"/>
      <c r="P5642" s="2"/>
      <c r="Q5642">
        <f>_xlfn.XLOOKUP(E5642,CPT!$A$2:$A$13,CPT!$D$2:$D$13)</f>
        <v>260</v>
      </c>
      <c r="R5642" s="1">
        <f>_xlfn.XLOOKUP(C5642,Contract!$A$2:$A$9,Contract!$B$2:$B$9)</f>
        <v>0.28000000000000003</v>
      </c>
      <c r="S5642" s="1">
        <f t="shared" si="352"/>
        <v>72.8</v>
      </c>
      <c r="T5642" s="1" t="str">
        <f t="shared" si="353"/>
        <v/>
      </c>
      <c r="U5642" s="1" t="str">
        <f t="shared" si="354"/>
        <v/>
      </c>
      <c r="V5642" s="1" t="str">
        <f>_xlfn.XLOOKUP(C5642,Payers!$A$2:$A$9,Payers!$B$2:$B$9)</f>
        <v>Coastal Medicaid MCO</v>
      </c>
      <c r="W5642" s="1" t="str">
        <f t="shared" si="355"/>
        <v>2026-09</v>
      </c>
    </row>
    <row r="5643" spans="1:23">
      <c r="A5643" s="1" t="s">
        <v>8505</v>
      </c>
      <c r="B5643" s="1" t="s">
        <v>3813</v>
      </c>
      <c r="C5643" s="1" t="s">
        <v>47</v>
      </c>
      <c r="D5643" s="1" t="s">
        <v>19</v>
      </c>
      <c r="E5643" s="1" t="s">
        <v>41</v>
      </c>
      <c r="F5643">
        <v>1</v>
      </c>
      <c r="G5643" s="2">
        <v>46203</v>
      </c>
      <c r="H5643" s="2">
        <v>46204</v>
      </c>
      <c r="I5643">
        <v>38.200000000000003</v>
      </c>
      <c r="M5643" s="1" t="s">
        <v>32</v>
      </c>
      <c r="N5643" s="1" t="s">
        <v>33</v>
      </c>
      <c r="O5643" s="2">
        <v>46271</v>
      </c>
      <c r="P5643" s="2"/>
      <c r="Q5643">
        <f>_xlfn.XLOOKUP(E5643,CPT!$A$2:$A$13,CPT!$D$2:$D$13)</f>
        <v>38</v>
      </c>
      <c r="R5643" s="1">
        <f>_xlfn.XLOOKUP(C5643,Contract!$A$2:$A$9,Contract!$B$2:$B$9)</f>
        <v>0.28000000000000003</v>
      </c>
      <c r="S5643" s="1">
        <f t="shared" si="352"/>
        <v>10.64</v>
      </c>
      <c r="T5643" s="1" t="str">
        <f t="shared" si="353"/>
        <v/>
      </c>
      <c r="U5643" s="1" t="str">
        <f t="shared" si="354"/>
        <v/>
      </c>
      <c r="V5643" s="1" t="str">
        <f>_xlfn.XLOOKUP(C5643,Payers!$A$2:$A$9,Payers!$B$2:$B$9)</f>
        <v>Coastal Medicaid MCO</v>
      </c>
      <c r="W5643" s="1" t="str">
        <f t="shared" si="355"/>
        <v>2026-06</v>
      </c>
    </row>
    <row r="5644" spans="1:23">
      <c r="A5644" s="1" t="s">
        <v>8506</v>
      </c>
      <c r="B5644" s="1" t="s">
        <v>8507</v>
      </c>
      <c r="C5644" s="1" t="s">
        <v>60</v>
      </c>
      <c r="D5644" s="1" t="s">
        <v>26</v>
      </c>
      <c r="E5644" s="1" t="s">
        <v>57</v>
      </c>
      <c r="F5644">
        <v>1</v>
      </c>
      <c r="G5644" s="2">
        <v>46284</v>
      </c>
      <c r="H5644" s="2">
        <v>46285</v>
      </c>
      <c r="I5644">
        <v>211.35</v>
      </c>
      <c r="M5644" s="1" t="s">
        <v>69</v>
      </c>
      <c r="N5644" s="1" t="s">
        <v>22</v>
      </c>
      <c r="O5644" s="2"/>
      <c r="P5644" s="2"/>
      <c r="Q5644">
        <f>_xlfn.XLOOKUP(E5644,CPT!$A$2:$A$13,CPT!$D$2:$D$13)</f>
        <v>210</v>
      </c>
      <c r="R5644" s="1">
        <f>_xlfn.XLOOKUP(C5644,Contract!$A$2:$A$9,Contract!$B$2:$B$9)</f>
        <v>0.45</v>
      </c>
      <c r="S5644" s="1">
        <f t="shared" si="352"/>
        <v>94.5</v>
      </c>
      <c r="T5644" s="1" t="str">
        <f t="shared" si="353"/>
        <v/>
      </c>
      <c r="U5644" s="1" t="str">
        <f t="shared" si="354"/>
        <v/>
      </c>
      <c r="V5644" s="1" t="str">
        <f>_xlfn.XLOOKUP(C5644,Payers!$A$2:$A$9,Payers!$B$2:$B$9)</f>
        <v>Blue Horizon Commercial</v>
      </c>
      <c r="W5644" s="1" t="str">
        <f t="shared" si="355"/>
        <v>2026-09</v>
      </c>
    </row>
    <row r="5645" spans="1:23">
      <c r="A5645" s="1" t="s">
        <v>8508</v>
      </c>
      <c r="B5645" s="1" t="s">
        <v>2756</v>
      </c>
      <c r="C5645" s="1" t="s">
        <v>18</v>
      </c>
      <c r="D5645" s="1" t="s">
        <v>26</v>
      </c>
      <c r="E5645" s="1" t="s">
        <v>57</v>
      </c>
      <c r="F5645">
        <v>1</v>
      </c>
      <c r="G5645" s="2">
        <v>46181</v>
      </c>
      <c r="H5645" s="2">
        <v>46194</v>
      </c>
      <c r="I5645">
        <v>215.33</v>
      </c>
      <c r="J5645">
        <v>87.96</v>
      </c>
      <c r="K5645">
        <v>87.96</v>
      </c>
      <c r="L5645">
        <v>0</v>
      </c>
      <c r="M5645" s="1" t="s">
        <v>21</v>
      </c>
      <c r="N5645" s="1" t="s">
        <v>22</v>
      </c>
      <c r="O5645" s="2">
        <v>46260</v>
      </c>
      <c r="P5645" s="2">
        <v>46260</v>
      </c>
      <c r="Q5645">
        <f>_xlfn.XLOOKUP(E5645,CPT!$A$2:$A$13,CPT!$D$2:$D$13)</f>
        <v>210</v>
      </c>
      <c r="R5645" s="1">
        <f>_xlfn.XLOOKUP(C5645,Contract!$A$2:$A$9,Contract!$B$2:$B$9)</f>
        <v>0.38</v>
      </c>
      <c r="S5645" s="1">
        <f t="shared" si="352"/>
        <v>79.8</v>
      </c>
      <c r="T5645" s="1">
        <f t="shared" si="353"/>
        <v>-8.1599999999999966</v>
      </c>
      <c r="U5645" s="1" t="str">
        <f t="shared" si="354"/>
        <v>OK</v>
      </c>
      <c r="V5645" s="1" t="str">
        <f>_xlfn.XLOOKUP(C5645,Payers!$A$2:$A$9,Payers!$B$2:$B$9)</f>
        <v>Sunshine Medicare Advantage</v>
      </c>
      <c r="W5645" s="1" t="str">
        <f t="shared" si="355"/>
        <v>2026-06</v>
      </c>
    </row>
    <row r="5646" spans="1:23">
      <c r="A5646" s="1" t="s">
        <v>8509</v>
      </c>
      <c r="B5646" s="1" t="s">
        <v>1039</v>
      </c>
      <c r="C5646" s="1" t="s">
        <v>76</v>
      </c>
      <c r="D5646" s="1" t="s">
        <v>26</v>
      </c>
      <c r="E5646" s="1" t="s">
        <v>27</v>
      </c>
      <c r="F5646">
        <v>1</v>
      </c>
      <c r="G5646" s="2">
        <v>46245</v>
      </c>
      <c r="H5646" s="2">
        <v>46253</v>
      </c>
      <c r="I5646">
        <v>244.89</v>
      </c>
      <c r="J5646">
        <v>90.51</v>
      </c>
      <c r="K5646">
        <v>72.41</v>
      </c>
      <c r="L5646">
        <v>18.100000000000001</v>
      </c>
      <c r="M5646" s="1" t="s">
        <v>21</v>
      </c>
      <c r="N5646" s="1" t="s">
        <v>22</v>
      </c>
      <c r="O5646" s="2">
        <v>46281</v>
      </c>
      <c r="P5646" s="2">
        <v>46281</v>
      </c>
      <c r="Q5646">
        <f>_xlfn.XLOOKUP(E5646,CPT!$A$2:$A$13,CPT!$D$2:$D$13)</f>
        <v>240</v>
      </c>
      <c r="R5646" s="1">
        <f>_xlfn.XLOOKUP(C5646,Contract!$A$2:$A$9,Contract!$B$2:$B$9)</f>
        <v>0.43</v>
      </c>
      <c r="S5646" s="1">
        <f t="shared" si="352"/>
        <v>103.2</v>
      </c>
      <c r="T5646" s="1">
        <f t="shared" si="353"/>
        <v>12.689999999999998</v>
      </c>
      <c r="U5646" s="1" t="str">
        <f t="shared" si="354"/>
        <v>Underpaid</v>
      </c>
      <c r="V5646" s="1" t="str">
        <f>_xlfn.XLOOKUP(C5646,Payers!$A$2:$A$9,Payers!$B$2:$B$9)</f>
        <v>Summit Health Commercial</v>
      </c>
      <c r="W5646" s="1" t="str">
        <f t="shared" si="355"/>
        <v>2026-08</v>
      </c>
    </row>
    <row r="5647" spans="1:23">
      <c r="A5647" s="1" t="s">
        <v>8510</v>
      </c>
      <c r="B5647" s="1" t="s">
        <v>2415</v>
      </c>
      <c r="C5647" s="1" t="s">
        <v>76</v>
      </c>
      <c r="D5647" s="1" t="s">
        <v>19</v>
      </c>
      <c r="E5647" s="1" t="s">
        <v>20</v>
      </c>
      <c r="F5647">
        <v>1</v>
      </c>
      <c r="G5647" s="2">
        <v>45990</v>
      </c>
      <c r="H5647" s="2">
        <v>45994</v>
      </c>
      <c r="I5647">
        <v>146.63</v>
      </c>
      <c r="J5647">
        <v>53.92</v>
      </c>
      <c r="K5647">
        <v>43.14</v>
      </c>
      <c r="L5647">
        <v>10.78</v>
      </c>
      <c r="M5647" s="1" t="s">
        <v>21</v>
      </c>
      <c r="N5647" s="1" t="s">
        <v>22</v>
      </c>
      <c r="O5647" s="2">
        <v>46029</v>
      </c>
      <c r="P5647" s="2">
        <v>46029</v>
      </c>
      <c r="Q5647">
        <f>_xlfn.XLOOKUP(E5647,CPT!$A$2:$A$13,CPT!$D$2:$D$13)</f>
        <v>145</v>
      </c>
      <c r="R5647" s="1">
        <f>_xlfn.XLOOKUP(C5647,Contract!$A$2:$A$9,Contract!$B$2:$B$9)</f>
        <v>0.43</v>
      </c>
      <c r="S5647" s="1">
        <f t="shared" si="352"/>
        <v>62.35</v>
      </c>
      <c r="T5647" s="1">
        <f t="shared" si="353"/>
        <v>8.43</v>
      </c>
      <c r="U5647" s="1" t="str">
        <f t="shared" si="354"/>
        <v>Underpaid</v>
      </c>
      <c r="V5647" s="1" t="str">
        <f>_xlfn.XLOOKUP(C5647,Payers!$A$2:$A$9,Payers!$B$2:$B$9)</f>
        <v>Summit Health Commercial</v>
      </c>
      <c r="W5647" s="1" t="str">
        <f t="shared" si="355"/>
        <v>2025-11</v>
      </c>
    </row>
    <row r="5648" spans="1:23">
      <c r="A5648" s="1" t="s">
        <v>8511</v>
      </c>
      <c r="B5648" s="1" t="s">
        <v>8512</v>
      </c>
      <c r="C5648" s="1" t="s">
        <v>52</v>
      </c>
      <c r="D5648" s="1" t="s">
        <v>37</v>
      </c>
      <c r="E5648" s="1" t="s">
        <v>48</v>
      </c>
      <c r="F5648">
        <v>1</v>
      </c>
      <c r="G5648" s="2">
        <v>46132</v>
      </c>
      <c r="H5648" s="2">
        <v>46133</v>
      </c>
      <c r="I5648">
        <v>429.59</v>
      </c>
      <c r="J5648">
        <v>207.64</v>
      </c>
      <c r="K5648">
        <v>186.88</v>
      </c>
      <c r="L5648">
        <v>20.76</v>
      </c>
      <c r="M5648" s="1" t="s">
        <v>21</v>
      </c>
      <c r="N5648" s="1" t="s">
        <v>22</v>
      </c>
      <c r="O5648" s="2">
        <v>46162</v>
      </c>
      <c r="P5648" s="2">
        <v>46162</v>
      </c>
      <c r="Q5648">
        <f>_xlfn.XLOOKUP(E5648,CPT!$A$2:$A$13,CPT!$D$2:$D$13)</f>
        <v>420</v>
      </c>
      <c r="R5648" s="1">
        <f>_xlfn.XLOOKUP(C5648,Contract!$A$2:$A$9,Contract!$B$2:$B$9)</f>
        <v>0.47</v>
      </c>
      <c r="S5648" s="1">
        <f t="shared" si="352"/>
        <v>197.4</v>
      </c>
      <c r="T5648" s="1">
        <f t="shared" si="353"/>
        <v>-10.239999999999981</v>
      </c>
      <c r="U5648" s="1" t="str">
        <f t="shared" si="354"/>
        <v>OK</v>
      </c>
      <c r="V5648" s="1" t="str">
        <f>_xlfn.XLOOKUP(C5648,Payers!$A$2:$A$9,Payers!$B$2:$B$9)</f>
        <v>Keystone Commercial PPO</v>
      </c>
      <c r="W5648" s="1" t="str">
        <f t="shared" si="355"/>
        <v>2026-04</v>
      </c>
    </row>
    <row r="5649" spans="1:23">
      <c r="A5649" s="1" t="s">
        <v>8513</v>
      </c>
      <c r="B5649" s="1" t="s">
        <v>3302</v>
      </c>
      <c r="C5649" s="1" t="s">
        <v>18</v>
      </c>
      <c r="D5649" s="1" t="s">
        <v>37</v>
      </c>
      <c r="E5649" s="1" t="s">
        <v>57</v>
      </c>
      <c r="F5649">
        <v>1</v>
      </c>
      <c r="G5649" s="2">
        <v>45949</v>
      </c>
      <c r="H5649" s="2">
        <v>45952</v>
      </c>
      <c r="I5649">
        <v>214.25</v>
      </c>
      <c r="J5649">
        <v>70.36</v>
      </c>
      <c r="K5649">
        <v>70.36</v>
      </c>
      <c r="L5649">
        <v>0</v>
      </c>
      <c r="M5649" s="1" t="s">
        <v>21</v>
      </c>
      <c r="N5649" s="1" t="s">
        <v>22</v>
      </c>
      <c r="O5649" s="2">
        <v>45995</v>
      </c>
      <c r="P5649" s="2">
        <v>45995</v>
      </c>
      <c r="Q5649">
        <f>_xlfn.XLOOKUP(E5649,CPT!$A$2:$A$13,CPT!$D$2:$D$13)</f>
        <v>210</v>
      </c>
      <c r="R5649" s="1">
        <f>_xlfn.XLOOKUP(C5649,Contract!$A$2:$A$9,Contract!$B$2:$B$9)</f>
        <v>0.38</v>
      </c>
      <c r="S5649" s="1">
        <f t="shared" si="352"/>
        <v>79.8</v>
      </c>
      <c r="T5649" s="1">
        <f t="shared" si="353"/>
        <v>9.4399999999999977</v>
      </c>
      <c r="U5649" s="1" t="str">
        <f t="shared" si="354"/>
        <v>Underpaid</v>
      </c>
      <c r="V5649" s="1" t="str">
        <f>_xlfn.XLOOKUP(C5649,Payers!$A$2:$A$9,Payers!$B$2:$B$9)</f>
        <v>Sunshine Medicare Advantage</v>
      </c>
      <c r="W5649" s="1" t="str">
        <f t="shared" si="355"/>
        <v>2025-10</v>
      </c>
    </row>
    <row r="5650" spans="1:23">
      <c r="A5650" s="1" t="s">
        <v>8514</v>
      </c>
      <c r="B5650" s="1" t="s">
        <v>2439</v>
      </c>
      <c r="C5650" s="1" t="s">
        <v>25</v>
      </c>
      <c r="D5650" s="1" t="s">
        <v>37</v>
      </c>
      <c r="E5650" s="1" t="s">
        <v>57</v>
      </c>
      <c r="F5650">
        <v>1</v>
      </c>
      <c r="G5650" s="2">
        <v>46221</v>
      </c>
      <c r="H5650" s="2">
        <v>46226</v>
      </c>
      <c r="I5650">
        <v>209.55</v>
      </c>
      <c r="J5650">
        <v>78.849999999999994</v>
      </c>
      <c r="K5650">
        <v>70.97</v>
      </c>
      <c r="L5650">
        <v>7.88</v>
      </c>
      <c r="M5650" s="1" t="s">
        <v>21</v>
      </c>
      <c r="N5650" s="1" t="s">
        <v>22</v>
      </c>
      <c r="O5650" s="2">
        <v>46255</v>
      </c>
      <c r="P5650" s="2">
        <v>46255</v>
      </c>
      <c r="Q5650">
        <f>_xlfn.XLOOKUP(E5650,CPT!$A$2:$A$13,CPT!$D$2:$D$13)</f>
        <v>210</v>
      </c>
      <c r="R5650" s="1">
        <f>_xlfn.XLOOKUP(C5650,Contract!$A$2:$A$9,Contract!$B$2:$B$9)</f>
        <v>0.36</v>
      </c>
      <c r="S5650" s="1">
        <f t="shared" si="352"/>
        <v>75.599999999999994</v>
      </c>
      <c r="T5650" s="1">
        <f t="shared" si="353"/>
        <v>-3.25</v>
      </c>
      <c r="U5650" s="1" t="str">
        <f t="shared" si="354"/>
        <v>OK</v>
      </c>
      <c r="V5650" s="1" t="str">
        <f>_xlfn.XLOOKUP(C5650,Payers!$A$2:$A$9,Payers!$B$2:$B$9)</f>
        <v>Medicare Part B</v>
      </c>
      <c r="W5650" s="1" t="str">
        <f t="shared" si="355"/>
        <v>2026-07</v>
      </c>
    </row>
    <row r="5651" spans="1:23">
      <c r="A5651" s="1" t="s">
        <v>8515</v>
      </c>
      <c r="B5651" s="1" t="s">
        <v>3965</v>
      </c>
      <c r="C5651" s="1" t="s">
        <v>60</v>
      </c>
      <c r="D5651" s="1" t="s">
        <v>30</v>
      </c>
      <c r="E5651" s="1" t="s">
        <v>91</v>
      </c>
      <c r="F5651">
        <v>1</v>
      </c>
      <c r="G5651" s="2">
        <v>45931</v>
      </c>
      <c r="H5651" s="2">
        <v>45933</v>
      </c>
      <c r="I5651">
        <v>58.39</v>
      </c>
      <c r="J5651">
        <v>26.31</v>
      </c>
      <c r="K5651">
        <v>21.05</v>
      </c>
      <c r="L5651">
        <v>5.26</v>
      </c>
      <c r="M5651" s="1" t="s">
        <v>21</v>
      </c>
      <c r="N5651" s="1" t="s">
        <v>22</v>
      </c>
      <c r="O5651" s="2">
        <v>45968</v>
      </c>
      <c r="P5651" s="2">
        <v>45968</v>
      </c>
      <c r="Q5651">
        <f>_xlfn.XLOOKUP(E5651,CPT!$A$2:$A$13,CPT!$D$2:$D$13)</f>
        <v>58</v>
      </c>
      <c r="R5651" s="1">
        <f>_xlfn.XLOOKUP(C5651,Contract!$A$2:$A$9,Contract!$B$2:$B$9)</f>
        <v>0.45</v>
      </c>
      <c r="S5651" s="1">
        <f t="shared" si="352"/>
        <v>26.1</v>
      </c>
      <c r="T5651" s="1">
        <f t="shared" si="353"/>
        <v>-0.2099999999999973</v>
      </c>
      <c r="U5651" s="1" t="str">
        <f t="shared" si="354"/>
        <v>OK</v>
      </c>
      <c r="V5651" s="1" t="str">
        <f>_xlfn.XLOOKUP(C5651,Payers!$A$2:$A$9,Payers!$B$2:$B$9)</f>
        <v>Blue Horizon Commercial</v>
      </c>
      <c r="W5651" s="1" t="str">
        <f t="shared" si="355"/>
        <v>2025-10</v>
      </c>
    </row>
    <row r="5652" spans="1:23">
      <c r="A5652" s="1" t="s">
        <v>8516</v>
      </c>
      <c r="B5652" s="1" t="s">
        <v>720</v>
      </c>
      <c r="C5652" s="1" t="s">
        <v>52</v>
      </c>
      <c r="D5652" s="1" t="s">
        <v>37</v>
      </c>
      <c r="E5652" s="1" t="s">
        <v>48</v>
      </c>
      <c r="F5652">
        <v>1</v>
      </c>
      <c r="G5652" s="2">
        <v>46047</v>
      </c>
      <c r="H5652" s="2">
        <v>46050</v>
      </c>
      <c r="I5652">
        <v>426.3</v>
      </c>
      <c r="J5652">
        <v>174.87</v>
      </c>
      <c r="K5652">
        <v>174.87</v>
      </c>
      <c r="L5652">
        <v>0</v>
      </c>
      <c r="M5652" s="1" t="s">
        <v>21</v>
      </c>
      <c r="N5652" s="1" t="s">
        <v>22</v>
      </c>
      <c r="O5652" s="2">
        <v>46145</v>
      </c>
      <c r="P5652" s="2">
        <v>46145</v>
      </c>
      <c r="Q5652">
        <f>_xlfn.XLOOKUP(E5652,CPT!$A$2:$A$13,CPT!$D$2:$D$13)</f>
        <v>420</v>
      </c>
      <c r="R5652" s="1">
        <f>_xlfn.XLOOKUP(C5652,Contract!$A$2:$A$9,Contract!$B$2:$B$9)</f>
        <v>0.47</v>
      </c>
      <c r="S5652" s="1">
        <f t="shared" si="352"/>
        <v>197.4</v>
      </c>
      <c r="T5652" s="1">
        <f t="shared" si="353"/>
        <v>22.53</v>
      </c>
      <c r="U5652" s="1" t="str">
        <f t="shared" si="354"/>
        <v>Underpaid</v>
      </c>
      <c r="V5652" s="1" t="str">
        <f>_xlfn.XLOOKUP(C5652,Payers!$A$2:$A$9,Payers!$B$2:$B$9)</f>
        <v>Keystone Commercial PPO</v>
      </c>
      <c r="W5652" s="1" t="str">
        <f t="shared" si="355"/>
        <v>2026-01</v>
      </c>
    </row>
    <row r="5653" spans="1:23">
      <c r="A5653" s="1" t="s">
        <v>8517</v>
      </c>
      <c r="B5653" s="1" t="s">
        <v>8055</v>
      </c>
      <c r="C5653" s="1" t="s">
        <v>18</v>
      </c>
      <c r="D5653" s="1" t="s">
        <v>19</v>
      </c>
      <c r="E5653" s="1" t="s">
        <v>57</v>
      </c>
      <c r="F5653">
        <v>1</v>
      </c>
      <c r="G5653" s="2">
        <v>45975</v>
      </c>
      <c r="H5653" s="2">
        <v>45998</v>
      </c>
      <c r="I5653">
        <v>216.11</v>
      </c>
      <c r="M5653" s="1" t="s">
        <v>32</v>
      </c>
      <c r="N5653" s="1" t="s">
        <v>281</v>
      </c>
      <c r="O5653" s="2">
        <v>46038</v>
      </c>
      <c r="P5653" s="2"/>
      <c r="Q5653">
        <f>_xlfn.XLOOKUP(E5653,CPT!$A$2:$A$13,CPT!$D$2:$D$13)</f>
        <v>210</v>
      </c>
      <c r="R5653" s="1">
        <f>_xlfn.XLOOKUP(C5653,Contract!$A$2:$A$9,Contract!$B$2:$B$9)</f>
        <v>0.38</v>
      </c>
      <c r="S5653" s="1">
        <f t="shared" si="352"/>
        <v>79.8</v>
      </c>
      <c r="T5653" s="1" t="str">
        <f t="shared" si="353"/>
        <v/>
      </c>
      <c r="U5653" s="1" t="str">
        <f t="shared" si="354"/>
        <v/>
      </c>
      <c r="V5653" s="1" t="str">
        <f>_xlfn.XLOOKUP(C5653,Payers!$A$2:$A$9,Payers!$B$2:$B$9)</f>
        <v>Sunshine Medicare Advantage</v>
      </c>
      <c r="W5653" s="1" t="str">
        <f t="shared" si="355"/>
        <v>2025-11</v>
      </c>
    </row>
    <row r="5654" spans="1:23">
      <c r="A5654" s="1" t="s">
        <v>8518</v>
      </c>
      <c r="B5654" s="1" t="s">
        <v>4544</v>
      </c>
      <c r="C5654" s="1" t="s">
        <v>76</v>
      </c>
      <c r="D5654" s="1" t="s">
        <v>30</v>
      </c>
      <c r="E5654" s="1" t="s">
        <v>20</v>
      </c>
      <c r="F5654">
        <v>1</v>
      </c>
      <c r="G5654" s="2">
        <v>45957</v>
      </c>
      <c r="H5654" s="2">
        <v>45961</v>
      </c>
      <c r="I5654">
        <v>145.18</v>
      </c>
      <c r="J5654">
        <v>63.43</v>
      </c>
      <c r="K5654">
        <v>63.43</v>
      </c>
      <c r="L5654">
        <v>0</v>
      </c>
      <c r="M5654" s="1" t="s">
        <v>21</v>
      </c>
      <c r="N5654" s="1" t="s">
        <v>22</v>
      </c>
      <c r="O5654" s="2">
        <v>46016</v>
      </c>
      <c r="P5654" s="2">
        <v>46016</v>
      </c>
      <c r="Q5654">
        <f>_xlfn.XLOOKUP(E5654,CPT!$A$2:$A$13,CPT!$D$2:$D$13)</f>
        <v>145</v>
      </c>
      <c r="R5654" s="1">
        <f>_xlfn.XLOOKUP(C5654,Contract!$A$2:$A$9,Contract!$B$2:$B$9)</f>
        <v>0.43</v>
      </c>
      <c r="S5654" s="1">
        <f t="shared" si="352"/>
        <v>62.35</v>
      </c>
      <c r="T5654" s="1">
        <f t="shared" si="353"/>
        <v>-1.0799999999999983</v>
      </c>
      <c r="U5654" s="1" t="str">
        <f t="shared" si="354"/>
        <v>OK</v>
      </c>
      <c r="V5654" s="1" t="str">
        <f>_xlfn.XLOOKUP(C5654,Payers!$A$2:$A$9,Payers!$B$2:$B$9)</f>
        <v>Summit Health Commercial</v>
      </c>
      <c r="W5654" s="1" t="str">
        <f t="shared" si="355"/>
        <v>2025-10</v>
      </c>
    </row>
    <row r="5655" spans="1:23">
      <c r="A5655" s="1" t="s">
        <v>8519</v>
      </c>
      <c r="B5655" s="1" t="s">
        <v>4762</v>
      </c>
      <c r="C5655" s="1" t="s">
        <v>52</v>
      </c>
      <c r="D5655" s="1" t="s">
        <v>26</v>
      </c>
      <c r="E5655" s="1" t="s">
        <v>44</v>
      </c>
      <c r="F5655">
        <v>1</v>
      </c>
      <c r="G5655" s="2">
        <v>46113</v>
      </c>
      <c r="H5655" s="2">
        <v>46114</v>
      </c>
      <c r="I5655">
        <v>4831.7299999999996</v>
      </c>
      <c r="J5655">
        <v>1993.97</v>
      </c>
      <c r="K5655">
        <v>1595.18</v>
      </c>
      <c r="L5655">
        <v>398.79</v>
      </c>
      <c r="M5655" s="1" t="s">
        <v>21</v>
      </c>
      <c r="N5655" s="1" t="s">
        <v>22</v>
      </c>
      <c r="O5655" s="2">
        <v>46171</v>
      </c>
      <c r="P5655" s="2">
        <v>46171</v>
      </c>
      <c r="Q5655">
        <f>_xlfn.XLOOKUP(E5655,CPT!$A$2:$A$13,CPT!$D$2:$D$13)</f>
        <v>4800</v>
      </c>
      <c r="R5655" s="1">
        <f>_xlfn.XLOOKUP(C5655,Contract!$A$2:$A$9,Contract!$B$2:$B$9)</f>
        <v>0.47</v>
      </c>
      <c r="S5655" s="1">
        <f t="shared" si="352"/>
        <v>2256</v>
      </c>
      <c r="T5655" s="1">
        <f t="shared" si="353"/>
        <v>262.02999999999997</v>
      </c>
      <c r="U5655" s="1" t="str">
        <f t="shared" si="354"/>
        <v>Underpaid</v>
      </c>
      <c r="V5655" s="1" t="str">
        <f>_xlfn.XLOOKUP(C5655,Payers!$A$2:$A$9,Payers!$B$2:$B$9)</f>
        <v>Keystone Commercial PPO</v>
      </c>
      <c r="W5655" s="1" t="str">
        <f t="shared" si="355"/>
        <v>2026-04</v>
      </c>
    </row>
    <row r="5656" spans="1:23">
      <c r="A5656" s="1" t="s">
        <v>8520</v>
      </c>
      <c r="B5656" s="1" t="s">
        <v>8521</v>
      </c>
      <c r="C5656" s="1" t="s">
        <v>60</v>
      </c>
      <c r="D5656" s="1" t="s">
        <v>19</v>
      </c>
      <c r="E5656" s="1" t="s">
        <v>41</v>
      </c>
      <c r="F5656">
        <v>1</v>
      </c>
      <c r="G5656" s="2">
        <v>46016</v>
      </c>
      <c r="H5656" s="2">
        <v>46030</v>
      </c>
      <c r="I5656">
        <v>36.89</v>
      </c>
      <c r="J5656">
        <v>18.59</v>
      </c>
      <c r="K5656">
        <v>18.59</v>
      </c>
      <c r="L5656">
        <v>0</v>
      </c>
      <c r="M5656" s="1" t="s">
        <v>21</v>
      </c>
      <c r="N5656" s="1" t="s">
        <v>22</v>
      </c>
      <c r="O5656" s="2">
        <v>46055</v>
      </c>
      <c r="P5656" s="2">
        <v>46055</v>
      </c>
      <c r="Q5656">
        <f>_xlfn.XLOOKUP(E5656,CPT!$A$2:$A$13,CPT!$D$2:$D$13)</f>
        <v>38</v>
      </c>
      <c r="R5656" s="1">
        <f>_xlfn.XLOOKUP(C5656,Contract!$A$2:$A$9,Contract!$B$2:$B$9)</f>
        <v>0.45</v>
      </c>
      <c r="S5656" s="1">
        <f t="shared" si="352"/>
        <v>17.100000000000001</v>
      </c>
      <c r="T5656" s="1">
        <f t="shared" si="353"/>
        <v>-1.4899999999999984</v>
      </c>
      <c r="U5656" s="1" t="str">
        <f t="shared" si="354"/>
        <v>OK</v>
      </c>
      <c r="V5656" s="1" t="str">
        <f>_xlfn.XLOOKUP(C5656,Payers!$A$2:$A$9,Payers!$B$2:$B$9)</f>
        <v>Blue Horizon Commercial</v>
      </c>
      <c r="W5656" s="1" t="str">
        <f t="shared" si="355"/>
        <v>2025-12</v>
      </c>
    </row>
    <row r="5657" spans="1:23">
      <c r="A5657" s="1" t="s">
        <v>8522</v>
      </c>
      <c r="B5657" s="1" t="s">
        <v>5321</v>
      </c>
      <c r="C5657" s="1" t="s">
        <v>52</v>
      </c>
      <c r="D5657" s="1" t="s">
        <v>26</v>
      </c>
      <c r="E5657" s="1" t="s">
        <v>185</v>
      </c>
      <c r="F5657">
        <v>1</v>
      </c>
      <c r="G5657" s="2">
        <v>46121</v>
      </c>
      <c r="H5657" s="2">
        <v>46141</v>
      </c>
      <c r="I5657">
        <v>1126</v>
      </c>
      <c r="J5657">
        <v>579.32000000000005</v>
      </c>
      <c r="K5657">
        <v>579.32000000000005</v>
      </c>
      <c r="L5657">
        <v>0</v>
      </c>
      <c r="M5657" s="1" t="s">
        <v>21</v>
      </c>
      <c r="N5657" s="1" t="s">
        <v>22</v>
      </c>
      <c r="O5657" s="2">
        <v>46187</v>
      </c>
      <c r="P5657" s="2">
        <v>46187</v>
      </c>
      <c r="Q5657">
        <f>_xlfn.XLOOKUP(E5657,CPT!$A$2:$A$13,CPT!$D$2:$D$13)</f>
        <v>1150</v>
      </c>
      <c r="R5657" s="1">
        <f>_xlfn.XLOOKUP(C5657,Contract!$A$2:$A$9,Contract!$B$2:$B$9)</f>
        <v>0.47</v>
      </c>
      <c r="S5657" s="1">
        <f t="shared" si="352"/>
        <v>540.5</v>
      </c>
      <c r="T5657" s="1">
        <f t="shared" si="353"/>
        <v>-38.82000000000005</v>
      </c>
      <c r="U5657" s="1" t="str">
        <f t="shared" si="354"/>
        <v>OK</v>
      </c>
      <c r="V5657" s="1" t="str">
        <f>_xlfn.XLOOKUP(C5657,Payers!$A$2:$A$9,Payers!$B$2:$B$9)</f>
        <v>Keystone Commercial PPO</v>
      </c>
      <c r="W5657" s="1" t="str">
        <f t="shared" si="355"/>
        <v>2026-04</v>
      </c>
    </row>
    <row r="5658" spans="1:23">
      <c r="A5658" s="1" t="s">
        <v>8523</v>
      </c>
      <c r="B5658" s="1" t="s">
        <v>5416</v>
      </c>
      <c r="C5658" s="1" t="s">
        <v>76</v>
      </c>
      <c r="D5658" s="1" t="s">
        <v>19</v>
      </c>
      <c r="E5658" s="1" t="s">
        <v>88</v>
      </c>
      <c r="F5658">
        <v>1</v>
      </c>
      <c r="G5658" s="2">
        <v>46167</v>
      </c>
      <c r="H5658" s="2">
        <v>46168</v>
      </c>
      <c r="I5658">
        <v>258.67</v>
      </c>
      <c r="J5658">
        <v>98.76</v>
      </c>
      <c r="K5658">
        <v>79.010000000000005</v>
      </c>
      <c r="L5658">
        <v>19.75</v>
      </c>
      <c r="M5658" s="1" t="s">
        <v>21</v>
      </c>
      <c r="N5658" s="1" t="s">
        <v>22</v>
      </c>
      <c r="O5658" s="2">
        <v>46202</v>
      </c>
      <c r="P5658" s="2">
        <v>46202</v>
      </c>
      <c r="Q5658">
        <f>_xlfn.XLOOKUP(E5658,CPT!$A$2:$A$13,CPT!$D$2:$D$13)</f>
        <v>260</v>
      </c>
      <c r="R5658" s="1">
        <f>_xlfn.XLOOKUP(C5658,Contract!$A$2:$A$9,Contract!$B$2:$B$9)</f>
        <v>0.43</v>
      </c>
      <c r="S5658" s="1">
        <f t="shared" si="352"/>
        <v>111.8</v>
      </c>
      <c r="T5658" s="1">
        <f t="shared" si="353"/>
        <v>13.039999999999992</v>
      </c>
      <c r="U5658" s="1" t="str">
        <f t="shared" si="354"/>
        <v>Underpaid</v>
      </c>
      <c r="V5658" s="1" t="str">
        <f>_xlfn.XLOOKUP(C5658,Payers!$A$2:$A$9,Payers!$B$2:$B$9)</f>
        <v>Summit Health Commercial</v>
      </c>
      <c r="W5658" s="1" t="str">
        <f t="shared" si="355"/>
        <v>2026-05</v>
      </c>
    </row>
    <row r="5659" spans="1:23">
      <c r="A5659" s="1" t="s">
        <v>8524</v>
      </c>
      <c r="B5659" s="1" t="s">
        <v>1642</v>
      </c>
      <c r="C5659" s="1" t="s">
        <v>47</v>
      </c>
      <c r="D5659" s="1" t="s">
        <v>26</v>
      </c>
      <c r="E5659" s="1" t="s">
        <v>113</v>
      </c>
      <c r="F5659">
        <v>1</v>
      </c>
      <c r="G5659" s="2">
        <v>46257</v>
      </c>
      <c r="H5659" s="2">
        <v>46260</v>
      </c>
      <c r="I5659">
        <v>1044.99</v>
      </c>
      <c r="M5659" s="1" t="s">
        <v>69</v>
      </c>
      <c r="N5659" s="1" t="s">
        <v>22</v>
      </c>
      <c r="O5659" s="2"/>
      <c r="P5659" s="2"/>
      <c r="Q5659">
        <f>_xlfn.XLOOKUP(E5659,CPT!$A$2:$A$13,CPT!$D$2:$D$13)</f>
        <v>1050</v>
      </c>
      <c r="R5659" s="1">
        <f>_xlfn.XLOOKUP(C5659,Contract!$A$2:$A$9,Contract!$B$2:$B$9)</f>
        <v>0.28000000000000003</v>
      </c>
      <c r="S5659" s="1">
        <f t="shared" si="352"/>
        <v>294</v>
      </c>
      <c r="T5659" s="1" t="str">
        <f t="shared" si="353"/>
        <v/>
      </c>
      <c r="U5659" s="1" t="str">
        <f t="shared" si="354"/>
        <v/>
      </c>
      <c r="V5659" s="1" t="str">
        <f>_xlfn.XLOOKUP(C5659,Payers!$A$2:$A$9,Payers!$B$2:$B$9)</f>
        <v>Coastal Medicaid MCO</v>
      </c>
      <c r="W5659" s="1" t="str">
        <f t="shared" si="355"/>
        <v>2026-08</v>
      </c>
    </row>
    <row r="5660" spans="1:23">
      <c r="A5660" s="1" t="s">
        <v>8525</v>
      </c>
      <c r="B5660" s="1" t="s">
        <v>2914</v>
      </c>
      <c r="C5660" s="1" t="s">
        <v>36</v>
      </c>
      <c r="D5660" s="1" t="s">
        <v>19</v>
      </c>
      <c r="E5660" s="1" t="s">
        <v>20</v>
      </c>
      <c r="F5660">
        <v>1</v>
      </c>
      <c r="G5660" s="2">
        <v>46220</v>
      </c>
      <c r="H5660" s="2">
        <v>46235</v>
      </c>
      <c r="I5660">
        <v>148.53</v>
      </c>
      <c r="J5660">
        <v>45.99</v>
      </c>
      <c r="K5660">
        <v>41.39</v>
      </c>
      <c r="L5660">
        <v>4.5999999999999996</v>
      </c>
      <c r="M5660" s="1" t="s">
        <v>21</v>
      </c>
      <c r="N5660" s="1" t="s">
        <v>22</v>
      </c>
      <c r="O5660" s="2">
        <v>46285</v>
      </c>
      <c r="P5660" s="2">
        <v>46285</v>
      </c>
      <c r="Q5660">
        <f>_xlfn.XLOOKUP(E5660,CPT!$A$2:$A$13,CPT!$D$2:$D$13)</f>
        <v>145</v>
      </c>
      <c r="R5660" s="1">
        <f>_xlfn.XLOOKUP(C5660,Contract!$A$2:$A$9,Contract!$B$2:$B$9)</f>
        <v>0.27</v>
      </c>
      <c r="S5660" s="1">
        <f t="shared" si="352"/>
        <v>39.15</v>
      </c>
      <c r="T5660" s="1">
        <f t="shared" si="353"/>
        <v>-6.8400000000000034</v>
      </c>
      <c r="U5660" s="1" t="str">
        <f t="shared" si="354"/>
        <v>OK</v>
      </c>
      <c r="V5660" s="1" t="str">
        <f>_xlfn.XLOOKUP(C5660,Payers!$A$2:$A$9,Payers!$B$2:$B$9)</f>
        <v>Florida Medicaid</v>
      </c>
      <c r="W5660" s="1" t="str">
        <f t="shared" si="355"/>
        <v>2026-07</v>
      </c>
    </row>
    <row r="5661" spans="1:23">
      <c r="A5661" s="1" t="s">
        <v>8526</v>
      </c>
      <c r="B5661" s="1" t="s">
        <v>1706</v>
      </c>
      <c r="C5661" s="1" t="s">
        <v>47</v>
      </c>
      <c r="D5661" s="1" t="s">
        <v>30</v>
      </c>
      <c r="E5661" s="1" t="s">
        <v>20</v>
      </c>
      <c r="F5661">
        <v>1</v>
      </c>
      <c r="G5661" s="2">
        <v>45997</v>
      </c>
      <c r="H5661" s="2">
        <v>46003</v>
      </c>
      <c r="I5661">
        <v>149.21</v>
      </c>
      <c r="M5661" s="1" t="s">
        <v>32</v>
      </c>
      <c r="N5661" s="1" t="s">
        <v>33</v>
      </c>
      <c r="O5661" s="2">
        <v>46049</v>
      </c>
      <c r="P5661" s="2"/>
      <c r="Q5661">
        <f>_xlfn.XLOOKUP(E5661,CPT!$A$2:$A$13,CPT!$D$2:$D$13)</f>
        <v>145</v>
      </c>
      <c r="R5661" s="1">
        <f>_xlfn.XLOOKUP(C5661,Contract!$A$2:$A$9,Contract!$B$2:$B$9)</f>
        <v>0.28000000000000003</v>
      </c>
      <c r="S5661" s="1">
        <f t="shared" si="352"/>
        <v>40.6</v>
      </c>
      <c r="T5661" s="1" t="str">
        <f t="shared" si="353"/>
        <v/>
      </c>
      <c r="U5661" s="1" t="str">
        <f t="shared" si="354"/>
        <v/>
      </c>
      <c r="V5661" s="1" t="str">
        <f>_xlfn.XLOOKUP(C5661,Payers!$A$2:$A$9,Payers!$B$2:$B$9)</f>
        <v>Coastal Medicaid MCO</v>
      </c>
      <c r="W5661" s="1" t="str">
        <f t="shared" si="355"/>
        <v>2025-12</v>
      </c>
    </row>
    <row r="5662" spans="1:23">
      <c r="A5662" s="1" t="s">
        <v>8527</v>
      </c>
      <c r="B5662" s="1" t="s">
        <v>7980</v>
      </c>
      <c r="C5662" s="1" t="s">
        <v>60</v>
      </c>
      <c r="D5662" s="1" t="s">
        <v>37</v>
      </c>
      <c r="E5662" s="1" t="s">
        <v>57</v>
      </c>
      <c r="F5662">
        <v>1</v>
      </c>
      <c r="G5662" s="2">
        <v>45963</v>
      </c>
      <c r="H5662" s="2">
        <v>45966</v>
      </c>
      <c r="I5662">
        <v>212.74</v>
      </c>
      <c r="J5662">
        <v>83.25</v>
      </c>
      <c r="K5662">
        <v>83.25</v>
      </c>
      <c r="L5662">
        <v>0</v>
      </c>
      <c r="M5662" s="1" t="s">
        <v>21</v>
      </c>
      <c r="N5662" s="1" t="s">
        <v>22</v>
      </c>
      <c r="O5662" s="2">
        <v>45979</v>
      </c>
      <c r="P5662" s="2">
        <v>45979</v>
      </c>
      <c r="Q5662">
        <f>_xlfn.XLOOKUP(E5662,CPT!$A$2:$A$13,CPT!$D$2:$D$13)</f>
        <v>210</v>
      </c>
      <c r="R5662" s="1">
        <f>_xlfn.XLOOKUP(C5662,Contract!$A$2:$A$9,Contract!$B$2:$B$9)</f>
        <v>0.45</v>
      </c>
      <c r="S5662" s="1">
        <f t="shared" si="352"/>
        <v>94.5</v>
      </c>
      <c r="T5662" s="1">
        <f t="shared" si="353"/>
        <v>11.25</v>
      </c>
      <c r="U5662" s="1" t="str">
        <f t="shared" si="354"/>
        <v>Underpaid</v>
      </c>
      <c r="V5662" s="1" t="str">
        <f>_xlfn.XLOOKUP(C5662,Payers!$A$2:$A$9,Payers!$B$2:$B$9)</f>
        <v>Blue Horizon Commercial</v>
      </c>
      <c r="W5662" s="1" t="str">
        <f t="shared" si="355"/>
        <v>2025-11</v>
      </c>
    </row>
    <row r="5663" spans="1:23">
      <c r="A5663" s="1" t="s">
        <v>8528</v>
      </c>
      <c r="B5663" s="1" t="s">
        <v>4249</v>
      </c>
      <c r="C5663" s="1" t="s">
        <v>25</v>
      </c>
      <c r="D5663" s="1" t="s">
        <v>19</v>
      </c>
      <c r="E5663" s="1" t="s">
        <v>20</v>
      </c>
      <c r="F5663">
        <v>1</v>
      </c>
      <c r="G5663" s="2">
        <v>46150</v>
      </c>
      <c r="H5663" s="2">
        <v>46154</v>
      </c>
      <c r="I5663">
        <v>141.86000000000001</v>
      </c>
      <c r="J5663">
        <v>47.37</v>
      </c>
      <c r="K5663">
        <v>37.9</v>
      </c>
      <c r="L5663">
        <v>9.4700000000000006</v>
      </c>
      <c r="M5663" s="1" t="s">
        <v>21</v>
      </c>
      <c r="N5663" s="1" t="s">
        <v>22</v>
      </c>
      <c r="O5663" s="2">
        <v>46168</v>
      </c>
      <c r="P5663" s="2">
        <v>46168</v>
      </c>
      <c r="Q5663">
        <f>_xlfn.XLOOKUP(E5663,CPT!$A$2:$A$13,CPT!$D$2:$D$13)</f>
        <v>145</v>
      </c>
      <c r="R5663" s="1">
        <f>_xlfn.XLOOKUP(C5663,Contract!$A$2:$A$9,Contract!$B$2:$B$9)</f>
        <v>0.36</v>
      </c>
      <c r="S5663" s="1">
        <f t="shared" si="352"/>
        <v>52.2</v>
      </c>
      <c r="T5663" s="1">
        <f t="shared" si="353"/>
        <v>4.8300000000000054</v>
      </c>
      <c r="U5663" s="1" t="str">
        <f t="shared" si="354"/>
        <v>Underpaid</v>
      </c>
      <c r="V5663" s="1" t="str">
        <f>_xlfn.XLOOKUP(C5663,Payers!$A$2:$A$9,Payers!$B$2:$B$9)</f>
        <v>Medicare Part B</v>
      </c>
      <c r="W5663" s="1" t="str">
        <f t="shared" si="355"/>
        <v>2026-05</v>
      </c>
    </row>
    <row r="5664" spans="1:23">
      <c r="A5664" s="1" t="s">
        <v>8529</v>
      </c>
      <c r="B5664" s="1" t="s">
        <v>8530</v>
      </c>
      <c r="C5664" s="1" t="s">
        <v>60</v>
      </c>
      <c r="D5664" s="1" t="s">
        <v>19</v>
      </c>
      <c r="E5664" s="1" t="s">
        <v>41</v>
      </c>
      <c r="F5664">
        <v>1</v>
      </c>
      <c r="G5664" s="2">
        <v>46136</v>
      </c>
      <c r="H5664" s="2">
        <v>46145</v>
      </c>
      <c r="I5664">
        <v>39.11</v>
      </c>
      <c r="J5664">
        <v>14.91</v>
      </c>
      <c r="K5664">
        <v>11.93</v>
      </c>
      <c r="L5664">
        <v>2.98</v>
      </c>
      <c r="M5664" s="1" t="s">
        <v>21</v>
      </c>
      <c r="N5664" s="1" t="s">
        <v>22</v>
      </c>
      <c r="O5664" s="2">
        <v>46174</v>
      </c>
      <c r="P5664" s="2">
        <v>46174</v>
      </c>
      <c r="Q5664">
        <f>_xlfn.XLOOKUP(E5664,CPT!$A$2:$A$13,CPT!$D$2:$D$13)</f>
        <v>38</v>
      </c>
      <c r="R5664" s="1">
        <f>_xlfn.XLOOKUP(C5664,Contract!$A$2:$A$9,Contract!$B$2:$B$9)</f>
        <v>0.45</v>
      </c>
      <c r="S5664" s="1">
        <f t="shared" si="352"/>
        <v>17.100000000000001</v>
      </c>
      <c r="T5664" s="1">
        <f t="shared" si="353"/>
        <v>2.1900000000000013</v>
      </c>
      <c r="U5664" s="1" t="str">
        <f t="shared" si="354"/>
        <v>Underpaid</v>
      </c>
      <c r="V5664" s="1" t="str">
        <f>_xlfn.XLOOKUP(C5664,Payers!$A$2:$A$9,Payers!$B$2:$B$9)</f>
        <v>Blue Horizon Commercial</v>
      </c>
      <c r="W5664" s="1" t="str">
        <f t="shared" si="355"/>
        <v>2026-04</v>
      </c>
    </row>
    <row r="5665" spans="1:23">
      <c r="A5665" s="1" t="s">
        <v>8531</v>
      </c>
      <c r="B5665" s="1" t="s">
        <v>8532</v>
      </c>
      <c r="C5665" s="1" t="s">
        <v>18</v>
      </c>
      <c r="D5665" s="1" t="s">
        <v>37</v>
      </c>
      <c r="E5665" s="1" t="s">
        <v>57</v>
      </c>
      <c r="F5665">
        <v>1</v>
      </c>
      <c r="G5665" s="2">
        <v>45953</v>
      </c>
      <c r="H5665" s="2">
        <v>45955</v>
      </c>
      <c r="I5665">
        <v>209.17</v>
      </c>
      <c r="J5665">
        <v>76.010000000000005</v>
      </c>
      <c r="K5665">
        <v>76.010000000000005</v>
      </c>
      <c r="L5665">
        <v>0</v>
      </c>
      <c r="M5665" s="1" t="s">
        <v>21</v>
      </c>
      <c r="N5665" s="1" t="s">
        <v>22</v>
      </c>
      <c r="O5665" s="2">
        <v>46007</v>
      </c>
      <c r="P5665" s="2">
        <v>46007</v>
      </c>
      <c r="Q5665">
        <f>_xlfn.XLOOKUP(E5665,CPT!$A$2:$A$13,CPT!$D$2:$D$13)</f>
        <v>210</v>
      </c>
      <c r="R5665" s="1">
        <f>_xlfn.XLOOKUP(C5665,Contract!$A$2:$A$9,Contract!$B$2:$B$9)</f>
        <v>0.38</v>
      </c>
      <c r="S5665" s="1">
        <f t="shared" si="352"/>
        <v>79.8</v>
      </c>
      <c r="T5665" s="1">
        <f t="shared" si="353"/>
        <v>3.789999999999992</v>
      </c>
      <c r="U5665" s="1" t="str">
        <f t="shared" si="354"/>
        <v>OK</v>
      </c>
      <c r="V5665" s="1" t="str">
        <f>_xlfn.XLOOKUP(C5665,Payers!$A$2:$A$9,Payers!$B$2:$B$9)</f>
        <v>Sunshine Medicare Advantage</v>
      </c>
      <c r="W5665" s="1" t="str">
        <f t="shared" si="355"/>
        <v>2025-10</v>
      </c>
    </row>
    <row r="5666" spans="1:23">
      <c r="A5666" s="1" t="s">
        <v>8533</v>
      </c>
      <c r="B5666" s="1" t="s">
        <v>5470</v>
      </c>
      <c r="C5666" s="1" t="s">
        <v>47</v>
      </c>
      <c r="D5666" s="1" t="s">
        <v>26</v>
      </c>
      <c r="E5666" s="1" t="s">
        <v>113</v>
      </c>
      <c r="F5666">
        <v>1</v>
      </c>
      <c r="G5666" s="2">
        <v>46208</v>
      </c>
      <c r="H5666" s="2">
        <v>46229</v>
      </c>
      <c r="I5666">
        <v>1077.31</v>
      </c>
      <c r="J5666">
        <v>340.43</v>
      </c>
      <c r="K5666">
        <v>340.43</v>
      </c>
      <c r="L5666">
        <v>0</v>
      </c>
      <c r="M5666" s="1" t="s">
        <v>21</v>
      </c>
      <c r="N5666" s="1" t="s">
        <v>22</v>
      </c>
      <c r="O5666" s="2">
        <v>46278</v>
      </c>
      <c r="P5666" s="2">
        <v>46278</v>
      </c>
      <c r="Q5666">
        <f>_xlfn.XLOOKUP(E5666,CPT!$A$2:$A$13,CPT!$D$2:$D$13)</f>
        <v>1050</v>
      </c>
      <c r="R5666" s="1">
        <f>_xlfn.XLOOKUP(C5666,Contract!$A$2:$A$9,Contract!$B$2:$B$9)</f>
        <v>0.28000000000000003</v>
      </c>
      <c r="S5666" s="1">
        <f t="shared" si="352"/>
        <v>294</v>
      </c>
      <c r="T5666" s="1">
        <f t="shared" si="353"/>
        <v>-46.430000000000007</v>
      </c>
      <c r="U5666" s="1" t="str">
        <f t="shared" si="354"/>
        <v>OK</v>
      </c>
      <c r="V5666" s="1" t="str">
        <f>_xlfn.XLOOKUP(C5666,Payers!$A$2:$A$9,Payers!$B$2:$B$9)</f>
        <v>Coastal Medicaid MCO</v>
      </c>
      <c r="W5666" s="1" t="str">
        <f t="shared" si="355"/>
        <v>2026-07</v>
      </c>
    </row>
    <row r="5667" spans="1:23">
      <c r="A5667" s="1" t="s">
        <v>8534</v>
      </c>
      <c r="B5667" s="1" t="s">
        <v>2885</v>
      </c>
      <c r="C5667" s="1" t="s">
        <v>52</v>
      </c>
      <c r="D5667" s="1" t="s">
        <v>26</v>
      </c>
      <c r="E5667" s="1" t="s">
        <v>44</v>
      </c>
      <c r="F5667">
        <v>1</v>
      </c>
      <c r="G5667" s="2">
        <v>46081</v>
      </c>
      <c r="H5667" s="2">
        <v>46084</v>
      </c>
      <c r="I5667">
        <v>4705.92</v>
      </c>
      <c r="J5667">
        <v>2011.93</v>
      </c>
      <c r="K5667">
        <v>1609.54</v>
      </c>
      <c r="L5667">
        <v>402.39</v>
      </c>
      <c r="M5667" s="1" t="s">
        <v>21</v>
      </c>
      <c r="N5667" s="1" t="s">
        <v>22</v>
      </c>
      <c r="O5667" s="2">
        <v>46153</v>
      </c>
      <c r="P5667" s="2">
        <v>46153</v>
      </c>
      <c r="Q5667">
        <f>_xlfn.XLOOKUP(E5667,CPT!$A$2:$A$13,CPT!$D$2:$D$13)</f>
        <v>4800</v>
      </c>
      <c r="R5667" s="1">
        <f>_xlfn.XLOOKUP(C5667,Contract!$A$2:$A$9,Contract!$B$2:$B$9)</f>
        <v>0.47</v>
      </c>
      <c r="S5667" s="1">
        <f t="shared" si="352"/>
        <v>2256</v>
      </c>
      <c r="T5667" s="1">
        <f t="shared" si="353"/>
        <v>244.06999999999994</v>
      </c>
      <c r="U5667" s="1" t="str">
        <f t="shared" si="354"/>
        <v>Underpaid</v>
      </c>
      <c r="V5667" s="1" t="str">
        <f>_xlfn.XLOOKUP(C5667,Payers!$A$2:$A$9,Payers!$B$2:$B$9)</f>
        <v>Keystone Commercial PPO</v>
      </c>
      <c r="W5667" s="1" t="str">
        <f t="shared" si="355"/>
        <v>2026-02</v>
      </c>
    </row>
    <row r="5668" spans="1:23">
      <c r="A5668" s="1" t="s">
        <v>8535</v>
      </c>
      <c r="B5668" s="1" t="s">
        <v>2902</v>
      </c>
      <c r="C5668" s="1" t="s">
        <v>18</v>
      </c>
      <c r="D5668" s="1" t="s">
        <v>30</v>
      </c>
      <c r="E5668" s="1" t="s">
        <v>31</v>
      </c>
      <c r="F5668">
        <v>2</v>
      </c>
      <c r="G5668" s="2">
        <v>46071</v>
      </c>
      <c r="H5668" s="2">
        <v>46072</v>
      </c>
      <c r="I5668">
        <v>120.31</v>
      </c>
      <c r="J5668">
        <v>49.56</v>
      </c>
      <c r="K5668">
        <v>49.56</v>
      </c>
      <c r="L5668">
        <v>0</v>
      </c>
      <c r="M5668" s="1" t="s">
        <v>21</v>
      </c>
      <c r="N5668" s="1" t="s">
        <v>22</v>
      </c>
      <c r="O5668" s="2">
        <v>46149</v>
      </c>
      <c r="P5668" s="2">
        <v>46149</v>
      </c>
      <c r="Q5668">
        <f>_xlfn.XLOOKUP(E5668,CPT!$A$2:$A$13,CPT!$D$2:$D$13)</f>
        <v>62</v>
      </c>
      <c r="R5668" s="1">
        <f>_xlfn.XLOOKUP(C5668,Contract!$A$2:$A$9,Contract!$B$2:$B$9)</f>
        <v>0.38</v>
      </c>
      <c r="S5668" s="1">
        <f t="shared" si="352"/>
        <v>47.12</v>
      </c>
      <c r="T5668" s="1">
        <f t="shared" si="353"/>
        <v>-2.4400000000000048</v>
      </c>
      <c r="U5668" s="1" t="str">
        <f t="shared" si="354"/>
        <v>OK</v>
      </c>
      <c r="V5668" s="1" t="str">
        <f>_xlfn.XLOOKUP(C5668,Payers!$A$2:$A$9,Payers!$B$2:$B$9)</f>
        <v>Sunshine Medicare Advantage</v>
      </c>
      <c r="W5668" s="1" t="str">
        <f t="shared" si="355"/>
        <v>2026-02</v>
      </c>
    </row>
    <row r="5669" spans="1:23">
      <c r="A5669" s="1" t="s">
        <v>8536</v>
      </c>
      <c r="B5669" s="1" t="s">
        <v>1614</v>
      </c>
      <c r="C5669" s="1" t="s">
        <v>25</v>
      </c>
      <c r="D5669" s="1" t="s">
        <v>26</v>
      </c>
      <c r="E5669" s="1" t="s">
        <v>113</v>
      </c>
      <c r="F5669">
        <v>1</v>
      </c>
      <c r="G5669" s="2">
        <v>46050</v>
      </c>
      <c r="H5669" s="2">
        <v>46051</v>
      </c>
      <c r="I5669">
        <v>1042.93</v>
      </c>
      <c r="M5669" s="1" t="s">
        <v>32</v>
      </c>
      <c r="N5669" s="1" t="s">
        <v>124</v>
      </c>
      <c r="O5669" s="2">
        <v>46061</v>
      </c>
      <c r="P5669" s="2"/>
      <c r="Q5669">
        <f>_xlfn.XLOOKUP(E5669,CPT!$A$2:$A$13,CPT!$D$2:$D$13)</f>
        <v>1050</v>
      </c>
      <c r="R5669" s="1">
        <f>_xlfn.XLOOKUP(C5669,Contract!$A$2:$A$9,Contract!$B$2:$B$9)</f>
        <v>0.36</v>
      </c>
      <c r="S5669" s="1">
        <f t="shared" si="352"/>
        <v>378</v>
      </c>
      <c r="T5669" s="1" t="str">
        <f t="shared" si="353"/>
        <v/>
      </c>
      <c r="U5669" s="1" t="str">
        <f t="shared" si="354"/>
        <v/>
      </c>
      <c r="V5669" s="1" t="str">
        <f>_xlfn.XLOOKUP(C5669,Payers!$A$2:$A$9,Payers!$B$2:$B$9)</f>
        <v>Medicare Part B</v>
      </c>
      <c r="W5669" s="1" t="str">
        <f t="shared" si="355"/>
        <v>2026-01</v>
      </c>
    </row>
    <row r="5670" spans="1:23">
      <c r="A5670" s="1" t="s">
        <v>8537</v>
      </c>
      <c r="B5670" s="1" t="s">
        <v>2242</v>
      </c>
      <c r="C5670" s="1" t="s">
        <v>25</v>
      </c>
      <c r="D5670" s="1" t="s">
        <v>26</v>
      </c>
      <c r="E5670" s="1" t="s">
        <v>41</v>
      </c>
      <c r="F5670">
        <v>1</v>
      </c>
      <c r="G5670" s="2">
        <v>46132</v>
      </c>
      <c r="H5670" s="2">
        <v>46153</v>
      </c>
      <c r="I5670">
        <v>39.14</v>
      </c>
      <c r="J5670">
        <v>14.31</v>
      </c>
      <c r="K5670">
        <v>12.88</v>
      </c>
      <c r="L5670">
        <v>1.43</v>
      </c>
      <c r="M5670" s="1" t="s">
        <v>21</v>
      </c>
      <c r="N5670" s="1" t="s">
        <v>22</v>
      </c>
      <c r="O5670" s="2">
        <v>46173</v>
      </c>
      <c r="P5670" s="2">
        <v>46173</v>
      </c>
      <c r="Q5670">
        <f>_xlfn.XLOOKUP(E5670,CPT!$A$2:$A$13,CPT!$D$2:$D$13)</f>
        <v>38</v>
      </c>
      <c r="R5670" s="1">
        <f>_xlfn.XLOOKUP(C5670,Contract!$A$2:$A$9,Contract!$B$2:$B$9)</f>
        <v>0.36</v>
      </c>
      <c r="S5670" s="1">
        <f t="shared" si="352"/>
        <v>13.68</v>
      </c>
      <c r="T5670" s="1">
        <f t="shared" si="353"/>
        <v>-0.63000000000000078</v>
      </c>
      <c r="U5670" s="1" t="str">
        <f t="shared" si="354"/>
        <v>OK</v>
      </c>
      <c r="V5670" s="1" t="str">
        <f>_xlfn.XLOOKUP(C5670,Payers!$A$2:$A$9,Payers!$B$2:$B$9)</f>
        <v>Medicare Part B</v>
      </c>
      <c r="W5670" s="1" t="str">
        <f t="shared" si="355"/>
        <v>2026-04</v>
      </c>
    </row>
    <row r="5671" spans="1:23">
      <c r="A5671" s="1" t="s">
        <v>8538</v>
      </c>
      <c r="B5671" s="1" t="s">
        <v>599</v>
      </c>
      <c r="C5671" s="1" t="s">
        <v>60</v>
      </c>
      <c r="D5671" s="1" t="s">
        <v>19</v>
      </c>
      <c r="E5671" s="1" t="s">
        <v>20</v>
      </c>
      <c r="F5671">
        <v>1</v>
      </c>
      <c r="G5671" s="2">
        <v>46109</v>
      </c>
      <c r="H5671" s="2">
        <v>46110</v>
      </c>
      <c r="I5671">
        <v>148.71</v>
      </c>
      <c r="J5671">
        <v>66.88</v>
      </c>
      <c r="K5671">
        <v>60.19</v>
      </c>
      <c r="L5671">
        <v>6.69</v>
      </c>
      <c r="M5671" s="1" t="s">
        <v>21</v>
      </c>
      <c r="N5671" s="1" t="s">
        <v>22</v>
      </c>
      <c r="O5671" s="2">
        <v>46148</v>
      </c>
      <c r="P5671" s="2">
        <v>46148</v>
      </c>
      <c r="Q5671">
        <f>_xlfn.XLOOKUP(E5671,CPT!$A$2:$A$13,CPT!$D$2:$D$13)</f>
        <v>145</v>
      </c>
      <c r="R5671" s="1">
        <f>_xlfn.XLOOKUP(C5671,Contract!$A$2:$A$9,Contract!$B$2:$B$9)</f>
        <v>0.45</v>
      </c>
      <c r="S5671" s="1">
        <f t="shared" si="352"/>
        <v>65.25</v>
      </c>
      <c r="T5671" s="1">
        <f t="shared" si="353"/>
        <v>-1.6299999999999955</v>
      </c>
      <c r="U5671" s="1" t="str">
        <f t="shared" si="354"/>
        <v>OK</v>
      </c>
      <c r="V5671" s="1" t="str">
        <f>_xlfn.XLOOKUP(C5671,Payers!$A$2:$A$9,Payers!$B$2:$B$9)</f>
        <v>Blue Horizon Commercial</v>
      </c>
      <c r="W5671" s="1" t="str">
        <f t="shared" si="355"/>
        <v>2026-03</v>
      </c>
    </row>
    <row r="5672" spans="1:23">
      <c r="A5672" s="1" t="s">
        <v>8539</v>
      </c>
      <c r="B5672" s="1" t="s">
        <v>8540</v>
      </c>
      <c r="C5672" s="1" t="s">
        <v>76</v>
      </c>
      <c r="D5672" s="1" t="s">
        <v>19</v>
      </c>
      <c r="E5672" s="1" t="s">
        <v>57</v>
      </c>
      <c r="F5672">
        <v>1</v>
      </c>
      <c r="G5672" s="2">
        <v>46281</v>
      </c>
      <c r="H5672" s="2">
        <v>46282</v>
      </c>
      <c r="I5672">
        <v>211.51</v>
      </c>
      <c r="M5672" s="1" t="s">
        <v>69</v>
      </c>
      <c r="N5672" s="1" t="s">
        <v>22</v>
      </c>
      <c r="O5672" s="2"/>
      <c r="P5672" s="2"/>
      <c r="Q5672">
        <f>_xlfn.XLOOKUP(E5672,CPT!$A$2:$A$13,CPT!$D$2:$D$13)</f>
        <v>210</v>
      </c>
      <c r="R5672" s="1">
        <f>_xlfn.XLOOKUP(C5672,Contract!$A$2:$A$9,Contract!$B$2:$B$9)</f>
        <v>0.43</v>
      </c>
      <c r="S5672" s="1">
        <f t="shared" si="352"/>
        <v>90.3</v>
      </c>
      <c r="T5672" s="1" t="str">
        <f t="shared" si="353"/>
        <v/>
      </c>
      <c r="U5672" s="1" t="str">
        <f t="shared" si="354"/>
        <v/>
      </c>
      <c r="V5672" s="1" t="str">
        <f>_xlfn.XLOOKUP(C5672,Payers!$A$2:$A$9,Payers!$B$2:$B$9)</f>
        <v>Summit Health Commercial</v>
      </c>
      <c r="W5672" s="1" t="str">
        <f t="shared" si="355"/>
        <v>2026-09</v>
      </c>
    </row>
    <row r="5673" spans="1:23">
      <c r="A5673" s="1" t="s">
        <v>8541</v>
      </c>
      <c r="B5673" s="1" t="s">
        <v>6972</v>
      </c>
      <c r="C5673" s="1" t="s">
        <v>60</v>
      </c>
      <c r="D5673" s="1" t="s">
        <v>37</v>
      </c>
      <c r="E5673" s="1" t="s">
        <v>38</v>
      </c>
      <c r="F5673">
        <v>10</v>
      </c>
      <c r="G5673" s="2">
        <v>45997</v>
      </c>
      <c r="H5673" s="2">
        <v>45999</v>
      </c>
      <c r="I5673">
        <v>14624.49</v>
      </c>
      <c r="M5673" s="1" t="s">
        <v>32</v>
      </c>
      <c r="N5673" s="1" t="s">
        <v>33</v>
      </c>
      <c r="O5673" s="2">
        <v>46021</v>
      </c>
      <c r="P5673" s="2"/>
      <c r="Q5673">
        <f>_xlfn.XLOOKUP(E5673,CPT!$A$2:$A$13,CPT!$D$2:$D$13)</f>
        <v>1450</v>
      </c>
      <c r="R5673" s="1">
        <f>_xlfn.XLOOKUP(C5673,Contract!$A$2:$A$9,Contract!$B$2:$B$9)</f>
        <v>0.45</v>
      </c>
      <c r="S5673" s="1">
        <f t="shared" si="352"/>
        <v>6525</v>
      </c>
      <c r="T5673" s="1" t="str">
        <f t="shared" si="353"/>
        <v/>
      </c>
      <c r="U5673" s="1" t="str">
        <f t="shared" si="354"/>
        <v/>
      </c>
      <c r="V5673" s="1" t="str">
        <f>_xlfn.XLOOKUP(C5673,Payers!$A$2:$A$9,Payers!$B$2:$B$9)</f>
        <v>Blue Horizon Commercial</v>
      </c>
      <c r="W5673" s="1" t="str">
        <f t="shared" si="355"/>
        <v>2025-12</v>
      </c>
    </row>
    <row r="5674" spans="1:23">
      <c r="A5674" s="1" t="s">
        <v>8542</v>
      </c>
      <c r="B5674" s="1" t="s">
        <v>8543</v>
      </c>
      <c r="C5674" s="1" t="s">
        <v>76</v>
      </c>
      <c r="D5674" s="1" t="s">
        <v>26</v>
      </c>
      <c r="E5674" s="1" t="s">
        <v>44</v>
      </c>
      <c r="F5674">
        <v>1</v>
      </c>
      <c r="G5674" s="2">
        <v>46102</v>
      </c>
      <c r="H5674" s="2">
        <v>46105</v>
      </c>
      <c r="I5674">
        <v>4854.49</v>
      </c>
      <c r="J5674">
        <v>1870.56</v>
      </c>
      <c r="K5674">
        <v>1496.45</v>
      </c>
      <c r="L5674">
        <v>374.11</v>
      </c>
      <c r="M5674" s="1" t="s">
        <v>21</v>
      </c>
      <c r="N5674" s="1" t="s">
        <v>22</v>
      </c>
      <c r="O5674" s="2">
        <v>46158</v>
      </c>
      <c r="P5674" s="2">
        <v>46158</v>
      </c>
      <c r="Q5674">
        <f>_xlfn.XLOOKUP(E5674,CPT!$A$2:$A$13,CPT!$D$2:$D$13)</f>
        <v>4800</v>
      </c>
      <c r="R5674" s="1">
        <f>_xlfn.XLOOKUP(C5674,Contract!$A$2:$A$9,Contract!$B$2:$B$9)</f>
        <v>0.43</v>
      </c>
      <c r="S5674" s="1">
        <f t="shared" si="352"/>
        <v>2064</v>
      </c>
      <c r="T5674" s="1">
        <f t="shared" si="353"/>
        <v>193.44000000000005</v>
      </c>
      <c r="U5674" s="1" t="str">
        <f t="shared" si="354"/>
        <v>Underpaid</v>
      </c>
      <c r="V5674" s="1" t="str">
        <f>_xlfn.XLOOKUP(C5674,Payers!$A$2:$A$9,Payers!$B$2:$B$9)</f>
        <v>Summit Health Commercial</v>
      </c>
      <c r="W5674" s="1" t="str">
        <f t="shared" si="355"/>
        <v>2026-03</v>
      </c>
    </row>
    <row r="5675" spans="1:23">
      <c r="A5675" s="1" t="s">
        <v>8544</v>
      </c>
      <c r="B5675" s="1" t="s">
        <v>147</v>
      </c>
      <c r="C5675" s="1" t="s">
        <v>60</v>
      </c>
      <c r="D5675" s="1" t="s">
        <v>19</v>
      </c>
      <c r="E5675" s="1" t="s">
        <v>41</v>
      </c>
      <c r="F5675">
        <v>1</v>
      </c>
      <c r="G5675" s="2">
        <v>46011</v>
      </c>
      <c r="H5675" s="2">
        <v>46013</v>
      </c>
      <c r="I5675">
        <v>38.51</v>
      </c>
      <c r="J5675">
        <v>15.27</v>
      </c>
      <c r="K5675">
        <v>15.27</v>
      </c>
      <c r="L5675">
        <v>0</v>
      </c>
      <c r="M5675" s="1" t="s">
        <v>21</v>
      </c>
      <c r="N5675" s="1" t="s">
        <v>22</v>
      </c>
      <c r="O5675" s="2">
        <v>46038</v>
      </c>
      <c r="P5675" s="2">
        <v>46038</v>
      </c>
      <c r="Q5675">
        <f>_xlfn.XLOOKUP(E5675,CPT!$A$2:$A$13,CPT!$D$2:$D$13)</f>
        <v>38</v>
      </c>
      <c r="R5675" s="1">
        <f>_xlfn.XLOOKUP(C5675,Contract!$A$2:$A$9,Contract!$B$2:$B$9)</f>
        <v>0.45</v>
      </c>
      <c r="S5675" s="1">
        <f t="shared" si="352"/>
        <v>17.100000000000001</v>
      </c>
      <c r="T5675" s="1">
        <f t="shared" si="353"/>
        <v>1.8300000000000018</v>
      </c>
      <c r="U5675" s="1" t="str">
        <f t="shared" si="354"/>
        <v>Underpaid</v>
      </c>
      <c r="V5675" s="1" t="str">
        <f>_xlfn.XLOOKUP(C5675,Payers!$A$2:$A$9,Payers!$B$2:$B$9)</f>
        <v>Blue Horizon Commercial</v>
      </c>
      <c r="W5675" s="1" t="str">
        <f t="shared" si="355"/>
        <v>2025-12</v>
      </c>
    </row>
    <row r="5676" spans="1:23">
      <c r="A5676" s="1" t="s">
        <v>8545</v>
      </c>
      <c r="B5676" s="1" t="s">
        <v>8546</v>
      </c>
      <c r="C5676" s="1" t="s">
        <v>52</v>
      </c>
      <c r="D5676" s="1" t="s">
        <v>37</v>
      </c>
      <c r="E5676" s="1" t="s">
        <v>38</v>
      </c>
      <c r="F5676">
        <v>30</v>
      </c>
      <c r="G5676" s="2">
        <v>46213</v>
      </c>
      <c r="H5676" s="2">
        <v>46216</v>
      </c>
      <c r="I5676">
        <v>43537.09</v>
      </c>
      <c r="J5676">
        <v>22104.99</v>
      </c>
      <c r="K5676">
        <v>22104.99</v>
      </c>
      <c r="L5676">
        <v>0</v>
      </c>
      <c r="M5676" s="1" t="s">
        <v>21</v>
      </c>
      <c r="N5676" s="1" t="s">
        <v>22</v>
      </c>
      <c r="O5676" s="2">
        <v>46249</v>
      </c>
      <c r="P5676" s="2">
        <v>46249</v>
      </c>
      <c r="Q5676">
        <f>_xlfn.XLOOKUP(E5676,CPT!$A$2:$A$13,CPT!$D$2:$D$13)</f>
        <v>1450</v>
      </c>
      <c r="R5676" s="1">
        <f>_xlfn.XLOOKUP(C5676,Contract!$A$2:$A$9,Contract!$B$2:$B$9)</f>
        <v>0.47</v>
      </c>
      <c r="S5676" s="1">
        <f t="shared" si="352"/>
        <v>20445</v>
      </c>
      <c r="T5676" s="1">
        <f t="shared" si="353"/>
        <v>-1659.9900000000016</v>
      </c>
      <c r="U5676" s="1" t="str">
        <f t="shared" si="354"/>
        <v>OK</v>
      </c>
      <c r="V5676" s="1" t="str">
        <f>_xlfn.XLOOKUP(C5676,Payers!$A$2:$A$9,Payers!$B$2:$B$9)</f>
        <v>Keystone Commercial PPO</v>
      </c>
      <c r="W5676" s="1" t="str">
        <f t="shared" si="355"/>
        <v>2026-07</v>
      </c>
    </row>
    <row r="5677" spans="1:23">
      <c r="A5677" s="1" t="s">
        <v>8547</v>
      </c>
      <c r="B5677" s="1" t="s">
        <v>3718</v>
      </c>
      <c r="C5677" s="1" t="s">
        <v>18</v>
      </c>
      <c r="D5677" s="1" t="s">
        <v>30</v>
      </c>
      <c r="E5677" s="1" t="s">
        <v>91</v>
      </c>
      <c r="F5677">
        <v>1</v>
      </c>
      <c r="G5677" s="2">
        <v>46086</v>
      </c>
      <c r="H5677" s="2">
        <v>46088</v>
      </c>
      <c r="I5677">
        <v>57.99</v>
      </c>
      <c r="J5677">
        <v>21.95</v>
      </c>
      <c r="K5677">
        <v>17.559999999999999</v>
      </c>
      <c r="L5677">
        <v>4.3899999999999997</v>
      </c>
      <c r="M5677" s="1" t="s">
        <v>21</v>
      </c>
      <c r="N5677" s="1" t="s">
        <v>22</v>
      </c>
      <c r="O5677" s="2">
        <v>46107</v>
      </c>
      <c r="P5677" s="2">
        <v>46107</v>
      </c>
      <c r="Q5677">
        <f>_xlfn.XLOOKUP(E5677,CPT!$A$2:$A$13,CPT!$D$2:$D$13)</f>
        <v>58</v>
      </c>
      <c r="R5677" s="1">
        <f>_xlfn.XLOOKUP(C5677,Contract!$A$2:$A$9,Contract!$B$2:$B$9)</f>
        <v>0.38</v>
      </c>
      <c r="S5677" s="1">
        <f t="shared" si="352"/>
        <v>22.04</v>
      </c>
      <c r="T5677" s="1">
        <f t="shared" si="353"/>
        <v>8.9999999999999858E-2</v>
      </c>
      <c r="U5677" s="1" t="str">
        <f t="shared" si="354"/>
        <v>OK</v>
      </c>
      <c r="V5677" s="1" t="str">
        <f>_xlfn.XLOOKUP(C5677,Payers!$A$2:$A$9,Payers!$B$2:$B$9)</f>
        <v>Sunshine Medicare Advantage</v>
      </c>
      <c r="W5677" s="1" t="str">
        <f t="shared" si="355"/>
        <v>2026-03</v>
      </c>
    </row>
    <row r="5678" spans="1:23">
      <c r="A5678" s="1" t="s">
        <v>8548</v>
      </c>
      <c r="B5678" s="1" t="s">
        <v>5814</v>
      </c>
      <c r="C5678" s="1" t="s">
        <v>36</v>
      </c>
      <c r="D5678" s="1" t="s">
        <v>26</v>
      </c>
      <c r="E5678" s="1" t="s">
        <v>113</v>
      </c>
      <c r="F5678">
        <v>1</v>
      </c>
      <c r="G5678" s="2">
        <v>46283</v>
      </c>
      <c r="H5678" s="2">
        <v>46285</v>
      </c>
      <c r="I5678">
        <v>1054.76</v>
      </c>
      <c r="M5678" s="1" t="s">
        <v>69</v>
      </c>
      <c r="N5678" s="1" t="s">
        <v>22</v>
      </c>
      <c r="O5678" s="2"/>
      <c r="P5678" s="2"/>
      <c r="Q5678">
        <f>_xlfn.XLOOKUP(E5678,CPT!$A$2:$A$13,CPT!$D$2:$D$13)</f>
        <v>1050</v>
      </c>
      <c r="R5678" s="1">
        <f>_xlfn.XLOOKUP(C5678,Contract!$A$2:$A$9,Contract!$B$2:$B$9)</f>
        <v>0.27</v>
      </c>
      <c r="S5678" s="1">
        <f t="shared" si="352"/>
        <v>283.5</v>
      </c>
      <c r="T5678" s="1" t="str">
        <f t="shared" si="353"/>
        <v/>
      </c>
      <c r="U5678" s="1" t="str">
        <f t="shared" si="354"/>
        <v/>
      </c>
      <c r="V5678" s="1" t="str">
        <f>_xlfn.XLOOKUP(C5678,Payers!$A$2:$A$9,Payers!$B$2:$B$9)</f>
        <v>Florida Medicaid</v>
      </c>
      <c r="W5678" s="1" t="str">
        <f t="shared" si="355"/>
        <v>2026-09</v>
      </c>
    </row>
    <row r="5679" spans="1:23">
      <c r="A5679" s="1" t="s">
        <v>8549</v>
      </c>
      <c r="B5679" s="1" t="s">
        <v>5686</v>
      </c>
      <c r="C5679" s="1" t="s">
        <v>47</v>
      </c>
      <c r="D5679" s="1" t="s">
        <v>30</v>
      </c>
      <c r="E5679" s="1" t="s">
        <v>31</v>
      </c>
      <c r="F5679">
        <v>3</v>
      </c>
      <c r="G5679" s="2">
        <v>46124</v>
      </c>
      <c r="H5679" s="2">
        <v>46125</v>
      </c>
      <c r="I5679">
        <v>183.93</v>
      </c>
      <c r="J5679">
        <v>47.2</v>
      </c>
      <c r="K5679">
        <v>47.2</v>
      </c>
      <c r="L5679">
        <v>0</v>
      </c>
      <c r="M5679" s="1" t="s">
        <v>21</v>
      </c>
      <c r="N5679" s="1" t="s">
        <v>22</v>
      </c>
      <c r="O5679" s="2">
        <v>46230</v>
      </c>
      <c r="P5679" s="2">
        <v>46230</v>
      </c>
      <c r="Q5679">
        <f>_xlfn.XLOOKUP(E5679,CPT!$A$2:$A$13,CPT!$D$2:$D$13)</f>
        <v>62</v>
      </c>
      <c r="R5679" s="1">
        <f>_xlfn.XLOOKUP(C5679,Contract!$A$2:$A$9,Contract!$B$2:$B$9)</f>
        <v>0.28000000000000003</v>
      </c>
      <c r="S5679" s="1">
        <f t="shared" si="352"/>
        <v>52.08</v>
      </c>
      <c r="T5679" s="1">
        <f t="shared" si="353"/>
        <v>4.8799999999999955</v>
      </c>
      <c r="U5679" s="1" t="str">
        <f t="shared" si="354"/>
        <v>Underpaid</v>
      </c>
      <c r="V5679" s="1" t="str">
        <f>_xlfn.XLOOKUP(C5679,Payers!$A$2:$A$9,Payers!$B$2:$B$9)</f>
        <v>Coastal Medicaid MCO</v>
      </c>
      <c r="W5679" s="1" t="str">
        <f t="shared" si="355"/>
        <v>2026-04</v>
      </c>
    </row>
    <row r="5680" spans="1:23">
      <c r="A5680" s="1" t="s">
        <v>8550</v>
      </c>
      <c r="B5680" s="1" t="s">
        <v>3619</v>
      </c>
      <c r="C5680" s="1" t="s">
        <v>18</v>
      </c>
      <c r="D5680" s="1" t="s">
        <v>26</v>
      </c>
      <c r="E5680" s="1" t="s">
        <v>88</v>
      </c>
      <c r="F5680">
        <v>1</v>
      </c>
      <c r="G5680" s="2">
        <v>46108</v>
      </c>
      <c r="H5680" s="2">
        <v>46111</v>
      </c>
      <c r="I5680">
        <v>263.41000000000003</v>
      </c>
      <c r="M5680" s="1" t="s">
        <v>32</v>
      </c>
      <c r="N5680" s="1" t="s">
        <v>33</v>
      </c>
      <c r="O5680" s="2">
        <v>46174</v>
      </c>
      <c r="P5680" s="2"/>
      <c r="Q5680">
        <f>_xlfn.XLOOKUP(E5680,CPT!$A$2:$A$13,CPT!$D$2:$D$13)</f>
        <v>260</v>
      </c>
      <c r="R5680" s="1">
        <f>_xlfn.XLOOKUP(C5680,Contract!$A$2:$A$9,Contract!$B$2:$B$9)</f>
        <v>0.38</v>
      </c>
      <c r="S5680" s="1">
        <f t="shared" si="352"/>
        <v>98.8</v>
      </c>
      <c r="T5680" s="1" t="str">
        <f t="shared" si="353"/>
        <v/>
      </c>
      <c r="U5680" s="1" t="str">
        <f t="shared" si="354"/>
        <v/>
      </c>
      <c r="V5680" s="1" t="str">
        <f>_xlfn.XLOOKUP(C5680,Payers!$A$2:$A$9,Payers!$B$2:$B$9)</f>
        <v>Sunshine Medicare Advantage</v>
      </c>
      <c r="W5680" s="1" t="str">
        <f t="shared" si="355"/>
        <v>2026-03</v>
      </c>
    </row>
    <row r="5681" spans="1:23">
      <c r="A5681" s="1" t="s">
        <v>8551</v>
      </c>
      <c r="B5681" s="1" t="s">
        <v>110</v>
      </c>
      <c r="C5681" s="1" t="s">
        <v>47</v>
      </c>
      <c r="D5681" s="1" t="s">
        <v>19</v>
      </c>
      <c r="E5681" s="1" t="s">
        <v>20</v>
      </c>
      <c r="F5681">
        <v>1</v>
      </c>
      <c r="G5681" s="2">
        <v>46270</v>
      </c>
      <c r="H5681" s="2">
        <v>46271</v>
      </c>
      <c r="I5681">
        <v>142.91</v>
      </c>
      <c r="M5681" s="1" t="s">
        <v>69</v>
      </c>
      <c r="N5681" s="1" t="s">
        <v>22</v>
      </c>
      <c r="O5681" s="2"/>
      <c r="P5681" s="2"/>
      <c r="Q5681">
        <f>_xlfn.XLOOKUP(E5681,CPT!$A$2:$A$13,CPT!$D$2:$D$13)</f>
        <v>145</v>
      </c>
      <c r="R5681" s="1">
        <f>_xlfn.XLOOKUP(C5681,Contract!$A$2:$A$9,Contract!$B$2:$B$9)</f>
        <v>0.28000000000000003</v>
      </c>
      <c r="S5681" s="1">
        <f t="shared" si="352"/>
        <v>40.6</v>
      </c>
      <c r="T5681" s="1" t="str">
        <f t="shared" si="353"/>
        <v/>
      </c>
      <c r="U5681" s="1" t="str">
        <f t="shared" si="354"/>
        <v/>
      </c>
      <c r="V5681" s="1" t="str">
        <f>_xlfn.XLOOKUP(C5681,Payers!$A$2:$A$9,Payers!$B$2:$B$9)</f>
        <v>Coastal Medicaid MCO</v>
      </c>
      <c r="W5681" s="1" t="str">
        <f t="shared" si="355"/>
        <v>2026-09</v>
      </c>
    </row>
    <row r="5682" spans="1:23">
      <c r="A5682" s="1" t="s">
        <v>8552</v>
      </c>
      <c r="B5682" s="1" t="s">
        <v>5158</v>
      </c>
      <c r="C5682" s="1" t="s">
        <v>25</v>
      </c>
      <c r="D5682" s="1" t="s">
        <v>19</v>
      </c>
      <c r="E5682" s="1" t="s">
        <v>41</v>
      </c>
      <c r="F5682">
        <v>1</v>
      </c>
      <c r="G5682" s="2">
        <v>45997</v>
      </c>
      <c r="H5682" s="2">
        <v>45999</v>
      </c>
      <c r="I5682">
        <v>37.840000000000003</v>
      </c>
      <c r="J5682">
        <v>14.08</v>
      </c>
      <c r="K5682">
        <v>12.67</v>
      </c>
      <c r="L5682">
        <v>1.41</v>
      </c>
      <c r="M5682" s="1" t="s">
        <v>21</v>
      </c>
      <c r="N5682" s="1" t="s">
        <v>22</v>
      </c>
      <c r="O5682" s="2">
        <v>46016</v>
      </c>
      <c r="P5682" s="2">
        <v>46016</v>
      </c>
      <c r="Q5682">
        <f>_xlfn.XLOOKUP(E5682,CPT!$A$2:$A$13,CPT!$D$2:$D$13)</f>
        <v>38</v>
      </c>
      <c r="R5682" s="1">
        <f>_xlfn.XLOOKUP(C5682,Contract!$A$2:$A$9,Contract!$B$2:$B$9)</f>
        <v>0.36</v>
      </c>
      <c r="S5682" s="1">
        <f t="shared" si="352"/>
        <v>13.68</v>
      </c>
      <c r="T5682" s="1">
        <f t="shared" si="353"/>
        <v>-0.40000000000000036</v>
      </c>
      <c r="U5682" s="1" t="str">
        <f t="shared" si="354"/>
        <v>OK</v>
      </c>
      <c r="V5682" s="1" t="str">
        <f>_xlfn.XLOOKUP(C5682,Payers!$A$2:$A$9,Payers!$B$2:$B$9)</f>
        <v>Medicare Part B</v>
      </c>
      <c r="W5682" s="1" t="str">
        <f t="shared" si="355"/>
        <v>2025-12</v>
      </c>
    </row>
    <row r="5683" spans="1:23">
      <c r="A5683" s="1" t="s">
        <v>8553</v>
      </c>
      <c r="B5683" s="1" t="s">
        <v>5684</v>
      </c>
      <c r="C5683" s="1" t="s">
        <v>25</v>
      </c>
      <c r="D5683" s="1" t="s">
        <v>30</v>
      </c>
      <c r="E5683" s="1" t="s">
        <v>20</v>
      </c>
      <c r="F5683">
        <v>1</v>
      </c>
      <c r="G5683" s="2">
        <v>46055</v>
      </c>
      <c r="H5683" s="2">
        <v>46065</v>
      </c>
      <c r="I5683">
        <v>141.62</v>
      </c>
      <c r="J5683">
        <v>50.74</v>
      </c>
      <c r="K5683">
        <v>45.67</v>
      </c>
      <c r="L5683">
        <v>5.07</v>
      </c>
      <c r="M5683" s="1" t="s">
        <v>21</v>
      </c>
      <c r="N5683" s="1" t="s">
        <v>22</v>
      </c>
      <c r="O5683" s="2">
        <v>46085</v>
      </c>
      <c r="P5683" s="2">
        <v>46085</v>
      </c>
      <c r="Q5683">
        <f>_xlfn.XLOOKUP(E5683,CPT!$A$2:$A$13,CPT!$D$2:$D$13)</f>
        <v>145</v>
      </c>
      <c r="R5683" s="1">
        <f>_xlfn.XLOOKUP(C5683,Contract!$A$2:$A$9,Contract!$B$2:$B$9)</f>
        <v>0.36</v>
      </c>
      <c r="S5683" s="1">
        <f t="shared" si="352"/>
        <v>52.2</v>
      </c>
      <c r="T5683" s="1">
        <f t="shared" si="353"/>
        <v>1.4600000000000009</v>
      </c>
      <c r="U5683" s="1" t="str">
        <f t="shared" si="354"/>
        <v>OK</v>
      </c>
      <c r="V5683" s="1" t="str">
        <f>_xlfn.XLOOKUP(C5683,Payers!$A$2:$A$9,Payers!$B$2:$B$9)</f>
        <v>Medicare Part B</v>
      </c>
      <c r="W5683" s="1" t="str">
        <f t="shared" si="355"/>
        <v>2026-02</v>
      </c>
    </row>
    <row r="5684" spans="1:23">
      <c r="A5684" s="1" t="s">
        <v>8554</v>
      </c>
      <c r="B5684" s="1" t="s">
        <v>2446</v>
      </c>
      <c r="C5684" s="1" t="s">
        <v>18</v>
      </c>
      <c r="D5684" s="1" t="s">
        <v>26</v>
      </c>
      <c r="E5684" s="1" t="s">
        <v>44</v>
      </c>
      <c r="F5684">
        <v>1</v>
      </c>
      <c r="G5684" s="2">
        <v>46283</v>
      </c>
      <c r="H5684" s="2">
        <v>46284</v>
      </c>
      <c r="I5684">
        <v>4750.49</v>
      </c>
      <c r="M5684" s="1" t="s">
        <v>69</v>
      </c>
      <c r="N5684" s="1" t="s">
        <v>22</v>
      </c>
      <c r="O5684" s="2"/>
      <c r="P5684" s="2"/>
      <c r="Q5684">
        <f>_xlfn.XLOOKUP(E5684,CPT!$A$2:$A$13,CPT!$D$2:$D$13)</f>
        <v>4800</v>
      </c>
      <c r="R5684" s="1">
        <f>_xlfn.XLOOKUP(C5684,Contract!$A$2:$A$9,Contract!$B$2:$B$9)</f>
        <v>0.38</v>
      </c>
      <c r="S5684" s="1">
        <f t="shared" si="352"/>
        <v>1824</v>
      </c>
      <c r="T5684" s="1" t="str">
        <f t="shared" si="353"/>
        <v/>
      </c>
      <c r="U5684" s="1" t="str">
        <f t="shared" si="354"/>
        <v/>
      </c>
      <c r="V5684" s="1" t="str">
        <f>_xlfn.XLOOKUP(C5684,Payers!$A$2:$A$9,Payers!$B$2:$B$9)</f>
        <v>Sunshine Medicare Advantage</v>
      </c>
      <c r="W5684" s="1" t="str">
        <f t="shared" si="355"/>
        <v>2026-09</v>
      </c>
    </row>
    <row r="5685" spans="1:23">
      <c r="A5685" s="1" t="s">
        <v>8555</v>
      </c>
      <c r="B5685" s="1" t="s">
        <v>877</v>
      </c>
      <c r="C5685" s="1" t="s">
        <v>52</v>
      </c>
      <c r="D5685" s="1" t="s">
        <v>19</v>
      </c>
      <c r="E5685" s="1" t="s">
        <v>57</v>
      </c>
      <c r="F5685">
        <v>1</v>
      </c>
      <c r="G5685" s="2">
        <v>45936</v>
      </c>
      <c r="H5685" s="2">
        <v>45937</v>
      </c>
      <c r="I5685">
        <v>214.93</v>
      </c>
      <c r="J5685">
        <v>87.01</v>
      </c>
      <c r="K5685">
        <v>87.01</v>
      </c>
      <c r="L5685">
        <v>0</v>
      </c>
      <c r="M5685" s="1" t="s">
        <v>21</v>
      </c>
      <c r="N5685" s="1" t="s">
        <v>22</v>
      </c>
      <c r="O5685" s="2">
        <v>45984</v>
      </c>
      <c r="P5685" s="2">
        <v>45984</v>
      </c>
      <c r="Q5685">
        <f>_xlfn.XLOOKUP(E5685,CPT!$A$2:$A$13,CPT!$D$2:$D$13)</f>
        <v>210</v>
      </c>
      <c r="R5685" s="1">
        <f>_xlfn.XLOOKUP(C5685,Contract!$A$2:$A$9,Contract!$B$2:$B$9)</f>
        <v>0.47</v>
      </c>
      <c r="S5685" s="1">
        <f t="shared" si="352"/>
        <v>98.7</v>
      </c>
      <c r="T5685" s="1">
        <f t="shared" si="353"/>
        <v>11.689999999999998</v>
      </c>
      <c r="U5685" s="1" t="str">
        <f t="shared" si="354"/>
        <v>Underpaid</v>
      </c>
      <c r="V5685" s="1" t="str">
        <f>_xlfn.XLOOKUP(C5685,Payers!$A$2:$A$9,Payers!$B$2:$B$9)</f>
        <v>Keystone Commercial PPO</v>
      </c>
      <c r="W5685" s="1" t="str">
        <f t="shared" si="355"/>
        <v>2025-10</v>
      </c>
    </row>
    <row r="5686" spans="1:23">
      <c r="A5686" s="1" t="s">
        <v>8556</v>
      </c>
      <c r="B5686" s="1" t="s">
        <v>2099</v>
      </c>
      <c r="C5686" s="1" t="s">
        <v>25</v>
      </c>
      <c r="D5686" s="1" t="s">
        <v>30</v>
      </c>
      <c r="E5686" s="1" t="s">
        <v>20</v>
      </c>
      <c r="F5686">
        <v>1</v>
      </c>
      <c r="G5686" s="2">
        <v>46056</v>
      </c>
      <c r="H5686" s="2">
        <v>46181</v>
      </c>
      <c r="I5686">
        <v>144.49</v>
      </c>
      <c r="M5686" s="1" t="s">
        <v>32</v>
      </c>
      <c r="N5686" s="1" t="s">
        <v>137</v>
      </c>
      <c r="O5686" s="2">
        <v>46192</v>
      </c>
      <c r="P5686" s="2"/>
      <c r="Q5686">
        <f>_xlfn.XLOOKUP(E5686,CPT!$A$2:$A$13,CPT!$D$2:$D$13)</f>
        <v>145</v>
      </c>
      <c r="R5686" s="1">
        <f>_xlfn.XLOOKUP(C5686,Contract!$A$2:$A$9,Contract!$B$2:$B$9)</f>
        <v>0.36</v>
      </c>
      <c r="S5686" s="1">
        <f t="shared" si="352"/>
        <v>52.2</v>
      </c>
      <c r="T5686" s="1" t="str">
        <f t="shared" si="353"/>
        <v/>
      </c>
      <c r="U5686" s="1" t="str">
        <f t="shared" si="354"/>
        <v/>
      </c>
      <c r="V5686" s="1" t="str">
        <f>_xlfn.XLOOKUP(C5686,Payers!$A$2:$A$9,Payers!$B$2:$B$9)</f>
        <v>Medicare Part B</v>
      </c>
      <c r="W5686" s="1" t="str">
        <f t="shared" si="355"/>
        <v>2026-02</v>
      </c>
    </row>
    <row r="5687" spans="1:23">
      <c r="A5687" s="1" t="s">
        <v>8557</v>
      </c>
      <c r="B5687" s="1" t="s">
        <v>2001</v>
      </c>
      <c r="C5687" s="1" t="s">
        <v>76</v>
      </c>
      <c r="D5687" s="1" t="s">
        <v>19</v>
      </c>
      <c r="E5687" s="1" t="s">
        <v>41</v>
      </c>
      <c r="F5687">
        <v>1</v>
      </c>
      <c r="G5687" s="2">
        <v>46039</v>
      </c>
      <c r="H5687" s="2">
        <v>46044</v>
      </c>
      <c r="I5687">
        <v>37.03</v>
      </c>
      <c r="M5687" s="1" t="s">
        <v>32</v>
      </c>
      <c r="N5687" s="1" t="s">
        <v>168</v>
      </c>
      <c r="O5687" s="2">
        <v>46071</v>
      </c>
      <c r="P5687" s="2"/>
      <c r="Q5687">
        <f>_xlfn.XLOOKUP(E5687,CPT!$A$2:$A$13,CPT!$D$2:$D$13)</f>
        <v>38</v>
      </c>
      <c r="R5687" s="1">
        <f>_xlfn.XLOOKUP(C5687,Contract!$A$2:$A$9,Contract!$B$2:$B$9)</f>
        <v>0.43</v>
      </c>
      <c r="S5687" s="1">
        <f t="shared" si="352"/>
        <v>16.34</v>
      </c>
      <c r="T5687" s="1" t="str">
        <f t="shared" si="353"/>
        <v/>
      </c>
      <c r="U5687" s="1" t="str">
        <f t="shared" si="354"/>
        <v/>
      </c>
      <c r="V5687" s="1" t="str">
        <f>_xlfn.XLOOKUP(C5687,Payers!$A$2:$A$9,Payers!$B$2:$B$9)</f>
        <v>Summit Health Commercial</v>
      </c>
      <c r="W5687" s="1" t="str">
        <f t="shared" si="355"/>
        <v>2026-01</v>
      </c>
    </row>
    <row r="5688" spans="1:23">
      <c r="A5688" s="1" t="s">
        <v>8558</v>
      </c>
      <c r="B5688" s="1" t="s">
        <v>1271</v>
      </c>
      <c r="C5688" s="1" t="s">
        <v>25</v>
      </c>
      <c r="D5688" s="1" t="s">
        <v>37</v>
      </c>
      <c r="E5688" s="1" t="s">
        <v>57</v>
      </c>
      <c r="F5688">
        <v>1</v>
      </c>
      <c r="G5688" s="2">
        <v>46197</v>
      </c>
      <c r="H5688" s="2">
        <v>46199</v>
      </c>
      <c r="I5688">
        <v>210.44</v>
      </c>
      <c r="J5688">
        <v>74.86</v>
      </c>
      <c r="K5688">
        <v>67.37</v>
      </c>
      <c r="L5688">
        <v>7.49</v>
      </c>
      <c r="M5688" s="1" t="s">
        <v>21</v>
      </c>
      <c r="N5688" s="1" t="s">
        <v>22</v>
      </c>
      <c r="O5688" s="2">
        <v>46224</v>
      </c>
      <c r="P5688" s="2">
        <v>46224</v>
      </c>
      <c r="Q5688">
        <f>_xlfn.XLOOKUP(E5688,CPT!$A$2:$A$13,CPT!$D$2:$D$13)</f>
        <v>210</v>
      </c>
      <c r="R5688" s="1">
        <f>_xlfn.XLOOKUP(C5688,Contract!$A$2:$A$9,Contract!$B$2:$B$9)</f>
        <v>0.36</v>
      </c>
      <c r="S5688" s="1">
        <f t="shared" si="352"/>
        <v>75.599999999999994</v>
      </c>
      <c r="T5688" s="1">
        <f t="shared" si="353"/>
        <v>0.73999999999999488</v>
      </c>
      <c r="U5688" s="1" t="str">
        <f t="shared" si="354"/>
        <v>OK</v>
      </c>
      <c r="V5688" s="1" t="str">
        <f>_xlfn.XLOOKUP(C5688,Payers!$A$2:$A$9,Payers!$B$2:$B$9)</f>
        <v>Medicare Part B</v>
      </c>
      <c r="W5688" s="1" t="str">
        <f t="shared" si="355"/>
        <v>2026-06</v>
      </c>
    </row>
    <row r="5689" spans="1:23">
      <c r="A5689" s="1" t="s">
        <v>8559</v>
      </c>
      <c r="B5689" s="1" t="s">
        <v>4437</v>
      </c>
      <c r="C5689" s="1" t="s">
        <v>25</v>
      </c>
      <c r="D5689" s="1" t="s">
        <v>26</v>
      </c>
      <c r="E5689" s="1" t="s">
        <v>44</v>
      </c>
      <c r="F5689">
        <v>1</v>
      </c>
      <c r="G5689" s="2">
        <v>46143</v>
      </c>
      <c r="H5689" s="2">
        <v>46144</v>
      </c>
      <c r="I5689">
        <v>4814.8100000000004</v>
      </c>
      <c r="J5689">
        <v>1942.44</v>
      </c>
      <c r="K5689">
        <v>1553.95</v>
      </c>
      <c r="L5689">
        <v>388.49</v>
      </c>
      <c r="M5689" s="1" t="s">
        <v>21</v>
      </c>
      <c r="N5689" s="1" t="s">
        <v>22</v>
      </c>
      <c r="O5689" s="2">
        <v>46162</v>
      </c>
      <c r="P5689" s="2">
        <v>46162</v>
      </c>
      <c r="Q5689">
        <f>_xlfn.XLOOKUP(E5689,CPT!$A$2:$A$13,CPT!$D$2:$D$13)</f>
        <v>4800</v>
      </c>
      <c r="R5689" s="1">
        <f>_xlfn.XLOOKUP(C5689,Contract!$A$2:$A$9,Contract!$B$2:$B$9)</f>
        <v>0.36</v>
      </c>
      <c r="S5689" s="1">
        <f t="shared" si="352"/>
        <v>1728</v>
      </c>
      <c r="T5689" s="1">
        <f t="shared" si="353"/>
        <v>-214.44000000000005</v>
      </c>
      <c r="U5689" s="1" t="str">
        <f t="shared" si="354"/>
        <v>OK</v>
      </c>
      <c r="V5689" s="1" t="str">
        <f>_xlfn.XLOOKUP(C5689,Payers!$A$2:$A$9,Payers!$B$2:$B$9)</f>
        <v>Medicare Part B</v>
      </c>
      <c r="W5689" s="1" t="str">
        <f t="shared" si="355"/>
        <v>2026-05</v>
      </c>
    </row>
    <row r="5690" spans="1:23">
      <c r="A5690" s="1" t="s">
        <v>8560</v>
      </c>
      <c r="B5690" s="1" t="s">
        <v>5643</v>
      </c>
      <c r="C5690" s="1" t="s">
        <v>25</v>
      </c>
      <c r="D5690" s="1" t="s">
        <v>19</v>
      </c>
      <c r="E5690" s="1" t="s">
        <v>20</v>
      </c>
      <c r="F5690">
        <v>1</v>
      </c>
      <c r="G5690" s="2">
        <v>46208</v>
      </c>
      <c r="H5690" s="2">
        <v>46215</v>
      </c>
      <c r="I5690">
        <v>145.41</v>
      </c>
      <c r="J5690">
        <v>55.37</v>
      </c>
      <c r="K5690">
        <v>49.83</v>
      </c>
      <c r="L5690">
        <v>5.54</v>
      </c>
      <c r="M5690" s="1" t="s">
        <v>21</v>
      </c>
      <c r="N5690" s="1" t="s">
        <v>22</v>
      </c>
      <c r="O5690" s="2">
        <v>46238</v>
      </c>
      <c r="P5690" s="2">
        <v>46238</v>
      </c>
      <c r="Q5690">
        <f>_xlfn.XLOOKUP(E5690,CPT!$A$2:$A$13,CPT!$D$2:$D$13)</f>
        <v>145</v>
      </c>
      <c r="R5690" s="1">
        <f>_xlfn.XLOOKUP(C5690,Contract!$A$2:$A$9,Contract!$B$2:$B$9)</f>
        <v>0.36</v>
      </c>
      <c r="S5690" s="1">
        <f t="shared" si="352"/>
        <v>52.2</v>
      </c>
      <c r="T5690" s="1">
        <f t="shared" si="353"/>
        <v>-3.1699999999999946</v>
      </c>
      <c r="U5690" s="1" t="str">
        <f t="shared" si="354"/>
        <v>OK</v>
      </c>
      <c r="V5690" s="1" t="str">
        <f>_xlfn.XLOOKUP(C5690,Payers!$A$2:$A$9,Payers!$B$2:$B$9)</f>
        <v>Medicare Part B</v>
      </c>
      <c r="W5690" s="1" t="str">
        <f t="shared" si="355"/>
        <v>2026-07</v>
      </c>
    </row>
    <row r="5691" spans="1:23">
      <c r="A5691" s="1" t="s">
        <v>8561</v>
      </c>
      <c r="B5691" s="1" t="s">
        <v>6773</v>
      </c>
      <c r="C5691" s="1" t="s">
        <v>36</v>
      </c>
      <c r="D5691" s="1" t="s">
        <v>19</v>
      </c>
      <c r="E5691" s="1" t="s">
        <v>41</v>
      </c>
      <c r="F5691">
        <v>1</v>
      </c>
      <c r="G5691" s="2">
        <v>45979</v>
      </c>
      <c r="H5691" s="2">
        <v>45987</v>
      </c>
      <c r="I5691">
        <v>37.729999999999997</v>
      </c>
      <c r="J5691">
        <v>10.96</v>
      </c>
      <c r="K5691">
        <v>10.96</v>
      </c>
      <c r="L5691">
        <v>0</v>
      </c>
      <c r="M5691" s="1" t="s">
        <v>21</v>
      </c>
      <c r="N5691" s="1" t="s">
        <v>22</v>
      </c>
      <c r="O5691" s="2">
        <v>46031</v>
      </c>
      <c r="P5691" s="2">
        <v>46031</v>
      </c>
      <c r="Q5691">
        <f>_xlfn.XLOOKUP(E5691,CPT!$A$2:$A$13,CPT!$D$2:$D$13)</f>
        <v>38</v>
      </c>
      <c r="R5691" s="1">
        <f>_xlfn.XLOOKUP(C5691,Contract!$A$2:$A$9,Contract!$B$2:$B$9)</f>
        <v>0.27</v>
      </c>
      <c r="S5691" s="1">
        <f t="shared" si="352"/>
        <v>10.26</v>
      </c>
      <c r="T5691" s="1">
        <f t="shared" si="353"/>
        <v>-0.70000000000000107</v>
      </c>
      <c r="U5691" s="1" t="str">
        <f t="shared" si="354"/>
        <v>OK</v>
      </c>
      <c r="V5691" s="1" t="str">
        <f>_xlfn.XLOOKUP(C5691,Payers!$A$2:$A$9,Payers!$B$2:$B$9)</f>
        <v>Florida Medicaid</v>
      </c>
      <c r="W5691" s="1" t="str">
        <f t="shared" si="355"/>
        <v>2025-11</v>
      </c>
    </row>
    <row r="5692" spans="1:23">
      <c r="A5692" s="1" t="s">
        <v>8562</v>
      </c>
      <c r="B5692" s="1" t="s">
        <v>8563</v>
      </c>
      <c r="C5692" s="1" t="s">
        <v>36</v>
      </c>
      <c r="D5692" s="1" t="s">
        <v>26</v>
      </c>
      <c r="E5692" s="1" t="s">
        <v>41</v>
      </c>
      <c r="F5692">
        <v>1</v>
      </c>
      <c r="G5692" s="2">
        <v>46035</v>
      </c>
      <c r="H5692" s="2">
        <v>46036</v>
      </c>
      <c r="I5692">
        <v>38.979999999999997</v>
      </c>
      <c r="J5692">
        <v>10.199999999999999</v>
      </c>
      <c r="K5692">
        <v>8.16</v>
      </c>
      <c r="L5692">
        <v>2.04</v>
      </c>
      <c r="M5692" s="1" t="s">
        <v>21</v>
      </c>
      <c r="N5692" s="1" t="s">
        <v>22</v>
      </c>
      <c r="O5692" s="2">
        <v>46093</v>
      </c>
      <c r="P5692" s="2">
        <v>46093</v>
      </c>
      <c r="Q5692">
        <f>_xlfn.XLOOKUP(E5692,CPT!$A$2:$A$13,CPT!$D$2:$D$13)</f>
        <v>38</v>
      </c>
      <c r="R5692" s="1">
        <f>_xlfn.XLOOKUP(C5692,Contract!$A$2:$A$9,Contract!$B$2:$B$9)</f>
        <v>0.27</v>
      </c>
      <c r="S5692" s="1">
        <f t="shared" si="352"/>
        <v>10.26</v>
      </c>
      <c r="T5692" s="1">
        <f t="shared" si="353"/>
        <v>6.0000000000000497E-2</v>
      </c>
      <c r="U5692" s="1" t="str">
        <f t="shared" si="354"/>
        <v>OK</v>
      </c>
      <c r="V5692" s="1" t="str">
        <f>_xlfn.XLOOKUP(C5692,Payers!$A$2:$A$9,Payers!$B$2:$B$9)</f>
        <v>Florida Medicaid</v>
      </c>
      <c r="W5692" s="1" t="str">
        <f t="shared" si="355"/>
        <v>2026-01</v>
      </c>
    </row>
    <row r="5693" spans="1:23">
      <c r="A5693" s="1" t="s">
        <v>8564</v>
      </c>
      <c r="B5693" s="1" t="s">
        <v>3544</v>
      </c>
      <c r="C5693" s="1" t="s">
        <v>52</v>
      </c>
      <c r="D5693" s="1" t="s">
        <v>19</v>
      </c>
      <c r="E5693" s="1" t="s">
        <v>57</v>
      </c>
      <c r="F5693">
        <v>1</v>
      </c>
      <c r="G5693" s="2">
        <v>45974</v>
      </c>
      <c r="H5693" s="2">
        <v>45976</v>
      </c>
      <c r="I5693">
        <v>211.16</v>
      </c>
      <c r="M5693" s="1" t="s">
        <v>32</v>
      </c>
      <c r="N5693" s="1" t="s">
        <v>281</v>
      </c>
      <c r="O5693" s="2">
        <v>46023</v>
      </c>
      <c r="P5693" s="2"/>
      <c r="Q5693">
        <f>_xlfn.XLOOKUP(E5693,CPT!$A$2:$A$13,CPT!$D$2:$D$13)</f>
        <v>210</v>
      </c>
      <c r="R5693" s="1">
        <f>_xlfn.XLOOKUP(C5693,Contract!$A$2:$A$9,Contract!$B$2:$B$9)</f>
        <v>0.47</v>
      </c>
      <c r="S5693" s="1">
        <f t="shared" si="352"/>
        <v>98.7</v>
      </c>
      <c r="T5693" s="1" t="str">
        <f t="shared" si="353"/>
        <v/>
      </c>
      <c r="U5693" s="1" t="str">
        <f t="shared" si="354"/>
        <v/>
      </c>
      <c r="V5693" s="1" t="str">
        <f>_xlfn.XLOOKUP(C5693,Payers!$A$2:$A$9,Payers!$B$2:$B$9)</f>
        <v>Keystone Commercial PPO</v>
      </c>
      <c r="W5693" s="1" t="str">
        <f t="shared" si="355"/>
        <v>2025-11</v>
      </c>
    </row>
    <row r="5694" spans="1:23">
      <c r="A5694" s="1" t="s">
        <v>8565</v>
      </c>
      <c r="B5694" s="1" t="s">
        <v>3080</v>
      </c>
      <c r="C5694" s="1" t="s">
        <v>25</v>
      </c>
      <c r="D5694" s="1" t="s">
        <v>37</v>
      </c>
      <c r="E5694" s="1" t="s">
        <v>38</v>
      </c>
      <c r="F5694">
        <v>5</v>
      </c>
      <c r="G5694" s="2">
        <v>46034</v>
      </c>
      <c r="H5694" s="2">
        <v>46036</v>
      </c>
      <c r="I5694">
        <v>7109.34</v>
      </c>
      <c r="J5694">
        <v>2682.4</v>
      </c>
      <c r="K5694">
        <v>2682.4</v>
      </c>
      <c r="L5694">
        <v>0</v>
      </c>
      <c r="M5694" s="1" t="s">
        <v>21</v>
      </c>
      <c r="N5694" s="1" t="s">
        <v>22</v>
      </c>
      <c r="O5694" s="2">
        <v>46060</v>
      </c>
      <c r="P5694" s="2">
        <v>46060</v>
      </c>
      <c r="Q5694">
        <f>_xlfn.XLOOKUP(E5694,CPT!$A$2:$A$13,CPT!$D$2:$D$13)</f>
        <v>1450</v>
      </c>
      <c r="R5694" s="1">
        <f>_xlfn.XLOOKUP(C5694,Contract!$A$2:$A$9,Contract!$B$2:$B$9)</f>
        <v>0.36</v>
      </c>
      <c r="S5694" s="1">
        <f t="shared" si="352"/>
        <v>2610</v>
      </c>
      <c r="T5694" s="1">
        <f t="shared" si="353"/>
        <v>-72.400000000000091</v>
      </c>
      <c r="U5694" s="1" t="str">
        <f t="shared" si="354"/>
        <v>OK</v>
      </c>
      <c r="V5694" s="1" t="str">
        <f>_xlfn.XLOOKUP(C5694,Payers!$A$2:$A$9,Payers!$B$2:$B$9)</f>
        <v>Medicare Part B</v>
      </c>
      <c r="W5694" s="1" t="str">
        <f t="shared" si="355"/>
        <v>2026-01</v>
      </c>
    </row>
    <row r="5695" spans="1:23">
      <c r="A5695" s="1" t="s">
        <v>8566</v>
      </c>
      <c r="B5695" s="1" t="s">
        <v>754</v>
      </c>
      <c r="C5695" s="1" t="s">
        <v>25</v>
      </c>
      <c r="D5695" s="1" t="s">
        <v>26</v>
      </c>
      <c r="E5695" s="1" t="s">
        <v>88</v>
      </c>
      <c r="F5695">
        <v>1</v>
      </c>
      <c r="G5695" s="2">
        <v>46013</v>
      </c>
      <c r="H5695" s="2">
        <v>46016</v>
      </c>
      <c r="I5695">
        <v>254.85</v>
      </c>
      <c r="J5695">
        <v>92.49</v>
      </c>
      <c r="K5695">
        <v>73.989999999999995</v>
      </c>
      <c r="L5695">
        <v>18.5</v>
      </c>
      <c r="M5695" s="1" t="s">
        <v>21</v>
      </c>
      <c r="N5695" s="1" t="s">
        <v>22</v>
      </c>
      <c r="O5695" s="2">
        <v>46043</v>
      </c>
      <c r="P5695" s="2">
        <v>46043</v>
      </c>
      <c r="Q5695">
        <f>_xlfn.XLOOKUP(E5695,CPT!$A$2:$A$13,CPT!$D$2:$D$13)</f>
        <v>260</v>
      </c>
      <c r="R5695" s="1">
        <f>_xlfn.XLOOKUP(C5695,Contract!$A$2:$A$9,Contract!$B$2:$B$9)</f>
        <v>0.36</v>
      </c>
      <c r="S5695" s="1">
        <f t="shared" si="352"/>
        <v>93.6</v>
      </c>
      <c r="T5695" s="1">
        <f t="shared" si="353"/>
        <v>1.1099999999999994</v>
      </c>
      <c r="U5695" s="1" t="str">
        <f t="shared" si="354"/>
        <v>OK</v>
      </c>
      <c r="V5695" s="1" t="str">
        <f>_xlfn.XLOOKUP(C5695,Payers!$A$2:$A$9,Payers!$B$2:$B$9)</f>
        <v>Medicare Part B</v>
      </c>
      <c r="W5695" s="1" t="str">
        <f t="shared" si="355"/>
        <v>2025-12</v>
      </c>
    </row>
    <row r="5696" spans="1:23">
      <c r="A5696" s="1" t="s">
        <v>8567</v>
      </c>
      <c r="B5696" s="1" t="s">
        <v>2852</v>
      </c>
      <c r="C5696" s="1" t="s">
        <v>25</v>
      </c>
      <c r="D5696" s="1" t="s">
        <v>26</v>
      </c>
      <c r="E5696" s="1" t="s">
        <v>41</v>
      </c>
      <c r="F5696">
        <v>1</v>
      </c>
      <c r="G5696" s="2">
        <v>46107</v>
      </c>
      <c r="H5696" s="2">
        <v>46108</v>
      </c>
      <c r="I5696">
        <v>37.93</v>
      </c>
      <c r="J5696">
        <v>13.3</v>
      </c>
      <c r="K5696">
        <v>11.97</v>
      </c>
      <c r="L5696">
        <v>1.33</v>
      </c>
      <c r="M5696" s="1" t="s">
        <v>21</v>
      </c>
      <c r="N5696" s="1" t="s">
        <v>22</v>
      </c>
      <c r="O5696" s="2">
        <v>46128</v>
      </c>
      <c r="P5696" s="2">
        <v>46128</v>
      </c>
      <c r="Q5696">
        <f>_xlfn.XLOOKUP(E5696,CPT!$A$2:$A$13,CPT!$D$2:$D$13)</f>
        <v>38</v>
      </c>
      <c r="R5696" s="1">
        <f>_xlfn.XLOOKUP(C5696,Contract!$A$2:$A$9,Contract!$B$2:$B$9)</f>
        <v>0.36</v>
      </c>
      <c r="S5696" s="1">
        <f t="shared" si="352"/>
        <v>13.68</v>
      </c>
      <c r="T5696" s="1">
        <f t="shared" si="353"/>
        <v>0.37999999999999901</v>
      </c>
      <c r="U5696" s="1" t="str">
        <f t="shared" si="354"/>
        <v>OK</v>
      </c>
      <c r="V5696" s="1" t="str">
        <f>_xlfn.XLOOKUP(C5696,Payers!$A$2:$A$9,Payers!$B$2:$B$9)</f>
        <v>Medicare Part B</v>
      </c>
      <c r="W5696" s="1" t="str">
        <f t="shared" si="355"/>
        <v>2026-03</v>
      </c>
    </row>
    <row r="5697" spans="1:23">
      <c r="A5697" s="1" t="s">
        <v>8568</v>
      </c>
      <c r="B5697" s="1" t="s">
        <v>4065</v>
      </c>
      <c r="C5697" s="1" t="s">
        <v>76</v>
      </c>
      <c r="D5697" s="1" t="s">
        <v>26</v>
      </c>
      <c r="E5697" s="1" t="s">
        <v>44</v>
      </c>
      <c r="F5697">
        <v>1</v>
      </c>
      <c r="G5697" s="2">
        <v>46148</v>
      </c>
      <c r="H5697" s="2">
        <v>46149</v>
      </c>
      <c r="I5697">
        <v>4670</v>
      </c>
      <c r="M5697" s="1" t="s">
        <v>32</v>
      </c>
      <c r="N5697" s="1" t="s">
        <v>33</v>
      </c>
      <c r="O5697" s="2">
        <v>46185</v>
      </c>
      <c r="P5697" s="2"/>
      <c r="Q5697">
        <f>_xlfn.XLOOKUP(E5697,CPT!$A$2:$A$13,CPT!$D$2:$D$13)</f>
        <v>4800</v>
      </c>
      <c r="R5697" s="1">
        <f>_xlfn.XLOOKUP(C5697,Contract!$A$2:$A$9,Contract!$B$2:$B$9)</f>
        <v>0.43</v>
      </c>
      <c r="S5697" s="1">
        <f t="shared" si="352"/>
        <v>2064</v>
      </c>
      <c r="T5697" s="1" t="str">
        <f t="shared" si="353"/>
        <v/>
      </c>
      <c r="U5697" s="1" t="str">
        <f t="shared" si="354"/>
        <v/>
      </c>
      <c r="V5697" s="1" t="str">
        <f>_xlfn.XLOOKUP(C5697,Payers!$A$2:$A$9,Payers!$B$2:$B$9)</f>
        <v>Summit Health Commercial</v>
      </c>
      <c r="W5697" s="1" t="str">
        <f t="shared" si="355"/>
        <v>2026-05</v>
      </c>
    </row>
    <row r="5698" spans="1:23">
      <c r="A5698" s="1" t="s">
        <v>8569</v>
      </c>
      <c r="B5698" s="1" t="s">
        <v>2003</v>
      </c>
      <c r="C5698" s="1" t="s">
        <v>47</v>
      </c>
      <c r="D5698" s="1" t="s">
        <v>19</v>
      </c>
      <c r="E5698" s="1" t="s">
        <v>20</v>
      </c>
      <c r="F5698">
        <v>1</v>
      </c>
      <c r="G5698" s="2">
        <v>45970</v>
      </c>
      <c r="H5698" s="2">
        <v>45971</v>
      </c>
      <c r="I5698">
        <v>146.13</v>
      </c>
      <c r="M5698" s="1" t="s">
        <v>32</v>
      </c>
      <c r="N5698" s="1" t="s">
        <v>98</v>
      </c>
      <c r="O5698" s="2">
        <v>46033</v>
      </c>
      <c r="P5698" s="2"/>
      <c r="Q5698">
        <f>_xlfn.XLOOKUP(E5698,CPT!$A$2:$A$13,CPT!$D$2:$D$13)</f>
        <v>145</v>
      </c>
      <c r="R5698" s="1">
        <f>_xlfn.XLOOKUP(C5698,Contract!$A$2:$A$9,Contract!$B$2:$B$9)</f>
        <v>0.28000000000000003</v>
      </c>
      <c r="S5698" s="1">
        <f t="shared" ref="S5698:S5761" si="356">ROUND(Q5698*F5698*R5698,2)</f>
        <v>40.6</v>
      </c>
      <c r="T5698" s="1" t="str">
        <f t="shared" ref="T5698:T5761" si="357">IF(M5698="Paid",S5698-J5698,"")</f>
        <v/>
      </c>
      <c r="U5698" s="1" t="str">
        <f t="shared" ref="U5698:U5761" si="358">IF(M5698&lt;&gt;"Paid","",IF(T5698&gt;S5698*0.05,"Underpaid","OK"))</f>
        <v/>
      </c>
      <c r="V5698" s="1" t="str">
        <f>_xlfn.XLOOKUP(C5698,Payers!$A$2:$A$9,Payers!$B$2:$B$9)</f>
        <v>Coastal Medicaid MCO</v>
      </c>
      <c r="W5698" s="1" t="str">
        <f t="shared" ref="W5698:W5761" si="359">TEXT(G5698,"yyyy-mm")</f>
        <v>2025-11</v>
      </c>
    </row>
    <row r="5699" spans="1:23">
      <c r="A5699" s="1" t="s">
        <v>8570</v>
      </c>
      <c r="B5699" s="1" t="s">
        <v>1106</v>
      </c>
      <c r="C5699" s="1" t="s">
        <v>76</v>
      </c>
      <c r="D5699" s="1" t="s">
        <v>30</v>
      </c>
      <c r="E5699" s="1" t="s">
        <v>91</v>
      </c>
      <c r="F5699">
        <v>4</v>
      </c>
      <c r="G5699" s="2">
        <v>45955</v>
      </c>
      <c r="H5699" s="2">
        <v>45956</v>
      </c>
      <c r="I5699">
        <v>229.88</v>
      </c>
      <c r="J5699">
        <v>85.03</v>
      </c>
      <c r="K5699">
        <v>68.02</v>
      </c>
      <c r="L5699">
        <v>17.010000000000002</v>
      </c>
      <c r="M5699" s="1" t="s">
        <v>21</v>
      </c>
      <c r="N5699" s="1" t="s">
        <v>22</v>
      </c>
      <c r="O5699" s="2">
        <v>45971</v>
      </c>
      <c r="P5699" s="2">
        <v>45971</v>
      </c>
      <c r="Q5699">
        <f>_xlfn.XLOOKUP(E5699,CPT!$A$2:$A$13,CPT!$D$2:$D$13)</f>
        <v>58</v>
      </c>
      <c r="R5699" s="1">
        <f>_xlfn.XLOOKUP(C5699,Contract!$A$2:$A$9,Contract!$B$2:$B$9)</f>
        <v>0.43</v>
      </c>
      <c r="S5699" s="1">
        <f t="shared" si="356"/>
        <v>99.76</v>
      </c>
      <c r="T5699" s="1">
        <f t="shared" si="357"/>
        <v>14.730000000000004</v>
      </c>
      <c r="U5699" s="1" t="str">
        <f t="shared" si="358"/>
        <v>Underpaid</v>
      </c>
      <c r="V5699" s="1" t="str">
        <f>_xlfn.XLOOKUP(C5699,Payers!$A$2:$A$9,Payers!$B$2:$B$9)</f>
        <v>Summit Health Commercial</v>
      </c>
      <c r="W5699" s="1" t="str">
        <f t="shared" si="359"/>
        <v>2025-10</v>
      </c>
    </row>
    <row r="5700" spans="1:23">
      <c r="A5700" s="1" t="s">
        <v>8571</v>
      </c>
      <c r="B5700" s="1" t="s">
        <v>8572</v>
      </c>
      <c r="C5700" s="1" t="s">
        <v>52</v>
      </c>
      <c r="D5700" s="1" t="s">
        <v>26</v>
      </c>
      <c r="E5700" s="1" t="s">
        <v>88</v>
      </c>
      <c r="F5700">
        <v>1</v>
      </c>
      <c r="G5700" s="2">
        <v>46121</v>
      </c>
      <c r="H5700" s="2">
        <v>46122</v>
      </c>
      <c r="I5700">
        <v>261.99</v>
      </c>
      <c r="J5700">
        <v>136.77000000000001</v>
      </c>
      <c r="K5700">
        <v>136.77000000000001</v>
      </c>
      <c r="L5700">
        <v>0</v>
      </c>
      <c r="M5700" s="1" t="s">
        <v>21</v>
      </c>
      <c r="N5700" s="1" t="s">
        <v>22</v>
      </c>
      <c r="O5700" s="2">
        <v>46183</v>
      </c>
      <c r="P5700" s="2">
        <v>46183</v>
      </c>
      <c r="Q5700">
        <f>_xlfn.XLOOKUP(E5700,CPT!$A$2:$A$13,CPT!$D$2:$D$13)</f>
        <v>260</v>
      </c>
      <c r="R5700" s="1">
        <f>_xlfn.XLOOKUP(C5700,Contract!$A$2:$A$9,Contract!$B$2:$B$9)</f>
        <v>0.47</v>
      </c>
      <c r="S5700" s="1">
        <f t="shared" si="356"/>
        <v>122.2</v>
      </c>
      <c r="T5700" s="1">
        <f t="shared" si="357"/>
        <v>-14.570000000000007</v>
      </c>
      <c r="U5700" s="1" t="str">
        <f t="shared" si="358"/>
        <v>OK</v>
      </c>
      <c r="V5700" s="1" t="str">
        <f>_xlfn.XLOOKUP(C5700,Payers!$A$2:$A$9,Payers!$B$2:$B$9)</f>
        <v>Keystone Commercial PPO</v>
      </c>
      <c r="W5700" s="1" t="str">
        <f t="shared" si="359"/>
        <v>2026-04</v>
      </c>
    </row>
    <row r="5701" spans="1:23">
      <c r="A5701" s="1" t="s">
        <v>8573</v>
      </c>
      <c r="B5701" s="1" t="s">
        <v>2044</v>
      </c>
      <c r="C5701" s="1" t="s">
        <v>60</v>
      </c>
      <c r="D5701" s="1" t="s">
        <v>37</v>
      </c>
      <c r="E5701" s="1" t="s">
        <v>38</v>
      </c>
      <c r="F5701">
        <v>20</v>
      </c>
      <c r="G5701" s="2">
        <v>46013</v>
      </c>
      <c r="H5701" s="2">
        <v>46014</v>
      </c>
      <c r="I5701">
        <v>28233.7</v>
      </c>
      <c r="J5701">
        <v>14307.5</v>
      </c>
      <c r="K5701">
        <v>11446</v>
      </c>
      <c r="L5701">
        <v>2861.5</v>
      </c>
      <c r="M5701" s="1" t="s">
        <v>21</v>
      </c>
      <c r="N5701" s="1" t="s">
        <v>22</v>
      </c>
      <c r="O5701" s="2">
        <v>46028</v>
      </c>
      <c r="P5701" s="2">
        <v>46028</v>
      </c>
      <c r="Q5701">
        <f>_xlfn.XLOOKUP(E5701,CPT!$A$2:$A$13,CPT!$D$2:$D$13)</f>
        <v>1450</v>
      </c>
      <c r="R5701" s="1">
        <f>_xlfn.XLOOKUP(C5701,Contract!$A$2:$A$9,Contract!$B$2:$B$9)</f>
        <v>0.45</v>
      </c>
      <c r="S5701" s="1">
        <f t="shared" si="356"/>
        <v>13050</v>
      </c>
      <c r="T5701" s="1">
        <f t="shared" si="357"/>
        <v>-1257.5</v>
      </c>
      <c r="U5701" s="1" t="str">
        <f t="shared" si="358"/>
        <v>OK</v>
      </c>
      <c r="V5701" s="1" t="str">
        <f>_xlfn.XLOOKUP(C5701,Payers!$A$2:$A$9,Payers!$B$2:$B$9)</f>
        <v>Blue Horizon Commercial</v>
      </c>
      <c r="W5701" s="1" t="str">
        <f t="shared" si="359"/>
        <v>2025-12</v>
      </c>
    </row>
    <row r="5702" spans="1:23">
      <c r="A5702" s="1" t="s">
        <v>8574</v>
      </c>
      <c r="B5702" s="1" t="s">
        <v>2807</v>
      </c>
      <c r="C5702" s="1" t="s">
        <v>60</v>
      </c>
      <c r="D5702" s="1" t="s">
        <v>37</v>
      </c>
      <c r="E5702" s="1" t="s">
        <v>48</v>
      </c>
      <c r="F5702">
        <v>1</v>
      </c>
      <c r="G5702" s="2">
        <v>46197</v>
      </c>
      <c r="H5702" s="2">
        <v>46200</v>
      </c>
      <c r="I5702">
        <v>411.98</v>
      </c>
      <c r="M5702" s="1" t="s">
        <v>32</v>
      </c>
      <c r="N5702" s="1" t="s">
        <v>49</v>
      </c>
      <c r="O5702" s="2">
        <v>46228</v>
      </c>
      <c r="P5702" s="2"/>
      <c r="Q5702">
        <f>_xlfn.XLOOKUP(E5702,CPT!$A$2:$A$13,CPT!$D$2:$D$13)</f>
        <v>420</v>
      </c>
      <c r="R5702" s="1">
        <f>_xlfn.XLOOKUP(C5702,Contract!$A$2:$A$9,Contract!$B$2:$B$9)</f>
        <v>0.45</v>
      </c>
      <c r="S5702" s="1">
        <f t="shared" si="356"/>
        <v>189</v>
      </c>
      <c r="T5702" s="1" t="str">
        <f t="shared" si="357"/>
        <v/>
      </c>
      <c r="U5702" s="1" t="str">
        <f t="shared" si="358"/>
        <v/>
      </c>
      <c r="V5702" s="1" t="str">
        <f>_xlfn.XLOOKUP(C5702,Payers!$A$2:$A$9,Payers!$B$2:$B$9)</f>
        <v>Blue Horizon Commercial</v>
      </c>
      <c r="W5702" s="1" t="str">
        <f t="shared" si="359"/>
        <v>2026-06</v>
      </c>
    </row>
    <row r="5703" spans="1:23">
      <c r="A5703" s="1" t="s">
        <v>8575</v>
      </c>
      <c r="B5703" s="1" t="s">
        <v>740</v>
      </c>
      <c r="C5703" s="1" t="s">
        <v>52</v>
      </c>
      <c r="D5703" s="1" t="s">
        <v>26</v>
      </c>
      <c r="E5703" s="1" t="s">
        <v>57</v>
      </c>
      <c r="F5703">
        <v>1</v>
      </c>
      <c r="G5703" s="2">
        <v>45986</v>
      </c>
      <c r="H5703" s="2">
        <v>45987</v>
      </c>
      <c r="I5703">
        <v>211.26</v>
      </c>
      <c r="J5703">
        <v>93.7</v>
      </c>
      <c r="K5703">
        <v>84.33</v>
      </c>
      <c r="L5703">
        <v>9.3699999999999992</v>
      </c>
      <c r="M5703" s="1" t="s">
        <v>21</v>
      </c>
      <c r="N5703" s="1" t="s">
        <v>22</v>
      </c>
      <c r="O5703" s="2">
        <v>46033</v>
      </c>
      <c r="P5703" s="2">
        <v>46033</v>
      </c>
      <c r="Q5703">
        <f>_xlfn.XLOOKUP(E5703,CPT!$A$2:$A$13,CPT!$D$2:$D$13)</f>
        <v>210</v>
      </c>
      <c r="R5703" s="1">
        <f>_xlfn.XLOOKUP(C5703,Contract!$A$2:$A$9,Contract!$B$2:$B$9)</f>
        <v>0.47</v>
      </c>
      <c r="S5703" s="1">
        <f t="shared" si="356"/>
        <v>98.7</v>
      </c>
      <c r="T5703" s="1">
        <f t="shared" si="357"/>
        <v>5</v>
      </c>
      <c r="U5703" s="1" t="str">
        <f t="shared" si="358"/>
        <v>Underpaid</v>
      </c>
      <c r="V5703" s="1" t="str">
        <f>_xlfn.XLOOKUP(C5703,Payers!$A$2:$A$9,Payers!$B$2:$B$9)</f>
        <v>Keystone Commercial PPO</v>
      </c>
      <c r="W5703" s="1" t="str">
        <f t="shared" si="359"/>
        <v>2025-11</v>
      </c>
    </row>
    <row r="5704" spans="1:23">
      <c r="A5704" s="1" t="s">
        <v>8576</v>
      </c>
      <c r="B5704" s="1" t="s">
        <v>8281</v>
      </c>
      <c r="C5704" s="1" t="s">
        <v>36</v>
      </c>
      <c r="D5704" s="1" t="s">
        <v>37</v>
      </c>
      <c r="E5704" s="1" t="s">
        <v>57</v>
      </c>
      <c r="F5704">
        <v>1</v>
      </c>
      <c r="G5704" s="2">
        <v>45992</v>
      </c>
      <c r="H5704" s="2">
        <v>45994</v>
      </c>
      <c r="I5704">
        <v>213.62</v>
      </c>
      <c r="J5704">
        <v>49.46</v>
      </c>
      <c r="K5704">
        <v>44.51</v>
      </c>
      <c r="L5704">
        <v>4.95</v>
      </c>
      <c r="M5704" s="1" t="s">
        <v>21</v>
      </c>
      <c r="N5704" s="1" t="s">
        <v>22</v>
      </c>
      <c r="O5704" s="2">
        <v>46028</v>
      </c>
      <c r="P5704" s="2">
        <v>46028</v>
      </c>
      <c r="Q5704">
        <f>_xlfn.XLOOKUP(E5704,CPT!$A$2:$A$13,CPT!$D$2:$D$13)</f>
        <v>210</v>
      </c>
      <c r="R5704" s="1">
        <f>_xlfn.XLOOKUP(C5704,Contract!$A$2:$A$9,Contract!$B$2:$B$9)</f>
        <v>0.27</v>
      </c>
      <c r="S5704" s="1">
        <f t="shared" si="356"/>
        <v>56.7</v>
      </c>
      <c r="T5704" s="1">
        <f t="shared" si="357"/>
        <v>7.240000000000002</v>
      </c>
      <c r="U5704" s="1" t="str">
        <f t="shared" si="358"/>
        <v>Underpaid</v>
      </c>
      <c r="V5704" s="1" t="str">
        <f>_xlfn.XLOOKUP(C5704,Payers!$A$2:$A$9,Payers!$B$2:$B$9)</f>
        <v>Florida Medicaid</v>
      </c>
      <c r="W5704" s="1" t="str">
        <f t="shared" si="359"/>
        <v>2025-12</v>
      </c>
    </row>
    <row r="5705" spans="1:23">
      <c r="A5705" s="1" t="s">
        <v>8577</v>
      </c>
      <c r="B5705" s="1" t="s">
        <v>6419</v>
      </c>
      <c r="C5705" s="1" t="s">
        <v>47</v>
      </c>
      <c r="D5705" s="1" t="s">
        <v>37</v>
      </c>
      <c r="E5705" s="1" t="s">
        <v>48</v>
      </c>
      <c r="F5705">
        <v>1</v>
      </c>
      <c r="G5705" s="2">
        <v>45964</v>
      </c>
      <c r="H5705" s="2">
        <v>45967</v>
      </c>
      <c r="I5705">
        <v>427.98</v>
      </c>
      <c r="J5705">
        <v>136.51</v>
      </c>
      <c r="K5705">
        <v>136.51</v>
      </c>
      <c r="L5705">
        <v>0</v>
      </c>
      <c r="M5705" s="1" t="s">
        <v>21</v>
      </c>
      <c r="N5705" s="1" t="s">
        <v>22</v>
      </c>
      <c r="O5705" s="2">
        <v>46038</v>
      </c>
      <c r="P5705" s="2">
        <v>46038</v>
      </c>
      <c r="Q5705">
        <f>_xlfn.XLOOKUP(E5705,CPT!$A$2:$A$13,CPT!$D$2:$D$13)</f>
        <v>420</v>
      </c>
      <c r="R5705" s="1">
        <f>_xlfn.XLOOKUP(C5705,Contract!$A$2:$A$9,Contract!$B$2:$B$9)</f>
        <v>0.28000000000000003</v>
      </c>
      <c r="S5705" s="1">
        <f t="shared" si="356"/>
        <v>117.6</v>
      </c>
      <c r="T5705" s="1">
        <f t="shared" si="357"/>
        <v>-18.909999999999997</v>
      </c>
      <c r="U5705" s="1" t="str">
        <f t="shared" si="358"/>
        <v>OK</v>
      </c>
      <c r="V5705" s="1" t="str">
        <f>_xlfn.XLOOKUP(C5705,Payers!$A$2:$A$9,Payers!$B$2:$B$9)</f>
        <v>Coastal Medicaid MCO</v>
      </c>
      <c r="W5705" s="1" t="str">
        <f t="shared" si="359"/>
        <v>2025-11</v>
      </c>
    </row>
    <row r="5706" spans="1:23">
      <c r="A5706" s="1" t="s">
        <v>8578</v>
      </c>
      <c r="B5706" s="1" t="s">
        <v>4204</v>
      </c>
      <c r="C5706" s="1" t="s">
        <v>25</v>
      </c>
      <c r="D5706" s="1" t="s">
        <v>30</v>
      </c>
      <c r="E5706" s="1" t="s">
        <v>91</v>
      </c>
      <c r="F5706">
        <v>4</v>
      </c>
      <c r="G5706" s="2">
        <v>46247</v>
      </c>
      <c r="H5706" s="2">
        <v>46248</v>
      </c>
      <c r="I5706">
        <v>225.82</v>
      </c>
      <c r="J5706">
        <v>87.16</v>
      </c>
      <c r="K5706">
        <v>87.16</v>
      </c>
      <c r="L5706">
        <v>0</v>
      </c>
      <c r="M5706" s="1" t="s">
        <v>21</v>
      </c>
      <c r="N5706" s="1" t="s">
        <v>22</v>
      </c>
      <c r="O5706" s="2">
        <v>46264</v>
      </c>
      <c r="P5706" s="2">
        <v>46264</v>
      </c>
      <c r="Q5706">
        <f>_xlfn.XLOOKUP(E5706,CPT!$A$2:$A$13,CPT!$D$2:$D$13)</f>
        <v>58</v>
      </c>
      <c r="R5706" s="1">
        <f>_xlfn.XLOOKUP(C5706,Contract!$A$2:$A$9,Contract!$B$2:$B$9)</f>
        <v>0.36</v>
      </c>
      <c r="S5706" s="1">
        <f t="shared" si="356"/>
        <v>83.52</v>
      </c>
      <c r="T5706" s="1">
        <f t="shared" si="357"/>
        <v>-3.6400000000000006</v>
      </c>
      <c r="U5706" s="1" t="str">
        <f t="shared" si="358"/>
        <v>OK</v>
      </c>
      <c r="V5706" s="1" t="str">
        <f>_xlfn.XLOOKUP(C5706,Payers!$A$2:$A$9,Payers!$B$2:$B$9)</f>
        <v>Medicare Part B</v>
      </c>
      <c r="W5706" s="1" t="str">
        <f t="shared" si="359"/>
        <v>2026-08</v>
      </c>
    </row>
    <row r="5707" spans="1:23">
      <c r="A5707" s="1" t="s">
        <v>8579</v>
      </c>
      <c r="B5707" s="1" t="s">
        <v>1213</v>
      </c>
      <c r="C5707" s="1" t="s">
        <v>36</v>
      </c>
      <c r="D5707" s="1" t="s">
        <v>37</v>
      </c>
      <c r="E5707" s="1" t="s">
        <v>57</v>
      </c>
      <c r="F5707">
        <v>1</v>
      </c>
      <c r="G5707" s="2">
        <v>46178</v>
      </c>
      <c r="H5707" s="2">
        <v>46180</v>
      </c>
      <c r="I5707">
        <v>210.64</v>
      </c>
      <c r="J5707">
        <v>64.28</v>
      </c>
      <c r="K5707">
        <v>51.42</v>
      </c>
      <c r="L5707">
        <v>12.86</v>
      </c>
      <c r="M5707" s="1" t="s">
        <v>21</v>
      </c>
      <c r="N5707" s="1" t="s">
        <v>22</v>
      </c>
      <c r="O5707" s="2">
        <v>46206</v>
      </c>
      <c r="P5707" s="2">
        <v>46206</v>
      </c>
      <c r="Q5707">
        <f>_xlfn.XLOOKUP(E5707,CPT!$A$2:$A$13,CPT!$D$2:$D$13)</f>
        <v>210</v>
      </c>
      <c r="R5707" s="1">
        <f>_xlfn.XLOOKUP(C5707,Contract!$A$2:$A$9,Contract!$B$2:$B$9)</f>
        <v>0.27</v>
      </c>
      <c r="S5707" s="1">
        <f t="shared" si="356"/>
        <v>56.7</v>
      </c>
      <c r="T5707" s="1">
        <f t="shared" si="357"/>
        <v>-7.5799999999999983</v>
      </c>
      <c r="U5707" s="1" t="str">
        <f t="shared" si="358"/>
        <v>OK</v>
      </c>
      <c r="V5707" s="1" t="str">
        <f>_xlfn.XLOOKUP(C5707,Payers!$A$2:$A$9,Payers!$B$2:$B$9)</f>
        <v>Florida Medicaid</v>
      </c>
      <c r="W5707" s="1" t="str">
        <f t="shared" si="359"/>
        <v>2026-06</v>
      </c>
    </row>
    <row r="5708" spans="1:23">
      <c r="A5708" s="1" t="s">
        <v>8580</v>
      </c>
      <c r="B5708" s="1" t="s">
        <v>7757</v>
      </c>
      <c r="C5708" s="1" t="s">
        <v>79</v>
      </c>
      <c r="D5708" s="1" t="s">
        <v>26</v>
      </c>
      <c r="E5708" s="1" t="s">
        <v>88</v>
      </c>
      <c r="F5708">
        <v>1</v>
      </c>
      <c r="G5708" s="2">
        <v>46254</v>
      </c>
      <c r="H5708" s="2">
        <v>46257</v>
      </c>
      <c r="I5708">
        <v>262.64</v>
      </c>
      <c r="M5708" s="1" t="s">
        <v>69</v>
      </c>
      <c r="N5708" s="1" t="s">
        <v>22</v>
      </c>
      <c r="O5708" s="2"/>
      <c r="P5708" s="2"/>
      <c r="Q5708">
        <f>_xlfn.XLOOKUP(E5708,CPT!$A$2:$A$13,CPT!$D$2:$D$13)</f>
        <v>260</v>
      </c>
      <c r="R5708" s="1">
        <f>_xlfn.XLOOKUP(C5708,Contract!$A$2:$A$9,Contract!$B$2:$B$9)</f>
        <v>1</v>
      </c>
      <c r="S5708" s="1">
        <f t="shared" si="356"/>
        <v>260</v>
      </c>
      <c r="T5708" s="1" t="str">
        <f t="shared" si="357"/>
        <v/>
      </c>
      <c r="U5708" s="1" t="str">
        <f t="shared" si="358"/>
        <v/>
      </c>
      <c r="V5708" s="1" t="str">
        <f>_xlfn.XLOOKUP(C5708,Payers!$A$2:$A$9,Payers!$B$2:$B$9)</f>
        <v>Self-Pay</v>
      </c>
      <c r="W5708" s="1" t="str">
        <f t="shared" si="359"/>
        <v>2026-08</v>
      </c>
    </row>
    <row r="5709" spans="1:23">
      <c r="A5709" s="1" t="s">
        <v>8581</v>
      </c>
      <c r="B5709" s="1" t="s">
        <v>3600</v>
      </c>
      <c r="C5709" s="1" t="s">
        <v>60</v>
      </c>
      <c r="D5709" s="1" t="s">
        <v>19</v>
      </c>
      <c r="E5709" s="1" t="s">
        <v>41</v>
      </c>
      <c r="F5709">
        <v>1</v>
      </c>
      <c r="G5709" s="2">
        <v>45942</v>
      </c>
      <c r="H5709" s="2">
        <v>45945</v>
      </c>
      <c r="I5709">
        <v>37.869999999999997</v>
      </c>
      <c r="J5709">
        <v>19.68</v>
      </c>
      <c r="K5709">
        <v>15.74</v>
      </c>
      <c r="L5709">
        <v>3.94</v>
      </c>
      <c r="M5709" s="1" t="s">
        <v>21</v>
      </c>
      <c r="N5709" s="1" t="s">
        <v>22</v>
      </c>
      <c r="O5709" s="2">
        <v>45971</v>
      </c>
      <c r="P5709" s="2">
        <v>45971</v>
      </c>
      <c r="Q5709">
        <f>_xlfn.XLOOKUP(E5709,CPT!$A$2:$A$13,CPT!$D$2:$D$13)</f>
        <v>38</v>
      </c>
      <c r="R5709" s="1">
        <f>_xlfn.XLOOKUP(C5709,Contract!$A$2:$A$9,Contract!$B$2:$B$9)</f>
        <v>0.45</v>
      </c>
      <c r="S5709" s="1">
        <f t="shared" si="356"/>
        <v>17.100000000000001</v>
      </c>
      <c r="T5709" s="1">
        <f t="shared" si="357"/>
        <v>-2.5799999999999983</v>
      </c>
      <c r="U5709" s="1" t="str">
        <f t="shared" si="358"/>
        <v>OK</v>
      </c>
      <c r="V5709" s="1" t="str">
        <f>_xlfn.XLOOKUP(C5709,Payers!$A$2:$A$9,Payers!$B$2:$B$9)</f>
        <v>Blue Horizon Commercial</v>
      </c>
      <c r="W5709" s="1" t="str">
        <f t="shared" si="359"/>
        <v>2025-10</v>
      </c>
    </row>
    <row r="5710" spans="1:23">
      <c r="A5710" s="1" t="s">
        <v>8582</v>
      </c>
      <c r="B5710" s="1" t="s">
        <v>5959</v>
      </c>
      <c r="C5710" s="1" t="s">
        <v>60</v>
      </c>
      <c r="D5710" s="1" t="s">
        <v>30</v>
      </c>
      <c r="E5710" s="1" t="s">
        <v>91</v>
      </c>
      <c r="F5710">
        <v>2</v>
      </c>
      <c r="G5710" s="2">
        <v>46294</v>
      </c>
      <c r="H5710" s="2">
        <v>46295</v>
      </c>
      <c r="I5710">
        <v>113.24</v>
      </c>
      <c r="M5710" s="1" t="s">
        <v>69</v>
      </c>
      <c r="N5710" s="1" t="s">
        <v>22</v>
      </c>
      <c r="O5710" s="2"/>
      <c r="P5710" s="2"/>
      <c r="Q5710">
        <f>_xlfn.XLOOKUP(E5710,CPT!$A$2:$A$13,CPT!$D$2:$D$13)</f>
        <v>58</v>
      </c>
      <c r="R5710" s="1">
        <f>_xlfn.XLOOKUP(C5710,Contract!$A$2:$A$9,Contract!$B$2:$B$9)</f>
        <v>0.45</v>
      </c>
      <c r="S5710" s="1">
        <f t="shared" si="356"/>
        <v>52.2</v>
      </c>
      <c r="T5710" s="1" t="str">
        <f t="shared" si="357"/>
        <v/>
      </c>
      <c r="U5710" s="1" t="str">
        <f t="shared" si="358"/>
        <v/>
      </c>
      <c r="V5710" s="1" t="str">
        <f>_xlfn.XLOOKUP(C5710,Payers!$A$2:$A$9,Payers!$B$2:$B$9)</f>
        <v>Blue Horizon Commercial</v>
      </c>
      <c r="W5710" s="1" t="str">
        <f t="shared" si="359"/>
        <v>2026-09</v>
      </c>
    </row>
    <row r="5711" spans="1:23">
      <c r="A5711" s="1" t="s">
        <v>8583</v>
      </c>
      <c r="B5711" s="1" t="s">
        <v>2887</v>
      </c>
      <c r="C5711" s="1" t="s">
        <v>25</v>
      </c>
      <c r="D5711" s="1" t="s">
        <v>19</v>
      </c>
      <c r="E5711" s="1" t="s">
        <v>41</v>
      </c>
      <c r="F5711">
        <v>1</v>
      </c>
      <c r="G5711" s="2">
        <v>46187</v>
      </c>
      <c r="H5711" s="2">
        <v>46191</v>
      </c>
      <c r="I5711">
        <v>37.01</v>
      </c>
      <c r="J5711">
        <v>13.47</v>
      </c>
      <c r="K5711">
        <v>13.47</v>
      </c>
      <c r="L5711">
        <v>0</v>
      </c>
      <c r="M5711" s="1" t="s">
        <v>21</v>
      </c>
      <c r="N5711" s="1" t="s">
        <v>22</v>
      </c>
      <c r="O5711" s="2">
        <v>46211</v>
      </c>
      <c r="P5711" s="2">
        <v>46211</v>
      </c>
      <c r="Q5711">
        <f>_xlfn.XLOOKUP(E5711,CPT!$A$2:$A$13,CPT!$D$2:$D$13)</f>
        <v>38</v>
      </c>
      <c r="R5711" s="1">
        <f>_xlfn.XLOOKUP(C5711,Contract!$A$2:$A$9,Contract!$B$2:$B$9)</f>
        <v>0.36</v>
      </c>
      <c r="S5711" s="1">
        <f t="shared" si="356"/>
        <v>13.68</v>
      </c>
      <c r="T5711" s="1">
        <f t="shared" si="357"/>
        <v>0.20999999999999908</v>
      </c>
      <c r="U5711" s="1" t="str">
        <f t="shared" si="358"/>
        <v>OK</v>
      </c>
      <c r="V5711" s="1" t="str">
        <f>_xlfn.XLOOKUP(C5711,Payers!$A$2:$A$9,Payers!$B$2:$B$9)</f>
        <v>Medicare Part B</v>
      </c>
      <c r="W5711" s="1" t="str">
        <f t="shared" si="359"/>
        <v>2026-06</v>
      </c>
    </row>
    <row r="5712" spans="1:23">
      <c r="A5712" s="1" t="s">
        <v>8584</v>
      </c>
      <c r="B5712" s="1" t="s">
        <v>2514</v>
      </c>
      <c r="C5712" s="1" t="s">
        <v>47</v>
      </c>
      <c r="D5712" s="1" t="s">
        <v>19</v>
      </c>
      <c r="E5712" s="1" t="s">
        <v>41</v>
      </c>
      <c r="F5712">
        <v>1</v>
      </c>
      <c r="G5712" s="2">
        <v>46150</v>
      </c>
      <c r="H5712" s="2">
        <v>46151</v>
      </c>
      <c r="I5712">
        <v>38.24</v>
      </c>
      <c r="J5712">
        <v>9.82</v>
      </c>
      <c r="K5712">
        <v>9.82</v>
      </c>
      <c r="L5712">
        <v>0</v>
      </c>
      <c r="M5712" s="1" t="s">
        <v>21</v>
      </c>
      <c r="N5712" s="1" t="s">
        <v>22</v>
      </c>
      <c r="O5712" s="2">
        <v>46208</v>
      </c>
      <c r="P5712" s="2">
        <v>46208</v>
      </c>
      <c r="Q5712">
        <f>_xlfn.XLOOKUP(E5712,CPT!$A$2:$A$13,CPT!$D$2:$D$13)</f>
        <v>38</v>
      </c>
      <c r="R5712" s="1">
        <f>_xlfn.XLOOKUP(C5712,Contract!$A$2:$A$9,Contract!$B$2:$B$9)</f>
        <v>0.28000000000000003</v>
      </c>
      <c r="S5712" s="1">
        <f t="shared" si="356"/>
        <v>10.64</v>
      </c>
      <c r="T5712" s="1">
        <f t="shared" si="357"/>
        <v>0.82000000000000028</v>
      </c>
      <c r="U5712" s="1" t="str">
        <f t="shared" si="358"/>
        <v>Underpaid</v>
      </c>
      <c r="V5712" s="1" t="str">
        <f>_xlfn.XLOOKUP(C5712,Payers!$A$2:$A$9,Payers!$B$2:$B$9)</f>
        <v>Coastal Medicaid MCO</v>
      </c>
      <c r="W5712" s="1" t="str">
        <f t="shared" si="359"/>
        <v>2026-05</v>
      </c>
    </row>
    <row r="5713" spans="1:23">
      <c r="A5713" s="1" t="s">
        <v>8585</v>
      </c>
      <c r="B5713" s="1" t="s">
        <v>3467</v>
      </c>
      <c r="C5713" s="1" t="s">
        <v>76</v>
      </c>
      <c r="D5713" s="1" t="s">
        <v>19</v>
      </c>
      <c r="E5713" s="1" t="s">
        <v>20</v>
      </c>
      <c r="F5713">
        <v>1</v>
      </c>
      <c r="G5713" s="2">
        <v>46087</v>
      </c>
      <c r="H5713" s="2">
        <v>46091</v>
      </c>
      <c r="I5713">
        <v>142.71</v>
      </c>
      <c r="J5713">
        <v>65.66</v>
      </c>
      <c r="K5713">
        <v>65.66</v>
      </c>
      <c r="L5713">
        <v>0</v>
      </c>
      <c r="M5713" s="1" t="s">
        <v>21</v>
      </c>
      <c r="N5713" s="1" t="s">
        <v>22</v>
      </c>
      <c r="O5713" s="2">
        <v>46114</v>
      </c>
      <c r="P5713" s="2">
        <v>46114</v>
      </c>
      <c r="Q5713">
        <f>_xlfn.XLOOKUP(E5713,CPT!$A$2:$A$13,CPT!$D$2:$D$13)</f>
        <v>145</v>
      </c>
      <c r="R5713" s="1">
        <f>_xlfn.XLOOKUP(C5713,Contract!$A$2:$A$9,Contract!$B$2:$B$9)</f>
        <v>0.43</v>
      </c>
      <c r="S5713" s="1">
        <f t="shared" si="356"/>
        <v>62.35</v>
      </c>
      <c r="T5713" s="1">
        <f t="shared" si="357"/>
        <v>-3.3099999999999952</v>
      </c>
      <c r="U5713" s="1" t="str">
        <f t="shared" si="358"/>
        <v>OK</v>
      </c>
      <c r="V5713" s="1" t="str">
        <f>_xlfn.XLOOKUP(C5713,Payers!$A$2:$A$9,Payers!$B$2:$B$9)</f>
        <v>Summit Health Commercial</v>
      </c>
      <c r="W5713" s="1" t="str">
        <f t="shared" si="359"/>
        <v>2026-03</v>
      </c>
    </row>
    <row r="5714" spans="1:23">
      <c r="A5714" s="1" t="s">
        <v>8586</v>
      </c>
      <c r="B5714" s="1" t="s">
        <v>3688</v>
      </c>
      <c r="C5714" s="1" t="s">
        <v>18</v>
      </c>
      <c r="D5714" s="1" t="s">
        <v>19</v>
      </c>
      <c r="E5714" s="1" t="s">
        <v>41</v>
      </c>
      <c r="F5714">
        <v>1</v>
      </c>
      <c r="G5714" s="2">
        <v>46236</v>
      </c>
      <c r="H5714" s="2">
        <v>46237</v>
      </c>
      <c r="I5714">
        <v>38.9</v>
      </c>
      <c r="J5714">
        <v>14.98</v>
      </c>
      <c r="K5714">
        <v>14.98</v>
      </c>
      <c r="L5714">
        <v>0</v>
      </c>
      <c r="M5714" s="1" t="s">
        <v>21</v>
      </c>
      <c r="N5714" s="1" t="s">
        <v>22</v>
      </c>
      <c r="O5714" s="2">
        <v>46286</v>
      </c>
      <c r="P5714" s="2">
        <v>46286</v>
      </c>
      <c r="Q5714">
        <f>_xlfn.XLOOKUP(E5714,CPT!$A$2:$A$13,CPT!$D$2:$D$13)</f>
        <v>38</v>
      </c>
      <c r="R5714" s="1">
        <f>_xlfn.XLOOKUP(C5714,Contract!$A$2:$A$9,Contract!$B$2:$B$9)</f>
        <v>0.38</v>
      </c>
      <c r="S5714" s="1">
        <f t="shared" si="356"/>
        <v>14.44</v>
      </c>
      <c r="T5714" s="1">
        <f t="shared" si="357"/>
        <v>-0.54000000000000092</v>
      </c>
      <c r="U5714" s="1" t="str">
        <f t="shared" si="358"/>
        <v>OK</v>
      </c>
      <c r="V5714" s="1" t="str">
        <f>_xlfn.XLOOKUP(C5714,Payers!$A$2:$A$9,Payers!$B$2:$B$9)</f>
        <v>Sunshine Medicare Advantage</v>
      </c>
      <c r="W5714" s="1" t="str">
        <f t="shared" si="359"/>
        <v>2026-08</v>
      </c>
    </row>
    <row r="5715" spans="1:23">
      <c r="A5715" s="1" t="s">
        <v>8587</v>
      </c>
      <c r="B5715" s="1" t="s">
        <v>548</v>
      </c>
      <c r="C5715" s="1" t="s">
        <v>47</v>
      </c>
      <c r="D5715" s="1" t="s">
        <v>26</v>
      </c>
      <c r="E5715" s="1" t="s">
        <v>41</v>
      </c>
      <c r="F5715">
        <v>1</v>
      </c>
      <c r="G5715" s="2">
        <v>46261</v>
      </c>
      <c r="H5715" s="2">
        <v>46262</v>
      </c>
      <c r="I5715">
        <v>37.549999999999997</v>
      </c>
      <c r="M5715" s="1" t="s">
        <v>69</v>
      </c>
      <c r="N5715" s="1" t="s">
        <v>22</v>
      </c>
      <c r="O5715" s="2"/>
      <c r="P5715" s="2"/>
      <c r="Q5715">
        <f>_xlfn.XLOOKUP(E5715,CPT!$A$2:$A$13,CPT!$D$2:$D$13)</f>
        <v>38</v>
      </c>
      <c r="R5715" s="1">
        <f>_xlfn.XLOOKUP(C5715,Contract!$A$2:$A$9,Contract!$B$2:$B$9)</f>
        <v>0.28000000000000003</v>
      </c>
      <c r="S5715" s="1">
        <f t="shared" si="356"/>
        <v>10.64</v>
      </c>
      <c r="T5715" s="1" t="str">
        <f t="shared" si="357"/>
        <v/>
      </c>
      <c r="U5715" s="1" t="str">
        <f t="shared" si="358"/>
        <v/>
      </c>
      <c r="V5715" s="1" t="str">
        <f>_xlfn.XLOOKUP(C5715,Payers!$A$2:$A$9,Payers!$B$2:$B$9)</f>
        <v>Coastal Medicaid MCO</v>
      </c>
      <c r="W5715" s="1" t="str">
        <f t="shared" si="359"/>
        <v>2026-08</v>
      </c>
    </row>
    <row r="5716" spans="1:23">
      <c r="A5716" s="1" t="s">
        <v>8588</v>
      </c>
      <c r="B5716" s="1" t="s">
        <v>5426</v>
      </c>
      <c r="C5716" s="1" t="s">
        <v>60</v>
      </c>
      <c r="D5716" s="1" t="s">
        <v>37</v>
      </c>
      <c r="E5716" s="1" t="s">
        <v>57</v>
      </c>
      <c r="F5716">
        <v>1</v>
      </c>
      <c r="G5716" s="2">
        <v>46167</v>
      </c>
      <c r="H5716" s="2">
        <v>46172</v>
      </c>
      <c r="I5716">
        <v>209.63</v>
      </c>
      <c r="M5716" s="1" t="s">
        <v>32</v>
      </c>
      <c r="N5716" s="1" t="s">
        <v>124</v>
      </c>
      <c r="O5716" s="2">
        <v>46211</v>
      </c>
      <c r="P5716" s="2"/>
      <c r="Q5716">
        <f>_xlfn.XLOOKUP(E5716,CPT!$A$2:$A$13,CPT!$D$2:$D$13)</f>
        <v>210</v>
      </c>
      <c r="R5716" s="1">
        <f>_xlfn.XLOOKUP(C5716,Contract!$A$2:$A$9,Contract!$B$2:$B$9)</f>
        <v>0.45</v>
      </c>
      <c r="S5716" s="1">
        <f t="shared" si="356"/>
        <v>94.5</v>
      </c>
      <c r="T5716" s="1" t="str">
        <f t="shared" si="357"/>
        <v/>
      </c>
      <c r="U5716" s="1" t="str">
        <f t="shared" si="358"/>
        <v/>
      </c>
      <c r="V5716" s="1" t="str">
        <f>_xlfn.XLOOKUP(C5716,Payers!$A$2:$A$9,Payers!$B$2:$B$9)</f>
        <v>Blue Horizon Commercial</v>
      </c>
      <c r="W5716" s="1" t="str">
        <f t="shared" si="359"/>
        <v>2026-05</v>
      </c>
    </row>
    <row r="5717" spans="1:23">
      <c r="A5717" s="1" t="s">
        <v>8589</v>
      </c>
      <c r="B5717" s="1" t="s">
        <v>1897</v>
      </c>
      <c r="C5717" s="1" t="s">
        <v>60</v>
      </c>
      <c r="D5717" s="1" t="s">
        <v>19</v>
      </c>
      <c r="E5717" s="1" t="s">
        <v>20</v>
      </c>
      <c r="F5717">
        <v>1</v>
      </c>
      <c r="G5717" s="2">
        <v>45984</v>
      </c>
      <c r="H5717" s="2">
        <v>45991</v>
      </c>
      <c r="I5717">
        <v>141.66</v>
      </c>
      <c r="J5717">
        <v>69.38</v>
      </c>
      <c r="K5717">
        <v>55.5</v>
      </c>
      <c r="L5717">
        <v>13.88</v>
      </c>
      <c r="M5717" s="1" t="s">
        <v>21</v>
      </c>
      <c r="N5717" s="1" t="s">
        <v>22</v>
      </c>
      <c r="O5717" s="2">
        <v>46016</v>
      </c>
      <c r="P5717" s="2">
        <v>46016</v>
      </c>
      <c r="Q5717">
        <f>_xlfn.XLOOKUP(E5717,CPT!$A$2:$A$13,CPT!$D$2:$D$13)</f>
        <v>145</v>
      </c>
      <c r="R5717" s="1">
        <f>_xlfn.XLOOKUP(C5717,Contract!$A$2:$A$9,Contract!$B$2:$B$9)</f>
        <v>0.45</v>
      </c>
      <c r="S5717" s="1">
        <f t="shared" si="356"/>
        <v>65.25</v>
      </c>
      <c r="T5717" s="1">
        <f t="shared" si="357"/>
        <v>-4.1299999999999955</v>
      </c>
      <c r="U5717" s="1" t="str">
        <f t="shared" si="358"/>
        <v>OK</v>
      </c>
      <c r="V5717" s="1" t="str">
        <f>_xlfn.XLOOKUP(C5717,Payers!$A$2:$A$9,Payers!$B$2:$B$9)</f>
        <v>Blue Horizon Commercial</v>
      </c>
      <c r="W5717" s="1" t="str">
        <f t="shared" si="359"/>
        <v>2025-11</v>
      </c>
    </row>
    <row r="5718" spans="1:23">
      <c r="A5718" s="1" t="s">
        <v>8590</v>
      </c>
      <c r="B5718" s="1" t="s">
        <v>530</v>
      </c>
      <c r="C5718" s="1" t="s">
        <v>25</v>
      </c>
      <c r="D5718" s="1" t="s">
        <v>19</v>
      </c>
      <c r="E5718" s="1" t="s">
        <v>41</v>
      </c>
      <c r="F5718">
        <v>1</v>
      </c>
      <c r="G5718" s="2">
        <v>46167</v>
      </c>
      <c r="H5718" s="2">
        <v>46170</v>
      </c>
      <c r="I5718">
        <v>38.380000000000003</v>
      </c>
      <c r="J5718">
        <v>12.38</v>
      </c>
      <c r="K5718">
        <v>12.38</v>
      </c>
      <c r="L5718">
        <v>0</v>
      </c>
      <c r="M5718" s="1" t="s">
        <v>21</v>
      </c>
      <c r="N5718" s="1" t="s">
        <v>22</v>
      </c>
      <c r="O5718" s="2">
        <v>46189</v>
      </c>
      <c r="P5718" s="2">
        <v>46189</v>
      </c>
      <c r="Q5718">
        <f>_xlfn.XLOOKUP(E5718,CPT!$A$2:$A$13,CPT!$D$2:$D$13)</f>
        <v>38</v>
      </c>
      <c r="R5718" s="1">
        <f>_xlfn.XLOOKUP(C5718,Contract!$A$2:$A$9,Contract!$B$2:$B$9)</f>
        <v>0.36</v>
      </c>
      <c r="S5718" s="1">
        <f t="shared" si="356"/>
        <v>13.68</v>
      </c>
      <c r="T5718" s="1">
        <f t="shared" si="357"/>
        <v>1.2999999999999989</v>
      </c>
      <c r="U5718" s="1" t="str">
        <f t="shared" si="358"/>
        <v>Underpaid</v>
      </c>
      <c r="V5718" s="1" t="str">
        <f>_xlfn.XLOOKUP(C5718,Payers!$A$2:$A$9,Payers!$B$2:$B$9)</f>
        <v>Medicare Part B</v>
      </c>
      <c r="W5718" s="1" t="str">
        <f t="shared" si="359"/>
        <v>2026-05</v>
      </c>
    </row>
    <row r="5719" spans="1:23">
      <c r="A5719" s="1" t="s">
        <v>8591</v>
      </c>
      <c r="B5719" s="1" t="s">
        <v>8592</v>
      </c>
      <c r="C5719" s="1" t="s">
        <v>60</v>
      </c>
      <c r="D5719" s="1" t="s">
        <v>19</v>
      </c>
      <c r="E5719" s="1" t="s">
        <v>41</v>
      </c>
      <c r="F5719">
        <v>1</v>
      </c>
      <c r="G5719" s="2">
        <v>46094</v>
      </c>
      <c r="H5719" s="2">
        <v>46095</v>
      </c>
      <c r="I5719">
        <v>38.119999999999997</v>
      </c>
      <c r="J5719">
        <v>17.72</v>
      </c>
      <c r="K5719">
        <v>17.72</v>
      </c>
      <c r="L5719">
        <v>0</v>
      </c>
      <c r="M5719" s="1" t="s">
        <v>21</v>
      </c>
      <c r="N5719" s="1" t="s">
        <v>22</v>
      </c>
      <c r="O5719" s="2">
        <v>46120</v>
      </c>
      <c r="P5719" s="2">
        <v>46120</v>
      </c>
      <c r="Q5719">
        <f>_xlfn.XLOOKUP(E5719,CPT!$A$2:$A$13,CPT!$D$2:$D$13)</f>
        <v>38</v>
      </c>
      <c r="R5719" s="1">
        <f>_xlfn.XLOOKUP(C5719,Contract!$A$2:$A$9,Contract!$B$2:$B$9)</f>
        <v>0.45</v>
      </c>
      <c r="S5719" s="1">
        <f t="shared" si="356"/>
        <v>17.100000000000001</v>
      </c>
      <c r="T5719" s="1">
        <f t="shared" si="357"/>
        <v>-0.61999999999999744</v>
      </c>
      <c r="U5719" s="1" t="str">
        <f t="shared" si="358"/>
        <v>OK</v>
      </c>
      <c r="V5719" s="1" t="str">
        <f>_xlfn.XLOOKUP(C5719,Payers!$A$2:$A$9,Payers!$B$2:$B$9)</f>
        <v>Blue Horizon Commercial</v>
      </c>
      <c r="W5719" s="1" t="str">
        <f t="shared" si="359"/>
        <v>2026-03</v>
      </c>
    </row>
    <row r="5720" spans="1:23">
      <c r="A5720" s="1" t="s">
        <v>8593</v>
      </c>
      <c r="B5720" s="1" t="s">
        <v>3457</v>
      </c>
      <c r="C5720" s="1" t="s">
        <v>76</v>
      </c>
      <c r="D5720" s="1" t="s">
        <v>30</v>
      </c>
      <c r="E5720" s="1" t="s">
        <v>20</v>
      </c>
      <c r="F5720">
        <v>1</v>
      </c>
      <c r="G5720" s="2">
        <v>46230</v>
      </c>
      <c r="H5720" s="2">
        <v>46232</v>
      </c>
      <c r="I5720">
        <v>149.32</v>
      </c>
      <c r="J5720">
        <v>53.98</v>
      </c>
      <c r="K5720">
        <v>43.18</v>
      </c>
      <c r="L5720">
        <v>10.8</v>
      </c>
      <c r="M5720" s="1" t="s">
        <v>21</v>
      </c>
      <c r="N5720" s="1" t="s">
        <v>22</v>
      </c>
      <c r="O5720" s="2">
        <v>46278</v>
      </c>
      <c r="P5720" s="2">
        <v>46278</v>
      </c>
      <c r="Q5720">
        <f>_xlfn.XLOOKUP(E5720,CPT!$A$2:$A$13,CPT!$D$2:$D$13)</f>
        <v>145</v>
      </c>
      <c r="R5720" s="1">
        <f>_xlfn.XLOOKUP(C5720,Contract!$A$2:$A$9,Contract!$B$2:$B$9)</f>
        <v>0.43</v>
      </c>
      <c r="S5720" s="1">
        <f t="shared" si="356"/>
        <v>62.35</v>
      </c>
      <c r="T5720" s="1">
        <f t="shared" si="357"/>
        <v>8.3700000000000045</v>
      </c>
      <c r="U5720" s="1" t="str">
        <f t="shared" si="358"/>
        <v>Underpaid</v>
      </c>
      <c r="V5720" s="1" t="str">
        <f>_xlfn.XLOOKUP(C5720,Payers!$A$2:$A$9,Payers!$B$2:$B$9)</f>
        <v>Summit Health Commercial</v>
      </c>
      <c r="W5720" s="1" t="str">
        <f t="shared" si="359"/>
        <v>2026-07</v>
      </c>
    </row>
    <row r="5721" spans="1:23">
      <c r="A5721" s="1" t="s">
        <v>8594</v>
      </c>
      <c r="B5721" s="1" t="s">
        <v>8595</v>
      </c>
      <c r="C5721" s="1" t="s">
        <v>36</v>
      </c>
      <c r="D5721" s="1" t="s">
        <v>19</v>
      </c>
      <c r="E5721" s="1" t="s">
        <v>57</v>
      </c>
      <c r="F5721">
        <v>1</v>
      </c>
      <c r="G5721" s="2">
        <v>46120</v>
      </c>
      <c r="H5721" s="2">
        <v>46128</v>
      </c>
      <c r="I5721">
        <v>212.95</v>
      </c>
      <c r="J5721">
        <v>61.98</v>
      </c>
      <c r="K5721">
        <v>49.58</v>
      </c>
      <c r="L5721">
        <v>12.4</v>
      </c>
      <c r="M5721" s="1" t="s">
        <v>21</v>
      </c>
      <c r="N5721" s="1" t="s">
        <v>22</v>
      </c>
      <c r="O5721" s="2">
        <v>46151</v>
      </c>
      <c r="P5721" s="2">
        <v>46151</v>
      </c>
      <c r="Q5721">
        <f>_xlfn.XLOOKUP(E5721,CPT!$A$2:$A$13,CPT!$D$2:$D$13)</f>
        <v>210</v>
      </c>
      <c r="R5721" s="1">
        <f>_xlfn.XLOOKUP(C5721,Contract!$A$2:$A$9,Contract!$B$2:$B$9)</f>
        <v>0.27</v>
      </c>
      <c r="S5721" s="1">
        <f t="shared" si="356"/>
        <v>56.7</v>
      </c>
      <c r="T5721" s="1">
        <f t="shared" si="357"/>
        <v>-5.279999999999994</v>
      </c>
      <c r="U5721" s="1" t="str">
        <f t="shared" si="358"/>
        <v>OK</v>
      </c>
      <c r="V5721" s="1" t="str">
        <f>_xlfn.XLOOKUP(C5721,Payers!$A$2:$A$9,Payers!$B$2:$B$9)</f>
        <v>Florida Medicaid</v>
      </c>
      <c r="W5721" s="1" t="str">
        <f t="shared" si="359"/>
        <v>2026-04</v>
      </c>
    </row>
    <row r="5722" spans="1:23">
      <c r="A5722" s="1" t="s">
        <v>8596</v>
      </c>
      <c r="B5722" s="1" t="s">
        <v>5598</v>
      </c>
      <c r="C5722" s="1" t="s">
        <v>60</v>
      </c>
      <c r="D5722" s="1" t="s">
        <v>19</v>
      </c>
      <c r="E5722" s="1" t="s">
        <v>88</v>
      </c>
      <c r="F5722">
        <v>1</v>
      </c>
      <c r="G5722" s="2">
        <v>46268</v>
      </c>
      <c r="H5722" s="2">
        <v>46277</v>
      </c>
      <c r="I5722">
        <v>252.37</v>
      </c>
      <c r="M5722" s="1" t="s">
        <v>69</v>
      </c>
      <c r="N5722" s="1" t="s">
        <v>22</v>
      </c>
      <c r="O5722" s="2"/>
      <c r="P5722" s="2"/>
      <c r="Q5722">
        <f>_xlfn.XLOOKUP(E5722,CPT!$A$2:$A$13,CPT!$D$2:$D$13)</f>
        <v>260</v>
      </c>
      <c r="R5722" s="1">
        <f>_xlfn.XLOOKUP(C5722,Contract!$A$2:$A$9,Contract!$B$2:$B$9)</f>
        <v>0.45</v>
      </c>
      <c r="S5722" s="1">
        <f t="shared" si="356"/>
        <v>117</v>
      </c>
      <c r="T5722" s="1" t="str">
        <f t="shared" si="357"/>
        <v/>
      </c>
      <c r="U5722" s="1" t="str">
        <f t="shared" si="358"/>
        <v/>
      </c>
      <c r="V5722" s="1" t="str">
        <f>_xlfn.XLOOKUP(C5722,Payers!$A$2:$A$9,Payers!$B$2:$B$9)</f>
        <v>Blue Horizon Commercial</v>
      </c>
      <c r="W5722" s="1" t="str">
        <f t="shared" si="359"/>
        <v>2026-09</v>
      </c>
    </row>
    <row r="5723" spans="1:23">
      <c r="A5723" s="1" t="s">
        <v>8597</v>
      </c>
      <c r="B5723" s="1" t="s">
        <v>6013</v>
      </c>
      <c r="C5723" s="1" t="s">
        <v>52</v>
      </c>
      <c r="D5723" s="1" t="s">
        <v>37</v>
      </c>
      <c r="E5723" s="1" t="s">
        <v>38</v>
      </c>
      <c r="F5723">
        <v>10</v>
      </c>
      <c r="G5723" s="2">
        <v>46000</v>
      </c>
      <c r="H5723" s="2">
        <v>46004</v>
      </c>
      <c r="I5723">
        <v>14887.3</v>
      </c>
      <c r="J5723">
        <v>6441.37</v>
      </c>
      <c r="K5723">
        <v>6441.37</v>
      </c>
      <c r="L5723">
        <v>0</v>
      </c>
      <c r="M5723" s="1" t="s">
        <v>21</v>
      </c>
      <c r="N5723" s="1" t="s">
        <v>22</v>
      </c>
      <c r="O5723" s="2">
        <v>46055</v>
      </c>
      <c r="P5723" s="2">
        <v>46055</v>
      </c>
      <c r="Q5723">
        <f>_xlfn.XLOOKUP(E5723,CPT!$A$2:$A$13,CPT!$D$2:$D$13)</f>
        <v>1450</v>
      </c>
      <c r="R5723" s="1">
        <f>_xlfn.XLOOKUP(C5723,Contract!$A$2:$A$9,Contract!$B$2:$B$9)</f>
        <v>0.47</v>
      </c>
      <c r="S5723" s="1">
        <f t="shared" si="356"/>
        <v>6815</v>
      </c>
      <c r="T5723" s="1">
        <f t="shared" si="357"/>
        <v>373.63000000000011</v>
      </c>
      <c r="U5723" s="1" t="str">
        <f t="shared" si="358"/>
        <v>Underpaid</v>
      </c>
      <c r="V5723" s="1" t="str">
        <f>_xlfn.XLOOKUP(C5723,Payers!$A$2:$A$9,Payers!$B$2:$B$9)</f>
        <v>Keystone Commercial PPO</v>
      </c>
      <c r="W5723" s="1" t="str">
        <f t="shared" si="359"/>
        <v>2025-12</v>
      </c>
    </row>
    <row r="5724" spans="1:23">
      <c r="A5724" s="1" t="s">
        <v>8598</v>
      </c>
      <c r="B5724" s="1" t="s">
        <v>8599</v>
      </c>
      <c r="C5724" s="1" t="s">
        <v>18</v>
      </c>
      <c r="D5724" s="1" t="s">
        <v>30</v>
      </c>
      <c r="E5724" s="1" t="s">
        <v>31</v>
      </c>
      <c r="F5724">
        <v>4</v>
      </c>
      <c r="G5724" s="2">
        <v>45990</v>
      </c>
      <c r="H5724" s="2">
        <v>45992</v>
      </c>
      <c r="I5724">
        <v>249.35</v>
      </c>
      <c r="J5724">
        <v>93.23</v>
      </c>
      <c r="K5724">
        <v>83.91</v>
      </c>
      <c r="L5724">
        <v>9.32</v>
      </c>
      <c r="M5724" s="1" t="s">
        <v>21</v>
      </c>
      <c r="N5724" s="1" t="s">
        <v>22</v>
      </c>
      <c r="O5724" s="2">
        <v>46032</v>
      </c>
      <c r="P5724" s="2">
        <v>46032</v>
      </c>
      <c r="Q5724">
        <f>_xlfn.XLOOKUP(E5724,CPT!$A$2:$A$13,CPT!$D$2:$D$13)</f>
        <v>62</v>
      </c>
      <c r="R5724" s="1">
        <f>_xlfn.XLOOKUP(C5724,Contract!$A$2:$A$9,Contract!$B$2:$B$9)</f>
        <v>0.38</v>
      </c>
      <c r="S5724" s="1">
        <f t="shared" si="356"/>
        <v>94.24</v>
      </c>
      <c r="T5724" s="1">
        <f t="shared" si="357"/>
        <v>1.0099999999999909</v>
      </c>
      <c r="U5724" s="1" t="str">
        <f t="shared" si="358"/>
        <v>OK</v>
      </c>
      <c r="V5724" s="1" t="str">
        <f>_xlfn.XLOOKUP(C5724,Payers!$A$2:$A$9,Payers!$B$2:$B$9)</f>
        <v>Sunshine Medicare Advantage</v>
      </c>
      <c r="W5724" s="1" t="str">
        <f t="shared" si="359"/>
        <v>2025-11</v>
      </c>
    </row>
    <row r="5725" spans="1:23">
      <c r="A5725" s="1" t="s">
        <v>8600</v>
      </c>
      <c r="B5725" s="1" t="s">
        <v>1928</v>
      </c>
      <c r="C5725" s="1" t="s">
        <v>60</v>
      </c>
      <c r="D5725" s="1" t="s">
        <v>37</v>
      </c>
      <c r="E5725" s="1" t="s">
        <v>38</v>
      </c>
      <c r="F5725">
        <v>10</v>
      </c>
      <c r="G5725" s="2">
        <v>45973</v>
      </c>
      <c r="H5725" s="2">
        <v>45988</v>
      </c>
      <c r="I5725">
        <v>14743.82</v>
      </c>
      <c r="J5725">
        <v>7109.36</v>
      </c>
      <c r="K5725">
        <v>6398.42</v>
      </c>
      <c r="L5725">
        <v>710.94</v>
      </c>
      <c r="M5725" s="1" t="s">
        <v>21</v>
      </c>
      <c r="N5725" s="1" t="s">
        <v>22</v>
      </c>
      <c r="O5725" s="2">
        <v>46018</v>
      </c>
      <c r="P5725" s="2">
        <v>46018</v>
      </c>
      <c r="Q5725">
        <f>_xlfn.XLOOKUP(E5725,CPT!$A$2:$A$13,CPT!$D$2:$D$13)</f>
        <v>1450</v>
      </c>
      <c r="R5725" s="1">
        <f>_xlfn.XLOOKUP(C5725,Contract!$A$2:$A$9,Contract!$B$2:$B$9)</f>
        <v>0.45</v>
      </c>
      <c r="S5725" s="1">
        <f t="shared" si="356"/>
        <v>6525</v>
      </c>
      <c r="T5725" s="1">
        <f t="shared" si="357"/>
        <v>-584.35999999999967</v>
      </c>
      <c r="U5725" s="1" t="str">
        <f t="shared" si="358"/>
        <v>OK</v>
      </c>
      <c r="V5725" s="1" t="str">
        <f>_xlfn.XLOOKUP(C5725,Payers!$A$2:$A$9,Payers!$B$2:$B$9)</f>
        <v>Blue Horizon Commercial</v>
      </c>
      <c r="W5725" s="1" t="str">
        <f t="shared" si="359"/>
        <v>2025-11</v>
      </c>
    </row>
    <row r="5726" spans="1:23">
      <c r="A5726" s="1" t="s">
        <v>8601</v>
      </c>
      <c r="B5726" s="1" t="s">
        <v>7716</v>
      </c>
      <c r="C5726" s="1" t="s">
        <v>47</v>
      </c>
      <c r="D5726" s="1" t="s">
        <v>19</v>
      </c>
      <c r="E5726" s="1" t="s">
        <v>88</v>
      </c>
      <c r="F5726">
        <v>1</v>
      </c>
      <c r="G5726" s="2">
        <v>46114</v>
      </c>
      <c r="H5726" s="2">
        <v>46121</v>
      </c>
      <c r="I5726">
        <v>253.01</v>
      </c>
      <c r="M5726" s="1" t="s">
        <v>32</v>
      </c>
      <c r="N5726" s="1" t="s">
        <v>49</v>
      </c>
      <c r="O5726" s="2">
        <v>46202</v>
      </c>
      <c r="P5726" s="2"/>
      <c r="Q5726">
        <f>_xlfn.XLOOKUP(E5726,CPT!$A$2:$A$13,CPT!$D$2:$D$13)</f>
        <v>260</v>
      </c>
      <c r="R5726" s="1">
        <f>_xlfn.XLOOKUP(C5726,Contract!$A$2:$A$9,Contract!$B$2:$B$9)</f>
        <v>0.28000000000000003</v>
      </c>
      <c r="S5726" s="1">
        <f t="shared" si="356"/>
        <v>72.8</v>
      </c>
      <c r="T5726" s="1" t="str">
        <f t="shared" si="357"/>
        <v/>
      </c>
      <c r="U5726" s="1" t="str">
        <f t="shared" si="358"/>
        <v/>
      </c>
      <c r="V5726" s="1" t="str">
        <f>_xlfn.XLOOKUP(C5726,Payers!$A$2:$A$9,Payers!$B$2:$B$9)</f>
        <v>Coastal Medicaid MCO</v>
      </c>
      <c r="W5726" s="1" t="str">
        <f t="shared" si="359"/>
        <v>2026-04</v>
      </c>
    </row>
    <row r="5727" spans="1:23">
      <c r="A5727" s="1" t="s">
        <v>8602</v>
      </c>
      <c r="B5727" s="1" t="s">
        <v>269</v>
      </c>
      <c r="C5727" s="1" t="s">
        <v>60</v>
      </c>
      <c r="D5727" s="1" t="s">
        <v>26</v>
      </c>
      <c r="E5727" s="1" t="s">
        <v>88</v>
      </c>
      <c r="F5727">
        <v>1</v>
      </c>
      <c r="G5727" s="2">
        <v>45948</v>
      </c>
      <c r="H5727" s="2">
        <v>45964</v>
      </c>
      <c r="I5727">
        <v>254.45</v>
      </c>
      <c r="J5727">
        <v>129.12</v>
      </c>
      <c r="K5727">
        <v>129.12</v>
      </c>
      <c r="L5727">
        <v>0</v>
      </c>
      <c r="M5727" s="1" t="s">
        <v>21</v>
      </c>
      <c r="N5727" s="1" t="s">
        <v>22</v>
      </c>
      <c r="O5727" s="2">
        <v>45993</v>
      </c>
      <c r="P5727" s="2">
        <v>45993</v>
      </c>
      <c r="Q5727">
        <f>_xlfn.XLOOKUP(E5727,CPT!$A$2:$A$13,CPT!$D$2:$D$13)</f>
        <v>260</v>
      </c>
      <c r="R5727" s="1">
        <f>_xlfn.XLOOKUP(C5727,Contract!$A$2:$A$9,Contract!$B$2:$B$9)</f>
        <v>0.45</v>
      </c>
      <c r="S5727" s="1">
        <f t="shared" si="356"/>
        <v>117</v>
      </c>
      <c r="T5727" s="1">
        <f t="shared" si="357"/>
        <v>-12.120000000000005</v>
      </c>
      <c r="U5727" s="1" t="str">
        <f t="shared" si="358"/>
        <v>OK</v>
      </c>
      <c r="V5727" s="1" t="str">
        <f>_xlfn.XLOOKUP(C5727,Payers!$A$2:$A$9,Payers!$B$2:$B$9)</f>
        <v>Blue Horizon Commercial</v>
      </c>
      <c r="W5727" s="1" t="str">
        <f t="shared" si="359"/>
        <v>2025-10</v>
      </c>
    </row>
    <row r="5728" spans="1:23">
      <c r="A5728" s="1" t="s">
        <v>8603</v>
      </c>
      <c r="B5728" s="1" t="s">
        <v>2586</v>
      </c>
      <c r="C5728" s="1" t="s">
        <v>60</v>
      </c>
      <c r="D5728" s="1" t="s">
        <v>30</v>
      </c>
      <c r="E5728" s="1" t="s">
        <v>31</v>
      </c>
      <c r="F5728">
        <v>4</v>
      </c>
      <c r="G5728" s="2">
        <v>46268</v>
      </c>
      <c r="H5728" s="2">
        <v>46273</v>
      </c>
      <c r="I5728">
        <v>252.13</v>
      </c>
      <c r="M5728" s="1" t="s">
        <v>69</v>
      </c>
      <c r="N5728" s="1" t="s">
        <v>22</v>
      </c>
      <c r="O5728" s="2"/>
      <c r="P5728" s="2"/>
      <c r="Q5728">
        <f>_xlfn.XLOOKUP(E5728,CPT!$A$2:$A$13,CPT!$D$2:$D$13)</f>
        <v>62</v>
      </c>
      <c r="R5728" s="1">
        <f>_xlfn.XLOOKUP(C5728,Contract!$A$2:$A$9,Contract!$B$2:$B$9)</f>
        <v>0.45</v>
      </c>
      <c r="S5728" s="1">
        <f t="shared" si="356"/>
        <v>111.6</v>
      </c>
      <c r="T5728" s="1" t="str">
        <f t="shared" si="357"/>
        <v/>
      </c>
      <c r="U5728" s="1" t="str">
        <f t="shared" si="358"/>
        <v/>
      </c>
      <c r="V5728" s="1" t="str">
        <f>_xlfn.XLOOKUP(C5728,Payers!$A$2:$A$9,Payers!$B$2:$B$9)</f>
        <v>Blue Horizon Commercial</v>
      </c>
      <c r="W5728" s="1" t="str">
        <f t="shared" si="359"/>
        <v>2026-09</v>
      </c>
    </row>
    <row r="5729" spans="1:23">
      <c r="A5729" s="1" t="s">
        <v>8604</v>
      </c>
      <c r="B5729" s="1" t="s">
        <v>8605</v>
      </c>
      <c r="C5729" s="1" t="s">
        <v>60</v>
      </c>
      <c r="D5729" s="1" t="s">
        <v>19</v>
      </c>
      <c r="E5729" s="1" t="s">
        <v>41</v>
      </c>
      <c r="F5729">
        <v>1</v>
      </c>
      <c r="G5729" s="2">
        <v>45939</v>
      </c>
      <c r="H5729" s="2">
        <v>45942</v>
      </c>
      <c r="I5729">
        <v>38.700000000000003</v>
      </c>
      <c r="J5729">
        <v>16.03</v>
      </c>
      <c r="K5729">
        <v>14.43</v>
      </c>
      <c r="L5729">
        <v>1.6</v>
      </c>
      <c r="M5729" s="1" t="s">
        <v>21</v>
      </c>
      <c r="N5729" s="1" t="s">
        <v>22</v>
      </c>
      <c r="O5729" s="2">
        <v>45966</v>
      </c>
      <c r="P5729" s="2">
        <v>45966</v>
      </c>
      <c r="Q5729">
        <f>_xlfn.XLOOKUP(E5729,CPT!$A$2:$A$13,CPT!$D$2:$D$13)</f>
        <v>38</v>
      </c>
      <c r="R5729" s="1">
        <f>_xlfn.XLOOKUP(C5729,Contract!$A$2:$A$9,Contract!$B$2:$B$9)</f>
        <v>0.45</v>
      </c>
      <c r="S5729" s="1">
        <f t="shared" si="356"/>
        <v>17.100000000000001</v>
      </c>
      <c r="T5729" s="1">
        <f t="shared" si="357"/>
        <v>1.0700000000000003</v>
      </c>
      <c r="U5729" s="1" t="str">
        <f t="shared" si="358"/>
        <v>Underpaid</v>
      </c>
      <c r="V5729" s="1" t="str">
        <f>_xlfn.XLOOKUP(C5729,Payers!$A$2:$A$9,Payers!$B$2:$B$9)</f>
        <v>Blue Horizon Commercial</v>
      </c>
      <c r="W5729" s="1" t="str">
        <f t="shared" si="359"/>
        <v>2025-10</v>
      </c>
    </row>
    <row r="5730" spans="1:23">
      <c r="A5730" s="1" t="s">
        <v>8606</v>
      </c>
      <c r="B5730" s="1" t="s">
        <v>117</v>
      </c>
      <c r="C5730" s="1" t="s">
        <v>25</v>
      </c>
      <c r="D5730" s="1" t="s">
        <v>19</v>
      </c>
      <c r="E5730" s="1" t="s">
        <v>88</v>
      </c>
      <c r="F5730">
        <v>1</v>
      </c>
      <c r="G5730" s="2">
        <v>46006</v>
      </c>
      <c r="H5730" s="2">
        <v>46011</v>
      </c>
      <c r="I5730">
        <v>265.48</v>
      </c>
      <c r="J5730">
        <v>91.01</v>
      </c>
      <c r="K5730">
        <v>91.01</v>
      </c>
      <c r="L5730">
        <v>0</v>
      </c>
      <c r="M5730" s="1" t="s">
        <v>21</v>
      </c>
      <c r="N5730" s="1" t="s">
        <v>22</v>
      </c>
      <c r="O5730" s="2">
        <v>46037</v>
      </c>
      <c r="P5730" s="2">
        <v>46037</v>
      </c>
      <c r="Q5730">
        <f>_xlfn.XLOOKUP(E5730,CPT!$A$2:$A$13,CPT!$D$2:$D$13)</f>
        <v>260</v>
      </c>
      <c r="R5730" s="1">
        <f>_xlfn.XLOOKUP(C5730,Contract!$A$2:$A$9,Contract!$B$2:$B$9)</f>
        <v>0.36</v>
      </c>
      <c r="S5730" s="1">
        <f t="shared" si="356"/>
        <v>93.6</v>
      </c>
      <c r="T5730" s="1">
        <f t="shared" si="357"/>
        <v>2.5899999999999892</v>
      </c>
      <c r="U5730" s="1" t="str">
        <f t="shared" si="358"/>
        <v>OK</v>
      </c>
      <c r="V5730" s="1" t="str">
        <f>_xlfn.XLOOKUP(C5730,Payers!$A$2:$A$9,Payers!$B$2:$B$9)</f>
        <v>Medicare Part B</v>
      </c>
      <c r="W5730" s="1" t="str">
        <f t="shared" si="359"/>
        <v>2025-12</v>
      </c>
    </row>
    <row r="5731" spans="1:23">
      <c r="A5731" s="1" t="s">
        <v>8607</v>
      </c>
      <c r="B5731" s="1" t="s">
        <v>5111</v>
      </c>
      <c r="C5731" s="1" t="s">
        <v>60</v>
      </c>
      <c r="D5731" s="1" t="s">
        <v>19</v>
      </c>
      <c r="E5731" s="1" t="s">
        <v>57</v>
      </c>
      <c r="F5731">
        <v>1</v>
      </c>
      <c r="G5731" s="2">
        <v>46047</v>
      </c>
      <c r="H5731" s="2">
        <v>46050</v>
      </c>
      <c r="I5731">
        <v>207.86</v>
      </c>
      <c r="J5731">
        <v>80.7</v>
      </c>
      <c r="K5731">
        <v>80.7</v>
      </c>
      <c r="L5731">
        <v>0</v>
      </c>
      <c r="M5731" s="1" t="s">
        <v>21</v>
      </c>
      <c r="N5731" s="1" t="s">
        <v>22</v>
      </c>
      <c r="O5731" s="2">
        <v>46088</v>
      </c>
      <c r="P5731" s="2">
        <v>46088</v>
      </c>
      <c r="Q5731">
        <f>_xlfn.XLOOKUP(E5731,CPT!$A$2:$A$13,CPT!$D$2:$D$13)</f>
        <v>210</v>
      </c>
      <c r="R5731" s="1">
        <f>_xlfn.XLOOKUP(C5731,Contract!$A$2:$A$9,Contract!$B$2:$B$9)</f>
        <v>0.45</v>
      </c>
      <c r="S5731" s="1">
        <f t="shared" si="356"/>
        <v>94.5</v>
      </c>
      <c r="T5731" s="1">
        <f t="shared" si="357"/>
        <v>13.799999999999997</v>
      </c>
      <c r="U5731" s="1" t="str">
        <f t="shared" si="358"/>
        <v>Underpaid</v>
      </c>
      <c r="V5731" s="1" t="str">
        <f>_xlfn.XLOOKUP(C5731,Payers!$A$2:$A$9,Payers!$B$2:$B$9)</f>
        <v>Blue Horizon Commercial</v>
      </c>
      <c r="W5731" s="1" t="str">
        <f t="shared" si="359"/>
        <v>2026-01</v>
      </c>
    </row>
    <row r="5732" spans="1:23">
      <c r="A5732" s="1" t="s">
        <v>8608</v>
      </c>
      <c r="B5732" s="1" t="s">
        <v>2150</v>
      </c>
      <c r="C5732" s="1" t="s">
        <v>18</v>
      </c>
      <c r="D5732" s="1" t="s">
        <v>37</v>
      </c>
      <c r="E5732" s="1" t="s">
        <v>48</v>
      </c>
      <c r="F5732">
        <v>1</v>
      </c>
      <c r="G5732" s="2">
        <v>46178</v>
      </c>
      <c r="H5732" s="2">
        <v>46180</v>
      </c>
      <c r="I5732">
        <v>432.22</v>
      </c>
      <c r="J5732">
        <v>144.02000000000001</v>
      </c>
      <c r="K5732">
        <v>144.02000000000001</v>
      </c>
      <c r="L5732">
        <v>0</v>
      </c>
      <c r="M5732" s="1" t="s">
        <v>21</v>
      </c>
      <c r="N5732" s="1" t="s">
        <v>22</v>
      </c>
      <c r="O5732" s="2">
        <v>46238</v>
      </c>
      <c r="P5732" s="2">
        <v>46238</v>
      </c>
      <c r="Q5732">
        <f>_xlfn.XLOOKUP(E5732,CPT!$A$2:$A$13,CPT!$D$2:$D$13)</f>
        <v>420</v>
      </c>
      <c r="R5732" s="1">
        <f>_xlfn.XLOOKUP(C5732,Contract!$A$2:$A$9,Contract!$B$2:$B$9)</f>
        <v>0.38</v>
      </c>
      <c r="S5732" s="1">
        <f t="shared" si="356"/>
        <v>159.6</v>
      </c>
      <c r="T5732" s="1">
        <f t="shared" si="357"/>
        <v>15.579999999999984</v>
      </c>
      <c r="U5732" s="1" t="str">
        <f t="shared" si="358"/>
        <v>Underpaid</v>
      </c>
      <c r="V5732" s="1" t="str">
        <f>_xlfn.XLOOKUP(C5732,Payers!$A$2:$A$9,Payers!$B$2:$B$9)</f>
        <v>Sunshine Medicare Advantage</v>
      </c>
      <c r="W5732" s="1" t="str">
        <f t="shared" si="359"/>
        <v>2026-06</v>
      </c>
    </row>
    <row r="5733" spans="1:23">
      <c r="A5733" s="1" t="s">
        <v>8609</v>
      </c>
      <c r="B5733" s="1" t="s">
        <v>4115</v>
      </c>
      <c r="C5733" s="1" t="s">
        <v>79</v>
      </c>
      <c r="D5733" s="1" t="s">
        <v>19</v>
      </c>
      <c r="E5733" s="1" t="s">
        <v>41</v>
      </c>
      <c r="F5733">
        <v>1</v>
      </c>
      <c r="G5733" s="2">
        <v>46146</v>
      </c>
      <c r="H5733" s="2">
        <v>46151</v>
      </c>
      <c r="I5733">
        <v>37.01</v>
      </c>
      <c r="J5733">
        <v>37.01</v>
      </c>
      <c r="K5733">
        <v>37.01</v>
      </c>
      <c r="L5733">
        <v>0</v>
      </c>
      <c r="M5733" s="1" t="s">
        <v>21</v>
      </c>
      <c r="N5733" s="1" t="s">
        <v>22</v>
      </c>
      <c r="O5733" s="2">
        <v>46180</v>
      </c>
      <c r="P5733" s="2">
        <v>46180</v>
      </c>
      <c r="Q5733">
        <f>_xlfn.XLOOKUP(E5733,CPT!$A$2:$A$13,CPT!$D$2:$D$13)</f>
        <v>38</v>
      </c>
      <c r="R5733" s="1">
        <f>_xlfn.XLOOKUP(C5733,Contract!$A$2:$A$9,Contract!$B$2:$B$9)</f>
        <v>1</v>
      </c>
      <c r="S5733" s="1">
        <f t="shared" si="356"/>
        <v>38</v>
      </c>
      <c r="T5733" s="1">
        <f t="shared" si="357"/>
        <v>0.99000000000000199</v>
      </c>
      <c r="U5733" s="1" t="str">
        <f t="shared" si="358"/>
        <v>OK</v>
      </c>
      <c r="V5733" s="1" t="str">
        <f>_xlfn.XLOOKUP(C5733,Payers!$A$2:$A$9,Payers!$B$2:$B$9)</f>
        <v>Self-Pay</v>
      </c>
      <c r="W5733" s="1" t="str">
        <f t="shared" si="359"/>
        <v>2026-05</v>
      </c>
    </row>
    <row r="5734" spans="1:23">
      <c r="A5734" s="1" t="s">
        <v>8610</v>
      </c>
      <c r="B5734" s="1" t="s">
        <v>8340</v>
      </c>
      <c r="C5734" s="1" t="s">
        <v>76</v>
      </c>
      <c r="D5734" s="1" t="s">
        <v>37</v>
      </c>
      <c r="E5734" s="1" t="s">
        <v>48</v>
      </c>
      <c r="F5734">
        <v>1</v>
      </c>
      <c r="G5734" s="2">
        <v>46066</v>
      </c>
      <c r="H5734" s="2">
        <v>46070</v>
      </c>
      <c r="I5734">
        <v>421.86</v>
      </c>
      <c r="J5734">
        <v>179.15</v>
      </c>
      <c r="K5734">
        <v>143.32</v>
      </c>
      <c r="L5734">
        <v>35.83</v>
      </c>
      <c r="M5734" s="1" t="s">
        <v>21</v>
      </c>
      <c r="N5734" s="1" t="s">
        <v>22</v>
      </c>
      <c r="O5734" s="2">
        <v>46084</v>
      </c>
      <c r="P5734" s="2">
        <v>46084</v>
      </c>
      <c r="Q5734">
        <f>_xlfn.XLOOKUP(E5734,CPT!$A$2:$A$13,CPT!$D$2:$D$13)</f>
        <v>420</v>
      </c>
      <c r="R5734" s="1">
        <f>_xlfn.XLOOKUP(C5734,Contract!$A$2:$A$9,Contract!$B$2:$B$9)</f>
        <v>0.43</v>
      </c>
      <c r="S5734" s="1">
        <f t="shared" si="356"/>
        <v>180.6</v>
      </c>
      <c r="T5734" s="1">
        <f t="shared" si="357"/>
        <v>1.4499999999999886</v>
      </c>
      <c r="U5734" s="1" t="str">
        <f t="shared" si="358"/>
        <v>OK</v>
      </c>
      <c r="V5734" s="1" t="str">
        <f>_xlfn.XLOOKUP(C5734,Payers!$A$2:$A$9,Payers!$B$2:$B$9)</f>
        <v>Summit Health Commercial</v>
      </c>
      <c r="W5734" s="1" t="str">
        <f t="shared" si="359"/>
        <v>2026-02</v>
      </c>
    </row>
    <row r="5735" spans="1:23">
      <c r="A5735" s="1" t="s">
        <v>8611</v>
      </c>
      <c r="B5735" s="1" t="s">
        <v>1080</v>
      </c>
      <c r="C5735" s="1" t="s">
        <v>79</v>
      </c>
      <c r="D5735" s="1" t="s">
        <v>30</v>
      </c>
      <c r="E5735" s="1" t="s">
        <v>20</v>
      </c>
      <c r="F5735">
        <v>1</v>
      </c>
      <c r="G5735" s="2">
        <v>46069</v>
      </c>
      <c r="H5735" s="2">
        <v>46071</v>
      </c>
      <c r="I5735">
        <v>148.75</v>
      </c>
      <c r="J5735">
        <v>148.75</v>
      </c>
      <c r="K5735">
        <v>148.75</v>
      </c>
      <c r="L5735">
        <v>0</v>
      </c>
      <c r="M5735" s="1" t="s">
        <v>21</v>
      </c>
      <c r="N5735" s="1" t="s">
        <v>22</v>
      </c>
      <c r="O5735" s="2">
        <v>46136</v>
      </c>
      <c r="P5735" s="2">
        <v>46136</v>
      </c>
      <c r="Q5735">
        <f>_xlfn.XLOOKUP(E5735,CPT!$A$2:$A$13,CPT!$D$2:$D$13)</f>
        <v>145</v>
      </c>
      <c r="R5735" s="1">
        <f>_xlfn.XLOOKUP(C5735,Contract!$A$2:$A$9,Contract!$B$2:$B$9)</f>
        <v>1</v>
      </c>
      <c r="S5735" s="1">
        <f t="shared" si="356"/>
        <v>145</v>
      </c>
      <c r="T5735" s="1">
        <f t="shared" si="357"/>
        <v>-3.75</v>
      </c>
      <c r="U5735" s="1" t="str">
        <f t="shared" si="358"/>
        <v>OK</v>
      </c>
      <c r="V5735" s="1" t="str">
        <f>_xlfn.XLOOKUP(C5735,Payers!$A$2:$A$9,Payers!$B$2:$B$9)</f>
        <v>Self-Pay</v>
      </c>
      <c r="W5735" s="1" t="str">
        <f t="shared" si="359"/>
        <v>2026-02</v>
      </c>
    </row>
    <row r="5736" spans="1:23">
      <c r="A5736" s="1" t="s">
        <v>8612</v>
      </c>
      <c r="B5736" s="1" t="s">
        <v>1731</v>
      </c>
      <c r="C5736" s="1" t="s">
        <v>76</v>
      </c>
      <c r="D5736" s="1" t="s">
        <v>26</v>
      </c>
      <c r="E5736" s="1" t="s">
        <v>44</v>
      </c>
      <c r="F5736">
        <v>1</v>
      </c>
      <c r="G5736" s="2">
        <v>46235</v>
      </c>
      <c r="H5736" s="2">
        <v>46236</v>
      </c>
      <c r="I5736">
        <v>4932.49</v>
      </c>
      <c r="J5736">
        <v>1851.65</v>
      </c>
      <c r="K5736">
        <v>1851.65</v>
      </c>
      <c r="L5736">
        <v>0</v>
      </c>
      <c r="M5736" s="1" t="s">
        <v>21</v>
      </c>
      <c r="N5736" s="1" t="s">
        <v>22</v>
      </c>
      <c r="O5736" s="2">
        <v>46263</v>
      </c>
      <c r="P5736" s="2">
        <v>46263</v>
      </c>
      <c r="Q5736">
        <f>_xlfn.XLOOKUP(E5736,CPT!$A$2:$A$13,CPT!$D$2:$D$13)</f>
        <v>4800</v>
      </c>
      <c r="R5736" s="1">
        <f>_xlfn.XLOOKUP(C5736,Contract!$A$2:$A$9,Contract!$B$2:$B$9)</f>
        <v>0.43</v>
      </c>
      <c r="S5736" s="1">
        <f t="shared" si="356"/>
        <v>2064</v>
      </c>
      <c r="T5736" s="1">
        <f t="shared" si="357"/>
        <v>212.34999999999991</v>
      </c>
      <c r="U5736" s="1" t="str">
        <f t="shared" si="358"/>
        <v>Underpaid</v>
      </c>
      <c r="V5736" s="1" t="str">
        <f>_xlfn.XLOOKUP(C5736,Payers!$A$2:$A$9,Payers!$B$2:$B$9)</f>
        <v>Summit Health Commercial</v>
      </c>
      <c r="W5736" s="1" t="str">
        <f t="shared" si="359"/>
        <v>2026-08</v>
      </c>
    </row>
    <row r="5737" spans="1:23">
      <c r="A5737" s="1" t="s">
        <v>8613</v>
      </c>
      <c r="B5737" s="1" t="s">
        <v>3965</v>
      </c>
      <c r="C5737" s="1" t="s">
        <v>36</v>
      </c>
      <c r="D5737" s="1" t="s">
        <v>19</v>
      </c>
      <c r="E5737" s="1" t="s">
        <v>20</v>
      </c>
      <c r="F5737">
        <v>1</v>
      </c>
      <c r="G5737" s="2">
        <v>46190</v>
      </c>
      <c r="H5737" s="2">
        <v>46193</v>
      </c>
      <c r="I5737">
        <v>141.25</v>
      </c>
      <c r="J5737">
        <v>34.119999999999997</v>
      </c>
      <c r="K5737">
        <v>34.119999999999997</v>
      </c>
      <c r="L5737">
        <v>0</v>
      </c>
      <c r="M5737" s="1" t="s">
        <v>21</v>
      </c>
      <c r="N5737" s="1" t="s">
        <v>22</v>
      </c>
      <c r="O5737" s="2">
        <v>46244</v>
      </c>
      <c r="P5737" s="2">
        <v>46244</v>
      </c>
      <c r="Q5737">
        <f>_xlfn.XLOOKUP(E5737,CPT!$A$2:$A$13,CPT!$D$2:$D$13)</f>
        <v>145</v>
      </c>
      <c r="R5737" s="1">
        <f>_xlfn.XLOOKUP(C5737,Contract!$A$2:$A$9,Contract!$B$2:$B$9)</f>
        <v>0.27</v>
      </c>
      <c r="S5737" s="1">
        <f t="shared" si="356"/>
        <v>39.15</v>
      </c>
      <c r="T5737" s="1">
        <f t="shared" si="357"/>
        <v>5.0300000000000011</v>
      </c>
      <c r="U5737" s="1" t="str">
        <f t="shared" si="358"/>
        <v>Underpaid</v>
      </c>
      <c r="V5737" s="1" t="str">
        <f>_xlfn.XLOOKUP(C5737,Payers!$A$2:$A$9,Payers!$B$2:$B$9)</f>
        <v>Florida Medicaid</v>
      </c>
      <c r="W5737" s="1" t="str">
        <f t="shared" si="359"/>
        <v>2026-06</v>
      </c>
    </row>
    <row r="5738" spans="1:23">
      <c r="A5738" s="1" t="s">
        <v>8614</v>
      </c>
      <c r="B5738" s="1" t="s">
        <v>2489</v>
      </c>
      <c r="C5738" s="1" t="s">
        <v>25</v>
      </c>
      <c r="D5738" s="1" t="s">
        <v>30</v>
      </c>
      <c r="E5738" s="1" t="s">
        <v>31</v>
      </c>
      <c r="F5738">
        <v>2</v>
      </c>
      <c r="G5738" s="2">
        <v>46281</v>
      </c>
      <c r="H5738" s="2">
        <v>46283</v>
      </c>
      <c r="I5738">
        <v>122.73</v>
      </c>
      <c r="J5738">
        <v>39.130000000000003</v>
      </c>
      <c r="K5738">
        <v>39.130000000000003</v>
      </c>
      <c r="L5738">
        <v>0</v>
      </c>
      <c r="M5738" s="1" t="s">
        <v>21</v>
      </c>
      <c r="N5738" s="1" t="s">
        <v>22</v>
      </c>
      <c r="O5738" s="2">
        <v>46295</v>
      </c>
      <c r="P5738" s="2">
        <v>46295</v>
      </c>
      <c r="Q5738">
        <f>_xlfn.XLOOKUP(E5738,CPT!$A$2:$A$13,CPT!$D$2:$D$13)</f>
        <v>62</v>
      </c>
      <c r="R5738" s="1">
        <f>_xlfn.XLOOKUP(C5738,Contract!$A$2:$A$9,Contract!$B$2:$B$9)</f>
        <v>0.36</v>
      </c>
      <c r="S5738" s="1">
        <f t="shared" si="356"/>
        <v>44.64</v>
      </c>
      <c r="T5738" s="1">
        <f t="shared" si="357"/>
        <v>5.509999999999998</v>
      </c>
      <c r="U5738" s="1" t="str">
        <f t="shared" si="358"/>
        <v>Underpaid</v>
      </c>
      <c r="V5738" s="1" t="str">
        <f>_xlfn.XLOOKUP(C5738,Payers!$A$2:$A$9,Payers!$B$2:$B$9)</f>
        <v>Medicare Part B</v>
      </c>
      <c r="W5738" s="1" t="str">
        <f t="shared" si="359"/>
        <v>2026-09</v>
      </c>
    </row>
    <row r="5739" spans="1:23">
      <c r="A5739" s="1" t="s">
        <v>8615</v>
      </c>
      <c r="B5739" s="1" t="s">
        <v>540</v>
      </c>
      <c r="C5739" s="1" t="s">
        <v>60</v>
      </c>
      <c r="D5739" s="1" t="s">
        <v>19</v>
      </c>
      <c r="E5739" s="1" t="s">
        <v>57</v>
      </c>
      <c r="F5739">
        <v>1</v>
      </c>
      <c r="G5739" s="2">
        <v>46223</v>
      </c>
      <c r="H5739" s="2">
        <v>46226</v>
      </c>
      <c r="I5739">
        <v>215.29</v>
      </c>
      <c r="J5739">
        <v>105.3</v>
      </c>
      <c r="K5739">
        <v>105.3</v>
      </c>
      <c r="L5739">
        <v>0</v>
      </c>
      <c r="M5739" s="1" t="s">
        <v>21</v>
      </c>
      <c r="N5739" s="1" t="s">
        <v>22</v>
      </c>
      <c r="O5739" s="2">
        <v>46260</v>
      </c>
      <c r="P5739" s="2">
        <v>46260</v>
      </c>
      <c r="Q5739">
        <f>_xlfn.XLOOKUP(E5739,CPT!$A$2:$A$13,CPT!$D$2:$D$13)</f>
        <v>210</v>
      </c>
      <c r="R5739" s="1">
        <f>_xlfn.XLOOKUP(C5739,Contract!$A$2:$A$9,Contract!$B$2:$B$9)</f>
        <v>0.45</v>
      </c>
      <c r="S5739" s="1">
        <f t="shared" si="356"/>
        <v>94.5</v>
      </c>
      <c r="T5739" s="1">
        <f t="shared" si="357"/>
        <v>-10.799999999999997</v>
      </c>
      <c r="U5739" s="1" t="str">
        <f t="shared" si="358"/>
        <v>OK</v>
      </c>
      <c r="V5739" s="1" t="str">
        <f>_xlfn.XLOOKUP(C5739,Payers!$A$2:$A$9,Payers!$B$2:$B$9)</f>
        <v>Blue Horizon Commercial</v>
      </c>
      <c r="W5739" s="1" t="str">
        <f t="shared" si="359"/>
        <v>2026-07</v>
      </c>
    </row>
    <row r="5740" spans="1:23">
      <c r="A5740" s="1" t="s">
        <v>8616</v>
      </c>
      <c r="B5740" s="1" t="s">
        <v>4843</v>
      </c>
      <c r="C5740" s="1" t="s">
        <v>60</v>
      </c>
      <c r="D5740" s="1" t="s">
        <v>19</v>
      </c>
      <c r="E5740" s="1" t="s">
        <v>41</v>
      </c>
      <c r="F5740">
        <v>1</v>
      </c>
      <c r="G5740" s="2">
        <v>46117</v>
      </c>
      <c r="H5740" s="2">
        <v>46128</v>
      </c>
      <c r="I5740">
        <v>37.31</v>
      </c>
      <c r="J5740">
        <v>18.12</v>
      </c>
      <c r="K5740">
        <v>14.5</v>
      </c>
      <c r="L5740">
        <v>3.62</v>
      </c>
      <c r="M5740" s="1" t="s">
        <v>21</v>
      </c>
      <c r="N5740" s="1" t="s">
        <v>22</v>
      </c>
      <c r="O5740" s="2">
        <v>46171</v>
      </c>
      <c r="P5740" s="2">
        <v>46171</v>
      </c>
      <c r="Q5740">
        <f>_xlfn.XLOOKUP(E5740,CPT!$A$2:$A$13,CPT!$D$2:$D$13)</f>
        <v>38</v>
      </c>
      <c r="R5740" s="1">
        <f>_xlfn.XLOOKUP(C5740,Contract!$A$2:$A$9,Contract!$B$2:$B$9)</f>
        <v>0.45</v>
      </c>
      <c r="S5740" s="1">
        <f t="shared" si="356"/>
        <v>17.100000000000001</v>
      </c>
      <c r="T5740" s="1">
        <f t="shared" si="357"/>
        <v>-1.0199999999999996</v>
      </c>
      <c r="U5740" s="1" t="str">
        <f t="shared" si="358"/>
        <v>OK</v>
      </c>
      <c r="V5740" s="1" t="str">
        <f>_xlfn.XLOOKUP(C5740,Payers!$A$2:$A$9,Payers!$B$2:$B$9)</f>
        <v>Blue Horizon Commercial</v>
      </c>
      <c r="W5740" s="1" t="str">
        <f t="shared" si="359"/>
        <v>2026-04</v>
      </c>
    </row>
    <row r="5741" spans="1:23">
      <c r="A5741" s="1" t="s">
        <v>8617</v>
      </c>
      <c r="B5741" s="1" t="s">
        <v>1704</v>
      </c>
      <c r="C5741" s="1" t="s">
        <v>52</v>
      </c>
      <c r="D5741" s="1" t="s">
        <v>26</v>
      </c>
      <c r="E5741" s="1" t="s">
        <v>44</v>
      </c>
      <c r="F5741">
        <v>1</v>
      </c>
      <c r="G5741" s="2">
        <v>46285</v>
      </c>
      <c r="H5741" s="2">
        <v>46289</v>
      </c>
      <c r="I5741">
        <v>4658.6899999999996</v>
      </c>
      <c r="M5741" s="1" t="s">
        <v>69</v>
      </c>
      <c r="N5741" s="1" t="s">
        <v>22</v>
      </c>
      <c r="O5741" s="2"/>
      <c r="P5741" s="2"/>
      <c r="Q5741">
        <f>_xlfn.XLOOKUP(E5741,CPT!$A$2:$A$13,CPT!$D$2:$D$13)</f>
        <v>4800</v>
      </c>
      <c r="R5741" s="1">
        <f>_xlfn.XLOOKUP(C5741,Contract!$A$2:$A$9,Contract!$B$2:$B$9)</f>
        <v>0.47</v>
      </c>
      <c r="S5741" s="1">
        <f t="shared" si="356"/>
        <v>2256</v>
      </c>
      <c r="T5741" s="1" t="str">
        <f t="shared" si="357"/>
        <v/>
      </c>
      <c r="U5741" s="1" t="str">
        <f t="shared" si="358"/>
        <v/>
      </c>
      <c r="V5741" s="1" t="str">
        <f>_xlfn.XLOOKUP(C5741,Payers!$A$2:$A$9,Payers!$B$2:$B$9)</f>
        <v>Keystone Commercial PPO</v>
      </c>
      <c r="W5741" s="1" t="str">
        <f t="shared" si="359"/>
        <v>2026-09</v>
      </c>
    </row>
    <row r="5742" spans="1:23">
      <c r="A5742" s="1" t="s">
        <v>8618</v>
      </c>
      <c r="B5742" s="1" t="s">
        <v>8619</v>
      </c>
      <c r="C5742" s="1" t="s">
        <v>76</v>
      </c>
      <c r="D5742" s="1" t="s">
        <v>19</v>
      </c>
      <c r="E5742" s="1" t="s">
        <v>41</v>
      </c>
      <c r="F5742">
        <v>1</v>
      </c>
      <c r="G5742" s="2">
        <v>46059</v>
      </c>
      <c r="H5742" s="2">
        <v>46060</v>
      </c>
      <c r="I5742">
        <v>36.93</v>
      </c>
      <c r="J5742">
        <v>17.93</v>
      </c>
      <c r="K5742">
        <v>14.34</v>
      </c>
      <c r="L5742">
        <v>3.59</v>
      </c>
      <c r="M5742" s="1" t="s">
        <v>21</v>
      </c>
      <c r="N5742" s="1" t="s">
        <v>22</v>
      </c>
      <c r="O5742" s="2">
        <v>46094</v>
      </c>
      <c r="P5742" s="2">
        <v>46094</v>
      </c>
      <c r="Q5742">
        <f>_xlfn.XLOOKUP(E5742,CPT!$A$2:$A$13,CPT!$D$2:$D$13)</f>
        <v>38</v>
      </c>
      <c r="R5742" s="1">
        <f>_xlfn.XLOOKUP(C5742,Contract!$A$2:$A$9,Contract!$B$2:$B$9)</f>
        <v>0.43</v>
      </c>
      <c r="S5742" s="1">
        <f t="shared" si="356"/>
        <v>16.34</v>
      </c>
      <c r="T5742" s="1">
        <f t="shared" si="357"/>
        <v>-1.5899999999999999</v>
      </c>
      <c r="U5742" s="1" t="str">
        <f t="shared" si="358"/>
        <v>OK</v>
      </c>
      <c r="V5742" s="1" t="str">
        <f>_xlfn.XLOOKUP(C5742,Payers!$A$2:$A$9,Payers!$B$2:$B$9)</f>
        <v>Summit Health Commercial</v>
      </c>
      <c r="W5742" s="1" t="str">
        <f t="shared" si="359"/>
        <v>2026-02</v>
      </c>
    </row>
    <row r="5743" spans="1:23">
      <c r="A5743" s="1" t="s">
        <v>8620</v>
      </c>
      <c r="B5743" s="1" t="s">
        <v>8621</v>
      </c>
      <c r="C5743" s="1" t="s">
        <v>60</v>
      </c>
      <c r="D5743" s="1" t="s">
        <v>19</v>
      </c>
      <c r="E5743" s="1" t="s">
        <v>41</v>
      </c>
      <c r="F5743">
        <v>1</v>
      </c>
      <c r="G5743" s="2">
        <v>46084</v>
      </c>
      <c r="H5743" s="2">
        <v>46087</v>
      </c>
      <c r="I5743">
        <v>37.69</v>
      </c>
      <c r="M5743" s="1" t="s">
        <v>32</v>
      </c>
      <c r="N5743" s="1" t="s">
        <v>281</v>
      </c>
      <c r="O5743" s="2">
        <v>46116</v>
      </c>
      <c r="P5743" s="2"/>
      <c r="Q5743">
        <f>_xlfn.XLOOKUP(E5743,CPT!$A$2:$A$13,CPT!$D$2:$D$13)</f>
        <v>38</v>
      </c>
      <c r="R5743" s="1">
        <f>_xlfn.XLOOKUP(C5743,Contract!$A$2:$A$9,Contract!$B$2:$B$9)</f>
        <v>0.45</v>
      </c>
      <c r="S5743" s="1">
        <f t="shared" si="356"/>
        <v>17.100000000000001</v>
      </c>
      <c r="T5743" s="1" t="str">
        <f t="shared" si="357"/>
        <v/>
      </c>
      <c r="U5743" s="1" t="str">
        <f t="shared" si="358"/>
        <v/>
      </c>
      <c r="V5743" s="1" t="str">
        <f>_xlfn.XLOOKUP(C5743,Payers!$A$2:$A$9,Payers!$B$2:$B$9)</f>
        <v>Blue Horizon Commercial</v>
      </c>
      <c r="W5743" s="1" t="str">
        <f t="shared" si="359"/>
        <v>2026-03</v>
      </c>
    </row>
    <row r="5744" spans="1:23">
      <c r="A5744" s="1" t="s">
        <v>8622</v>
      </c>
      <c r="B5744" s="1" t="s">
        <v>8623</v>
      </c>
      <c r="C5744" s="1" t="s">
        <v>52</v>
      </c>
      <c r="D5744" s="1" t="s">
        <v>37</v>
      </c>
      <c r="E5744" s="1" t="s">
        <v>48</v>
      </c>
      <c r="F5744">
        <v>1</v>
      </c>
      <c r="G5744" s="2">
        <v>46085</v>
      </c>
      <c r="H5744" s="2">
        <v>46087</v>
      </c>
      <c r="I5744">
        <v>409.28</v>
      </c>
      <c r="J5744">
        <v>216.87</v>
      </c>
      <c r="K5744">
        <v>216.87</v>
      </c>
      <c r="L5744">
        <v>0</v>
      </c>
      <c r="M5744" s="1" t="s">
        <v>21</v>
      </c>
      <c r="N5744" s="1" t="s">
        <v>22</v>
      </c>
      <c r="O5744" s="2">
        <v>46135</v>
      </c>
      <c r="P5744" s="2">
        <v>46135</v>
      </c>
      <c r="Q5744">
        <f>_xlfn.XLOOKUP(E5744,CPT!$A$2:$A$13,CPT!$D$2:$D$13)</f>
        <v>420</v>
      </c>
      <c r="R5744" s="1">
        <f>_xlfn.XLOOKUP(C5744,Contract!$A$2:$A$9,Contract!$B$2:$B$9)</f>
        <v>0.47</v>
      </c>
      <c r="S5744" s="1">
        <f t="shared" si="356"/>
        <v>197.4</v>
      </c>
      <c r="T5744" s="1">
        <f t="shared" si="357"/>
        <v>-19.47</v>
      </c>
      <c r="U5744" s="1" t="str">
        <f t="shared" si="358"/>
        <v>OK</v>
      </c>
      <c r="V5744" s="1" t="str">
        <f>_xlfn.XLOOKUP(C5744,Payers!$A$2:$A$9,Payers!$B$2:$B$9)</f>
        <v>Keystone Commercial PPO</v>
      </c>
      <c r="W5744" s="1" t="str">
        <f t="shared" si="359"/>
        <v>2026-03</v>
      </c>
    </row>
    <row r="5745" spans="1:23">
      <c r="A5745" s="1" t="s">
        <v>8624</v>
      </c>
      <c r="B5745" s="1" t="s">
        <v>4721</v>
      </c>
      <c r="C5745" s="1" t="s">
        <v>60</v>
      </c>
      <c r="D5745" s="1" t="s">
        <v>37</v>
      </c>
      <c r="E5745" s="1" t="s">
        <v>57</v>
      </c>
      <c r="F5745">
        <v>1</v>
      </c>
      <c r="G5745" s="2">
        <v>46229</v>
      </c>
      <c r="H5745" s="2">
        <v>46232</v>
      </c>
      <c r="I5745">
        <v>216.07</v>
      </c>
      <c r="J5745">
        <v>99.98</v>
      </c>
      <c r="K5745">
        <v>99.98</v>
      </c>
      <c r="L5745">
        <v>0</v>
      </c>
      <c r="M5745" s="1" t="s">
        <v>21</v>
      </c>
      <c r="N5745" s="1" t="s">
        <v>22</v>
      </c>
      <c r="O5745" s="2">
        <v>46255</v>
      </c>
      <c r="P5745" s="2">
        <v>46255</v>
      </c>
      <c r="Q5745">
        <f>_xlfn.XLOOKUP(E5745,CPT!$A$2:$A$13,CPT!$D$2:$D$13)</f>
        <v>210</v>
      </c>
      <c r="R5745" s="1">
        <f>_xlfn.XLOOKUP(C5745,Contract!$A$2:$A$9,Contract!$B$2:$B$9)</f>
        <v>0.45</v>
      </c>
      <c r="S5745" s="1">
        <f t="shared" si="356"/>
        <v>94.5</v>
      </c>
      <c r="T5745" s="1">
        <f t="shared" si="357"/>
        <v>-5.480000000000004</v>
      </c>
      <c r="U5745" s="1" t="str">
        <f t="shared" si="358"/>
        <v>OK</v>
      </c>
      <c r="V5745" s="1" t="str">
        <f>_xlfn.XLOOKUP(C5745,Payers!$A$2:$A$9,Payers!$B$2:$B$9)</f>
        <v>Blue Horizon Commercial</v>
      </c>
      <c r="W5745" s="1" t="str">
        <f t="shared" si="359"/>
        <v>2026-07</v>
      </c>
    </row>
    <row r="5746" spans="1:23">
      <c r="A5746" s="1" t="s">
        <v>8625</v>
      </c>
      <c r="B5746" s="1" t="s">
        <v>2413</v>
      </c>
      <c r="C5746" s="1" t="s">
        <v>60</v>
      </c>
      <c r="D5746" s="1" t="s">
        <v>37</v>
      </c>
      <c r="E5746" s="1" t="s">
        <v>57</v>
      </c>
      <c r="F5746">
        <v>1</v>
      </c>
      <c r="G5746" s="2">
        <v>46162</v>
      </c>
      <c r="H5746" s="2">
        <v>46168</v>
      </c>
      <c r="I5746">
        <v>209.16</v>
      </c>
      <c r="J5746">
        <v>79.959999999999994</v>
      </c>
      <c r="K5746">
        <v>79.959999999999994</v>
      </c>
      <c r="L5746">
        <v>0</v>
      </c>
      <c r="M5746" s="1" t="s">
        <v>21</v>
      </c>
      <c r="N5746" s="1" t="s">
        <v>22</v>
      </c>
      <c r="O5746" s="2">
        <v>46197</v>
      </c>
      <c r="P5746" s="2">
        <v>46197</v>
      </c>
      <c r="Q5746">
        <f>_xlfn.XLOOKUP(E5746,CPT!$A$2:$A$13,CPT!$D$2:$D$13)</f>
        <v>210</v>
      </c>
      <c r="R5746" s="1">
        <f>_xlfn.XLOOKUP(C5746,Contract!$A$2:$A$9,Contract!$B$2:$B$9)</f>
        <v>0.45</v>
      </c>
      <c r="S5746" s="1">
        <f t="shared" si="356"/>
        <v>94.5</v>
      </c>
      <c r="T5746" s="1">
        <f t="shared" si="357"/>
        <v>14.540000000000006</v>
      </c>
      <c r="U5746" s="1" t="str">
        <f t="shared" si="358"/>
        <v>Underpaid</v>
      </c>
      <c r="V5746" s="1" t="str">
        <f>_xlfn.XLOOKUP(C5746,Payers!$A$2:$A$9,Payers!$B$2:$B$9)</f>
        <v>Blue Horizon Commercial</v>
      </c>
      <c r="W5746" s="1" t="str">
        <f t="shared" si="359"/>
        <v>2026-05</v>
      </c>
    </row>
    <row r="5747" spans="1:23">
      <c r="A5747" s="1" t="s">
        <v>8626</v>
      </c>
      <c r="B5747" s="1" t="s">
        <v>6504</v>
      </c>
      <c r="C5747" s="1" t="s">
        <v>25</v>
      </c>
      <c r="D5747" s="1" t="s">
        <v>19</v>
      </c>
      <c r="E5747" s="1" t="s">
        <v>88</v>
      </c>
      <c r="F5747">
        <v>1</v>
      </c>
      <c r="G5747" s="2">
        <v>46184</v>
      </c>
      <c r="H5747" s="2">
        <v>46187</v>
      </c>
      <c r="I5747">
        <v>260.94</v>
      </c>
      <c r="J5747">
        <v>87.99</v>
      </c>
      <c r="K5747">
        <v>87.99</v>
      </c>
      <c r="L5747">
        <v>0</v>
      </c>
      <c r="M5747" s="1" t="s">
        <v>21</v>
      </c>
      <c r="N5747" s="1" t="s">
        <v>22</v>
      </c>
      <c r="O5747" s="2">
        <v>46202</v>
      </c>
      <c r="P5747" s="2">
        <v>46202</v>
      </c>
      <c r="Q5747">
        <f>_xlfn.XLOOKUP(E5747,CPT!$A$2:$A$13,CPT!$D$2:$D$13)</f>
        <v>260</v>
      </c>
      <c r="R5747" s="1">
        <f>_xlfn.XLOOKUP(C5747,Contract!$A$2:$A$9,Contract!$B$2:$B$9)</f>
        <v>0.36</v>
      </c>
      <c r="S5747" s="1">
        <f t="shared" si="356"/>
        <v>93.6</v>
      </c>
      <c r="T5747" s="1">
        <f t="shared" si="357"/>
        <v>5.6099999999999994</v>
      </c>
      <c r="U5747" s="1" t="str">
        <f t="shared" si="358"/>
        <v>Underpaid</v>
      </c>
      <c r="V5747" s="1" t="str">
        <f>_xlfn.XLOOKUP(C5747,Payers!$A$2:$A$9,Payers!$B$2:$B$9)</f>
        <v>Medicare Part B</v>
      </c>
      <c r="W5747" s="1" t="str">
        <f t="shared" si="359"/>
        <v>2026-06</v>
      </c>
    </row>
    <row r="5748" spans="1:23">
      <c r="A5748" s="1" t="s">
        <v>8627</v>
      </c>
      <c r="B5748" s="1" t="s">
        <v>8628</v>
      </c>
      <c r="C5748" s="1" t="s">
        <v>52</v>
      </c>
      <c r="D5748" s="1" t="s">
        <v>30</v>
      </c>
      <c r="E5748" s="1" t="s">
        <v>91</v>
      </c>
      <c r="F5748">
        <v>1</v>
      </c>
      <c r="G5748" s="2">
        <v>46224</v>
      </c>
      <c r="H5748" s="2">
        <v>46226</v>
      </c>
      <c r="I5748">
        <v>59.57</v>
      </c>
      <c r="J5748">
        <v>28.5</v>
      </c>
      <c r="K5748">
        <v>22.8</v>
      </c>
      <c r="L5748">
        <v>5.7</v>
      </c>
      <c r="M5748" s="1" t="s">
        <v>21</v>
      </c>
      <c r="N5748" s="1" t="s">
        <v>22</v>
      </c>
      <c r="O5748" s="2">
        <v>46231</v>
      </c>
      <c r="P5748" s="2">
        <v>46231</v>
      </c>
      <c r="Q5748">
        <f>_xlfn.XLOOKUP(E5748,CPT!$A$2:$A$13,CPT!$D$2:$D$13)</f>
        <v>58</v>
      </c>
      <c r="R5748" s="1">
        <f>_xlfn.XLOOKUP(C5748,Contract!$A$2:$A$9,Contract!$B$2:$B$9)</f>
        <v>0.47</v>
      </c>
      <c r="S5748" s="1">
        <f t="shared" si="356"/>
        <v>27.26</v>
      </c>
      <c r="T5748" s="1">
        <f t="shared" si="357"/>
        <v>-1.2399999999999984</v>
      </c>
      <c r="U5748" s="1" t="str">
        <f t="shared" si="358"/>
        <v>OK</v>
      </c>
      <c r="V5748" s="1" t="str">
        <f>_xlfn.XLOOKUP(C5748,Payers!$A$2:$A$9,Payers!$B$2:$B$9)</f>
        <v>Keystone Commercial PPO</v>
      </c>
      <c r="W5748" s="1" t="str">
        <f t="shared" si="359"/>
        <v>2026-07</v>
      </c>
    </row>
    <row r="5749" spans="1:23">
      <c r="A5749" s="1" t="s">
        <v>8629</v>
      </c>
      <c r="B5749" s="1" t="s">
        <v>8630</v>
      </c>
      <c r="C5749" s="1" t="s">
        <v>60</v>
      </c>
      <c r="D5749" s="1" t="s">
        <v>26</v>
      </c>
      <c r="E5749" s="1" t="s">
        <v>41</v>
      </c>
      <c r="F5749">
        <v>1</v>
      </c>
      <c r="G5749" s="2">
        <v>46209</v>
      </c>
      <c r="H5749" s="2">
        <v>46212</v>
      </c>
      <c r="I5749">
        <v>37.07</v>
      </c>
      <c r="J5749">
        <v>16.09</v>
      </c>
      <c r="K5749">
        <v>14.48</v>
      </c>
      <c r="L5749">
        <v>1.61</v>
      </c>
      <c r="M5749" s="1" t="s">
        <v>21</v>
      </c>
      <c r="N5749" s="1" t="s">
        <v>22</v>
      </c>
      <c r="O5749" s="2">
        <v>46243</v>
      </c>
      <c r="P5749" s="2">
        <v>46243</v>
      </c>
      <c r="Q5749">
        <f>_xlfn.XLOOKUP(E5749,CPT!$A$2:$A$13,CPT!$D$2:$D$13)</f>
        <v>38</v>
      </c>
      <c r="R5749" s="1">
        <f>_xlfn.XLOOKUP(C5749,Contract!$A$2:$A$9,Contract!$B$2:$B$9)</f>
        <v>0.45</v>
      </c>
      <c r="S5749" s="1">
        <f t="shared" si="356"/>
        <v>17.100000000000001</v>
      </c>
      <c r="T5749" s="1">
        <f t="shared" si="357"/>
        <v>1.0100000000000016</v>
      </c>
      <c r="U5749" s="1" t="str">
        <f t="shared" si="358"/>
        <v>Underpaid</v>
      </c>
      <c r="V5749" s="1" t="str">
        <f>_xlfn.XLOOKUP(C5749,Payers!$A$2:$A$9,Payers!$B$2:$B$9)</f>
        <v>Blue Horizon Commercial</v>
      </c>
      <c r="W5749" s="1" t="str">
        <f t="shared" si="359"/>
        <v>2026-07</v>
      </c>
    </row>
    <row r="5750" spans="1:23">
      <c r="A5750" s="1" t="s">
        <v>8631</v>
      </c>
      <c r="B5750" s="1" t="s">
        <v>2236</v>
      </c>
      <c r="C5750" s="1" t="s">
        <v>47</v>
      </c>
      <c r="D5750" s="1" t="s">
        <v>26</v>
      </c>
      <c r="E5750" s="1" t="s">
        <v>41</v>
      </c>
      <c r="F5750">
        <v>1</v>
      </c>
      <c r="G5750" s="2">
        <v>46027</v>
      </c>
      <c r="H5750" s="2">
        <v>46028</v>
      </c>
      <c r="I5750">
        <v>38.19</v>
      </c>
      <c r="J5750">
        <v>9.9</v>
      </c>
      <c r="K5750">
        <v>9.9</v>
      </c>
      <c r="L5750">
        <v>0</v>
      </c>
      <c r="M5750" s="1" t="s">
        <v>21</v>
      </c>
      <c r="N5750" s="1" t="s">
        <v>22</v>
      </c>
      <c r="O5750" s="2">
        <v>46091</v>
      </c>
      <c r="P5750" s="2">
        <v>46091</v>
      </c>
      <c r="Q5750">
        <f>_xlfn.XLOOKUP(E5750,CPT!$A$2:$A$13,CPT!$D$2:$D$13)</f>
        <v>38</v>
      </c>
      <c r="R5750" s="1">
        <f>_xlfn.XLOOKUP(C5750,Contract!$A$2:$A$9,Contract!$B$2:$B$9)</f>
        <v>0.28000000000000003</v>
      </c>
      <c r="S5750" s="1">
        <f t="shared" si="356"/>
        <v>10.64</v>
      </c>
      <c r="T5750" s="1">
        <f t="shared" si="357"/>
        <v>0.74000000000000021</v>
      </c>
      <c r="U5750" s="1" t="str">
        <f t="shared" si="358"/>
        <v>Underpaid</v>
      </c>
      <c r="V5750" s="1" t="str">
        <f>_xlfn.XLOOKUP(C5750,Payers!$A$2:$A$9,Payers!$B$2:$B$9)</f>
        <v>Coastal Medicaid MCO</v>
      </c>
      <c r="W5750" s="1" t="str">
        <f t="shared" si="359"/>
        <v>2026-01</v>
      </c>
    </row>
    <row r="5751" spans="1:23">
      <c r="A5751" s="1" t="s">
        <v>8632</v>
      </c>
      <c r="B5751" s="1" t="s">
        <v>1638</v>
      </c>
      <c r="C5751" s="1" t="s">
        <v>60</v>
      </c>
      <c r="D5751" s="1" t="s">
        <v>30</v>
      </c>
      <c r="E5751" s="1" t="s">
        <v>31</v>
      </c>
      <c r="F5751">
        <v>1</v>
      </c>
      <c r="G5751" s="2">
        <v>46156</v>
      </c>
      <c r="H5751" s="2">
        <v>46157</v>
      </c>
      <c r="I5751">
        <v>63.78</v>
      </c>
      <c r="J5751">
        <v>27.64</v>
      </c>
      <c r="K5751">
        <v>27.64</v>
      </c>
      <c r="L5751">
        <v>0</v>
      </c>
      <c r="M5751" s="1" t="s">
        <v>21</v>
      </c>
      <c r="N5751" s="1" t="s">
        <v>22</v>
      </c>
      <c r="O5751" s="2">
        <v>46185</v>
      </c>
      <c r="P5751" s="2">
        <v>46185</v>
      </c>
      <c r="Q5751">
        <f>_xlfn.XLOOKUP(E5751,CPT!$A$2:$A$13,CPT!$D$2:$D$13)</f>
        <v>62</v>
      </c>
      <c r="R5751" s="1">
        <f>_xlfn.XLOOKUP(C5751,Contract!$A$2:$A$9,Contract!$B$2:$B$9)</f>
        <v>0.45</v>
      </c>
      <c r="S5751" s="1">
        <f t="shared" si="356"/>
        <v>27.9</v>
      </c>
      <c r="T5751" s="1">
        <f t="shared" si="357"/>
        <v>0.25999999999999801</v>
      </c>
      <c r="U5751" s="1" t="str">
        <f t="shared" si="358"/>
        <v>OK</v>
      </c>
      <c r="V5751" s="1" t="str">
        <f>_xlfn.XLOOKUP(C5751,Payers!$A$2:$A$9,Payers!$B$2:$B$9)</f>
        <v>Blue Horizon Commercial</v>
      </c>
      <c r="W5751" s="1" t="str">
        <f t="shared" si="359"/>
        <v>2026-05</v>
      </c>
    </row>
    <row r="5752" spans="1:23">
      <c r="A5752" s="1" t="s">
        <v>8633</v>
      </c>
      <c r="B5752" s="1" t="s">
        <v>1412</v>
      </c>
      <c r="C5752" s="1" t="s">
        <v>25</v>
      </c>
      <c r="D5752" s="1" t="s">
        <v>26</v>
      </c>
      <c r="E5752" s="1" t="s">
        <v>27</v>
      </c>
      <c r="F5752">
        <v>1</v>
      </c>
      <c r="G5752" s="2">
        <v>46173</v>
      </c>
      <c r="H5752" s="2">
        <v>46175</v>
      </c>
      <c r="I5752">
        <v>242</v>
      </c>
      <c r="J5752">
        <v>82.24</v>
      </c>
      <c r="K5752">
        <v>82.24</v>
      </c>
      <c r="L5752">
        <v>0</v>
      </c>
      <c r="M5752" s="1" t="s">
        <v>21</v>
      </c>
      <c r="N5752" s="1" t="s">
        <v>22</v>
      </c>
      <c r="O5752" s="2">
        <v>46198</v>
      </c>
      <c r="P5752" s="2">
        <v>46198</v>
      </c>
      <c r="Q5752">
        <f>_xlfn.XLOOKUP(E5752,CPT!$A$2:$A$13,CPT!$D$2:$D$13)</f>
        <v>240</v>
      </c>
      <c r="R5752" s="1">
        <f>_xlfn.XLOOKUP(C5752,Contract!$A$2:$A$9,Contract!$B$2:$B$9)</f>
        <v>0.36</v>
      </c>
      <c r="S5752" s="1">
        <f t="shared" si="356"/>
        <v>86.4</v>
      </c>
      <c r="T5752" s="1">
        <f t="shared" si="357"/>
        <v>4.1600000000000108</v>
      </c>
      <c r="U5752" s="1" t="str">
        <f t="shared" si="358"/>
        <v>OK</v>
      </c>
      <c r="V5752" s="1" t="str">
        <f>_xlfn.XLOOKUP(C5752,Payers!$A$2:$A$9,Payers!$B$2:$B$9)</f>
        <v>Medicare Part B</v>
      </c>
      <c r="W5752" s="1" t="str">
        <f t="shared" si="359"/>
        <v>2026-05</v>
      </c>
    </row>
    <row r="5753" spans="1:23">
      <c r="A5753" s="1" t="s">
        <v>8634</v>
      </c>
      <c r="B5753" s="1" t="s">
        <v>3623</v>
      </c>
      <c r="C5753" s="1" t="s">
        <v>18</v>
      </c>
      <c r="D5753" s="1" t="s">
        <v>26</v>
      </c>
      <c r="E5753" s="1" t="s">
        <v>113</v>
      </c>
      <c r="F5753">
        <v>1</v>
      </c>
      <c r="G5753" s="2">
        <v>46105</v>
      </c>
      <c r="H5753" s="2">
        <v>46106</v>
      </c>
      <c r="I5753">
        <v>1056.76</v>
      </c>
      <c r="J5753">
        <v>379.14</v>
      </c>
      <c r="K5753">
        <v>379.14</v>
      </c>
      <c r="L5753">
        <v>0</v>
      </c>
      <c r="M5753" s="1" t="s">
        <v>21</v>
      </c>
      <c r="N5753" s="1" t="s">
        <v>22</v>
      </c>
      <c r="O5753" s="2">
        <v>46173</v>
      </c>
      <c r="P5753" s="2">
        <v>46173</v>
      </c>
      <c r="Q5753">
        <f>_xlfn.XLOOKUP(E5753,CPT!$A$2:$A$13,CPT!$D$2:$D$13)</f>
        <v>1050</v>
      </c>
      <c r="R5753" s="1">
        <f>_xlfn.XLOOKUP(C5753,Contract!$A$2:$A$9,Contract!$B$2:$B$9)</f>
        <v>0.38</v>
      </c>
      <c r="S5753" s="1">
        <f t="shared" si="356"/>
        <v>399</v>
      </c>
      <c r="T5753" s="1">
        <f t="shared" si="357"/>
        <v>19.860000000000014</v>
      </c>
      <c r="U5753" s="1" t="str">
        <f t="shared" si="358"/>
        <v>OK</v>
      </c>
      <c r="V5753" s="1" t="str">
        <f>_xlfn.XLOOKUP(C5753,Payers!$A$2:$A$9,Payers!$B$2:$B$9)</f>
        <v>Sunshine Medicare Advantage</v>
      </c>
      <c r="W5753" s="1" t="str">
        <f t="shared" si="359"/>
        <v>2026-03</v>
      </c>
    </row>
    <row r="5754" spans="1:23">
      <c r="A5754" s="1" t="s">
        <v>8635</v>
      </c>
      <c r="B5754" s="1" t="s">
        <v>8636</v>
      </c>
      <c r="C5754" s="1" t="s">
        <v>76</v>
      </c>
      <c r="D5754" s="1" t="s">
        <v>37</v>
      </c>
      <c r="E5754" s="1" t="s">
        <v>57</v>
      </c>
      <c r="F5754">
        <v>1</v>
      </c>
      <c r="G5754" s="2">
        <v>46024</v>
      </c>
      <c r="H5754" s="2">
        <v>46031</v>
      </c>
      <c r="I5754">
        <v>207.17</v>
      </c>
      <c r="J5754">
        <v>99.21</v>
      </c>
      <c r="K5754">
        <v>99.21</v>
      </c>
      <c r="L5754">
        <v>0</v>
      </c>
      <c r="M5754" s="1" t="s">
        <v>21</v>
      </c>
      <c r="N5754" s="1" t="s">
        <v>22</v>
      </c>
      <c r="O5754" s="2">
        <v>46077</v>
      </c>
      <c r="P5754" s="2">
        <v>46077</v>
      </c>
      <c r="Q5754">
        <f>_xlfn.XLOOKUP(E5754,CPT!$A$2:$A$13,CPT!$D$2:$D$13)</f>
        <v>210</v>
      </c>
      <c r="R5754" s="1">
        <f>_xlfn.XLOOKUP(C5754,Contract!$A$2:$A$9,Contract!$B$2:$B$9)</f>
        <v>0.43</v>
      </c>
      <c r="S5754" s="1">
        <f t="shared" si="356"/>
        <v>90.3</v>
      </c>
      <c r="T5754" s="1">
        <f t="shared" si="357"/>
        <v>-8.9099999999999966</v>
      </c>
      <c r="U5754" s="1" t="str">
        <f t="shared" si="358"/>
        <v>OK</v>
      </c>
      <c r="V5754" s="1" t="str">
        <f>_xlfn.XLOOKUP(C5754,Payers!$A$2:$A$9,Payers!$B$2:$B$9)</f>
        <v>Summit Health Commercial</v>
      </c>
      <c r="W5754" s="1" t="str">
        <f t="shared" si="359"/>
        <v>2026-01</v>
      </c>
    </row>
    <row r="5755" spans="1:23">
      <c r="A5755" s="1" t="s">
        <v>8637</v>
      </c>
      <c r="B5755" s="1" t="s">
        <v>8638</v>
      </c>
      <c r="C5755" s="1" t="s">
        <v>76</v>
      </c>
      <c r="D5755" s="1" t="s">
        <v>26</v>
      </c>
      <c r="E5755" s="1" t="s">
        <v>185</v>
      </c>
      <c r="F5755">
        <v>1</v>
      </c>
      <c r="G5755" s="2">
        <v>45954</v>
      </c>
      <c r="H5755" s="2">
        <v>45957</v>
      </c>
      <c r="I5755">
        <v>1163.95</v>
      </c>
      <c r="J5755">
        <v>513.37</v>
      </c>
      <c r="K5755">
        <v>462.03</v>
      </c>
      <c r="L5755">
        <v>51.34</v>
      </c>
      <c r="M5755" s="1" t="s">
        <v>21</v>
      </c>
      <c r="N5755" s="1" t="s">
        <v>22</v>
      </c>
      <c r="O5755" s="2">
        <v>46001</v>
      </c>
      <c r="P5755" s="2">
        <v>46001</v>
      </c>
      <c r="Q5755">
        <f>_xlfn.XLOOKUP(E5755,CPT!$A$2:$A$13,CPT!$D$2:$D$13)</f>
        <v>1150</v>
      </c>
      <c r="R5755" s="1">
        <f>_xlfn.XLOOKUP(C5755,Contract!$A$2:$A$9,Contract!$B$2:$B$9)</f>
        <v>0.43</v>
      </c>
      <c r="S5755" s="1">
        <f t="shared" si="356"/>
        <v>494.5</v>
      </c>
      <c r="T5755" s="1">
        <f t="shared" si="357"/>
        <v>-18.870000000000005</v>
      </c>
      <c r="U5755" s="1" t="str">
        <f t="shared" si="358"/>
        <v>OK</v>
      </c>
      <c r="V5755" s="1" t="str">
        <f>_xlfn.XLOOKUP(C5755,Payers!$A$2:$A$9,Payers!$B$2:$B$9)</f>
        <v>Summit Health Commercial</v>
      </c>
      <c r="W5755" s="1" t="str">
        <f t="shared" si="359"/>
        <v>2025-10</v>
      </c>
    </row>
    <row r="5756" spans="1:23">
      <c r="A5756" s="1" t="s">
        <v>8639</v>
      </c>
      <c r="B5756" s="1" t="s">
        <v>3297</v>
      </c>
      <c r="C5756" s="1" t="s">
        <v>60</v>
      </c>
      <c r="D5756" s="1" t="s">
        <v>26</v>
      </c>
      <c r="E5756" s="1" t="s">
        <v>88</v>
      </c>
      <c r="F5756">
        <v>1</v>
      </c>
      <c r="G5756" s="2">
        <v>46284</v>
      </c>
      <c r="H5756" s="2">
        <v>46287</v>
      </c>
      <c r="I5756">
        <v>258.38</v>
      </c>
      <c r="M5756" s="1" t="s">
        <v>69</v>
      </c>
      <c r="N5756" s="1" t="s">
        <v>22</v>
      </c>
      <c r="O5756" s="2"/>
      <c r="P5756" s="2"/>
      <c r="Q5756">
        <f>_xlfn.XLOOKUP(E5756,CPT!$A$2:$A$13,CPT!$D$2:$D$13)</f>
        <v>260</v>
      </c>
      <c r="R5756" s="1">
        <f>_xlfn.XLOOKUP(C5756,Contract!$A$2:$A$9,Contract!$B$2:$B$9)</f>
        <v>0.45</v>
      </c>
      <c r="S5756" s="1">
        <f t="shared" si="356"/>
        <v>117</v>
      </c>
      <c r="T5756" s="1" t="str">
        <f t="shared" si="357"/>
        <v/>
      </c>
      <c r="U5756" s="1" t="str">
        <f t="shared" si="358"/>
        <v/>
      </c>
      <c r="V5756" s="1" t="str">
        <f>_xlfn.XLOOKUP(C5756,Payers!$A$2:$A$9,Payers!$B$2:$B$9)</f>
        <v>Blue Horizon Commercial</v>
      </c>
      <c r="W5756" s="1" t="str">
        <f t="shared" si="359"/>
        <v>2026-09</v>
      </c>
    </row>
    <row r="5757" spans="1:23">
      <c r="A5757" s="1" t="s">
        <v>8640</v>
      </c>
      <c r="B5757" s="1" t="s">
        <v>7930</v>
      </c>
      <c r="C5757" s="1" t="s">
        <v>76</v>
      </c>
      <c r="D5757" s="1" t="s">
        <v>26</v>
      </c>
      <c r="E5757" s="1" t="s">
        <v>88</v>
      </c>
      <c r="F5757">
        <v>1</v>
      </c>
      <c r="G5757" s="2">
        <v>46088</v>
      </c>
      <c r="H5757" s="2">
        <v>46090</v>
      </c>
      <c r="I5757">
        <v>252.92</v>
      </c>
      <c r="J5757">
        <v>108.37</v>
      </c>
      <c r="K5757">
        <v>97.53</v>
      </c>
      <c r="L5757">
        <v>10.84</v>
      </c>
      <c r="M5757" s="1" t="s">
        <v>21</v>
      </c>
      <c r="N5757" s="1" t="s">
        <v>22</v>
      </c>
      <c r="O5757" s="2">
        <v>46121</v>
      </c>
      <c r="P5757" s="2">
        <v>46121</v>
      </c>
      <c r="Q5757">
        <f>_xlfn.XLOOKUP(E5757,CPT!$A$2:$A$13,CPT!$D$2:$D$13)</f>
        <v>260</v>
      </c>
      <c r="R5757" s="1">
        <f>_xlfn.XLOOKUP(C5757,Contract!$A$2:$A$9,Contract!$B$2:$B$9)</f>
        <v>0.43</v>
      </c>
      <c r="S5757" s="1">
        <f t="shared" si="356"/>
        <v>111.8</v>
      </c>
      <c r="T5757" s="1">
        <f t="shared" si="357"/>
        <v>3.4299999999999926</v>
      </c>
      <c r="U5757" s="1" t="str">
        <f t="shared" si="358"/>
        <v>OK</v>
      </c>
      <c r="V5757" s="1" t="str">
        <f>_xlfn.XLOOKUP(C5757,Payers!$A$2:$A$9,Payers!$B$2:$B$9)</f>
        <v>Summit Health Commercial</v>
      </c>
      <c r="W5757" s="1" t="str">
        <f t="shared" si="359"/>
        <v>2026-03</v>
      </c>
    </row>
    <row r="5758" spans="1:23">
      <c r="A5758" s="1" t="s">
        <v>8641</v>
      </c>
      <c r="B5758" s="1" t="s">
        <v>2404</v>
      </c>
      <c r="C5758" s="1" t="s">
        <v>52</v>
      </c>
      <c r="D5758" s="1" t="s">
        <v>26</v>
      </c>
      <c r="E5758" s="1" t="s">
        <v>88</v>
      </c>
      <c r="F5758">
        <v>1</v>
      </c>
      <c r="G5758" s="2">
        <v>46018</v>
      </c>
      <c r="H5758" s="2">
        <v>46019</v>
      </c>
      <c r="I5758">
        <v>265</v>
      </c>
      <c r="J5758">
        <v>108.55</v>
      </c>
      <c r="K5758">
        <v>108.55</v>
      </c>
      <c r="L5758">
        <v>0</v>
      </c>
      <c r="M5758" s="1" t="s">
        <v>21</v>
      </c>
      <c r="N5758" s="1" t="s">
        <v>22</v>
      </c>
      <c r="O5758" s="2">
        <v>46061</v>
      </c>
      <c r="P5758" s="2">
        <v>46061</v>
      </c>
      <c r="Q5758">
        <f>_xlfn.XLOOKUP(E5758,CPT!$A$2:$A$13,CPT!$D$2:$D$13)</f>
        <v>260</v>
      </c>
      <c r="R5758" s="1">
        <f>_xlfn.XLOOKUP(C5758,Contract!$A$2:$A$9,Contract!$B$2:$B$9)</f>
        <v>0.47</v>
      </c>
      <c r="S5758" s="1">
        <f t="shared" si="356"/>
        <v>122.2</v>
      </c>
      <c r="T5758" s="1">
        <f t="shared" si="357"/>
        <v>13.650000000000006</v>
      </c>
      <c r="U5758" s="1" t="str">
        <f t="shared" si="358"/>
        <v>Underpaid</v>
      </c>
      <c r="V5758" s="1" t="str">
        <f>_xlfn.XLOOKUP(C5758,Payers!$A$2:$A$9,Payers!$B$2:$B$9)</f>
        <v>Keystone Commercial PPO</v>
      </c>
      <c r="W5758" s="1" t="str">
        <f t="shared" si="359"/>
        <v>2025-12</v>
      </c>
    </row>
    <row r="5759" spans="1:23">
      <c r="A5759" s="1" t="s">
        <v>8642</v>
      </c>
      <c r="B5759" s="1" t="s">
        <v>8643</v>
      </c>
      <c r="C5759" s="1" t="s">
        <v>76</v>
      </c>
      <c r="D5759" s="1" t="s">
        <v>19</v>
      </c>
      <c r="E5759" s="1" t="s">
        <v>20</v>
      </c>
      <c r="F5759">
        <v>1</v>
      </c>
      <c r="G5759" s="2">
        <v>46008</v>
      </c>
      <c r="H5759" s="2">
        <v>46020</v>
      </c>
      <c r="I5759">
        <v>148.97999999999999</v>
      </c>
      <c r="M5759" s="1" t="s">
        <v>32</v>
      </c>
      <c r="N5759" s="1" t="s">
        <v>281</v>
      </c>
      <c r="O5759" s="2">
        <v>46053</v>
      </c>
      <c r="P5759" s="2"/>
      <c r="Q5759">
        <f>_xlfn.XLOOKUP(E5759,CPT!$A$2:$A$13,CPT!$D$2:$D$13)</f>
        <v>145</v>
      </c>
      <c r="R5759" s="1">
        <f>_xlfn.XLOOKUP(C5759,Contract!$A$2:$A$9,Contract!$B$2:$B$9)</f>
        <v>0.43</v>
      </c>
      <c r="S5759" s="1">
        <f t="shared" si="356"/>
        <v>62.35</v>
      </c>
      <c r="T5759" s="1" t="str">
        <f t="shared" si="357"/>
        <v/>
      </c>
      <c r="U5759" s="1" t="str">
        <f t="shared" si="358"/>
        <v/>
      </c>
      <c r="V5759" s="1" t="str">
        <f>_xlfn.XLOOKUP(C5759,Payers!$A$2:$A$9,Payers!$B$2:$B$9)</f>
        <v>Summit Health Commercial</v>
      </c>
      <c r="W5759" s="1" t="str">
        <f t="shared" si="359"/>
        <v>2025-12</v>
      </c>
    </row>
    <row r="5760" spans="1:23">
      <c r="A5760" s="1" t="s">
        <v>8644</v>
      </c>
      <c r="B5760" s="1" t="s">
        <v>1790</v>
      </c>
      <c r="C5760" s="1" t="s">
        <v>76</v>
      </c>
      <c r="D5760" s="1" t="s">
        <v>26</v>
      </c>
      <c r="E5760" s="1" t="s">
        <v>27</v>
      </c>
      <c r="F5760">
        <v>1</v>
      </c>
      <c r="G5760" s="2">
        <v>46231</v>
      </c>
      <c r="H5760" s="2">
        <v>46232</v>
      </c>
      <c r="I5760">
        <v>235.23</v>
      </c>
      <c r="J5760">
        <v>92.45</v>
      </c>
      <c r="K5760">
        <v>92.45</v>
      </c>
      <c r="L5760">
        <v>0</v>
      </c>
      <c r="M5760" s="1" t="s">
        <v>21</v>
      </c>
      <c r="N5760" s="1" t="s">
        <v>22</v>
      </c>
      <c r="O5760" s="2">
        <v>46256</v>
      </c>
      <c r="P5760" s="2">
        <v>46256</v>
      </c>
      <c r="Q5760">
        <f>_xlfn.XLOOKUP(E5760,CPT!$A$2:$A$13,CPT!$D$2:$D$13)</f>
        <v>240</v>
      </c>
      <c r="R5760" s="1">
        <f>_xlfn.XLOOKUP(C5760,Contract!$A$2:$A$9,Contract!$B$2:$B$9)</f>
        <v>0.43</v>
      </c>
      <c r="S5760" s="1">
        <f t="shared" si="356"/>
        <v>103.2</v>
      </c>
      <c r="T5760" s="1">
        <f t="shared" si="357"/>
        <v>10.75</v>
      </c>
      <c r="U5760" s="1" t="str">
        <f t="shared" si="358"/>
        <v>Underpaid</v>
      </c>
      <c r="V5760" s="1" t="str">
        <f>_xlfn.XLOOKUP(C5760,Payers!$A$2:$A$9,Payers!$B$2:$B$9)</f>
        <v>Summit Health Commercial</v>
      </c>
      <c r="W5760" s="1" t="str">
        <f t="shared" si="359"/>
        <v>2026-07</v>
      </c>
    </row>
    <row r="5761" spans="1:23">
      <c r="A5761" s="1" t="s">
        <v>8645</v>
      </c>
      <c r="B5761" s="1" t="s">
        <v>2841</v>
      </c>
      <c r="C5761" s="1" t="s">
        <v>76</v>
      </c>
      <c r="D5761" s="1" t="s">
        <v>19</v>
      </c>
      <c r="E5761" s="1" t="s">
        <v>41</v>
      </c>
      <c r="F5761">
        <v>1</v>
      </c>
      <c r="G5761" s="2">
        <v>46265</v>
      </c>
      <c r="H5761" s="2">
        <v>46266</v>
      </c>
      <c r="I5761">
        <v>38.67</v>
      </c>
      <c r="J5761">
        <v>15.11</v>
      </c>
      <c r="K5761">
        <v>15.11</v>
      </c>
      <c r="L5761">
        <v>0</v>
      </c>
      <c r="M5761" s="1" t="s">
        <v>21</v>
      </c>
      <c r="N5761" s="1" t="s">
        <v>22</v>
      </c>
      <c r="O5761" s="2">
        <v>46284</v>
      </c>
      <c r="P5761" s="2">
        <v>46284</v>
      </c>
      <c r="Q5761">
        <f>_xlfn.XLOOKUP(E5761,CPT!$A$2:$A$13,CPT!$D$2:$D$13)</f>
        <v>38</v>
      </c>
      <c r="R5761" s="1">
        <f>_xlfn.XLOOKUP(C5761,Contract!$A$2:$A$9,Contract!$B$2:$B$9)</f>
        <v>0.43</v>
      </c>
      <c r="S5761" s="1">
        <f t="shared" si="356"/>
        <v>16.34</v>
      </c>
      <c r="T5761" s="1">
        <f t="shared" si="357"/>
        <v>1.2300000000000004</v>
      </c>
      <c r="U5761" s="1" t="str">
        <f t="shared" si="358"/>
        <v>Underpaid</v>
      </c>
      <c r="V5761" s="1" t="str">
        <f>_xlfn.XLOOKUP(C5761,Payers!$A$2:$A$9,Payers!$B$2:$B$9)</f>
        <v>Summit Health Commercial</v>
      </c>
      <c r="W5761" s="1" t="str">
        <f t="shared" si="359"/>
        <v>2026-08</v>
      </c>
    </row>
    <row r="5762" spans="1:23">
      <c r="A5762" s="1" t="s">
        <v>8646</v>
      </c>
      <c r="B5762" s="1" t="s">
        <v>449</v>
      </c>
      <c r="C5762" s="1" t="s">
        <v>25</v>
      </c>
      <c r="D5762" s="1" t="s">
        <v>26</v>
      </c>
      <c r="E5762" s="1" t="s">
        <v>41</v>
      </c>
      <c r="F5762">
        <v>1</v>
      </c>
      <c r="G5762" s="2">
        <v>46039</v>
      </c>
      <c r="H5762" s="2">
        <v>46041</v>
      </c>
      <c r="I5762">
        <v>37.24</v>
      </c>
      <c r="J5762">
        <v>11.49</v>
      </c>
      <c r="K5762">
        <v>10.34</v>
      </c>
      <c r="L5762">
        <v>1.1499999999999999</v>
      </c>
      <c r="M5762" s="1" t="s">
        <v>21</v>
      </c>
      <c r="N5762" s="1" t="s">
        <v>22</v>
      </c>
      <c r="O5762" s="2">
        <v>46057</v>
      </c>
      <c r="P5762" s="2">
        <v>46057</v>
      </c>
      <c r="Q5762">
        <f>_xlfn.XLOOKUP(E5762,CPT!$A$2:$A$13,CPT!$D$2:$D$13)</f>
        <v>38</v>
      </c>
      <c r="R5762" s="1">
        <f>_xlfn.XLOOKUP(C5762,Contract!$A$2:$A$9,Contract!$B$2:$B$9)</f>
        <v>0.36</v>
      </c>
      <c r="S5762" s="1">
        <f t="shared" ref="S5762:S5825" si="360">ROUND(Q5762*F5762*R5762,2)</f>
        <v>13.68</v>
      </c>
      <c r="T5762" s="1">
        <f t="shared" ref="T5762:T5825" si="361">IF(M5762="Paid",S5762-J5762,"")</f>
        <v>2.1899999999999995</v>
      </c>
      <c r="U5762" s="1" t="str">
        <f t="shared" ref="U5762:U5825" si="362">IF(M5762&lt;&gt;"Paid","",IF(T5762&gt;S5762*0.05,"Underpaid","OK"))</f>
        <v>Underpaid</v>
      </c>
      <c r="V5762" s="1" t="str">
        <f>_xlfn.XLOOKUP(C5762,Payers!$A$2:$A$9,Payers!$B$2:$B$9)</f>
        <v>Medicare Part B</v>
      </c>
      <c r="W5762" s="1" t="str">
        <f t="shared" ref="W5762:W5825" si="363">TEXT(G5762,"yyyy-mm")</f>
        <v>2026-01</v>
      </c>
    </row>
    <row r="5763" spans="1:23">
      <c r="A5763" s="1" t="s">
        <v>8647</v>
      </c>
      <c r="B5763" s="1" t="s">
        <v>4559</v>
      </c>
      <c r="C5763" s="1" t="s">
        <v>25</v>
      </c>
      <c r="D5763" s="1" t="s">
        <v>19</v>
      </c>
      <c r="E5763" s="1" t="s">
        <v>57</v>
      </c>
      <c r="F5763">
        <v>1</v>
      </c>
      <c r="G5763" s="2">
        <v>46071</v>
      </c>
      <c r="H5763" s="2">
        <v>46073</v>
      </c>
      <c r="I5763">
        <v>215.1</v>
      </c>
      <c r="J5763">
        <v>86.06</v>
      </c>
      <c r="K5763">
        <v>86.06</v>
      </c>
      <c r="L5763">
        <v>0</v>
      </c>
      <c r="M5763" s="1" t="s">
        <v>21</v>
      </c>
      <c r="N5763" s="1" t="s">
        <v>22</v>
      </c>
      <c r="O5763" s="2">
        <v>46080</v>
      </c>
      <c r="P5763" s="2">
        <v>46080</v>
      </c>
      <c r="Q5763">
        <f>_xlfn.XLOOKUP(E5763,CPT!$A$2:$A$13,CPT!$D$2:$D$13)</f>
        <v>210</v>
      </c>
      <c r="R5763" s="1">
        <f>_xlfn.XLOOKUP(C5763,Contract!$A$2:$A$9,Contract!$B$2:$B$9)</f>
        <v>0.36</v>
      </c>
      <c r="S5763" s="1">
        <f t="shared" si="360"/>
        <v>75.599999999999994</v>
      </c>
      <c r="T5763" s="1">
        <f t="shared" si="361"/>
        <v>-10.460000000000008</v>
      </c>
      <c r="U5763" s="1" t="str">
        <f t="shared" si="362"/>
        <v>OK</v>
      </c>
      <c r="V5763" s="1" t="str">
        <f>_xlfn.XLOOKUP(C5763,Payers!$A$2:$A$9,Payers!$B$2:$B$9)</f>
        <v>Medicare Part B</v>
      </c>
      <c r="W5763" s="1" t="str">
        <f t="shared" si="363"/>
        <v>2026-02</v>
      </c>
    </row>
    <row r="5764" spans="1:23">
      <c r="A5764" s="1" t="s">
        <v>8648</v>
      </c>
      <c r="B5764" s="1" t="s">
        <v>8649</v>
      </c>
      <c r="C5764" s="1" t="s">
        <v>60</v>
      </c>
      <c r="D5764" s="1" t="s">
        <v>26</v>
      </c>
      <c r="E5764" s="1" t="s">
        <v>113</v>
      </c>
      <c r="F5764">
        <v>1</v>
      </c>
      <c r="G5764" s="2">
        <v>46057</v>
      </c>
      <c r="H5764" s="2">
        <v>46058</v>
      </c>
      <c r="I5764">
        <v>1058.93</v>
      </c>
      <c r="J5764">
        <v>425.91</v>
      </c>
      <c r="K5764">
        <v>425.91</v>
      </c>
      <c r="L5764">
        <v>0</v>
      </c>
      <c r="M5764" s="1" t="s">
        <v>21</v>
      </c>
      <c r="N5764" s="1" t="s">
        <v>22</v>
      </c>
      <c r="O5764" s="2">
        <v>46075</v>
      </c>
      <c r="P5764" s="2">
        <v>46075</v>
      </c>
      <c r="Q5764">
        <f>_xlfn.XLOOKUP(E5764,CPT!$A$2:$A$13,CPT!$D$2:$D$13)</f>
        <v>1050</v>
      </c>
      <c r="R5764" s="1">
        <f>_xlfn.XLOOKUP(C5764,Contract!$A$2:$A$9,Contract!$B$2:$B$9)</f>
        <v>0.45</v>
      </c>
      <c r="S5764" s="1">
        <f t="shared" si="360"/>
        <v>472.5</v>
      </c>
      <c r="T5764" s="1">
        <f t="shared" si="361"/>
        <v>46.589999999999975</v>
      </c>
      <c r="U5764" s="1" t="str">
        <f t="shared" si="362"/>
        <v>Underpaid</v>
      </c>
      <c r="V5764" s="1" t="str">
        <f>_xlfn.XLOOKUP(C5764,Payers!$A$2:$A$9,Payers!$B$2:$B$9)</f>
        <v>Blue Horizon Commercial</v>
      </c>
      <c r="W5764" s="1" t="str">
        <f t="shared" si="363"/>
        <v>2026-02</v>
      </c>
    </row>
    <row r="5765" spans="1:23">
      <c r="A5765" s="1" t="s">
        <v>8650</v>
      </c>
      <c r="B5765" s="1" t="s">
        <v>4157</v>
      </c>
      <c r="C5765" s="1" t="s">
        <v>52</v>
      </c>
      <c r="D5765" s="1" t="s">
        <v>26</v>
      </c>
      <c r="E5765" s="1" t="s">
        <v>41</v>
      </c>
      <c r="F5765">
        <v>1</v>
      </c>
      <c r="G5765" s="2">
        <v>46123</v>
      </c>
      <c r="H5765" s="2">
        <v>46128</v>
      </c>
      <c r="I5765">
        <v>37.090000000000003</v>
      </c>
      <c r="J5765">
        <v>19.88</v>
      </c>
      <c r="K5765">
        <v>19.88</v>
      </c>
      <c r="L5765">
        <v>0</v>
      </c>
      <c r="M5765" s="1" t="s">
        <v>21</v>
      </c>
      <c r="N5765" s="1" t="s">
        <v>22</v>
      </c>
      <c r="O5765" s="2">
        <v>46189</v>
      </c>
      <c r="P5765" s="2">
        <v>46189</v>
      </c>
      <c r="Q5765">
        <f>_xlfn.XLOOKUP(E5765,CPT!$A$2:$A$13,CPT!$D$2:$D$13)</f>
        <v>38</v>
      </c>
      <c r="R5765" s="1">
        <f>_xlfn.XLOOKUP(C5765,Contract!$A$2:$A$9,Contract!$B$2:$B$9)</f>
        <v>0.47</v>
      </c>
      <c r="S5765" s="1">
        <f t="shared" si="360"/>
        <v>17.86</v>
      </c>
      <c r="T5765" s="1">
        <f t="shared" si="361"/>
        <v>-2.0199999999999996</v>
      </c>
      <c r="U5765" s="1" t="str">
        <f t="shared" si="362"/>
        <v>OK</v>
      </c>
      <c r="V5765" s="1" t="str">
        <f>_xlfn.XLOOKUP(C5765,Payers!$A$2:$A$9,Payers!$B$2:$B$9)</f>
        <v>Keystone Commercial PPO</v>
      </c>
      <c r="W5765" s="1" t="str">
        <f t="shared" si="363"/>
        <v>2026-04</v>
      </c>
    </row>
    <row r="5766" spans="1:23">
      <c r="A5766" s="1" t="s">
        <v>8651</v>
      </c>
      <c r="B5766" s="1" t="s">
        <v>3565</v>
      </c>
      <c r="C5766" s="1" t="s">
        <v>47</v>
      </c>
      <c r="D5766" s="1" t="s">
        <v>37</v>
      </c>
      <c r="E5766" s="1" t="s">
        <v>57</v>
      </c>
      <c r="F5766">
        <v>1</v>
      </c>
      <c r="G5766" s="2">
        <v>46164</v>
      </c>
      <c r="H5766" s="2">
        <v>46168</v>
      </c>
      <c r="I5766">
        <v>206.46</v>
      </c>
      <c r="J5766">
        <v>63.01</v>
      </c>
      <c r="K5766">
        <v>63.01</v>
      </c>
      <c r="L5766">
        <v>0</v>
      </c>
      <c r="M5766" s="1" t="s">
        <v>21</v>
      </c>
      <c r="N5766" s="1" t="s">
        <v>22</v>
      </c>
      <c r="O5766" s="2">
        <v>46219</v>
      </c>
      <c r="P5766" s="2">
        <v>46219</v>
      </c>
      <c r="Q5766">
        <f>_xlfn.XLOOKUP(E5766,CPT!$A$2:$A$13,CPT!$D$2:$D$13)</f>
        <v>210</v>
      </c>
      <c r="R5766" s="1">
        <f>_xlfn.XLOOKUP(C5766,Contract!$A$2:$A$9,Contract!$B$2:$B$9)</f>
        <v>0.28000000000000003</v>
      </c>
      <c r="S5766" s="1">
        <f t="shared" si="360"/>
        <v>58.8</v>
      </c>
      <c r="T5766" s="1">
        <f t="shared" si="361"/>
        <v>-4.2100000000000009</v>
      </c>
      <c r="U5766" s="1" t="str">
        <f t="shared" si="362"/>
        <v>OK</v>
      </c>
      <c r="V5766" s="1" t="str">
        <f>_xlfn.XLOOKUP(C5766,Payers!$A$2:$A$9,Payers!$B$2:$B$9)</f>
        <v>Coastal Medicaid MCO</v>
      </c>
      <c r="W5766" s="1" t="str">
        <f t="shared" si="363"/>
        <v>2026-05</v>
      </c>
    </row>
    <row r="5767" spans="1:23">
      <c r="A5767" s="1" t="s">
        <v>8652</v>
      </c>
      <c r="B5767" s="1" t="s">
        <v>1988</v>
      </c>
      <c r="C5767" s="1" t="s">
        <v>79</v>
      </c>
      <c r="D5767" s="1" t="s">
        <v>37</v>
      </c>
      <c r="E5767" s="1" t="s">
        <v>57</v>
      </c>
      <c r="F5767">
        <v>1</v>
      </c>
      <c r="G5767" s="2">
        <v>46004</v>
      </c>
      <c r="H5767" s="2">
        <v>46014</v>
      </c>
      <c r="I5767">
        <v>207.34</v>
      </c>
      <c r="M5767" s="1" t="s">
        <v>69</v>
      </c>
      <c r="N5767" s="1" t="s">
        <v>22</v>
      </c>
      <c r="O5767" s="2"/>
      <c r="P5767" s="2"/>
      <c r="Q5767">
        <f>_xlfn.XLOOKUP(E5767,CPT!$A$2:$A$13,CPT!$D$2:$D$13)</f>
        <v>210</v>
      </c>
      <c r="R5767" s="1">
        <f>_xlfn.XLOOKUP(C5767,Contract!$A$2:$A$9,Contract!$B$2:$B$9)</f>
        <v>1</v>
      </c>
      <c r="S5767" s="1">
        <f t="shared" si="360"/>
        <v>210</v>
      </c>
      <c r="T5767" s="1" t="str">
        <f t="shared" si="361"/>
        <v/>
      </c>
      <c r="U5767" s="1" t="str">
        <f t="shared" si="362"/>
        <v/>
      </c>
      <c r="V5767" s="1" t="str">
        <f>_xlfn.XLOOKUP(C5767,Payers!$A$2:$A$9,Payers!$B$2:$B$9)</f>
        <v>Self-Pay</v>
      </c>
      <c r="W5767" s="1" t="str">
        <f t="shared" si="363"/>
        <v>2025-12</v>
      </c>
    </row>
    <row r="5768" spans="1:23">
      <c r="A5768" s="1" t="s">
        <v>8653</v>
      </c>
      <c r="B5768" s="1" t="s">
        <v>6679</v>
      </c>
      <c r="C5768" s="1" t="s">
        <v>52</v>
      </c>
      <c r="D5768" s="1" t="s">
        <v>30</v>
      </c>
      <c r="E5768" s="1" t="s">
        <v>20</v>
      </c>
      <c r="F5768">
        <v>1</v>
      </c>
      <c r="G5768" s="2">
        <v>46046</v>
      </c>
      <c r="H5768" s="2">
        <v>46050</v>
      </c>
      <c r="I5768">
        <v>143.75</v>
      </c>
      <c r="M5768" s="1" t="s">
        <v>32</v>
      </c>
      <c r="N5768" s="1" t="s">
        <v>168</v>
      </c>
      <c r="O5768" s="2">
        <v>46113</v>
      </c>
      <c r="P5768" s="2"/>
      <c r="Q5768">
        <f>_xlfn.XLOOKUP(E5768,CPT!$A$2:$A$13,CPT!$D$2:$D$13)</f>
        <v>145</v>
      </c>
      <c r="R5768" s="1">
        <f>_xlfn.XLOOKUP(C5768,Contract!$A$2:$A$9,Contract!$B$2:$B$9)</f>
        <v>0.47</v>
      </c>
      <c r="S5768" s="1">
        <f t="shared" si="360"/>
        <v>68.150000000000006</v>
      </c>
      <c r="T5768" s="1" t="str">
        <f t="shared" si="361"/>
        <v/>
      </c>
      <c r="U5768" s="1" t="str">
        <f t="shared" si="362"/>
        <v/>
      </c>
      <c r="V5768" s="1" t="str">
        <f>_xlfn.XLOOKUP(C5768,Payers!$A$2:$A$9,Payers!$B$2:$B$9)</f>
        <v>Keystone Commercial PPO</v>
      </c>
      <c r="W5768" s="1" t="str">
        <f t="shared" si="363"/>
        <v>2026-01</v>
      </c>
    </row>
    <row r="5769" spans="1:23">
      <c r="A5769" s="1" t="s">
        <v>8654</v>
      </c>
      <c r="B5769" s="1" t="s">
        <v>924</v>
      </c>
      <c r="C5769" s="1" t="s">
        <v>60</v>
      </c>
      <c r="D5769" s="1" t="s">
        <v>30</v>
      </c>
      <c r="E5769" s="1" t="s">
        <v>20</v>
      </c>
      <c r="F5769">
        <v>1</v>
      </c>
      <c r="G5769" s="2">
        <v>46049</v>
      </c>
      <c r="H5769" s="2">
        <v>46052</v>
      </c>
      <c r="I5769">
        <v>144.19999999999999</v>
      </c>
      <c r="M5769" s="1" t="s">
        <v>32</v>
      </c>
      <c r="N5769" s="1" t="s">
        <v>49</v>
      </c>
      <c r="O5769" s="2">
        <v>46082</v>
      </c>
      <c r="P5769" s="2"/>
      <c r="Q5769">
        <f>_xlfn.XLOOKUP(E5769,CPT!$A$2:$A$13,CPT!$D$2:$D$13)</f>
        <v>145</v>
      </c>
      <c r="R5769" s="1">
        <f>_xlfn.XLOOKUP(C5769,Contract!$A$2:$A$9,Contract!$B$2:$B$9)</f>
        <v>0.45</v>
      </c>
      <c r="S5769" s="1">
        <f t="shared" si="360"/>
        <v>65.25</v>
      </c>
      <c r="T5769" s="1" t="str">
        <f t="shared" si="361"/>
        <v/>
      </c>
      <c r="U5769" s="1" t="str">
        <f t="shared" si="362"/>
        <v/>
      </c>
      <c r="V5769" s="1" t="str">
        <f>_xlfn.XLOOKUP(C5769,Payers!$A$2:$A$9,Payers!$B$2:$B$9)</f>
        <v>Blue Horizon Commercial</v>
      </c>
      <c r="W5769" s="1" t="str">
        <f t="shared" si="363"/>
        <v>2026-01</v>
      </c>
    </row>
    <row r="5770" spans="1:23">
      <c r="A5770" s="1" t="s">
        <v>8655</v>
      </c>
      <c r="B5770" s="1" t="s">
        <v>2997</v>
      </c>
      <c r="C5770" s="1" t="s">
        <v>18</v>
      </c>
      <c r="D5770" s="1" t="s">
        <v>26</v>
      </c>
      <c r="E5770" s="1" t="s">
        <v>185</v>
      </c>
      <c r="F5770">
        <v>1</v>
      </c>
      <c r="G5770" s="2">
        <v>46003</v>
      </c>
      <c r="H5770" s="2">
        <v>46007</v>
      </c>
      <c r="I5770">
        <v>1169.67</v>
      </c>
      <c r="J5770">
        <v>506.06</v>
      </c>
      <c r="K5770">
        <v>506.06</v>
      </c>
      <c r="L5770">
        <v>0</v>
      </c>
      <c r="M5770" s="1" t="s">
        <v>21</v>
      </c>
      <c r="N5770" s="1" t="s">
        <v>22</v>
      </c>
      <c r="O5770" s="2">
        <v>46042</v>
      </c>
      <c r="P5770" s="2">
        <v>46042</v>
      </c>
      <c r="Q5770">
        <f>_xlfn.XLOOKUP(E5770,CPT!$A$2:$A$13,CPT!$D$2:$D$13)</f>
        <v>1150</v>
      </c>
      <c r="R5770" s="1">
        <f>_xlfn.XLOOKUP(C5770,Contract!$A$2:$A$9,Contract!$B$2:$B$9)</f>
        <v>0.38</v>
      </c>
      <c r="S5770" s="1">
        <f t="shared" si="360"/>
        <v>437</v>
      </c>
      <c r="T5770" s="1">
        <f t="shared" si="361"/>
        <v>-69.06</v>
      </c>
      <c r="U5770" s="1" t="str">
        <f t="shared" si="362"/>
        <v>OK</v>
      </c>
      <c r="V5770" s="1" t="str">
        <f>_xlfn.XLOOKUP(C5770,Payers!$A$2:$A$9,Payers!$B$2:$B$9)</f>
        <v>Sunshine Medicare Advantage</v>
      </c>
      <c r="W5770" s="1" t="str">
        <f t="shared" si="363"/>
        <v>2025-12</v>
      </c>
    </row>
    <row r="5771" spans="1:23">
      <c r="A5771" s="1" t="s">
        <v>8656</v>
      </c>
      <c r="B5771" s="1" t="s">
        <v>961</v>
      </c>
      <c r="C5771" s="1" t="s">
        <v>60</v>
      </c>
      <c r="D5771" s="1" t="s">
        <v>37</v>
      </c>
      <c r="E5771" s="1" t="s">
        <v>38</v>
      </c>
      <c r="F5771">
        <v>10</v>
      </c>
      <c r="G5771" s="2">
        <v>46060</v>
      </c>
      <c r="H5771" s="2">
        <v>46065</v>
      </c>
      <c r="I5771">
        <v>14241.44</v>
      </c>
      <c r="J5771">
        <v>6786.79</v>
      </c>
      <c r="K5771">
        <v>6786.79</v>
      </c>
      <c r="L5771">
        <v>0</v>
      </c>
      <c r="M5771" s="1" t="s">
        <v>21</v>
      </c>
      <c r="N5771" s="1" t="s">
        <v>22</v>
      </c>
      <c r="O5771" s="2">
        <v>46093</v>
      </c>
      <c r="P5771" s="2">
        <v>46093</v>
      </c>
      <c r="Q5771">
        <f>_xlfn.XLOOKUP(E5771,CPT!$A$2:$A$13,CPT!$D$2:$D$13)</f>
        <v>1450</v>
      </c>
      <c r="R5771" s="1">
        <f>_xlfn.XLOOKUP(C5771,Contract!$A$2:$A$9,Contract!$B$2:$B$9)</f>
        <v>0.45</v>
      </c>
      <c r="S5771" s="1">
        <f t="shared" si="360"/>
        <v>6525</v>
      </c>
      <c r="T5771" s="1">
        <f t="shared" si="361"/>
        <v>-261.78999999999996</v>
      </c>
      <c r="U5771" s="1" t="str">
        <f t="shared" si="362"/>
        <v>OK</v>
      </c>
      <c r="V5771" s="1" t="str">
        <f>_xlfn.XLOOKUP(C5771,Payers!$A$2:$A$9,Payers!$B$2:$B$9)</f>
        <v>Blue Horizon Commercial</v>
      </c>
      <c r="W5771" s="1" t="str">
        <f t="shared" si="363"/>
        <v>2026-02</v>
      </c>
    </row>
    <row r="5772" spans="1:23">
      <c r="A5772" s="1" t="s">
        <v>8657</v>
      </c>
      <c r="B5772" s="1" t="s">
        <v>6960</v>
      </c>
      <c r="C5772" s="1" t="s">
        <v>60</v>
      </c>
      <c r="D5772" s="1" t="s">
        <v>19</v>
      </c>
      <c r="E5772" s="1" t="s">
        <v>20</v>
      </c>
      <c r="F5772">
        <v>1</v>
      </c>
      <c r="G5772" s="2">
        <v>46235</v>
      </c>
      <c r="H5772" s="2">
        <v>46245</v>
      </c>
      <c r="I5772">
        <v>142.35</v>
      </c>
      <c r="M5772" s="1" t="s">
        <v>32</v>
      </c>
      <c r="N5772" s="1" t="s">
        <v>281</v>
      </c>
      <c r="O5772" s="2">
        <v>46274</v>
      </c>
      <c r="P5772" s="2"/>
      <c r="Q5772">
        <f>_xlfn.XLOOKUP(E5772,CPT!$A$2:$A$13,CPT!$D$2:$D$13)</f>
        <v>145</v>
      </c>
      <c r="R5772" s="1">
        <f>_xlfn.XLOOKUP(C5772,Contract!$A$2:$A$9,Contract!$B$2:$B$9)</f>
        <v>0.45</v>
      </c>
      <c r="S5772" s="1">
        <f t="shared" si="360"/>
        <v>65.25</v>
      </c>
      <c r="T5772" s="1" t="str">
        <f t="shared" si="361"/>
        <v/>
      </c>
      <c r="U5772" s="1" t="str">
        <f t="shared" si="362"/>
        <v/>
      </c>
      <c r="V5772" s="1" t="str">
        <f>_xlfn.XLOOKUP(C5772,Payers!$A$2:$A$9,Payers!$B$2:$B$9)</f>
        <v>Blue Horizon Commercial</v>
      </c>
      <c r="W5772" s="1" t="str">
        <f t="shared" si="363"/>
        <v>2026-08</v>
      </c>
    </row>
    <row r="5773" spans="1:23">
      <c r="A5773" s="1" t="s">
        <v>8658</v>
      </c>
      <c r="B5773" s="1" t="s">
        <v>17</v>
      </c>
      <c r="C5773" s="1" t="s">
        <v>76</v>
      </c>
      <c r="D5773" s="1" t="s">
        <v>37</v>
      </c>
      <c r="E5773" s="1" t="s">
        <v>57</v>
      </c>
      <c r="F5773">
        <v>1</v>
      </c>
      <c r="G5773" s="2">
        <v>46111</v>
      </c>
      <c r="H5773" s="2">
        <v>46112</v>
      </c>
      <c r="I5773">
        <v>214.27</v>
      </c>
      <c r="J5773">
        <v>100.75</v>
      </c>
      <c r="K5773">
        <v>80.599999999999994</v>
      </c>
      <c r="L5773">
        <v>20.149999999999999</v>
      </c>
      <c r="M5773" s="1" t="s">
        <v>21</v>
      </c>
      <c r="N5773" s="1" t="s">
        <v>22</v>
      </c>
      <c r="O5773" s="2">
        <v>46149</v>
      </c>
      <c r="P5773" s="2">
        <v>46149</v>
      </c>
      <c r="Q5773">
        <f>_xlfn.XLOOKUP(E5773,CPT!$A$2:$A$13,CPT!$D$2:$D$13)</f>
        <v>210</v>
      </c>
      <c r="R5773" s="1">
        <f>_xlfn.XLOOKUP(C5773,Contract!$A$2:$A$9,Contract!$B$2:$B$9)</f>
        <v>0.43</v>
      </c>
      <c r="S5773" s="1">
        <f t="shared" si="360"/>
        <v>90.3</v>
      </c>
      <c r="T5773" s="1">
        <f t="shared" si="361"/>
        <v>-10.450000000000003</v>
      </c>
      <c r="U5773" s="1" t="str">
        <f t="shared" si="362"/>
        <v>OK</v>
      </c>
      <c r="V5773" s="1" t="str">
        <f>_xlfn.XLOOKUP(C5773,Payers!$A$2:$A$9,Payers!$B$2:$B$9)</f>
        <v>Summit Health Commercial</v>
      </c>
      <c r="W5773" s="1" t="str">
        <f t="shared" si="363"/>
        <v>2026-03</v>
      </c>
    </row>
    <row r="5774" spans="1:23">
      <c r="A5774" s="1" t="s">
        <v>8659</v>
      </c>
      <c r="B5774" s="1" t="s">
        <v>4362</v>
      </c>
      <c r="C5774" s="1" t="s">
        <v>25</v>
      </c>
      <c r="D5774" s="1" t="s">
        <v>19</v>
      </c>
      <c r="E5774" s="1" t="s">
        <v>20</v>
      </c>
      <c r="F5774">
        <v>1</v>
      </c>
      <c r="G5774" s="2">
        <v>46045</v>
      </c>
      <c r="H5774" s="2">
        <v>46052</v>
      </c>
      <c r="I5774">
        <v>148.55000000000001</v>
      </c>
      <c r="J5774">
        <v>51.25</v>
      </c>
      <c r="K5774">
        <v>46.13</v>
      </c>
      <c r="L5774">
        <v>5.12</v>
      </c>
      <c r="M5774" s="1" t="s">
        <v>21</v>
      </c>
      <c r="N5774" s="1" t="s">
        <v>22</v>
      </c>
      <c r="O5774" s="2">
        <v>46073</v>
      </c>
      <c r="P5774" s="2">
        <v>46073</v>
      </c>
      <c r="Q5774">
        <f>_xlfn.XLOOKUP(E5774,CPT!$A$2:$A$13,CPT!$D$2:$D$13)</f>
        <v>145</v>
      </c>
      <c r="R5774" s="1">
        <f>_xlfn.XLOOKUP(C5774,Contract!$A$2:$A$9,Contract!$B$2:$B$9)</f>
        <v>0.36</v>
      </c>
      <c r="S5774" s="1">
        <f t="shared" si="360"/>
        <v>52.2</v>
      </c>
      <c r="T5774" s="1">
        <f t="shared" si="361"/>
        <v>0.95000000000000284</v>
      </c>
      <c r="U5774" s="1" t="str">
        <f t="shared" si="362"/>
        <v>OK</v>
      </c>
      <c r="V5774" s="1" t="str">
        <f>_xlfn.XLOOKUP(C5774,Payers!$A$2:$A$9,Payers!$B$2:$B$9)</f>
        <v>Medicare Part B</v>
      </c>
      <c r="W5774" s="1" t="str">
        <f t="shared" si="363"/>
        <v>2026-01</v>
      </c>
    </row>
    <row r="5775" spans="1:23">
      <c r="A5775" s="1" t="s">
        <v>8660</v>
      </c>
      <c r="B5775" s="1" t="s">
        <v>1461</v>
      </c>
      <c r="C5775" s="1" t="s">
        <v>76</v>
      </c>
      <c r="D5775" s="1" t="s">
        <v>26</v>
      </c>
      <c r="E5775" s="1" t="s">
        <v>57</v>
      </c>
      <c r="F5775">
        <v>1</v>
      </c>
      <c r="G5775" s="2">
        <v>46213</v>
      </c>
      <c r="H5775" s="2">
        <v>46219</v>
      </c>
      <c r="I5775">
        <v>207.54</v>
      </c>
      <c r="M5775" s="1" t="s">
        <v>32</v>
      </c>
      <c r="N5775" s="1" t="s">
        <v>168</v>
      </c>
      <c r="O5775" s="2">
        <v>46262</v>
      </c>
      <c r="P5775" s="2"/>
      <c r="Q5775">
        <f>_xlfn.XLOOKUP(E5775,CPT!$A$2:$A$13,CPT!$D$2:$D$13)</f>
        <v>210</v>
      </c>
      <c r="R5775" s="1">
        <f>_xlfn.XLOOKUP(C5775,Contract!$A$2:$A$9,Contract!$B$2:$B$9)</f>
        <v>0.43</v>
      </c>
      <c r="S5775" s="1">
        <f t="shared" si="360"/>
        <v>90.3</v>
      </c>
      <c r="T5775" s="1" t="str">
        <f t="shared" si="361"/>
        <v/>
      </c>
      <c r="U5775" s="1" t="str">
        <f t="shared" si="362"/>
        <v/>
      </c>
      <c r="V5775" s="1" t="str">
        <f>_xlfn.XLOOKUP(C5775,Payers!$A$2:$A$9,Payers!$B$2:$B$9)</f>
        <v>Summit Health Commercial</v>
      </c>
      <c r="W5775" s="1" t="str">
        <f t="shared" si="363"/>
        <v>2026-07</v>
      </c>
    </row>
    <row r="5776" spans="1:23">
      <c r="A5776" s="1" t="s">
        <v>8661</v>
      </c>
      <c r="B5776" s="1" t="s">
        <v>2856</v>
      </c>
      <c r="C5776" s="1" t="s">
        <v>60</v>
      </c>
      <c r="D5776" s="1" t="s">
        <v>26</v>
      </c>
      <c r="E5776" s="1" t="s">
        <v>41</v>
      </c>
      <c r="F5776">
        <v>1</v>
      </c>
      <c r="G5776" s="2">
        <v>46269</v>
      </c>
      <c r="H5776" s="2">
        <v>46270</v>
      </c>
      <c r="I5776">
        <v>38.31</v>
      </c>
      <c r="M5776" s="1" t="s">
        <v>69</v>
      </c>
      <c r="N5776" s="1" t="s">
        <v>22</v>
      </c>
      <c r="O5776" s="2"/>
      <c r="P5776" s="2"/>
      <c r="Q5776">
        <f>_xlfn.XLOOKUP(E5776,CPT!$A$2:$A$13,CPT!$D$2:$D$13)</f>
        <v>38</v>
      </c>
      <c r="R5776" s="1">
        <f>_xlfn.XLOOKUP(C5776,Contract!$A$2:$A$9,Contract!$B$2:$B$9)</f>
        <v>0.45</v>
      </c>
      <c r="S5776" s="1">
        <f t="shared" si="360"/>
        <v>17.100000000000001</v>
      </c>
      <c r="T5776" s="1" t="str">
        <f t="shared" si="361"/>
        <v/>
      </c>
      <c r="U5776" s="1" t="str">
        <f t="shared" si="362"/>
        <v/>
      </c>
      <c r="V5776" s="1" t="str">
        <f>_xlfn.XLOOKUP(C5776,Payers!$A$2:$A$9,Payers!$B$2:$B$9)</f>
        <v>Blue Horizon Commercial</v>
      </c>
      <c r="W5776" s="1" t="str">
        <f t="shared" si="363"/>
        <v>2026-09</v>
      </c>
    </row>
    <row r="5777" spans="1:23">
      <c r="A5777" s="1" t="s">
        <v>8662</v>
      </c>
      <c r="B5777" s="1" t="s">
        <v>1715</v>
      </c>
      <c r="C5777" s="1" t="s">
        <v>52</v>
      </c>
      <c r="D5777" s="1" t="s">
        <v>30</v>
      </c>
      <c r="E5777" s="1" t="s">
        <v>20</v>
      </c>
      <c r="F5777">
        <v>1</v>
      </c>
      <c r="G5777" s="2">
        <v>45951</v>
      </c>
      <c r="H5777" s="2">
        <v>45954</v>
      </c>
      <c r="I5777">
        <v>149.02000000000001</v>
      </c>
      <c r="J5777">
        <v>81.13</v>
      </c>
      <c r="K5777">
        <v>64.900000000000006</v>
      </c>
      <c r="L5777">
        <v>16.23</v>
      </c>
      <c r="M5777" s="1" t="s">
        <v>21</v>
      </c>
      <c r="N5777" s="1" t="s">
        <v>22</v>
      </c>
      <c r="O5777" s="2">
        <v>45995</v>
      </c>
      <c r="P5777" s="2">
        <v>45995</v>
      </c>
      <c r="Q5777">
        <f>_xlfn.XLOOKUP(E5777,CPT!$A$2:$A$13,CPT!$D$2:$D$13)</f>
        <v>145</v>
      </c>
      <c r="R5777" s="1">
        <f>_xlfn.XLOOKUP(C5777,Contract!$A$2:$A$9,Contract!$B$2:$B$9)</f>
        <v>0.47</v>
      </c>
      <c r="S5777" s="1">
        <f t="shared" si="360"/>
        <v>68.150000000000006</v>
      </c>
      <c r="T5777" s="1">
        <f t="shared" si="361"/>
        <v>-12.97999999999999</v>
      </c>
      <c r="U5777" s="1" t="str">
        <f t="shared" si="362"/>
        <v>OK</v>
      </c>
      <c r="V5777" s="1" t="str">
        <f>_xlfn.XLOOKUP(C5777,Payers!$A$2:$A$9,Payers!$B$2:$B$9)</f>
        <v>Keystone Commercial PPO</v>
      </c>
      <c r="W5777" s="1" t="str">
        <f t="shared" si="363"/>
        <v>2025-10</v>
      </c>
    </row>
    <row r="5778" spans="1:23">
      <c r="A5778" s="1" t="s">
        <v>8663</v>
      </c>
      <c r="B5778" s="1" t="s">
        <v>2764</v>
      </c>
      <c r="C5778" s="1" t="s">
        <v>52</v>
      </c>
      <c r="D5778" s="1" t="s">
        <v>26</v>
      </c>
      <c r="E5778" s="1" t="s">
        <v>44</v>
      </c>
      <c r="F5778">
        <v>1</v>
      </c>
      <c r="G5778" s="2">
        <v>46250</v>
      </c>
      <c r="H5778" s="2">
        <v>46253</v>
      </c>
      <c r="I5778">
        <v>4835.2700000000004</v>
      </c>
      <c r="M5778" s="1" t="s">
        <v>69</v>
      </c>
      <c r="N5778" s="1" t="s">
        <v>22</v>
      </c>
      <c r="O5778" s="2"/>
      <c r="P5778" s="2"/>
      <c r="Q5778">
        <f>_xlfn.XLOOKUP(E5778,CPT!$A$2:$A$13,CPT!$D$2:$D$13)</f>
        <v>4800</v>
      </c>
      <c r="R5778" s="1">
        <f>_xlfn.XLOOKUP(C5778,Contract!$A$2:$A$9,Contract!$B$2:$B$9)</f>
        <v>0.47</v>
      </c>
      <c r="S5778" s="1">
        <f t="shared" si="360"/>
        <v>2256</v>
      </c>
      <c r="T5778" s="1" t="str">
        <f t="shared" si="361"/>
        <v/>
      </c>
      <c r="U5778" s="1" t="str">
        <f t="shared" si="362"/>
        <v/>
      </c>
      <c r="V5778" s="1" t="str">
        <f>_xlfn.XLOOKUP(C5778,Payers!$A$2:$A$9,Payers!$B$2:$B$9)</f>
        <v>Keystone Commercial PPO</v>
      </c>
      <c r="W5778" s="1" t="str">
        <f t="shared" si="363"/>
        <v>2026-08</v>
      </c>
    </row>
    <row r="5779" spans="1:23">
      <c r="A5779" s="1" t="s">
        <v>8664</v>
      </c>
      <c r="B5779" s="1" t="s">
        <v>8665</v>
      </c>
      <c r="C5779" s="1" t="s">
        <v>76</v>
      </c>
      <c r="D5779" s="1" t="s">
        <v>19</v>
      </c>
      <c r="E5779" s="1" t="s">
        <v>41</v>
      </c>
      <c r="F5779">
        <v>1</v>
      </c>
      <c r="G5779" s="2">
        <v>46150</v>
      </c>
      <c r="H5779" s="2">
        <v>46151</v>
      </c>
      <c r="I5779">
        <v>38.14</v>
      </c>
      <c r="J5779">
        <v>16.66</v>
      </c>
      <c r="K5779">
        <v>14.99</v>
      </c>
      <c r="L5779">
        <v>1.67</v>
      </c>
      <c r="M5779" s="1" t="s">
        <v>21</v>
      </c>
      <c r="N5779" s="1" t="s">
        <v>22</v>
      </c>
      <c r="O5779" s="2">
        <v>46195</v>
      </c>
      <c r="P5779" s="2">
        <v>46195</v>
      </c>
      <c r="Q5779">
        <f>_xlfn.XLOOKUP(E5779,CPT!$A$2:$A$13,CPT!$D$2:$D$13)</f>
        <v>38</v>
      </c>
      <c r="R5779" s="1">
        <f>_xlfn.XLOOKUP(C5779,Contract!$A$2:$A$9,Contract!$B$2:$B$9)</f>
        <v>0.43</v>
      </c>
      <c r="S5779" s="1">
        <f t="shared" si="360"/>
        <v>16.34</v>
      </c>
      <c r="T5779" s="1">
        <f t="shared" si="361"/>
        <v>-0.32000000000000028</v>
      </c>
      <c r="U5779" s="1" t="str">
        <f t="shared" si="362"/>
        <v>OK</v>
      </c>
      <c r="V5779" s="1" t="str">
        <f>_xlfn.XLOOKUP(C5779,Payers!$A$2:$A$9,Payers!$B$2:$B$9)</f>
        <v>Summit Health Commercial</v>
      </c>
      <c r="W5779" s="1" t="str">
        <f t="shared" si="363"/>
        <v>2026-05</v>
      </c>
    </row>
    <row r="5780" spans="1:23">
      <c r="A5780" s="1" t="s">
        <v>8666</v>
      </c>
      <c r="B5780" s="1" t="s">
        <v>715</v>
      </c>
      <c r="C5780" s="1" t="s">
        <v>60</v>
      </c>
      <c r="D5780" s="1" t="s">
        <v>37</v>
      </c>
      <c r="E5780" s="1" t="s">
        <v>38</v>
      </c>
      <c r="F5780">
        <v>10</v>
      </c>
      <c r="G5780" s="2">
        <v>45940</v>
      </c>
      <c r="H5780" s="2">
        <v>45943</v>
      </c>
      <c r="I5780">
        <v>14602.93</v>
      </c>
      <c r="J5780">
        <v>5973.51</v>
      </c>
      <c r="K5780">
        <v>5973.51</v>
      </c>
      <c r="L5780">
        <v>0</v>
      </c>
      <c r="M5780" s="1" t="s">
        <v>21</v>
      </c>
      <c r="N5780" s="1" t="s">
        <v>22</v>
      </c>
      <c r="O5780" s="2">
        <v>45975</v>
      </c>
      <c r="P5780" s="2">
        <v>45975</v>
      </c>
      <c r="Q5780">
        <f>_xlfn.XLOOKUP(E5780,CPT!$A$2:$A$13,CPT!$D$2:$D$13)</f>
        <v>1450</v>
      </c>
      <c r="R5780" s="1">
        <f>_xlfn.XLOOKUP(C5780,Contract!$A$2:$A$9,Contract!$B$2:$B$9)</f>
        <v>0.45</v>
      </c>
      <c r="S5780" s="1">
        <f t="shared" si="360"/>
        <v>6525</v>
      </c>
      <c r="T5780" s="1">
        <f t="shared" si="361"/>
        <v>551.48999999999978</v>
      </c>
      <c r="U5780" s="1" t="str">
        <f t="shared" si="362"/>
        <v>Underpaid</v>
      </c>
      <c r="V5780" s="1" t="str">
        <f>_xlfn.XLOOKUP(C5780,Payers!$A$2:$A$9,Payers!$B$2:$B$9)</f>
        <v>Blue Horizon Commercial</v>
      </c>
      <c r="W5780" s="1" t="str">
        <f t="shared" si="363"/>
        <v>2025-10</v>
      </c>
    </row>
    <row r="5781" spans="1:23">
      <c r="A5781" s="1" t="s">
        <v>8667</v>
      </c>
      <c r="B5781" s="1" t="s">
        <v>8668</v>
      </c>
      <c r="C5781" s="1" t="s">
        <v>60</v>
      </c>
      <c r="D5781" s="1" t="s">
        <v>30</v>
      </c>
      <c r="E5781" s="1" t="s">
        <v>91</v>
      </c>
      <c r="F5781">
        <v>4</v>
      </c>
      <c r="G5781" s="2">
        <v>46247</v>
      </c>
      <c r="H5781" s="2">
        <v>46249</v>
      </c>
      <c r="I5781">
        <v>230.45</v>
      </c>
      <c r="J5781">
        <v>115.72</v>
      </c>
      <c r="K5781">
        <v>115.72</v>
      </c>
      <c r="L5781">
        <v>0</v>
      </c>
      <c r="M5781" s="1" t="s">
        <v>21</v>
      </c>
      <c r="N5781" s="1" t="s">
        <v>22</v>
      </c>
      <c r="O5781" s="2">
        <v>46271</v>
      </c>
      <c r="P5781" s="2">
        <v>46271</v>
      </c>
      <c r="Q5781">
        <f>_xlfn.XLOOKUP(E5781,CPT!$A$2:$A$13,CPT!$D$2:$D$13)</f>
        <v>58</v>
      </c>
      <c r="R5781" s="1">
        <f>_xlfn.XLOOKUP(C5781,Contract!$A$2:$A$9,Contract!$B$2:$B$9)</f>
        <v>0.45</v>
      </c>
      <c r="S5781" s="1">
        <f t="shared" si="360"/>
        <v>104.4</v>
      </c>
      <c r="T5781" s="1">
        <f t="shared" si="361"/>
        <v>-11.319999999999993</v>
      </c>
      <c r="U5781" s="1" t="str">
        <f t="shared" si="362"/>
        <v>OK</v>
      </c>
      <c r="V5781" s="1" t="str">
        <f>_xlfn.XLOOKUP(C5781,Payers!$A$2:$A$9,Payers!$B$2:$B$9)</f>
        <v>Blue Horizon Commercial</v>
      </c>
      <c r="W5781" s="1" t="str">
        <f t="shared" si="363"/>
        <v>2026-08</v>
      </c>
    </row>
    <row r="5782" spans="1:23">
      <c r="A5782" s="1" t="s">
        <v>8669</v>
      </c>
      <c r="B5782" s="1" t="s">
        <v>5630</v>
      </c>
      <c r="C5782" s="1" t="s">
        <v>36</v>
      </c>
      <c r="D5782" s="1" t="s">
        <v>37</v>
      </c>
      <c r="E5782" s="1" t="s">
        <v>38</v>
      </c>
      <c r="F5782">
        <v>30</v>
      </c>
      <c r="G5782" s="2">
        <v>45937</v>
      </c>
      <c r="H5782" s="2">
        <v>45944</v>
      </c>
      <c r="I5782">
        <v>44379.28</v>
      </c>
      <c r="M5782" s="1" t="s">
        <v>32</v>
      </c>
      <c r="N5782" s="1" t="s">
        <v>315</v>
      </c>
      <c r="O5782" s="2">
        <v>45966</v>
      </c>
      <c r="P5782" s="2"/>
      <c r="Q5782">
        <f>_xlfn.XLOOKUP(E5782,CPT!$A$2:$A$13,CPT!$D$2:$D$13)</f>
        <v>1450</v>
      </c>
      <c r="R5782" s="1">
        <f>_xlfn.XLOOKUP(C5782,Contract!$A$2:$A$9,Contract!$B$2:$B$9)</f>
        <v>0.27</v>
      </c>
      <c r="S5782" s="1">
        <f t="shared" si="360"/>
        <v>11745</v>
      </c>
      <c r="T5782" s="1" t="str">
        <f t="shared" si="361"/>
        <v/>
      </c>
      <c r="U5782" s="1" t="str">
        <f t="shared" si="362"/>
        <v/>
      </c>
      <c r="V5782" s="1" t="str">
        <f>_xlfn.XLOOKUP(C5782,Payers!$A$2:$A$9,Payers!$B$2:$B$9)</f>
        <v>Florida Medicaid</v>
      </c>
      <c r="W5782" s="1" t="str">
        <f t="shared" si="363"/>
        <v>2025-10</v>
      </c>
    </row>
    <row r="5783" spans="1:23">
      <c r="A5783" s="1" t="s">
        <v>8670</v>
      </c>
      <c r="B5783" s="1" t="s">
        <v>375</v>
      </c>
      <c r="C5783" s="1" t="s">
        <v>18</v>
      </c>
      <c r="D5783" s="1" t="s">
        <v>26</v>
      </c>
      <c r="E5783" s="1" t="s">
        <v>41</v>
      </c>
      <c r="F5783">
        <v>1</v>
      </c>
      <c r="G5783" s="2">
        <v>45968</v>
      </c>
      <c r="H5783" s="2">
        <v>45989</v>
      </c>
      <c r="I5783">
        <v>37.630000000000003</v>
      </c>
      <c r="J5783">
        <v>15.87</v>
      </c>
      <c r="K5783">
        <v>14.28</v>
      </c>
      <c r="L5783">
        <v>1.59</v>
      </c>
      <c r="M5783" s="1" t="s">
        <v>21</v>
      </c>
      <c r="N5783" s="1" t="s">
        <v>22</v>
      </c>
      <c r="O5783" s="2">
        <v>46059</v>
      </c>
      <c r="P5783" s="2">
        <v>46059</v>
      </c>
      <c r="Q5783">
        <f>_xlfn.XLOOKUP(E5783,CPT!$A$2:$A$13,CPT!$D$2:$D$13)</f>
        <v>38</v>
      </c>
      <c r="R5783" s="1">
        <f>_xlfn.XLOOKUP(C5783,Contract!$A$2:$A$9,Contract!$B$2:$B$9)</f>
        <v>0.38</v>
      </c>
      <c r="S5783" s="1">
        <f t="shared" si="360"/>
        <v>14.44</v>
      </c>
      <c r="T5783" s="1">
        <f t="shared" si="361"/>
        <v>-1.4299999999999997</v>
      </c>
      <c r="U5783" s="1" t="str">
        <f t="shared" si="362"/>
        <v>OK</v>
      </c>
      <c r="V5783" s="1" t="str">
        <f>_xlfn.XLOOKUP(C5783,Payers!$A$2:$A$9,Payers!$B$2:$B$9)</f>
        <v>Sunshine Medicare Advantage</v>
      </c>
      <c r="W5783" s="1" t="str">
        <f t="shared" si="363"/>
        <v>2025-11</v>
      </c>
    </row>
    <row r="5784" spans="1:23">
      <c r="A5784" s="1" t="s">
        <v>8671</v>
      </c>
      <c r="B5784" s="1" t="s">
        <v>2661</v>
      </c>
      <c r="C5784" s="1" t="s">
        <v>47</v>
      </c>
      <c r="D5784" s="1" t="s">
        <v>37</v>
      </c>
      <c r="E5784" s="1" t="s">
        <v>57</v>
      </c>
      <c r="F5784">
        <v>1</v>
      </c>
      <c r="G5784" s="2">
        <v>46029</v>
      </c>
      <c r="H5784" s="2">
        <v>46036</v>
      </c>
      <c r="I5784">
        <v>211.54</v>
      </c>
      <c r="J5784">
        <v>60.76</v>
      </c>
      <c r="K5784">
        <v>60.76</v>
      </c>
      <c r="L5784">
        <v>0</v>
      </c>
      <c r="M5784" s="1" t="s">
        <v>21</v>
      </c>
      <c r="N5784" s="1" t="s">
        <v>22</v>
      </c>
      <c r="O5784" s="2">
        <v>46078</v>
      </c>
      <c r="P5784" s="2">
        <v>46078</v>
      </c>
      <c r="Q5784">
        <f>_xlfn.XLOOKUP(E5784,CPT!$A$2:$A$13,CPT!$D$2:$D$13)</f>
        <v>210</v>
      </c>
      <c r="R5784" s="1">
        <f>_xlfn.XLOOKUP(C5784,Contract!$A$2:$A$9,Contract!$B$2:$B$9)</f>
        <v>0.28000000000000003</v>
      </c>
      <c r="S5784" s="1">
        <f t="shared" si="360"/>
        <v>58.8</v>
      </c>
      <c r="T5784" s="1">
        <f t="shared" si="361"/>
        <v>-1.9600000000000009</v>
      </c>
      <c r="U5784" s="1" t="str">
        <f t="shared" si="362"/>
        <v>OK</v>
      </c>
      <c r="V5784" s="1" t="str">
        <f>_xlfn.XLOOKUP(C5784,Payers!$A$2:$A$9,Payers!$B$2:$B$9)</f>
        <v>Coastal Medicaid MCO</v>
      </c>
      <c r="W5784" s="1" t="str">
        <f t="shared" si="363"/>
        <v>2026-01</v>
      </c>
    </row>
    <row r="5785" spans="1:23">
      <c r="A5785" s="1" t="s">
        <v>8672</v>
      </c>
      <c r="B5785" s="1" t="s">
        <v>7383</v>
      </c>
      <c r="C5785" s="1" t="s">
        <v>76</v>
      </c>
      <c r="D5785" s="1" t="s">
        <v>19</v>
      </c>
      <c r="E5785" s="1" t="s">
        <v>20</v>
      </c>
      <c r="F5785">
        <v>1</v>
      </c>
      <c r="G5785" s="2">
        <v>45932</v>
      </c>
      <c r="H5785" s="2">
        <v>45933</v>
      </c>
      <c r="I5785">
        <v>142.38</v>
      </c>
      <c r="M5785" s="1" t="s">
        <v>32</v>
      </c>
      <c r="N5785" s="1" t="s">
        <v>33</v>
      </c>
      <c r="O5785" s="2">
        <v>45961</v>
      </c>
      <c r="P5785" s="2"/>
      <c r="Q5785">
        <f>_xlfn.XLOOKUP(E5785,CPT!$A$2:$A$13,CPT!$D$2:$D$13)</f>
        <v>145</v>
      </c>
      <c r="R5785" s="1">
        <f>_xlfn.XLOOKUP(C5785,Contract!$A$2:$A$9,Contract!$B$2:$B$9)</f>
        <v>0.43</v>
      </c>
      <c r="S5785" s="1">
        <f t="shared" si="360"/>
        <v>62.35</v>
      </c>
      <c r="T5785" s="1" t="str">
        <f t="shared" si="361"/>
        <v/>
      </c>
      <c r="U5785" s="1" t="str">
        <f t="shared" si="362"/>
        <v/>
      </c>
      <c r="V5785" s="1" t="str">
        <f>_xlfn.XLOOKUP(C5785,Payers!$A$2:$A$9,Payers!$B$2:$B$9)</f>
        <v>Summit Health Commercial</v>
      </c>
      <c r="W5785" s="1" t="str">
        <f t="shared" si="363"/>
        <v>2025-10</v>
      </c>
    </row>
    <row r="5786" spans="1:23">
      <c r="A5786" s="1" t="s">
        <v>8673</v>
      </c>
      <c r="B5786" s="1" t="s">
        <v>472</v>
      </c>
      <c r="C5786" s="1" t="s">
        <v>60</v>
      </c>
      <c r="D5786" s="1" t="s">
        <v>26</v>
      </c>
      <c r="E5786" s="1" t="s">
        <v>41</v>
      </c>
      <c r="F5786">
        <v>1</v>
      </c>
      <c r="G5786" s="2">
        <v>46219</v>
      </c>
      <c r="H5786" s="2">
        <v>46224</v>
      </c>
      <c r="I5786">
        <v>37.04</v>
      </c>
      <c r="J5786">
        <v>16.46</v>
      </c>
      <c r="K5786">
        <v>16.46</v>
      </c>
      <c r="L5786">
        <v>0</v>
      </c>
      <c r="M5786" s="1" t="s">
        <v>21</v>
      </c>
      <c r="N5786" s="1" t="s">
        <v>22</v>
      </c>
      <c r="O5786" s="2">
        <v>46264</v>
      </c>
      <c r="P5786" s="2">
        <v>46264</v>
      </c>
      <c r="Q5786">
        <f>_xlfn.XLOOKUP(E5786,CPT!$A$2:$A$13,CPT!$D$2:$D$13)</f>
        <v>38</v>
      </c>
      <c r="R5786" s="1">
        <f>_xlfn.XLOOKUP(C5786,Contract!$A$2:$A$9,Contract!$B$2:$B$9)</f>
        <v>0.45</v>
      </c>
      <c r="S5786" s="1">
        <f t="shared" si="360"/>
        <v>17.100000000000001</v>
      </c>
      <c r="T5786" s="1">
        <f t="shared" si="361"/>
        <v>0.64000000000000057</v>
      </c>
      <c r="U5786" s="1" t="str">
        <f t="shared" si="362"/>
        <v>OK</v>
      </c>
      <c r="V5786" s="1" t="str">
        <f>_xlfn.XLOOKUP(C5786,Payers!$A$2:$A$9,Payers!$B$2:$B$9)</f>
        <v>Blue Horizon Commercial</v>
      </c>
      <c r="W5786" s="1" t="str">
        <f t="shared" si="363"/>
        <v>2026-07</v>
      </c>
    </row>
    <row r="5787" spans="1:23">
      <c r="A5787" s="1" t="s">
        <v>8674</v>
      </c>
      <c r="B5787" s="1" t="s">
        <v>762</v>
      </c>
      <c r="C5787" s="1" t="s">
        <v>25</v>
      </c>
      <c r="D5787" s="1" t="s">
        <v>26</v>
      </c>
      <c r="E5787" s="1" t="s">
        <v>27</v>
      </c>
      <c r="F5787">
        <v>1</v>
      </c>
      <c r="G5787" s="2">
        <v>46268</v>
      </c>
      <c r="H5787" s="2">
        <v>46269</v>
      </c>
      <c r="I5787">
        <v>241.45</v>
      </c>
      <c r="J5787">
        <v>92.42</v>
      </c>
      <c r="K5787">
        <v>83.18</v>
      </c>
      <c r="L5787">
        <v>9.24</v>
      </c>
      <c r="M5787" s="1" t="s">
        <v>21</v>
      </c>
      <c r="N5787" s="1" t="s">
        <v>22</v>
      </c>
      <c r="O5787" s="2">
        <v>46294</v>
      </c>
      <c r="P5787" s="2">
        <v>46294</v>
      </c>
      <c r="Q5787">
        <f>_xlfn.XLOOKUP(E5787,CPT!$A$2:$A$13,CPT!$D$2:$D$13)</f>
        <v>240</v>
      </c>
      <c r="R5787" s="1">
        <f>_xlfn.XLOOKUP(C5787,Contract!$A$2:$A$9,Contract!$B$2:$B$9)</f>
        <v>0.36</v>
      </c>
      <c r="S5787" s="1">
        <f t="shared" si="360"/>
        <v>86.4</v>
      </c>
      <c r="T5787" s="1">
        <f t="shared" si="361"/>
        <v>-6.019999999999996</v>
      </c>
      <c r="U5787" s="1" t="str">
        <f t="shared" si="362"/>
        <v>OK</v>
      </c>
      <c r="V5787" s="1" t="str">
        <f>_xlfn.XLOOKUP(C5787,Payers!$A$2:$A$9,Payers!$B$2:$B$9)</f>
        <v>Medicare Part B</v>
      </c>
      <c r="W5787" s="1" t="str">
        <f t="shared" si="363"/>
        <v>2026-09</v>
      </c>
    </row>
    <row r="5788" spans="1:23">
      <c r="A5788" s="1" t="s">
        <v>8675</v>
      </c>
      <c r="B5788" s="1" t="s">
        <v>8676</v>
      </c>
      <c r="C5788" s="1" t="s">
        <v>47</v>
      </c>
      <c r="D5788" s="1" t="s">
        <v>26</v>
      </c>
      <c r="E5788" s="1" t="s">
        <v>27</v>
      </c>
      <c r="F5788">
        <v>1</v>
      </c>
      <c r="G5788" s="2">
        <v>46005</v>
      </c>
      <c r="H5788" s="2">
        <v>46008</v>
      </c>
      <c r="I5788">
        <v>236.23</v>
      </c>
      <c r="J5788">
        <v>71.319999999999993</v>
      </c>
      <c r="K5788">
        <v>57.06</v>
      </c>
      <c r="L5788">
        <v>14.26</v>
      </c>
      <c r="M5788" s="1" t="s">
        <v>21</v>
      </c>
      <c r="N5788" s="1" t="s">
        <v>22</v>
      </c>
      <c r="O5788" s="2">
        <v>46116</v>
      </c>
      <c r="P5788" s="2">
        <v>46116</v>
      </c>
      <c r="Q5788">
        <f>_xlfn.XLOOKUP(E5788,CPT!$A$2:$A$13,CPT!$D$2:$D$13)</f>
        <v>240</v>
      </c>
      <c r="R5788" s="1">
        <f>_xlfn.XLOOKUP(C5788,Contract!$A$2:$A$9,Contract!$B$2:$B$9)</f>
        <v>0.28000000000000003</v>
      </c>
      <c r="S5788" s="1">
        <f t="shared" si="360"/>
        <v>67.2</v>
      </c>
      <c r="T5788" s="1">
        <f t="shared" si="361"/>
        <v>-4.1199999999999903</v>
      </c>
      <c r="U5788" s="1" t="str">
        <f t="shared" si="362"/>
        <v>OK</v>
      </c>
      <c r="V5788" s="1" t="str">
        <f>_xlfn.XLOOKUP(C5788,Payers!$A$2:$A$9,Payers!$B$2:$B$9)</f>
        <v>Coastal Medicaid MCO</v>
      </c>
      <c r="W5788" s="1" t="str">
        <f t="shared" si="363"/>
        <v>2025-12</v>
      </c>
    </row>
    <row r="5789" spans="1:23">
      <c r="A5789" s="1" t="s">
        <v>8677</v>
      </c>
      <c r="B5789" s="1" t="s">
        <v>2579</v>
      </c>
      <c r="C5789" s="1" t="s">
        <v>25</v>
      </c>
      <c r="D5789" s="1" t="s">
        <v>37</v>
      </c>
      <c r="E5789" s="1" t="s">
        <v>57</v>
      </c>
      <c r="F5789">
        <v>1</v>
      </c>
      <c r="G5789" s="2">
        <v>46036</v>
      </c>
      <c r="H5789" s="2">
        <v>46037</v>
      </c>
      <c r="I5789">
        <v>212.68</v>
      </c>
      <c r="J5789">
        <v>82.45</v>
      </c>
      <c r="K5789">
        <v>82.45</v>
      </c>
      <c r="L5789">
        <v>0</v>
      </c>
      <c r="M5789" s="1" t="s">
        <v>21</v>
      </c>
      <c r="N5789" s="1" t="s">
        <v>22</v>
      </c>
      <c r="O5789" s="2">
        <v>46056</v>
      </c>
      <c r="P5789" s="2">
        <v>46056</v>
      </c>
      <c r="Q5789">
        <f>_xlfn.XLOOKUP(E5789,CPT!$A$2:$A$13,CPT!$D$2:$D$13)</f>
        <v>210</v>
      </c>
      <c r="R5789" s="1">
        <f>_xlfn.XLOOKUP(C5789,Contract!$A$2:$A$9,Contract!$B$2:$B$9)</f>
        <v>0.36</v>
      </c>
      <c r="S5789" s="1">
        <f t="shared" si="360"/>
        <v>75.599999999999994</v>
      </c>
      <c r="T5789" s="1">
        <f t="shared" si="361"/>
        <v>-6.8500000000000085</v>
      </c>
      <c r="U5789" s="1" t="str">
        <f t="shared" si="362"/>
        <v>OK</v>
      </c>
      <c r="V5789" s="1" t="str">
        <f>_xlfn.XLOOKUP(C5789,Payers!$A$2:$A$9,Payers!$B$2:$B$9)</f>
        <v>Medicare Part B</v>
      </c>
      <c r="W5789" s="1" t="str">
        <f t="shared" si="363"/>
        <v>2026-01</v>
      </c>
    </row>
    <row r="5790" spans="1:23">
      <c r="A5790" s="1" t="s">
        <v>8678</v>
      </c>
      <c r="B5790" s="1" t="s">
        <v>1254</v>
      </c>
      <c r="C5790" s="1" t="s">
        <v>18</v>
      </c>
      <c r="D5790" s="1" t="s">
        <v>26</v>
      </c>
      <c r="E5790" s="1" t="s">
        <v>185</v>
      </c>
      <c r="F5790">
        <v>1</v>
      </c>
      <c r="G5790" s="2">
        <v>45933</v>
      </c>
      <c r="H5790" s="2">
        <v>45948</v>
      </c>
      <c r="I5790">
        <v>1178.6199999999999</v>
      </c>
      <c r="J5790">
        <v>464.78</v>
      </c>
      <c r="K5790">
        <v>371.82</v>
      </c>
      <c r="L5790">
        <v>92.96</v>
      </c>
      <c r="M5790" s="1" t="s">
        <v>21</v>
      </c>
      <c r="N5790" s="1" t="s">
        <v>22</v>
      </c>
      <c r="O5790" s="2">
        <v>46004</v>
      </c>
      <c r="P5790" s="2">
        <v>46004</v>
      </c>
      <c r="Q5790">
        <f>_xlfn.XLOOKUP(E5790,CPT!$A$2:$A$13,CPT!$D$2:$D$13)</f>
        <v>1150</v>
      </c>
      <c r="R5790" s="1">
        <f>_xlfn.XLOOKUP(C5790,Contract!$A$2:$A$9,Contract!$B$2:$B$9)</f>
        <v>0.38</v>
      </c>
      <c r="S5790" s="1">
        <f t="shared" si="360"/>
        <v>437</v>
      </c>
      <c r="T5790" s="1">
        <f t="shared" si="361"/>
        <v>-27.779999999999973</v>
      </c>
      <c r="U5790" s="1" t="str">
        <f t="shared" si="362"/>
        <v>OK</v>
      </c>
      <c r="V5790" s="1" t="str">
        <f>_xlfn.XLOOKUP(C5790,Payers!$A$2:$A$9,Payers!$B$2:$B$9)</f>
        <v>Sunshine Medicare Advantage</v>
      </c>
      <c r="W5790" s="1" t="str">
        <f t="shared" si="363"/>
        <v>2025-10</v>
      </c>
    </row>
    <row r="5791" spans="1:23">
      <c r="A5791" s="1" t="s">
        <v>8679</v>
      </c>
      <c r="B5791" s="1" t="s">
        <v>2049</v>
      </c>
      <c r="C5791" s="1" t="s">
        <v>25</v>
      </c>
      <c r="D5791" s="1" t="s">
        <v>26</v>
      </c>
      <c r="E5791" s="1" t="s">
        <v>41</v>
      </c>
      <c r="F5791">
        <v>1</v>
      </c>
      <c r="G5791" s="2">
        <v>46289</v>
      </c>
      <c r="H5791" s="2">
        <v>46292</v>
      </c>
      <c r="I5791">
        <v>36.94</v>
      </c>
      <c r="M5791" s="1" t="s">
        <v>69</v>
      </c>
      <c r="N5791" s="1" t="s">
        <v>22</v>
      </c>
      <c r="O5791" s="2"/>
      <c r="P5791" s="2"/>
      <c r="Q5791">
        <f>_xlfn.XLOOKUP(E5791,CPT!$A$2:$A$13,CPT!$D$2:$D$13)</f>
        <v>38</v>
      </c>
      <c r="R5791" s="1">
        <f>_xlfn.XLOOKUP(C5791,Contract!$A$2:$A$9,Contract!$B$2:$B$9)</f>
        <v>0.36</v>
      </c>
      <c r="S5791" s="1">
        <f t="shared" si="360"/>
        <v>13.68</v>
      </c>
      <c r="T5791" s="1" t="str">
        <f t="shared" si="361"/>
        <v/>
      </c>
      <c r="U5791" s="1" t="str">
        <f t="shared" si="362"/>
        <v/>
      </c>
      <c r="V5791" s="1" t="str">
        <f>_xlfn.XLOOKUP(C5791,Payers!$A$2:$A$9,Payers!$B$2:$B$9)</f>
        <v>Medicare Part B</v>
      </c>
      <c r="W5791" s="1" t="str">
        <f t="shared" si="363"/>
        <v>2026-09</v>
      </c>
    </row>
    <row r="5792" spans="1:23">
      <c r="A5792" s="1" t="s">
        <v>8680</v>
      </c>
      <c r="B5792" s="1" t="s">
        <v>3690</v>
      </c>
      <c r="C5792" s="1" t="s">
        <v>18</v>
      </c>
      <c r="D5792" s="1" t="s">
        <v>19</v>
      </c>
      <c r="E5792" s="1" t="s">
        <v>41</v>
      </c>
      <c r="F5792">
        <v>1</v>
      </c>
      <c r="G5792" s="2">
        <v>46054</v>
      </c>
      <c r="H5792" s="2">
        <v>46055</v>
      </c>
      <c r="I5792">
        <v>37.090000000000003</v>
      </c>
      <c r="J5792">
        <v>13.35</v>
      </c>
      <c r="K5792">
        <v>12.02</v>
      </c>
      <c r="L5792">
        <v>1.33</v>
      </c>
      <c r="M5792" s="1" t="s">
        <v>21</v>
      </c>
      <c r="N5792" s="1" t="s">
        <v>22</v>
      </c>
      <c r="O5792" s="2">
        <v>46113</v>
      </c>
      <c r="P5792" s="2">
        <v>46113</v>
      </c>
      <c r="Q5792">
        <f>_xlfn.XLOOKUP(E5792,CPT!$A$2:$A$13,CPT!$D$2:$D$13)</f>
        <v>38</v>
      </c>
      <c r="R5792" s="1">
        <f>_xlfn.XLOOKUP(C5792,Contract!$A$2:$A$9,Contract!$B$2:$B$9)</f>
        <v>0.38</v>
      </c>
      <c r="S5792" s="1">
        <f t="shared" si="360"/>
        <v>14.44</v>
      </c>
      <c r="T5792" s="1">
        <f t="shared" si="361"/>
        <v>1.0899999999999999</v>
      </c>
      <c r="U5792" s="1" t="str">
        <f t="shared" si="362"/>
        <v>Underpaid</v>
      </c>
      <c r="V5792" s="1" t="str">
        <f>_xlfn.XLOOKUP(C5792,Payers!$A$2:$A$9,Payers!$B$2:$B$9)</f>
        <v>Sunshine Medicare Advantage</v>
      </c>
      <c r="W5792" s="1" t="str">
        <f t="shared" si="363"/>
        <v>2026-02</v>
      </c>
    </row>
    <row r="5793" spans="1:23">
      <c r="A5793" s="1" t="s">
        <v>8681</v>
      </c>
      <c r="B5793" s="1" t="s">
        <v>2295</v>
      </c>
      <c r="C5793" s="1" t="s">
        <v>76</v>
      </c>
      <c r="D5793" s="1" t="s">
        <v>26</v>
      </c>
      <c r="E5793" s="1" t="s">
        <v>57</v>
      </c>
      <c r="F5793">
        <v>1</v>
      </c>
      <c r="G5793" s="2">
        <v>46053</v>
      </c>
      <c r="H5793" s="2">
        <v>46054</v>
      </c>
      <c r="I5793">
        <v>205.77</v>
      </c>
      <c r="J5793">
        <v>87.46</v>
      </c>
      <c r="K5793">
        <v>87.46</v>
      </c>
      <c r="L5793">
        <v>0</v>
      </c>
      <c r="M5793" s="1" t="s">
        <v>21</v>
      </c>
      <c r="N5793" s="1" t="s">
        <v>22</v>
      </c>
      <c r="O5793" s="2">
        <v>46098</v>
      </c>
      <c r="P5793" s="2">
        <v>46098</v>
      </c>
      <c r="Q5793">
        <f>_xlfn.XLOOKUP(E5793,CPT!$A$2:$A$13,CPT!$D$2:$D$13)</f>
        <v>210</v>
      </c>
      <c r="R5793" s="1">
        <f>_xlfn.XLOOKUP(C5793,Contract!$A$2:$A$9,Contract!$B$2:$B$9)</f>
        <v>0.43</v>
      </c>
      <c r="S5793" s="1">
        <f t="shared" si="360"/>
        <v>90.3</v>
      </c>
      <c r="T5793" s="1">
        <f t="shared" si="361"/>
        <v>2.8400000000000034</v>
      </c>
      <c r="U5793" s="1" t="str">
        <f t="shared" si="362"/>
        <v>OK</v>
      </c>
      <c r="V5793" s="1" t="str">
        <f>_xlfn.XLOOKUP(C5793,Payers!$A$2:$A$9,Payers!$B$2:$B$9)</f>
        <v>Summit Health Commercial</v>
      </c>
      <c r="W5793" s="1" t="str">
        <f t="shared" si="363"/>
        <v>2026-01</v>
      </c>
    </row>
    <row r="5794" spans="1:23">
      <c r="A5794" s="1" t="s">
        <v>8682</v>
      </c>
      <c r="B5794" s="1" t="s">
        <v>8683</v>
      </c>
      <c r="C5794" s="1" t="s">
        <v>52</v>
      </c>
      <c r="D5794" s="1" t="s">
        <v>37</v>
      </c>
      <c r="E5794" s="1" t="s">
        <v>38</v>
      </c>
      <c r="F5794">
        <v>10</v>
      </c>
      <c r="G5794" s="2">
        <v>46124</v>
      </c>
      <c r="H5794" s="2">
        <v>46131</v>
      </c>
      <c r="I5794">
        <v>14235.56</v>
      </c>
      <c r="J5794">
        <v>6639.13</v>
      </c>
      <c r="K5794">
        <v>5975.22</v>
      </c>
      <c r="L5794">
        <v>663.91</v>
      </c>
      <c r="M5794" s="1" t="s">
        <v>21</v>
      </c>
      <c r="N5794" s="1" t="s">
        <v>22</v>
      </c>
      <c r="O5794" s="2">
        <v>46179</v>
      </c>
      <c r="P5794" s="2">
        <v>46179</v>
      </c>
      <c r="Q5794">
        <f>_xlfn.XLOOKUP(E5794,CPT!$A$2:$A$13,CPT!$D$2:$D$13)</f>
        <v>1450</v>
      </c>
      <c r="R5794" s="1">
        <f>_xlfn.XLOOKUP(C5794,Contract!$A$2:$A$9,Contract!$B$2:$B$9)</f>
        <v>0.47</v>
      </c>
      <c r="S5794" s="1">
        <f t="shared" si="360"/>
        <v>6815</v>
      </c>
      <c r="T5794" s="1">
        <f t="shared" si="361"/>
        <v>175.86999999999989</v>
      </c>
      <c r="U5794" s="1" t="str">
        <f t="shared" si="362"/>
        <v>OK</v>
      </c>
      <c r="V5794" s="1" t="str">
        <f>_xlfn.XLOOKUP(C5794,Payers!$A$2:$A$9,Payers!$B$2:$B$9)</f>
        <v>Keystone Commercial PPO</v>
      </c>
      <c r="W5794" s="1" t="str">
        <f t="shared" si="363"/>
        <v>2026-04</v>
      </c>
    </row>
    <row r="5795" spans="1:23">
      <c r="A5795" s="1" t="s">
        <v>8684</v>
      </c>
      <c r="B5795" s="1" t="s">
        <v>5619</v>
      </c>
      <c r="C5795" s="1" t="s">
        <v>52</v>
      </c>
      <c r="D5795" s="1" t="s">
        <v>30</v>
      </c>
      <c r="E5795" s="1" t="s">
        <v>91</v>
      </c>
      <c r="F5795">
        <v>2</v>
      </c>
      <c r="G5795" s="2">
        <v>45973</v>
      </c>
      <c r="H5795" s="2">
        <v>45980</v>
      </c>
      <c r="I5795">
        <v>119.02</v>
      </c>
      <c r="J5795">
        <v>60.56</v>
      </c>
      <c r="K5795">
        <v>60.56</v>
      </c>
      <c r="L5795">
        <v>0</v>
      </c>
      <c r="M5795" s="1" t="s">
        <v>21</v>
      </c>
      <c r="N5795" s="1" t="s">
        <v>22</v>
      </c>
      <c r="O5795" s="2">
        <v>46024</v>
      </c>
      <c r="P5795" s="2">
        <v>46024</v>
      </c>
      <c r="Q5795">
        <f>_xlfn.XLOOKUP(E5795,CPT!$A$2:$A$13,CPT!$D$2:$D$13)</f>
        <v>58</v>
      </c>
      <c r="R5795" s="1">
        <f>_xlfn.XLOOKUP(C5795,Contract!$A$2:$A$9,Contract!$B$2:$B$9)</f>
        <v>0.47</v>
      </c>
      <c r="S5795" s="1">
        <f t="shared" si="360"/>
        <v>54.52</v>
      </c>
      <c r="T5795" s="1">
        <f t="shared" si="361"/>
        <v>-6.0399999999999991</v>
      </c>
      <c r="U5795" s="1" t="str">
        <f t="shared" si="362"/>
        <v>OK</v>
      </c>
      <c r="V5795" s="1" t="str">
        <f>_xlfn.XLOOKUP(C5795,Payers!$A$2:$A$9,Payers!$B$2:$B$9)</f>
        <v>Keystone Commercial PPO</v>
      </c>
      <c r="W5795" s="1" t="str">
        <f t="shared" si="363"/>
        <v>2025-11</v>
      </c>
    </row>
    <row r="5796" spans="1:23">
      <c r="A5796" s="1" t="s">
        <v>8685</v>
      </c>
      <c r="B5796" s="1" t="s">
        <v>335</v>
      </c>
      <c r="C5796" s="1" t="s">
        <v>76</v>
      </c>
      <c r="D5796" s="1" t="s">
        <v>26</v>
      </c>
      <c r="E5796" s="1" t="s">
        <v>88</v>
      </c>
      <c r="F5796">
        <v>1</v>
      </c>
      <c r="G5796" s="2">
        <v>46154</v>
      </c>
      <c r="H5796" s="2">
        <v>46157</v>
      </c>
      <c r="I5796">
        <v>263.35000000000002</v>
      </c>
      <c r="J5796">
        <v>123.97</v>
      </c>
      <c r="K5796">
        <v>99.18</v>
      </c>
      <c r="L5796">
        <v>24.79</v>
      </c>
      <c r="M5796" s="1" t="s">
        <v>21</v>
      </c>
      <c r="N5796" s="1" t="s">
        <v>22</v>
      </c>
      <c r="O5796" s="2">
        <v>46177</v>
      </c>
      <c r="P5796" s="2">
        <v>46177</v>
      </c>
      <c r="Q5796">
        <f>_xlfn.XLOOKUP(E5796,CPT!$A$2:$A$13,CPT!$D$2:$D$13)</f>
        <v>260</v>
      </c>
      <c r="R5796" s="1">
        <f>_xlfn.XLOOKUP(C5796,Contract!$A$2:$A$9,Contract!$B$2:$B$9)</f>
        <v>0.43</v>
      </c>
      <c r="S5796" s="1">
        <f t="shared" si="360"/>
        <v>111.8</v>
      </c>
      <c r="T5796" s="1">
        <f t="shared" si="361"/>
        <v>-12.170000000000002</v>
      </c>
      <c r="U5796" s="1" t="str">
        <f t="shared" si="362"/>
        <v>OK</v>
      </c>
      <c r="V5796" s="1" t="str">
        <f>_xlfn.XLOOKUP(C5796,Payers!$A$2:$A$9,Payers!$B$2:$B$9)</f>
        <v>Summit Health Commercial</v>
      </c>
      <c r="W5796" s="1" t="str">
        <f t="shared" si="363"/>
        <v>2026-05</v>
      </c>
    </row>
    <row r="5797" spans="1:23">
      <c r="A5797" s="1" t="s">
        <v>8686</v>
      </c>
      <c r="B5797" s="1" t="s">
        <v>4831</v>
      </c>
      <c r="C5797" s="1" t="s">
        <v>36</v>
      </c>
      <c r="D5797" s="1" t="s">
        <v>19</v>
      </c>
      <c r="E5797" s="1" t="s">
        <v>57</v>
      </c>
      <c r="F5797">
        <v>1</v>
      </c>
      <c r="G5797" s="2">
        <v>46267</v>
      </c>
      <c r="H5797" s="2">
        <v>46269</v>
      </c>
      <c r="I5797">
        <v>207.68</v>
      </c>
      <c r="M5797" s="1" t="s">
        <v>69</v>
      </c>
      <c r="N5797" s="1" t="s">
        <v>22</v>
      </c>
      <c r="O5797" s="2"/>
      <c r="P5797" s="2"/>
      <c r="Q5797">
        <f>_xlfn.XLOOKUP(E5797,CPT!$A$2:$A$13,CPT!$D$2:$D$13)</f>
        <v>210</v>
      </c>
      <c r="R5797" s="1">
        <f>_xlfn.XLOOKUP(C5797,Contract!$A$2:$A$9,Contract!$B$2:$B$9)</f>
        <v>0.27</v>
      </c>
      <c r="S5797" s="1">
        <f t="shared" si="360"/>
        <v>56.7</v>
      </c>
      <c r="T5797" s="1" t="str">
        <f t="shared" si="361"/>
        <v/>
      </c>
      <c r="U5797" s="1" t="str">
        <f t="shared" si="362"/>
        <v/>
      </c>
      <c r="V5797" s="1" t="str">
        <f>_xlfn.XLOOKUP(C5797,Payers!$A$2:$A$9,Payers!$B$2:$B$9)</f>
        <v>Florida Medicaid</v>
      </c>
      <c r="W5797" s="1" t="str">
        <f t="shared" si="363"/>
        <v>2026-09</v>
      </c>
    </row>
    <row r="5798" spans="1:23">
      <c r="A5798" s="1" t="s">
        <v>8687</v>
      </c>
      <c r="B5798" s="1" t="s">
        <v>6376</v>
      </c>
      <c r="C5798" s="1" t="s">
        <v>36</v>
      </c>
      <c r="D5798" s="1" t="s">
        <v>19</v>
      </c>
      <c r="E5798" s="1" t="s">
        <v>41</v>
      </c>
      <c r="F5798">
        <v>1</v>
      </c>
      <c r="G5798" s="2">
        <v>45983</v>
      </c>
      <c r="H5798" s="2">
        <v>45990</v>
      </c>
      <c r="I5798">
        <v>38.74</v>
      </c>
      <c r="J5798">
        <v>10.61</v>
      </c>
      <c r="K5798">
        <v>8.49</v>
      </c>
      <c r="L5798">
        <v>2.12</v>
      </c>
      <c r="M5798" s="1" t="s">
        <v>21</v>
      </c>
      <c r="N5798" s="1" t="s">
        <v>22</v>
      </c>
      <c r="O5798" s="2">
        <v>46045</v>
      </c>
      <c r="P5798" s="2">
        <v>46045</v>
      </c>
      <c r="Q5798">
        <f>_xlfn.XLOOKUP(E5798,CPT!$A$2:$A$13,CPT!$D$2:$D$13)</f>
        <v>38</v>
      </c>
      <c r="R5798" s="1">
        <f>_xlfn.XLOOKUP(C5798,Contract!$A$2:$A$9,Contract!$B$2:$B$9)</f>
        <v>0.27</v>
      </c>
      <c r="S5798" s="1">
        <f t="shared" si="360"/>
        <v>10.26</v>
      </c>
      <c r="T5798" s="1">
        <f t="shared" si="361"/>
        <v>-0.34999999999999964</v>
      </c>
      <c r="U5798" s="1" t="str">
        <f t="shared" si="362"/>
        <v>OK</v>
      </c>
      <c r="V5798" s="1" t="str">
        <f>_xlfn.XLOOKUP(C5798,Payers!$A$2:$A$9,Payers!$B$2:$B$9)</f>
        <v>Florida Medicaid</v>
      </c>
      <c r="W5798" s="1" t="str">
        <f t="shared" si="363"/>
        <v>2025-11</v>
      </c>
    </row>
    <row r="5799" spans="1:23">
      <c r="A5799" s="1" t="s">
        <v>8688</v>
      </c>
      <c r="B5799" s="1" t="s">
        <v>4362</v>
      </c>
      <c r="C5799" s="1" t="s">
        <v>79</v>
      </c>
      <c r="D5799" s="1" t="s">
        <v>19</v>
      </c>
      <c r="E5799" s="1" t="s">
        <v>57</v>
      </c>
      <c r="F5799">
        <v>1</v>
      </c>
      <c r="G5799" s="2">
        <v>46037</v>
      </c>
      <c r="H5799" s="2">
        <v>46039</v>
      </c>
      <c r="I5799">
        <v>215.45</v>
      </c>
      <c r="J5799">
        <v>215.45</v>
      </c>
      <c r="K5799">
        <v>215.45</v>
      </c>
      <c r="L5799">
        <v>0</v>
      </c>
      <c r="M5799" s="1" t="s">
        <v>21</v>
      </c>
      <c r="N5799" s="1" t="s">
        <v>22</v>
      </c>
      <c r="O5799" s="2">
        <v>46115</v>
      </c>
      <c r="P5799" s="2">
        <v>46115</v>
      </c>
      <c r="Q5799">
        <f>_xlfn.XLOOKUP(E5799,CPT!$A$2:$A$13,CPT!$D$2:$D$13)</f>
        <v>210</v>
      </c>
      <c r="R5799" s="1">
        <f>_xlfn.XLOOKUP(C5799,Contract!$A$2:$A$9,Contract!$B$2:$B$9)</f>
        <v>1</v>
      </c>
      <c r="S5799" s="1">
        <f t="shared" si="360"/>
        <v>210</v>
      </c>
      <c r="T5799" s="1">
        <f t="shared" si="361"/>
        <v>-5.4499999999999886</v>
      </c>
      <c r="U5799" s="1" t="str">
        <f t="shared" si="362"/>
        <v>OK</v>
      </c>
      <c r="V5799" s="1" t="str">
        <f>_xlfn.XLOOKUP(C5799,Payers!$A$2:$A$9,Payers!$B$2:$B$9)</f>
        <v>Self-Pay</v>
      </c>
      <c r="W5799" s="1" t="str">
        <f t="shared" si="363"/>
        <v>2026-01</v>
      </c>
    </row>
    <row r="5800" spans="1:23">
      <c r="A5800" s="1" t="s">
        <v>8689</v>
      </c>
      <c r="B5800" s="1" t="s">
        <v>8690</v>
      </c>
      <c r="C5800" s="1" t="s">
        <v>60</v>
      </c>
      <c r="D5800" s="1" t="s">
        <v>19</v>
      </c>
      <c r="E5800" s="1" t="s">
        <v>57</v>
      </c>
      <c r="F5800">
        <v>1</v>
      </c>
      <c r="G5800" s="2">
        <v>46003</v>
      </c>
      <c r="H5800" s="2">
        <v>46005</v>
      </c>
      <c r="I5800">
        <v>211.97</v>
      </c>
      <c r="J5800">
        <v>103.15</v>
      </c>
      <c r="K5800">
        <v>103.15</v>
      </c>
      <c r="L5800">
        <v>0</v>
      </c>
      <c r="M5800" s="1" t="s">
        <v>21</v>
      </c>
      <c r="N5800" s="1" t="s">
        <v>22</v>
      </c>
      <c r="O5800" s="2">
        <v>46037</v>
      </c>
      <c r="P5800" s="2">
        <v>46037</v>
      </c>
      <c r="Q5800">
        <f>_xlfn.XLOOKUP(E5800,CPT!$A$2:$A$13,CPT!$D$2:$D$13)</f>
        <v>210</v>
      </c>
      <c r="R5800" s="1">
        <f>_xlfn.XLOOKUP(C5800,Contract!$A$2:$A$9,Contract!$B$2:$B$9)</f>
        <v>0.45</v>
      </c>
      <c r="S5800" s="1">
        <f t="shared" si="360"/>
        <v>94.5</v>
      </c>
      <c r="T5800" s="1">
        <f t="shared" si="361"/>
        <v>-8.6500000000000057</v>
      </c>
      <c r="U5800" s="1" t="str">
        <f t="shared" si="362"/>
        <v>OK</v>
      </c>
      <c r="V5800" s="1" t="str">
        <f>_xlfn.XLOOKUP(C5800,Payers!$A$2:$A$9,Payers!$B$2:$B$9)</f>
        <v>Blue Horizon Commercial</v>
      </c>
      <c r="W5800" s="1" t="str">
        <f t="shared" si="363"/>
        <v>2025-12</v>
      </c>
    </row>
    <row r="5801" spans="1:23">
      <c r="A5801" s="1" t="s">
        <v>8691</v>
      </c>
      <c r="B5801" s="1" t="s">
        <v>3616</v>
      </c>
      <c r="C5801" s="1" t="s">
        <v>79</v>
      </c>
      <c r="D5801" s="1" t="s">
        <v>26</v>
      </c>
      <c r="E5801" s="1" t="s">
        <v>185</v>
      </c>
      <c r="F5801">
        <v>1</v>
      </c>
      <c r="G5801" s="2">
        <v>46003</v>
      </c>
      <c r="H5801" s="2">
        <v>46004</v>
      </c>
      <c r="I5801">
        <v>1128.77</v>
      </c>
      <c r="M5801" s="1" t="s">
        <v>69</v>
      </c>
      <c r="N5801" s="1" t="s">
        <v>22</v>
      </c>
      <c r="O5801" s="2"/>
      <c r="P5801" s="2"/>
      <c r="Q5801">
        <f>_xlfn.XLOOKUP(E5801,CPT!$A$2:$A$13,CPT!$D$2:$D$13)</f>
        <v>1150</v>
      </c>
      <c r="R5801" s="1">
        <f>_xlfn.XLOOKUP(C5801,Contract!$A$2:$A$9,Contract!$B$2:$B$9)</f>
        <v>1</v>
      </c>
      <c r="S5801" s="1">
        <f t="shared" si="360"/>
        <v>1150</v>
      </c>
      <c r="T5801" s="1" t="str">
        <f t="shared" si="361"/>
        <v/>
      </c>
      <c r="U5801" s="1" t="str">
        <f t="shared" si="362"/>
        <v/>
      </c>
      <c r="V5801" s="1" t="str">
        <f>_xlfn.XLOOKUP(C5801,Payers!$A$2:$A$9,Payers!$B$2:$B$9)</f>
        <v>Self-Pay</v>
      </c>
      <c r="W5801" s="1" t="str">
        <f t="shared" si="363"/>
        <v>2025-12</v>
      </c>
    </row>
    <row r="5802" spans="1:23">
      <c r="A5802" s="1" t="s">
        <v>8692</v>
      </c>
      <c r="B5802" s="1" t="s">
        <v>1316</v>
      </c>
      <c r="C5802" s="1" t="s">
        <v>52</v>
      </c>
      <c r="D5802" s="1" t="s">
        <v>37</v>
      </c>
      <c r="E5802" s="1" t="s">
        <v>48</v>
      </c>
      <c r="F5802">
        <v>1</v>
      </c>
      <c r="G5802" s="2">
        <v>46137</v>
      </c>
      <c r="H5802" s="2">
        <v>46142</v>
      </c>
      <c r="I5802">
        <v>410.12</v>
      </c>
      <c r="J5802">
        <v>171.13</v>
      </c>
      <c r="K5802">
        <v>171.13</v>
      </c>
      <c r="L5802">
        <v>0</v>
      </c>
      <c r="M5802" s="1" t="s">
        <v>21</v>
      </c>
      <c r="N5802" s="1" t="s">
        <v>22</v>
      </c>
      <c r="O5802" s="2">
        <v>46186</v>
      </c>
      <c r="P5802" s="2">
        <v>46186</v>
      </c>
      <c r="Q5802">
        <f>_xlfn.XLOOKUP(E5802,CPT!$A$2:$A$13,CPT!$D$2:$D$13)</f>
        <v>420</v>
      </c>
      <c r="R5802" s="1">
        <f>_xlfn.XLOOKUP(C5802,Contract!$A$2:$A$9,Contract!$B$2:$B$9)</f>
        <v>0.47</v>
      </c>
      <c r="S5802" s="1">
        <f t="shared" si="360"/>
        <v>197.4</v>
      </c>
      <c r="T5802" s="1">
        <f t="shared" si="361"/>
        <v>26.27000000000001</v>
      </c>
      <c r="U5802" s="1" t="str">
        <f t="shared" si="362"/>
        <v>Underpaid</v>
      </c>
      <c r="V5802" s="1" t="str">
        <f>_xlfn.XLOOKUP(C5802,Payers!$A$2:$A$9,Payers!$B$2:$B$9)</f>
        <v>Keystone Commercial PPO</v>
      </c>
      <c r="W5802" s="1" t="str">
        <f t="shared" si="363"/>
        <v>2026-04</v>
      </c>
    </row>
    <row r="5803" spans="1:23">
      <c r="A5803" s="1" t="s">
        <v>8693</v>
      </c>
      <c r="B5803" s="1" t="s">
        <v>8060</v>
      </c>
      <c r="C5803" s="1" t="s">
        <v>79</v>
      </c>
      <c r="D5803" s="1" t="s">
        <v>19</v>
      </c>
      <c r="E5803" s="1" t="s">
        <v>57</v>
      </c>
      <c r="F5803">
        <v>1</v>
      </c>
      <c r="G5803" s="2">
        <v>46205</v>
      </c>
      <c r="H5803" s="2">
        <v>46216</v>
      </c>
      <c r="I5803">
        <v>214.19</v>
      </c>
      <c r="M5803" s="1" t="s">
        <v>69</v>
      </c>
      <c r="N5803" s="1" t="s">
        <v>22</v>
      </c>
      <c r="O5803" s="2"/>
      <c r="P5803" s="2"/>
      <c r="Q5803">
        <f>_xlfn.XLOOKUP(E5803,CPT!$A$2:$A$13,CPT!$D$2:$D$13)</f>
        <v>210</v>
      </c>
      <c r="R5803" s="1">
        <f>_xlfn.XLOOKUP(C5803,Contract!$A$2:$A$9,Contract!$B$2:$B$9)</f>
        <v>1</v>
      </c>
      <c r="S5803" s="1">
        <f t="shared" si="360"/>
        <v>210</v>
      </c>
      <c r="T5803" s="1" t="str">
        <f t="shared" si="361"/>
        <v/>
      </c>
      <c r="U5803" s="1" t="str">
        <f t="shared" si="362"/>
        <v/>
      </c>
      <c r="V5803" s="1" t="str">
        <f>_xlfn.XLOOKUP(C5803,Payers!$A$2:$A$9,Payers!$B$2:$B$9)</f>
        <v>Self-Pay</v>
      </c>
      <c r="W5803" s="1" t="str">
        <f t="shared" si="363"/>
        <v>2026-07</v>
      </c>
    </row>
    <row r="5804" spans="1:23">
      <c r="A5804" s="1" t="s">
        <v>8694</v>
      </c>
      <c r="B5804" s="1" t="s">
        <v>1594</v>
      </c>
      <c r="C5804" s="1" t="s">
        <v>76</v>
      </c>
      <c r="D5804" s="1" t="s">
        <v>30</v>
      </c>
      <c r="E5804" s="1" t="s">
        <v>31</v>
      </c>
      <c r="F5804">
        <v>2</v>
      </c>
      <c r="G5804" s="2">
        <v>45982</v>
      </c>
      <c r="H5804" s="2">
        <v>45984</v>
      </c>
      <c r="I5804">
        <v>124.78</v>
      </c>
      <c r="J5804">
        <v>57.75</v>
      </c>
      <c r="K5804">
        <v>46.2</v>
      </c>
      <c r="L5804">
        <v>11.55</v>
      </c>
      <c r="M5804" s="1" t="s">
        <v>21</v>
      </c>
      <c r="N5804" s="1" t="s">
        <v>22</v>
      </c>
      <c r="O5804" s="2">
        <v>46026</v>
      </c>
      <c r="P5804" s="2">
        <v>46026</v>
      </c>
      <c r="Q5804">
        <f>_xlfn.XLOOKUP(E5804,CPT!$A$2:$A$13,CPT!$D$2:$D$13)</f>
        <v>62</v>
      </c>
      <c r="R5804" s="1">
        <f>_xlfn.XLOOKUP(C5804,Contract!$A$2:$A$9,Contract!$B$2:$B$9)</f>
        <v>0.43</v>
      </c>
      <c r="S5804" s="1">
        <f t="shared" si="360"/>
        <v>53.32</v>
      </c>
      <c r="T5804" s="1">
        <f t="shared" si="361"/>
        <v>-4.43</v>
      </c>
      <c r="U5804" s="1" t="str">
        <f t="shared" si="362"/>
        <v>OK</v>
      </c>
      <c r="V5804" s="1" t="str">
        <f>_xlfn.XLOOKUP(C5804,Payers!$A$2:$A$9,Payers!$B$2:$B$9)</f>
        <v>Summit Health Commercial</v>
      </c>
      <c r="W5804" s="1" t="str">
        <f t="shared" si="363"/>
        <v>2025-11</v>
      </c>
    </row>
    <row r="5805" spans="1:23">
      <c r="A5805" s="1" t="s">
        <v>8695</v>
      </c>
      <c r="B5805" s="1" t="s">
        <v>2158</v>
      </c>
      <c r="C5805" s="1" t="s">
        <v>60</v>
      </c>
      <c r="D5805" s="1" t="s">
        <v>37</v>
      </c>
      <c r="E5805" s="1" t="s">
        <v>48</v>
      </c>
      <c r="F5805">
        <v>1</v>
      </c>
      <c r="G5805" s="2">
        <v>46251</v>
      </c>
      <c r="H5805" s="2">
        <v>46259</v>
      </c>
      <c r="I5805">
        <v>409.99</v>
      </c>
      <c r="M5805" s="1" t="s">
        <v>69</v>
      </c>
      <c r="N5805" s="1" t="s">
        <v>22</v>
      </c>
      <c r="O5805" s="2"/>
      <c r="P5805" s="2"/>
      <c r="Q5805">
        <f>_xlfn.XLOOKUP(E5805,CPT!$A$2:$A$13,CPT!$D$2:$D$13)</f>
        <v>420</v>
      </c>
      <c r="R5805" s="1">
        <f>_xlfn.XLOOKUP(C5805,Contract!$A$2:$A$9,Contract!$B$2:$B$9)</f>
        <v>0.45</v>
      </c>
      <c r="S5805" s="1">
        <f t="shared" si="360"/>
        <v>189</v>
      </c>
      <c r="T5805" s="1" t="str">
        <f t="shared" si="361"/>
        <v/>
      </c>
      <c r="U5805" s="1" t="str">
        <f t="shared" si="362"/>
        <v/>
      </c>
      <c r="V5805" s="1" t="str">
        <f>_xlfn.XLOOKUP(C5805,Payers!$A$2:$A$9,Payers!$B$2:$B$9)</f>
        <v>Blue Horizon Commercial</v>
      </c>
      <c r="W5805" s="1" t="str">
        <f t="shared" si="363"/>
        <v>2026-08</v>
      </c>
    </row>
    <row r="5806" spans="1:23">
      <c r="A5806" s="1" t="s">
        <v>8696</v>
      </c>
      <c r="B5806" s="1" t="s">
        <v>8697</v>
      </c>
      <c r="C5806" s="1" t="s">
        <v>60</v>
      </c>
      <c r="D5806" s="1" t="s">
        <v>37</v>
      </c>
      <c r="E5806" s="1" t="s">
        <v>38</v>
      </c>
      <c r="F5806">
        <v>30</v>
      </c>
      <c r="G5806" s="2">
        <v>46182</v>
      </c>
      <c r="H5806" s="2">
        <v>46199</v>
      </c>
      <c r="I5806">
        <v>44599.03</v>
      </c>
      <c r="J5806">
        <v>21260.73</v>
      </c>
      <c r="K5806">
        <v>17008.580000000002</v>
      </c>
      <c r="L5806">
        <v>4252.1499999999996</v>
      </c>
      <c r="M5806" s="1" t="s">
        <v>21</v>
      </c>
      <c r="N5806" s="1" t="s">
        <v>22</v>
      </c>
      <c r="O5806" s="2">
        <v>46218</v>
      </c>
      <c r="P5806" s="2">
        <v>46218</v>
      </c>
      <c r="Q5806">
        <f>_xlfn.XLOOKUP(E5806,CPT!$A$2:$A$13,CPT!$D$2:$D$13)</f>
        <v>1450</v>
      </c>
      <c r="R5806" s="1">
        <f>_xlfn.XLOOKUP(C5806,Contract!$A$2:$A$9,Contract!$B$2:$B$9)</f>
        <v>0.45</v>
      </c>
      <c r="S5806" s="1">
        <f t="shared" si="360"/>
        <v>19575</v>
      </c>
      <c r="T5806" s="1">
        <f t="shared" si="361"/>
        <v>-1685.7299999999996</v>
      </c>
      <c r="U5806" s="1" t="str">
        <f t="shared" si="362"/>
        <v>OK</v>
      </c>
      <c r="V5806" s="1" t="str">
        <f>_xlfn.XLOOKUP(C5806,Payers!$A$2:$A$9,Payers!$B$2:$B$9)</f>
        <v>Blue Horizon Commercial</v>
      </c>
      <c r="W5806" s="1" t="str">
        <f t="shared" si="363"/>
        <v>2026-06</v>
      </c>
    </row>
    <row r="5807" spans="1:23">
      <c r="A5807" s="1" t="s">
        <v>8698</v>
      </c>
      <c r="B5807" s="1" t="s">
        <v>1605</v>
      </c>
      <c r="C5807" s="1" t="s">
        <v>76</v>
      </c>
      <c r="D5807" s="1" t="s">
        <v>26</v>
      </c>
      <c r="E5807" s="1" t="s">
        <v>113</v>
      </c>
      <c r="F5807">
        <v>1</v>
      </c>
      <c r="G5807" s="2">
        <v>46277</v>
      </c>
      <c r="H5807" s="2">
        <v>46291</v>
      </c>
      <c r="I5807">
        <v>1074.6600000000001</v>
      </c>
      <c r="M5807" s="1" t="s">
        <v>69</v>
      </c>
      <c r="N5807" s="1" t="s">
        <v>22</v>
      </c>
      <c r="O5807" s="2"/>
      <c r="P5807" s="2"/>
      <c r="Q5807">
        <f>_xlfn.XLOOKUP(E5807,CPT!$A$2:$A$13,CPT!$D$2:$D$13)</f>
        <v>1050</v>
      </c>
      <c r="R5807" s="1">
        <f>_xlfn.XLOOKUP(C5807,Contract!$A$2:$A$9,Contract!$B$2:$B$9)</f>
        <v>0.43</v>
      </c>
      <c r="S5807" s="1">
        <f t="shared" si="360"/>
        <v>451.5</v>
      </c>
      <c r="T5807" s="1" t="str">
        <f t="shared" si="361"/>
        <v/>
      </c>
      <c r="U5807" s="1" t="str">
        <f t="shared" si="362"/>
        <v/>
      </c>
      <c r="V5807" s="1" t="str">
        <f>_xlfn.XLOOKUP(C5807,Payers!$A$2:$A$9,Payers!$B$2:$B$9)</f>
        <v>Summit Health Commercial</v>
      </c>
      <c r="W5807" s="1" t="str">
        <f t="shared" si="363"/>
        <v>2026-09</v>
      </c>
    </row>
    <row r="5808" spans="1:23">
      <c r="A5808" s="1" t="s">
        <v>8699</v>
      </c>
      <c r="B5808" s="1" t="s">
        <v>8700</v>
      </c>
      <c r="C5808" s="1" t="s">
        <v>25</v>
      </c>
      <c r="D5808" s="1" t="s">
        <v>37</v>
      </c>
      <c r="E5808" s="1" t="s">
        <v>48</v>
      </c>
      <c r="F5808">
        <v>1</v>
      </c>
      <c r="G5808" s="2">
        <v>46073</v>
      </c>
      <c r="H5808" s="2">
        <v>46077</v>
      </c>
      <c r="I5808">
        <v>432.43</v>
      </c>
      <c r="J5808">
        <v>145.55000000000001</v>
      </c>
      <c r="K5808">
        <v>130.99</v>
      </c>
      <c r="L5808">
        <v>14.56</v>
      </c>
      <c r="M5808" s="1" t="s">
        <v>21</v>
      </c>
      <c r="N5808" s="1" t="s">
        <v>22</v>
      </c>
      <c r="O5808" s="2">
        <v>46092</v>
      </c>
      <c r="P5808" s="2">
        <v>46092</v>
      </c>
      <c r="Q5808">
        <f>_xlfn.XLOOKUP(E5808,CPT!$A$2:$A$13,CPT!$D$2:$D$13)</f>
        <v>420</v>
      </c>
      <c r="R5808" s="1">
        <f>_xlfn.XLOOKUP(C5808,Contract!$A$2:$A$9,Contract!$B$2:$B$9)</f>
        <v>0.36</v>
      </c>
      <c r="S5808" s="1">
        <f t="shared" si="360"/>
        <v>151.19999999999999</v>
      </c>
      <c r="T5808" s="1">
        <f t="shared" si="361"/>
        <v>5.6499999999999773</v>
      </c>
      <c r="U5808" s="1" t="str">
        <f t="shared" si="362"/>
        <v>OK</v>
      </c>
      <c r="V5808" s="1" t="str">
        <f>_xlfn.XLOOKUP(C5808,Payers!$A$2:$A$9,Payers!$B$2:$B$9)</f>
        <v>Medicare Part B</v>
      </c>
      <c r="W5808" s="1" t="str">
        <f t="shared" si="363"/>
        <v>2026-02</v>
      </c>
    </row>
    <row r="5809" spans="1:23">
      <c r="A5809" s="1" t="s">
        <v>8701</v>
      </c>
      <c r="B5809" s="1" t="s">
        <v>29</v>
      </c>
      <c r="C5809" s="1" t="s">
        <v>25</v>
      </c>
      <c r="D5809" s="1" t="s">
        <v>30</v>
      </c>
      <c r="E5809" s="1" t="s">
        <v>20</v>
      </c>
      <c r="F5809">
        <v>1</v>
      </c>
      <c r="G5809" s="2">
        <v>46018</v>
      </c>
      <c r="H5809" s="2">
        <v>46019</v>
      </c>
      <c r="I5809">
        <v>141.01</v>
      </c>
      <c r="J5809">
        <v>46.77</v>
      </c>
      <c r="K5809">
        <v>46.77</v>
      </c>
      <c r="L5809">
        <v>0</v>
      </c>
      <c r="M5809" s="1" t="s">
        <v>21</v>
      </c>
      <c r="N5809" s="1" t="s">
        <v>22</v>
      </c>
      <c r="O5809" s="2">
        <v>46041</v>
      </c>
      <c r="P5809" s="2">
        <v>46041</v>
      </c>
      <c r="Q5809">
        <f>_xlfn.XLOOKUP(E5809,CPT!$A$2:$A$13,CPT!$D$2:$D$13)</f>
        <v>145</v>
      </c>
      <c r="R5809" s="1">
        <f>_xlfn.XLOOKUP(C5809,Contract!$A$2:$A$9,Contract!$B$2:$B$9)</f>
        <v>0.36</v>
      </c>
      <c r="S5809" s="1">
        <f t="shared" si="360"/>
        <v>52.2</v>
      </c>
      <c r="T5809" s="1">
        <f t="shared" si="361"/>
        <v>5.43</v>
      </c>
      <c r="U5809" s="1" t="str">
        <f t="shared" si="362"/>
        <v>Underpaid</v>
      </c>
      <c r="V5809" s="1" t="str">
        <f>_xlfn.XLOOKUP(C5809,Payers!$A$2:$A$9,Payers!$B$2:$B$9)</f>
        <v>Medicare Part B</v>
      </c>
      <c r="W5809" s="1" t="str">
        <f t="shared" si="363"/>
        <v>2025-12</v>
      </c>
    </row>
    <row r="5810" spans="1:23">
      <c r="A5810" s="1" t="s">
        <v>8702</v>
      </c>
      <c r="B5810" s="1" t="s">
        <v>8703</v>
      </c>
      <c r="C5810" s="1" t="s">
        <v>60</v>
      </c>
      <c r="D5810" s="1" t="s">
        <v>37</v>
      </c>
      <c r="E5810" s="1" t="s">
        <v>57</v>
      </c>
      <c r="F5810">
        <v>1</v>
      </c>
      <c r="G5810" s="2">
        <v>46179</v>
      </c>
      <c r="H5810" s="2">
        <v>46181</v>
      </c>
      <c r="I5810">
        <v>205.33</v>
      </c>
      <c r="J5810">
        <v>79.349999999999994</v>
      </c>
      <c r="K5810">
        <v>79.349999999999994</v>
      </c>
      <c r="L5810">
        <v>0</v>
      </c>
      <c r="M5810" s="1" t="s">
        <v>21</v>
      </c>
      <c r="N5810" s="1" t="s">
        <v>22</v>
      </c>
      <c r="O5810" s="2">
        <v>46205</v>
      </c>
      <c r="P5810" s="2">
        <v>46205</v>
      </c>
      <c r="Q5810">
        <f>_xlfn.XLOOKUP(E5810,CPT!$A$2:$A$13,CPT!$D$2:$D$13)</f>
        <v>210</v>
      </c>
      <c r="R5810" s="1">
        <f>_xlfn.XLOOKUP(C5810,Contract!$A$2:$A$9,Contract!$B$2:$B$9)</f>
        <v>0.45</v>
      </c>
      <c r="S5810" s="1">
        <f t="shared" si="360"/>
        <v>94.5</v>
      </c>
      <c r="T5810" s="1">
        <f t="shared" si="361"/>
        <v>15.150000000000006</v>
      </c>
      <c r="U5810" s="1" t="str">
        <f t="shared" si="362"/>
        <v>Underpaid</v>
      </c>
      <c r="V5810" s="1" t="str">
        <f>_xlfn.XLOOKUP(C5810,Payers!$A$2:$A$9,Payers!$B$2:$B$9)</f>
        <v>Blue Horizon Commercial</v>
      </c>
      <c r="W5810" s="1" t="str">
        <f t="shared" si="363"/>
        <v>2026-06</v>
      </c>
    </row>
    <row r="5811" spans="1:23">
      <c r="A5811" s="1" t="s">
        <v>8704</v>
      </c>
      <c r="B5811" s="1" t="s">
        <v>3093</v>
      </c>
      <c r="C5811" s="1" t="s">
        <v>52</v>
      </c>
      <c r="D5811" s="1" t="s">
        <v>26</v>
      </c>
      <c r="E5811" s="1" t="s">
        <v>41</v>
      </c>
      <c r="F5811">
        <v>1</v>
      </c>
      <c r="G5811" s="2">
        <v>45962</v>
      </c>
      <c r="H5811" s="2">
        <v>45969</v>
      </c>
      <c r="I5811">
        <v>39.1</v>
      </c>
      <c r="J5811">
        <v>16.37</v>
      </c>
      <c r="K5811">
        <v>13.1</v>
      </c>
      <c r="L5811">
        <v>3.27</v>
      </c>
      <c r="M5811" s="1" t="s">
        <v>21</v>
      </c>
      <c r="N5811" s="1" t="s">
        <v>22</v>
      </c>
      <c r="O5811" s="2">
        <v>46035</v>
      </c>
      <c r="P5811" s="2">
        <v>46035</v>
      </c>
      <c r="Q5811">
        <f>_xlfn.XLOOKUP(E5811,CPT!$A$2:$A$13,CPT!$D$2:$D$13)</f>
        <v>38</v>
      </c>
      <c r="R5811" s="1">
        <f>_xlfn.XLOOKUP(C5811,Contract!$A$2:$A$9,Contract!$B$2:$B$9)</f>
        <v>0.47</v>
      </c>
      <c r="S5811" s="1">
        <f t="shared" si="360"/>
        <v>17.86</v>
      </c>
      <c r="T5811" s="1">
        <f t="shared" si="361"/>
        <v>1.4899999999999984</v>
      </c>
      <c r="U5811" s="1" t="str">
        <f t="shared" si="362"/>
        <v>Underpaid</v>
      </c>
      <c r="V5811" s="1" t="str">
        <f>_xlfn.XLOOKUP(C5811,Payers!$A$2:$A$9,Payers!$B$2:$B$9)</f>
        <v>Keystone Commercial PPO</v>
      </c>
      <c r="W5811" s="1" t="str">
        <f t="shared" si="363"/>
        <v>2025-11</v>
      </c>
    </row>
    <row r="5812" spans="1:23">
      <c r="A5812" s="1" t="s">
        <v>8705</v>
      </c>
      <c r="B5812" s="1" t="s">
        <v>5274</v>
      </c>
      <c r="C5812" s="1" t="s">
        <v>47</v>
      </c>
      <c r="D5812" s="1" t="s">
        <v>19</v>
      </c>
      <c r="E5812" s="1" t="s">
        <v>57</v>
      </c>
      <c r="F5812">
        <v>1</v>
      </c>
      <c r="G5812" s="2">
        <v>45955</v>
      </c>
      <c r="H5812" s="2">
        <v>45961</v>
      </c>
      <c r="I5812">
        <v>205.53</v>
      </c>
      <c r="M5812" s="1" t="s">
        <v>32</v>
      </c>
      <c r="N5812" s="1" t="s">
        <v>33</v>
      </c>
      <c r="O5812" s="2">
        <v>46040</v>
      </c>
      <c r="P5812" s="2"/>
      <c r="Q5812">
        <f>_xlfn.XLOOKUP(E5812,CPT!$A$2:$A$13,CPT!$D$2:$D$13)</f>
        <v>210</v>
      </c>
      <c r="R5812" s="1">
        <f>_xlfn.XLOOKUP(C5812,Contract!$A$2:$A$9,Contract!$B$2:$B$9)</f>
        <v>0.28000000000000003</v>
      </c>
      <c r="S5812" s="1">
        <f t="shared" si="360"/>
        <v>58.8</v>
      </c>
      <c r="T5812" s="1" t="str">
        <f t="shared" si="361"/>
        <v/>
      </c>
      <c r="U5812" s="1" t="str">
        <f t="shared" si="362"/>
        <v/>
      </c>
      <c r="V5812" s="1" t="str">
        <f>_xlfn.XLOOKUP(C5812,Payers!$A$2:$A$9,Payers!$B$2:$B$9)</f>
        <v>Coastal Medicaid MCO</v>
      </c>
      <c r="W5812" s="1" t="str">
        <f t="shared" si="363"/>
        <v>2025-10</v>
      </c>
    </row>
    <row r="5813" spans="1:23">
      <c r="A5813" s="1" t="s">
        <v>8706</v>
      </c>
      <c r="B5813" s="1" t="s">
        <v>5776</v>
      </c>
      <c r="C5813" s="1" t="s">
        <v>60</v>
      </c>
      <c r="D5813" s="1" t="s">
        <v>37</v>
      </c>
      <c r="E5813" s="1" t="s">
        <v>57</v>
      </c>
      <c r="F5813">
        <v>1</v>
      </c>
      <c r="G5813" s="2">
        <v>45976</v>
      </c>
      <c r="H5813" s="2">
        <v>45985</v>
      </c>
      <c r="I5813">
        <v>214.29</v>
      </c>
      <c r="J5813">
        <v>96.51</v>
      </c>
      <c r="K5813">
        <v>86.86</v>
      </c>
      <c r="L5813">
        <v>9.65</v>
      </c>
      <c r="M5813" s="1" t="s">
        <v>21</v>
      </c>
      <c r="N5813" s="1" t="s">
        <v>22</v>
      </c>
      <c r="O5813" s="2">
        <v>46008</v>
      </c>
      <c r="P5813" s="2">
        <v>46008</v>
      </c>
      <c r="Q5813">
        <f>_xlfn.XLOOKUP(E5813,CPT!$A$2:$A$13,CPT!$D$2:$D$13)</f>
        <v>210</v>
      </c>
      <c r="R5813" s="1">
        <f>_xlfn.XLOOKUP(C5813,Contract!$A$2:$A$9,Contract!$B$2:$B$9)</f>
        <v>0.45</v>
      </c>
      <c r="S5813" s="1">
        <f t="shared" si="360"/>
        <v>94.5</v>
      </c>
      <c r="T5813" s="1">
        <f t="shared" si="361"/>
        <v>-2.0100000000000051</v>
      </c>
      <c r="U5813" s="1" t="str">
        <f t="shared" si="362"/>
        <v>OK</v>
      </c>
      <c r="V5813" s="1" t="str">
        <f>_xlfn.XLOOKUP(C5813,Payers!$A$2:$A$9,Payers!$B$2:$B$9)</f>
        <v>Blue Horizon Commercial</v>
      </c>
      <c r="W5813" s="1" t="str">
        <f t="shared" si="363"/>
        <v>2025-11</v>
      </c>
    </row>
    <row r="5814" spans="1:23">
      <c r="A5814" s="1" t="s">
        <v>8707</v>
      </c>
      <c r="B5814" s="1" t="s">
        <v>4005</v>
      </c>
      <c r="C5814" s="1" t="s">
        <v>76</v>
      </c>
      <c r="D5814" s="1" t="s">
        <v>30</v>
      </c>
      <c r="E5814" s="1" t="s">
        <v>20</v>
      </c>
      <c r="F5814">
        <v>1</v>
      </c>
      <c r="G5814" s="2">
        <v>46104</v>
      </c>
      <c r="H5814" s="2">
        <v>46111</v>
      </c>
      <c r="I5814">
        <v>140.74</v>
      </c>
      <c r="J5814">
        <v>61.24</v>
      </c>
      <c r="K5814">
        <v>55.12</v>
      </c>
      <c r="L5814">
        <v>6.12</v>
      </c>
      <c r="M5814" s="1" t="s">
        <v>21</v>
      </c>
      <c r="N5814" s="1" t="s">
        <v>22</v>
      </c>
      <c r="O5814" s="2">
        <v>46149</v>
      </c>
      <c r="P5814" s="2">
        <v>46149</v>
      </c>
      <c r="Q5814">
        <f>_xlfn.XLOOKUP(E5814,CPT!$A$2:$A$13,CPT!$D$2:$D$13)</f>
        <v>145</v>
      </c>
      <c r="R5814" s="1">
        <f>_xlfn.XLOOKUP(C5814,Contract!$A$2:$A$9,Contract!$B$2:$B$9)</f>
        <v>0.43</v>
      </c>
      <c r="S5814" s="1">
        <f t="shared" si="360"/>
        <v>62.35</v>
      </c>
      <c r="T5814" s="1">
        <f t="shared" si="361"/>
        <v>1.1099999999999994</v>
      </c>
      <c r="U5814" s="1" t="str">
        <f t="shared" si="362"/>
        <v>OK</v>
      </c>
      <c r="V5814" s="1" t="str">
        <f>_xlfn.XLOOKUP(C5814,Payers!$A$2:$A$9,Payers!$B$2:$B$9)</f>
        <v>Summit Health Commercial</v>
      </c>
      <c r="W5814" s="1" t="str">
        <f t="shared" si="363"/>
        <v>2026-03</v>
      </c>
    </row>
    <row r="5815" spans="1:23">
      <c r="A5815" s="1" t="s">
        <v>8708</v>
      </c>
      <c r="B5815" s="1" t="s">
        <v>1891</v>
      </c>
      <c r="C5815" s="1" t="s">
        <v>60</v>
      </c>
      <c r="D5815" s="1" t="s">
        <v>26</v>
      </c>
      <c r="E5815" s="1" t="s">
        <v>27</v>
      </c>
      <c r="F5815">
        <v>1</v>
      </c>
      <c r="G5815" s="2">
        <v>46130</v>
      </c>
      <c r="H5815" s="2">
        <v>46136</v>
      </c>
      <c r="I5815">
        <v>239.28</v>
      </c>
      <c r="J5815">
        <v>123.34</v>
      </c>
      <c r="K5815">
        <v>123.34</v>
      </c>
      <c r="L5815">
        <v>0</v>
      </c>
      <c r="M5815" s="1" t="s">
        <v>21</v>
      </c>
      <c r="N5815" s="1" t="s">
        <v>22</v>
      </c>
      <c r="O5815" s="2">
        <v>46165</v>
      </c>
      <c r="P5815" s="2">
        <v>46165</v>
      </c>
      <c r="Q5815">
        <f>_xlfn.XLOOKUP(E5815,CPT!$A$2:$A$13,CPT!$D$2:$D$13)</f>
        <v>240</v>
      </c>
      <c r="R5815" s="1">
        <f>_xlfn.XLOOKUP(C5815,Contract!$A$2:$A$9,Contract!$B$2:$B$9)</f>
        <v>0.45</v>
      </c>
      <c r="S5815" s="1">
        <f t="shared" si="360"/>
        <v>108</v>
      </c>
      <c r="T5815" s="1">
        <f t="shared" si="361"/>
        <v>-15.340000000000003</v>
      </c>
      <c r="U5815" s="1" t="str">
        <f t="shared" si="362"/>
        <v>OK</v>
      </c>
      <c r="V5815" s="1" t="str">
        <f>_xlfn.XLOOKUP(C5815,Payers!$A$2:$A$9,Payers!$B$2:$B$9)</f>
        <v>Blue Horizon Commercial</v>
      </c>
      <c r="W5815" s="1" t="str">
        <f t="shared" si="363"/>
        <v>2026-04</v>
      </c>
    </row>
    <row r="5816" spans="1:23">
      <c r="A5816" s="1" t="s">
        <v>8709</v>
      </c>
      <c r="B5816" s="1" t="s">
        <v>4272</v>
      </c>
      <c r="C5816" s="1" t="s">
        <v>79</v>
      </c>
      <c r="D5816" s="1" t="s">
        <v>19</v>
      </c>
      <c r="E5816" s="1" t="s">
        <v>57</v>
      </c>
      <c r="F5816">
        <v>1</v>
      </c>
      <c r="G5816" s="2">
        <v>46094</v>
      </c>
      <c r="H5816" s="2">
        <v>46096</v>
      </c>
      <c r="I5816">
        <v>214.66</v>
      </c>
      <c r="M5816" s="1" t="s">
        <v>69</v>
      </c>
      <c r="N5816" s="1" t="s">
        <v>22</v>
      </c>
      <c r="O5816" s="2"/>
      <c r="P5816" s="2"/>
      <c r="Q5816">
        <f>_xlfn.XLOOKUP(E5816,CPT!$A$2:$A$13,CPT!$D$2:$D$13)</f>
        <v>210</v>
      </c>
      <c r="R5816" s="1">
        <f>_xlfn.XLOOKUP(C5816,Contract!$A$2:$A$9,Contract!$B$2:$B$9)</f>
        <v>1</v>
      </c>
      <c r="S5816" s="1">
        <f t="shared" si="360"/>
        <v>210</v>
      </c>
      <c r="T5816" s="1" t="str">
        <f t="shared" si="361"/>
        <v/>
      </c>
      <c r="U5816" s="1" t="str">
        <f t="shared" si="362"/>
        <v/>
      </c>
      <c r="V5816" s="1" t="str">
        <f>_xlfn.XLOOKUP(C5816,Payers!$A$2:$A$9,Payers!$B$2:$B$9)</f>
        <v>Self-Pay</v>
      </c>
      <c r="W5816" s="1" t="str">
        <f t="shared" si="363"/>
        <v>2026-03</v>
      </c>
    </row>
    <row r="5817" spans="1:23">
      <c r="A5817" s="1" t="s">
        <v>8710</v>
      </c>
      <c r="B5817" s="1" t="s">
        <v>8711</v>
      </c>
      <c r="C5817" s="1" t="s">
        <v>60</v>
      </c>
      <c r="D5817" s="1" t="s">
        <v>26</v>
      </c>
      <c r="E5817" s="1" t="s">
        <v>185</v>
      </c>
      <c r="F5817">
        <v>1</v>
      </c>
      <c r="G5817" s="2">
        <v>46004</v>
      </c>
      <c r="H5817" s="2">
        <v>46007</v>
      </c>
      <c r="I5817">
        <v>1131.76</v>
      </c>
      <c r="J5817">
        <v>549.04999999999995</v>
      </c>
      <c r="K5817">
        <v>439.24</v>
      </c>
      <c r="L5817">
        <v>109.81</v>
      </c>
      <c r="M5817" s="1" t="s">
        <v>21</v>
      </c>
      <c r="N5817" s="1" t="s">
        <v>22</v>
      </c>
      <c r="O5817" s="2">
        <v>46037</v>
      </c>
      <c r="P5817" s="2">
        <v>46037</v>
      </c>
      <c r="Q5817">
        <f>_xlfn.XLOOKUP(E5817,CPT!$A$2:$A$13,CPT!$D$2:$D$13)</f>
        <v>1150</v>
      </c>
      <c r="R5817" s="1">
        <f>_xlfn.XLOOKUP(C5817,Contract!$A$2:$A$9,Contract!$B$2:$B$9)</f>
        <v>0.45</v>
      </c>
      <c r="S5817" s="1">
        <f t="shared" si="360"/>
        <v>517.5</v>
      </c>
      <c r="T5817" s="1">
        <f t="shared" si="361"/>
        <v>-31.549999999999955</v>
      </c>
      <c r="U5817" s="1" t="str">
        <f t="shared" si="362"/>
        <v>OK</v>
      </c>
      <c r="V5817" s="1" t="str">
        <f>_xlfn.XLOOKUP(C5817,Payers!$A$2:$A$9,Payers!$B$2:$B$9)</f>
        <v>Blue Horizon Commercial</v>
      </c>
      <c r="W5817" s="1" t="str">
        <f t="shared" si="363"/>
        <v>2025-12</v>
      </c>
    </row>
    <row r="5818" spans="1:23">
      <c r="A5818" s="1" t="s">
        <v>8712</v>
      </c>
      <c r="B5818" s="1" t="s">
        <v>4985</v>
      </c>
      <c r="C5818" s="1" t="s">
        <v>60</v>
      </c>
      <c r="D5818" s="1" t="s">
        <v>26</v>
      </c>
      <c r="E5818" s="1" t="s">
        <v>88</v>
      </c>
      <c r="F5818">
        <v>1</v>
      </c>
      <c r="G5818" s="2">
        <v>46202</v>
      </c>
      <c r="H5818" s="2">
        <v>46212</v>
      </c>
      <c r="I5818">
        <v>257.52</v>
      </c>
      <c r="M5818" s="1" t="s">
        <v>32</v>
      </c>
      <c r="N5818" s="1" t="s">
        <v>98</v>
      </c>
      <c r="O5818" s="2">
        <v>46234</v>
      </c>
      <c r="P5818" s="2"/>
      <c r="Q5818">
        <f>_xlfn.XLOOKUP(E5818,CPT!$A$2:$A$13,CPT!$D$2:$D$13)</f>
        <v>260</v>
      </c>
      <c r="R5818" s="1">
        <f>_xlfn.XLOOKUP(C5818,Contract!$A$2:$A$9,Contract!$B$2:$B$9)</f>
        <v>0.45</v>
      </c>
      <c r="S5818" s="1">
        <f t="shared" si="360"/>
        <v>117</v>
      </c>
      <c r="T5818" s="1" t="str">
        <f t="shared" si="361"/>
        <v/>
      </c>
      <c r="U5818" s="1" t="str">
        <f t="shared" si="362"/>
        <v/>
      </c>
      <c r="V5818" s="1" t="str">
        <f>_xlfn.XLOOKUP(C5818,Payers!$A$2:$A$9,Payers!$B$2:$B$9)</f>
        <v>Blue Horizon Commercial</v>
      </c>
      <c r="W5818" s="1" t="str">
        <f t="shared" si="363"/>
        <v>2026-06</v>
      </c>
    </row>
    <row r="5819" spans="1:23">
      <c r="A5819" s="1" t="s">
        <v>8713</v>
      </c>
      <c r="B5819" s="1" t="s">
        <v>247</v>
      </c>
      <c r="C5819" s="1" t="s">
        <v>60</v>
      </c>
      <c r="D5819" s="1" t="s">
        <v>19</v>
      </c>
      <c r="E5819" s="1" t="s">
        <v>20</v>
      </c>
      <c r="F5819">
        <v>1</v>
      </c>
      <c r="G5819" s="2">
        <v>46096</v>
      </c>
      <c r="H5819" s="2">
        <v>46108</v>
      </c>
      <c r="I5819">
        <v>147.88</v>
      </c>
      <c r="J5819">
        <v>76.27</v>
      </c>
      <c r="K5819">
        <v>76.27</v>
      </c>
      <c r="L5819">
        <v>0</v>
      </c>
      <c r="M5819" s="1" t="s">
        <v>21</v>
      </c>
      <c r="N5819" s="1" t="s">
        <v>22</v>
      </c>
      <c r="O5819" s="2">
        <v>46144</v>
      </c>
      <c r="P5819" s="2">
        <v>46144</v>
      </c>
      <c r="Q5819">
        <f>_xlfn.XLOOKUP(E5819,CPT!$A$2:$A$13,CPT!$D$2:$D$13)</f>
        <v>145</v>
      </c>
      <c r="R5819" s="1">
        <f>_xlfn.XLOOKUP(C5819,Contract!$A$2:$A$9,Contract!$B$2:$B$9)</f>
        <v>0.45</v>
      </c>
      <c r="S5819" s="1">
        <f t="shared" si="360"/>
        <v>65.25</v>
      </c>
      <c r="T5819" s="1">
        <f t="shared" si="361"/>
        <v>-11.019999999999996</v>
      </c>
      <c r="U5819" s="1" t="str">
        <f t="shared" si="362"/>
        <v>OK</v>
      </c>
      <c r="V5819" s="1" t="str">
        <f>_xlfn.XLOOKUP(C5819,Payers!$A$2:$A$9,Payers!$B$2:$B$9)</f>
        <v>Blue Horizon Commercial</v>
      </c>
      <c r="W5819" s="1" t="str">
        <f t="shared" si="363"/>
        <v>2026-03</v>
      </c>
    </row>
    <row r="5820" spans="1:23">
      <c r="A5820" s="1" t="s">
        <v>8714</v>
      </c>
      <c r="B5820" s="1" t="s">
        <v>8715</v>
      </c>
      <c r="C5820" s="1" t="s">
        <v>60</v>
      </c>
      <c r="D5820" s="1" t="s">
        <v>26</v>
      </c>
      <c r="E5820" s="1" t="s">
        <v>113</v>
      </c>
      <c r="F5820">
        <v>1</v>
      </c>
      <c r="G5820" s="2">
        <v>46036</v>
      </c>
      <c r="H5820" s="2">
        <v>46039</v>
      </c>
      <c r="I5820">
        <v>1049.5899999999999</v>
      </c>
      <c r="M5820" s="1" t="s">
        <v>32</v>
      </c>
      <c r="N5820" s="1" t="s">
        <v>168</v>
      </c>
      <c r="O5820" s="2">
        <v>46073</v>
      </c>
      <c r="P5820" s="2"/>
      <c r="Q5820">
        <f>_xlfn.XLOOKUP(E5820,CPT!$A$2:$A$13,CPT!$D$2:$D$13)</f>
        <v>1050</v>
      </c>
      <c r="R5820" s="1">
        <f>_xlfn.XLOOKUP(C5820,Contract!$A$2:$A$9,Contract!$B$2:$B$9)</f>
        <v>0.45</v>
      </c>
      <c r="S5820" s="1">
        <f t="shared" si="360"/>
        <v>472.5</v>
      </c>
      <c r="T5820" s="1" t="str">
        <f t="shared" si="361"/>
        <v/>
      </c>
      <c r="U5820" s="1" t="str">
        <f t="shared" si="362"/>
        <v/>
      </c>
      <c r="V5820" s="1" t="str">
        <f>_xlfn.XLOOKUP(C5820,Payers!$A$2:$A$9,Payers!$B$2:$B$9)</f>
        <v>Blue Horizon Commercial</v>
      </c>
      <c r="W5820" s="1" t="str">
        <f t="shared" si="363"/>
        <v>2026-01</v>
      </c>
    </row>
    <row r="5821" spans="1:23">
      <c r="A5821" s="1" t="s">
        <v>8716</v>
      </c>
      <c r="B5821" s="1" t="s">
        <v>3692</v>
      </c>
      <c r="C5821" s="1" t="s">
        <v>76</v>
      </c>
      <c r="D5821" s="1" t="s">
        <v>19</v>
      </c>
      <c r="E5821" s="1" t="s">
        <v>20</v>
      </c>
      <c r="F5821">
        <v>1</v>
      </c>
      <c r="G5821" s="2">
        <v>46153</v>
      </c>
      <c r="H5821" s="2">
        <v>46158</v>
      </c>
      <c r="I5821">
        <v>147.91</v>
      </c>
      <c r="J5821">
        <v>62.23</v>
      </c>
      <c r="K5821">
        <v>62.23</v>
      </c>
      <c r="L5821">
        <v>0</v>
      </c>
      <c r="M5821" s="1" t="s">
        <v>21</v>
      </c>
      <c r="N5821" s="1" t="s">
        <v>22</v>
      </c>
      <c r="O5821" s="2">
        <v>46191</v>
      </c>
      <c r="P5821" s="2">
        <v>46191</v>
      </c>
      <c r="Q5821">
        <f>_xlfn.XLOOKUP(E5821,CPT!$A$2:$A$13,CPT!$D$2:$D$13)</f>
        <v>145</v>
      </c>
      <c r="R5821" s="1">
        <f>_xlfn.XLOOKUP(C5821,Contract!$A$2:$A$9,Contract!$B$2:$B$9)</f>
        <v>0.43</v>
      </c>
      <c r="S5821" s="1">
        <f t="shared" si="360"/>
        <v>62.35</v>
      </c>
      <c r="T5821" s="1">
        <f t="shared" si="361"/>
        <v>0.12000000000000455</v>
      </c>
      <c r="U5821" s="1" t="str">
        <f t="shared" si="362"/>
        <v>OK</v>
      </c>
      <c r="V5821" s="1" t="str">
        <f>_xlfn.XLOOKUP(C5821,Payers!$A$2:$A$9,Payers!$B$2:$B$9)</f>
        <v>Summit Health Commercial</v>
      </c>
      <c r="W5821" s="1" t="str">
        <f t="shared" si="363"/>
        <v>2026-05</v>
      </c>
    </row>
    <row r="5822" spans="1:23">
      <c r="A5822" s="1" t="s">
        <v>8717</v>
      </c>
      <c r="B5822" s="1" t="s">
        <v>1013</v>
      </c>
      <c r="C5822" s="1" t="s">
        <v>52</v>
      </c>
      <c r="D5822" s="1" t="s">
        <v>30</v>
      </c>
      <c r="E5822" s="1" t="s">
        <v>20</v>
      </c>
      <c r="F5822">
        <v>1</v>
      </c>
      <c r="G5822" s="2">
        <v>45953</v>
      </c>
      <c r="H5822" s="2">
        <v>45957</v>
      </c>
      <c r="I5822">
        <v>143.58000000000001</v>
      </c>
      <c r="M5822" s="1" t="s">
        <v>32</v>
      </c>
      <c r="N5822" s="1" t="s">
        <v>98</v>
      </c>
      <c r="O5822" s="2">
        <v>46006</v>
      </c>
      <c r="P5822" s="2"/>
      <c r="Q5822">
        <f>_xlfn.XLOOKUP(E5822,CPT!$A$2:$A$13,CPT!$D$2:$D$13)</f>
        <v>145</v>
      </c>
      <c r="R5822" s="1">
        <f>_xlfn.XLOOKUP(C5822,Contract!$A$2:$A$9,Contract!$B$2:$B$9)</f>
        <v>0.47</v>
      </c>
      <c r="S5822" s="1">
        <f t="shared" si="360"/>
        <v>68.150000000000006</v>
      </c>
      <c r="T5822" s="1" t="str">
        <f t="shared" si="361"/>
        <v/>
      </c>
      <c r="U5822" s="1" t="str">
        <f t="shared" si="362"/>
        <v/>
      </c>
      <c r="V5822" s="1" t="str">
        <f>_xlfn.XLOOKUP(C5822,Payers!$A$2:$A$9,Payers!$B$2:$B$9)</f>
        <v>Keystone Commercial PPO</v>
      </c>
      <c r="W5822" s="1" t="str">
        <f t="shared" si="363"/>
        <v>2025-10</v>
      </c>
    </row>
    <row r="5823" spans="1:23">
      <c r="A5823" s="1" t="s">
        <v>8718</v>
      </c>
      <c r="B5823" s="1" t="s">
        <v>428</v>
      </c>
      <c r="C5823" s="1" t="s">
        <v>76</v>
      </c>
      <c r="D5823" s="1" t="s">
        <v>26</v>
      </c>
      <c r="E5823" s="1" t="s">
        <v>41</v>
      </c>
      <c r="F5823">
        <v>1</v>
      </c>
      <c r="G5823" s="2">
        <v>46117</v>
      </c>
      <c r="H5823" s="2">
        <v>46118</v>
      </c>
      <c r="I5823">
        <v>38.270000000000003</v>
      </c>
      <c r="J5823">
        <v>16.920000000000002</v>
      </c>
      <c r="K5823">
        <v>16.920000000000002</v>
      </c>
      <c r="L5823">
        <v>0</v>
      </c>
      <c r="M5823" s="1" t="s">
        <v>21</v>
      </c>
      <c r="N5823" s="1" t="s">
        <v>22</v>
      </c>
      <c r="O5823" s="2">
        <v>46157</v>
      </c>
      <c r="P5823" s="2">
        <v>46157</v>
      </c>
      <c r="Q5823">
        <f>_xlfn.XLOOKUP(E5823,CPT!$A$2:$A$13,CPT!$D$2:$D$13)</f>
        <v>38</v>
      </c>
      <c r="R5823" s="1">
        <f>_xlfn.XLOOKUP(C5823,Contract!$A$2:$A$9,Contract!$B$2:$B$9)</f>
        <v>0.43</v>
      </c>
      <c r="S5823" s="1">
        <f t="shared" si="360"/>
        <v>16.34</v>
      </c>
      <c r="T5823" s="1">
        <f t="shared" si="361"/>
        <v>-0.58000000000000185</v>
      </c>
      <c r="U5823" s="1" t="str">
        <f t="shared" si="362"/>
        <v>OK</v>
      </c>
      <c r="V5823" s="1" t="str">
        <f>_xlfn.XLOOKUP(C5823,Payers!$A$2:$A$9,Payers!$B$2:$B$9)</f>
        <v>Summit Health Commercial</v>
      </c>
      <c r="W5823" s="1" t="str">
        <f t="shared" si="363"/>
        <v>2026-04</v>
      </c>
    </row>
    <row r="5824" spans="1:23">
      <c r="A5824" s="1" t="s">
        <v>8719</v>
      </c>
      <c r="B5824" s="1" t="s">
        <v>1455</v>
      </c>
      <c r="C5824" s="1" t="s">
        <v>47</v>
      </c>
      <c r="D5824" s="1" t="s">
        <v>37</v>
      </c>
      <c r="E5824" s="1" t="s">
        <v>38</v>
      </c>
      <c r="F5824">
        <v>20</v>
      </c>
      <c r="G5824" s="2">
        <v>46103</v>
      </c>
      <c r="H5824" s="2">
        <v>46105</v>
      </c>
      <c r="I5824">
        <v>28905.1</v>
      </c>
      <c r="J5824">
        <v>8365.52</v>
      </c>
      <c r="K5824">
        <v>8365.52</v>
      </c>
      <c r="L5824">
        <v>0</v>
      </c>
      <c r="M5824" s="1" t="s">
        <v>21</v>
      </c>
      <c r="N5824" s="1" t="s">
        <v>22</v>
      </c>
      <c r="O5824" s="2">
        <v>46164</v>
      </c>
      <c r="P5824" s="2">
        <v>46164</v>
      </c>
      <c r="Q5824">
        <f>_xlfn.XLOOKUP(E5824,CPT!$A$2:$A$13,CPT!$D$2:$D$13)</f>
        <v>1450</v>
      </c>
      <c r="R5824" s="1">
        <f>_xlfn.XLOOKUP(C5824,Contract!$A$2:$A$9,Contract!$B$2:$B$9)</f>
        <v>0.28000000000000003</v>
      </c>
      <c r="S5824" s="1">
        <f t="shared" si="360"/>
        <v>8120</v>
      </c>
      <c r="T5824" s="1">
        <f t="shared" si="361"/>
        <v>-245.52000000000044</v>
      </c>
      <c r="U5824" s="1" t="str">
        <f t="shared" si="362"/>
        <v>OK</v>
      </c>
      <c r="V5824" s="1" t="str">
        <f>_xlfn.XLOOKUP(C5824,Payers!$A$2:$A$9,Payers!$B$2:$B$9)</f>
        <v>Coastal Medicaid MCO</v>
      </c>
      <c r="W5824" s="1" t="str">
        <f t="shared" si="363"/>
        <v>2026-03</v>
      </c>
    </row>
    <row r="5825" spans="1:23">
      <c r="A5825" s="1" t="s">
        <v>8720</v>
      </c>
      <c r="B5825" s="1" t="s">
        <v>6295</v>
      </c>
      <c r="C5825" s="1" t="s">
        <v>52</v>
      </c>
      <c r="D5825" s="1" t="s">
        <v>19</v>
      </c>
      <c r="E5825" s="1" t="s">
        <v>20</v>
      </c>
      <c r="F5825">
        <v>1</v>
      </c>
      <c r="G5825" s="2">
        <v>45943</v>
      </c>
      <c r="H5825" s="2">
        <v>45945</v>
      </c>
      <c r="I5825">
        <v>142.66999999999999</v>
      </c>
      <c r="M5825" s="1" t="s">
        <v>32</v>
      </c>
      <c r="N5825" s="1" t="s">
        <v>98</v>
      </c>
      <c r="O5825" s="2">
        <v>46002</v>
      </c>
      <c r="P5825" s="2"/>
      <c r="Q5825">
        <f>_xlfn.XLOOKUP(E5825,CPT!$A$2:$A$13,CPT!$D$2:$D$13)</f>
        <v>145</v>
      </c>
      <c r="R5825" s="1">
        <f>_xlfn.XLOOKUP(C5825,Contract!$A$2:$A$9,Contract!$B$2:$B$9)</f>
        <v>0.47</v>
      </c>
      <c r="S5825" s="1">
        <f t="shared" si="360"/>
        <v>68.150000000000006</v>
      </c>
      <c r="T5825" s="1" t="str">
        <f t="shared" si="361"/>
        <v/>
      </c>
      <c r="U5825" s="1" t="str">
        <f t="shared" si="362"/>
        <v/>
      </c>
      <c r="V5825" s="1" t="str">
        <f>_xlfn.XLOOKUP(C5825,Payers!$A$2:$A$9,Payers!$B$2:$B$9)</f>
        <v>Keystone Commercial PPO</v>
      </c>
      <c r="W5825" s="1" t="str">
        <f t="shared" si="363"/>
        <v>2025-10</v>
      </c>
    </row>
    <row r="5826" spans="1:23">
      <c r="A5826" s="1" t="s">
        <v>8721</v>
      </c>
      <c r="B5826" s="1" t="s">
        <v>1050</v>
      </c>
      <c r="C5826" s="1" t="s">
        <v>25</v>
      </c>
      <c r="D5826" s="1" t="s">
        <v>26</v>
      </c>
      <c r="E5826" s="1" t="s">
        <v>113</v>
      </c>
      <c r="F5826">
        <v>1</v>
      </c>
      <c r="G5826" s="2">
        <v>45994</v>
      </c>
      <c r="H5826" s="2">
        <v>46004</v>
      </c>
      <c r="I5826">
        <v>1033.96</v>
      </c>
      <c r="J5826">
        <v>358.06</v>
      </c>
      <c r="K5826">
        <v>358.06</v>
      </c>
      <c r="L5826">
        <v>0</v>
      </c>
      <c r="M5826" s="1" t="s">
        <v>21</v>
      </c>
      <c r="N5826" s="1" t="s">
        <v>22</v>
      </c>
      <c r="O5826" s="2">
        <v>46019</v>
      </c>
      <c r="P5826" s="2">
        <v>46019</v>
      </c>
      <c r="Q5826">
        <f>_xlfn.XLOOKUP(E5826,CPT!$A$2:$A$13,CPT!$D$2:$D$13)</f>
        <v>1050</v>
      </c>
      <c r="R5826" s="1">
        <f>_xlfn.XLOOKUP(C5826,Contract!$A$2:$A$9,Contract!$B$2:$B$9)</f>
        <v>0.36</v>
      </c>
      <c r="S5826" s="1">
        <f t="shared" ref="S5826:S5889" si="364">ROUND(Q5826*F5826*R5826,2)</f>
        <v>378</v>
      </c>
      <c r="T5826" s="1">
        <f t="shared" ref="T5826:T5889" si="365">IF(M5826="Paid",S5826-J5826,"")</f>
        <v>19.939999999999998</v>
      </c>
      <c r="U5826" s="1" t="str">
        <f t="shared" ref="U5826:U5889" si="366">IF(M5826&lt;&gt;"Paid","",IF(T5826&gt;S5826*0.05,"Underpaid","OK"))</f>
        <v>Underpaid</v>
      </c>
      <c r="V5826" s="1" t="str">
        <f>_xlfn.XLOOKUP(C5826,Payers!$A$2:$A$9,Payers!$B$2:$B$9)</f>
        <v>Medicare Part B</v>
      </c>
      <c r="W5826" s="1" t="str">
        <f t="shared" ref="W5826:W5889" si="367">TEXT(G5826,"yyyy-mm")</f>
        <v>2025-12</v>
      </c>
    </row>
    <row r="5827" spans="1:23">
      <c r="A5827" s="1" t="s">
        <v>8722</v>
      </c>
      <c r="B5827" s="1" t="s">
        <v>3319</v>
      </c>
      <c r="C5827" s="1" t="s">
        <v>60</v>
      </c>
      <c r="D5827" s="1" t="s">
        <v>26</v>
      </c>
      <c r="E5827" s="1" t="s">
        <v>41</v>
      </c>
      <c r="F5827">
        <v>1</v>
      </c>
      <c r="G5827" s="2">
        <v>46022</v>
      </c>
      <c r="H5827" s="2">
        <v>46024</v>
      </c>
      <c r="I5827">
        <v>38.549999999999997</v>
      </c>
      <c r="J5827">
        <v>19.04</v>
      </c>
      <c r="K5827">
        <v>19.04</v>
      </c>
      <c r="L5827">
        <v>0</v>
      </c>
      <c r="M5827" s="1" t="s">
        <v>21</v>
      </c>
      <c r="N5827" s="1" t="s">
        <v>22</v>
      </c>
      <c r="O5827" s="2">
        <v>46066</v>
      </c>
      <c r="P5827" s="2">
        <v>46066</v>
      </c>
      <c r="Q5827">
        <f>_xlfn.XLOOKUP(E5827,CPT!$A$2:$A$13,CPT!$D$2:$D$13)</f>
        <v>38</v>
      </c>
      <c r="R5827" s="1">
        <f>_xlfn.XLOOKUP(C5827,Contract!$A$2:$A$9,Contract!$B$2:$B$9)</f>
        <v>0.45</v>
      </c>
      <c r="S5827" s="1">
        <f t="shared" si="364"/>
        <v>17.100000000000001</v>
      </c>
      <c r="T5827" s="1">
        <f t="shared" si="365"/>
        <v>-1.9399999999999977</v>
      </c>
      <c r="U5827" s="1" t="str">
        <f t="shared" si="366"/>
        <v>OK</v>
      </c>
      <c r="V5827" s="1" t="str">
        <f>_xlfn.XLOOKUP(C5827,Payers!$A$2:$A$9,Payers!$B$2:$B$9)</f>
        <v>Blue Horizon Commercial</v>
      </c>
      <c r="W5827" s="1" t="str">
        <f t="shared" si="367"/>
        <v>2025-12</v>
      </c>
    </row>
    <row r="5828" spans="1:23">
      <c r="A5828" s="1" t="s">
        <v>8723</v>
      </c>
      <c r="B5828" s="1" t="s">
        <v>1285</v>
      </c>
      <c r="C5828" s="1" t="s">
        <v>52</v>
      </c>
      <c r="D5828" s="1" t="s">
        <v>26</v>
      </c>
      <c r="E5828" s="1" t="s">
        <v>185</v>
      </c>
      <c r="F5828">
        <v>1</v>
      </c>
      <c r="G5828" s="2">
        <v>45980</v>
      </c>
      <c r="H5828" s="2">
        <v>45989</v>
      </c>
      <c r="I5828">
        <v>1170.06</v>
      </c>
      <c r="J5828">
        <v>537.39</v>
      </c>
      <c r="K5828">
        <v>537.39</v>
      </c>
      <c r="L5828">
        <v>0</v>
      </c>
      <c r="M5828" s="1" t="s">
        <v>21</v>
      </c>
      <c r="N5828" s="1" t="s">
        <v>22</v>
      </c>
      <c r="O5828" s="2">
        <v>46061</v>
      </c>
      <c r="P5828" s="2">
        <v>46061</v>
      </c>
      <c r="Q5828">
        <f>_xlfn.XLOOKUP(E5828,CPT!$A$2:$A$13,CPT!$D$2:$D$13)</f>
        <v>1150</v>
      </c>
      <c r="R5828" s="1">
        <f>_xlfn.XLOOKUP(C5828,Contract!$A$2:$A$9,Contract!$B$2:$B$9)</f>
        <v>0.47</v>
      </c>
      <c r="S5828" s="1">
        <f t="shared" si="364"/>
        <v>540.5</v>
      </c>
      <c r="T5828" s="1">
        <f t="shared" si="365"/>
        <v>3.1100000000000136</v>
      </c>
      <c r="U5828" s="1" t="str">
        <f t="shared" si="366"/>
        <v>OK</v>
      </c>
      <c r="V5828" s="1" t="str">
        <f>_xlfn.XLOOKUP(C5828,Payers!$A$2:$A$9,Payers!$B$2:$B$9)</f>
        <v>Keystone Commercial PPO</v>
      </c>
      <c r="W5828" s="1" t="str">
        <f t="shared" si="367"/>
        <v>2025-11</v>
      </c>
    </row>
    <row r="5829" spans="1:23">
      <c r="A5829" s="1" t="s">
        <v>8724</v>
      </c>
      <c r="B5829" s="1" t="s">
        <v>1600</v>
      </c>
      <c r="C5829" s="1" t="s">
        <v>25</v>
      </c>
      <c r="D5829" s="1" t="s">
        <v>19</v>
      </c>
      <c r="E5829" s="1" t="s">
        <v>88</v>
      </c>
      <c r="F5829">
        <v>1</v>
      </c>
      <c r="G5829" s="2">
        <v>45940</v>
      </c>
      <c r="H5829" s="2">
        <v>45945</v>
      </c>
      <c r="I5829">
        <v>262.02999999999997</v>
      </c>
      <c r="J5829">
        <v>96.42</v>
      </c>
      <c r="K5829">
        <v>77.14</v>
      </c>
      <c r="L5829">
        <v>19.28</v>
      </c>
      <c r="M5829" s="1" t="s">
        <v>21</v>
      </c>
      <c r="N5829" s="1" t="s">
        <v>22</v>
      </c>
      <c r="O5829" s="2">
        <v>45972</v>
      </c>
      <c r="P5829" s="2">
        <v>45972</v>
      </c>
      <c r="Q5829">
        <f>_xlfn.XLOOKUP(E5829,CPT!$A$2:$A$13,CPT!$D$2:$D$13)</f>
        <v>260</v>
      </c>
      <c r="R5829" s="1">
        <f>_xlfn.XLOOKUP(C5829,Contract!$A$2:$A$9,Contract!$B$2:$B$9)</f>
        <v>0.36</v>
      </c>
      <c r="S5829" s="1">
        <f t="shared" si="364"/>
        <v>93.6</v>
      </c>
      <c r="T5829" s="1">
        <f t="shared" si="365"/>
        <v>-2.8200000000000074</v>
      </c>
      <c r="U5829" s="1" t="str">
        <f t="shared" si="366"/>
        <v>OK</v>
      </c>
      <c r="V5829" s="1" t="str">
        <f>_xlfn.XLOOKUP(C5829,Payers!$A$2:$A$9,Payers!$B$2:$B$9)</f>
        <v>Medicare Part B</v>
      </c>
      <c r="W5829" s="1" t="str">
        <f t="shared" si="367"/>
        <v>2025-10</v>
      </c>
    </row>
    <row r="5830" spans="1:23">
      <c r="A5830" s="1" t="s">
        <v>8725</v>
      </c>
      <c r="B5830" s="1" t="s">
        <v>400</v>
      </c>
      <c r="C5830" s="1" t="s">
        <v>79</v>
      </c>
      <c r="D5830" s="1" t="s">
        <v>37</v>
      </c>
      <c r="E5830" s="1" t="s">
        <v>57</v>
      </c>
      <c r="F5830">
        <v>1</v>
      </c>
      <c r="G5830" s="2">
        <v>45945</v>
      </c>
      <c r="H5830" s="2">
        <v>45950</v>
      </c>
      <c r="I5830">
        <v>209.04</v>
      </c>
      <c r="M5830" s="1" t="s">
        <v>69</v>
      </c>
      <c r="N5830" s="1" t="s">
        <v>22</v>
      </c>
      <c r="O5830" s="2"/>
      <c r="P5830" s="2"/>
      <c r="Q5830">
        <f>_xlfn.XLOOKUP(E5830,CPT!$A$2:$A$13,CPT!$D$2:$D$13)</f>
        <v>210</v>
      </c>
      <c r="R5830" s="1">
        <f>_xlfn.XLOOKUP(C5830,Contract!$A$2:$A$9,Contract!$B$2:$B$9)</f>
        <v>1</v>
      </c>
      <c r="S5830" s="1">
        <f t="shared" si="364"/>
        <v>210</v>
      </c>
      <c r="T5830" s="1" t="str">
        <f t="shared" si="365"/>
        <v/>
      </c>
      <c r="U5830" s="1" t="str">
        <f t="shared" si="366"/>
        <v/>
      </c>
      <c r="V5830" s="1" t="str">
        <f>_xlfn.XLOOKUP(C5830,Payers!$A$2:$A$9,Payers!$B$2:$B$9)</f>
        <v>Self-Pay</v>
      </c>
      <c r="W5830" s="1" t="str">
        <f t="shared" si="367"/>
        <v>2025-10</v>
      </c>
    </row>
    <row r="5831" spans="1:23">
      <c r="A5831" s="1" t="s">
        <v>8726</v>
      </c>
      <c r="B5831" s="1" t="s">
        <v>2282</v>
      </c>
      <c r="C5831" s="1" t="s">
        <v>18</v>
      </c>
      <c r="D5831" s="1" t="s">
        <v>19</v>
      </c>
      <c r="E5831" s="1" t="s">
        <v>57</v>
      </c>
      <c r="F5831">
        <v>1</v>
      </c>
      <c r="G5831" s="2">
        <v>46202</v>
      </c>
      <c r="H5831" s="2">
        <v>46215</v>
      </c>
      <c r="I5831">
        <v>212.79</v>
      </c>
      <c r="J5831">
        <v>82.66</v>
      </c>
      <c r="K5831">
        <v>66.13</v>
      </c>
      <c r="L5831">
        <v>16.53</v>
      </c>
      <c r="M5831" s="1" t="s">
        <v>21</v>
      </c>
      <c r="N5831" s="1" t="s">
        <v>22</v>
      </c>
      <c r="O5831" s="2">
        <v>46265</v>
      </c>
      <c r="P5831" s="2">
        <v>46265</v>
      </c>
      <c r="Q5831">
        <f>_xlfn.XLOOKUP(E5831,CPT!$A$2:$A$13,CPT!$D$2:$D$13)</f>
        <v>210</v>
      </c>
      <c r="R5831" s="1">
        <f>_xlfn.XLOOKUP(C5831,Contract!$A$2:$A$9,Contract!$B$2:$B$9)</f>
        <v>0.38</v>
      </c>
      <c r="S5831" s="1">
        <f t="shared" si="364"/>
        <v>79.8</v>
      </c>
      <c r="T5831" s="1">
        <f t="shared" si="365"/>
        <v>-2.8599999999999994</v>
      </c>
      <c r="U5831" s="1" t="str">
        <f t="shared" si="366"/>
        <v>OK</v>
      </c>
      <c r="V5831" s="1" t="str">
        <f>_xlfn.XLOOKUP(C5831,Payers!$A$2:$A$9,Payers!$B$2:$B$9)</f>
        <v>Sunshine Medicare Advantage</v>
      </c>
      <c r="W5831" s="1" t="str">
        <f t="shared" si="367"/>
        <v>2026-06</v>
      </c>
    </row>
    <row r="5832" spans="1:23">
      <c r="A5832" s="1" t="s">
        <v>8727</v>
      </c>
      <c r="B5832" s="1" t="s">
        <v>4026</v>
      </c>
      <c r="C5832" s="1" t="s">
        <v>79</v>
      </c>
      <c r="D5832" s="1" t="s">
        <v>26</v>
      </c>
      <c r="E5832" s="1" t="s">
        <v>88</v>
      </c>
      <c r="F5832">
        <v>1</v>
      </c>
      <c r="G5832" s="2">
        <v>46180</v>
      </c>
      <c r="H5832" s="2">
        <v>46182</v>
      </c>
      <c r="I5832">
        <v>257.64999999999998</v>
      </c>
      <c r="M5832" s="1" t="s">
        <v>69</v>
      </c>
      <c r="N5832" s="1" t="s">
        <v>22</v>
      </c>
      <c r="O5832" s="2"/>
      <c r="P5832" s="2"/>
      <c r="Q5832">
        <f>_xlfn.XLOOKUP(E5832,CPT!$A$2:$A$13,CPT!$D$2:$D$13)</f>
        <v>260</v>
      </c>
      <c r="R5832" s="1">
        <f>_xlfn.XLOOKUP(C5832,Contract!$A$2:$A$9,Contract!$B$2:$B$9)</f>
        <v>1</v>
      </c>
      <c r="S5832" s="1">
        <f t="shared" si="364"/>
        <v>260</v>
      </c>
      <c r="T5832" s="1" t="str">
        <f t="shared" si="365"/>
        <v/>
      </c>
      <c r="U5832" s="1" t="str">
        <f t="shared" si="366"/>
        <v/>
      </c>
      <c r="V5832" s="1" t="str">
        <f>_xlfn.XLOOKUP(C5832,Payers!$A$2:$A$9,Payers!$B$2:$B$9)</f>
        <v>Self-Pay</v>
      </c>
      <c r="W5832" s="1" t="str">
        <f t="shared" si="367"/>
        <v>2026-06</v>
      </c>
    </row>
    <row r="5833" spans="1:23">
      <c r="A5833" s="1" t="s">
        <v>8728</v>
      </c>
      <c r="B5833" s="1" t="s">
        <v>1980</v>
      </c>
      <c r="C5833" s="1" t="s">
        <v>60</v>
      </c>
      <c r="D5833" s="1" t="s">
        <v>37</v>
      </c>
      <c r="E5833" s="1" t="s">
        <v>38</v>
      </c>
      <c r="F5833">
        <v>30</v>
      </c>
      <c r="G5833" s="2">
        <v>45988</v>
      </c>
      <c r="H5833" s="2">
        <v>45999</v>
      </c>
      <c r="I5833">
        <v>43814.54</v>
      </c>
      <c r="J5833">
        <v>19234.580000000002</v>
      </c>
      <c r="K5833">
        <v>15387.66</v>
      </c>
      <c r="L5833">
        <v>3846.92</v>
      </c>
      <c r="M5833" s="1" t="s">
        <v>21</v>
      </c>
      <c r="N5833" s="1" t="s">
        <v>22</v>
      </c>
      <c r="O5833" s="2">
        <v>46025</v>
      </c>
      <c r="P5833" s="2">
        <v>46025</v>
      </c>
      <c r="Q5833">
        <f>_xlfn.XLOOKUP(E5833,CPT!$A$2:$A$13,CPT!$D$2:$D$13)</f>
        <v>1450</v>
      </c>
      <c r="R5833" s="1">
        <f>_xlfn.XLOOKUP(C5833,Contract!$A$2:$A$9,Contract!$B$2:$B$9)</f>
        <v>0.45</v>
      </c>
      <c r="S5833" s="1">
        <f t="shared" si="364"/>
        <v>19575</v>
      </c>
      <c r="T5833" s="1">
        <f t="shared" si="365"/>
        <v>340.41999999999825</v>
      </c>
      <c r="U5833" s="1" t="str">
        <f t="shared" si="366"/>
        <v>OK</v>
      </c>
      <c r="V5833" s="1" t="str">
        <f>_xlfn.XLOOKUP(C5833,Payers!$A$2:$A$9,Payers!$B$2:$B$9)</f>
        <v>Blue Horizon Commercial</v>
      </c>
      <c r="W5833" s="1" t="str">
        <f t="shared" si="367"/>
        <v>2025-11</v>
      </c>
    </row>
    <row r="5834" spans="1:23">
      <c r="A5834" s="1" t="s">
        <v>8729</v>
      </c>
      <c r="B5834" s="1" t="s">
        <v>314</v>
      </c>
      <c r="C5834" s="1" t="s">
        <v>25</v>
      </c>
      <c r="D5834" s="1" t="s">
        <v>37</v>
      </c>
      <c r="E5834" s="1" t="s">
        <v>57</v>
      </c>
      <c r="F5834">
        <v>1</v>
      </c>
      <c r="G5834" s="2">
        <v>46270</v>
      </c>
      <c r="H5834" s="2">
        <v>46273</v>
      </c>
      <c r="I5834">
        <v>204.06</v>
      </c>
      <c r="J5834">
        <v>65.27</v>
      </c>
      <c r="K5834">
        <v>52.22</v>
      </c>
      <c r="L5834">
        <v>13.05</v>
      </c>
      <c r="M5834" s="1" t="s">
        <v>21</v>
      </c>
      <c r="N5834" s="1" t="s">
        <v>22</v>
      </c>
      <c r="O5834" s="2">
        <v>46288</v>
      </c>
      <c r="P5834" s="2">
        <v>46288</v>
      </c>
      <c r="Q5834">
        <f>_xlfn.XLOOKUP(E5834,CPT!$A$2:$A$13,CPT!$D$2:$D$13)</f>
        <v>210</v>
      </c>
      <c r="R5834" s="1">
        <f>_xlfn.XLOOKUP(C5834,Contract!$A$2:$A$9,Contract!$B$2:$B$9)</f>
        <v>0.36</v>
      </c>
      <c r="S5834" s="1">
        <f t="shared" si="364"/>
        <v>75.599999999999994</v>
      </c>
      <c r="T5834" s="1">
        <f t="shared" si="365"/>
        <v>10.329999999999998</v>
      </c>
      <c r="U5834" s="1" t="str">
        <f t="shared" si="366"/>
        <v>Underpaid</v>
      </c>
      <c r="V5834" s="1" t="str">
        <f>_xlfn.XLOOKUP(C5834,Payers!$A$2:$A$9,Payers!$B$2:$B$9)</f>
        <v>Medicare Part B</v>
      </c>
      <c r="W5834" s="1" t="str">
        <f t="shared" si="367"/>
        <v>2026-09</v>
      </c>
    </row>
    <row r="5835" spans="1:23">
      <c r="A5835" s="1" t="s">
        <v>8730</v>
      </c>
      <c r="B5835" s="1" t="s">
        <v>8444</v>
      </c>
      <c r="C5835" s="1" t="s">
        <v>36</v>
      </c>
      <c r="D5835" s="1" t="s">
        <v>19</v>
      </c>
      <c r="E5835" s="1" t="s">
        <v>57</v>
      </c>
      <c r="F5835">
        <v>1</v>
      </c>
      <c r="G5835" s="2">
        <v>45965</v>
      </c>
      <c r="H5835" s="2">
        <v>45972</v>
      </c>
      <c r="I5835">
        <v>209.02</v>
      </c>
      <c r="M5835" s="1" t="s">
        <v>32</v>
      </c>
      <c r="N5835" s="1" t="s">
        <v>168</v>
      </c>
      <c r="O5835" s="2">
        <v>46014</v>
      </c>
      <c r="P5835" s="2"/>
      <c r="Q5835">
        <f>_xlfn.XLOOKUP(E5835,CPT!$A$2:$A$13,CPT!$D$2:$D$13)</f>
        <v>210</v>
      </c>
      <c r="R5835" s="1">
        <f>_xlfn.XLOOKUP(C5835,Contract!$A$2:$A$9,Contract!$B$2:$B$9)</f>
        <v>0.27</v>
      </c>
      <c r="S5835" s="1">
        <f t="shared" si="364"/>
        <v>56.7</v>
      </c>
      <c r="T5835" s="1" t="str">
        <f t="shared" si="365"/>
        <v/>
      </c>
      <c r="U5835" s="1" t="str">
        <f t="shared" si="366"/>
        <v/>
      </c>
      <c r="V5835" s="1" t="str">
        <f>_xlfn.XLOOKUP(C5835,Payers!$A$2:$A$9,Payers!$B$2:$B$9)</f>
        <v>Florida Medicaid</v>
      </c>
      <c r="W5835" s="1" t="str">
        <f t="shared" si="367"/>
        <v>2025-11</v>
      </c>
    </row>
    <row r="5836" spans="1:23">
      <c r="A5836" s="1" t="s">
        <v>8731</v>
      </c>
      <c r="B5836" s="1" t="s">
        <v>8435</v>
      </c>
      <c r="C5836" s="1" t="s">
        <v>60</v>
      </c>
      <c r="D5836" s="1" t="s">
        <v>37</v>
      </c>
      <c r="E5836" s="1" t="s">
        <v>48</v>
      </c>
      <c r="F5836">
        <v>1</v>
      </c>
      <c r="G5836" s="2">
        <v>46008</v>
      </c>
      <c r="H5836" s="2">
        <v>46019</v>
      </c>
      <c r="I5836">
        <v>427.89</v>
      </c>
      <c r="J5836">
        <v>192.5</v>
      </c>
      <c r="K5836">
        <v>173.25</v>
      </c>
      <c r="L5836">
        <v>19.25</v>
      </c>
      <c r="M5836" s="1" t="s">
        <v>21</v>
      </c>
      <c r="N5836" s="1" t="s">
        <v>22</v>
      </c>
      <c r="O5836" s="2">
        <v>46039</v>
      </c>
      <c r="P5836" s="2">
        <v>46039</v>
      </c>
      <c r="Q5836">
        <f>_xlfn.XLOOKUP(E5836,CPT!$A$2:$A$13,CPT!$D$2:$D$13)</f>
        <v>420</v>
      </c>
      <c r="R5836" s="1">
        <f>_xlfn.XLOOKUP(C5836,Contract!$A$2:$A$9,Contract!$B$2:$B$9)</f>
        <v>0.45</v>
      </c>
      <c r="S5836" s="1">
        <f t="shared" si="364"/>
        <v>189</v>
      </c>
      <c r="T5836" s="1">
        <f t="shared" si="365"/>
        <v>-3.5</v>
      </c>
      <c r="U5836" s="1" t="str">
        <f t="shared" si="366"/>
        <v>OK</v>
      </c>
      <c r="V5836" s="1" t="str">
        <f>_xlfn.XLOOKUP(C5836,Payers!$A$2:$A$9,Payers!$B$2:$B$9)</f>
        <v>Blue Horizon Commercial</v>
      </c>
      <c r="W5836" s="1" t="str">
        <f t="shared" si="367"/>
        <v>2025-12</v>
      </c>
    </row>
    <row r="5837" spans="1:23">
      <c r="A5837" s="1" t="s">
        <v>8732</v>
      </c>
      <c r="B5837" s="1" t="s">
        <v>8733</v>
      </c>
      <c r="C5837" s="1" t="s">
        <v>60</v>
      </c>
      <c r="D5837" s="1" t="s">
        <v>26</v>
      </c>
      <c r="E5837" s="1" t="s">
        <v>27</v>
      </c>
      <c r="F5837">
        <v>1</v>
      </c>
      <c r="G5837" s="2">
        <v>46071</v>
      </c>
      <c r="H5837" s="2">
        <v>46075</v>
      </c>
      <c r="I5837">
        <v>245.75</v>
      </c>
      <c r="J5837">
        <v>102.56</v>
      </c>
      <c r="K5837">
        <v>82.05</v>
      </c>
      <c r="L5837">
        <v>20.51</v>
      </c>
      <c r="M5837" s="1" t="s">
        <v>21</v>
      </c>
      <c r="N5837" s="1" t="s">
        <v>22</v>
      </c>
      <c r="O5837" s="2">
        <v>46109</v>
      </c>
      <c r="P5837" s="2">
        <v>46109</v>
      </c>
      <c r="Q5837">
        <f>_xlfn.XLOOKUP(E5837,CPT!$A$2:$A$13,CPT!$D$2:$D$13)</f>
        <v>240</v>
      </c>
      <c r="R5837" s="1">
        <f>_xlfn.XLOOKUP(C5837,Contract!$A$2:$A$9,Contract!$B$2:$B$9)</f>
        <v>0.45</v>
      </c>
      <c r="S5837" s="1">
        <f t="shared" si="364"/>
        <v>108</v>
      </c>
      <c r="T5837" s="1">
        <f t="shared" si="365"/>
        <v>5.4399999999999977</v>
      </c>
      <c r="U5837" s="1" t="str">
        <f t="shared" si="366"/>
        <v>Underpaid</v>
      </c>
      <c r="V5837" s="1" t="str">
        <f>_xlfn.XLOOKUP(C5837,Payers!$A$2:$A$9,Payers!$B$2:$B$9)</f>
        <v>Blue Horizon Commercial</v>
      </c>
      <c r="W5837" s="1" t="str">
        <f t="shared" si="367"/>
        <v>2026-02</v>
      </c>
    </row>
    <row r="5838" spans="1:23">
      <c r="A5838" s="1" t="s">
        <v>8734</v>
      </c>
      <c r="B5838" s="1" t="s">
        <v>1614</v>
      </c>
      <c r="C5838" s="1" t="s">
        <v>25</v>
      </c>
      <c r="D5838" s="1" t="s">
        <v>30</v>
      </c>
      <c r="E5838" s="1" t="s">
        <v>20</v>
      </c>
      <c r="F5838">
        <v>1</v>
      </c>
      <c r="G5838" s="2">
        <v>45950</v>
      </c>
      <c r="H5838" s="2">
        <v>45956</v>
      </c>
      <c r="I5838">
        <v>147.77000000000001</v>
      </c>
      <c r="J5838">
        <v>52.37</v>
      </c>
      <c r="K5838">
        <v>41.9</v>
      </c>
      <c r="L5838">
        <v>10.47</v>
      </c>
      <c r="M5838" s="1" t="s">
        <v>21</v>
      </c>
      <c r="N5838" s="1" t="s">
        <v>22</v>
      </c>
      <c r="O5838" s="2">
        <v>45976</v>
      </c>
      <c r="P5838" s="2">
        <v>45976</v>
      </c>
      <c r="Q5838">
        <f>_xlfn.XLOOKUP(E5838,CPT!$A$2:$A$13,CPT!$D$2:$D$13)</f>
        <v>145</v>
      </c>
      <c r="R5838" s="1">
        <f>_xlfn.XLOOKUP(C5838,Contract!$A$2:$A$9,Contract!$B$2:$B$9)</f>
        <v>0.36</v>
      </c>
      <c r="S5838" s="1">
        <f t="shared" si="364"/>
        <v>52.2</v>
      </c>
      <c r="T5838" s="1">
        <f t="shared" si="365"/>
        <v>-0.1699999999999946</v>
      </c>
      <c r="U5838" s="1" t="str">
        <f t="shared" si="366"/>
        <v>OK</v>
      </c>
      <c r="V5838" s="1" t="str">
        <f>_xlfn.XLOOKUP(C5838,Payers!$A$2:$A$9,Payers!$B$2:$B$9)</f>
        <v>Medicare Part B</v>
      </c>
      <c r="W5838" s="1" t="str">
        <f t="shared" si="367"/>
        <v>2025-10</v>
      </c>
    </row>
    <row r="5839" spans="1:23">
      <c r="A5839" s="1" t="s">
        <v>8735</v>
      </c>
      <c r="B5839" s="1" t="s">
        <v>1318</v>
      </c>
      <c r="C5839" s="1" t="s">
        <v>60</v>
      </c>
      <c r="D5839" s="1" t="s">
        <v>26</v>
      </c>
      <c r="E5839" s="1" t="s">
        <v>88</v>
      </c>
      <c r="F5839">
        <v>1</v>
      </c>
      <c r="G5839" s="2">
        <v>46023</v>
      </c>
      <c r="H5839" s="2">
        <v>46039</v>
      </c>
      <c r="I5839">
        <v>261.72000000000003</v>
      </c>
      <c r="J5839">
        <v>117.85</v>
      </c>
      <c r="K5839">
        <v>106.06</v>
      </c>
      <c r="L5839">
        <v>11.79</v>
      </c>
      <c r="M5839" s="1" t="s">
        <v>21</v>
      </c>
      <c r="N5839" s="1" t="s">
        <v>22</v>
      </c>
      <c r="O5839" s="2">
        <v>46056</v>
      </c>
      <c r="P5839" s="2">
        <v>46056</v>
      </c>
      <c r="Q5839">
        <f>_xlfn.XLOOKUP(E5839,CPT!$A$2:$A$13,CPT!$D$2:$D$13)</f>
        <v>260</v>
      </c>
      <c r="R5839" s="1">
        <f>_xlfn.XLOOKUP(C5839,Contract!$A$2:$A$9,Contract!$B$2:$B$9)</f>
        <v>0.45</v>
      </c>
      <c r="S5839" s="1">
        <f t="shared" si="364"/>
        <v>117</v>
      </c>
      <c r="T5839" s="1">
        <f t="shared" si="365"/>
        <v>-0.84999999999999432</v>
      </c>
      <c r="U5839" s="1" t="str">
        <f t="shared" si="366"/>
        <v>OK</v>
      </c>
      <c r="V5839" s="1" t="str">
        <f>_xlfn.XLOOKUP(C5839,Payers!$A$2:$A$9,Payers!$B$2:$B$9)</f>
        <v>Blue Horizon Commercial</v>
      </c>
      <c r="W5839" s="1" t="str">
        <f t="shared" si="367"/>
        <v>2026-01</v>
      </c>
    </row>
    <row r="5840" spans="1:23">
      <c r="A5840" s="1" t="s">
        <v>8736</v>
      </c>
      <c r="B5840" s="1" t="s">
        <v>5819</v>
      </c>
      <c r="C5840" s="1" t="s">
        <v>79</v>
      </c>
      <c r="D5840" s="1" t="s">
        <v>19</v>
      </c>
      <c r="E5840" s="1" t="s">
        <v>57</v>
      </c>
      <c r="F5840">
        <v>1</v>
      </c>
      <c r="G5840" s="2">
        <v>46255</v>
      </c>
      <c r="H5840" s="2">
        <v>46266</v>
      </c>
      <c r="I5840">
        <v>211.67</v>
      </c>
      <c r="M5840" s="1" t="s">
        <v>69</v>
      </c>
      <c r="N5840" s="1" t="s">
        <v>22</v>
      </c>
      <c r="O5840" s="2"/>
      <c r="P5840" s="2"/>
      <c r="Q5840">
        <f>_xlfn.XLOOKUP(E5840,CPT!$A$2:$A$13,CPT!$D$2:$D$13)</f>
        <v>210</v>
      </c>
      <c r="R5840" s="1">
        <f>_xlfn.XLOOKUP(C5840,Contract!$A$2:$A$9,Contract!$B$2:$B$9)</f>
        <v>1</v>
      </c>
      <c r="S5840" s="1">
        <f t="shared" si="364"/>
        <v>210</v>
      </c>
      <c r="T5840" s="1" t="str">
        <f t="shared" si="365"/>
        <v/>
      </c>
      <c r="U5840" s="1" t="str">
        <f t="shared" si="366"/>
        <v/>
      </c>
      <c r="V5840" s="1" t="str">
        <f>_xlfn.XLOOKUP(C5840,Payers!$A$2:$A$9,Payers!$B$2:$B$9)</f>
        <v>Self-Pay</v>
      </c>
      <c r="W5840" s="1" t="str">
        <f t="shared" si="367"/>
        <v>2026-08</v>
      </c>
    </row>
    <row r="5841" spans="1:23">
      <c r="A5841" s="1" t="s">
        <v>8737</v>
      </c>
      <c r="B5841" s="1" t="s">
        <v>6189</v>
      </c>
      <c r="C5841" s="1" t="s">
        <v>76</v>
      </c>
      <c r="D5841" s="1" t="s">
        <v>37</v>
      </c>
      <c r="E5841" s="1" t="s">
        <v>57</v>
      </c>
      <c r="F5841">
        <v>1</v>
      </c>
      <c r="G5841" s="2">
        <v>46061</v>
      </c>
      <c r="H5841" s="2">
        <v>46064</v>
      </c>
      <c r="I5841">
        <v>209.04</v>
      </c>
      <c r="M5841" s="1" t="s">
        <v>32</v>
      </c>
      <c r="N5841" s="1" t="s">
        <v>124</v>
      </c>
      <c r="O5841" s="2">
        <v>46084</v>
      </c>
      <c r="P5841" s="2"/>
      <c r="Q5841">
        <f>_xlfn.XLOOKUP(E5841,CPT!$A$2:$A$13,CPT!$D$2:$D$13)</f>
        <v>210</v>
      </c>
      <c r="R5841" s="1">
        <f>_xlfn.XLOOKUP(C5841,Contract!$A$2:$A$9,Contract!$B$2:$B$9)</f>
        <v>0.43</v>
      </c>
      <c r="S5841" s="1">
        <f t="shared" si="364"/>
        <v>90.3</v>
      </c>
      <c r="T5841" s="1" t="str">
        <f t="shared" si="365"/>
        <v/>
      </c>
      <c r="U5841" s="1" t="str">
        <f t="shared" si="366"/>
        <v/>
      </c>
      <c r="V5841" s="1" t="str">
        <f>_xlfn.XLOOKUP(C5841,Payers!$A$2:$A$9,Payers!$B$2:$B$9)</f>
        <v>Summit Health Commercial</v>
      </c>
      <c r="W5841" s="1" t="str">
        <f t="shared" si="367"/>
        <v>2026-02</v>
      </c>
    </row>
    <row r="5842" spans="1:23">
      <c r="A5842" s="1" t="s">
        <v>8738</v>
      </c>
      <c r="B5842" s="1" t="s">
        <v>4294</v>
      </c>
      <c r="C5842" s="1" t="s">
        <v>47</v>
      </c>
      <c r="D5842" s="1" t="s">
        <v>26</v>
      </c>
      <c r="E5842" s="1" t="s">
        <v>57</v>
      </c>
      <c r="F5842">
        <v>1</v>
      </c>
      <c r="G5842" s="2">
        <v>46042</v>
      </c>
      <c r="H5842" s="2">
        <v>46043</v>
      </c>
      <c r="I5842">
        <v>205.23</v>
      </c>
      <c r="J5842">
        <v>63.47</v>
      </c>
      <c r="K5842">
        <v>57.12</v>
      </c>
      <c r="L5842">
        <v>6.35</v>
      </c>
      <c r="M5842" s="1" t="s">
        <v>21</v>
      </c>
      <c r="N5842" s="1" t="s">
        <v>22</v>
      </c>
      <c r="O5842" s="2">
        <v>46119</v>
      </c>
      <c r="P5842" s="2">
        <v>46119</v>
      </c>
      <c r="Q5842">
        <f>_xlfn.XLOOKUP(E5842,CPT!$A$2:$A$13,CPT!$D$2:$D$13)</f>
        <v>210</v>
      </c>
      <c r="R5842" s="1">
        <f>_xlfn.XLOOKUP(C5842,Contract!$A$2:$A$9,Contract!$B$2:$B$9)</f>
        <v>0.28000000000000003</v>
      </c>
      <c r="S5842" s="1">
        <f t="shared" si="364"/>
        <v>58.8</v>
      </c>
      <c r="T5842" s="1">
        <f t="shared" si="365"/>
        <v>-4.6700000000000017</v>
      </c>
      <c r="U5842" s="1" t="str">
        <f t="shared" si="366"/>
        <v>OK</v>
      </c>
      <c r="V5842" s="1" t="str">
        <f>_xlfn.XLOOKUP(C5842,Payers!$A$2:$A$9,Payers!$B$2:$B$9)</f>
        <v>Coastal Medicaid MCO</v>
      </c>
      <c r="W5842" s="1" t="str">
        <f t="shared" si="367"/>
        <v>2026-01</v>
      </c>
    </row>
    <row r="5843" spans="1:23">
      <c r="A5843" s="1" t="s">
        <v>8739</v>
      </c>
      <c r="B5843" s="1" t="s">
        <v>5575</v>
      </c>
      <c r="C5843" s="1" t="s">
        <v>18</v>
      </c>
      <c r="D5843" s="1" t="s">
        <v>30</v>
      </c>
      <c r="E5843" s="1" t="s">
        <v>20</v>
      </c>
      <c r="F5843">
        <v>1</v>
      </c>
      <c r="G5843" s="2">
        <v>46253</v>
      </c>
      <c r="H5843" s="2">
        <v>46260</v>
      </c>
      <c r="I5843">
        <v>146.99</v>
      </c>
      <c r="M5843" s="1" t="s">
        <v>69</v>
      </c>
      <c r="N5843" s="1" t="s">
        <v>22</v>
      </c>
      <c r="O5843" s="2"/>
      <c r="P5843" s="2"/>
      <c r="Q5843">
        <f>_xlfn.XLOOKUP(E5843,CPT!$A$2:$A$13,CPT!$D$2:$D$13)</f>
        <v>145</v>
      </c>
      <c r="R5843" s="1">
        <f>_xlfn.XLOOKUP(C5843,Contract!$A$2:$A$9,Contract!$B$2:$B$9)</f>
        <v>0.38</v>
      </c>
      <c r="S5843" s="1">
        <f t="shared" si="364"/>
        <v>55.1</v>
      </c>
      <c r="T5843" s="1" t="str">
        <f t="shared" si="365"/>
        <v/>
      </c>
      <c r="U5843" s="1" t="str">
        <f t="shared" si="366"/>
        <v/>
      </c>
      <c r="V5843" s="1" t="str">
        <f>_xlfn.XLOOKUP(C5843,Payers!$A$2:$A$9,Payers!$B$2:$B$9)</f>
        <v>Sunshine Medicare Advantage</v>
      </c>
      <c r="W5843" s="1" t="str">
        <f t="shared" si="367"/>
        <v>2026-08</v>
      </c>
    </row>
    <row r="5844" spans="1:23">
      <c r="A5844" s="1" t="s">
        <v>8740</v>
      </c>
      <c r="B5844" s="1" t="s">
        <v>2633</v>
      </c>
      <c r="C5844" s="1" t="s">
        <v>52</v>
      </c>
      <c r="D5844" s="1" t="s">
        <v>37</v>
      </c>
      <c r="E5844" s="1" t="s">
        <v>57</v>
      </c>
      <c r="F5844">
        <v>1</v>
      </c>
      <c r="G5844" s="2">
        <v>46267</v>
      </c>
      <c r="H5844" s="2">
        <v>46268</v>
      </c>
      <c r="I5844">
        <v>216.2</v>
      </c>
      <c r="M5844" s="1" t="s">
        <v>69</v>
      </c>
      <c r="N5844" s="1" t="s">
        <v>22</v>
      </c>
      <c r="O5844" s="2"/>
      <c r="P5844" s="2"/>
      <c r="Q5844">
        <f>_xlfn.XLOOKUP(E5844,CPT!$A$2:$A$13,CPT!$D$2:$D$13)</f>
        <v>210</v>
      </c>
      <c r="R5844" s="1">
        <f>_xlfn.XLOOKUP(C5844,Contract!$A$2:$A$9,Contract!$B$2:$B$9)</f>
        <v>0.47</v>
      </c>
      <c r="S5844" s="1">
        <f t="shared" si="364"/>
        <v>98.7</v>
      </c>
      <c r="T5844" s="1" t="str">
        <f t="shared" si="365"/>
        <v/>
      </c>
      <c r="U5844" s="1" t="str">
        <f t="shared" si="366"/>
        <v/>
      </c>
      <c r="V5844" s="1" t="str">
        <f>_xlfn.XLOOKUP(C5844,Payers!$A$2:$A$9,Payers!$B$2:$B$9)</f>
        <v>Keystone Commercial PPO</v>
      </c>
      <c r="W5844" s="1" t="str">
        <f t="shared" si="367"/>
        <v>2026-09</v>
      </c>
    </row>
    <row r="5845" spans="1:23">
      <c r="A5845" s="1" t="s">
        <v>8741</v>
      </c>
      <c r="B5845" s="1" t="s">
        <v>4570</v>
      </c>
      <c r="C5845" s="1" t="s">
        <v>76</v>
      </c>
      <c r="D5845" s="1" t="s">
        <v>30</v>
      </c>
      <c r="E5845" s="1" t="s">
        <v>20</v>
      </c>
      <c r="F5845">
        <v>1</v>
      </c>
      <c r="G5845" s="2">
        <v>46089</v>
      </c>
      <c r="H5845" s="2">
        <v>46094</v>
      </c>
      <c r="I5845">
        <v>142.78</v>
      </c>
      <c r="J5845">
        <v>67.53</v>
      </c>
      <c r="K5845">
        <v>67.53</v>
      </c>
      <c r="L5845">
        <v>0</v>
      </c>
      <c r="M5845" s="1" t="s">
        <v>21</v>
      </c>
      <c r="N5845" s="1" t="s">
        <v>22</v>
      </c>
      <c r="O5845" s="2">
        <v>46127</v>
      </c>
      <c r="P5845" s="2">
        <v>46127</v>
      </c>
      <c r="Q5845">
        <f>_xlfn.XLOOKUP(E5845,CPT!$A$2:$A$13,CPT!$D$2:$D$13)</f>
        <v>145</v>
      </c>
      <c r="R5845" s="1">
        <f>_xlfn.XLOOKUP(C5845,Contract!$A$2:$A$9,Contract!$B$2:$B$9)</f>
        <v>0.43</v>
      </c>
      <c r="S5845" s="1">
        <f t="shared" si="364"/>
        <v>62.35</v>
      </c>
      <c r="T5845" s="1">
        <f t="shared" si="365"/>
        <v>-5.18</v>
      </c>
      <c r="U5845" s="1" t="str">
        <f t="shared" si="366"/>
        <v>OK</v>
      </c>
      <c r="V5845" s="1" t="str">
        <f>_xlfn.XLOOKUP(C5845,Payers!$A$2:$A$9,Payers!$B$2:$B$9)</f>
        <v>Summit Health Commercial</v>
      </c>
      <c r="W5845" s="1" t="str">
        <f t="shared" si="367"/>
        <v>2026-03</v>
      </c>
    </row>
    <row r="5846" spans="1:23">
      <c r="A5846" s="1" t="s">
        <v>8742</v>
      </c>
      <c r="B5846" s="1" t="s">
        <v>6874</v>
      </c>
      <c r="C5846" s="1" t="s">
        <v>18</v>
      </c>
      <c r="D5846" s="1" t="s">
        <v>30</v>
      </c>
      <c r="E5846" s="1" t="s">
        <v>20</v>
      </c>
      <c r="F5846">
        <v>1</v>
      </c>
      <c r="G5846" s="2">
        <v>46038</v>
      </c>
      <c r="H5846" s="2">
        <v>46043</v>
      </c>
      <c r="I5846">
        <v>145.31</v>
      </c>
      <c r="J5846">
        <v>48.26</v>
      </c>
      <c r="K5846">
        <v>48.26</v>
      </c>
      <c r="L5846">
        <v>0</v>
      </c>
      <c r="M5846" s="1" t="s">
        <v>21</v>
      </c>
      <c r="N5846" s="1" t="s">
        <v>22</v>
      </c>
      <c r="O5846" s="2">
        <v>46076</v>
      </c>
      <c r="P5846" s="2">
        <v>46076</v>
      </c>
      <c r="Q5846">
        <f>_xlfn.XLOOKUP(E5846,CPT!$A$2:$A$13,CPT!$D$2:$D$13)</f>
        <v>145</v>
      </c>
      <c r="R5846" s="1">
        <f>_xlfn.XLOOKUP(C5846,Contract!$A$2:$A$9,Contract!$B$2:$B$9)</f>
        <v>0.38</v>
      </c>
      <c r="S5846" s="1">
        <f t="shared" si="364"/>
        <v>55.1</v>
      </c>
      <c r="T5846" s="1">
        <f t="shared" si="365"/>
        <v>6.8400000000000034</v>
      </c>
      <c r="U5846" s="1" t="str">
        <f t="shared" si="366"/>
        <v>Underpaid</v>
      </c>
      <c r="V5846" s="1" t="str">
        <f>_xlfn.XLOOKUP(C5846,Payers!$A$2:$A$9,Payers!$B$2:$B$9)</f>
        <v>Sunshine Medicare Advantage</v>
      </c>
      <c r="W5846" s="1" t="str">
        <f t="shared" si="367"/>
        <v>2026-01</v>
      </c>
    </row>
    <row r="5847" spans="1:23">
      <c r="A5847" s="1" t="s">
        <v>8743</v>
      </c>
      <c r="B5847" s="1" t="s">
        <v>8744</v>
      </c>
      <c r="C5847" s="1" t="s">
        <v>52</v>
      </c>
      <c r="D5847" s="1" t="s">
        <v>30</v>
      </c>
      <c r="E5847" s="1" t="s">
        <v>20</v>
      </c>
      <c r="F5847">
        <v>1</v>
      </c>
      <c r="G5847" s="2">
        <v>46074</v>
      </c>
      <c r="H5847" s="2">
        <v>46075</v>
      </c>
      <c r="I5847">
        <v>142.19999999999999</v>
      </c>
      <c r="J5847">
        <v>57.83</v>
      </c>
      <c r="K5847">
        <v>57.83</v>
      </c>
      <c r="L5847">
        <v>0</v>
      </c>
      <c r="M5847" s="1" t="s">
        <v>21</v>
      </c>
      <c r="N5847" s="1" t="s">
        <v>22</v>
      </c>
      <c r="O5847" s="2">
        <v>46126</v>
      </c>
      <c r="P5847" s="2">
        <v>46126</v>
      </c>
      <c r="Q5847">
        <f>_xlfn.XLOOKUP(E5847,CPT!$A$2:$A$13,CPT!$D$2:$D$13)</f>
        <v>145</v>
      </c>
      <c r="R5847" s="1">
        <f>_xlfn.XLOOKUP(C5847,Contract!$A$2:$A$9,Contract!$B$2:$B$9)</f>
        <v>0.47</v>
      </c>
      <c r="S5847" s="1">
        <f t="shared" si="364"/>
        <v>68.150000000000006</v>
      </c>
      <c r="T5847" s="1">
        <f t="shared" si="365"/>
        <v>10.320000000000007</v>
      </c>
      <c r="U5847" s="1" t="str">
        <f t="shared" si="366"/>
        <v>Underpaid</v>
      </c>
      <c r="V5847" s="1" t="str">
        <f>_xlfn.XLOOKUP(C5847,Payers!$A$2:$A$9,Payers!$B$2:$B$9)</f>
        <v>Keystone Commercial PPO</v>
      </c>
      <c r="W5847" s="1" t="str">
        <f t="shared" si="367"/>
        <v>2026-02</v>
      </c>
    </row>
    <row r="5848" spans="1:23">
      <c r="A5848" s="1" t="s">
        <v>8745</v>
      </c>
      <c r="B5848" s="1" t="s">
        <v>4359</v>
      </c>
      <c r="C5848" s="1" t="s">
        <v>60</v>
      </c>
      <c r="D5848" s="1" t="s">
        <v>19</v>
      </c>
      <c r="E5848" s="1" t="s">
        <v>41</v>
      </c>
      <c r="F5848">
        <v>1</v>
      </c>
      <c r="G5848" s="2">
        <v>46145</v>
      </c>
      <c r="H5848" s="2">
        <v>46149</v>
      </c>
      <c r="I5848">
        <v>38.31</v>
      </c>
      <c r="J5848">
        <v>15.61</v>
      </c>
      <c r="K5848">
        <v>14.05</v>
      </c>
      <c r="L5848">
        <v>1.56</v>
      </c>
      <c r="M5848" s="1" t="s">
        <v>21</v>
      </c>
      <c r="N5848" s="1" t="s">
        <v>22</v>
      </c>
      <c r="O5848" s="2">
        <v>46177</v>
      </c>
      <c r="P5848" s="2">
        <v>46177</v>
      </c>
      <c r="Q5848">
        <f>_xlfn.XLOOKUP(E5848,CPT!$A$2:$A$13,CPT!$D$2:$D$13)</f>
        <v>38</v>
      </c>
      <c r="R5848" s="1">
        <f>_xlfn.XLOOKUP(C5848,Contract!$A$2:$A$9,Contract!$B$2:$B$9)</f>
        <v>0.45</v>
      </c>
      <c r="S5848" s="1">
        <f t="shared" si="364"/>
        <v>17.100000000000001</v>
      </c>
      <c r="T5848" s="1">
        <f t="shared" si="365"/>
        <v>1.490000000000002</v>
      </c>
      <c r="U5848" s="1" t="str">
        <f t="shared" si="366"/>
        <v>Underpaid</v>
      </c>
      <c r="V5848" s="1" t="str">
        <f>_xlfn.XLOOKUP(C5848,Payers!$A$2:$A$9,Payers!$B$2:$B$9)</f>
        <v>Blue Horizon Commercial</v>
      </c>
      <c r="W5848" s="1" t="str">
        <f t="shared" si="367"/>
        <v>2026-05</v>
      </c>
    </row>
    <row r="5849" spans="1:23">
      <c r="A5849" s="1" t="s">
        <v>8746</v>
      </c>
      <c r="B5849" s="1" t="s">
        <v>5178</v>
      </c>
      <c r="C5849" s="1" t="s">
        <v>60</v>
      </c>
      <c r="D5849" s="1" t="s">
        <v>26</v>
      </c>
      <c r="E5849" s="1" t="s">
        <v>113</v>
      </c>
      <c r="F5849">
        <v>1</v>
      </c>
      <c r="G5849" s="2">
        <v>46192</v>
      </c>
      <c r="H5849" s="2">
        <v>46193</v>
      </c>
      <c r="I5849">
        <v>1077.1500000000001</v>
      </c>
      <c r="J5849">
        <v>529.21</v>
      </c>
      <c r="K5849">
        <v>423.37</v>
      </c>
      <c r="L5849">
        <v>105.84</v>
      </c>
      <c r="M5849" s="1" t="s">
        <v>21</v>
      </c>
      <c r="N5849" s="1" t="s">
        <v>22</v>
      </c>
      <c r="O5849" s="2">
        <v>46216</v>
      </c>
      <c r="P5849" s="2">
        <v>46216</v>
      </c>
      <c r="Q5849">
        <f>_xlfn.XLOOKUP(E5849,CPT!$A$2:$A$13,CPT!$D$2:$D$13)</f>
        <v>1050</v>
      </c>
      <c r="R5849" s="1">
        <f>_xlfn.XLOOKUP(C5849,Contract!$A$2:$A$9,Contract!$B$2:$B$9)</f>
        <v>0.45</v>
      </c>
      <c r="S5849" s="1">
        <f t="shared" si="364"/>
        <v>472.5</v>
      </c>
      <c r="T5849" s="1">
        <f t="shared" si="365"/>
        <v>-56.710000000000036</v>
      </c>
      <c r="U5849" s="1" t="str">
        <f t="shared" si="366"/>
        <v>OK</v>
      </c>
      <c r="V5849" s="1" t="str">
        <f>_xlfn.XLOOKUP(C5849,Payers!$A$2:$A$9,Payers!$B$2:$B$9)</f>
        <v>Blue Horizon Commercial</v>
      </c>
      <c r="W5849" s="1" t="str">
        <f t="shared" si="367"/>
        <v>2026-06</v>
      </c>
    </row>
    <row r="5850" spans="1:23">
      <c r="A5850" s="1" t="s">
        <v>8747</v>
      </c>
      <c r="B5850" s="1" t="s">
        <v>1578</v>
      </c>
      <c r="C5850" s="1" t="s">
        <v>60</v>
      </c>
      <c r="D5850" s="1" t="s">
        <v>30</v>
      </c>
      <c r="E5850" s="1" t="s">
        <v>20</v>
      </c>
      <c r="F5850">
        <v>1</v>
      </c>
      <c r="G5850" s="2">
        <v>46225</v>
      </c>
      <c r="H5850" s="2">
        <v>46227</v>
      </c>
      <c r="I5850">
        <v>144.68</v>
      </c>
      <c r="J5850">
        <v>64.19</v>
      </c>
      <c r="K5850">
        <v>64.19</v>
      </c>
      <c r="L5850">
        <v>0</v>
      </c>
      <c r="M5850" s="1" t="s">
        <v>21</v>
      </c>
      <c r="N5850" s="1" t="s">
        <v>22</v>
      </c>
      <c r="O5850" s="2">
        <v>46260</v>
      </c>
      <c r="P5850" s="2">
        <v>46260</v>
      </c>
      <c r="Q5850">
        <f>_xlfn.XLOOKUP(E5850,CPT!$A$2:$A$13,CPT!$D$2:$D$13)</f>
        <v>145</v>
      </c>
      <c r="R5850" s="1">
        <f>_xlfn.XLOOKUP(C5850,Contract!$A$2:$A$9,Contract!$B$2:$B$9)</f>
        <v>0.45</v>
      </c>
      <c r="S5850" s="1">
        <f t="shared" si="364"/>
        <v>65.25</v>
      </c>
      <c r="T5850" s="1">
        <f t="shared" si="365"/>
        <v>1.0600000000000023</v>
      </c>
      <c r="U5850" s="1" t="str">
        <f t="shared" si="366"/>
        <v>OK</v>
      </c>
      <c r="V5850" s="1" t="str">
        <f>_xlfn.XLOOKUP(C5850,Payers!$A$2:$A$9,Payers!$B$2:$B$9)</f>
        <v>Blue Horizon Commercial</v>
      </c>
      <c r="W5850" s="1" t="str">
        <f t="shared" si="367"/>
        <v>2026-07</v>
      </c>
    </row>
    <row r="5851" spans="1:23">
      <c r="A5851" s="1" t="s">
        <v>8748</v>
      </c>
      <c r="B5851" s="1" t="s">
        <v>6569</v>
      </c>
      <c r="C5851" s="1" t="s">
        <v>25</v>
      </c>
      <c r="D5851" s="1" t="s">
        <v>19</v>
      </c>
      <c r="E5851" s="1" t="s">
        <v>88</v>
      </c>
      <c r="F5851">
        <v>1</v>
      </c>
      <c r="G5851" s="2">
        <v>46270</v>
      </c>
      <c r="H5851" s="2">
        <v>46272</v>
      </c>
      <c r="I5851">
        <v>257.41000000000003</v>
      </c>
      <c r="J5851">
        <v>86.31</v>
      </c>
      <c r="K5851">
        <v>86.31</v>
      </c>
      <c r="L5851">
        <v>0</v>
      </c>
      <c r="M5851" s="1" t="s">
        <v>21</v>
      </c>
      <c r="N5851" s="1" t="s">
        <v>22</v>
      </c>
      <c r="O5851" s="2">
        <v>46295</v>
      </c>
      <c r="P5851" s="2">
        <v>46295</v>
      </c>
      <c r="Q5851">
        <f>_xlfn.XLOOKUP(E5851,CPT!$A$2:$A$13,CPT!$D$2:$D$13)</f>
        <v>260</v>
      </c>
      <c r="R5851" s="1">
        <f>_xlfn.XLOOKUP(C5851,Contract!$A$2:$A$9,Contract!$B$2:$B$9)</f>
        <v>0.36</v>
      </c>
      <c r="S5851" s="1">
        <f t="shared" si="364"/>
        <v>93.6</v>
      </c>
      <c r="T5851" s="1">
        <f t="shared" si="365"/>
        <v>7.289999999999992</v>
      </c>
      <c r="U5851" s="1" t="str">
        <f t="shared" si="366"/>
        <v>Underpaid</v>
      </c>
      <c r="V5851" s="1" t="str">
        <f>_xlfn.XLOOKUP(C5851,Payers!$A$2:$A$9,Payers!$B$2:$B$9)</f>
        <v>Medicare Part B</v>
      </c>
      <c r="W5851" s="1" t="str">
        <f t="shared" si="367"/>
        <v>2026-09</v>
      </c>
    </row>
    <row r="5852" spans="1:23">
      <c r="A5852" s="1" t="s">
        <v>8749</v>
      </c>
      <c r="B5852" s="1" t="s">
        <v>8750</v>
      </c>
      <c r="C5852" s="1" t="s">
        <v>18</v>
      </c>
      <c r="D5852" s="1" t="s">
        <v>37</v>
      </c>
      <c r="E5852" s="1" t="s">
        <v>48</v>
      </c>
      <c r="F5852">
        <v>1</v>
      </c>
      <c r="G5852" s="2">
        <v>46183</v>
      </c>
      <c r="H5852" s="2">
        <v>46184</v>
      </c>
      <c r="I5852">
        <v>409.48</v>
      </c>
      <c r="M5852" s="1" t="s">
        <v>32</v>
      </c>
      <c r="N5852" s="1" t="s">
        <v>49</v>
      </c>
      <c r="O5852" s="2">
        <v>46222</v>
      </c>
      <c r="P5852" s="2"/>
      <c r="Q5852">
        <f>_xlfn.XLOOKUP(E5852,CPT!$A$2:$A$13,CPT!$D$2:$D$13)</f>
        <v>420</v>
      </c>
      <c r="R5852" s="1">
        <f>_xlfn.XLOOKUP(C5852,Contract!$A$2:$A$9,Contract!$B$2:$B$9)</f>
        <v>0.38</v>
      </c>
      <c r="S5852" s="1">
        <f t="shared" si="364"/>
        <v>159.6</v>
      </c>
      <c r="T5852" s="1" t="str">
        <f t="shared" si="365"/>
        <v/>
      </c>
      <c r="U5852" s="1" t="str">
        <f t="shared" si="366"/>
        <v/>
      </c>
      <c r="V5852" s="1" t="str">
        <f>_xlfn.XLOOKUP(C5852,Payers!$A$2:$A$9,Payers!$B$2:$B$9)</f>
        <v>Sunshine Medicare Advantage</v>
      </c>
      <c r="W5852" s="1" t="str">
        <f t="shared" si="367"/>
        <v>2026-06</v>
      </c>
    </row>
    <row r="5853" spans="1:23">
      <c r="A5853" s="1" t="s">
        <v>8751</v>
      </c>
      <c r="B5853" s="1" t="s">
        <v>1909</v>
      </c>
      <c r="C5853" s="1" t="s">
        <v>60</v>
      </c>
      <c r="D5853" s="1" t="s">
        <v>19</v>
      </c>
      <c r="E5853" s="1" t="s">
        <v>41</v>
      </c>
      <c r="F5853">
        <v>1</v>
      </c>
      <c r="G5853" s="2">
        <v>45968</v>
      </c>
      <c r="H5853" s="2">
        <v>45972</v>
      </c>
      <c r="I5853">
        <v>38.090000000000003</v>
      </c>
      <c r="J5853">
        <v>15.96</v>
      </c>
      <c r="K5853">
        <v>15.96</v>
      </c>
      <c r="L5853">
        <v>0</v>
      </c>
      <c r="M5853" s="1" t="s">
        <v>21</v>
      </c>
      <c r="N5853" s="1" t="s">
        <v>22</v>
      </c>
      <c r="O5853" s="2">
        <v>45985</v>
      </c>
      <c r="P5853" s="2">
        <v>45985</v>
      </c>
      <c r="Q5853">
        <f>_xlfn.XLOOKUP(E5853,CPT!$A$2:$A$13,CPT!$D$2:$D$13)</f>
        <v>38</v>
      </c>
      <c r="R5853" s="1">
        <f>_xlfn.XLOOKUP(C5853,Contract!$A$2:$A$9,Contract!$B$2:$B$9)</f>
        <v>0.45</v>
      </c>
      <c r="S5853" s="1">
        <f t="shared" si="364"/>
        <v>17.100000000000001</v>
      </c>
      <c r="T5853" s="1">
        <f t="shared" si="365"/>
        <v>1.1400000000000006</v>
      </c>
      <c r="U5853" s="1" t="str">
        <f t="shared" si="366"/>
        <v>Underpaid</v>
      </c>
      <c r="V5853" s="1" t="str">
        <f>_xlfn.XLOOKUP(C5853,Payers!$A$2:$A$9,Payers!$B$2:$B$9)</f>
        <v>Blue Horizon Commercial</v>
      </c>
      <c r="W5853" s="1" t="str">
        <f t="shared" si="367"/>
        <v>2025-11</v>
      </c>
    </row>
    <row r="5854" spans="1:23">
      <c r="A5854" s="1" t="s">
        <v>8752</v>
      </c>
      <c r="B5854" s="1" t="s">
        <v>4836</v>
      </c>
      <c r="C5854" s="1" t="s">
        <v>76</v>
      </c>
      <c r="D5854" s="1" t="s">
        <v>30</v>
      </c>
      <c r="E5854" s="1" t="s">
        <v>20</v>
      </c>
      <c r="F5854">
        <v>1</v>
      </c>
      <c r="G5854" s="2">
        <v>46023</v>
      </c>
      <c r="H5854" s="2">
        <v>46025</v>
      </c>
      <c r="I5854">
        <v>145.58000000000001</v>
      </c>
      <c r="J5854">
        <v>65.64</v>
      </c>
      <c r="K5854">
        <v>59.08</v>
      </c>
      <c r="L5854">
        <v>6.56</v>
      </c>
      <c r="M5854" s="1" t="s">
        <v>21</v>
      </c>
      <c r="N5854" s="1" t="s">
        <v>22</v>
      </c>
      <c r="O5854" s="2">
        <v>46056</v>
      </c>
      <c r="P5854" s="2">
        <v>46056</v>
      </c>
      <c r="Q5854">
        <f>_xlfn.XLOOKUP(E5854,CPT!$A$2:$A$13,CPT!$D$2:$D$13)</f>
        <v>145</v>
      </c>
      <c r="R5854" s="1">
        <f>_xlfn.XLOOKUP(C5854,Contract!$A$2:$A$9,Contract!$B$2:$B$9)</f>
        <v>0.43</v>
      </c>
      <c r="S5854" s="1">
        <f t="shared" si="364"/>
        <v>62.35</v>
      </c>
      <c r="T5854" s="1">
        <f t="shared" si="365"/>
        <v>-3.2899999999999991</v>
      </c>
      <c r="U5854" s="1" t="str">
        <f t="shared" si="366"/>
        <v>OK</v>
      </c>
      <c r="V5854" s="1" t="str">
        <f>_xlfn.XLOOKUP(C5854,Payers!$A$2:$A$9,Payers!$B$2:$B$9)</f>
        <v>Summit Health Commercial</v>
      </c>
      <c r="W5854" s="1" t="str">
        <f t="shared" si="367"/>
        <v>2026-01</v>
      </c>
    </row>
    <row r="5855" spans="1:23">
      <c r="A5855" s="1" t="s">
        <v>8753</v>
      </c>
      <c r="B5855" s="1" t="s">
        <v>7228</v>
      </c>
      <c r="C5855" s="1" t="s">
        <v>25</v>
      </c>
      <c r="D5855" s="1" t="s">
        <v>37</v>
      </c>
      <c r="E5855" s="1" t="s">
        <v>57</v>
      </c>
      <c r="F5855">
        <v>1</v>
      </c>
      <c r="G5855" s="2">
        <v>46136</v>
      </c>
      <c r="H5855" s="2">
        <v>46139</v>
      </c>
      <c r="I5855">
        <v>211.63</v>
      </c>
      <c r="J5855">
        <v>67.290000000000006</v>
      </c>
      <c r="K5855">
        <v>60.56</v>
      </c>
      <c r="L5855">
        <v>6.73</v>
      </c>
      <c r="M5855" s="1" t="s">
        <v>21</v>
      </c>
      <c r="N5855" s="1" t="s">
        <v>22</v>
      </c>
      <c r="O5855" s="2">
        <v>46159</v>
      </c>
      <c r="P5855" s="2">
        <v>46159</v>
      </c>
      <c r="Q5855">
        <f>_xlfn.XLOOKUP(E5855,CPT!$A$2:$A$13,CPT!$D$2:$D$13)</f>
        <v>210</v>
      </c>
      <c r="R5855" s="1">
        <f>_xlfn.XLOOKUP(C5855,Contract!$A$2:$A$9,Contract!$B$2:$B$9)</f>
        <v>0.36</v>
      </c>
      <c r="S5855" s="1">
        <f t="shared" si="364"/>
        <v>75.599999999999994</v>
      </c>
      <c r="T5855" s="1">
        <f t="shared" si="365"/>
        <v>8.3099999999999881</v>
      </c>
      <c r="U5855" s="1" t="str">
        <f t="shared" si="366"/>
        <v>Underpaid</v>
      </c>
      <c r="V5855" s="1" t="str">
        <f>_xlfn.XLOOKUP(C5855,Payers!$A$2:$A$9,Payers!$B$2:$B$9)</f>
        <v>Medicare Part B</v>
      </c>
      <c r="W5855" s="1" t="str">
        <f t="shared" si="367"/>
        <v>2026-04</v>
      </c>
    </row>
    <row r="5856" spans="1:23">
      <c r="A5856" s="1" t="s">
        <v>8754</v>
      </c>
      <c r="B5856" s="1" t="s">
        <v>1114</v>
      </c>
      <c r="C5856" s="1" t="s">
        <v>60</v>
      </c>
      <c r="D5856" s="1" t="s">
        <v>26</v>
      </c>
      <c r="E5856" s="1" t="s">
        <v>88</v>
      </c>
      <c r="F5856">
        <v>1</v>
      </c>
      <c r="G5856" s="2">
        <v>45941</v>
      </c>
      <c r="H5856" s="2">
        <v>45942</v>
      </c>
      <c r="I5856">
        <v>265.41000000000003</v>
      </c>
      <c r="J5856">
        <v>130.49</v>
      </c>
      <c r="K5856">
        <v>104.39</v>
      </c>
      <c r="L5856">
        <v>26.1</v>
      </c>
      <c r="M5856" s="1" t="s">
        <v>21</v>
      </c>
      <c r="N5856" s="1" t="s">
        <v>22</v>
      </c>
      <c r="O5856" s="2">
        <v>45971</v>
      </c>
      <c r="P5856" s="2">
        <v>45971</v>
      </c>
      <c r="Q5856">
        <f>_xlfn.XLOOKUP(E5856,CPT!$A$2:$A$13,CPT!$D$2:$D$13)</f>
        <v>260</v>
      </c>
      <c r="R5856" s="1">
        <f>_xlfn.XLOOKUP(C5856,Contract!$A$2:$A$9,Contract!$B$2:$B$9)</f>
        <v>0.45</v>
      </c>
      <c r="S5856" s="1">
        <f t="shared" si="364"/>
        <v>117</v>
      </c>
      <c r="T5856" s="1">
        <f t="shared" si="365"/>
        <v>-13.490000000000009</v>
      </c>
      <c r="U5856" s="1" t="str">
        <f t="shared" si="366"/>
        <v>OK</v>
      </c>
      <c r="V5856" s="1" t="str">
        <f>_xlfn.XLOOKUP(C5856,Payers!$A$2:$A$9,Payers!$B$2:$B$9)</f>
        <v>Blue Horizon Commercial</v>
      </c>
      <c r="W5856" s="1" t="str">
        <f t="shared" si="367"/>
        <v>2025-10</v>
      </c>
    </row>
    <row r="5857" spans="1:23">
      <c r="A5857" s="1" t="s">
        <v>8755</v>
      </c>
      <c r="B5857" s="1" t="s">
        <v>1652</v>
      </c>
      <c r="C5857" s="1" t="s">
        <v>47</v>
      </c>
      <c r="D5857" s="1" t="s">
        <v>26</v>
      </c>
      <c r="E5857" s="1" t="s">
        <v>41</v>
      </c>
      <c r="F5857">
        <v>1</v>
      </c>
      <c r="G5857" s="2">
        <v>46173</v>
      </c>
      <c r="H5857" s="2">
        <v>46177</v>
      </c>
      <c r="I5857">
        <v>38.89</v>
      </c>
      <c r="J5857">
        <v>10.28</v>
      </c>
      <c r="K5857">
        <v>10.28</v>
      </c>
      <c r="L5857">
        <v>0</v>
      </c>
      <c r="M5857" s="1" t="s">
        <v>21</v>
      </c>
      <c r="N5857" s="1" t="s">
        <v>22</v>
      </c>
      <c r="O5857" s="2">
        <v>46261</v>
      </c>
      <c r="P5857" s="2">
        <v>46261</v>
      </c>
      <c r="Q5857">
        <f>_xlfn.XLOOKUP(E5857,CPT!$A$2:$A$13,CPT!$D$2:$D$13)</f>
        <v>38</v>
      </c>
      <c r="R5857" s="1">
        <f>_xlfn.XLOOKUP(C5857,Contract!$A$2:$A$9,Contract!$B$2:$B$9)</f>
        <v>0.28000000000000003</v>
      </c>
      <c r="S5857" s="1">
        <f t="shared" si="364"/>
        <v>10.64</v>
      </c>
      <c r="T5857" s="1">
        <f t="shared" si="365"/>
        <v>0.36000000000000121</v>
      </c>
      <c r="U5857" s="1" t="str">
        <f t="shared" si="366"/>
        <v>OK</v>
      </c>
      <c r="V5857" s="1" t="str">
        <f>_xlfn.XLOOKUP(C5857,Payers!$A$2:$A$9,Payers!$B$2:$B$9)</f>
        <v>Coastal Medicaid MCO</v>
      </c>
      <c r="W5857" s="1" t="str">
        <f t="shared" si="367"/>
        <v>2026-05</v>
      </c>
    </row>
    <row r="5858" spans="1:23">
      <c r="A5858" s="1" t="s">
        <v>8756</v>
      </c>
      <c r="B5858" s="1" t="s">
        <v>7345</v>
      </c>
      <c r="C5858" s="1" t="s">
        <v>60</v>
      </c>
      <c r="D5858" s="1" t="s">
        <v>26</v>
      </c>
      <c r="E5858" s="1" t="s">
        <v>185</v>
      </c>
      <c r="F5858">
        <v>1</v>
      </c>
      <c r="G5858" s="2">
        <v>46048</v>
      </c>
      <c r="H5858" s="2">
        <v>46055</v>
      </c>
      <c r="I5858">
        <v>1153.2</v>
      </c>
      <c r="M5858" s="1" t="s">
        <v>32</v>
      </c>
      <c r="N5858" s="1" t="s">
        <v>49</v>
      </c>
      <c r="O5858" s="2">
        <v>46075</v>
      </c>
      <c r="P5858" s="2"/>
      <c r="Q5858">
        <f>_xlfn.XLOOKUP(E5858,CPT!$A$2:$A$13,CPT!$D$2:$D$13)</f>
        <v>1150</v>
      </c>
      <c r="R5858" s="1">
        <f>_xlfn.XLOOKUP(C5858,Contract!$A$2:$A$9,Contract!$B$2:$B$9)</f>
        <v>0.45</v>
      </c>
      <c r="S5858" s="1">
        <f t="shared" si="364"/>
        <v>517.5</v>
      </c>
      <c r="T5858" s="1" t="str">
        <f t="shared" si="365"/>
        <v/>
      </c>
      <c r="U5858" s="1" t="str">
        <f t="shared" si="366"/>
        <v/>
      </c>
      <c r="V5858" s="1" t="str">
        <f>_xlfn.XLOOKUP(C5858,Payers!$A$2:$A$9,Payers!$B$2:$B$9)</f>
        <v>Blue Horizon Commercial</v>
      </c>
      <c r="W5858" s="1" t="str">
        <f t="shared" si="367"/>
        <v>2026-01</v>
      </c>
    </row>
    <row r="5859" spans="1:23">
      <c r="A5859" s="1" t="s">
        <v>8757</v>
      </c>
      <c r="B5859" s="1" t="s">
        <v>3742</v>
      </c>
      <c r="C5859" s="1" t="s">
        <v>25</v>
      </c>
      <c r="D5859" s="1" t="s">
        <v>37</v>
      </c>
      <c r="E5859" s="1" t="s">
        <v>38</v>
      </c>
      <c r="F5859">
        <v>30</v>
      </c>
      <c r="G5859" s="2">
        <v>46007</v>
      </c>
      <c r="H5859" s="2">
        <v>46015</v>
      </c>
      <c r="I5859">
        <v>42639.519999999997</v>
      </c>
      <c r="J5859">
        <v>13098.13</v>
      </c>
      <c r="K5859">
        <v>13098.13</v>
      </c>
      <c r="L5859">
        <v>0</v>
      </c>
      <c r="M5859" s="1" t="s">
        <v>21</v>
      </c>
      <c r="N5859" s="1" t="s">
        <v>22</v>
      </c>
      <c r="O5859" s="2">
        <v>46023</v>
      </c>
      <c r="P5859" s="2">
        <v>46023</v>
      </c>
      <c r="Q5859">
        <f>_xlfn.XLOOKUP(E5859,CPT!$A$2:$A$13,CPT!$D$2:$D$13)</f>
        <v>1450</v>
      </c>
      <c r="R5859" s="1">
        <f>_xlfn.XLOOKUP(C5859,Contract!$A$2:$A$9,Contract!$B$2:$B$9)</f>
        <v>0.36</v>
      </c>
      <c r="S5859" s="1">
        <f t="shared" si="364"/>
        <v>15660</v>
      </c>
      <c r="T5859" s="1">
        <f t="shared" si="365"/>
        <v>2561.8700000000008</v>
      </c>
      <c r="U5859" s="1" t="str">
        <f t="shared" si="366"/>
        <v>Underpaid</v>
      </c>
      <c r="V5859" s="1" t="str">
        <f>_xlfn.XLOOKUP(C5859,Payers!$A$2:$A$9,Payers!$B$2:$B$9)</f>
        <v>Medicare Part B</v>
      </c>
      <c r="W5859" s="1" t="str">
        <f t="shared" si="367"/>
        <v>2025-12</v>
      </c>
    </row>
    <row r="5860" spans="1:23">
      <c r="A5860" s="1" t="s">
        <v>8758</v>
      </c>
      <c r="B5860" s="1" t="s">
        <v>5506</v>
      </c>
      <c r="C5860" s="1" t="s">
        <v>60</v>
      </c>
      <c r="D5860" s="1" t="s">
        <v>19</v>
      </c>
      <c r="E5860" s="1" t="s">
        <v>57</v>
      </c>
      <c r="F5860">
        <v>1</v>
      </c>
      <c r="G5860" s="2">
        <v>45991</v>
      </c>
      <c r="H5860" s="2">
        <v>45992</v>
      </c>
      <c r="I5860">
        <v>212.49</v>
      </c>
      <c r="J5860">
        <v>81.650000000000006</v>
      </c>
      <c r="K5860">
        <v>81.650000000000006</v>
      </c>
      <c r="L5860">
        <v>0</v>
      </c>
      <c r="M5860" s="1" t="s">
        <v>21</v>
      </c>
      <c r="N5860" s="1" t="s">
        <v>22</v>
      </c>
      <c r="O5860" s="2">
        <v>46010</v>
      </c>
      <c r="P5860" s="2">
        <v>46010</v>
      </c>
      <c r="Q5860">
        <f>_xlfn.XLOOKUP(E5860,CPT!$A$2:$A$13,CPT!$D$2:$D$13)</f>
        <v>210</v>
      </c>
      <c r="R5860" s="1">
        <f>_xlfn.XLOOKUP(C5860,Contract!$A$2:$A$9,Contract!$B$2:$B$9)</f>
        <v>0.45</v>
      </c>
      <c r="S5860" s="1">
        <f t="shared" si="364"/>
        <v>94.5</v>
      </c>
      <c r="T5860" s="1">
        <f t="shared" si="365"/>
        <v>12.849999999999994</v>
      </c>
      <c r="U5860" s="1" t="str">
        <f t="shared" si="366"/>
        <v>Underpaid</v>
      </c>
      <c r="V5860" s="1" t="str">
        <f>_xlfn.XLOOKUP(C5860,Payers!$A$2:$A$9,Payers!$B$2:$B$9)</f>
        <v>Blue Horizon Commercial</v>
      </c>
      <c r="W5860" s="1" t="str">
        <f t="shared" si="367"/>
        <v>2025-11</v>
      </c>
    </row>
    <row r="5861" spans="1:23">
      <c r="A5861" s="1" t="s">
        <v>8759</v>
      </c>
      <c r="B5861" s="1" t="s">
        <v>8760</v>
      </c>
      <c r="C5861" s="1" t="s">
        <v>60</v>
      </c>
      <c r="D5861" s="1" t="s">
        <v>30</v>
      </c>
      <c r="E5861" s="1" t="s">
        <v>20</v>
      </c>
      <c r="F5861">
        <v>1</v>
      </c>
      <c r="G5861" s="2">
        <v>46070</v>
      </c>
      <c r="H5861" s="2">
        <v>46208</v>
      </c>
      <c r="I5861">
        <v>145.19999999999999</v>
      </c>
      <c r="M5861" s="1" t="s">
        <v>32</v>
      </c>
      <c r="N5861" s="1" t="s">
        <v>137</v>
      </c>
      <c r="O5861" s="2">
        <v>46229</v>
      </c>
      <c r="P5861" s="2"/>
      <c r="Q5861">
        <f>_xlfn.XLOOKUP(E5861,CPT!$A$2:$A$13,CPT!$D$2:$D$13)</f>
        <v>145</v>
      </c>
      <c r="R5861" s="1">
        <f>_xlfn.XLOOKUP(C5861,Contract!$A$2:$A$9,Contract!$B$2:$B$9)</f>
        <v>0.45</v>
      </c>
      <c r="S5861" s="1">
        <f t="shared" si="364"/>
        <v>65.25</v>
      </c>
      <c r="T5861" s="1" t="str">
        <f t="shared" si="365"/>
        <v/>
      </c>
      <c r="U5861" s="1" t="str">
        <f t="shared" si="366"/>
        <v/>
      </c>
      <c r="V5861" s="1" t="str">
        <f>_xlfn.XLOOKUP(C5861,Payers!$A$2:$A$9,Payers!$B$2:$B$9)</f>
        <v>Blue Horizon Commercial</v>
      </c>
      <c r="W5861" s="1" t="str">
        <f t="shared" si="367"/>
        <v>2026-02</v>
      </c>
    </row>
    <row r="5862" spans="1:23">
      <c r="A5862" s="1" t="s">
        <v>8761</v>
      </c>
      <c r="B5862" s="1" t="s">
        <v>8762</v>
      </c>
      <c r="C5862" s="1" t="s">
        <v>52</v>
      </c>
      <c r="D5862" s="1" t="s">
        <v>30</v>
      </c>
      <c r="E5862" s="1" t="s">
        <v>31</v>
      </c>
      <c r="F5862">
        <v>1</v>
      </c>
      <c r="G5862" s="2">
        <v>46283</v>
      </c>
      <c r="H5862" s="2">
        <v>46287</v>
      </c>
      <c r="I5862">
        <v>60.35</v>
      </c>
      <c r="M5862" s="1" t="s">
        <v>69</v>
      </c>
      <c r="N5862" s="1" t="s">
        <v>22</v>
      </c>
      <c r="O5862" s="2"/>
      <c r="P5862" s="2"/>
      <c r="Q5862">
        <f>_xlfn.XLOOKUP(E5862,CPT!$A$2:$A$13,CPT!$D$2:$D$13)</f>
        <v>62</v>
      </c>
      <c r="R5862" s="1">
        <f>_xlfn.XLOOKUP(C5862,Contract!$A$2:$A$9,Contract!$B$2:$B$9)</f>
        <v>0.47</v>
      </c>
      <c r="S5862" s="1">
        <f t="shared" si="364"/>
        <v>29.14</v>
      </c>
      <c r="T5862" s="1" t="str">
        <f t="shared" si="365"/>
        <v/>
      </c>
      <c r="U5862" s="1" t="str">
        <f t="shared" si="366"/>
        <v/>
      </c>
      <c r="V5862" s="1" t="str">
        <f>_xlfn.XLOOKUP(C5862,Payers!$A$2:$A$9,Payers!$B$2:$B$9)</f>
        <v>Keystone Commercial PPO</v>
      </c>
      <c r="W5862" s="1" t="str">
        <f t="shared" si="367"/>
        <v>2026-09</v>
      </c>
    </row>
    <row r="5863" spans="1:23">
      <c r="A5863" s="1" t="s">
        <v>8763</v>
      </c>
      <c r="B5863" s="1" t="s">
        <v>6483</v>
      </c>
      <c r="C5863" s="1" t="s">
        <v>25</v>
      </c>
      <c r="D5863" s="1" t="s">
        <v>19</v>
      </c>
      <c r="E5863" s="1" t="s">
        <v>88</v>
      </c>
      <c r="F5863">
        <v>1</v>
      </c>
      <c r="G5863" s="2">
        <v>46123</v>
      </c>
      <c r="H5863" s="2">
        <v>46128</v>
      </c>
      <c r="I5863">
        <v>255.72</v>
      </c>
      <c r="J5863">
        <v>87.07</v>
      </c>
      <c r="K5863">
        <v>78.36</v>
      </c>
      <c r="L5863">
        <v>8.7100000000000009</v>
      </c>
      <c r="M5863" s="1" t="s">
        <v>21</v>
      </c>
      <c r="N5863" s="1" t="s">
        <v>22</v>
      </c>
      <c r="O5863" s="2">
        <v>46152</v>
      </c>
      <c r="P5863" s="2">
        <v>46152</v>
      </c>
      <c r="Q5863">
        <f>_xlfn.XLOOKUP(E5863,CPT!$A$2:$A$13,CPT!$D$2:$D$13)</f>
        <v>260</v>
      </c>
      <c r="R5863" s="1">
        <f>_xlfn.XLOOKUP(C5863,Contract!$A$2:$A$9,Contract!$B$2:$B$9)</f>
        <v>0.36</v>
      </c>
      <c r="S5863" s="1">
        <f t="shared" si="364"/>
        <v>93.6</v>
      </c>
      <c r="T5863" s="1">
        <f t="shared" si="365"/>
        <v>6.5300000000000011</v>
      </c>
      <c r="U5863" s="1" t="str">
        <f t="shared" si="366"/>
        <v>Underpaid</v>
      </c>
      <c r="V5863" s="1" t="str">
        <f>_xlfn.XLOOKUP(C5863,Payers!$A$2:$A$9,Payers!$B$2:$B$9)</f>
        <v>Medicare Part B</v>
      </c>
      <c r="W5863" s="1" t="str">
        <f t="shared" si="367"/>
        <v>2026-04</v>
      </c>
    </row>
    <row r="5864" spans="1:23">
      <c r="A5864" s="1" t="s">
        <v>8764</v>
      </c>
      <c r="B5864" s="1" t="s">
        <v>6483</v>
      </c>
      <c r="C5864" s="1" t="s">
        <v>25</v>
      </c>
      <c r="D5864" s="1" t="s">
        <v>19</v>
      </c>
      <c r="E5864" s="1" t="s">
        <v>20</v>
      </c>
      <c r="F5864">
        <v>1</v>
      </c>
      <c r="G5864" s="2">
        <v>46127</v>
      </c>
      <c r="H5864" s="2">
        <v>46128</v>
      </c>
      <c r="I5864">
        <v>142.16</v>
      </c>
      <c r="J5864">
        <v>54.03</v>
      </c>
      <c r="K5864">
        <v>54.03</v>
      </c>
      <c r="L5864">
        <v>0</v>
      </c>
      <c r="M5864" s="1" t="s">
        <v>21</v>
      </c>
      <c r="N5864" s="1" t="s">
        <v>22</v>
      </c>
      <c r="O5864" s="2">
        <v>46156</v>
      </c>
      <c r="P5864" s="2">
        <v>46156</v>
      </c>
      <c r="Q5864">
        <f>_xlfn.XLOOKUP(E5864,CPT!$A$2:$A$13,CPT!$D$2:$D$13)</f>
        <v>145</v>
      </c>
      <c r="R5864" s="1">
        <f>_xlfn.XLOOKUP(C5864,Contract!$A$2:$A$9,Contract!$B$2:$B$9)</f>
        <v>0.36</v>
      </c>
      <c r="S5864" s="1">
        <f t="shared" si="364"/>
        <v>52.2</v>
      </c>
      <c r="T5864" s="1">
        <f t="shared" si="365"/>
        <v>-1.8299999999999983</v>
      </c>
      <c r="U5864" s="1" t="str">
        <f t="shared" si="366"/>
        <v>OK</v>
      </c>
      <c r="V5864" s="1" t="str">
        <f>_xlfn.XLOOKUP(C5864,Payers!$A$2:$A$9,Payers!$B$2:$B$9)</f>
        <v>Medicare Part B</v>
      </c>
      <c r="W5864" s="1" t="str">
        <f t="shared" si="367"/>
        <v>2026-04</v>
      </c>
    </row>
    <row r="5865" spans="1:23">
      <c r="A5865" s="1" t="s">
        <v>8765</v>
      </c>
      <c r="B5865" s="1" t="s">
        <v>4073</v>
      </c>
      <c r="C5865" s="1" t="s">
        <v>47</v>
      </c>
      <c r="D5865" s="1" t="s">
        <v>26</v>
      </c>
      <c r="E5865" s="1" t="s">
        <v>44</v>
      </c>
      <c r="F5865">
        <v>1</v>
      </c>
      <c r="G5865" s="2">
        <v>46107</v>
      </c>
      <c r="H5865" s="2">
        <v>46113</v>
      </c>
      <c r="I5865">
        <v>4793.78</v>
      </c>
      <c r="M5865" s="1" t="s">
        <v>32</v>
      </c>
      <c r="N5865" s="1" t="s">
        <v>315</v>
      </c>
      <c r="O5865" s="2">
        <v>46176</v>
      </c>
      <c r="P5865" s="2"/>
      <c r="Q5865">
        <f>_xlfn.XLOOKUP(E5865,CPT!$A$2:$A$13,CPT!$D$2:$D$13)</f>
        <v>4800</v>
      </c>
      <c r="R5865" s="1">
        <f>_xlfn.XLOOKUP(C5865,Contract!$A$2:$A$9,Contract!$B$2:$B$9)</f>
        <v>0.28000000000000003</v>
      </c>
      <c r="S5865" s="1">
        <f t="shared" si="364"/>
        <v>1344</v>
      </c>
      <c r="T5865" s="1" t="str">
        <f t="shared" si="365"/>
        <v/>
      </c>
      <c r="U5865" s="1" t="str">
        <f t="shared" si="366"/>
        <v/>
      </c>
      <c r="V5865" s="1" t="str">
        <f>_xlfn.XLOOKUP(C5865,Payers!$A$2:$A$9,Payers!$B$2:$B$9)</f>
        <v>Coastal Medicaid MCO</v>
      </c>
      <c r="W5865" s="1" t="str">
        <f t="shared" si="367"/>
        <v>2026-03</v>
      </c>
    </row>
    <row r="5866" spans="1:23">
      <c r="A5866" s="1" t="s">
        <v>8766</v>
      </c>
      <c r="B5866" s="1" t="s">
        <v>434</v>
      </c>
      <c r="C5866" s="1" t="s">
        <v>36</v>
      </c>
      <c r="D5866" s="1" t="s">
        <v>37</v>
      </c>
      <c r="E5866" s="1" t="s">
        <v>57</v>
      </c>
      <c r="F5866">
        <v>1</v>
      </c>
      <c r="G5866" s="2">
        <v>46184</v>
      </c>
      <c r="H5866" s="2">
        <v>46188</v>
      </c>
      <c r="I5866">
        <v>214.77</v>
      </c>
      <c r="J5866">
        <v>56.67</v>
      </c>
      <c r="K5866">
        <v>51</v>
      </c>
      <c r="L5866">
        <v>5.67</v>
      </c>
      <c r="M5866" s="1" t="s">
        <v>21</v>
      </c>
      <c r="N5866" s="1" t="s">
        <v>22</v>
      </c>
      <c r="O5866" s="2">
        <v>46229</v>
      </c>
      <c r="P5866" s="2">
        <v>46229</v>
      </c>
      <c r="Q5866">
        <f>_xlfn.XLOOKUP(E5866,CPT!$A$2:$A$13,CPT!$D$2:$D$13)</f>
        <v>210</v>
      </c>
      <c r="R5866" s="1">
        <f>_xlfn.XLOOKUP(C5866,Contract!$A$2:$A$9,Contract!$B$2:$B$9)</f>
        <v>0.27</v>
      </c>
      <c r="S5866" s="1">
        <f t="shared" si="364"/>
        <v>56.7</v>
      </c>
      <c r="T5866" s="1">
        <f t="shared" si="365"/>
        <v>3.0000000000001137E-2</v>
      </c>
      <c r="U5866" s="1" t="str">
        <f t="shared" si="366"/>
        <v>OK</v>
      </c>
      <c r="V5866" s="1" t="str">
        <f>_xlfn.XLOOKUP(C5866,Payers!$A$2:$A$9,Payers!$B$2:$B$9)</f>
        <v>Florida Medicaid</v>
      </c>
      <c r="W5866" s="1" t="str">
        <f t="shared" si="367"/>
        <v>2026-06</v>
      </c>
    </row>
    <row r="5867" spans="1:23">
      <c r="A5867" s="1" t="s">
        <v>8767</v>
      </c>
      <c r="B5867" s="1" t="s">
        <v>2558</v>
      </c>
      <c r="C5867" s="1" t="s">
        <v>36</v>
      </c>
      <c r="D5867" s="1" t="s">
        <v>26</v>
      </c>
      <c r="E5867" s="1" t="s">
        <v>44</v>
      </c>
      <c r="F5867">
        <v>1</v>
      </c>
      <c r="G5867" s="2">
        <v>46117</v>
      </c>
      <c r="H5867" s="2">
        <v>46126</v>
      </c>
      <c r="I5867">
        <v>4785.09</v>
      </c>
      <c r="M5867" s="1" t="s">
        <v>32</v>
      </c>
      <c r="N5867" s="1" t="s">
        <v>168</v>
      </c>
      <c r="O5867" s="2">
        <v>46169</v>
      </c>
      <c r="P5867" s="2"/>
      <c r="Q5867">
        <f>_xlfn.XLOOKUP(E5867,CPT!$A$2:$A$13,CPT!$D$2:$D$13)</f>
        <v>4800</v>
      </c>
      <c r="R5867" s="1">
        <f>_xlfn.XLOOKUP(C5867,Contract!$A$2:$A$9,Contract!$B$2:$B$9)</f>
        <v>0.27</v>
      </c>
      <c r="S5867" s="1">
        <f t="shared" si="364"/>
        <v>1296</v>
      </c>
      <c r="T5867" s="1" t="str">
        <f t="shared" si="365"/>
        <v/>
      </c>
      <c r="U5867" s="1" t="str">
        <f t="shared" si="366"/>
        <v/>
      </c>
      <c r="V5867" s="1" t="str">
        <f>_xlfn.XLOOKUP(C5867,Payers!$A$2:$A$9,Payers!$B$2:$B$9)</f>
        <v>Florida Medicaid</v>
      </c>
      <c r="W5867" s="1" t="str">
        <f t="shared" si="367"/>
        <v>2026-04</v>
      </c>
    </row>
    <row r="5868" spans="1:23">
      <c r="A5868" s="1" t="s">
        <v>8768</v>
      </c>
      <c r="B5868" s="1" t="s">
        <v>6947</v>
      </c>
      <c r="C5868" s="1" t="s">
        <v>18</v>
      </c>
      <c r="D5868" s="1" t="s">
        <v>30</v>
      </c>
      <c r="E5868" s="1" t="s">
        <v>20</v>
      </c>
      <c r="F5868">
        <v>1</v>
      </c>
      <c r="G5868" s="2">
        <v>46089</v>
      </c>
      <c r="H5868" s="2">
        <v>46090</v>
      </c>
      <c r="I5868">
        <v>148.03</v>
      </c>
      <c r="J5868">
        <v>52.63</v>
      </c>
      <c r="K5868">
        <v>47.37</v>
      </c>
      <c r="L5868">
        <v>5.26</v>
      </c>
      <c r="M5868" s="1" t="s">
        <v>21</v>
      </c>
      <c r="N5868" s="1" t="s">
        <v>22</v>
      </c>
      <c r="O5868" s="2">
        <v>46137</v>
      </c>
      <c r="P5868" s="2">
        <v>46137</v>
      </c>
      <c r="Q5868">
        <f>_xlfn.XLOOKUP(E5868,CPT!$A$2:$A$13,CPT!$D$2:$D$13)</f>
        <v>145</v>
      </c>
      <c r="R5868" s="1">
        <f>_xlfn.XLOOKUP(C5868,Contract!$A$2:$A$9,Contract!$B$2:$B$9)</f>
        <v>0.38</v>
      </c>
      <c r="S5868" s="1">
        <f t="shared" si="364"/>
        <v>55.1</v>
      </c>
      <c r="T5868" s="1">
        <f t="shared" si="365"/>
        <v>2.4699999999999989</v>
      </c>
      <c r="U5868" s="1" t="str">
        <f t="shared" si="366"/>
        <v>OK</v>
      </c>
      <c r="V5868" s="1" t="str">
        <f>_xlfn.XLOOKUP(C5868,Payers!$A$2:$A$9,Payers!$B$2:$B$9)</f>
        <v>Sunshine Medicare Advantage</v>
      </c>
      <c r="W5868" s="1" t="str">
        <f t="shared" si="367"/>
        <v>2026-03</v>
      </c>
    </row>
    <row r="5869" spans="1:23">
      <c r="A5869" s="1" t="s">
        <v>8769</v>
      </c>
      <c r="B5869" s="1" t="s">
        <v>466</v>
      </c>
      <c r="C5869" s="1" t="s">
        <v>18</v>
      </c>
      <c r="D5869" s="1" t="s">
        <v>26</v>
      </c>
      <c r="E5869" s="1" t="s">
        <v>88</v>
      </c>
      <c r="F5869">
        <v>1</v>
      </c>
      <c r="G5869" s="2">
        <v>46107</v>
      </c>
      <c r="H5869" s="2">
        <v>46111</v>
      </c>
      <c r="I5869">
        <v>255.36</v>
      </c>
      <c r="J5869">
        <v>90.08</v>
      </c>
      <c r="K5869">
        <v>72.06</v>
      </c>
      <c r="L5869">
        <v>18.02</v>
      </c>
      <c r="M5869" s="1" t="s">
        <v>21</v>
      </c>
      <c r="N5869" s="1" t="s">
        <v>22</v>
      </c>
      <c r="O5869" s="2">
        <v>46159</v>
      </c>
      <c r="P5869" s="2">
        <v>46159</v>
      </c>
      <c r="Q5869">
        <f>_xlfn.XLOOKUP(E5869,CPT!$A$2:$A$13,CPT!$D$2:$D$13)</f>
        <v>260</v>
      </c>
      <c r="R5869" s="1">
        <f>_xlfn.XLOOKUP(C5869,Contract!$A$2:$A$9,Contract!$B$2:$B$9)</f>
        <v>0.38</v>
      </c>
      <c r="S5869" s="1">
        <f t="shared" si="364"/>
        <v>98.8</v>
      </c>
      <c r="T5869" s="1">
        <f t="shared" si="365"/>
        <v>8.7199999999999989</v>
      </c>
      <c r="U5869" s="1" t="str">
        <f t="shared" si="366"/>
        <v>Underpaid</v>
      </c>
      <c r="V5869" s="1" t="str">
        <f>_xlfn.XLOOKUP(C5869,Payers!$A$2:$A$9,Payers!$B$2:$B$9)</f>
        <v>Sunshine Medicare Advantage</v>
      </c>
      <c r="W5869" s="1" t="str">
        <f t="shared" si="367"/>
        <v>2026-03</v>
      </c>
    </row>
    <row r="5870" spans="1:23">
      <c r="A5870" s="1" t="s">
        <v>8770</v>
      </c>
      <c r="B5870" s="1" t="s">
        <v>3434</v>
      </c>
      <c r="C5870" s="1" t="s">
        <v>47</v>
      </c>
      <c r="D5870" s="1" t="s">
        <v>26</v>
      </c>
      <c r="E5870" s="1" t="s">
        <v>41</v>
      </c>
      <c r="F5870">
        <v>1</v>
      </c>
      <c r="G5870" s="2">
        <v>46101</v>
      </c>
      <c r="H5870" s="2">
        <v>46104</v>
      </c>
      <c r="I5870">
        <v>38.119999999999997</v>
      </c>
      <c r="J5870">
        <v>10.72</v>
      </c>
      <c r="K5870">
        <v>10.72</v>
      </c>
      <c r="L5870">
        <v>0</v>
      </c>
      <c r="M5870" s="1" t="s">
        <v>21</v>
      </c>
      <c r="N5870" s="1" t="s">
        <v>22</v>
      </c>
      <c r="O5870" s="2">
        <v>46190</v>
      </c>
      <c r="P5870" s="2">
        <v>46190</v>
      </c>
      <c r="Q5870">
        <f>_xlfn.XLOOKUP(E5870,CPT!$A$2:$A$13,CPT!$D$2:$D$13)</f>
        <v>38</v>
      </c>
      <c r="R5870" s="1">
        <f>_xlfn.XLOOKUP(C5870,Contract!$A$2:$A$9,Contract!$B$2:$B$9)</f>
        <v>0.28000000000000003</v>
      </c>
      <c r="S5870" s="1">
        <f t="shared" si="364"/>
        <v>10.64</v>
      </c>
      <c r="T5870" s="1">
        <f t="shared" si="365"/>
        <v>-8.0000000000000071E-2</v>
      </c>
      <c r="U5870" s="1" t="str">
        <f t="shared" si="366"/>
        <v>OK</v>
      </c>
      <c r="V5870" s="1" t="str">
        <f>_xlfn.XLOOKUP(C5870,Payers!$A$2:$A$9,Payers!$B$2:$B$9)</f>
        <v>Coastal Medicaid MCO</v>
      </c>
      <c r="W5870" s="1" t="str">
        <f t="shared" si="367"/>
        <v>2026-03</v>
      </c>
    </row>
    <row r="5871" spans="1:23">
      <c r="A5871" s="1" t="s">
        <v>8771</v>
      </c>
      <c r="B5871" s="1" t="s">
        <v>2179</v>
      </c>
      <c r="C5871" s="1" t="s">
        <v>76</v>
      </c>
      <c r="D5871" s="1" t="s">
        <v>30</v>
      </c>
      <c r="E5871" s="1" t="s">
        <v>91</v>
      </c>
      <c r="F5871">
        <v>3</v>
      </c>
      <c r="G5871" s="2">
        <v>46017</v>
      </c>
      <c r="H5871" s="2">
        <v>46024</v>
      </c>
      <c r="I5871">
        <v>170.76</v>
      </c>
      <c r="J5871">
        <v>62.31</v>
      </c>
      <c r="K5871">
        <v>62.31</v>
      </c>
      <c r="L5871">
        <v>0</v>
      </c>
      <c r="M5871" s="1" t="s">
        <v>21</v>
      </c>
      <c r="N5871" s="1" t="s">
        <v>22</v>
      </c>
      <c r="O5871" s="2">
        <v>46038</v>
      </c>
      <c r="P5871" s="2">
        <v>46038</v>
      </c>
      <c r="Q5871">
        <f>_xlfn.XLOOKUP(E5871,CPT!$A$2:$A$13,CPT!$D$2:$D$13)</f>
        <v>58</v>
      </c>
      <c r="R5871" s="1">
        <f>_xlfn.XLOOKUP(C5871,Contract!$A$2:$A$9,Contract!$B$2:$B$9)</f>
        <v>0.43</v>
      </c>
      <c r="S5871" s="1">
        <f t="shared" si="364"/>
        <v>74.819999999999993</v>
      </c>
      <c r="T5871" s="1">
        <f t="shared" si="365"/>
        <v>12.509999999999991</v>
      </c>
      <c r="U5871" s="1" t="str">
        <f t="shared" si="366"/>
        <v>Underpaid</v>
      </c>
      <c r="V5871" s="1" t="str">
        <f>_xlfn.XLOOKUP(C5871,Payers!$A$2:$A$9,Payers!$B$2:$B$9)</f>
        <v>Summit Health Commercial</v>
      </c>
      <c r="W5871" s="1" t="str">
        <f t="shared" si="367"/>
        <v>2025-12</v>
      </c>
    </row>
    <row r="5872" spans="1:23">
      <c r="A5872" s="1" t="s">
        <v>8772</v>
      </c>
      <c r="B5872" s="1" t="s">
        <v>8773</v>
      </c>
      <c r="C5872" s="1" t="s">
        <v>18</v>
      </c>
      <c r="D5872" s="1" t="s">
        <v>26</v>
      </c>
      <c r="E5872" s="1" t="s">
        <v>27</v>
      </c>
      <c r="F5872">
        <v>1</v>
      </c>
      <c r="G5872" s="2">
        <v>45968</v>
      </c>
      <c r="H5872" s="2">
        <v>45977</v>
      </c>
      <c r="I5872">
        <v>234.76</v>
      </c>
      <c r="J5872">
        <v>83.71</v>
      </c>
      <c r="K5872">
        <v>75.34</v>
      </c>
      <c r="L5872">
        <v>8.3699999999999992</v>
      </c>
      <c r="M5872" s="1" t="s">
        <v>21</v>
      </c>
      <c r="N5872" s="1" t="s">
        <v>22</v>
      </c>
      <c r="O5872" s="2">
        <v>46023</v>
      </c>
      <c r="P5872" s="2">
        <v>46023</v>
      </c>
      <c r="Q5872">
        <f>_xlfn.XLOOKUP(E5872,CPT!$A$2:$A$13,CPT!$D$2:$D$13)</f>
        <v>240</v>
      </c>
      <c r="R5872" s="1">
        <f>_xlfn.XLOOKUP(C5872,Contract!$A$2:$A$9,Contract!$B$2:$B$9)</f>
        <v>0.38</v>
      </c>
      <c r="S5872" s="1">
        <f t="shared" si="364"/>
        <v>91.2</v>
      </c>
      <c r="T5872" s="1">
        <f t="shared" si="365"/>
        <v>7.4900000000000091</v>
      </c>
      <c r="U5872" s="1" t="str">
        <f t="shared" si="366"/>
        <v>Underpaid</v>
      </c>
      <c r="V5872" s="1" t="str">
        <f>_xlfn.XLOOKUP(C5872,Payers!$A$2:$A$9,Payers!$B$2:$B$9)</f>
        <v>Sunshine Medicare Advantage</v>
      </c>
      <c r="W5872" s="1" t="str">
        <f t="shared" si="367"/>
        <v>2025-11</v>
      </c>
    </row>
    <row r="5873" spans="1:23">
      <c r="A5873" s="1" t="s">
        <v>8774</v>
      </c>
      <c r="B5873" s="1" t="s">
        <v>8048</v>
      </c>
      <c r="C5873" s="1" t="s">
        <v>36</v>
      </c>
      <c r="D5873" s="1" t="s">
        <v>26</v>
      </c>
      <c r="E5873" s="1" t="s">
        <v>57</v>
      </c>
      <c r="F5873">
        <v>1</v>
      </c>
      <c r="G5873" s="2">
        <v>46274</v>
      </c>
      <c r="H5873" s="2">
        <v>46276</v>
      </c>
      <c r="I5873">
        <v>206.81</v>
      </c>
      <c r="M5873" s="1" t="s">
        <v>69</v>
      </c>
      <c r="N5873" s="1" t="s">
        <v>22</v>
      </c>
      <c r="O5873" s="2"/>
      <c r="P5873" s="2"/>
      <c r="Q5873">
        <f>_xlfn.XLOOKUP(E5873,CPT!$A$2:$A$13,CPT!$D$2:$D$13)</f>
        <v>210</v>
      </c>
      <c r="R5873" s="1">
        <f>_xlfn.XLOOKUP(C5873,Contract!$A$2:$A$9,Contract!$B$2:$B$9)</f>
        <v>0.27</v>
      </c>
      <c r="S5873" s="1">
        <f t="shared" si="364"/>
        <v>56.7</v>
      </c>
      <c r="T5873" s="1" t="str">
        <f t="shared" si="365"/>
        <v/>
      </c>
      <c r="U5873" s="1" t="str">
        <f t="shared" si="366"/>
        <v/>
      </c>
      <c r="V5873" s="1" t="str">
        <f>_xlfn.XLOOKUP(C5873,Payers!$A$2:$A$9,Payers!$B$2:$B$9)</f>
        <v>Florida Medicaid</v>
      </c>
      <c r="W5873" s="1" t="str">
        <f t="shared" si="367"/>
        <v>2026-09</v>
      </c>
    </row>
    <row r="5874" spans="1:23">
      <c r="A5874" s="1" t="s">
        <v>8775</v>
      </c>
      <c r="B5874" s="1" t="s">
        <v>8776</v>
      </c>
      <c r="C5874" s="1" t="s">
        <v>47</v>
      </c>
      <c r="D5874" s="1" t="s">
        <v>19</v>
      </c>
      <c r="E5874" s="1" t="s">
        <v>20</v>
      </c>
      <c r="F5874">
        <v>1</v>
      </c>
      <c r="G5874" s="2">
        <v>46085</v>
      </c>
      <c r="H5874" s="2">
        <v>46088</v>
      </c>
      <c r="I5874">
        <v>141</v>
      </c>
      <c r="J5874">
        <v>42.12</v>
      </c>
      <c r="K5874">
        <v>42.12</v>
      </c>
      <c r="L5874">
        <v>0</v>
      </c>
      <c r="M5874" s="1" t="s">
        <v>21</v>
      </c>
      <c r="N5874" s="1" t="s">
        <v>22</v>
      </c>
      <c r="O5874" s="2">
        <v>46120</v>
      </c>
      <c r="P5874" s="2">
        <v>46120</v>
      </c>
      <c r="Q5874">
        <f>_xlfn.XLOOKUP(E5874,CPT!$A$2:$A$13,CPT!$D$2:$D$13)</f>
        <v>145</v>
      </c>
      <c r="R5874" s="1">
        <f>_xlfn.XLOOKUP(C5874,Contract!$A$2:$A$9,Contract!$B$2:$B$9)</f>
        <v>0.28000000000000003</v>
      </c>
      <c r="S5874" s="1">
        <f t="shared" si="364"/>
        <v>40.6</v>
      </c>
      <c r="T5874" s="1">
        <f t="shared" si="365"/>
        <v>-1.519999999999996</v>
      </c>
      <c r="U5874" s="1" t="str">
        <f t="shared" si="366"/>
        <v>OK</v>
      </c>
      <c r="V5874" s="1" t="str">
        <f>_xlfn.XLOOKUP(C5874,Payers!$A$2:$A$9,Payers!$B$2:$B$9)</f>
        <v>Coastal Medicaid MCO</v>
      </c>
      <c r="W5874" s="1" t="str">
        <f t="shared" si="367"/>
        <v>2026-03</v>
      </c>
    </row>
    <row r="5875" spans="1:23">
      <c r="A5875" s="1" t="s">
        <v>8777</v>
      </c>
      <c r="B5875" s="1" t="s">
        <v>1753</v>
      </c>
      <c r="C5875" s="1" t="s">
        <v>25</v>
      </c>
      <c r="D5875" s="1" t="s">
        <v>26</v>
      </c>
      <c r="E5875" s="1" t="s">
        <v>185</v>
      </c>
      <c r="F5875">
        <v>1</v>
      </c>
      <c r="G5875" s="2">
        <v>45980</v>
      </c>
      <c r="H5875" s="2">
        <v>45984</v>
      </c>
      <c r="I5875">
        <v>1123.22</v>
      </c>
      <c r="J5875">
        <v>429.54</v>
      </c>
      <c r="K5875">
        <v>343.63</v>
      </c>
      <c r="L5875">
        <v>85.91</v>
      </c>
      <c r="M5875" s="1" t="s">
        <v>21</v>
      </c>
      <c r="N5875" s="1" t="s">
        <v>22</v>
      </c>
      <c r="O5875" s="2">
        <v>45993</v>
      </c>
      <c r="P5875" s="2">
        <v>45993</v>
      </c>
      <c r="Q5875">
        <f>_xlfn.XLOOKUP(E5875,CPT!$A$2:$A$13,CPT!$D$2:$D$13)</f>
        <v>1150</v>
      </c>
      <c r="R5875" s="1">
        <f>_xlfn.XLOOKUP(C5875,Contract!$A$2:$A$9,Contract!$B$2:$B$9)</f>
        <v>0.36</v>
      </c>
      <c r="S5875" s="1">
        <f t="shared" si="364"/>
        <v>414</v>
      </c>
      <c r="T5875" s="1">
        <f t="shared" si="365"/>
        <v>-15.54000000000002</v>
      </c>
      <c r="U5875" s="1" t="str">
        <f t="shared" si="366"/>
        <v>OK</v>
      </c>
      <c r="V5875" s="1" t="str">
        <f>_xlfn.XLOOKUP(C5875,Payers!$A$2:$A$9,Payers!$B$2:$B$9)</f>
        <v>Medicare Part B</v>
      </c>
      <c r="W5875" s="1" t="str">
        <f t="shared" si="367"/>
        <v>2025-11</v>
      </c>
    </row>
    <row r="5876" spans="1:23">
      <c r="A5876" s="1" t="s">
        <v>8778</v>
      </c>
      <c r="B5876" s="1" t="s">
        <v>8779</v>
      </c>
      <c r="C5876" s="1" t="s">
        <v>47</v>
      </c>
      <c r="D5876" s="1" t="s">
        <v>37</v>
      </c>
      <c r="E5876" s="1" t="s">
        <v>38</v>
      </c>
      <c r="F5876">
        <v>5</v>
      </c>
      <c r="G5876" s="2">
        <v>46249</v>
      </c>
      <c r="H5876" s="2">
        <v>46252</v>
      </c>
      <c r="I5876">
        <v>7064.37</v>
      </c>
      <c r="M5876" s="1" t="s">
        <v>69</v>
      </c>
      <c r="N5876" s="1" t="s">
        <v>22</v>
      </c>
      <c r="O5876" s="2"/>
      <c r="P5876" s="2"/>
      <c r="Q5876">
        <f>_xlfn.XLOOKUP(E5876,CPT!$A$2:$A$13,CPT!$D$2:$D$13)</f>
        <v>1450</v>
      </c>
      <c r="R5876" s="1">
        <f>_xlfn.XLOOKUP(C5876,Contract!$A$2:$A$9,Contract!$B$2:$B$9)</f>
        <v>0.28000000000000003</v>
      </c>
      <c r="S5876" s="1">
        <f t="shared" si="364"/>
        <v>2030</v>
      </c>
      <c r="T5876" s="1" t="str">
        <f t="shared" si="365"/>
        <v/>
      </c>
      <c r="U5876" s="1" t="str">
        <f t="shared" si="366"/>
        <v/>
      </c>
      <c r="V5876" s="1" t="str">
        <f>_xlfn.XLOOKUP(C5876,Payers!$A$2:$A$9,Payers!$B$2:$B$9)</f>
        <v>Coastal Medicaid MCO</v>
      </c>
      <c r="W5876" s="1" t="str">
        <f t="shared" si="367"/>
        <v>2026-08</v>
      </c>
    </row>
    <row r="5877" spans="1:23">
      <c r="A5877" s="1" t="s">
        <v>8780</v>
      </c>
      <c r="B5877" s="1" t="s">
        <v>6768</v>
      </c>
      <c r="C5877" s="1" t="s">
        <v>52</v>
      </c>
      <c r="D5877" s="1" t="s">
        <v>37</v>
      </c>
      <c r="E5877" s="1" t="s">
        <v>48</v>
      </c>
      <c r="F5877">
        <v>1</v>
      </c>
      <c r="G5877" s="2">
        <v>46242</v>
      </c>
      <c r="H5877" s="2">
        <v>46244</v>
      </c>
      <c r="I5877">
        <v>431.48</v>
      </c>
      <c r="M5877" s="1" t="s">
        <v>69</v>
      </c>
      <c r="N5877" s="1" t="s">
        <v>22</v>
      </c>
      <c r="O5877" s="2"/>
      <c r="P5877" s="2"/>
      <c r="Q5877">
        <f>_xlfn.XLOOKUP(E5877,CPT!$A$2:$A$13,CPT!$D$2:$D$13)</f>
        <v>420</v>
      </c>
      <c r="R5877" s="1">
        <f>_xlfn.XLOOKUP(C5877,Contract!$A$2:$A$9,Contract!$B$2:$B$9)</f>
        <v>0.47</v>
      </c>
      <c r="S5877" s="1">
        <f t="shared" si="364"/>
        <v>197.4</v>
      </c>
      <c r="T5877" s="1" t="str">
        <f t="shared" si="365"/>
        <v/>
      </c>
      <c r="U5877" s="1" t="str">
        <f t="shared" si="366"/>
        <v/>
      </c>
      <c r="V5877" s="1" t="str">
        <f>_xlfn.XLOOKUP(C5877,Payers!$A$2:$A$9,Payers!$B$2:$B$9)</f>
        <v>Keystone Commercial PPO</v>
      </c>
      <c r="W5877" s="1" t="str">
        <f t="shared" si="367"/>
        <v>2026-08</v>
      </c>
    </row>
    <row r="5878" spans="1:23">
      <c r="A5878" s="1" t="s">
        <v>8781</v>
      </c>
      <c r="B5878" s="1" t="s">
        <v>790</v>
      </c>
      <c r="C5878" s="1" t="s">
        <v>47</v>
      </c>
      <c r="D5878" s="1" t="s">
        <v>30</v>
      </c>
      <c r="E5878" s="1" t="s">
        <v>20</v>
      </c>
      <c r="F5878">
        <v>1</v>
      </c>
      <c r="G5878" s="2">
        <v>46006</v>
      </c>
      <c r="H5878" s="2">
        <v>46012</v>
      </c>
      <c r="I5878">
        <v>141.68</v>
      </c>
      <c r="J5878">
        <v>35.54</v>
      </c>
      <c r="K5878">
        <v>35.54</v>
      </c>
      <c r="L5878">
        <v>0</v>
      </c>
      <c r="M5878" s="1" t="s">
        <v>21</v>
      </c>
      <c r="N5878" s="1" t="s">
        <v>22</v>
      </c>
      <c r="O5878" s="2">
        <v>46055</v>
      </c>
      <c r="P5878" s="2">
        <v>46055</v>
      </c>
      <c r="Q5878">
        <f>_xlfn.XLOOKUP(E5878,CPT!$A$2:$A$13,CPT!$D$2:$D$13)</f>
        <v>145</v>
      </c>
      <c r="R5878" s="1">
        <f>_xlfn.XLOOKUP(C5878,Contract!$A$2:$A$9,Contract!$B$2:$B$9)</f>
        <v>0.28000000000000003</v>
      </c>
      <c r="S5878" s="1">
        <f t="shared" si="364"/>
        <v>40.6</v>
      </c>
      <c r="T5878" s="1">
        <f t="shared" si="365"/>
        <v>5.0600000000000023</v>
      </c>
      <c r="U5878" s="1" t="str">
        <f t="shared" si="366"/>
        <v>Underpaid</v>
      </c>
      <c r="V5878" s="1" t="str">
        <f>_xlfn.XLOOKUP(C5878,Payers!$A$2:$A$9,Payers!$B$2:$B$9)</f>
        <v>Coastal Medicaid MCO</v>
      </c>
      <c r="W5878" s="1" t="str">
        <f t="shared" si="367"/>
        <v>2025-12</v>
      </c>
    </row>
    <row r="5879" spans="1:23">
      <c r="A5879" s="1" t="s">
        <v>8782</v>
      </c>
      <c r="B5879" s="1" t="s">
        <v>596</v>
      </c>
      <c r="C5879" s="1" t="s">
        <v>18</v>
      </c>
      <c r="D5879" s="1" t="s">
        <v>19</v>
      </c>
      <c r="E5879" s="1" t="s">
        <v>20</v>
      </c>
      <c r="F5879">
        <v>1</v>
      </c>
      <c r="G5879" s="2">
        <v>45959</v>
      </c>
      <c r="H5879" s="2">
        <v>45962</v>
      </c>
      <c r="I5879">
        <v>144.16999999999999</v>
      </c>
      <c r="J5879">
        <v>61.12</v>
      </c>
      <c r="K5879">
        <v>55.01</v>
      </c>
      <c r="L5879">
        <v>6.11</v>
      </c>
      <c r="M5879" s="1" t="s">
        <v>21</v>
      </c>
      <c r="N5879" s="1" t="s">
        <v>22</v>
      </c>
      <c r="O5879" s="2">
        <v>45994</v>
      </c>
      <c r="P5879" s="2">
        <v>45994</v>
      </c>
      <c r="Q5879">
        <f>_xlfn.XLOOKUP(E5879,CPT!$A$2:$A$13,CPT!$D$2:$D$13)</f>
        <v>145</v>
      </c>
      <c r="R5879" s="1">
        <f>_xlfn.XLOOKUP(C5879,Contract!$A$2:$A$9,Contract!$B$2:$B$9)</f>
        <v>0.38</v>
      </c>
      <c r="S5879" s="1">
        <f t="shared" si="364"/>
        <v>55.1</v>
      </c>
      <c r="T5879" s="1">
        <f t="shared" si="365"/>
        <v>-6.019999999999996</v>
      </c>
      <c r="U5879" s="1" t="str">
        <f t="shared" si="366"/>
        <v>OK</v>
      </c>
      <c r="V5879" s="1" t="str">
        <f>_xlfn.XLOOKUP(C5879,Payers!$A$2:$A$9,Payers!$B$2:$B$9)</f>
        <v>Sunshine Medicare Advantage</v>
      </c>
      <c r="W5879" s="1" t="str">
        <f t="shared" si="367"/>
        <v>2025-10</v>
      </c>
    </row>
    <row r="5880" spans="1:23">
      <c r="A5880" s="1" t="s">
        <v>8783</v>
      </c>
      <c r="B5880" s="1" t="s">
        <v>610</v>
      </c>
      <c r="C5880" s="1" t="s">
        <v>76</v>
      </c>
      <c r="D5880" s="1" t="s">
        <v>19</v>
      </c>
      <c r="E5880" s="1" t="s">
        <v>57</v>
      </c>
      <c r="F5880">
        <v>1</v>
      </c>
      <c r="G5880" s="2">
        <v>46269</v>
      </c>
      <c r="H5880" s="2">
        <v>46271</v>
      </c>
      <c r="I5880">
        <v>209.27</v>
      </c>
      <c r="M5880" s="1" t="s">
        <v>69</v>
      </c>
      <c r="N5880" s="1" t="s">
        <v>22</v>
      </c>
      <c r="O5880" s="2"/>
      <c r="P5880" s="2"/>
      <c r="Q5880">
        <f>_xlfn.XLOOKUP(E5880,CPT!$A$2:$A$13,CPT!$D$2:$D$13)</f>
        <v>210</v>
      </c>
      <c r="R5880" s="1">
        <f>_xlfn.XLOOKUP(C5880,Contract!$A$2:$A$9,Contract!$B$2:$B$9)</f>
        <v>0.43</v>
      </c>
      <c r="S5880" s="1">
        <f t="shared" si="364"/>
        <v>90.3</v>
      </c>
      <c r="T5880" s="1" t="str">
        <f t="shared" si="365"/>
        <v/>
      </c>
      <c r="U5880" s="1" t="str">
        <f t="shared" si="366"/>
        <v/>
      </c>
      <c r="V5880" s="1" t="str">
        <f>_xlfn.XLOOKUP(C5880,Payers!$A$2:$A$9,Payers!$B$2:$B$9)</f>
        <v>Summit Health Commercial</v>
      </c>
      <c r="W5880" s="1" t="str">
        <f t="shared" si="367"/>
        <v>2026-09</v>
      </c>
    </row>
    <row r="5881" spans="1:23">
      <c r="A5881" s="1" t="s">
        <v>8784</v>
      </c>
      <c r="B5881" s="1" t="s">
        <v>2626</v>
      </c>
      <c r="C5881" s="1" t="s">
        <v>60</v>
      </c>
      <c r="D5881" s="1" t="s">
        <v>26</v>
      </c>
      <c r="E5881" s="1" t="s">
        <v>44</v>
      </c>
      <c r="F5881">
        <v>1</v>
      </c>
      <c r="G5881" s="2">
        <v>46078</v>
      </c>
      <c r="H5881" s="2">
        <v>46079</v>
      </c>
      <c r="I5881">
        <v>4865.76</v>
      </c>
      <c r="J5881">
        <v>2169.0100000000002</v>
      </c>
      <c r="K5881">
        <v>1952.11</v>
      </c>
      <c r="L5881">
        <v>216.9</v>
      </c>
      <c r="M5881" s="1" t="s">
        <v>21</v>
      </c>
      <c r="N5881" s="1" t="s">
        <v>22</v>
      </c>
      <c r="O5881" s="2">
        <v>46099</v>
      </c>
      <c r="P5881" s="2">
        <v>46099</v>
      </c>
      <c r="Q5881">
        <f>_xlfn.XLOOKUP(E5881,CPT!$A$2:$A$13,CPT!$D$2:$D$13)</f>
        <v>4800</v>
      </c>
      <c r="R5881" s="1">
        <f>_xlfn.XLOOKUP(C5881,Contract!$A$2:$A$9,Contract!$B$2:$B$9)</f>
        <v>0.45</v>
      </c>
      <c r="S5881" s="1">
        <f t="shared" si="364"/>
        <v>2160</v>
      </c>
      <c r="T5881" s="1">
        <f t="shared" si="365"/>
        <v>-9.0100000000002183</v>
      </c>
      <c r="U5881" s="1" t="str">
        <f t="shared" si="366"/>
        <v>OK</v>
      </c>
      <c r="V5881" s="1" t="str">
        <f>_xlfn.XLOOKUP(C5881,Payers!$A$2:$A$9,Payers!$B$2:$B$9)</f>
        <v>Blue Horizon Commercial</v>
      </c>
      <c r="W5881" s="1" t="str">
        <f t="shared" si="367"/>
        <v>2026-02</v>
      </c>
    </row>
    <row r="5882" spans="1:23">
      <c r="A5882" s="1" t="s">
        <v>8785</v>
      </c>
      <c r="B5882" s="1" t="s">
        <v>6960</v>
      </c>
      <c r="C5882" s="1" t="s">
        <v>76</v>
      </c>
      <c r="D5882" s="1" t="s">
        <v>37</v>
      </c>
      <c r="E5882" s="1" t="s">
        <v>48</v>
      </c>
      <c r="F5882">
        <v>1</v>
      </c>
      <c r="G5882" s="2">
        <v>46045</v>
      </c>
      <c r="H5882" s="2">
        <v>46046</v>
      </c>
      <c r="I5882">
        <v>410.42</v>
      </c>
      <c r="J5882">
        <v>195.83</v>
      </c>
      <c r="K5882">
        <v>195.83</v>
      </c>
      <c r="L5882">
        <v>0</v>
      </c>
      <c r="M5882" s="1" t="s">
        <v>21</v>
      </c>
      <c r="N5882" s="1" t="s">
        <v>22</v>
      </c>
      <c r="O5882" s="2">
        <v>46071</v>
      </c>
      <c r="P5882" s="2">
        <v>46071</v>
      </c>
      <c r="Q5882">
        <f>_xlfn.XLOOKUP(E5882,CPT!$A$2:$A$13,CPT!$D$2:$D$13)</f>
        <v>420</v>
      </c>
      <c r="R5882" s="1">
        <f>_xlfn.XLOOKUP(C5882,Contract!$A$2:$A$9,Contract!$B$2:$B$9)</f>
        <v>0.43</v>
      </c>
      <c r="S5882" s="1">
        <f t="shared" si="364"/>
        <v>180.6</v>
      </c>
      <c r="T5882" s="1">
        <f t="shared" si="365"/>
        <v>-15.230000000000018</v>
      </c>
      <c r="U5882" s="1" t="str">
        <f t="shared" si="366"/>
        <v>OK</v>
      </c>
      <c r="V5882" s="1" t="str">
        <f>_xlfn.XLOOKUP(C5882,Payers!$A$2:$A$9,Payers!$B$2:$B$9)</f>
        <v>Summit Health Commercial</v>
      </c>
      <c r="W5882" s="1" t="str">
        <f t="shared" si="367"/>
        <v>2026-01</v>
      </c>
    </row>
    <row r="5883" spans="1:23">
      <c r="A5883" s="1" t="s">
        <v>8786</v>
      </c>
      <c r="B5883" s="1" t="s">
        <v>3409</v>
      </c>
      <c r="C5883" s="1" t="s">
        <v>47</v>
      </c>
      <c r="D5883" s="1" t="s">
        <v>19</v>
      </c>
      <c r="E5883" s="1" t="s">
        <v>57</v>
      </c>
      <c r="F5883">
        <v>1</v>
      </c>
      <c r="G5883" s="2">
        <v>46269</v>
      </c>
      <c r="H5883" s="2">
        <v>46273</v>
      </c>
      <c r="I5883">
        <v>212.83</v>
      </c>
      <c r="M5883" s="1" t="s">
        <v>69</v>
      </c>
      <c r="N5883" s="1" t="s">
        <v>22</v>
      </c>
      <c r="O5883" s="2"/>
      <c r="P5883" s="2"/>
      <c r="Q5883">
        <f>_xlfn.XLOOKUP(E5883,CPT!$A$2:$A$13,CPT!$D$2:$D$13)</f>
        <v>210</v>
      </c>
      <c r="R5883" s="1">
        <f>_xlfn.XLOOKUP(C5883,Contract!$A$2:$A$9,Contract!$B$2:$B$9)</f>
        <v>0.28000000000000003</v>
      </c>
      <c r="S5883" s="1">
        <f t="shared" si="364"/>
        <v>58.8</v>
      </c>
      <c r="T5883" s="1" t="str">
        <f t="shared" si="365"/>
        <v/>
      </c>
      <c r="U5883" s="1" t="str">
        <f t="shared" si="366"/>
        <v/>
      </c>
      <c r="V5883" s="1" t="str">
        <f>_xlfn.XLOOKUP(C5883,Payers!$A$2:$A$9,Payers!$B$2:$B$9)</f>
        <v>Coastal Medicaid MCO</v>
      </c>
      <c r="W5883" s="1" t="str">
        <f t="shared" si="367"/>
        <v>2026-09</v>
      </c>
    </row>
    <row r="5884" spans="1:23">
      <c r="A5884" s="1" t="s">
        <v>8787</v>
      </c>
      <c r="B5884" s="1" t="s">
        <v>3546</v>
      </c>
      <c r="C5884" s="1" t="s">
        <v>18</v>
      </c>
      <c r="D5884" s="1" t="s">
        <v>30</v>
      </c>
      <c r="E5884" s="1" t="s">
        <v>91</v>
      </c>
      <c r="F5884">
        <v>2</v>
      </c>
      <c r="G5884" s="2">
        <v>46274</v>
      </c>
      <c r="H5884" s="2">
        <v>46275</v>
      </c>
      <c r="I5884">
        <v>119.3</v>
      </c>
      <c r="M5884" s="1" t="s">
        <v>69</v>
      </c>
      <c r="N5884" s="1" t="s">
        <v>22</v>
      </c>
      <c r="O5884" s="2"/>
      <c r="P5884" s="2"/>
      <c r="Q5884">
        <f>_xlfn.XLOOKUP(E5884,CPT!$A$2:$A$13,CPT!$D$2:$D$13)</f>
        <v>58</v>
      </c>
      <c r="R5884" s="1">
        <f>_xlfn.XLOOKUP(C5884,Contract!$A$2:$A$9,Contract!$B$2:$B$9)</f>
        <v>0.38</v>
      </c>
      <c r="S5884" s="1">
        <f t="shared" si="364"/>
        <v>44.08</v>
      </c>
      <c r="T5884" s="1" t="str">
        <f t="shared" si="365"/>
        <v/>
      </c>
      <c r="U5884" s="1" t="str">
        <f t="shared" si="366"/>
        <v/>
      </c>
      <c r="V5884" s="1" t="str">
        <f>_xlfn.XLOOKUP(C5884,Payers!$A$2:$A$9,Payers!$B$2:$B$9)</f>
        <v>Sunshine Medicare Advantage</v>
      </c>
      <c r="W5884" s="1" t="str">
        <f t="shared" si="367"/>
        <v>2026-09</v>
      </c>
    </row>
    <row r="5885" spans="1:23">
      <c r="A5885" s="1" t="s">
        <v>8788</v>
      </c>
      <c r="B5885" s="1" t="s">
        <v>3253</v>
      </c>
      <c r="C5885" s="1" t="s">
        <v>25</v>
      </c>
      <c r="D5885" s="1" t="s">
        <v>26</v>
      </c>
      <c r="E5885" s="1" t="s">
        <v>113</v>
      </c>
      <c r="F5885">
        <v>1</v>
      </c>
      <c r="G5885" s="2">
        <v>46240</v>
      </c>
      <c r="H5885" s="2">
        <v>46247</v>
      </c>
      <c r="I5885">
        <v>1048.94</v>
      </c>
      <c r="J5885">
        <v>389.95</v>
      </c>
      <c r="K5885">
        <v>389.95</v>
      </c>
      <c r="L5885">
        <v>0</v>
      </c>
      <c r="M5885" s="1" t="s">
        <v>21</v>
      </c>
      <c r="N5885" s="1" t="s">
        <v>22</v>
      </c>
      <c r="O5885" s="2">
        <v>46263</v>
      </c>
      <c r="P5885" s="2">
        <v>46263</v>
      </c>
      <c r="Q5885">
        <f>_xlfn.XLOOKUP(E5885,CPT!$A$2:$A$13,CPT!$D$2:$D$13)</f>
        <v>1050</v>
      </c>
      <c r="R5885" s="1">
        <f>_xlfn.XLOOKUP(C5885,Contract!$A$2:$A$9,Contract!$B$2:$B$9)</f>
        <v>0.36</v>
      </c>
      <c r="S5885" s="1">
        <f t="shared" si="364"/>
        <v>378</v>
      </c>
      <c r="T5885" s="1">
        <f t="shared" si="365"/>
        <v>-11.949999999999989</v>
      </c>
      <c r="U5885" s="1" t="str">
        <f t="shared" si="366"/>
        <v>OK</v>
      </c>
      <c r="V5885" s="1" t="str">
        <f>_xlfn.XLOOKUP(C5885,Payers!$A$2:$A$9,Payers!$B$2:$B$9)</f>
        <v>Medicare Part B</v>
      </c>
      <c r="W5885" s="1" t="str">
        <f t="shared" si="367"/>
        <v>2026-08</v>
      </c>
    </row>
    <row r="5886" spans="1:23">
      <c r="A5886" s="1" t="s">
        <v>8789</v>
      </c>
      <c r="B5886" s="1" t="s">
        <v>3126</v>
      </c>
      <c r="C5886" s="1" t="s">
        <v>60</v>
      </c>
      <c r="D5886" s="1" t="s">
        <v>37</v>
      </c>
      <c r="E5886" s="1" t="s">
        <v>57</v>
      </c>
      <c r="F5886">
        <v>1</v>
      </c>
      <c r="G5886" s="2">
        <v>46288</v>
      </c>
      <c r="H5886" s="2">
        <v>46291</v>
      </c>
      <c r="I5886">
        <v>216.16</v>
      </c>
      <c r="M5886" s="1" t="s">
        <v>69</v>
      </c>
      <c r="N5886" s="1" t="s">
        <v>22</v>
      </c>
      <c r="O5886" s="2"/>
      <c r="P5886" s="2"/>
      <c r="Q5886">
        <f>_xlfn.XLOOKUP(E5886,CPT!$A$2:$A$13,CPT!$D$2:$D$13)</f>
        <v>210</v>
      </c>
      <c r="R5886" s="1">
        <f>_xlfn.XLOOKUP(C5886,Contract!$A$2:$A$9,Contract!$B$2:$B$9)</f>
        <v>0.45</v>
      </c>
      <c r="S5886" s="1">
        <f t="shared" si="364"/>
        <v>94.5</v>
      </c>
      <c r="T5886" s="1" t="str">
        <f t="shared" si="365"/>
        <v/>
      </c>
      <c r="U5886" s="1" t="str">
        <f t="shared" si="366"/>
        <v/>
      </c>
      <c r="V5886" s="1" t="str">
        <f>_xlfn.XLOOKUP(C5886,Payers!$A$2:$A$9,Payers!$B$2:$B$9)</f>
        <v>Blue Horizon Commercial</v>
      </c>
      <c r="W5886" s="1" t="str">
        <f t="shared" si="367"/>
        <v>2026-09</v>
      </c>
    </row>
    <row r="5887" spans="1:23">
      <c r="A5887" s="1" t="s">
        <v>8790</v>
      </c>
      <c r="B5887" s="1" t="s">
        <v>2904</v>
      </c>
      <c r="C5887" s="1" t="s">
        <v>25</v>
      </c>
      <c r="D5887" s="1" t="s">
        <v>37</v>
      </c>
      <c r="E5887" s="1" t="s">
        <v>48</v>
      </c>
      <c r="F5887">
        <v>1</v>
      </c>
      <c r="G5887" s="2">
        <v>46035</v>
      </c>
      <c r="H5887" s="2">
        <v>46038</v>
      </c>
      <c r="I5887">
        <v>431.81</v>
      </c>
      <c r="J5887">
        <v>171.26</v>
      </c>
      <c r="K5887">
        <v>171.26</v>
      </c>
      <c r="L5887">
        <v>0</v>
      </c>
      <c r="M5887" s="1" t="s">
        <v>21</v>
      </c>
      <c r="N5887" s="1" t="s">
        <v>22</v>
      </c>
      <c r="O5887" s="2">
        <v>46052</v>
      </c>
      <c r="P5887" s="2">
        <v>46052</v>
      </c>
      <c r="Q5887">
        <f>_xlfn.XLOOKUP(E5887,CPT!$A$2:$A$13,CPT!$D$2:$D$13)</f>
        <v>420</v>
      </c>
      <c r="R5887" s="1">
        <f>_xlfn.XLOOKUP(C5887,Contract!$A$2:$A$9,Contract!$B$2:$B$9)</f>
        <v>0.36</v>
      </c>
      <c r="S5887" s="1">
        <f t="shared" si="364"/>
        <v>151.19999999999999</v>
      </c>
      <c r="T5887" s="1">
        <f t="shared" si="365"/>
        <v>-20.060000000000002</v>
      </c>
      <c r="U5887" s="1" t="str">
        <f t="shared" si="366"/>
        <v>OK</v>
      </c>
      <c r="V5887" s="1" t="str">
        <f>_xlfn.XLOOKUP(C5887,Payers!$A$2:$A$9,Payers!$B$2:$B$9)</f>
        <v>Medicare Part B</v>
      </c>
      <c r="W5887" s="1" t="str">
        <f t="shared" si="367"/>
        <v>2026-01</v>
      </c>
    </row>
    <row r="5888" spans="1:23">
      <c r="A5888" s="1" t="s">
        <v>8791</v>
      </c>
      <c r="B5888" s="1" t="s">
        <v>7345</v>
      </c>
      <c r="C5888" s="1" t="s">
        <v>47</v>
      </c>
      <c r="D5888" s="1" t="s">
        <v>26</v>
      </c>
      <c r="E5888" s="1" t="s">
        <v>44</v>
      </c>
      <c r="F5888">
        <v>1</v>
      </c>
      <c r="G5888" s="2">
        <v>46134</v>
      </c>
      <c r="H5888" s="2">
        <v>46140</v>
      </c>
      <c r="I5888">
        <v>4898.28</v>
      </c>
      <c r="J5888">
        <v>1236.5</v>
      </c>
      <c r="K5888">
        <v>1236.5</v>
      </c>
      <c r="L5888">
        <v>0</v>
      </c>
      <c r="M5888" s="1" t="s">
        <v>21</v>
      </c>
      <c r="N5888" s="1" t="s">
        <v>22</v>
      </c>
      <c r="O5888" s="2">
        <v>46211</v>
      </c>
      <c r="P5888" s="2">
        <v>46211</v>
      </c>
      <c r="Q5888">
        <f>_xlfn.XLOOKUP(E5888,CPT!$A$2:$A$13,CPT!$D$2:$D$13)</f>
        <v>4800</v>
      </c>
      <c r="R5888" s="1">
        <f>_xlfn.XLOOKUP(C5888,Contract!$A$2:$A$9,Contract!$B$2:$B$9)</f>
        <v>0.28000000000000003</v>
      </c>
      <c r="S5888" s="1">
        <f t="shared" si="364"/>
        <v>1344</v>
      </c>
      <c r="T5888" s="1">
        <f t="shared" si="365"/>
        <v>107.5</v>
      </c>
      <c r="U5888" s="1" t="str">
        <f t="shared" si="366"/>
        <v>Underpaid</v>
      </c>
      <c r="V5888" s="1" t="str">
        <f>_xlfn.XLOOKUP(C5888,Payers!$A$2:$A$9,Payers!$B$2:$B$9)</f>
        <v>Coastal Medicaid MCO</v>
      </c>
      <c r="W5888" s="1" t="str">
        <f t="shared" si="367"/>
        <v>2026-04</v>
      </c>
    </row>
    <row r="5889" spans="1:23">
      <c r="A5889" s="1" t="s">
        <v>8792</v>
      </c>
      <c r="B5889" s="1" t="s">
        <v>4860</v>
      </c>
      <c r="C5889" s="1" t="s">
        <v>47</v>
      </c>
      <c r="D5889" s="1" t="s">
        <v>30</v>
      </c>
      <c r="E5889" s="1" t="s">
        <v>20</v>
      </c>
      <c r="F5889">
        <v>1</v>
      </c>
      <c r="G5889" s="2">
        <v>46164</v>
      </c>
      <c r="H5889" s="2">
        <v>46265</v>
      </c>
      <c r="I5889">
        <v>145.55000000000001</v>
      </c>
      <c r="M5889" s="1" t="s">
        <v>69</v>
      </c>
      <c r="N5889" s="1" t="s">
        <v>22</v>
      </c>
      <c r="O5889" s="2"/>
      <c r="P5889" s="2"/>
      <c r="Q5889">
        <f>_xlfn.XLOOKUP(E5889,CPT!$A$2:$A$13,CPT!$D$2:$D$13)</f>
        <v>145</v>
      </c>
      <c r="R5889" s="1">
        <f>_xlfn.XLOOKUP(C5889,Contract!$A$2:$A$9,Contract!$B$2:$B$9)</f>
        <v>0.28000000000000003</v>
      </c>
      <c r="S5889" s="1">
        <f t="shared" si="364"/>
        <v>40.6</v>
      </c>
      <c r="T5889" s="1" t="str">
        <f t="shared" si="365"/>
        <v/>
      </c>
      <c r="U5889" s="1" t="str">
        <f t="shared" si="366"/>
        <v/>
      </c>
      <c r="V5889" s="1" t="str">
        <f>_xlfn.XLOOKUP(C5889,Payers!$A$2:$A$9,Payers!$B$2:$B$9)</f>
        <v>Coastal Medicaid MCO</v>
      </c>
      <c r="W5889" s="1" t="str">
        <f t="shared" si="367"/>
        <v>2026-05</v>
      </c>
    </row>
    <row r="5890" spans="1:23">
      <c r="A5890" s="1" t="s">
        <v>8793</v>
      </c>
      <c r="B5890" s="1" t="s">
        <v>7031</v>
      </c>
      <c r="C5890" s="1" t="s">
        <v>76</v>
      </c>
      <c r="D5890" s="1" t="s">
        <v>26</v>
      </c>
      <c r="E5890" s="1" t="s">
        <v>113</v>
      </c>
      <c r="F5890">
        <v>1</v>
      </c>
      <c r="G5890" s="2">
        <v>46237</v>
      </c>
      <c r="H5890" s="2">
        <v>46240</v>
      </c>
      <c r="I5890">
        <v>1062.8599999999999</v>
      </c>
      <c r="M5890" s="1" t="s">
        <v>32</v>
      </c>
      <c r="N5890" s="1" t="s">
        <v>49</v>
      </c>
      <c r="O5890" s="2">
        <v>46248</v>
      </c>
      <c r="P5890" s="2"/>
      <c r="Q5890">
        <f>_xlfn.XLOOKUP(E5890,CPT!$A$2:$A$13,CPT!$D$2:$D$13)</f>
        <v>1050</v>
      </c>
      <c r="R5890" s="1">
        <f>_xlfn.XLOOKUP(C5890,Contract!$A$2:$A$9,Contract!$B$2:$B$9)</f>
        <v>0.43</v>
      </c>
      <c r="S5890" s="1">
        <f t="shared" ref="S5890:S5953" si="368">ROUND(Q5890*F5890*R5890,2)</f>
        <v>451.5</v>
      </c>
      <c r="T5890" s="1" t="str">
        <f t="shared" ref="T5890:T5953" si="369">IF(M5890="Paid",S5890-J5890,"")</f>
        <v/>
      </c>
      <c r="U5890" s="1" t="str">
        <f t="shared" ref="U5890:U5953" si="370">IF(M5890&lt;&gt;"Paid","",IF(T5890&gt;S5890*0.05,"Underpaid","OK"))</f>
        <v/>
      </c>
      <c r="V5890" s="1" t="str">
        <f>_xlfn.XLOOKUP(C5890,Payers!$A$2:$A$9,Payers!$B$2:$B$9)</f>
        <v>Summit Health Commercial</v>
      </c>
      <c r="W5890" s="1" t="str">
        <f t="shared" ref="W5890:W5953" si="371">TEXT(G5890,"yyyy-mm")</f>
        <v>2026-08</v>
      </c>
    </row>
    <row r="5891" spans="1:23">
      <c r="A5891" s="1" t="s">
        <v>8794</v>
      </c>
      <c r="B5891" s="1" t="s">
        <v>5650</v>
      </c>
      <c r="C5891" s="1" t="s">
        <v>60</v>
      </c>
      <c r="D5891" s="1" t="s">
        <v>19</v>
      </c>
      <c r="E5891" s="1" t="s">
        <v>41</v>
      </c>
      <c r="F5891">
        <v>1</v>
      </c>
      <c r="G5891" s="2">
        <v>46069</v>
      </c>
      <c r="H5891" s="2">
        <v>46076</v>
      </c>
      <c r="I5891">
        <v>37.01</v>
      </c>
      <c r="J5891">
        <v>17.5</v>
      </c>
      <c r="K5891">
        <v>15.75</v>
      </c>
      <c r="L5891">
        <v>1.75</v>
      </c>
      <c r="M5891" s="1" t="s">
        <v>21</v>
      </c>
      <c r="N5891" s="1" t="s">
        <v>22</v>
      </c>
      <c r="O5891" s="2">
        <v>46113</v>
      </c>
      <c r="P5891" s="2">
        <v>46113</v>
      </c>
      <c r="Q5891">
        <f>_xlfn.XLOOKUP(E5891,CPT!$A$2:$A$13,CPT!$D$2:$D$13)</f>
        <v>38</v>
      </c>
      <c r="R5891" s="1">
        <f>_xlfn.XLOOKUP(C5891,Contract!$A$2:$A$9,Contract!$B$2:$B$9)</f>
        <v>0.45</v>
      </c>
      <c r="S5891" s="1">
        <f t="shared" si="368"/>
        <v>17.100000000000001</v>
      </c>
      <c r="T5891" s="1">
        <f t="shared" si="369"/>
        <v>-0.39999999999999858</v>
      </c>
      <c r="U5891" s="1" t="str">
        <f t="shared" si="370"/>
        <v>OK</v>
      </c>
      <c r="V5891" s="1" t="str">
        <f>_xlfn.XLOOKUP(C5891,Payers!$A$2:$A$9,Payers!$B$2:$B$9)</f>
        <v>Blue Horizon Commercial</v>
      </c>
      <c r="W5891" s="1" t="str">
        <f t="shared" si="371"/>
        <v>2026-02</v>
      </c>
    </row>
    <row r="5892" spans="1:23">
      <c r="A5892" s="1" t="s">
        <v>8795</v>
      </c>
      <c r="B5892" s="1" t="s">
        <v>478</v>
      </c>
      <c r="C5892" s="1" t="s">
        <v>52</v>
      </c>
      <c r="D5892" s="1" t="s">
        <v>19</v>
      </c>
      <c r="E5892" s="1" t="s">
        <v>20</v>
      </c>
      <c r="F5892">
        <v>1</v>
      </c>
      <c r="G5892" s="2">
        <v>46013</v>
      </c>
      <c r="H5892" s="2">
        <v>46023</v>
      </c>
      <c r="I5892">
        <v>149.26</v>
      </c>
      <c r="J5892">
        <v>62.58</v>
      </c>
      <c r="K5892">
        <v>62.58</v>
      </c>
      <c r="L5892">
        <v>0</v>
      </c>
      <c r="M5892" s="1" t="s">
        <v>21</v>
      </c>
      <c r="N5892" s="1" t="s">
        <v>22</v>
      </c>
      <c r="O5892" s="2">
        <v>46087</v>
      </c>
      <c r="P5892" s="2">
        <v>46087</v>
      </c>
      <c r="Q5892">
        <f>_xlfn.XLOOKUP(E5892,CPT!$A$2:$A$13,CPT!$D$2:$D$13)</f>
        <v>145</v>
      </c>
      <c r="R5892" s="1">
        <f>_xlfn.XLOOKUP(C5892,Contract!$A$2:$A$9,Contract!$B$2:$B$9)</f>
        <v>0.47</v>
      </c>
      <c r="S5892" s="1">
        <f t="shared" si="368"/>
        <v>68.150000000000006</v>
      </c>
      <c r="T5892" s="1">
        <f t="shared" si="369"/>
        <v>5.5700000000000074</v>
      </c>
      <c r="U5892" s="1" t="str">
        <f t="shared" si="370"/>
        <v>Underpaid</v>
      </c>
      <c r="V5892" s="1" t="str">
        <f>_xlfn.XLOOKUP(C5892,Payers!$A$2:$A$9,Payers!$B$2:$B$9)</f>
        <v>Keystone Commercial PPO</v>
      </c>
      <c r="W5892" s="1" t="str">
        <f t="shared" si="371"/>
        <v>2025-12</v>
      </c>
    </row>
    <row r="5893" spans="1:23">
      <c r="A5893" s="1" t="s">
        <v>8796</v>
      </c>
      <c r="B5893" s="1" t="s">
        <v>6994</v>
      </c>
      <c r="C5893" s="1" t="s">
        <v>18</v>
      </c>
      <c r="D5893" s="1" t="s">
        <v>30</v>
      </c>
      <c r="E5893" s="1" t="s">
        <v>31</v>
      </c>
      <c r="F5893">
        <v>4</v>
      </c>
      <c r="G5893" s="2">
        <v>46158</v>
      </c>
      <c r="H5893" s="2">
        <v>46162</v>
      </c>
      <c r="I5893">
        <v>254.81</v>
      </c>
      <c r="M5893" s="1" t="s">
        <v>32</v>
      </c>
      <c r="N5893" s="1" t="s">
        <v>33</v>
      </c>
      <c r="O5893" s="2">
        <v>46225</v>
      </c>
      <c r="P5893" s="2"/>
      <c r="Q5893">
        <f>_xlfn.XLOOKUP(E5893,CPT!$A$2:$A$13,CPT!$D$2:$D$13)</f>
        <v>62</v>
      </c>
      <c r="R5893" s="1">
        <f>_xlfn.XLOOKUP(C5893,Contract!$A$2:$A$9,Contract!$B$2:$B$9)</f>
        <v>0.38</v>
      </c>
      <c r="S5893" s="1">
        <f t="shared" si="368"/>
        <v>94.24</v>
      </c>
      <c r="T5893" s="1" t="str">
        <f t="shared" si="369"/>
        <v/>
      </c>
      <c r="U5893" s="1" t="str">
        <f t="shared" si="370"/>
        <v/>
      </c>
      <c r="V5893" s="1" t="str">
        <f>_xlfn.XLOOKUP(C5893,Payers!$A$2:$A$9,Payers!$B$2:$B$9)</f>
        <v>Sunshine Medicare Advantage</v>
      </c>
      <c r="W5893" s="1" t="str">
        <f t="shared" si="371"/>
        <v>2026-05</v>
      </c>
    </row>
    <row r="5894" spans="1:23">
      <c r="A5894" s="1" t="s">
        <v>8797</v>
      </c>
      <c r="B5894" s="1" t="s">
        <v>4272</v>
      </c>
      <c r="C5894" s="1" t="s">
        <v>60</v>
      </c>
      <c r="D5894" s="1" t="s">
        <v>19</v>
      </c>
      <c r="E5894" s="1" t="s">
        <v>88</v>
      </c>
      <c r="F5894">
        <v>1</v>
      </c>
      <c r="G5894" s="2">
        <v>46180</v>
      </c>
      <c r="H5894" s="2">
        <v>46186</v>
      </c>
      <c r="I5894">
        <v>260.31</v>
      </c>
      <c r="J5894">
        <v>117.15</v>
      </c>
      <c r="K5894">
        <v>105.43</v>
      </c>
      <c r="L5894">
        <v>11.72</v>
      </c>
      <c r="M5894" s="1" t="s">
        <v>21</v>
      </c>
      <c r="N5894" s="1" t="s">
        <v>22</v>
      </c>
      <c r="O5894" s="2">
        <v>46212</v>
      </c>
      <c r="P5894" s="2">
        <v>46212</v>
      </c>
      <c r="Q5894">
        <f>_xlfn.XLOOKUP(E5894,CPT!$A$2:$A$13,CPT!$D$2:$D$13)</f>
        <v>260</v>
      </c>
      <c r="R5894" s="1">
        <f>_xlfn.XLOOKUP(C5894,Contract!$A$2:$A$9,Contract!$B$2:$B$9)</f>
        <v>0.45</v>
      </c>
      <c r="S5894" s="1">
        <f t="shared" si="368"/>
        <v>117</v>
      </c>
      <c r="T5894" s="1">
        <f t="shared" si="369"/>
        <v>-0.15000000000000568</v>
      </c>
      <c r="U5894" s="1" t="str">
        <f t="shared" si="370"/>
        <v>OK</v>
      </c>
      <c r="V5894" s="1" t="str">
        <f>_xlfn.XLOOKUP(C5894,Payers!$A$2:$A$9,Payers!$B$2:$B$9)</f>
        <v>Blue Horizon Commercial</v>
      </c>
      <c r="W5894" s="1" t="str">
        <f t="shared" si="371"/>
        <v>2026-06</v>
      </c>
    </row>
    <row r="5895" spans="1:23">
      <c r="A5895" s="1" t="s">
        <v>8798</v>
      </c>
      <c r="B5895" s="1" t="s">
        <v>8799</v>
      </c>
      <c r="C5895" s="1" t="s">
        <v>76</v>
      </c>
      <c r="D5895" s="1" t="s">
        <v>26</v>
      </c>
      <c r="E5895" s="1" t="s">
        <v>88</v>
      </c>
      <c r="F5895">
        <v>1</v>
      </c>
      <c r="G5895" s="2">
        <v>45995</v>
      </c>
      <c r="H5895" s="2">
        <v>45998</v>
      </c>
      <c r="I5895">
        <v>263.69</v>
      </c>
      <c r="J5895">
        <v>103.92</v>
      </c>
      <c r="K5895">
        <v>103.92</v>
      </c>
      <c r="L5895">
        <v>0</v>
      </c>
      <c r="M5895" s="1" t="s">
        <v>21</v>
      </c>
      <c r="N5895" s="1" t="s">
        <v>22</v>
      </c>
      <c r="O5895" s="2">
        <v>46038</v>
      </c>
      <c r="P5895" s="2">
        <v>46038</v>
      </c>
      <c r="Q5895">
        <f>_xlfn.XLOOKUP(E5895,CPT!$A$2:$A$13,CPT!$D$2:$D$13)</f>
        <v>260</v>
      </c>
      <c r="R5895" s="1">
        <f>_xlfn.XLOOKUP(C5895,Contract!$A$2:$A$9,Contract!$B$2:$B$9)</f>
        <v>0.43</v>
      </c>
      <c r="S5895" s="1">
        <f t="shared" si="368"/>
        <v>111.8</v>
      </c>
      <c r="T5895" s="1">
        <f t="shared" si="369"/>
        <v>7.8799999999999955</v>
      </c>
      <c r="U5895" s="1" t="str">
        <f t="shared" si="370"/>
        <v>Underpaid</v>
      </c>
      <c r="V5895" s="1" t="str">
        <f>_xlfn.XLOOKUP(C5895,Payers!$A$2:$A$9,Payers!$B$2:$B$9)</f>
        <v>Summit Health Commercial</v>
      </c>
      <c r="W5895" s="1" t="str">
        <f t="shared" si="371"/>
        <v>2025-12</v>
      </c>
    </row>
    <row r="5896" spans="1:23">
      <c r="A5896" s="1" t="s">
        <v>8800</v>
      </c>
      <c r="B5896" s="1" t="s">
        <v>5077</v>
      </c>
      <c r="C5896" s="1" t="s">
        <v>18</v>
      </c>
      <c r="D5896" s="1" t="s">
        <v>26</v>
      </c>
      <c r="E5896" s="1" t="s">
        <v>27</v>
      </c>
      <c r="F5896">
        <v>1</v>
      </c>
      <c r="G5896" s="2">
        <v>46188</v>
      </c>
      <c r="H5896" s="2">
        <v>46189</v>
      </c>
      <c r="I5896">
        <v>239.37</v>
      </c>
      <c r="J5896">
        <v>87.77</v>
      </c>
      <c r="K5896">
        <v>87.77</v>
      </c>
      <c r="L5896">
        <v>0</v>
      </c>
      <c r="M5896" s="1" t="s">
        <v>21</v>
      </c>
      <c r="N5896" s="1" t="s">
        <v>22</v>
      </c>
      <c r="O5896" s="2">
        <v>46217</v>
      </c>
      <c r="P5896" s="2">
        <v>46217</v>
      </c>
      <c r="Q5896">
        <f>_xlfn.XLOOKUP(E5896,CPT!$A$2:$A$13,CPT!$D$2:$D$13)</f>
        <v>240</v>
      </c>
      <c r="R5896" s="1">
        <f>_xlfn.XLOOKUP(C5896,Contract!$A$2:$A$9,Contract!$B$2:$B$9)</f>
        <v>0.38</v>
      </c>
      <c r="S5896" s="1">
        <f t="shared" si="368"/>
        <v>91.2</v>
      </c>
      <c r="T5896" s="1">
        <f t="shared" si="369"/>
        <v>3.4300000000000068</v>
      </c>
      <c r="U5896" s="1" t="str">
        <f t="shared" si="370"/>
        <v>OK</v>
      </c>
      <c r="V5896" s="1" t="str">
        <f>_xlfn.XLOOKUP(C5896,Payers!$A$2:$A$9,Payers!$B$2:$B$9)</f>
        <v>Sunshine Medicare Advantage</v>
      </c>
      <c r="W5896" s="1" t="str">
        <f t="shared" si="371"/>
        <v>2026-06</v>
      </c>
    </row>
    <row r="5897" spans="1:23">
      <c r="A5897" s="1" t="s">
        <v>8801</v>
      </c>
      <c r="B5897" s="1" t="s">
        <v>6707</v>
      </c>
      <c r="C5897" s="1" t="s">
        <v>25</v>
      </c>
      <c r="D5897" s="1" t="s">
        <v>30</v>
      </c>
      <c r="E5897" s="1" t="s">
        <v>91</v>
      </c>
      <c r="F5897">
        <v>4</v>
      </c>
      <c r="G5897" s="2">
        <v>45981</v>
      </c>
      <c r="H5897" s="2">
        <v>45983</v>
      </c>
      <c r="I5897">
        <v>227.06</v>
      </c>
      <c r="J5897">
        <v>94.05</v>
      </c>
      <c r="K5897">
        <v>94.05</v>
      </c>
      <c r="L5897">
        <v>0</v>
      </c>
      <c r="M5897" s="1" t="s">
        <v>21</v>
      </c>
      <c r="N5897" s="1" t="s">
        <v>22</v>
      </c>
      <c r="O5897" s="2">
        <v>45990</v>
      </c>
      <c r="P5897" s="2">
        <v>45990</v>
      </c>
      <c r="Q5897">
        <f>_xlfn.XLOOKUP(E5897,CPT!$A$2:$A$13,CPT!$D$2:$D$13)</f>
        <v>58</v>
      </c>
      <c r="R5897" s="1">
        <f>_xlfn.XLOOKUP(C5897,Contract!$A$2:$A$9,Contract!$B$2:$B$9)</f>
        <v>0.36</v>
      </c>
      <c r="S5897" s="1">
        <f t="shared" si="368"/>
        <v>83.52</v>
      </c>
      <c r="T5897" s="1">
        <f t="shared" si="369"/>
        <v>-10.530000000000001</v>
      </c>
      <c r="U5897" s="1" t="str">
        <f t="shared" si="370"/>
        <v>OK</v>
      </c>
      <c r="V5897" s="1" t="str">
        <f>_xlfn.XLOOKUP(C5897,Payers!$A$2:$A$9,Payers!$B$2:$B$9)</f>
        <v>Medicare Part B</v>
      </c>
      <c r="W5897" s="1" t="str">
        <f t="shared" si="371"/>
        <v>2025-11</v>
      </c>
    </row>
    <row r="5898" spans="1:23">
      <c r="A5898" s="1" t="s">
        <v>8802</v>
      </c>
      <c r="B5898" s="1" t="s">
        <v>8803</v>
      </c>
      <c r="C5898" s="1" t="s">
        <v>52</v>
      </c>
      <c r="D5898" s="1" t="s">
        <v>19</v>
      </c>
      <c r="E5898" s="1" t="s">
        <v>57</v>
      </c>
      <c r="F5898">
        <v>1</v>
      </c>
      <c r="G5898" s="2">
        <v>46146</v>
      </c>
      <c r="H5898" s="2">
        <v>46148</v>
      </c>
      <c r="I5898">
        <v>215.12</v>
      </c>
      <c r="M5898" s="1" t="s">
        <v>32</v>
      </c>
      <c r="N5898" s="1" t="s">
        <v>33</v>
      </c>
      <c r="O5898" s="2">
        <v>46209</v>
      </c>
      <c r="P5898" s="2"/>
      <c r="Q5898">
        <f>_xlfn.XLOOKUP(E5898,CPT!$A$2:$A$13,CPT!$D$2:$D$13)</f>
        <v>210</v>
      </c>
      <c r="R5898" s="1">
        <f>_xlfn.XLOOKUP(C5898,Contract!$A$2:$A$9,Contract!$B$2:$B$9)</f>
        <v>0.47</v>
      </c>
      <c r="S5898" s="1">
        <f t="shared" si="368"/>
        <v>98.7</v>
      </c>
      <c r="T5898" s="1" t="str">
        <f t="shared" si="369"/>
        <v/>
      </c>
      <c r="U5898" s="1" t="str">
        <f t="shared" si="370"/>
        <v/>
      </c>
      <c r="V5898" s="1" t="str">
        <f>_xlfn.XLOOKUP(C5898,Payers!$A$2:$A$9,Payers!$B$2:$B$9)</f>
        <v>Keystone Commercial PPO</v>
      </c>
      <c r="W5898" s="1" t="str">
        <f t="shared" si="371"/>
        <v>2026-05</v>
      </c>
    </row>
    <row r="5899" spans="1:23">
      <c r="A5899" s="1" t="s">
        <v>8804</v>
      </c>
      <c r="B5899" s="1" t="s">
        <v>3860</v>
      </c>
      <c r="C5899" s="1" t="s">
        <v>18</v>
      </c>
      <c r="D5899" s="1" t="s">
        <v>19</v>
      </c>
      <c r="E5899" s="1" t="s">
        <v>20</v>
      </c>
      <c r="F5899">
        <v>1</v>
      </c>
      <c r="G5899" s="2">
        <v>46201</v>
      </c>
      <c r="H5899" s="2">
        <v>46204</v>
      </c>
      <c r="I5899">
        <v>146.84</v>
      </c>
      <c r="J5899">
        <v>58.93</v>
      </c>
      <c r="K5899">
        <v>53.04</v>
      </c>
      <c r="L5899">
        <v>5.89</v>
      </c>
      <c r="M5899" s="1" t="s">
        <v>21</v>
      </c>
      <c r="N5899" s="1" t="s">
        <v>22</v>
      </c>
      <c r="O5899" s="2">
        <v>46277</v>
      </c>
      <c r="P5899" s="2">
        <v>46277</v>
      </c>
      <c r="Q5899">
        <f>_xlfn.XLOOKUP(E5899,CPT!$A$2:$A$13,CPT!$D$2:$D$13)</f>
        <v>145</v>
      </c>
      <c r="R5899" s="1">
        <f>_xlfn.XLOOKUP(C5899,Contract!$A$2:$A$9,Contract!$B$2:$B$9)</f>
        <v>0.38</v>
      </c>
      <c r="S5899" s="1">
        <f t="shared" si="368"/>
        <v>55.1</v>
      </c>
      <c r="T5899" s="1">
        <f t="shared" si="369"/>
        <v>-3.8299999999999983</v>
      </c>
      <c r="U5899" s="1" t="str">
        <f t="shared" si="370"/>
        <v>OK</v>
      </c>
      <c r="V5899" s="1" t="str">
        <f>_xlfn.XLOOKUP(C5899,Payers!$A$2:$A$9,Payers!$B$2:$B$9)</f>
        <v>Sunshine Medicare Advantage</v>
      </c>
      <c r="W5899" s="1" t="str">
        <f t="shared" si="371"/>
        <v>2026-06</v>
      </c>
    </row>
    <row r="5900" spans="1:23">
      <c r="A5900" s="1" t="s">
        <v>8805</v>
      </c>
      <c r="B5900" s="1" t="s">
        <v>8806</v>
      </c>
      <c r="C5900" s="1" t="s">
        <v>79</v>
      </c>
      <c r="D5900" s="1" t="s">
        <v>19</v>
      </c>
      <c r="E5900" s="1" t="s">
        <v>57</v>
      </c>
      <c r="F5900">
        <v>1</v>
      </c>
      <c r="G5900" s="2">
        <v>46150</v>
      </c>
      <c r="H5900" s="2">
        <v>46154</v>
      </c>
      <c r="I5900">
        <v>212.71</v>
      </c>
      <c r="J5900">
        <v>212.71</v>
      </c>
      <c r="K5900">
        <v>212.71</v>
      </c>
      <c r="L5900">
        <v>0</v>
      </c>
      <c r="M5900" s="1" t="s">
        <v>21</v>
      </c>
      <c r="N5900" s="1" t="s">
        <v>22</v>
      </c>
      <c r="O5900" s="2">
        <v>46236</v>
      </c>
      <c r="P5900" s="2">
        <v>46236</v>
      </c>
      <c r="Q5900">
        <f>_xlfn.XLOOKUP(E5900,CPT!$A$2:$A$13,CPT!$D$2:$D$13)</f>
        <v>210</v>
      </c>
      <c r="R5900" s="1">
        <f>_xlfn.XLOOKUP(C5900,Contract!$A$2:$A$9,Contract!$B$2:$B$9)</f>
        <v>1</v>
      </c>
      <c r="S5900" s="1">
        <f t="shared" si="368"/>
        <v>210</v>
      </c>
      <c r="T5900" s="1">
        <f t="shared" si="369"/>
        <v>-2.710000000000008</v>
      </c>
      <c r="U5900" s="1" t="str">
        <f t="shared" si="370"/>
        <v>OK</v>
      </c>
      <c r="V5900" s="1" t="str">
        <f>_xlfn.XLOOKUP(C5900,Payers!$A$2:$A$9,Payers!$B$2:$B$9)</f>
        <v>Self-Pay</v>
      </c>
      <c r="W5900" s="1" t="str">
        <f t="shared" si="371"/>
        <v>2026-05</v>
      </c>
    </row>
    <row r="5901" spans="1:23">
      <c r="A5901" s="1" t="s">
        <v>8807</v>
      </c>
      <c r="B5901" s="1" t="s">
        <v>4864</v>
      </c>
      <c r="C5901" s="1" t="s">
        <v>52</v>
      </c>
      <c r="D5901" s="1" t="s">
        <v>30</v>
      </c>
      <c r="E5901" s="1" t="s">
        <v>31</v>
      </c>
      <c r="F5901">
        <v>2</v>
      </c>
      <c r="G5901" s="2">
        <v>46143</v>
      </c>
      <c r="H5901" s="2">
        <v>46144</v>
      </c>
      <c r="I5901">
        <v>123.57</v>
      </c>
      <c r="M5901" s="1" t="s">
        <v>32</v>
      </c>
      <c r="N5901" s="1" t="s">
        <v>33</v>
      </c>
      <c r="O5901" s="2">
        <v>46175</v>
      </c>
      <c r="P5901" s="2"/>
      <c r="Q5901">
        <f>_xlfn.XLOOKUP(E5901,CPT!$A$2:$A$13,CPT!$D$2:$D$13)</f>
        <v>62</v>
      </c>
      <c r="R5901" s="1">
        <f>_xlfn.XLOOKUP(C5901,Contract!$A$2:$A$9,Contract!$B$2:$B$9)</f>
        <v>0.47</v>
      </c>
      <c r="S5901" s="1">
        <f t="shared" si="368"/>
        <v>58.28</v>
      </c>
      <c r="T5901" s="1" t="str">
        <f t="shared" si="369"/>
        <v/>
      </c>
      <c r="U5901" s="1" t="str">
        <f t="shared" si="370"/>
        <v/>
      </c>
      <c r="V5901" s="1" t="str">
        <f>_xlfn.XLOOKUP(C5901,Payers!$A$2:$A$9,Payers!$B$2:$B$9)</f>
        <v>Keystone Commercial PPO</v>
      </c>
      <c r="W5901" s="1" t="str">
        <f t="shared" si="371"/>
        <v>2026-05</v>
      </c>
    </row>
    <row r="5902" spans="1:23">
      <c r="A5902" s="1" t="s">
        <v>8808</v>
      </c>
      <c r="B5902" s="1" t="s">
        <v>2563</v>
      </c>
      <c r="C5902" s="1" t="s">
        <v>76</v>
      </c>
      <c r="D5902" s="1" t="s">
        <v>37</v>
      </c>
      <c r="E5902" s="1" t="s">
        <v>38</v>
      </c>
      <c r="F5902">
        <v>5</v>
      </c>
      <c r="G5902" s="2">
        <v>46165</v>
      </c>
      <c r="H5902" s="2">
        <v>46175</v>
      </c>
      <c r="I5902">
        <v>7337.01</v>
      </c>
      <c r="J5902">
        <v>3397.49</v>
      </c>
      <c r="K5902">
        <v>2717.99</v>
      </c>
      <c r="L5902">
        <v>679.5</v>
      </c>
      <c r="M5902" s="1" t="s">
        <v>21</v>
      </c>
      <c r="N5902" s="1" t="s">
        <v>22</v>
      </c>
      <c r="O5902" s="2">
        <v>46196</v>
      </c>
      <c r="P5902" s="2">
        <v>46196</v>
      </c>
      <c r="Q5902">
        <f>_xlfn.XLOOKUP(E5902,CPT!$A$2:$A$13,CPT!$D$2:$D$13)</f>
        <v>1450</v>
      </c>
      <c r="R5902" s="1">
        <f>_xlfn.XLOOKUP(C5902,Contract!$A$2:$A$9,Contract!$B$2:$B$9)</f>
        <v>0.43</v>
      </c>
      <c r="S5902" s="1">
        <f t="shared" si="368"/>
        <v>3117.5</v>
      </c>
      <c r="T5902" s="1">
        <f t="shared" si="369"/>
        <v>-279.98999999999978</v>
      </c>
      <c r="U5902" s="1" t="str">
        <f t="shared" si="370"/>
        <v>OK</v>
      </c>
      <c r="V5902" s="1" t="str">
        <f>_xlfn.XLOOKUP(C5902,Payers!$A$2:$A$9,Payers!$B$2:$B$9)</f>
        <v>Summit Health Commercial</v>
      </c>
      <c r="W5902" s="1" t="str">
        <f t="shared" si="371"/>
        <v>2026-05</v>
      </c>
    </row>
    <row r="5903" spans="1:23">
      <c r="A5903" s="1" t="s">
        <v>8809</v>
      </c>
      <c r="B5903" s="1" t="s">
        <v>8810</v>
      </c>
      <c r="C5903" s="1" t="s">
        <v>76</v>
      </c>
      <c r="D5903" s="1" t="s">
        <v>37</v>
      </c>
      <c r="E5903" s="1" t="s">
        <v>57</v>
      </c>
      <c r="F5903">
        <v>1</v>
      </c>
      <c r="G5903" s="2">
        <v>46153</v>
      </c>
      <c r="H5903" s="2">
        <v>46155</v>
      </c>
      <c r="I5903">
        <v>204.05</v>
      </c>
      <c r="J5903">
        <v>99.99</v>
      </c>
      <c r="K5903">
        <v>99.99</v>
      </c>
      <c r="L5903">
        <v>0</v>
      </c>
      <c r="M5903" s="1" t="s">
        <v>21</v>
      </c>
      <c r="N5903" s="1" t="s">
        <v>22</v>
      </c>
      <c r="O5903" s="2">
        <v>46187</v>
      </c>
      <c r="P5903" s="2">
        <v>46187</v>
      </c>
      <c r="Q5903">
        <f>_xlfn.XLOOKUP(E5903,CPT!$A$2:$A$13,CPT!$D$2:$D$13)</f>
        <v>210</v>
      </c>
      <c r="R5903" s="1">
        <f>_xlfn.XLOOKUP(C5903,Contract!$A$2:$A$9,Contract!$B$2:$B$9)</f>
        <v>0.43</v>
      </c>
      <c r="S5903" s="1">
        <f t="shared" si="368"/>
        <v>90.3</v>
      </c>
      <c r="T5903" s="1">
        <f t="shared" si="369"/>
        <v>-9.6899999999999977</v>
      </c>
      <c r="U5903" s="1" t="str">
        <f t="shared" si="370"/>
        <v>OK</v>
      </c>
      <c r="V5903" s="1" t="str">
        <f>_xlfn.XLOOKUP(C5903,Payers!$A$2:$A$9,Payers!$B$2:$B$9)</f>
        <v>Summit Health Commercial</v>
      </c>
      <c r="W5903" s="1" t="str">
        <f t="shared" si="371"/>
        <v>2026-05</v>
      </c>
    </row>
    <row r="5904" spans="1:23">
      <c r="A5904" s="1" t="s">
        <v>8811</v>
      </c>
      <c r="B5904" s="1" t="s">
        <v>297</v>
      </c>
      <c r="C5904" s="1" t="s">
        <v>76</v>
      </c>
      <c r="D5904" s="1" t="s">
        <v>37</v>
      </c>
      <c r="E5904" s="1" t="s">
        <v>48</v>
      </c>
      <c r="F5904">
        <v>1</v>
      </c>
      <c r="G5904" s="2">
        <v>45953</v>
      </c>
      <c r="H5904" s="2">
        <v>45957</v>
      </c>
      <c r="I5904">
        <v>425.65</v>
      </c>
      <c r="J5904">
        <v>161.79</v>
      </c>
      <c r="K5904">
        <v>145.61000000000001</v>
      </c>
      <c r="L5904">
        <v>16.18</v>
      </c>
      <c r="M5904" s="1" t="s">
        <v>21</v>
      </c>
      <c r="N5904" s="1" t="s">
        <v>22</v>
      </c>
      <c r="O5904" s="2">
        <v>45987</v>
      </c>
      <c r="P5904" s="2">
        <v>45987</v>
      </c>
      <c r="Q5904">
        <f>_xlfn.XLOOKUP(E5904,CPT!$A$2:$A$13,CPT!$D$2:$D$13)</f>
        <v>420</v>
      </c>
      <c r="R5904" s="1">
        <f>_xlfn.XLOOKUP(C5904,Contract!$A$2:$A$9,Contract!$B$2:$B$9)</f>
        <v>0.43</v>
      </c>
      <c r="S5904" s="1">
        <f t="shared" si="368"/>
        <v>180.6</v>
      </c>
      <c r="T5904" s="1">
        <f t="shared" si="369"/>
        <v>18.810000000000002</v>
      </c>
      <c r="U5904" s="1" t="str">
        <f t="shared" si="370"/>
        <v>Underpaid</v>
      </c>
      <c r="V5904" s="1" t="str">
        <f>_xlfn.XLOOKUP(C5904,Payers!$A$2:$A$9,Payers!$B$2:$B$9)</f>
        <v>Summit Health Commercial</v>
      </c>
      <c r="W5904" s="1" t="str">
        <f t="shared" si="371"/>
        <v>2025-10</v>
      </c>
    </row>
    <row r="5905" spans="1:23">
      <c r="A5905" s="1" t="s">
        <v>8812</v>
      </c>
      <c r="B5905" s="1" t="s">
        <v>1687</v>
      </c>
      <c r="C5905" s="1" t="s">
        <v>60</v>
      </c>
      <c r="D5905" s="1" t="s">
        <v>26</v>
      </c>
      <c r="E5905" s="1" t="s">
        <v>27</v>
      </c>
      <c r="F5905">
        <v>1</v>
      </c>
      <c r="G5905" s="2">
        <v>46267</v>
      </c>
      <c r="H5905" s="2">
        <v>46270</v>
      </c>
      <c r="I5905">
        <v>236.55</v>
      </c>
      <c r="M5905" s="1" t="s">
        <v>69</v>
      </c>
      <c r="N5905" s="1" t="s">
        <v>22</v>
      </c>
      <c r="O5905" s="2"/>
      <c r="P5905" s="2"/>
      <c r="Q5905">
        <f>_xlfn.XLOOKUP(E5905,CPT!$A$2:$A$13,CPT!$D$2:$D$13)</f>
        <v>240</v>
      </c>
      <c r="R5905" s="1">
        <f>_xlfn.XLOOKUP(C5905,Contract!$A$2:$A$9,Contract!$B$2:$B$9)</f>
        <v>0.45</v>
      </c>
      <c r="S5905" s="1">
        <f t="shared" si="368"/>
        <v>108</v>
      </c>
      <c r="T5905" s="1" t="str">
        <f t="shared" si="369"/>
        <v/>
      </c>
      <c r="U5905" s="1" t="str">
        <f t="shared" si="370"/>
        <v/>
      </c>
      <c r="V5905" s="1" t="str">
        <f>_xlfn.XLOOKUP(C5905,Payers!$A$2:$A$9,Payers!$B$2:$B$9)</f>
        <v>Blue Horizon Commercial</v>
      </c>
      <c r="W5905" s="1" t="str">
        <f t="shared" si="371"/>
        <v>2026-09</v>
      </c>
    </row>
    <row r="5906" spans="1:23">
      <c r="A5906" s="1" t="s">
        <v>8813</v>
      </c>
      <c r="B5906" s="1" t="s">
        <v>8403</v>
      </c>
      <c r="C5906" s="1" t="s">
        <v>18</v>
      </c>
      <c r="D5906" s="1" t="s">
        <v>19</v>
      </c>
      <c r="E5906" s="1" t="s">
        <v>88</v>
      </c>
      <c r="F5906">
        <v>1</v>
      </c>
      <c r="G5906" s="2">
        <v>46035</v>
      </c>
      <c r="H5906" s="2">
        <v>46043</v>
      </c>
      <c r="I5906">
        <v>262.20999999999998</v>
      </c>
      <c r="J5906">
        <v>89.29</v>
      </c>
      <c r="K5906">
        <v>80.36</v>
      </c>
      <c r="L5906">
        <v>8.93</v>
      </c>
      <c r="M5906" s="1" t="s">
        <v>21</v>
      </c>
      <c r="N5906" s="1" t="s">
        <v>22</v>
      </c>
      <c r="O5906" s="2">
        <v>46100</v>
      </c>
      <c r="P5906" s="2">
        <v>46100</v>
      </c>
      <c r="Q5906">
        <f>_xlfn.XLOOKUP(E5906,CPT!$A$2:$A$13,CPT!$D$2:$D$13)</f>
        <v>260</v>
      </c>
      <c r="R5906" s="1">
        <f>_xlfn.XLOOKUP(C5906,Contract!$A$2:$A$9,Contract!$B$2:$B$9)</f>
        <v>0.38</v>
      </c>
      <c r="S5906" s="1">
        <f t="shared" si="368"/>
        <v>98.8</v>
      </c>
      <c r="T5906" s="1">
        <f t="shared" si="369"/>
        <v>9.5099999999999909</v>
      </c>
      <c r="U5906" s="1" t="str">
        <f t="shared" si="370"/>
        <v>Underpaid</v>
      </c>
      <c r="V5906" s="1" t="str">
        <f>_xlfn.XLOOKUP(C5906,Payers!$A$2:$A$9,Payers!$B$2:$B$9)</f>
        <v>Sunshine Medicare Advantage</v>
      </c>
      <c r="W5906" s="1" t="str">
        <f t="shared" si="371"/>
        <v>2026-01</v>
      </c>
    </row>
    <row r="5907" spans="1:23">
      <c r="A5907" s="1" t="s">
        <v>8814</v>
      </c>
      <c r="B5907" s="1" t="s">
        <v>3449</v>
      </c>
      <c r="C5907" s="1" t="s">
        <v>36</v>
      </c>
      <c r="D5907" s="1" t="s">
        <v>26</v>
      </c>
      <c r="E5907" s="1" t="s">
        <v>41</v>
      </c>
      <c r="F5907">
        <v>1</v>
      </c>
      <c r="G5907" s="2">
        <v>46081</v>
      </c>
      <c r="H5907" s="2">
        <v>46094</v>
      </c>
      <c r="I5907">
        <v>37.340000000000003</v>
      </c>
      <c r="J5907">
        <v>8.5500000000000007</v>
      </c>
      <c r="K5907">
        <v>8.5500000000000007</v>
      </c>
      <c r="L5907">
        <v>0</v>
      </c>
      <c r="M5907" s="1" t="s">
        <v>21</v>
      </c>
      <c r="N5907" s="1" t="s">
        <v>22</v>
      </c>
      <c r="O5907" s="2">
        <v>46141</v>
      </c>
      <c r="P5907" s="2">
        <v>46141</v>
      </c>
      <c r="Q5907">
        <f>_xlfn.XLOOKUP(E5907,CPT!$A$2:$A$13,CPT!$D$2:$D$13)</f>
        <v>38</v>
      </c>
      <c r="R5907" s="1">
        <f>_xlfn.XLOOKUP(C5907,Contract!$A$2:$A$9,Contract!$B$2:$B$9)</f>
        <v>0.27</v>
      </c>
      <c r="S5907" s="1">
        <f t="shared" si="368"/>
        <v>10.26</v>
      </c>
      <c r="T5907" s="1">
        <f t="shared" si="369"/>
        <v>1.7099999999999991</v>
      </c>
      <c r="U5907" s="1" t="str">
        <f t="shared" si="370"/>
        <v>Underpaid</v>
      </c>
      <c r="V5907" s="1" t="str">
        <f>_xlfn.XLOOKUP(C5907,Payers!$A$2:$A$9,Payers!$B$2:$B$9)</f>
        <v>Florida Medicaid</v>
      </c>
      <c r="W5907" s="1" t="str">
        <f t="shared" si="371"/>
        <v>2026-02</v>
      </c>
    </row>
    <row r="5908" spans="1:23">
      <c r="A5908" s="1" t="s">
        <v>8815</v>
      </c>
      <c r="B5908" s="1" t="s">
        <v>8276</v>
      </c>
      <c r="C5908" s="1" t="s">
        <v>47</v>
      </c>
      <c r="D5908" s="1" t="s">
        <v>19</v>
      </c>
      <c r="E5908" s="1" t="s">
        <v>41</v>
      </c>
      <c r="F5908">
        <v>1</v>
      </c>
      <c r="G5908" s="2">
        <v>46024</v>
      </c>
      <c r="H5908" s="2">
        <v>46025</v>
      </c>
      <c r="I5908">
        <v>37.51</v>
      </c>
      <c r="J5908">
        <v>10.52</v>
      </c>
      <c r="K5908">
        <v>9.4700000000000006</v>
      </c>
      <c r="L5908">
        <v>1.05</v>
      </c>
      <c r="M5908" s="1" t="s">
        <v>21</v>
      </c>
      <c r="N5908" s="1" t="s">
        <v>22</v>
      </c>
      <c r="O5908" s="2">
        <v>46118</v>
      </c>
      <c r="P5908" s="2">
        <v>46118</v>
      </c>
      <c r="Q5908">
        <f>_xlfn.XLOOKUP(E5908,CPT!$A$2:$A$13,CPT!$D$2:$D$13)</f>
        <v>38</v>
      </c>
      <c r="R5908" s="1">
        <f>_xlfn.XLOOKUP(C5908,Contract!$A$2:$A$9,Contract!$B$2:$B$9)</f>
        <v>0.28000000000000003</v>
      </c>
      <c r="S5908" s="1">
        <f t="shared" si="368"/>
        <v>10.64</v>
      </c>
      <c r="T5908" s="1">
        <f t="shared" si="369"/>
        <v>0.12000000000000099</v>
      </c>
      <c r="U5908" s="1" t="str">
        <f t="shared" si="370"/>
        <v>OK</v>
      </c>
      <c r="V5908" s="1" t="str">
        <f>_xlfn.XLOOKUP(C5908,Payers!$A$2:$A$9,Payers!$B$2:$B$9)</f>
        <v>Coastal Medicaid MCO</v>
      </c>
      <c r="W5908" s="1" t="str">
        <f t="shared" si="371"/>
        <v>2026-01</v>
      </c>
    </row>
    <row r="5909" spans="1:23">
      <c r="A5909" s="1" t="s">
        <v>8816</v>
      </c>
      <c r="B5909" s="1" t="s">
        <v>8817</v>
      </c>
      <c r="C5909" s="1" t="s">
        <v>36</v>
      </c>
      <c r="D5909" s="1" t="s">
        <v>19</v>
      </c>
      <c r="E5909" s="1" t="s">
        <v>41</v>
      </c>
      <c r="F5909">
        <v>1</v>
      </c>
      <c r="G5909" s="2">
        <v>45958</v>
      </c>
      <c r="H5909" s="2">
        <v>45959</v>
      </c>
      <c r="I5909">
        <v>38.68</v>
      </c>
      <c r="M5909" s="1" t="s">
        <v>32</v>
      </c>
      <c r="N5909" s="1" t="s">
        <v>98</v>
      </c>
      <c r="O5909" s="2">
        <v>45992</v>
      </c>
      <c r="P5909" s="2"/>
      <c r="Q5909">
        <f>_xlfn.XLOOKUP(E5909,CPT!$A$2:$A$13,CPT!$D$2:$D$13)</f>
        <v>38</v>
      </c>
      <c r="R5909" s="1">
        <f>_xlfn.XLOOKUP(C5909,Contract!$A$2:$A$9,Contract!$B$2:$B$9)</f>
        <v>0.27</v>
      </c>
      <c r="S5909" s="1">
        <f t="shared" si="368"/>
        <v>10.26</v>
      </c>
      <c r="T5909" s="1" t="str">
        <f t="shared" si="369"/>
        <v/>
      </c>
      <c r="U5909" s="1" t="str">
        <f t="shared" si="370"/>
        <v/>
      </c>
      <c r="V5909" s="1" t="str">
        <f>_xlfn.XLOOKUP(C5909,Payers!$A$2:$A$9,Payers!$B$2:$B$9)</f>
        <v>Florida Medicaid</v>
      </c>
      <c r="W5909" s="1" t="str">
        <f t="shared" si="371"/>
        <v>2025-10</v>
      </c>
    </row>
    <row r="5910" spans="1:23">
      <c r="A5910" s="1" t="s">
        <v>8818</v>
      </c>
      <c r="B5910" s="1" t="s">
        <v>8819</v>
      </c>
      <c r="C5910" s="1" t="s">
        <v>76</v>
      </c>
      <c r="D5910" s="1" t="s">
        <v>30</v>
      </c>
      <c r="E5910" s="1" t="s">
        <v>31</v>
      </c>
      <c r="F5910">
        <v>2</v>
      </c>
      <c r="G5910" s="2">
        <v>46128</v>
      </c>
      <c r="H5910" s="2">
        <v>46133</v>
      </c>
      <c r="I5910">
        <v>124.82</v>
      </c>
      <c r="M5910" s="1" t="s">
        <v>32</v>
      </c>
      <c r="N5910" s="1" t="s">
        <v>98</v>
      </c>
      <c r="O5910" s="2">
        <v>46169</v>
      </c>
      <c r="P5910" s="2"/>
      <c r="Q5910">
        <f>_xlfn.XLOOKUP(E5910,CPT!$A$2:$A$13,CPT!$D$2:$D$13)</f>
        <v>62</v>
      </c>
      <c r="R5910" s="1">
        <f>_xlfn.XLOOKUP(C5910,Contract!$A$2:$A$9,Contract!$B$2:$B$9)</f>
        <v>0.43</v>
      </c>
      <c r="S5910" s="1">
        <f t="shared" si="368"/>
        <v>53.32</v>
      </c>
      <c r="T5910" s="1" t="str">
        <f t="shared" si="369"/>
        <v/>
      </c>
      <c r="U5910" s="1" t="str">
        <f t="shared" si="370"/>
        <v/>
      </c>
      <c r="V5910" s="1" t="str">
        <f>_xlfn.XLOOKUP(C5910,Payers!$A$2:$A$9,Payers!$B$2:$B$9)</f>
        <v>Summit Health Commercial</v>
      </c>
      <c r="W5910" s="1" t="str">
        <f t="shared" si="371"/>
        <v>2026-04</v>
      </c>
    </row>
    <row r="5911" spans="1:23">
      <c r="A5911" s="1" t="s">
        <v>8820</v>
      </c>
      <c r="B5911" s="1" t="s">
        <v>873</v>
      </c>
      <c r="C5911" s="1" t="s">
        <v>79</v>
      </c>
      <c r="D5911" s="1" t="s">
        <v>30</v>
      </c>
      <c r="E5911" s="1" t="s">
        <v>91</v>
      </c>
      <c r="F5911">
        <v>2</v>
      </c>
      <c r="G5911" s="2">
        <v>45939</v>
      </c>
      <c r="H5911" s="2">
        <v>45954</v>
      </c>
      <c r="I5911">
        <v>114.83</v>
      </c>
      <c r="J5911">
        <v>114.83</v>
      </c>
      <c r="K5911">
        <v>114.83</v>
      </c>
      <c r="L5911">
        <v>0</v>
      </c>
      <c r="M5911" s="1" t="s">
        <v>21</v>
      </c>
      <c r="N5911" s="1" t="s">
        <v>22</v>
      </c>
      <c r="O5911" s="2">
        <v>46012</v>
      </c>
      <c r="P5911" s="2">
        <v>46012</v>
      </c>
      <c r="Q5911">
        <f>_xlfn.XLOOKUP(E5911,CPT!$A$2:$A$13,CPT!$D$2:$D$13)</f>
        <v>58</v>
      </c>
      <c r="R5911" s="1">
        <f>_xlfn.XLOOKUP(C5911,Contract!$A$2:$A$9,Contract!$B$2:$B$9)</f>
        <v>1</v>
      </c>
      <c r="S5911" s="1">
        <f t="shared" si="368"/>
        <v>116</v>
      </c>
      <c r="T5911" s="1">
        <f t="shared" si="369"/>
        <v>1.1700000000000017</v>
      </c>
      <c r="U5911" s="1" t="str">
        <f t="shared" si="370"/>
        <v>OK</v>
      </c>
      <c r="V5911" s="1" t="str">
        <f>_xlfn.XLOOKUP(C5911,Payers!$A$2:$A$9,Payers!$B$2:$B$9)</f>
        <v>Self-Pay</v>
      </c>
      <c r="W5911" s="1" t="str">
        <f t="shared" si="371"/>
        <v>2025-10</v>
      </c>
    </row>
    <row r="5912" spans="1:23">
      <c r="A5912" s="1" t="s">
        <v>8821</v>
      </c>
      <c r="B5912" s="1" t="s">
        <v>1045</v>
      </c>
      <c r="C5912" s="1" t="s">
        <v>76</v>
      </c>
      <c r="D5912" s="1" t="s">
        <v>19</v>
      </c>
      <c r="E5912" s="1" t="s">
        <v>20</v>
      </c>
      <c r="F5912">
        <v>1</v>
      </c>
      <c r="G5912" s="2">
        <v>45992</v>
      </c>
      <c r="H5912" s="2">
        <v>45994</v>
      </c>
      <c r="I5912">
        <v>145.61000000000001</v>
      </c>
      <c r="J5912">
        <v>66.430000000000007</v>
      </c>
      <c r="K5912">
        <v>66.430000000000007</v>
      </c>
      <c r="L5912">
        <v>0</v>
      </c>
      <c r="M5912" s="1" t="s">
        <v>21</v>
      </c>
      <c r="N5912" s="1" t="s">
        <v>22</v>
      </c>
      <c r="O5912" s="2">
        <v>46033</v>
      </c>
      <c r="P5912" s="2">
        <v>46033</v>
      </c>
      <c r="Q5912">
        <f>_xlfn.XLOOKUP(E5912,CPT!$A$2:$A$13,CPT!$D$2:$D$13)</f>
        <v>145</v>
      </c>
      <c r="R5912" s="1">
        <f>_xlfn.XLOOKUP(C5912,Contract!$A$2:$A$9,Contract!$B$2:$B$9)</f>
        <v>0.43</v>
      </c>
      <c r="S5912" s="1">
        <f t="shared" si="368"/>
        <v>62.35</v>
      </c>
      <c r="T5912" s="1">
        <f t="shared" si="369"/>
        <v>-4.0800000000000054</v>
      </c>
      <c r="U5912" s="1" t="str">
        <f t="shared" si="370"/>
        <v>OK</v>
      </c>
      <c r="V5912" s="1" t="str">
        <f>_xlfn.XLOOKUP(C5912,Payers!$A$2:$A$9,Payers!$B$2:$B$9)</f>
        <v>Summit Health Commercial</v>
      </c>
      <c r="W5912" s="1" t="str">
        <f t="shared" si="371"/>
        <v>2025-12</v>
      </c>
    </row>
    <row r="5913" spans="1:23">
      <c r="A5913" s="1" t="s">
        <v>8822</v>
      </c>
      <c r="B5913" s="1" t="s">
        <v>8223</v>
      </c>
      <c r="C5913" s="1" t="s">
        <v>60</v>
      </c>
      <c r="D5913" s="1" t="s">
        <v>19</v>
      </c>
      <c r="E5913" s="1" t="s">
        <v>88</v>
      </c>
      <c r="F5913">
        <v>1</v>
      </c>
      <c r="G5913" s="2">
        <v>45969</v>
      </c>
      <c r="H5913" s="2">
        <v>45977</v>
      </c>
      <c r="I5913">
        <v>263.31</v>
      </c>
      <c r="M5913" s="1" t="s">
        <v>32</v>
      </c>
      <c r="N5913" s="1" t="s">
        <v>98</v>
      </c>
      <c r="O5913" s="2">
        <v>46007</v>
      </c>
      <c r="P5913" s="2"/>
      <c r="Q5913">
        <f>_xlfn.XLOOKUP(E5913,CPT!$A$2:$A$13,CPT!$D$2:$D$13)</f>
        <v>260</v>
      </c>
      <c r="R5913" s="1">
        <f>_xlfn.XLOOKUP(C5913,Contract!$A$2:$A$9,Contract!$B$2:$B$9)</f>
        <v>0.45</v>
      </c>
      <c r="S5913" s="1">
        <f t="shared" si="368"/>
        <v>117</v>
      </c>
      <c r="T5913" s="1" t="str">
        <f t="shared" si="369"/>
        <v/>
      </c>
      <c r="U5913" s="1" t="str">
        <f t="shared" si="370"/>
        <v/>
      </c>
      <c r="V5913" s="1" t="str">
        <f>_xlfn.XLOOKUP(C5913,Payers!$A$2:$A$9,Payers!$B$2:$B$9)</f>
        <v>Blue Horizon Commercial</v>
      </c>
      <c r="W5913" s="1" t="str">
        <f t="shared" si="371"/>
        <v>2025-11</v>
      </c>
    </row>
    <row r="5914" spans="1:23">
      <c r="A5914" s="1" t="s">
        <v>8823</v>
      </c>
      <c r="B5914" s="1" t="s">
        <v>1627</v>
      </c>
      <c r="C5914" s="1" t="s">
        <v>60</v>
      </c>
      <c r="D5914" s="1" t="s">
        <v>26</v>
      </c>
      <c r="E5914" s="1" t="s">
        <v>113</v>
      </c>
      <c r="F5914">
        <v>1</v>
      </c>
      <c r="G5914" s="2">
        <v>46048</v>
      </c>
      <c r="H5914" s="2">
        <v>46058</v>
      </c>
      <c r="I5914">
        <v>1072.44</v>
      </c>
      <c r="J5914">
        <v>422.13</v>
      </c>
      <c r="K5914">
        <v>422.13</v>
      </c>
      <c r="L5914">
        <v>0</v>
      </c>
      <c r="M5914" s="1" t="s">
        <v>21</v>
      </c>
      <c r="N5914" s="1" t="s">
        <v>22</v>
      </c>
      <c r="O5914" s="2">
        <v>46075</v>
      </c>
      <c r="P5914" s="2">
        <v>46075</v>
      </c>
      <c r="Q5914">
        <f>_xlfn.XLOOKUP(E5914,CPT!$A$2:$A$13,CPT!$D$2:$D$13)</f>
        <v>1050</v>
      </c>
      <c r="R5914" s="1">
        <f>_xlfn.XLOOKUP(C5914,Contract!$A$2:$A$9,Contract!$B$2:$B$9)</f>
        <v>0.45</v>
      </c>
      <c r="S5914" s="1">
        <f t="shared" si="368"/>
        <v>472.5</v>
      </c>
      <c r="T5914" s="1">
        <f t="shared" si="369"/>
        <v>50.370000000000005</v>
      </c>
      <c r="U5914" s="1" t="str">
        <f t="shared" si="370"/>
        <v>Underpaid</v>
      </c>
      <c r="V5914" s="1" t="str">
        <f>_xlfn.XLOOKUP(C5914,Payers!$A$2:$A$9,Payers!$B$2:$B$9)</f>
        <v>Blue Horizon Commercial</v>
      </c>
      <c r="W5914" s="1" t="str">
        <f t="shared" si="371"/>
        <v>2026-01</v>
      </c>
    </row>
    <row r="5915" spans="1:23">
      <c r="A5915" s="1" t="s">
        <v>8824</v>
      </c>
      <c r="B5915" s="1" t="s">
        <v>462</v>
      </c>
      <c r="C5915" s="1" t="s">
        <v>18</v>
      </c>
      <c r="D5915" s="1" t="s">
        <v>26</v>
      </c>
      <c r="E5915" s="1" t="s">
        <v>41</v>
      </c>
      <c r="F5915">
        <v>1</v>
      </c>
      <c r="G5915" s="2">
        <v>46206</v>
      </c>
      <c r="H5915" s="2">
        <v>46218</v>
      </c>
      <c r="I5915">
        <v>38.25</v>
      </c>
      <c r="J5915">
        <v>15.67</v>
      </c>
      <c r="K5915">
        <v>12.54</v>
      </c>
      <c r="L5915">
        <v>3.13</v>
      </c>
      <c r="M5915" s="1" t="s">
        <v>21</v>
      </c>
      <c r="N5915" s="1" t="s">
        <v>22</v>
      </c>
      <c r="O5915" s="2">
        <v>46274</v>
      </c>
      <c r="P5915" s="2">
        <v>46274</v>
      </c>
      <c r="Q5915">
        <f>_xlfn.XLOOKUP(E5915,CPT!$A$2:$A$13,CPT!$D$2:$D$13)</f>
        <v>38</v>
      </c>
      <c r="R5915" s="1">
        <f>_xlfn.XLOOKUP(C5915,Contract!$A$2:$A$9,Contract!$B$2:$B$9)</f>
        <v>0.38</v>
      </c>
      <c r="S5915" s="1">
        <f t="shared" si="368"/>
        <v>14.44</v>
      </c>
      <c r="T5915" s="1">
        <f t="shared" si="369"/>
        <v>-1.2300000000000004</v>
      </c>
      <c r="U5915" s="1" t="str">
        <f t="shared" si="370"/>
        <v>OK</v>
      </c>
      <c r="V5915" s="1" t="str">
        <f>_xlfn.XLOOKUP(C5915,Payers!$A$2:$A$9,Payers!$B$2:$B$9)</f>
        <v>Sunshine Medicare Advantage</v>
      </c>
      <c r="W5915" s="1" t="str">
        <f t="shared" si="371"/>
        <v>2026-07</v>
      </c>
    </row>
    <row r="5916" spans="1:23">
      <c r="A5916" s="1" t="s">
        <v>8825</v>
      </c>
      <c r="B5916" s="1" t="s">
        <v>1018</v>
      </c>
      <c r="C5916" s="1" t="s">
        <v>60</v>
      </c>
      <c r="D5916" s="1" t="s">
        <v>26</v>
      </c>
      <c r="E5916" s="1" t="s">
        <v>27</v>
      </c>
      <c r="F5916">
        <v>1</v>
      </c>
      <c r="G5916" s="2">
        <v>45990</v>
      </c>
      <c r="H5916" s="2">
        <v>45998</v>
      </c>
      <c r="I5916">
        <v>242.76</v>
      </c>
      <c r="J5916">
        <v>115.36</v>
      </c>
      <c r="K5916">
        <v>92.29</v>
      </c>
      <c r="L5916">
        <v>23.07</v>
      </c>
      <c r="M5916" s="1" t="s">
        <v>21</v>
      </c>
      <c r="N5916" s="1" t="s">
        <v>22</v>
      </c>
      <c r="O5916" s="2">
        <v>46012</v>
      </c>
      <c r="P5916" s="2">
        <v>46012</v>
      </c>
      <c r="Q5916">
        <f>_xlfn.XLOOKUP(E5916,CPT!$A$2:$A$13,CPT!$D$2:$D$13)</f>
        <v>240</v>
      </c>
      <c r="R5916" s="1">
        <f>_xlfn.XLOOKUP(C5916,Contract!$A$2:$A$9,Contract!$B$2:$B$9)</f>
        <v>0.45</v>
      </c>
      <c r="S5916" s="1">
        <f t="shared" si="368"/>
        <v>108</v>
      </c>
      <c r="T5916" s="1">
        <f t="shared" si="369"/>
        <v>-7.3599999999999994</v>
      </c>
      <c r="U5916" s="1" t="str">
        <f t="shared" si="370"/>
        <v>OK</v>
      </c>
      <c r="V5916" s="1" t="str">
        <f>_xlfn.XLOOKUP(C5916,Payers!$A$2:$A$9,Payers!$B$2:$B$9)</f>
        <v>Blue Horizon Commercial</v>
      </c>
      <c r="W5916" s="1" t="str">
        <f t="shared" si="371"/>
        <v>2025-11</v>
      </c>
    </row>
    <row r="5917" spans="1:23">
      <c r="A5917" s="1" t="s">
        <v>8826</v>
      </c>
      <c r="B5917" s="1" t="s">
        <v>3429</v>
      </c>
      <c r="C5917" s="1" t="s">
        <v>47</v>
      </c>
      <c r="D5917" s="1" t="s">
        <v>30</v>
      </c>
      <c r="E5917" s="1" t="s">
        <v>31</v>
      </c>
      <c r="F5917">
        <v>2</v>
      </c>
      <c r="G5917" s="2">
        <v>46191</v>
      </c>
      <c r="H5917" s="2">
        <v>46192</v>
      </c>
      <c r="I5917">
        <v>123.47</v>
      </c>
      <c r="J5917">
        <v>34.17</v>
      </c>
      <c r="K5917">
        <v>34.17</v>
      </c>
      <c r="L5917">
        <v>0</v>
      </c>
      <c r="M5917" s="1" t="s">
        <v>21</v>
      </c>
      <c r="N5917" s="1" t="s">
        <v>22</v>
      </c>
      <c r="O5917" s="2">
        <v>46245</v>
      </c>
      <c r="P5917" s="2">
        <v>46245</v>
      </c>
      <c r="Q5917">
        <f>_xlfn.XLOOKUP(E5917,CPT!$A$2:$A$13,CPT!$D$2:$D$13)</f>
        <v>62</v>
      </c>
      <c r="R5917" s="1">
        <f>_xlfn.XLOOKUP(C5917,Contract!$A$2:$A$9,Contract!$B$2:$B$9)</f>
        <v>0.28000000000000003</v>
      </c>
      <c r="S5917" s="1">
        <f t="shared" si="368"/>
        <v>34.72</v>
      </c>
      <c r="T5917" s="1">
        <f t="shared" si="369"/>
        <v>0.54999999999999716</v>
      </c>
      <c r="U5917" s="1" t="str">
        <f t="shared" si="370"/>
        <v>OK</v>
      </c>
      <c r="V5917" s="1" t="str">
        <f>_xlfn.XLOOKUP(C5917,Payers!$A$2:$A$9,Payers!$B$2:$B$9)</f>
        <v>Coastal Medicaid MCO</v>
      </c>
      <c r="W5917" s="1" t="str">
        <f t="shared" si="371"/>
        <v>2026-06</v>
      </c>
    </row>
    <row r="5918" spans="1:23">
      <c r="A5918" s="1" t="s">
        <v>8827</v>
      </c>
      <c r="B5918" s="1" t="s">
        <v>504</v>
      </c>
      <c r="C5918" s="1" t="s">
        <v>25</v>
      </c>
      <c r="D5918" s="1" t="s">
        <v>19</v>
      </c>
      <c r="E5918" s="1" t="s">
        <v>88</v>
      </c>
      <c r="F5918">
        <v>1</v>
      </c>
      <c r="G5918" s="2">
        <v>46047</v>
      </c>
      <c r="H5918" s="2">
        <v>46048</v>
      </c>
      <c r="I5918">
        <v>266.17</v>
      </c>
      <c r="M5918" s="1" t="s">
        <v>32</v>
      </c>
      <c r="N5918" s="1" t="s">
        <v>33</v>
      </c>
      <c r="O5918" s="2">
        <v>46071</v>
      </c>
      <c r="P5918" s="2"/>
      <c r="Q5918">
        <f>_xlfn.XLOOKUP(E5918,CPT!$A$2:$A$13,CPT!$D$2:$D$13)</f>
        <v>260</v>
      </c>
      <c r="R5918" s="1">
        <f>_xlfn.XLOOKUP(C5918,Contract!$A$2:$A$9,Contract!$B$2:$B$9)</f>
        <v>0.36</v>
      </c>
      <c r="S5918" s="1">
        <f t="shared" si="368"/>
        <v>93.6</v>
      </c>
      <c r="T5918" s="1" t="str">
        <f t="shared" si="369"/>
        <v/>
      </c>
      <c r="U5918" s="1" t="str">
        <f t="shared" si="370"/>
        <v/>
      </c>
      <c r="V5918" s="1" t="str">
        <f>_xlfn.XLOOKUP(C5918,Payers!$A$2:$A$9,Payers!$B$2:$B$9)</f>
        <v>Medicare Part B</v>
      </c>
      <c r="W5918" s="1" t="str">
        <f t="shared" si="371"/>
        <v>2026-01</v>
      </c>
    </row>
    <row r="5919" spans="1:23">
      <c r="A5919" s="1" t="s">
        <v>8828</v>
      </c>
      <c r="B5919" s="1" t="s">
        <v>7686</v>
      </c>
      <c r="C5919" s="1" t="s">
        <v>18</v>
      </c>
      <c r="D5919" s="1" t="s">
        <v>26</v>
      </c>
      <c r="E5919" s="1" t="s">
        <v>41</v>
      </c>
      <c r="F5919">
        <v>1</v>
      </c>
      <c r="G5919" s="2">
        <v>46255</v>
      </c>
      <c r="H5919" s="2">
        <v>46257</v>
      </c>
      <c r="I5919">
        <v>37.96</v>
      </c>
      <c r="M5919" s="1" t="s">
        <v>69</v>
      </c>
      <c r="N5919" s="1" t="s">
        <v>22</v>
      </c>
      <c r="O5919" s="2"/>
      <c r="P5919" s="2"/>
      <c r="Q5919">
        <f>_xlfn.XLOOKUP(E5919,CPT!$A$2:$A$13,CPT!$D$2:$D$13)</f>
        <v>38</v>
      </c>
      <c r="R5919" s="1">
        <f>_xlfn.XLOOKUP(C5919,Contract!$A$2:$A$9,Contract!$B$2:$B$9)</f>
        <v>0.38</v>
      </c>
      <c r="S5919" s="1">
        <f t="shared" si="368"/>
        <v>14.44</v>
      </c>
      <c r="T5919" s="1" t="str">
        <f t="shared" si="369"/>
        <v/>
      </c>
      <c r="U5919" s="1" t="str">
        <f t="shared" si="370"/>
        <v/>
      </c>
      <c r="V5919" s="1" t="str">
        <f>_xlfn.XLOOKUP(C5919,Payers!$A$2:$A$9,Payers!$B$2:$B$9)</f>
        <v>Sunshine Medicare Advantage</v>
      </c>
      <c r="W5919" s="1" t="str">
        <f t="shared" si="371"/>
        <v>2026-08</v>
      </c>
    </row>
    <row r="5920" spans="1:23">
      <c r="A5920" s="1" t="s">
        <v>8829</v>
      </c>
      <c r="B5920" s="1" t="s">
        <v>8830</v>
      </c>
      <c r="C5920" s="1" t="s">
        <v>47</v>
      </c>
      <c r="D5920" s="1" t="s">
        <v>19</v>
      </c>
      <c r="E5920" s="1" t="s">
        <v>57</v>
      </c>
      <c r="F5920">
        <v>1</v>
      </c>
      <c r="G5920" s="2">
        <v>45963</v>
      </c>
      <c r="H5920" s="2">
        <v>45970</v>
      </c>
      <c r="I5920">
        <v>205.6</v>
      </c>
      <c r="J5920">
        <v>54.42</v>
      </c>
      <c r="K5920">
        <v>54.42</v>
      </c>
      <c r="L5920">
        <v>0</v>
      </c>
      <c r="M5920" s="1" t="s">
        <v>21</v>
      </c>
      <c r="N5920" s="1" t="s">
        <v>22</v>
      </c>
      <c r="O5920" s="2">
        <v>46043</v>
      </c>
      <c r="P5920" s="2">
        <v>46043</v>
      </c>
      <c r="Q5920">
        <f>_xlfn.XLOOKUP(E5920,CPT!$A$2:$A$13,CPT!$D$2:$D$13)</f>
        <v>210</v>
      </c>
      <c r="R5920" s="1">
        <f>_xlfn.XLOOKUP(C5920,Contract!$A$2:$A$9,Contract!$B$2:$B$9)</f>
        <v>0.28000000000000003</v>
      </c>
      <c r="S5920" s="1">
        <f t="shared" si="368"/>
        <v>58.8</v>
      </c>
      <c r="T5920" s="1">
        <f t="shared" si="369"/>
        <v>4.3799999999999955</v>
      </c>
      <c r="U5920" s="1" t="str">
        <f t="shared" si="370"/>
        <v>Underpaid</v>
      </c>
      <c r="V5920" s="1" t="str">
        <f>_xlfn.XLOOKUP(C5920,Payers!$A$2:$A$9,Payers!$B$2:$B$9)</f>
        <v>Coastal Medicaid MCO</v>
      </c>
      <c r="W5920" s="1" t="str">
        <f t="shared" si="371"/>
        <v>2025-11</v>
      </c>
    </row>
    <row r="5921" spans="1:23">
      <c r="A5921" s="1" t="s">
        <v>8831</v>
      </c>
      <c r="B5921" s="1" t="s">
        <v>8832</v>
      </c>
      <c r="C5921" s="1" t="s">
        <v>60</v>
      </c>
      <c r="D5921" s="1" t="s">
        <v>30</v>
      </c>
      <c r="E5921" s="1" t="s">
        <v>31</v>
      </c>
      <c r="F5921">
        <v>2</v>
      </c>
      <c r="G5921" s="2">
        <v>46148</v>
      </c>
      <c r="H5921" s="2">
        <v>46149</v>
      </c>
      <c r="I5921">
        <v>123.28</v>
      </c>
      <c r="J5921">
        <v>62.26</v>
      </c>
      <c r="K5921">
        <v>49.81</v>
      </c>
      <c r="L5921">
        <v>12.45</v>
      </c>
      <c r="M5921" s="1" t="s">
        <v>21</v>
      </c>
      <c r="N5921" s="1" t="s">
        <v>22</v>
      </c>
      <c r="O5921" s="2">
        <v>46175</v>
      </c>
      <c r="P5921" s="2">
        <v>46175</v>
      </c>
      <c r="Q5921">
        <f>_xlfn.XLOOKUP(E5921,CPT!$A$2:$A$13,CPT!$D$2:$D$13)</f>
        <v>62</v>
      </c>
      <c r="R5921" s="1">
        <f>_xlfn.XLOOKUP(C5921,Contract!$A$2:$A$9,Contract!$B$2:$B$9)</f>
        <v>0.45</v>
      </c>
      <c r="S5921" s="1">
        <f t="shared" si="368"/>
        <v>55.8</v>
      </c>
      <c r="T5921" s="1">
        <f t="shared" si="369"/>
        <v>-6.4600000000000009</v>
      </c>
      <c r="U5921" s="1" t="str">
        <f t="shared" si="370"/>
        <v>OK</v>
      </c>
      <c r="V5921" s="1" t="str">
        <f>_xlfn.XLOOKUP(C5921,Payers!$A$2:$A$9,Payers!$B$2:$B$9)</f>
        <v>Blue Horizon Commercial</v>
      </c>
      <c r="W5921" s="1" t="str">
        <f t="shared" si="371"/>
        <v>2026-05</v>
      </c>
    </row>
    <row r="5922" spans="1:23">
      <c r="A5922" s="1" t="s">
        <v>8833</v>
      </c>
      <c r="B5922" s="1" t="s">
        <v>1891</v>
      </c>
      <c r="C5922" s="1" t="s">
        <v>36</v>
      </c>
      <c r="D5922" s="1" t="s">
        <v>37</v>
      </c>
      <c r="E5922" s="1" t="s">
        <v>38</v>
      </c>
      <c r="F5922">
        <v>5</v>
      </c>
      <c r="G5922" s="2">
        <v>46245</v>
      </c>
      <c r="H5922" s="2">
        <v>46248</v>
      </c>
      <c r="I5922">
        <v>7340.5</v>
      </c>
      <c r="J5922">
        <v>1860.93</v>
      </c>
      <c r="K5922">
        <v>1860.93</v>
      </c>
      <c r="L5922">
        <v>0</v>
      </c>
      <c r="M5922" s="1" t="s">
        <v>21</v>
      </c>
      <c r="N5922" s="1" t="s">
        <v>22</v>
      </c>
      <c r="O5922" s="2">
        <v>46292</v>
      </c>
      <c r="P5922" s="2">
        <v>46292</v>
      </c>
      <c r="Q5922">
        <f>_xlfn.XLOOKUP(E5922,CPT!$A$2:$A$13,CPT!$D$2:$D$13)</f>
        <v>1450</v>
      </c>
      <c r="R5922" s="1">
        <f>_xlfn.XLOOKUP(C5922,Contract!$A$2:$A$9,Contract!$B$2:$B$9)</f>
        <v>0.27</v>
      </c>
      <c r="S5922" s="1">
        <f t="shared" si="368"/>
        <v>1957.5</v>
      </c>
      <c r="T5922" s="1">
        <f t="shared" si="369"/>
        <v>96.569999999999936</v>
      </c>
      <c r="U5922" s="1" t="str">
        <f t="shared" si="370"/>
        <v>OK</v>
      </c>
      <c r="V5922" s="1" t="str">
        <f>_xlfn.XLOOKUP(C5922,Payers!$A$2:$A$9,Payers!$B$2:$B$9)</f>
        <v>Florida Medicaid</v>
      </c>
      <c r="W5922" s="1" t="str">
        <f t="shared" si="371"/>
        <v>2026-08</v>
      </c>
    </row>
    <row r="5923" spans="1:23">
      <c r="A5923" s="1" t="s">
        <v>8834</v>
      </c>
      <c r="B5923" s="1" t="s">
        <v>4188</v>
      </c>
      <c r="C5923" s="1" t="s">
        <v>76</v>
      </c>
      <c r="D5923" s="1" t="s">
        <v>26</v>
      </c>
      <c r="E5923" s="1" t="s">
        <v>88</v>
      </c>
      <c r="F5923">
        <v>1</v>
      </c>
      <c r="G5923" s="2">
        <v>46010</v>
      </c>
      <c r="H5923" s="2">
        <v>46019</v>
      </c>
      <c r="I5923">
        <v>264.39</v>
      </c>
      <c r="J5923">
        <v>107.23</v>
      </c>
      <c r="K5923">
        <v>96.51</v>
      </c>
      <c r="L5923">
        <v>10.72</v>
      </c>
      <c r="M5923" s="1" t="s">
        <v>21</v>
      </c>
      <c r="N5923" s="1" t="s">
        <v>22</v>
      </c>
      <c r="O5923" s="2">
        <v>46052</v>
      </c>
      <c r="P5923" s="2">
        <v>46052</v>
      </c>
      <c r="Q5923">
        <f>_xlfn.XLOOKUP(E5923,CPT!$A$2:$A$13,CPT!$D$2:$D$13)</f>
        <v>260</v>
      </c>
      <c r="R5923" s="1">
        <f>_xlfn.XLOOKUP(C5923,Contract!$A$2:$A$9,Contract!$B$2:$B$9)</f>
        <v>0.43</v>
      </c>
      <c r="S5923" s="1">
        <f t="shared" si="368"/>
        <v>111.8</v>
      </c>
      <c r="T5923" s="1">
        <f t="shared" si="369"/>
        <v>4.5699999999999932</v>
      </c>
      <c r="U5923" s="1" t="str">
        <f t="shared" si="370"/>
        <v>OK</v>
      </c>
      <c r="V5923" s="1" t="str">
        <f>_xlfn.XLOOKUP(C5923,Payers!$A$2:$A$9,Payers!$B$2:$B$9)</f>
        <v>Summit Health Commercial</v>
      </c>
      <c r="W5923" s="1" t="str">
        <f t="shared" si="371"/>
        <v>2025-12</v>
      </c>
    </row>
    <row r="5924" spans="1:23">
      <c r="A5924" s="1" t="s">
        <v>8835</v>
      </c>
      <c r="B5924" s="1" t="s">
        <v>4351</v>
      </c>
      <c r="C5924" s="1" t="s">
        <v>52</v>
      </c>
      <c r="D5924" s="1" t="s">
        <v>26</v>
      </c>
      <c r="E5924" s="1" t="s">
        <v>41</v>
      </c>
      <c r="F5924">
        <v>1</v>
      </c>
      <c r="G5924" s="2">
        <v>45977</v>
      </c>
      <c r="H5924" s="2">
        <v>45978</v>
      </c>
      <c r="I5924">
        <v>38.33</v>
      </c>
      <c r="M5924" s="1" t="s">
        <v>32</v>
      </c>
      <c r="N5924" s="1" t="s">
        <v>281</v>
      </c>
      <c r="O5924" s="2">
        <v>46007</v>
      </c>
      <c r="P5924" s="2"/>
      <c r="Q5924">
        <f>_xlfn.XLOOKUP(E5924,CPT!$A$2:$A$13,CPT!$D$2:$D$13)</f>
        <v>38</v>
      </c>
      <c r="R5924" s="1">
        <f>_xlfn.XLOOKUP(C5924,Contract!$A$2:$A$9,Contract!$B$2:$B$9)</f>
        <v>0.47</v>
      </c>
      <c r="S5924" s="1">
        <f t="shared" si="368"/>
        <v>17.86</v>
      </c>
      <c r="T5924" s="1" t="str">
        <f t="shared" si="369"/>
        <v/>
      </c>
      <c r="U5924" s="1" t="str">
        <f t="shared" si="370"/>
        <v/>
      </c>
      <c r="V5924" s="1" t="str">
        <f>_xlfn.XLOOKUP(C5924,Payers!$A$2:$A$9,Payers!$B$2:$B$9)</f>
        <v>Keystone Commercial PPO</v>
      </c>
      <c r="W5924" s="1" t="str">
        <f t="shared" si="371"/>
        <v>2025-11</v>
      </c>
    </row>
    <row r="5925" spans="1:23">
      <c r="A5925" s="1" t="s">
        <v>8836</v>
      </c>
      <c r="B5925" s="1" t="s">
        <v>6295</v>
      </c>
      <c r="C5925" s="1" t="s">
        <v>36</v>
      </c>
      <c r="D5925" s="1" t="s">
        <v>19</v>
      </c>
      <c r="E5925" s="1" t="s">
        <v>20</v>
      </c>
      <c r="F5925">
        <v>1</v>
      </c>
      <c r="G5925" s="2">
        <v>46247</v>
      </c>
      <c r="H5925" s="2">
        <v>46252</v>
      </c>
      <c r="I5925">
        <v>140.87</v>
      </c>
      <c r="J5925">
        <v>40.32</v>
      </c>
      <c r="K5925">
        <v>40.32</v>
      </c>
      <c r="L5925">
        <v>0</v>
      </c>
      <c r="M5925" s="1" t="s">
        <v>21</v>
      </c>
      <c r="N5925" s="1" t="s">
        <v>22</v>
      </c>
      <c r="O5925" s="2">
        <v>46290</v>
      </c>
      <c r="P5925" s="2">
        <v>46290</v>
      </c>
      <c r="Q5925">
        <f>_xlfn.XLOOKUP(E5925,CPT!$A$2:$A$13,CPT!$D$2:$D$13)</f>
        <v>145</v>
      </c>
      <c r="R5925" s="1">
        <f>_xlfn.XLOOKUP(C5925,Contract!$A$2:$A$9,Contract!$B$2:$B$9)</f>
        <v>0.27</v>
      </c>
      <c r="S5925" s="1">
        <f t="shared" si="368"/>
        <v>39.15</v>
      </c>
      <c r="T5925" s="1">
        <f t="shared" si="369"/>
        <v>-1.1700000000000017</v>
      </c>
      <c r="U5925" s="1" t="str">
        <f t="shared" si="370"/>
        <v>OK</v>
      </c>
      <c r="V5925" s="1" t="str">
        <f>_xlfn.XLOOKUP(C5925,Payers!$A$2:$A$9,Payers!$B$2:$B$9)</f>
        <v>Florida Medicaid</v>
      </c>
      <c r="W5925" s="1" t="str">
        <f t="shared" si="371"/>
        <v>2026-08</v>
      </c>
    </row>
    <row r="5926" spans="1:23">
      <c r="A5926" s="1" t="s">
        <v>8837</v>
      </c>
      <c r="B5926" s="1" t="s">
        <v>8838</v>
      </c>
      <c r="C5926" s="1" t="s">
        <v>47</v>
      </c>
      <c r="D5926" s="1" t="s">
        <v>26</v>
      </c>
      <c r="E5926" s="1" t="s">
        <v>41</v>
      </c>
      <c r="F5926">
        <v>1</v>
      </c>
      <c r="G5926" s="2">
        <v>46187</v>
      </c>
      <c r="H5926" s="2">
        <v>46195</v>
      </c>
      <c r="I5926">
        <v>39.049999999999997</v>
      </c>
      <c r="J5926">
        <v>10.5</v>
      </c>
      <c r="K5926">
        <v>8.4</v>
      </c>
      <c r="L5926">
        <v>2.1</v>
      </c>
      <c r="M5926" s="1" t="s">
        <v>21</v>
      </c>
      <c r="N5926" s="1" t="s">
        <v>22</v>
      </c>
      <c r="O5926" s="2">
        <v>46292</v>
      </c>
      <c r="P5926" s="2">
        <v>46292</v>
      </c>
      <c r="Q5926">
        <f>_xlfn.XLOOKUP(E5926,CPT!$A$2:$A$13,CPT!$D$2:$D$13)</f>
        <v>38</v>
      </c>
      <c r="R5926" s="1">
        <f>_xlfn.XLOOKUP(C5926,Contract!$A$2:$A$9,Contract!$B$2:$B$9)</f>
        <v>0.28000000000000003</v>
      </c>
      <c r="S5926" s="1">
        <f t="shared" si="368"/>
        <v>10.64</v>
      </c>
      <c r="T5926" s="1">
        <f t="shared" si="369"/>
        <v>0.14000000000000057</v>
      </c>
      <c r="U5926" s="1" t="str">
        <f t="shared" si="370"/>
        <v>OK</v>
      </c>
      <c r="V5926" s="1" t="str">
        <f>_xlfn.XLOOKUP(C5926,Payers!$A$2:$A$9,Payers!$B$2:$B$9)</f>
        <v>Coastal Medicaid MCO</v>
      </c>
      <c r="W5926" s="1" t="str">
        <f t="shared" si="371"/>
        <v>2026-06</v>
      </c>
    </row>
    <row r="5927" spans="1:23">
      <c r="A5927" s="1" t="s">
        <v>8839</v>
      </c>
      <c r="B5927" s="1" t="s">
        <v>5134</v>
      </c>
      <c r="C5927" s="1" t="s">
        <v>60</v>
      </c>
      <c r="D5927" s="1" t="s">
        <v>30</v>
      </c>
      <c r="E5927" s="1" t="s">
        <v>20</v>
      </c>
      <c r="F5927">
        <v>1</v>
      </c>
      <c r="G5927" s="2">
        <v>45996</v>
      </c>
      <c r="H5927" s="2">
        <v>45997</v>
      </c>
      <c r="I5927">
        <v>142.11000000000001</v>
      </c>
      <c r="J5927">
        <v>72.819999999999993</v>
      </c>
      <c r="K5927">
        <v>58.26</v>
      </c>
      <c r="L5927">
        <v>14.56</v>
      </c>
      <c r="M5927" s="1" t="s">
        <v>21</v>
      </c>
      <c r="N5927" s="1" t="s">
        <v>22</v>
      </c>
      <c r="O5927" s="2">
        <v>46024</v>
      </c>
      <c r="P5927" s="2">
        <v>46024</v>
      </c>
      <c r="Q5927">
        <f>_xlfn.XLOOKUP(E5927,CPT!$A$2:$A$13,CPT!$D$2:$D$13)</f>
        <v>145</v>
      </c>
      <c r="R5927" s="1">
        <f>_xlfn.XLOOKUP(C5927,Contract!$A$2:$A$9,Contract!$B$2:$B$9)</f>
        <v>0.45</v>
      </c>
      <c r="S5927" s="1">
        <f t="shared" si="368"/>
        <v>65.25</v>
      </c>
      <c r="T5927" s="1">
        <f t="shared" si="369"/>
        <v>-7.5699999999999932</v>
      </c>
      <c r="U5927" s="1" t="str">
        <f t="shared" si="370"/>
        <v>OK</v>
      </c>
      <c r="V5927" s="1" t="str">
        <f>_xlfn.XLOOKUP(C5927,Payers!$A$2:$A$9,Payers!$B$2:$B$9)</f>
        <v>Blue Horizon Commercial</v>
      </c>
      <c r="W5927" s="1" t="str">
        <f t="shared" si="371"/>
        <v>2025-12</v>
      </c>
    </row>
    <row r="5928" spans="1:23">
      <c r="A5928" s="1" t="s">
        <v>8840</v>
      </c>
      <c r="B5928" s="1" t="s">
        <v>957</v>
      </c>
      <c r="C5928" s="1" t="s">
        <v>25</v>
      </c>
      <c r="D5928" s="1" t="s">
        <v>19</v>
      </c>
      <c r="E5928" s="1" t="s">
        <v>57</v>
      </c>
      <c r="F5928">
        <v>1</v>
      </c>
      <c r="G5928" s="2">
        <v>46119</v>
      </c>
      <c r="H5928" s="2">
        <v>46123</v>
      </c>
      <c r="I5928">
        <v>207.08</v>
      </c>
      <c r="J5928">
        <v>85.28</v>
      </c>
      <c r="K5928">
        <v>68.22</v>
      </c>
      <c r="L5928">
        <v>17.059999999999999</v>
      </c>
      <c r="M5928" s="1" t="s">
        <v>21</v>
      </c>
      <c r="N5928" s="1" t="s">
        <v>22</v>
      </c>
      <c r="O5928" s="2">
        <v>46138</v>
      </c>
      <c r="P5928" s="2">
        <v>46138</v>
      </c>
      <c r="Q5928">
        <f>_xlfn.XLOOKUP(E5928,CPT!$A$2:$A$13,CPT!$D$2:$D$13)</f>
        <v>210</v>
      </c>
      <c r="R5928" s="1">
        <f>_xlfn.XLOOKUP(C5928,Contract!$A$2:$A$9,Contract!$B$2:$B$9)</f>
        <v>0.36</v>
      </c>
      <c r="S5928" s="1">
        <f t="shared" si="368"/>
        <v>75.599999999999994</v>
      </c>
      <c r="T5928" s="1">
        <f t="shared" si="369"/>
        <v>-9.6800000000000068</v>
      </c>
      <c r="U5928" s="1" t="str">
        <f t="shared" si="370"/>
        <v>OK</v>
      </c>
      <c r="V5928" s="1" t="str">
        <f>_xlfn.XLOOKUP(C5928,Payers!$A$2:$A$9,Payers!$B$2:$B$9)</f>
        <v>Medicare Part B</v>
      </c>
      <c r="W5928" s="1" t="str">
        <f t="shared" si="371"/>
        <v>2026-04</v>
      </c>
    </row>
    <row r="5929" spans="1:23">
      <c r="A5929" s="1" t="s">
        <v>8841</v>
      </c>
      <c r="B5929" s="1" t="s">
        <v>2877</v>
      </c>
      <c r="C5929" s="1" t="s">
        <v>36</v>
      </c>
      <c r="D5929" s="1" t="s">
        <v>30</v>
      </c>
      <c r="E5929" s="1" t="s">
        <v>31</v>
      </c>
      <c r="F5929">
        <v>2</v>
      </c>
      <c r="G5929" s="2">
        <v>46108</v>
      </c>
      <c r="H5929" s="2">
        <v>46109</v>
      </c>
      <c r="I5929">
        <v>120.56</v>
      </c>
      <c r="J5929">
        <v>30.42</v>
      </c>
      <c r="K5929">
        <v>30.42</v>
      </c>
      <c r="L5929">
        <v>0</v>
      </c>
      <c r="M5929" s="1" t="s">
        <v>21</v>
      </c>
      <c r="N5929" s="1" t="s">
        <v>22</v>
      </c>
      <c r="O5929" s="2">
        <v>46130</v>
      </c>
      <c r="P5929" s="2">
        <v>46130</v>
      </c>
      <c r="Q5929">
        <f>_xlfn.XLOOKUP(E5929,CPT!$A$2:$A$13,CPT!$D$2:$D$13)</f>
        <v>62</v>
      </c>
      <c r="R5929" s="1">
        <f>_xlfn.XLOOKUP(C5929,Contract!$A$2:$A$9,Contract!$B$2:$B$9)</f>
        <v>0.27</v>
      </c>
      <c r="S5929" s="1">
        <f t="shared" si="368"/>
        <v>33.479999999999997</v>
      </c>
      <c r="T5929" s="1">
        <f t="shared" si="369"/>
        <v>3.0599999999999952</v>
      </c>
      <c r="U5929" s="1" t="str">
        <f t="shared" si="370"/>
        <v>Underpaid</v>
      </c>
      <c r="V5929" s="1" t="str">
        <f>_xlfn.XLOOKUP(C5929,Payers!$A$2:$A$9,Payers!$B$2:$B$9)</f>
        <v>Florida Medicaid</v>
      </c>
      <c r="W5929" s="1" t="str">
        <f t="shared" si="371"/>
        <v>2026-03</v>
      </c>
    </row>
    <row r="5930" spans="1:23">
      <c r="A5930" s="1" t="s">
        <v>8842</v>
      </c>
      <c r="B5930" s="1" t="s">
        <v>2893</v>
      </c>
      <c r="C5930" s="1" t="s">
        <v>60</v>
      </c>
      <c r="D5930" s="1" t="s">
        <v>37</v>
      </c>
      <c r="E5930" s="1" t="s">
        <v>48</v>
      </c>
      <c r="F5930">
        <v>1</v>
      </c>
      <c r="G5930" s="2">
        <v>46235</v>
      </c>
      <c r="H5930" s="2">
        <v>46236</v>
      </c>
      <c r="I5930">
        <v>431.79</v>
      </c>
      <c r="J5930">
        <v>198.26</v>
      </c>
      <c r="K5930">
        <v>158.61000000000001</v>
      </c>
      <c r="L5930">
        <v>39.65</v>
      </c>
      <c r="M5930" s="1" t="s">
        <v>21</v>
      </c>
      <c r="N5930" s="1" t="s">
        <v>22</v>
      </c>
      <c r="O5930" s="2">
        <v>46257</v>
      </c>
      <c r="P5930" s="2">
        <v>46257</v>
      </c>
      <c r="Q5930">
        <f>_xlfn.XLOOKUP(E5930,CPT!$A$2:$A$13,CPT!$D$2:$D$13)</f>
        <v>420</v>
      </c>
      <c r="R5930" s="1">
        <f>_xlfn.XLOOKUP(C5930,Contract!$A$2:$A$9,Contract!$B$2:$B$9)</f>
        <v>0.45</v>
      </c>
      <c r="S5930" s="1">
        <f t="shared" si="368"/>
        <v>189</v>
      </c>
      <c r="T5930" s="1">
        <f t="shared" si="369"/>
        <v>-9.2599999999999909</v>
      </c>
      <c r="U5930" s="1" t="str">
        <f t="shared" si="370"/>
        <v>OK</v>
      </c>
      <c r="V5930" s="1" t="str">
        <f>_xlfn.XLOOKUP(C5930,Payers!$A$2:$A$9,Payers!$B$2:$B$9)</f>
        <v>Blue Horizon Commercial</v>
      </c>
      <c r="W5930" s="1" t="str">
        <f t="shared" si="371"/>
        <v>2026-08</v>
      </c>
    </row>
    <row r="5931" spans="1:23">
      <c r="A5931" s="1" t="s">
        <v>8843</v>
      </c>
      <c r="B5931" s="1" t="s">
        <v>1127</v>
      </c>
      <c r="C5931" s="1" t="s">
        <v>76</v>
      </c>
      <c r="D5931" s="1" t="s">
        <v>26</v>
      </c>
      <c r="E5931" s="1" t="s">
        <v>88</v>
      </c>
      <c r="F5931">
        <v>1</v>
      </c>
      <c r="G5931" s="2">
        <v>45983</v>
      </c>
      <c r="H5931" s="2">
        <v>45989</v>
      </c>
      <c r="I5931">
        <v>252.33</v>
      </c>
      <c r="J5931">
        <v>99.75</v>
      </c>
      <c r="K5931">
        <v>99.75</v>
      </c>
      <c r="L5931">
        <v>0</v>
      </c>
      <c r="M5931" s="1" t="s">
        <v>21</v>
      </c>
      <c r="N5931" s="1" t="s">
        <v>22</v>
      </c>
      <c r="O5931" s="2">
        <v>46035</v>
      </c>
      <c r="P5931" s="2">
        <v>46035</v>
      </c>
      <c r="Q5931">
        <f>_xlfn.XLOOKUP(E5931,CPT!$A$2:$A$13,CPT!$D$2:$D$13)</f>
        <v>260</v>
      </c>
      <c r="R5931" s="1">
        <f>_xlfn.XLOOKUP(C5931,Contract!$A$2:$A$9,Contract!$B$2:$B$9)</f>
        <v>0.43</v>
      </c>
      <c r="S5931" s="1">
        <f t="shared" si="368"/>
        <v>111.8</v>
      </c>
      <c r="T5931" s="1">
        <f t="shared" si="369"/>
        <v>12.049999999999997</v>
      </c>
      <c r="U5931" s="1" t="str">
        <f t="shared" si="370"/>
        <v>Underpaid</v>
      </c>
      <c r="V5931" s="1" t="str">
        <f>_xlfn.XLOOKUP(C5931,Payers!$A$2:$A$9,Payers!$B$2:$B$9)</f>
        <v>Summit Health Commercial</v>
      </c>
      <c r="W5931" s="1" t="str">
        <f t="shared" si="371"/>
        <v>2025-11</v>
      </c>
    </row>
    <row r="5932" spans="1:23">
      <c r="A5932" s="1" t="s">
        <v>8844</v>
      </c>
      <c r="B5932" s="1" t="s">
        <v>8845</v>
      </c>
      <c r="C5932" s="1" t="s">
        <v>25</v>
      </c>
      <c r="D5932" s="1" t="s">
        <v>37</v>
      </c>
      <c r="E5932" s="1" t="s">
        <v>38</v>
      </c>
      <c r="F5932">
        <v>30</v>
      </c>
      <c r="G5932" s="2">
        <v>46245</v>
      </c>
      <c r="H5932" s="2">
        <v>46250</v>
      </c>
      <c r="I5932">
        <v>42289.97</v>
      </c>
      <c r="J5932">
        <v>16853.900000000001</v>
      </c>
      <c r="K5932">
        <v>15168.51</v>
      </c>
      <c r="L5932">
        <v>1685.39</v>
      </c>
      <c r="M5932" s="1" t="s">
        <v>21</v>
      </c>
      <c r="N5932" s="1" t="s">
        <v>22</v>
      </c>
      <c r="O5932" s="2">
        <v>46262</v>
      </c>
      <c r="P5932" s="2">
        <v>46262</v>
      </c>
      <c r="Q5932">
        <f>_xlfn.XLOOKUP(E5932,CPT!$A$2:$A$13,CPT!$D$2:$D$13)</f>
        <v>1450</v>
      </c>
      <c r="R5932" s="1">
        <f>_xlfn.XLOOKUP(C5932,Contract!$A$2:$A$9,Contract!$B$2:$B$9)</f>
        <v>0.36</v>
      </c>
      <c r="S5932" s="1">
        <f t="shared" si="368"/>
        <v>15660</v>
      </c>
      <c r="T5932" s="1">
        <f t="shared" si="369"/>
        <v>-1193.9000000000015</v>
      </c>
      <c r="U5932" s="1" t="str">
        <f t="shared" si="370"/>
        <v>OK</v>
      </c>
      <c r="V5932" s="1" t="str">
        <f>_xlfn.XLOOKUP(C5932,Payers!$A$2:$A$9,Payers!$B$2:$B$9)</f>
        <v>Medicare Part B</v>
      </c>
      <c r="W5932" s="1" t="str">
        <f t="shared" si="371"/>
        <v>2026-08</v>
      </c>
    </row>
    <row r="5933" spans="1:23">
      <c r="A5933" s="1" t="s">
        <v>8846</v>
      </c>
      <c r="B5933" s="1" t="s">
        <v>8847</v>
      </c>
      <c r="C5933" s="1" t="s">
        <v>76</v>
      </c>
      <c r="D5933" s="1" t="s">
        <v>37</v>
      </c>
      <c r="E5933" s="1" t="s">
        <v>48</v>
      </c>
      <c r="F5933">
        <v>1</v>
      </c>
      <c r="G5933" s="2">
        <v>46284</v>
      </c>
      <c r="H5933" s="2">
        <v>46289</v>
      </c>
      <c r="I5933">
        <v>412.15</v>
      </c>
      <c r="M5933" s="1" t="s">
        <v>69</v>
      </c>
      <c r="N5933" s="1" t="s">
        <v>22</v>
      </c>
      <c r="O5933" s="2"/>
      <c r="P5933" s="2"/>
      <c r="Q5933">
        <f>_xlfn.XLOOKUP(E5933,CPT!$A$2:$A$13,CPT!$D$2:$D$13)</f>
        <v>420</v>
      </c>
      <c r="R5933" s="1">
        <f>_xlfn.XLOOKUP(C5933,Contract!$A$2:$A$9,Contract!$B$2:$B$9)</f>
        <v>0.43</v>
      </c>
      <c r="S5933" s="1">
        <f t="shared" si="368"/>
        <v>180.6</v>
      </c>
      <c r="T5933" s="1" t="str">
        <f t="shared" si="369"/>
        <v/>
      </c>
      <c r="U5933" s="1" t="str">
        <f t="shared" si="370"/>
        <v/>
      </c>
      <c r="V5933" s="1" t="str">
        <f>_xlfn.XLOOKUP(C5933,Payers!$A$2:$A$9,Payers!$B$2:$B$9)</f>
        <v>Summit Health Commercial</v>
      </c>
      <c r="W5933" s="1" t="str">
        <f t="shared" si="371"/>
        <v>2026-09</v>
      </c>
    </row>
    <row r="5934" spans="1:23">
      <c r="A5934" s="1" t="s">
        <v>8848</v>
      </c>
      <c r="B5934" s="1" t="s">
        <v>6810</v>
      </c>
      <c r="C5934" s="1" t="s">
        <v>25</v>
      </c>
      <c r="D5934" s="1" t="s">
        <v>30</v>
      </c>
      <c r="E5934" s="1" t="s">
        <v>20</v>
      </c>
      <c r="F5934">
        <v>1</v>
      </c>
      <c r="G5934" s="2">
        <v>46075</v>
      </c>
      <c r="H5934" s="2">
        <v>46078</v>
      </c>
      <c r="I5934">
        <v>147.91</v>
      </c>
      <c r="J5934">
        <v>56.55</v>
      </c>
      <c r="K5934">
        <v>50.89</v>
      </c>
      <c r="L5934">
        <v>5.66</v>
      </c>
      <c r="M5934" s="1" t="s">
        <v>21</v>
      </c>
      <c r="N5934" s="1" t="s">
        <v>22</v>
      </c>
      <c r="O5934" s="2">
        <v>46104</v>
      </c>
      <c r="P5934" s="2">
        <v>46104</v>
      </c>
      <c r="Q5934">
        <f>_xlfn.XLOOKUP(E5934,CPT!$A$2:$A$13,CPT!$D$2:$D$13)</f>
        <v>145</v>
      </c>
      <c r="R5934" s="1">
        <f>_xlfn.XLOOKUP(C5934,Contract!$A$2:$A$9,Contract!$B$2:$B$9)</f>
        <v>0.36</v>
      </c>
      <c r="S5934" s="1">
        <f t="shared" si="368"/>
        <v>52.2</v>
      </c>
      <c r="T5934" s="1">
        <f t="shared" si="369"/>
        <v>-4.3499999999999943</v>
      </c>
      <c r="U5934" s="1" t="str">
        <f t="shared" si="370"/>
        <v>OK</v>
      </c>
      <c r="V5934" s="1" t="str">
        <f>_xlfn.XLOOKUP(C5934,Payers!$A$2:$A$9,Payers!$B$2:$B$9)</f>
        <v>Medicare Part B</v>
      </c>
      <c r="W5934" s="1" t="str">
        <f t="shared" si="371"/>
        <v>2026-02</v>
      </c>
    </row>
    <row r="5935" spans="1:23">
      <c r="A5935" s="1" t="s">
        <v>8849</v>
      </c>
      <c r="B5935" s="1" t="s">
        <v>1205</v>
      </c>
      <c r="C5935" s="1" t="s">
        <v>25</v>
      </c>
      <c r="D5935" s="1" t="s">
        <v>19</v>
      </c>
      <c r="E5935" s="1" t="s">
        <v>20</v>
      </c>
      <c r="F5935">
        <v>1</v>
      </c>
      <c r="G5935" s="2">
        <v>46236</v>
      </c>
      <c r="H5935" s="2">
        <v>46255</v>
      </c>
      <c r="I5935">
        <v>146.04</v>
      </c>
      <c r="J5935">
        <v>44.69</v>
      </c>
      <c r="K5935">
        <v>44.69</v>
      </c>
      <c r="L5935">
        <v>0</v>
      </c>
      <c r="M5935" s="1" t="s">
        <v>21</v>
      </c>
      <c r="N5935" s="1" t="s">
        <v>22</v>
      </c>
      <c r="O5935" s="2">
        <v>46272</v>
      </c>
      <c r="P5935" s="2">
        <v>46272</v>
      </c>
      <c r="Q5935">
        <f>_xlfn.XLOOKUP(E5935,CPT!$A$2:$A$13,CPT!$D$2:$D$13)</f>
        <v>145</v>
      </c>
      <c r="R5935" s="1">
        <f>_xlfn.XLOOKUP(C5935,Contract!$A$2:$A$9,Contract!$B$2:$B$9)</f>
        <v>0.36</v>
      </c>
      <c r="S5935" s="1">
        <f t="shared" si="368"/>
        <v>52.2</v>
      </c>
      <c r="T5935" s="1">
        <f t="shared" si="369"/>
        <v>7.5100000000000051</v>
      </c>
      <c r="U5935" s="1" t="str">
        <f t="shared" si="370"/>
        <v>Underpaid</v>
      </c>
      <c r="V5935" s="1" t="str">
        <f>_xlfn.XLOOKUP(C5935,Payers!$A$2:$A$9,Payers!$B$2:$B$9)</f>
        <v>Medicare Part B</v>
      </c>
      <c r="W5935" s="1" t="str">
        <f t="shared" si="371"/>
        <v>2026-08</v>
      </c>
    </row>
    <row r="5936" spans="1:23">
      <c r="A5936" s="1" t="s">
        <v>8850</v>
      </c>
      <c r="B5936" s="1" t="s">
        <v>8851</v>
      </c>
      <c r="C5936" s="1" t="s">
        <v>47</v>
      </c>
      <c r="D5936" s="1" t="s">
        <v>26</v>
      </c>
      <c r="E5936" s="1" t="s">
        <v>44</v>
      </c>
      <c r="F5936">
        <v>1</v>
      </c>
      <c r="G5936" s="2">
        <v>46138</v>
      </c>
      <c r="H5936" s="2">
        <v>46139</v>
      </c>
      <c r="I5936">
        <v>4876.09</v>
      </c>
      <c r="J5936">
        <v>1459.13</v>
      </c>
      <c r="K5936">
        <v>1459.13</v>
      </c>
      <c r="L5936">
        <v>0</v>
      </c>
      <c r="M5936" s="1" t="s">
        <v>21</v>
      </c>
      <c r="N5936" s="1" t="s">
        <v>22</v>
      </c>
      <c r="O5936" s="2">
        <v>46207</v>
      </c>
      <c r="P5936" s="2">
        <v>46207</v>
      </c>
      <c r="Q5936">
        <f>_xlfn.XLOOKUP(E5936,CPT!$A$2:$A$13,CPT!$D$2:$D$13)</f>
        <v>4800</v>
      </c>
      <c r="R5936" s="1">
        <f>_xlfn.XLOOKUP(C5936,Contract!$A$2:$A$9,Contract!$B$2:$B$9)</f>
        <v>0.28000000000000003</v>
      </c>
      <c r="S5936" s="1">
        <f t="shared" si="368"/>
        <v>1344</v>
      </c>
      <c r="T5936" s="1">
        <f t="shared" si="369"/>
        <v>-115.13000000000011</v>
      </c>
      <c r="U5936" s="1" t="str">
        <f t="shared" si="370"/>
        <v>OK</v>
      </c>
      <c r="V5936" s="1" t="str">
        <f>_xlfn.XLOOKUP(C5936,Payers!$A$2:$A$9,Payers!$B$2:$B$9)</f>
        <v>Coastal Medicaid MCO</v>
      </c>
      <c r="W5936" s="1" t="str">
        <f t="shared" si="371"/>
        <v>2026-04</v>
      </c>
    </row>
    <row r="5937" spans="1:23">
      <c r="A5937" s="1" t="s">
        <v>8852</v>
      </c>
      <c r="B5937" s="1" t="s">
        <v>3963</v>
      </c>
      <c r="C5937" s="1" t="s">
        <v>76</v>
      </c>
      <c r="D5937" s="1" t="s">
        <v>19</v>
      </c>
      <c r="E5937" s="1" t="s">
        <v>20</v>
      </c>
      <c r="F5937">
        <v>1</v>
      </c>
      <c r="G5937" s="2">
        <v>45931</v>
      </c>
      <c r="H5937" s="2">
        <v>45932</v>
      </c>
      <c r="I5937">
        <v>148.03</v>
      </c>
      <c r="J5937">
        <v>71.650000000000006</v>
      </c>
      <c r="K5937">
        <v>57.32</v>
      </c>
      <c r="L5937">
        <v>14.33</v>
      </c>
      <c r="M5937" s="1" t="s">
        <v>21</v>
      </c>
      <c r="N5937" s="1" t="s">
        <v>22</v>
      </c>
      <c r="O5937" s="2">
        <v>45965</v>
      </c>
      <c r="P5937" s="2">
        <v>45965</v>
      </c>
      <c r="Q5937">
        <f>_xlfn.XLOOKUP(E5937,CPT!$A$2:$A$13,CPT!$D$2:$D$13)</f>
        <v>145</v>
      </c>
      <c r="R5937" s="1">
        <f>_xlfn.XLOOKUP(C5937,Contract!$A$2:$A$9,Contract!$B$2:$B$9)</f>
        <v>0.43</v>
      </c>
      <c r="S5937" s="1">
        <f t="shared" si="368"/>
        <v>62.35</v>
      </c>
      <c r="T5937" s="1">
        <f t="shared" si="369"/>
        <v>-9.3000000000000043</v>
      </c>
      <c r="U5937" s="1" t="str">
        <f t="shared" si="370"/>
        <v>OK</v>
      </c>
      <c r="V5937" s="1" t="str">
        <f>_xlfn.XLOOKUP(C5937,Payers!$A$2:$A$9,Payers!$B$2:$B$9)</f>
        <v>Summit Health Commercial</v>
      </c>
      <c r="W5937" s="1" t="str">
        <f t="shared" si="371"/>
        <v>2025-10</v>
      </c>
    </row>
    <row r="5938" spans="1:23">
      <c r="A5938" s="1" t="s">
        <v>8853</v>
      </c>
      <c r="B5938" s="1" t="s">
        <v>675</v>
      </c>
      <c r="C5938" s="1" t="s">
        <v>25</v>
      </c>
      <c r="D5938" s="1" t="s">
        <v>19</v>
      </c>
      <c r="E5938" s="1" t="s">
        <v>41</v>
      </c>
      <c r="F5938">
        <v>1</v>
      </c>
      <c r="G5938" s="2">
        <v>46215</v>
      </c>
      <c r="H5938" s="2">
        <v>46218</v>
      </c>
      <c r="I5938">
        <v>38.96</v>
      </c>
      <c r="M5938" s="1" t="s">
        <v>32</v>
      </c>
      <c r="N5938" s="1" t="s">
        <v>49</v>
      </c>
      <c r="O5938" s="2">
        <v>46223</v>
      </c>
      <c r="P5938" s="2"/>
      <c r="Q5938">
        <f>_xlfn.XLOOKUP(E5938,CPT!$A$2:$A$13,CPT!$D$2:$D$13)</f>
        <v>38</v>
      </c>
      <c r="R5938" s="1">
        <f>_xlfn.XLOOKUP(C5938,Contract!$A$2:$A$9,Contract!$B$2:$B$9)</f>
        <v>0.36</v>
      </c>
      <c r="S5938" s="1">
        <f t="shared" si="368"/>
        <v>13.68</v>
      </c>
      <c r="T5938" s="1" t="str">
        <f t="shared" si="369"/>
        <v/>
      </c>
      <c r="U5938" s="1" t="str">
        <f t="shared" si="370"/>
        <v/>
      </c>
      <c r="V5938" s="1" t="str">
        <f>_xlfn.XLOOKUP(C5938,Payers!$A$2:$A$9,Payers!$B$2:$B$9)</f>
        <v>Medicare Part B</v>
      </c>
      <c r="W5938" s="1" t="str">
        <f t="shared" si="371"/>
        <v>2026-07</v>
      </c>
    </row>
    <row r="5939" spans="1:23">
      <c r="A5939" s="1" t="s">
        <v>8854</v>
      </c>
      <c r="B5939" s="1" t="s">
        <v>8855</v>
      </c>
      <c r="C5939" s="1" t="s">
        <v>25</v>
      </c>
      <c r="D5939" s="1" t="s">
        <v>26</v>
      </c>
      <c r="E5939" s="1" t="s">
        <v>113</v>
      </c>
      <c r="F5939">
        <v>1</v>
      </c>
      <c r="G5939" s="2">
        <v>46219</v>
      </c>
      <c r="H5939" s="2">
        <v>46222</v>
      </c>
      <c r="I5939">
        <v>1057.19</v>
      </c>
      <c r="M5939" s="1" t="s">
        <v>32</v>
      </c>
      <c r="N5939" s="1" t="s">
        <v>315</v>
      </c>
      <c r="O5939" s="2">
        <v>46239</v>
      </c>
      <c r="P5939" s="2"/>
      <c r="Q5939">
        <f>_xlfn.XLOOKUP(E5939,CPT!$A$2:$A$13,CPT!$D$2:$D$13)</f>
        <v>1050</v>
      </c>
      <c r="R5939" s="1">
        <f>_xlfn.XLOOKUP(C5939,Contract!$A$2:$A$9,Contract!$B$2:$B$9)</f>
        <v>0.36</v>
      </c>
      <c r="S5939" s="1">
        <f t="shared" si="368"/>
        <v>378</v>
      </c>
      <c r="T5939" s="1" t="str">
        <f t="shared" si="369"/>
        <v/>
      </c>
      <c r="U5939" s="1" t="str">
        <f t="shared" si="370"/>
        <v/>
      </c>
      <c r="V5939" s="1" t="str">
        <f>_xlfn.XLOOKUP(C5939,Payers!$A$2:$A$9,Payers!$B$2:$B$9)</f>
        <v>Medicare Part B</v>
      </c>
      <c r="W5939" s="1" t="str">
        <f t="shared" si="371"/>
        <v>2026-07</v>
      </c>
    </row>
    <row r="5940" spans="1:23">
      <c r="A5940" s="1" t="s">
        <v>8856</v>
      </c>
      <c r="B5940" s="1" t="s">
        <v>301</v>
      </c>
      <c r="C5940" s="1" t="s">
        <v>76</v>
      </c>
      <c r="D5940" s="1" t="s">
        <v>19</v>
      </c>
      <c r="E5940" s="1" t="s">
        <v>57</v>
      </c>
      <c r="F5940">
        <v>1</v>
      </c>
      <c r="G5940" s="2">
        <v>46075</v>
      </c>
      <c r="H5940" s="2">
        <v>46076</v>
      </c>
      <c r="I5940">
        <v>213.69</v>
      </c>
      <c r="J5940">
        <v>79.319999999999993</v>
      </c>
      <c r="K5940">
        <v>71.39</v>
      </c>
      <c r="L5940">
        <v>7.93</v>
      </c>
      <c r="M5940" s="1" t="s">
        <v>21</v>
      </c>
      <c r="N5940" s="1" t="s">
        <v>22</v>
      </c>
      <c r="O5940" s="2">
        <v>46114</v>
      </c>
      <c r="P5940" s="2">
        <v>46114</v>
      </c>
      <c r="Q5940">
        <f>_xlfn.XLOOKUP(E5940,CPT!$A$2:$A$13,CPT!$D$2:$D$13)</f>
        <v>210</v>
      </c>
      <c r="R5940" s="1">
        <f>_xlfn.XLOOKUP(C5940,Contract!$A$2:$A$9,Contract!$B$2:$B$9)</f>
        <v>0.43</v>
      </c>
      <c r="S5940" s="1">
        <f t="shared" si="368"/>
        <v>90.3</v>
      </c>
      <c r="T5940" s="1">
        <f t="shared" si="369"/>
        <v>10.980000000000004</v>
      </c>
      <c r="U5940" s="1" t="str">
        <f t="shared" si="370"/>
        <v>Underpaid</v>
      </c>
      <c r="V5940" s="1" t="str">
        <f>_xlfn.XLOOKUP(C5940,Payers!$A$2:$A$9,Payers!$B$2:$B$9)</f>
        <v>Summit Health Commercial</v>
      </c>
      <c r="W5940" s="1" t="str">
        <f t="shared" si="371"/>
        <v>2026-02</v>
      </c>
    </row>
    <row r="5941" spans="1:23">
      <c r="A5941" s="1" t="s">
        <v>8857</v>
      </c>
      <c r="B5941" s="1" t="s">
        <v>2937</v>
      </c>
      <c r="C5941" s="1" t="s">
        <v>76</v>
      </c>
      <c r="D5941" s="1" t="s">
        <v>19</v>
      </c>
      <c r="E5941" s="1" t="s">
        <v>20</v>
      </c>
      <c r="F5941">
        <v>1</v>
      </c>
      <c r="G5941" s="2">
        <v>46204</v>
      </c>
      <c r="H5941" s="2">
        <v>46205</v>
      </c>
      <c r="I5941">
        <v>142.62</v>
      </c>
      <c r="J5941">
        <v>66.58</v>
      </c>
      <c r="K5941">
        <v>59.92</v>
      </c>
      <c r="L5941">
        <v>6.66</v>
      </c>
      <c r="M5941" s="1" t="s">
        <v>21</v>
      </c>
      <c r="N5941" s="1" t="s">
        <v>22</v>
      </c>
      <c r="O5941" s="2">
        <v>46239</v>
      </c>
      <c r="P5941" s="2">
        <v>46239</v>
      </c>
      <c r="Q5941">
        <f>_xlfn.XLOOKUP(E5941,CPT!$A$2:$A$13,CPT!$D$2:$D$13)</f>
        <v>145</v>
      </c>
      <c r="R5941" s="1">
        <f>_xlfn.XLOOKUP(C5941,Contract!$A$2:$A$9,Contract!$B$2:$B$9)</f>
        <v>0.43</v>
      </c>
      <c r="S5941" s="1">
        <f t="shared" si="368"/>
        <v>62.35</v>
      </c>
      <c r="T5941" s="1">
        <f t="shared" si="369"/>
        <v>-4.2299999999999969</v>
      </c>
      <c r="U5941" s="1" t="str">
        <f t="shared" si="370"/>
        <v>OK</v>
      </c>
      <c r="V5941" s="1" t="str">
        <f>_xlfn.XLOOKUP(C5941,Payers!$A$2:$A$9,Payers!$B$2:$B$9)</f>
        <v>Summit Health Commercial</v>
      </c>
      <c r="W5941" s="1" t="str">
        <f t="shared" si="371"/>
        <v>2026-07</v>
      </c>
    </row>
    <row r="5942" spans="1:23">
      <c r="A5942" s="1" t="s">
        <v>8858</v>
      </c>
      <c r="B5942" s="1" t="s">
        <v>1379</v>
      </c>
      <c r="C5942" s="1" t="s">
        <v>52</v>
      </c>
      <c r="D5942" s="1" t="s">
        <v>19</v>
      </c>
      <c r="E5942" s="1" t="s">
        <v>88</v>
      </c>
      <c r="F5942">
        <v>1</v>
      </c>
      <c r="G5942" s="2">
        <v>45961</v>
      </c>
      <c r="H5942" s="2">
        <v>45964</v>
      </c>
      <c r="I5942">
        <v>258.89999999999998</v>
      </c>
      <c r="J5942">
        <v>116.13</v>
      </c>
      <c r="K5942">
        <v>116.13</v>
      </c>
      <c r="L5942">
        <v>0</v>
      </c>
      <c r="M5942" s="1" t="s">
        <v>21</v>
      </c>
      <c r="N5942" s="1" t="s">
        <v>22</v>
      </c>
      <c r="O5942" s="2">
        <v>45984</v>
      </c>
      <c r="P5942" s="2">
        <v>45984</v>
      </c>
      <c r="Q5942">
        <f>_xlfn.XLOOKUP(E5942,CPT!$A$2:$A$13,CPT!$D$2:$D$13)</f>
        <v>260</v>
      </c>
      <c r="R5942" s="1">
        <f>_xlfn.XLOOKUP(C5942,Contract!$A$2:$A$9,Contract!$B$2:$B$9)</f>
        <v>0.47</v>
      </c>
      <c r="S5942" s="1">
        <f t="shared" si="368"/>
        <v>122.2</v>
      </c>
      <c r="T5942" s="1">
        <f t="shared" si="369"/>
        <v>6.0700000000000074</v>
      </c>
      <c r="U5942" s="1" t="str">
        <f t="shared" si="370"/>
        <v>OK</v>
      </c>
      <c r="V5942" s="1" t="str">
        <f>_xlfn.XLOOKUP(C5942,Payers!$A$2:$A$9,Payers!$B$2:$B$9)</f>
        <v>Keystone Commercial PPO</v>
      </c>
      <c r="W5942" s="1" t="str">
        <f t="shared" si="371"/>
        <v>2025-10</v>
      </c>
    </row>
    <row r="5943" spans="1:23">
      <c r="A5943" s="1" t="s">
        <v>8859</v>
      </c>
      <c r="B5943" s="1" t="s">
        <v>5607</v>
      </c>
      <c r="C5943" s="1" t="s">
        <v>76</v>
      </c>
      <c r="D5943" s="1" t="s">
        <v>19</v>
      </c>
      <c r="E5943" s="1" t="s">
        <v>57</v>
      </c>
      <c r="F5943">
        <v>1</v>
      </c>
      <c r="G5943" s="2">
        <v>46229</v>
      </c>
      <c r="H5943" s="2">
        <v>46239</v>
      </c>
      <c r="I5943">
        <v>211.92</v>
      </c>
      <c r="J5943">
        <v>104.2</v>
      </c>
      <c r="K5943">
        <v>104.2</v>
      </c>
      <c r="L5943">
        <v>0</v>
      </c>
      <c r="M5943" s="1" t="s">
        <v>21</v>
      </c>
      <c r="N5943" s="1" t="s">
        <v>22</v>
      </c>
      <c r="O5943" s="2">
        <v>46263</v>
      </c>
      <c r="P5943" s="2">
        <v>46263</v>
      </c>
      <c r="Q5943">
        <f>_xlfn.XLOOKUP(E5943,CPT!$A$2:$A$13,CPT!$D$2:$D$13)</f>
        <v>210</v>
      </c>
      <c r="R5943" s="1">
        <f>_xlfn.XLOOKUP(C5943,Contract!$A$2:$A$9,Contract!$B$2:$B$9)</f>
        <v>0.43</v>
      </c>
      <c r="S5943" s="1">
        <f t="shared" si="368"/>
        <v>90.3</v>
      </c>
      <c r="T5943" s="1">
        <f t="shared" si="369"/>
        <v>-13.900000000000006</v>
      </c>
      <c r="U5943" s="1" t="str">
        <f t="shared" si="370"/>
        <v>OK</v>
      </c>
      <c r="V5943" s="1" t="str">
        <f>_xlfn.XLOOKUP(C5943,Payers!$A$2:$A$9,Payers!$B$2:$B$9)</f>
        <v>Summit Health Commercial</v>
      </c>
      <c r="W5943" s="1" t="str">
        <f t="shared" si="371"/>
        <v>2026-07</v>
      </c>
    </row>
    <row r="5944" spans="1:23">
      <c r="A5944" s="1" t="s">
        <v>8860</v>
      </c>
      <c r="B5944" s="1" t="s">
        <v>1843</v>
      </c>
      <c r="C5944" s="1" t="s">
        <v>76</v>
      </c>
      <c r="D5944" s="1" t="s">
        <v>30</v>
      </c>
      <c r="E5944" s="1" t="s">
        <v>31</v>
      </c>
      <c r="F5944">
        <v>1</v>
      </c>
      <c r="G5944" s="2">
        <v>46068</v>
      </c>
      <c r="H5944" s="2">
        <v>46181</v>
      </c>
      <c r="I5944">
        <v>62.56</v>
      </c>
      <c r="M5944" s="1" t="s">
        <v>32</v>
      </c>
      <c r="N5944" s="1" t="s">
        <v>137</v>
      </c>
      <c r="O5944" s="2">
        <v>46221</v>
      </c>
      <c r="P5944" s="2"/>
      <c r="Q5944">
        <f>_xlfn.XLOOKUP(E5944,CPT!$A$2:$A$13,CPT!$D$2:$D$13)</f>
        <v>62</v>
      </c>
      <c r="R5944" s="1">
        <f>_xlfn.XLOOKUP(C5944,Contract!$A$2:$A$9,Contract!$B$2:$B$9)</f>
        <v>0.43</v>
      </c>
      <c r="S5944" s="1">
        <f t="shared" si="368"/>
        <v>26.66</v>
      </c>
      <c r="T5944" s="1" t="str">
        <f t="shared" si="369"/>
        <v/>
      </c>
      <c r="U5944" s="1" t="str">
        <f t="shared" si="370"/>
        <v/>
      </c>
      <c r="V5944" s="1" t="str">
        <f>_xlfn.XLOOKUP(C5944,Payers!$A$2:$A$9,Payers!$B$2:$B$9)</f>
        <v>Summit Health Commercial</v>
      </c>
      <c r="W5944" s="1" t="str">
        <f t="shared" si="371"/>
        <v>2026-02</v>
      </c>
    </row>
    <row r="5945" spans="1:23">
      <c r="A5945" s="1" t="s">
        <v>8861</v>
      </c>
      <c r="B5945" s="1" t="s">
        <v>3495</v>
      </c>
      <c r="C5945" s="1" t="s">
        <v>25</v>
      </c>
      <c r="D5945" s="1" t="s">
        <v>37</v>
      </c>
      <c r="E5945" s="1" t="s">
        <v>48</v>
      </c>
      <c r="F5945">
        <v>1</v>
      </c>
      <c r="G5945" s="2">
        <v>46120</v>
      </c>
      <c r="H5945" s="2">
        <v>46123</v>
      </c>
      <c r="I5945">
        <v>409.92</v>
      </c>
      <c r="J5945">
        <v>164.62</v>
      </c>
      <c r="K5945">
        <v>164.62</v>
      </c>
      <c r="L5945">
        <v>0</v>
      </c>
      <c r="M5945" s="1" t="s">
        <v>21</v>
      </c>
      <c r="N5945" s="1" t="s">
        <v>22</v>
      </c>
      <c r="O5945" s="2">
        <v>46139</v>
      </c>
      <c r="P5945" s="2">
        <v>46139</v>
      </c>
      <c r="Q5945">
        <f>_xlfn.XLOOKUP(E5945,CPT!$A$2:$A$13,CPT!$D$2:$D$13)</f>
        <v>420</v>
      </c>
      <c r="R5945" s="1">
        <f>_xlfn.XLOOKUP(C5945,Contract!$A$2:$A$9,Contract!$B$2:$B$9)</f>
        <v>0.36</v>
      </c>
      <c r="S5945" s="1">
        <f t="shared" si="368"/>
        <v>151.19999999999999</v>
      </c>
      <c r="T5945" s="1">
        <f t="shared" si="369"/>
        <v>-13.420000000000016</v>
      </c>
      <c r="U5945" s="1" t="str">
        <f t="shared" si="370"/>
        <v>OK</v>
      </c>
      <c r="V5945" s="1" t="str">
        <f>_xlfn.XLOOKUP(C5945,Payers!$A$2:$A$9,Payers!$B$2:$B$9)</f>
        <v>Medicare Part B</v>
      </c>
      <c r="W5945" s="1" t="str">
        <f t="shared" si="371"/>
        <v>2026-04</v>
      </c>
    </row>
    <row r="5946" spans="1:23">
      <c r="A5946" s="1" t="s">
        <v>8862</v>
      </c>
      <c r="B5946" s="1" t="s">
        <v>8863</v>
      </c>
      <c r="C5946" s="1" t="s">
        <v>18</v>
      </c>
      <c r="D5946" s="1" t="s">
        <v>26</v>
      </c>
      <c r="E5946" s="1" t="s">
        <v>113</v>
      </c>
      <c r="F5946">
        <v>1</v>
      </c>
      <c r="G5946" s="2">
        <v>46057</v>
      </c>
      <c r="H5946" s="2">
        <v>46059</v>
      </c>
      <c r="I5946">
        <v>1076.26</v>
      </c>
      <c r="M5946" s="1" t="s">
        <v>32</v>
      </c>
      <c r="N5946" s="1" t="s">
        <v>168</v>
      </c>
      <c r="O5946" s="2">
        <v>46105</v>
      </c>
      <c r="P5946" s="2"/>
      <c r="Q5946">
        <f>_xlfn.XLOOKUP(E5946,CPT!$A$2:$A$13,CPT!$D$2:$D$13)</f>
        <v>1050</v>
      </c>
      <c r="R5946" s="1">
        <f>_xlfn.XLOOKUP(C5946,Contract!$A$2:$A$9,Contract!$B$2:$B$9)</f>
        <v>0.38</v>
      </c>
      <c r="S5946" s="1">
        <f t="shared" si="368"/>
        <v>399</v>
      </c>
      <c r="T5946" s="1" t="str">
        <f t="shared" si="369"/>
        <v/>
      </c>
      <c r="U5946" s="1" t="str">
        <f t="shared" si="370"/>
        <v/>
      </c>
      <c r="V5946" s="1" t="str">
        <f>_xlfn.XLOOKUP(C5946,Payers!$A$2:$A$9,Payers!$B$2:$B$9)</f>
        <v>Sunshine Medicare Advantage</v>
      </c>
      <c r="W5946" s="1" t="str">
        <f t="shared" si="371"/>
        <v>2026-02</v>
      </c>
    </row>
    <row r="5947" spans="1:23">
      <c r="A5947" s="1" t="s">
        <v>8864</v>
      </c>
      <c r="B5947" s="1" t="s">
        <v>1735</v>
      </c>
      <c r="C5947" s="1" t="s">
        <v>76</v>
      </c>
      <c r="D5947" s="1" t="s">
        <v>26</v>
      </c>
      <c r="E5947" s="1" t="s">
        <v>113</v>
      </c>
      <c r="F5947">
        <v>1</v>
      </c>
      <c r="G5947" s="2">
        <v>46293</v>
      </c>
      <c r="H5947" s="2">
        <v>46295</v>
      </c>
      <c r="I5947">
        <v>1048.96</v>
      </c>
      <c r="M5947" s="1" t="s">
        <v>69</v>
      </c>
      <c r="N5947" s="1" t="s">
        <v>22</v>
      </c>
      <c r="O5947" s="2"/>
      <c r="P5947" s="2"/>
      <c r="Q5947">
        <f>_xlfn.XLOOKUP(E5947,CPT!$A$2:$A$13,CPT!$D$2:$D$13)</f>
        <v>1050</v>
      </c>
      <c r="R5947" s="1">
        <f>_xlfn.XLOOKUP(C5947,Contract!$A$2:$A$9,Contract!$B$2:$B$9)</f>
        <v>0.43</v>
      </c>
      <c r="S5947" s="1">
        <f t="shared" si="368"/>
        <v>451.5</v>
      </c>
      <c r="T5947" s="1" t="str">
        <f t="shared" si="369"/>
        <v/>
      </c>
      <c r="U5947" s="1" t="str">
        <f t="shared" si="370"/>
        <v/>
      </c>
      <c r="V5947" s="1" t="str">
        <f>_xlfn.XLOOKUP(C5947,Payers!$A$2:$A$9,Payers!$B$2:$B$9)</f>
        <v>Summit Health Commercial</v>
      </c>
      <c r="W5947" s="1" t="str">
        <f t="shared" si="371"/>
        <v>2026-09</v>
      </c>
    </row>
    <row r="5948" spans="1:23">
      <c r="A5948" s="1" t="s">
        <v>8865</v>
      </c>
      <c r="B5948" s="1" t="s">
        <v>1803</v>
      </c>
      <c r="C5948" s="1" t="s">
        <v>47</v>
      </c>
      <c r="D5948" s="1" t="s">
        <v>37</v>
      </c>
      <c r="E5948" s="1" t="s">
        <v>57</v>
      </c>
      <c r="F5948">
        <v>1</v>
      </c>
      <c r="G5948" s="2">
        <v>46012</v>
      </c>
      <c r="H5948" s="2">
        <v>46018</v>
      </c>
      <c r="I5948">
        <v>214.02</v>
      </c>
      <c r="J5948">
        <v>58.22</v>
      </c>
      <c r="K5948">
        <v>46.58</v>
      </c>
      <c r="L5948">
        <v>11.64</v>
      </c>
      <c r="M5948" s="1" t="s">
        <v>21</v>
      </c>
      <c r="N5948" s="1" t="s">
        <v>22</v>
      </c>
      <c r="O5948" s="2">
        <v>46060</v>
      </c>
      <c r="P5948" s="2">
        <v>46060</v>
      </c>
      <c r="Q5948">
        <f>_xlfn.XLOOKUP(E5948,CPT!$A$2:$A$13,CPT!$D$2:$D$13)</f>
        <v>210</v>
      </c>
      <c r="R5948" s="1">
        <f>_xlfn.XLOOKUP(C5948,Contract!$A$2:$A$9,Contract!$B$2:$B$9)</f>
        <v>0.28000000000000003</v>
      </c>
      <c r="S5948" s="1">
        <f t="shared" si="368"/>
        <v>58.8</v>
      </c>
      <c r="T5948" s="1">
        <f t="shared" si="369"/>
        <v>0.57999999999999829</v>
      </c>
      <c r="U5948" s="1" t="str">
        <f t="shared" si="370"/>
        <v>OK</v>
      </c>
      <c r="V5948" s="1" t="str">
        <f>_xlfn.XLOOKUP(C5948,Payers!$A$2:$A$9,Payers!$B$2:$B$9)</f>
        <v>Coastal Medicaid MCO</v>
      </c>
      <c r="W5948" s="1" t="str">
        <f t="shared" si="371"/>
        <v>2025-12</v>
      </c>
    </row>
    <row r="5949" spans="1:23">
      <c r="A5949" s="1" t="s">
        <v>8866</v>
      </c>
      <c r="B5949" s="1" t="s">
        <v>6677</v>
      </c>
      <c r="C5949" s="1" t="s">
        <v>76</v>
      </c>
      <c r="D5949" s="1" t="s">
        <v>30</v>
      </c>
      <c r="E5949" s="1" t="s">
        <v>20</v>
      </c>
      <c r="F5949">
        <v>1</v>
      </c>
      <c r="G5949" s="2">
        <v>45982</v>
      </c>
      <c r="H5949" s="2">
        <v>45983</v>
      </c>
      <c r="I5949">
        <v>142.66999999999999</v>
      </c>
      <c r="J5949">
        <v>61.72</v>
      </c>
      <c r="K5949">
        <v>49.38</v>
      </c>
      <c r="L5949">
        <v>12.34</v>
      </c>
      <c r="M5949" s="1" t="s">
        <v>21</v>
      </c>
      <c r="N5949" s="1" t="s">
        <v>22</v>
      </c>
      <c r="O5949" s="2">
        <v>46009</v>
      </c>
      <c r="P5949" s="2">
        <v>46009</v>
      </c>
      <c r="Q5949">
        <f>_xlfn.XLOOKUP(E5949,CPT!$A$2:$A$13,CPT!$D$2:$D$13)</f>
        <v>145</v>
      </c>
      <c r="R5949" s="1">
        <f>_xlfn.XLOOKUP(C5949,Contract!$A$2:$A$9,Contract!$B$2:$B$9)</f>
        <v>0.43</v>
      </c>
      <c r="S5949" s="1">
        <f t="shared" si="368"/>
        <v>62.35</v>
      </c>
      <c r="T5949" s="1">
        <f t="shared" si="369"/>
        <v>0.63000000000000256</v>
      </c>
      <c r="U5949" s="1" t="str">
        <f t="shared" si="370"/>
        <v>OK</v>
      </c>
      <c r="V5949" s="1" t="str">
        <f>_xlfn.XLOOKUP(C5949,Payers!$A$2:$A$9,Payers!$B$2:$B$9)</f>
        <v>Summit Health Commercial</v>
      </c>
      <c r="W5949" s="1" t="str">
        <f t="shared" si="371"/>
        <v>2025-11</v>
      </c>
    </row>
    <row r="5950" spans="1:23">
      <c r="A5950" s="1" t="s">
        <v>8867</v>
      </c>
      <c r="B5950" s="1" t="s">
        <v>8433</v>
      </c>
      <c r="C5950" s="1" t="s">
        <v>60</v>
      </c>
      <c r="D5950" s="1" t="s">
        <v>26</v>
      </c>
      <c r="E5950" s="1" t="s">
        <v>185</v>
      </c>
      <c r="F5950">
        <v>1</v>
      </c>
      <c r="G5950" s="2">
        <v>46046</v>
      </c>
      <c r="H5950" s="2">
        <v>46053</v>
      </c>
      <c r="I5950">
        <v>1116.1600000000001</v>
      </c>
      <c r="J5950">
        <v>483.34</v>
      </c>
      <c r="K5950">
        <v>386.67</v>
      </c>
      <c r="L5950">
        <v>96.67</v>
      </c>
      <c r="M5950" s="1" t="s">
        <v>21</v>
      </c>
      <c r="N5950" s="1" t="s">
        <v>22</v>
      </c>
      <c r="O5950" s="2">
        <v>46074</v>
      </c>
      <c r="P5950" s="2">
        <v>46074</v>
      </c>
      <c r="Q5950">
        <f>_xlfn.XLOOKUP(E5950,CPT!$A$2:$A$13,CPT!$D$2:$D$13)</f>
        <v>1150</v>
      </c>
      <c r="R5950" s="1">
        <f>_xlfn.XLOOKUP(C5950,Contract!$A$2:$A$9,Contract!$B$2:$B$9)</f>
        <v>0.45</v>
      </c>
      <c r="S5950" s="1">
        <f t="shared" si="368"/>
        <v>517.5</v>
      </c>
      <c r="T5950" s="1">
        <f t="shared" si="369"/>
        <v>34.160000000000025</v>
      </c>
      <c r="U5950" s="1" t="str">
        <f t="shared" si="370"/>
        <v>Underpaid</v>
      </c>
      <c r="V5950" s="1" t="str">
        <f>_xlfn.XLOOKUP(C5950,Payers!$A$2:$A$9,Payers!$B$2:$B$9)</f>
        <v>Blue Horizon Commercial</v>
      </c>
      <c r="W5950" s="1" t="str">
        <f t="shared" si="371"/>
        <v>2026-01</v>
      </c>
    </row>
    <row r="5951" spans="1:23">
      <c r="A5951" s="1" t="s">
        <v>8868</v>
      </c>
      <c r="B5951" s="1" t="s">
        <v>7853</v>
      </c>
      <c r="C5951" s="1" t="s">
        <v>76</v>
      </c>
      <c r="D5951" s="1" t="s">
        <v>19</v>
      </c>
      <c r="E5951" s="1" t="s">
        <v>41</v>
      </c>
      <c r="F5951">
        <v>1</v>
      </c>
      <c r="G5951" s="2">
        <v>46010</v>
      </c>
      <c r="H5951" s="2">
        <v>46013</v>
      </c>
      <c r="I5951">
        <v>37.17</v>
      </c>
      <c r="J5951">
        <v>15.22</v>
      </c>
      <c r="K5951">
        <v>12.18</v>
      </c>
      <c r="L5951">
        <v>3.04</v>
      </c>
      <c r="M5951" s="1" t="s">
        <v>21</v>
      </c>
      <c r="N5951" s="1" t="s">
        <v>22</v>
      </c>
      <c r="O5951" s="2">
        <v>46047</v>
      </c>
      <c r="P5951" s="2">
        <v>46047</v>
      </c>
      <c r="Q5951">
        <f>_xlfn.XLOOKUP(E5951,CPT!$A$2:$A$13,CPT!$D$2:$D$13)</f>
        <v>38</v>
      </c>
      <c r="R5951" s="1">
        <f>_xlfn.XLOOKUP(C5951,Contract!$A$2:$A$9,Contract!$B$2:$B$9)</f>
        <v>0.43</v>
      </c>
      <c r="S5951" s="1">
        <f t="shared" si="368"/>
        <v>16.34</v>
      </c>
      <c r="T5951" s="1">
        <f t="shared" si="369"/>
        <v>1.1199999999999992</v>
      </c>
      <c r="U5951" s="1" t="str">
        <f t="shared" si="370"/>
        <v>Underpaid</v>
      </c>
      <c r="V5951" s="1" t="str">
        <f>_xlfn.XLOOKUP(C5951,Payers!$A$2:$A$9,Payers!$B$2:$B$9)</f>
        <v>Summit Health Commercial</v>
      </c>
      <c r="W5951" s="1" t="str">
        <f t="shared" si="371"/>
        <v>2025-12</v>
      </c>
    </row>
    <row r="5952" spans="1:23">
      <c r="A5952" s="1" t="s">
        <v>8869</v>
      </c>
      <c r="B5952" s="1" t="s">
        <v>1646</v>
      </c>
      <c r="C5952" s="1" t="s">
        <v>60</v>
      </c>
      <c r="D5952" s="1" t="s">
        <v>30</v>
      </c>
      <c r="E5952" s="1" t="s">
        <v>31</v>
      </c>
      <c r="F5952">
        <v>1</v>
      </c>
      <c r="G5952" s="2">
        <v>46247</v>
      </c>
      <c r="H5952" s="2">
        <v>46248</v>
      </c>
      <c r="I5952">
        <v>61.26</v>
      </c>
      <c r="J5952">
        <v>25.95</v>
      </c>
      <c r="K5952">
        <v>25.95</v>
      </c>
      <c r="L5952">
        <v>0</v>
      </c>
      <c r="M5952" s="1" t="s">
        <v>21</v>
      </c>
      <c r="N5952" s="1" t="s">
        <v>22</v>
      </c>
      <c r="O5952" s="2">
        <v>46277</v>
      </c>
      <c r="P5952" s="2">
        <v>46277</v>
      </c>
      <c r="Q5952">
        <f>_xlfn.XLOOKUP(E5952,CPT!$A$2:$A$13,CPT!$D$2:$D$13)</f>
        <v>62</v>
      </c>
      <c r="R5952" s="1">
        <f>_xlfn.XLOOKUP(C5952,Contract!$A$2:$A$9,Contract!$B$2:$B$9)</f>
        <v>0.45</v>
      </c>
      <c r="S5952" s="1">
        <f t="shared" si="368"/>
        <v>27.9</v>
      </c>
      <c r="T5952" s="1">
        <f t="shared" si="369"/>
        <v>1.9499999999999993</v>
      </c>
      <c r="U5952" s="1" t="str">
        <f t="shared" si="370"/>
        <v>Underpaid</v>
      </c>
      <c r="V5952" s="1" t="str">
        <f>_xlfn.XLOOKUP(C5952,Payers!$A$2:$A$9,Payers!$B$2:$B$9)</f>
        <v>Blue Horizon Commercial</v>
      </c>
      <c r="W5952" s="1" t="str">
        <f t="shared" si="371"/>
        <v>2026-08</v>
      </c>
    </row>
    <row r="5953" spans="1:23">
      <c r="A5953" s="1" t="s">
        <v>8870</v>
      </c>
      <c r="B5953" s="1" t="s">
        <v>3032</v>
      </c>
      <c r="C5953" s="1" t="s">
        <v>76</v>
      </c>
      <c r="D5953" s="1" t="s">
        <v>37</v>
      </c>
      <c r="E5953" s="1" t="s">
        <v>38</v>
      </c>
      <c r="F5953">
        <v>20</v>
      </c>
      <c r="G5953" s="2">
        <v>46152</v>
      </c>
      <c r="H5953" s="2">
        <v>46154</v>
      </c>
      <c r="I5953">
        <v>28448.6</v>
      </c>
      <c r="J5953">
        <v>13567.71</v>
      </c>
      <c r="K5953">
        <v>10854.17</v>
      </c>
      <c r="L5953">
        <v>2713.54</v>
      </c>
      <c r="M5953" s="1" t="s">
        <v>21</v>
      </c>
      <c r="N5953" s="1" t="s">
        <v>22</v>
      </c>
      <c r="O5953" s="2">
        <v>46183</v>
      </c>
      <c r="P5953" s="2">
        <v>46183</v>
      </c>
      <c r="Q5953">
        <f>_xlfn.XLOOKUP(E5953,CPT!$A$2:$A$13,CPT!$D$2:$D$13)</f>
        <v>1450</v>
      </c>
      <c r="R5953" s="1">
        <f>_xlfn.XLOOKUP(C5953,Contract!$A$2:$A$9,Contract!$B$2:$B$9)</f>
        <v>0.43</v>
      </c>
      <c r="S5953" s="1">
        <f t="shared" si="368"/>
        <v>12470</v>
      </c>
      <c r="T5953" s="1">
        <f t="shared" si="369"/>
        <v>-1097.7099999999991</v>
      </c>
      <c r="U5953" s="1" t="str">
        <f t="shared" si="370"/>
        <v>OK</v>
      </c>
      <c r="V5953" s="1" t="str">
        <f>_xlfn.XLOOKUP(C5953,Payers!$A$2:$A$9,Payers!$B$2:$B$9)</f>
        <v>Summit Health Commercial</v>
      </c>
      <c r="W5953" s="1" t="str">
        <f t="shared" si="371"/>
        <v>2026-05</v>
      </c>
    </row>
    <row r="5954" spans="1:23">
      <c r="A5954" s="1" t="s">
        <v>8871</v>
      </c>
      <c r="B5954" s="1" t="s">
        <v>8872</v>
      </c>
      <c r="C5954" s="1" t="s">
        <v>79</v>
      </c>
      <c r="D5954" s="1" t="s">
        <v>30</v>
      </c>
      <c r="E5954" s="1" t="s">
        <v>31</v>
      </c>
      <c r="F5954">
        <v>2</v>
      </c>
      <c r="G5954" s="2">
        <v>45935</v>
      </c>
      <c r="H5954" s="2">
        <v>45936</v>
      </c>
      <c r="I5954">
        <v>122.53</v>
      </c>
      <c r="J5954">
        <v>122.53</v>
      </c>
      <c r="K5954">
        <v>122.53</v>
      </c>
      <c r="L5954">
        <v>0</v>
      </c>
      <c r="M5954" s="1" t="s">
        <v>21</v>
      </c>
      <c r="N5954" s="1" t="s">
        <v>22</v>
      </c>
      <c r="O5954" s="2">
        <v>45987</v>
      </c>
      <c r="P5954" s="2">
        <v>45987</v>
      </c>
      <c r="Q5954">
        <f>_xlfn.XLOOKUP(E5954,CPT!$A$2:$A$13,CPT!$D$2:$D$13)</f>
        <v>62</v>
      </c>
      <c r="R5954" s="1">
        <f>_xlfn.XLOOKUP(C5954,Contract!$A$2:$A$9,Contract!$B$2:$B$9)</f>
        <v>1</v>
      </c>
      <c r="S5954" s="1">
        <f t="shared" ref="S5954:S6017" si="372">ROUND(Q5954*F5954*R5954,2)</f>
        <v>124</v>
      </c>
      <c r="T5954" s="1">
        <f t="shared" ref="T5954:T6017" si="373">IF(M5954="Paid",S5954-J5954,"")</f>
        <v>1.4699999999999989</v>
      </c>
      <c r="U5954" s="1" t="str">
        <f t="shared" ref="U5954:U6017" si="374">IF(M5954&lt;&gt;"Paid","",IF(T5954&gt;S5954*0.05,"Underpaid","OK"))</f>
        <v>OK</v>
      </c>
      <c r="V5954" s="1" t="str">
        <f>_xlfn.XLOOKUP(C5954,Payers!$A$2:$A$9,Payers!$B$2:$B$9)</f>
        <v>Self-Pay</v>
      </c>
      <c r="W5954" s="1" t="str">
        <f t="shared" ref="W5954:W6017" si="375">TEXT(G5954,"yyyy-mm")</f>
        <v>2025-10</v>
      </c>
    </row>
    <row r="5955" spans="1:23">
      <c r="A5955" s="1" t="s">
        <v>8873</v>
      </c>
      <c r="B5955" s="1" t="s">
        <v>8874</v>
      </c>
      <c r="C5955" s="1" t="s">
        <v>79</v>
      </c>
      <c r="D5955" s="1" t="s">
        <v>19</v>
      </c>
      <c r="E5955" s="1" t="s">
        <v>57</v>
      </c>
      <c r="F5955">
        <v>1</v>
      </c>
      <c r="G5955" s="2">
        <v>46257</v>
      </c>
      <c r="H5955" s="2">
        <v>46259</v>
      </c>
      <c r="I5955">
        <v>210.05</v>
      </c>
      <c r="M5955" s="1" t="s">
        <v>69</v>
      </c>
      <c r="N5955" s="1" t="s">
        <v>22</v>
      </c>
      <c r="O5955" s="2"/>
      <c r="P5955" s="2"/>
      <c r="Q5955">
        <f>_xlfn.XLOOKUP(E5955,CPT!$A$2:$A$13,CPT!$D$2:$D$13)</f>
        <v>210</v>
      </c>
      <c r="R5955" s="1">
        <f>_xlfn.XLOOKUP(C5955,Contract!$A$2:$A$9,Contract!$B$2:$B$9)</f>
        <v>1</v>
      </c>
      <c r="S5955" s="1">
        <f t="shared" si="372"/>
        <v>210</v>
      </c>
      <c r="T5955" s="1" t="str">
        <f t="shared" si="373"/>
        <v/>
      </c>
      <c r="U5955" s="1" t="str">
        <f t="shared" si="374"/>
        <v/>
      </c>
      <c r="V5955" s="1" t="str">
        <f>_xlfn.XLOOKUP(C5955,Payers!$A$2:$A$9,Payers!$B$2:$B$9)</f>
        <v>Self-Pay</v>
      </c>
      <c r="W5955" s="1" t="str">
        <f t="shared" si="375"/>
        <v>2026-08</v>
      </c>
    </row>
    <row r="5956" spans="1:23">
      <c r="A5956" s="1" t="s">
        <v>8875</v>
      </c>
      <c r="B5956" s="1" t="s">
        <v>867</v>
      </c>
      <c r="C5956" s="1" t="s">
        <v>18</v>
      </c>
      <c r="D5956" s="1" t="s">
        <v>37</v>
      </c>
      <c r="E5956" s="1" t="s">
        <v>57</v>
      </c>
      <c r="F5956">
        <v>1</v>
      </c>
      <c r="G5956" s="2">
        <v>46252</v>
      </c>
      <c r="H5956" s="2">
        <v>46259</v>
      </c>
      <c r="I5956">
        <v>209.17</v>
      </c>
      <c r="M5956" s="1" t="s">
        <v>69</v>
      </c>
      <c r="N5956" s="1" t="s">
        <v>22</v>
      </c>
      <c r="O5956" s="2"/>
      <c r="P5956" s="2"/>
      <c r="Q5956">
        <f>_xlfn.XLOOKUP(E5956,CPT!$A$2:$A$13,CPT!$D$2:$D$13)</f>
        <v>210</v>
      </c>
      <c r="R5956" s="1">
        <f>_xlfn.XLOOKUP(C5956,Contract!$A$2:$A$9,Contract!$B$2:$B$9)</f>
        <v>0.38</v>
      </c>
      <c r="S5956" s="1">
        <f t="shared" si="372"/>
        <v>79.8</v>
      </c>
      <c r="T5956" s="1" t="str">
        <f t="shared" si="373"/>
        <v/>
      </c>
      <c r="U5956" s="1" t="str">
        <f t="shared" si="374"/>
        <v/>
      </c>
      <c r="V5956" s="1" t="str">
        <f>_xlfn.XLOOKUP(C5956,Payers!$A$2:$A$9,Payers!$B$2:$B$9)</f>
        <v>Sunshine Medicare Advantage</v>
      </c>
      <c r="W5956" s="1" t="str">
        <f t="shared" si="375"/>
        <v>2026-08</v>
      </c>
    </row>
    <row r="5957" spans="1:23">
      <c r="A5957" s="1" t="s">
        <v>8876</v>
      </c>
      <c r="B5957" s="1" t="s">
        <v>2726</v>
      </c>
      <c r="C5957" s="1" t="s">
        <v>25</v>
      </c>
      <c r="D5957" s="1" t="s">
        <v>37</v>
      </c>
      <c r="E5957" s="1" t="s">
        <v>57</v>
      </c>
      <c r="F5957">
        <v>1</v>
      </c>
      <c r="G5957" s="2">
        <v>46230</v>
      </c>
      <c r="H5957" s="2">
        <v>46236</v>
      </c>
      <c r="I5957">
        <v>215.14</v>
      </c>
      <c r="J5957">
        <v>76.22</v>
      </c>
      <c r="K5957">
        <v>76.22</v>
      </c>
      <c r="L5957">
        <v>0</v>
      </c>
      <c r="M5957" s="1" t="s">
        <v>21</v>
      </c>
      <c r="N5957" s="1" t="s">
        <v>22</v>
      </c>
      <c r="O5957" s="2">
        <v>46247</v>
      </c>
      <c r="P5957" s="2">
        <v>46247</v>
      </c>
      <c r="Q5957">
        <f>_xlfn.XLOOKUP(E5957,CPT!$A$2:$A$13,CPT!$D$2:$D$13)</f>
        <v>210</v>
      </c>
      <c r="R5957" s="1">
        <f>_xlfn.XLOOKUP(C5957,Contract!$A$2:$A$9,Contract!$B$2:$B$9)</f>
        <v>0.36</v>
      </c>
      <c r="S5957" s="1">
        <f t="shared" si="372"/>
        <v>75.599999999999994</v>
      </c>
      <c r="T5957" s="1">
        <f t="shared" si="373"/>
        <v>-0.62000000000000455</v>
      </c>
      <c r="U5957" s="1" t="str">
        <f t="shared" si="374"/>
        <v>OK</v>
      </c>
      <c r="V5957" s="1" t="str">
        <f>_xlfn.XLOOKUP(C5957,Payers!$A$2:$A$9,Payers!$B$2:$B$9)</f>
        <v>Medicare Part B</v>
      </c>
      <c r="W5957" s="1" t="str">
        <f t="shared" si="375"/>
        <v>2026-07</v>
      </c>
    </row>
    <row r="5958" spans="1:23">
      <c r="A5958" s="1" t="s">
        <v>8877</v>
      </c>
      <c r="B5958" s="1" t="s">
        <v>400</v>
      </c>
      <c r="C5958" s="1" t="s">
        <v>18</v>
      </c>
      <c r="D5958" s="1" t="s">
        <v>26</v>
      </c>
      <c r="E5958" s="1" t="s">
        <v>185</v>
      </c>
      <c r="F5958">
        <v>1</v>
      </c>
      <c r="G5958" s="2">
        <v>46203</v>
      </c>
      <c r="H5958" s="2">
        <v>46208</v>
      </c>
      <c r="I5958">
        <v>1174.94</v>
      </c>
      <c r="J5958">
        <v>518.83000000000004</v>
      </c>
      <c r="K5958">
        <v>518.83000000000004</v>
      </c>
      <c r="L5958">
        <v>0</v>
      </c>
      <c r="M5958" s="1" t="s">
        <v>21</v>
      </c>
      <c r="N5958" s="1" t="s">
        <v>22</v>
      </c>
      <c r="O5958" s="2">
        <v>46272</v>
      </c>
      <c r="P5958" s="2">
        <v>46272</v>
      </c>
      <c r="Q5958">
        <f>_xlfn.XLOOKUP(E5958,CPT!$A$2:$A$13,CPT!$D$2:$D$13)</f>
        <v>1150</v>
      </c>
      <c r="R5958" s="1">
        <f>_xlfn.XLOOKUP(C5958,Contract!$A$2:$A$9,Contract!$B$2:$B$9)</f>
        <v>0.38</v>
      </c>
      <c r="S5958" s="1">
        <f t="shared" si="372"/>
        <v>437</v>
      </c>
      <c r="T5958" s="1">
        <f t="shared" si="373"/>
        <v>-81.830000000000041</v>
      </c>
      <c r="U5958" s="1" t="str">
        <f t="shared" si="374"/>
        <v>OK</v>
      </c>
      <c r="V5958" s="1" t="str">
        <f>_xlfn.XLOOKUP(C5958,Payers!$A$2:$A$9,Payers!$B$2:$B$9)</f>
        <v>Sunshine Medicare Advantage</v>
      </c>
      <c r="W5958" s="1" t="str">
        <f t="shared" si="375"/>
        <v>2026-06</v>
      </c>
    </row>
    <row r="5959" spans="1:23">
      <c r="A5959" s="1" t="s">
        <v>8878</v>
      </c>
      <c r="B5959" s="1" t="s">
        <v>3627</v>
      </c>
      <c r="C5959" s="1" t="s">
        <v>18</v>
      </c>
      <c r="D5959" s="1" t="s">
        <v>26</v>
      </c>
      <c r="E5959" s="1" t="s">
        <v>185</v>
      </c>
      <c r="F5959">
        <v>1</v>
      </c>
      <c r="G5959" s="2">
        <v>46058</v>
      </c>
      <c r="H5959" s="2">
        <v>46073</v>
      </c>
      <c r="I5959">
        <v>1159.82</v>
      </c>
      <c r="J5959">
        <v>392.16</v>
      </c>
      <c r="K5959">
        <v>313.73</v>
      </c>
      <c r="L5959">
        <v>78.430000000000007</v>
      </c>
      <c r="M5959" s="1" t="s">
        <v>21</v>
      </c>
      <c r="N5959" s="1" t="s">
        <v>22</v>
      </c>
      <c r="O5959" s="2">
        <v>46122</v>
      </c>
      <c r="P5959" s="2">
        <v>46122</v>
      </c>
      <c r="Q5959">
        <f>_xlfn.XLOOKUP(E5959,CPT!$A$2:$A$13,CPT!$D$2:$D$13)</f>
        <v>1150</v>
      </c>
      <c r="R5959" s="1">
        <f>_xlfn.XLOOKUP(C5959,Contract!$A$2:$A$9,Contract!$B$2:$B$9)</f>
        <v>0.38</v>
      </c>
      <c r="S5959" s="1">
        <f t="shared" si="372"/>
        <v>437</v>
      </c>
      <c r="T5959" s="1">
        <f t="shared" si="373"/>
        <v>44.839999999999975</v>
      </c>
      <c r="U5959" s="1" t="str">
        <f t="shared" si="374"/>
        <v>Underpaid</v>
      </c>
      <c r="V5959" s="1" t="str">
        <f>_xlfn.XLOOKUP(C5959,Payers!$A$2:$A$9,Payers!$B$2:$B$9)</f>
        <v>Sunshine Medicare Advantage</v>
      </c>
      <c r="W5959" s="1" t="str">
        <f t="shared" si="375"/>
        <v>2026-02</v>
      </c>
    </row>
    <row r="5960" spans="1:23">
      <c r="A5960" s="1" t="s">
        <v>8879</v>
      </c>
      <c r="B5960" s="1" t="s">
        <v>1282</v>
      </c>
      <c r="C5960" s="1" t="s">
        <v>60</v>
      </c>
      <c r="D5960" s="1" t="s">
        <v>19</v>
      </c>
      <c r="E5960" s="1" t="s">
        <v>57</v>
      </c>
      <c r="F5960">
        <v>1</v>
      </c>
      <c r="G5960" s="2">
        <v>46157</v>
      </c>
      <c r="H5960" s="2">
        <v>46162</v>
      </c>
      <c r="I5960">
        <v>205.78</v>
      </c>
      <c r="J5960">
        <v>96.44</v>
      </c>
      <c r="K5960">
        <v>96.44</v>
      </c>
      <c r="L5960">
        <v>0</v>
      </c>
      <c r="M5960" s="1" t="s">
        <v>21</v>
      </c>
      <c r="N5960" s="1" t="s">
        <v>22</v>
      </c>
      <c r="O5960" s="2">
        <v>46188</v>
      </c>
      <c r="P5960" s="2">
        <v>46188</v>
      </c>
      <c r="Q5960">
        <f>_xlfn.XLOOKUP(E5960,CPT!$A$2:$A$13,CPT!$D$2:$D$13)</f>
        <v>210</v>
      </c>
      <c r="R5960" s="1">
        <f>_xlfn.XLOOKUP(C5960,Contract!$A$2:$A$9,Contract!$B$2:$B$9)</f>
        <v>0.45</v>
      </c>
      <c r="S5960" s="1">
        <f t="shared" si="372"/>
        <v>94.5</v>
      </c>
      <c r="T5960" s="1">
        <f t="shared" si="373"/>
        <v>-1.9399999999999977</v>
      </c>
      <c r="U5960" s="1" t="str">
        <f t="shared" si="374"/>
        <v>OK</v>
      </c>
      <c r="V5960" s="1" t="str">
        <f>_xlfn.XLOOKUP(C5960,Payers!$A$2:$A$9,Payers!$B$2:$B$9)</f>
        <v>Blue Horizon Commercial</v>
      </c>
      <c r="W5960" s="1" t="str">
        <f t="shared" si="375"/>
        <v>2026-05</v>
      </c>
    </row>
    <row r="5961" spans="1:23">
      <c r="A5961" s="1" t="s">
        <v>8880</v>
      </c>
      <c r="B5961" s="1" t="s">
        <v>614</v>
      </c>
      <c r="C5961" s="1" t="s">
        <v>76</v>
      </c>
      <c r="D5961" s="1" t="s">
        <v>19</v>
      </c>
      <c r="E5961" s="1" t="s">
        <v>57</v>
      </c>
      <c r="F5961">
        <v>1</v>
      </c>
      <c r="G5961" s="2">
        <v>46148</v>
      </c>
      <c r="H5961" s="2">
        <v>46161</v>
      </c>
      <c r="I5961">
        <v>211.94</v>
      </c>
      <c r="J5961">
        <v>81.680000000000007</v>
      </c>
      <c r="K5961">
        <v>81.680000000000007</v>
      </c>
      <c r="L5961">
        <v>0</v>
      </c>
      <c r="M5961" s="1" t="s">
        <v>21</v>
      </c>
      <c r="N5961" s="1" t="s">
        <v>22</v>
      </c>
      <c r="O5961" s="2">
        <v>46194</v>
      </c>
      <c r="P5961" s="2">
        <v>46194</v>
      </c>
      <c r="Q5961">
        <f>_xlfn.XLOOKUP(E5961,CPT!$A$2:$A$13,CPT!$D$2:$D$13)</f>
        <v>210</v>
      </c>
      <c r="R5961" s="1">
        <f>_xlfn.XLOOKUP(C5961,Contract!$A$2:$A$9,Contract!$B$2:$B$9)</f>
        <v>0.43</v>
      </c>
      <c r="S5961" s="1">
        <f t="shared" si="372"/>
        <v>90.3</v>
      </c>
      <c r="T5961" s="1">
        <f t="shared" si="373"/>
        <v>8.6199999999999903</v>
      </c>
      <c r="U5961" s="1" t="str">
        <f t="shared" si="374"/>
        <v>Underpaid</v>
      </c>
      <c r="V5961" s="1" t="str">
        <f>_xlfn.XLOOKUP(C5961,Payers!$A$2:$A$9,Payers!$B$2:$B$9)</f>
        <v>Summit Health Commercial</v>
      </c>
      <c r="W5961" s="1" t="str">
        <f t="shared" si="375"/>
        <v>2026-05</v>
      </c>
    </row>
    <row r="5962" spans="1:23">
      <c r="A5962" s="1" t="s">
        <v>8881</v>
      </c>
      <c r="B5962" s="1" t="s">
        <v>8882</v>
      </c>
      <c r="C5962" s="1" t="s">
        <v>18</v>
      </c>
      <c r="D5962" s="1" t="s">
        <v>30</v>
      </c>
      <c r="E5962" s="1" t="s">
        <v>31</v>
      </c>
      <c r="F5962">
        <v>4</v>
      </c>
      <c r="G5962" s="2">
        <v>46174</v>
      </c>
      <c r="H5962" s="2">
        <v>46175</v>
      </c>
      <c r="I5962">
        <v>244.96</v>
      </c>
      <c r="J5962">
        <v>80.959999999999994</v>
      </c>
      <c r="K5962">
        <v>72.86</v>
      </c>
      <c r="L5962">
        <v>8.1</v>
      </c>
      <c r="M5962" s="1" t="s">
        <v>21</v>
      </c>
      <c r="N5962" s="1" t="s">
        <v>22</v>
      </c>
      <c r="O5962" s="2">
        <v>46224</v>
      </c>
      <c r="P5962" s="2">
        <v>46224</v>
      </c>
      <c r="Q5962">
        <f>_xlfn.XLOOKUP(E5962,CPT!$A$2:$A$13,CPT!$D$2:$D$13)</f>
        <v>62</v>
      </c>
      <c r="R5962" s="1">
        <f>_xlfn.XLOOKUP(C5962,Contract!$A$2:$A$9,Contract!$B$2:$B$9)</f>
        <v>0.38</v>
      </c>
      <c r="S5962" s="1">
        <f t="shared" si="372"/>
        <v>94.24</v>
      </c>
      <c r="T5962" s="1">
        <f t="shared" si="373"/>
        <v>13.280000000000001</v>
      </c>
      <c r="U5962" s="1" t="str">
        <f t="shared" si="374"/>
        <v>Underpaid</v>
      </c>
      <c r="V5962" s="1" t="str">
        <f>_xlfn.XLOOKUP(C5962,Payers!$A$2:$A$9,Payers!$B$2:$B$9)</f>
        <v>Sunshine Medicare Advantage</v>
      </c>
      <c r="W5962" s="1" t="str">
        <f t="shared" si="375"/>
        <v>2026-06</v>
      </c>
    </row>
    <row r="5963" spans="1:23">
      <c r="A5963" s="1" t="s">
        <v>8883</v>
      </c>
      <c r="B5963" s="1" t="s">
        <v>8884</v>
      </c>
      <c r="C5963" s="1" t="s">
        <v>18</v>
      </c>
      <c r="D5963" s="1" t="s">
        <v>26</v>
      </c>
      <c r="E5963" s="1" t="s">
        <v>185</v>
      </c>
      <c r="F5963">
        <v>1</v>
      </c>
      <c r="G5963" s="2">
        <v>46138</v>
      </c>
      <c r="H5963" s="2">
        <v>46139</v>
      </c>
      <c r="I5963">
        <v>1124.77</v>
      </c>
      <c r="J5963">
        <v>430.66</v>
      </c>
      <c r="K5963">
        <v>387.59</v>
      </c>
      <c r="L5963">
        <v>43.07</v>
      </c>
      <c r="M5963" s="1" t="s">
        <v>21</v>
      </c>
      <c r="N5963" s="1" t="s">
        <v>22</v>
      </c>
      <c r="O5963" s="2">
        <v>46202</v>
      </c>
      <c r="P5963" s="2">
        <v>46202</v>
      </c>
      <c r="Q5963">
        <f>_xlfn.XLOOKUP(E5963,CPT!$A$2:$A$13,CPT!$D$2:$D$13)</f>
        <v>1150</v>
      </c>
      <c r="R5963" s="1">
        <f>_xlfn.XLOOKUP(C5963,Contract!$A$2:$A$9,Contract!$B$2:$B$9)</f>
        <v>0.38</v>
      </c>
      <c r="S5963" s="1">
        <f t="shared" si="372"/>
        <v>437</v>
      </c>
      <c r="T5963" s="1">
        <f t="shared" si="373"/>
        <v>6.339999999999975</v>
      </c>
      <c r="U5963" s="1" t="str">
        <f t="shared" si="374"/>
        <v>OK</v>
      </c>
      <c r="V5963" s="1" t="str">
        <f>_xlfn.XLOOKUP(C5963,Payers!$A$2:$A$9,Payers!$B$2:$B$9)</f>
        <v>Sunshine Medicare Advantage</v>
      </c>
      <c r="W5963" s="1" t="str">
        <f t="shared" si="375"/>
        <v>2026-04</v>
      </c>
    </row>
    <row r="5964" spans="1:23">
      <c r="A5964" s="1" t="s">
        <v>8885</v>
      </c>
      <c r="B5964" s="1" t="s">
        <v>8886</v>
      </c>
      <c r="C5964" s="1" t="s">
        <v>79</v>
      </c>
      <c r="D5964" s="1" t="s">
        <v>19</v>
      </c>
      <c r="E5964" s="1" t="s">
        <v>88</v>
      </c>
      <c r="F5964">
        <v>1</v>
      </c>
      <c r="G5964" s="2">
        <v>46232</v>
      </c>
      <c r="H5964" s="2">
        <v>46242</v>
      </c>
      <c r="I5964">
        <v>253.73</v>
      </c>
      <c r="M5964" s="1" t="s">
        <v>69</v>
      </c>
      <c r="N5964" s="1" t="s">
        <v>22</v>
      </c>
      <c r="O5964" s="2"/>
      <c r="P5964" s="2"/>
      <c r="Q5964">
        <f>_xlfn.XLOOKUP(E5964,CPT!$A$2:$A$13,CPT!$D$2:$D$13)</f>
        <v>260</v>
      </c>
      <c r="R5964" s="1">
        <f>_xlfn.XLOOKUP(C5964,Contract!$A$2:$A$9,Contract!$B$2:$B$9)</f>
        <v>1</v>
      </c>
      <c r="S5964" s="1">
        <f t="shared" si="372"/>
        <v>260</v>
      </c>
      <c r="T5964" s="1" t="str">
        <f t="shared" si="373"/>
        <v/>
      </c>
      <c r="U5964" s="1" t="str">
        <f t="shared" si="374"/>
        <v/>
      </c>
      <c r="V5964" s="1" t="str">
        <f>_xlfn.XLOOKUP(C5964,Payers!$A$2:$A$9,Payers!$B$2:$B$9)</f>
        <v>Self-Pay</v>
      </c>
      <c r="W5964" s="1" t="str">
        <f t="shared" si="375"/>
        <v>2026-07</v>
      </c>
    </row>
    <row r="5965" spans="1:23">
      <c r="A5965" s="1" t="s">
        <v>8887</v>
      </c>
      <c r="B5965" s="1" t="s">
        <v>673</v>
      </c>
      <c r="C5965" s="1" t="s">
        <v>76</v>
      </c>
      <c r="D5965" s="1" t="s">
        <v>19</v>
      </c>
      <c r="E5965" s="1" t="s">
        <v>88</v>
      </c>
      <c r="F5965">
        <v>1</v>
      </c>
      <c r="G5965" s="2">
        <v>46246</v>
      </c>
      <c r="H5965" s="2">
        <v>46253</v>
      </c>
      <c r="I5965">
        <v>261.20999999999998</v>
      </c>
      <c r="J5965">
        <v>105.91</v>
      </c>
      <c r="K5965">
        <v>105.91</v>
      </c>
      <c r="L5965">
        <v>0</v>
      </c>
      <c r="M5965" s="1" t="s">
        <v>21</v>
      </c>
      <c r="N5965" s="1" t="s">
        <v>22</v>
      </c>
      <c r="O5965" s="2">
        <v>46276</v>
      </c>
      <c r="P5965" s="2">
        <v>46276</v>
      </c>
      <c r="Q5965">
        <f>_xlfn.XLOOKUP(E5965,CPT!$A$2:$A$13,CPT!$D$2:$D$13)</f>
        <v>260</v>
      </c>
      <c r="R5965" s="1">
        <f>_xlfn.XLOOKUP(C5965,Contract!$A$2:$A$9,Contract!$B$2:$B$9)</f>
        <v>0.43</v>
      </c>
      <c r="S5965" s="1">
        <f t="shared" si="372"/>
        <v>111.8</v>
      </c>
      <c r="T5965" s="1">
        <f t="shared" si="373"/>
        <v>5.8900000000000006</v>
      </c>
      <c r="U5965" s="1" t="str">
        <f t="shared" si="374"/>
        <v>Underpaid</v>
      </c>
      <c r="V5965" s="1" t="str">
        <f>_xlfn.XLOOKUP(C5965,Payers!$A$2:$A$9,Payers!$B$2:$B$9)</f>
        <v>Summit Health Commercial</v>
      </c>
      <c r="W5965" s="1" t="str">
        <f t="shared" si="375"/>
        <v>2026-08</v>
      </c>
    </row>
    <row r="5966" spans="1:23">
      <c r="A5966" s="1" t="s">
        <v>8888</v>
      </c>
      <c r="B5966" s="1" t="s">
        <v>1584</v>
      </c>
      <c r="C5966" s="1" t="s">
        <v>60</v>
      </c>
      <c r="D5966" s="1" t="s">
        <v>37</v>
      </c>
      <c r="E5966" s="1" t="s">
        <v>38</v>
      </c>
      <c r="F5966">
        <v>10</v>
      </c>
      <c r="G5966" s="2">
        <v>45958</v>
      </c>
      <c r="H5966" s="2">
        <v>45966</v>
      </c>
      <c r="I5966">
        <v>14191.05</v>
      </c>
      <c r="M5966" s="1" t="s">
        <v>32</v>
      </c>
      <c r="N5966" s="1" t="s">
        <v>315</v>
      </c>
      <c r="O5966" s="2">
        <v>45994</v>
      </c>
      <c r="P5966" s="2"/>
      <c r="Q5966">
        <f>_xlfn.XLOOKUP(E5966,CPT!$A$2:$A$13,CPT!$D$2:$D$13)</f>
        <v>1450</v>
      </c>
      <c r="R5966" s="1">
        <f>_xlfn.XLOOKUP(C5966,Contract!$A$2:$A$9,Contract!$B$2:$B$9)</f>
        <v>0.45</v>
      </c>
      <c r="S5966" s="1">
        <f t="shared" si="372"/>
        <v>6525</v>
      </c>
      <c r="T5966" s="1" t="str">
        <f t="shared" si="373"/>
        <v/>
      </c>
      <c r="U5966" s="1" t="str">
        <f t="shared" si="374"/>
        <v/>
      </c>
      <c r="V5966" s="1" t="str">
        <f>_xlfn.XLOOKUP(C5966,Payers!$A$2:$A$9,Payers!$B$2:$B$9)</f>
        <v>Blue Horizon Commercial</v>
      </c>
      <c r="W5966" s="1" t="str">
        <f t="shared" si="375"/>
        <v>2025-10</v>
      </c>
    </row>
    <row r="5967" spans="1:23">
      <c r="A5967" s="1" t="s">
        <v>8889</v>
      </c>
      <c r="B5967" s="1" t="s">
        <v>5996</v>
      </c>
      <c r="C5967" s="1" t="s">
        <v>52</v>
      </c>
      <c r="D5967" s="1" t="s">
        <v>37</v>
      </c>
      <c r="E5967" s="1" t="s">
        <v>48</v>
      </c>
      <c r="F5967">
        <v>1</v>
      </c>
      <c r="G5967" s="2">
        <v>46113</v>
      </c>
      <c r="H5967" s="2">
        <v>46119</v>
      </c>
      <c r="I5967">
        <v>431.23</v>
      </c>
      <c r="J5967">
        <v>185.18</v>
      </c>
      <c r="K5967">
        <v>185.18</v>
      </c>
      <c r="L5967">
        <v>0</v>
      </c>
      <c r="M5967" s="1" t="s">
        <v>21</v>
      </c>
      <c r="N5967" s="1" t="s">
        <v>22</v>
      </c>
      <c r="O5967" s="2">
        <v>46157</v>
      </c>
      <c r="P5967" s="2">
        <v>46157</v>
      </c>
      <c r="Q5967">
        <f>_xlfn.XLOOKUP(E5967,CPT!$A$2:$A$13,CPT!$D$2:$D$13)</f>
        <v>420</v>
      </c>
      <c r="R5967" s="1">
        <f>_xlfn.XLOOKUP(C5967,Contract!$A$2:$A$9,Contract!$B$2:$B$9)</f>
        <v>0.47</v>
      </c>
      <c r="S5967" s="1">
        <f t="shared" si="372"/>
        <v>197.4</v>
      </c>
      <c r="T5967" s="1">
        <f t="shared" si="373"/>
        <v>12.219999999999999</v>
      </c>
      <c r="U5967" s="1" t="str">
        <f t="shared" si="374"/>
        <v>Underpaid</v>
      </c>
      <c r="V5967" s="1" t="str">
        <f>_xlfn.XLOOKUP(C5967,Payers!$A$2:$A$9,Payers!$B$2:$B$9)</f>
        <v>Keystone Commercial PPO</v>
      </c>
      <c r="W5967" s="1" t="str">
        <f t="shared" si="375"/>
        <v>2026-04</v>
      </c>
    </row>
    <row r="5968" spans="1:23">
      <c r="A5968" s="1" t="s">
        <v>8890</v>
      </c>
      <c r="B5968" s="1" t="s">
        <v>8891</v>
      </c>
      <c r="C5968" s="1" t="s">
        <v>25</v>
      </c>
      <c r="D5968" s="1" t="s">
        <v>26</v>
      </c>
      <c r="E5968" s="1" t="s">
        <v>44</v>
      </c>
      <c r="F5968">
        <v>1</v>
      </c>
      <c r="G5968" s="2">
        <v>46238</v>
      </c>
      <c r="H5968" s="2">
        <v>46245</v>
      </c>
      <c r="I5968">
        <v>4804.99</v>
      </c>
      <c r="J5968">
        <v>1511.42</v>
      </c>
      <c r="K5968">
        <v>1511.42</v>
      </c>
      <c r="L5968">
        <v>0</v>
      </c>
      <c r="M5968" s="1" t="s">
        <v>21</v>
      </c>
      <c r="N5968" s="1" t="s">
        <v>22</v>
      </c>
      <c r="O5968" s="2">
        <v>46251</v>
      </c>
      <c r="P5968" s="2">
        <v>46251</v>
      </c>
      <c r="Q5968">
        <f>_xlfn.XLOOKUP(E5968,CPT!$A$2:$A$13,CPT!$D$2:$D$13)</f>
        <v>4800</v>
      </c>
      <c r="R5968" s="1">
        <f>_xlfn.XLOOKUP(C5968,Contract!$A$2:$A$9,Contract!$B$2:$B$9)</f>
        <v>0.36</v>
      </c>
      <c r="S5968" s="1">
        <f t="shared" si="372"/>
        <v>1728</v>
      </c>
      <c r="T5968" s="1">
        <f t="shared" si="373"/>
        <v>216.57999999999993</v>
      </c>
      <c r="U5968" s="1" t="str">
        <f t="shared" si="374"/>
        <v>Underpaid</v>
      </c>
      <c r="V5968" s="1" t="str">
        <f>_xlfn.XLOOKUP(C5968,Payers!$A$2:$A$9,Payers!$B$2:$B$9)</f>
        <v>Medicare Part B</v>
      </c>
      <c r="W5968" s="1" t="str">
        <f t="shared" si="375"/>
        <v>2026-08</v>
      </c>
    </row>
    <row r="5969" spans="1:23">
      <c r="A5969" s="1" t="s">
        <v>8892</v>
      </c>
      <c r="B5969" s="1" t="s">
        <v>325</v>
      </c>
      <c r="C5969" s="1" t="s">
        <v>79</v>
      </c>
      <c r="D5969" s="1" t="s">
        <v>19</v>
      </c>
      <c r="E5969" s="1" t="s">
        <v>20</v>
      </c>
      <c r="F5969">
        <v>1</v>
      </c>
      <c r="G5969" s="2">
        <v>46158</v>
      </c>
      <c r="H5969" s="2">
        <v>46166</v>
      </c>
      <c r="I5969">
        <v>143.12</v>
      </c>
      <c r="M5969" s="1" t="s">
        <v>69</v>
      </c>
      <c r="N5969" s="1" t="s">
        <v>22</v>
      </c>
      <c r="O5969" s="2"/>
      <c r="P5969" s="2"/>
      <c r="Q5969">
        <f>_xlfn.XLOOKUP(E5969,CPT!$A$2:$A$13,CPT!$D$2:$D$13)</f>
        <v>145</v>
      </c>
      <c r="R5969" s="1">
        <f>_xlfn.XLOOKUP(C5969,Contract!$A$2:$A$9,Contract!$B$2:$B$9)</f>
        <v>1</v>
      </c>
      <c r="S5969" s="1">
        <f t="shared" si="372"/>
        <v>145</v>
      </c>
      <c r="T5969" s="1" t="str">
        <f t="shared" si="373"/>
        <v/>
      </c>
      <c r="U5969" s="1" t="str">
        <f t="shared" si="374"/>
        <v/>
      </c>
      <c r="V5969" s="1" t="str">
        <f>_xlfn.XLOOKUP(C5969,Payers!$A$2:$A$9,Payers!$B$2:$B$9)</f>
        <v>Self-Pay</v>
      </c>
      <c r="W5969" s="1" t="str">
        <f t="shared" si="375"/>
        <v>2026-05</v>
      </c>
    </row>
    <row r="5970" spans="1:23">
      <c r="A5970" s="1" t="s">
        <v>8893</v>
      </c>
      <c r="B5970" s="1" t="s">
        <v>3025</v>
      </c>
      <c r="C5970" s="1" t="s">
        <v>60</v>
      </c>
      <c r="D5970" s="1" t="s">
        <v>37</v>
      </c>
      <c r="E5970" s="1" t="s">
        <v>48</v>
      </c>
      <c r="F5970">
        <v>1</v>
      </c>
      <c r="G5970" s="2">
        <v>45935</v>
      </c>
      <c r="H5970" s="2">
        <v>45938</v>
      </c>
      <c r="I5970">
        <v>416.38</v>
      </c>
      <c r="M5970" s="1" t="s">
        <v>32</v>
      </c>
      <c r="N5970" s="1" t="s">
        <v>168</v>
      </c>
      <c r="O5970" s="2">
        <v>45972</v>
      </c>
      <c r="P5970" s="2"/>
      <c r="Q5970">
        <f>_xlfn.XLOOKUP(E5970,CPT!$A$2:$A$13,CPT!$D$2:$D$13)</f>
        <v>420</v>
      </c>
      <c r="R5970" s="1">
        <f>_xlfn.XLOOKUP(C5970,Contract!$A$2:$A$9,Contract!$B$2:$B$9)</f>
        <v>0.45</v>
      </c>
      <c r="S5970" s="1">
        <f t="shared" si="372"/>
        <v>189</v>
      </c>
      <c r="T5970" s="1" t="str">
        <f t="shared" si="373"/>
        <v/>
      </c>
      <c r="U5970" s="1" t="str">
        <f t="shared" si="374"/>
        <v/>
      </c>
      <c r="V5970" s="1" t="str">
        <f>_xlfn.XLOOKUP(C5970,Payers!$A$2:$A$9,Payers!$B$2:$B$9)</f>
        <v>Blue Horizon Commercial</v>
      </c>
      <c r="W5970" s="1" t="str">
        <f t="shared" si="375"/>
        <v>2025-10</v>
      </c>
    </row>
    <row r="5971" spans="1:23">
      <c r="A5971" s="1" t="s">
        <v>8894</v>
      </c>
      <c r="B5971" s="1" t="s">
        <v>361</v>
      </c>
      <c r="C5971" s="1" t="s">
        <v>36</v>
      </c>
      <c r="D5971" s="1" t="s">
        <v>37</v>
      </c>
      <c r="E5971" s="1" t="s">
        <v>48</v>
      </c>
      <c r="F5971">
        <v>1</v>
      </c>
      <c r="G5971" s="2">
        <v>46249</v>
      </c>
      <c r="H5971" s="2">
        <v>46266</v>
      </c>
      <c r="I5971">
        <v>413.65</v>
      </c>
      <c r="M5971" s="1" t="s">
        <v>32</v>
      </c>
      <c r="N5971" s="1" t="s">
        <v>168</v>
      </c>
      <c r="O5971" s="2">
        <v>46282</v>
      </c>
      <c r="P5971" s="2"/>
      <c r="Q5971">
        <f>_xlfn.XLOOKUP(E5971,CPT!$A$2:$A$13,CPT!$D$2:$D$13)</f>
        <v>420</v>
      </c>
      <c r="R5971" s="1">
        <f>_xlfn.XLOOKUP(C5971,Contract!$A$2:$A$9,Contract!$B$2:$B$9)</f>
        <v>0.27</v>
      </c>
      <c r="S5971" s="1">
        <f t="shared" si="372"/>
        <v>113.4</v>
      </c>
      <c r="T5971" s="1" t="str">
        <f t="shared" si="373"/>
        <v/>
      </c>
      <c r="U5971" s="1" t="str">
        <f t="shared" si="374"/>
        <v/>
      </c>
      <c r="V5971" s="1" t="str">
        <f>_xlfn.XLOOKUP(C5971,Payers!$A$2:$A$9,Payers!$B$2:$B$9)</f>
        <v>Florida Medicaid</v>
      </c>
      <c r="W5971" s="1" t="str">
        <f t="shared" si="375"/>
        <v>2026-08</v>
      </c>
    </row>
    <row r="5972" spans="1:23">
      <c r="A5972" s="1" t="s">
        <v>8895</v>
      </c>
      <c r="B5972" s="1" t="s">
        <v>3309</v>
      </c>
      <c r="C5972" s="1" t="s">
        <v>76</v>
      </c>
      <c r="D5972" s="1" t="s">
        <v>30</v>
      </c>
      <c r="E5972" s="1" t="s">
        <v>91</v>
      </c>
      <c r="F5972">
        <v>3</v>
      </c>
      <c r="G5972" s="2">
        <v>46150</v>
      </c>
      <c r="H5972" s="2">
        <v>46154</v>
      </c>
      <c r="I5972">
        <v>172.43</v>
      </c>
      <c r="J5972">
        <v>78.19</v>
      </c>
      <c r="K5972">
        <v>78.19</v>
      </c>
      <c r="L5972">
        <v>0</v>
      </c>
      <c r="M5972" s="1" t="s">
        <v>21</v>
      </c>
      <c r="N5972" s="1" t="s">
        <v>22</v>
      </c>
      <c r="O5972" s="2">
        <v>46202</v>
      </c>
      <c r="P5972" s="2">
        <v>46202</v>
      </c>
      <c r="Q5972">
        <f>_xlfn.XLOOKUP(E5972,CPT!$A$2:$A$13,CPT!$D$2:$D$13)</f>
        <v>58</v>
      </c>
      <c r="R5972" s="1">
        <f>_xlfn.XLOOKUP(C5972,Contract!$A$2:$A$9,Contract!$B$2:$B$9)</f>
        <v>0.43</v>
      </c>
      <c r="S5972" s="1">
        <f t="shared" si="372"/>
        <v>74.819999999999993</v>
      </c>
      <c r="T5972" s="1">
        <f t="shared" si="373"/>
        <v>-3.3700000000000045</v>
      </c>
      <c r="U5972" s="1" t="str">
        <f t="shared" si="374"/>
        <v>OK</v>
      </c>
      <c r="V5972" s="1" t="str">
        <f>_xlfn.XLOOKUP(C5972,Payers!$A$2:$A$9,Payers!$B$2:$B$9)</f>
        <v>Summit Health Commercial</v>
      </c>
      <c r="W5972" s="1" t="str">
        <f t="shared" si="375"/>
        <v>2026-05</v>
      </c>
    </row>
    <row r="5973" spans="1:23">
      <c r="A5973" s="1" t="s">
        <v>8896</v>
      </c>
      <c r="B5973" s="1" t="s">
        <v>1343</v>
      </c>
      <c r="C5973" s="1" t="s">
        <v>60</v>
      </c>
      <c r="D5973" s="1" t="s">
        <v>19</v>
      </c>
      <c r="E5973" s="1" t="s">
        <v>88</v>
      </c>
      <c r="F5973">
        <v>1</v>
      </c>
      <c r="G5973" s="2">
        <v>46039</v>
      </c>
      <c r="H5973" s="2">
        <v>46042</v>
      </c>
      <c r="I5973">
        <v>254.54</v>
      </c>
      <c r="M5973" s="1" t="s">
        <v>32</v>
      </c>
      <c r="N5973" s="1" t="s">
        <v>33</v>
      </c>
      <c r="O5973" s="2">
        <v>46059</v>
      </c>
      <c r="P5973" s="2"/>
      <c r="Q5973">
        <f>_xlfn.XLOOKUP(E5973,CPT!$A$2:$A$13,CPT!$D$2:$D$13)</f>
        <v>260</v>
      </c>
      <c r="R5973" s="1">
        <f>_xlfn.XLOOKUP(C5973,Contract!$A$2:$A$9,Contract!$B$2:$B$9)</f>
        <v>0.45</v>
      </c>
      <c r="S5973" s="1">
        <f t="shared" si="372"/>
        <v>117</v>
      </c>
      <c r="T5973" s="1" t="str">
        <f t="shared" si="373"/>
        <v/>
      </c>
      <c r="U5973" s="1" t="str">
        <f t="shared" si="374"/>
        <v/>
      </c>
      <c r="V5973" s="1" t="str">
        <f>_xlfn.XLOOKUP(C5973,Payers!$A$2:$A$9,Payers!$B$2:$B$9)</f>
        <v>Blue Horizon Commercial</v>
      </c>
      <c r="W5973" s="1" t="str">
        <f t="shared" si="375"/>
        <v>2026-01</v>
      </c>
    </row>
    <row r="5974" spans="1:23">
      <c r="A5974" s="1" t="s">
        <v>8897</v>
      </c>
      <c r="B5974" s="1" t="s">
        <v>8872</v>
      </c>
      <c r="C5974" s="1" t="s">
        <v>47</v>
      </c>
      <c r="D5974" s="1" t="s">
        <v>19</v>
      </c>
      <c r="E5974" s="1" t="s">
        <v>57</v>
      </c>
      <c r="F5974">
        <v>1</v>
      </c>
      <c r="G5974" s="2">
        <v>45951</v>
      </c>
      <c r="H5974" s="2">
        <v>45956</v>
      </c>
      <c r="I5974">
        <v>211.29</v>
      </c>
      <c r="J5974">
        <v>58.07</v>
      </c>
      <c r="K5974">
        <v>58.07</v>
      </c>
      <c r="L5974">
        <v>0</v>
      </c>
      <c r="M5974" s="1" t="s">
        <v>21</v>
      </c>
      <c r="N5974" s="1" t="s">
        <v>22</v>
      </c>
      <c r="O5974" s="2">
        <v>46024</v>
      </c>
      <c r="P5974" s="2">
        <v>46024</v>
      </c>
      <c r="Q5974">
        <f>_xlfn.XLOOKUP(E5974,CPT!$A$2:$A$13,CPT!$D$2:$D$13)</f>
        <v>210</v>
      </c>
      <c r="R5974" s="1">
        <f>_xlfn.XLOOKUP(C5974,Contract!$A$2:$A$9,Contract!$B$2:$B$9)</f>
        <v>0.28000000000000003</v>
      </c>
      <c r="S5974" s="1">
        <f t="shared" si="372"/>
        <v>58.8</v>
      </c>
      <c r="T5974" s="1">
        <f t="shared" si="373"/>
        <v>0.72999999999999687</v>
      </c>
      <c r="U5974" s="1" t="str">
        <f t="shared" si="374"/>
        <v>OK</v>
      </c>
      <c r="V5974" s="1" t="str">
        <f>_xlfn.XLOOKUP(C5974,Payers!$A$2:$A$9,Payers!$B$2:$B$9)</f>
        <v>Coastal Medicaid MCO</v>
      </c>
      <c r="W5974" s="1" t="str">
        <f t="shared" si="375"/>
        <v>2025-10</v>
      </c>
    </row>
    <row r="5975" spans="1:23">
      <c r="A5975" s="1" t="s">
        <v>8898</v>
      </c>
      <c r="B5975" s="1" t="s">
        <v>8899</v>
      </c>
      <c r="C5975" s="1" t="s">
        <v>18</v>
      </c>
      <c r="D5975" s="1" t="s">
        <v>26</v>
      </c>
      <c r="E5975" s="1" t="s">
        <v>57</v>
      </c>
      <c r="F5975">
        <v>1</v>
      </c>
      <c r="G5975" s="2">
        <v>45937</v>
      </c>
      <c r="H5975" s="2">
        <v>45939</v>
      </c>
      <c r="I5975">
        <v>214.45</v>
      </c>
      <c r="J5975">
        <v>93.17</v>
      </c>
      <c r="K5975">
        <v>93.17</v>
      </c>
      <c r="L5975">
        <v>0</v>
      </c>
      <c r="M5975" s="1" t="s">
        <v>21</v>
      </c>
      <c r="N5975" s="1" t="s">
        <v>22</v>
      </c>
      <c r="O5975" s="2">
        <v>45985</v>
      </c>
      <c r="P5975" s="2">
        <v>45985</v>
      </c>
      <c r="Q5975">
        <f>_xlfn.XLOOKUP(E5975,CPT!$A$2:$A$13,CPT!$D$2:$D$13)</f>
        <v>210</v>
      </c>
      <c r="R5975" s="1">
        <f>_xlfn.XLOOKUP(C5975,Contract!$A$2:$A$9,Contract!$B$2:$B$9)</f>
        <v>0.38</v>
      </c>
      <c r="S5975" s="1">
        <f t="shared" si="372"/>
        <v>79.8</v>
      </c>
      <c r="T5975" s="1">
        <f t="shared" si="373"/>
        <v>-13.370000000000005</v>
      </c>
      <c r="U5975" s="1" t="str">
        <f t="shared" si="374"/>
        <v>OK</v>
      </c>
      <c r="V5975" s="1" t="str">
        <f>_xlfn.XLOOKUP(C5975,Payers!$A$2:$A$9,Payers!$B$2:$B$9)</f>
        <v>Sunshine Medicare Advantage</v>
      </c>
      <c r="W5975" s="1" t="str">
        <f t="shared" si="375"/>
        <v>2025-10</v>
      </c>
    </row>
    <row r="5976" spans="1:23">
      <c r="A5976" s="1" t="s">
        <v>8900</v>
      </c>
      <c r="B5976" s="1" t="s">
        <v>977</v>
      </c>
      <c r="C5976" s="1" t="s">
        <v>18</v>
      </c>
      <c r="D5976" s="1" t="s">
        <v>26</v>
      </c>
      <c r="E5976" s="1" t="s">
        <v>57</v>
      </c>
      <c r="F5976">
        <v>1</v>
      </c>
      <c r="G5976" s="2">
        <v>46193</v>
      </c>
      <c r="H5976" s="2">
        <v>46197</v>
      </c>
      <c r="I5976">
        <v>207.74</v>
      </c>
      <c r="J5976">
        <v>79.34</v>
      </c>
      <c r="K5976">
        <v>63.47</v>
      </c>
      <c r="L5976">
        <v>15.87</v>
      </c>
      <c r="M5976" s="1" t="s">
        <v>21</v>
      </c>
      <c r="N5976" s="1" t="s">
        <v>22</v>
      </c>
      <c r="O5976" s="2">
        <v>46262</v>
      </c>
      <c r="P5976" s="2">
        <v>46262</v>
      </c>
      <c r="Q5976">
        <f>_xlfn.XLOOKUP(E5976,CPT!$A$2:$A$13,CPT!$D$2:$D$13)</f>
        <v>210</v>
      </c>
      <c r="R5976" s="1">
        <f>_xlfn.XLOOKUP(C5976,Contract!$A$2:$A$9,Contract!$B$2:$B$9)</f>
        <v>0.38</v>
      </c>
      <c r="S5976" s="1">
        <f t="shared" si="372"/>
        <v>79.8</v>
      </c>
      <c r="T5976" s="1">
        <f t="shared" si="373"/>
        <v>0.45999999999999375</v>
      </c>
      <c r="U5976" s="1" t="str">
        <f t="shared" si="374"/>
        <v>OK</v>
      </c>
      <c r="V5976" s="1" t="str">
        <f>_xlfn.XLOOKUP(C5976,Payers!$A$2:$A$9,Payers!$B$2:$B$9)</f>
        <v>Sunshine Medicare Advantage</v>
      </c>
      <c r="W5976" s="1" t="str">
        <f t="shared" si="375"/>
        <v>2026-06</v>
      </c>
    </row>
    <row r="5977" spans="1:23">
      <c r="A5977" s="1" t="s">
        <v>8901</v>
      </c>
      <c r="B5977" s="1" t="s">
        <v>5744</v>
      </c>
      <c r="C5977" s="1" t="s">
        <v>60</v>
      </c>
      <c r="D5977" s="1" t="s">
        <v>26</v>
      </c>
      <c r="E5977" s="1" t="s">
        <v>185</v>
      </c>
      <c r="F5977">
        <v>1</v>
      </c>
      <c r="G5977" s="2">
        <v>46133</v>
      </c>
      <c r="H5977" s="2">
        <v>46152</v>
      </c>
      <c r="I5977">
        <v>1178.32</v>
      </c>
      <c r="J5977">
        <v>522.91999999999996</v>
      </c>
      <c r="K5977">
        <v>522.91999999999996</v>
      </c>
      <c r="L5977">
        <v>0</v>
      </c>
      <c r="M5977" s="1" t="s">
        <v>21</v>
      </c>
      <c r="N5977" s="1" t="s">
        <v>22</v>
      </c>
      <c r="O5977" s="2">
        <v>46173</v>
      </c>
      <c r="P5977" s="2">
        <v>46173</v>
      </c>
      <c r="Q5977">
        <f>_xlfn.XLOOKUP(E5977,CPT!$A$2:$A$13,CPT!$D$2:$D$13)</f>
        <v>1150</v>
      </c>
      <c r="R5977" s="1">
        <f>_xlfn.XLOOKUP(C5977,Contract!$A$2:$A$9,Contract!$B$2:$B$9)</f>
        <v>0.45</v>
      </c>
      <c r="S5977" s="1">
        <f t="shared" si="372"/>
        <v>517.5</v>
      </c>
      <c r="T5977" s="1">
        <f t="shared" si="373"/>
        <v>-5.4199999999999591</v>
      </c>
      <c r="U5977" s="1" t="str">
        <f t="shared" si="374"/>
        <v>OK</v>
      </c>
      <c r="V5977" s="1" t="str">
        <f>_xlfn.XLOOKUP(C5977,Payers!$A$2:$A$9,Payers!$B$2:$B$9)</f>
        <v>Blue Horizon Commercial</v>
      </c>
      <c r="W5977" s="1" t="str">
        <f t="shared" si="375"/>
        <v>2026-04</v>
      </c>
    </row>
    <row r="5978" spans="1:23">
      <c r="A5978" s="1" t="s">
        <v>8902</v>
      </c>
      <c r="B5978" s="1" t="s">
        <v>839</v>
      </c>
      <c r="C5978" s="1" t="s">
        <v>47</v>
      </c>
      <c r="D5978" s="1" t="s">
        <v>26</v>
      </c>
      <c r="E5978" s="1" t="s">
        <v>113</v>
      </c>
      <c r="F5978">
        <v>1</v>
      </c>
      <c r="G5978" s="2">
        <v>46028</v>
      </c>
      <c r="H5978" s="2">
        <v>46035</v>
      </c>
      <c r="I5978">
        <v>1046.3599999999999</v>
      </c>
      <c r="J5978">
        <v>321.20999999999998</v>
      </c>
      <c r="K5978">
        <v>256.97000000000003</v>
      </c>
      <c r="L5978">
        <v>64.239999999999995</v>
      </c>
      <c r="M5978" s="1" t="s">
        <v>21</v>
      </c>
      <c r="N5978" s="1" t="s">
        <v>22</v>
      </c>
      <c r="O5978" s="2">
        <v>46091</v>
      </c>
      <c r="P5978" s="2">
        <v>46091</v>
      </c>
      <c r="Q5978">
        <f>_xlfn.XLOOKUP(E5978,CPT!$A$2:$A$13,CPT!$D$2:$D$13)</f>
        <v>1050</v>
      </c>
      <c r="R5978" s="1">
        <f>_xlfn.XLOOKUP(C5978,Contract!$A$2:$A$9,Contract!$B$2:$B$9)</f>
        <v>0.28000000000000003</v>
      </c>
      <c r="S5978" s="1">
        <f t="shared" si="372"/>
        <v>294</v>
      </c>
      <c r="T5978" s="1">
        <f t="shared" si="373"/>
        <v>-27.20999999999998</v>
      </c>
      <c r="U5978" s="1" t="str">
        <f t="shared" si="374"/>
        <v>OK</v>
      </c>
      <c r="V5978" s="1" t="str">
        <f>_xlfn.XLOOKUP(C5978,Payers!$A$2:$A$9,Payers!$B$2:$B$9)</f>
        <v>Coastal Medicaid MCO</v>
      </c>
      <c r="W5978" s="1" t="str">
        <f t="shared" si="375"/>
        <v>2026-01</v>
      </c>
    </row>
    <row r="5979" spans="1:23">
      <c r="A5979" s="1" t="s">
        <v>8903</v>
      </c>
      <c r="B5979" s="1" t="s">
        <v>4829</v>
      </c>
      <c r="C5979" s="1" t="s">
        <v>47</v>
      </c>
      <c r="D5979" s="1" t="s">
        <v>30</v>
      </c>
      <c r="E5979" s="1" t="s">
        <v>20</v>
      </c>
      <c r="F5979">
        <v>1</v>
      </c>
      <c r="G5979" s="2">
        <v>46226</v>
      </c>
      <c r="H5979" s="2">
        <v>46231</v>
      </c>
      <c r="I5979">
        <v>145.66999999999999</v>
      </c>
      <c r="J5979">
        <v>35.44</v>
      </c>
      <c r="K5979">
        <v>35.44</v>
      </c>
      <c r="L5979">
        <v>0</v>
      </c>
      <c r="M5979" s="1" t="s">
        <v>21</v>
      </c>
      <c r="N5979" s="1" t="s">
        <v>22</v>
      </c>
      <c r="O5979" s="2">
        <v>46290</v>
      </c>
      <c r="P5979" s="2">
        <v>46290</v>
      </c>
      <c r="Q5979">
        <f>_xlfn.XLOOKUP(E5979,CPT!$A$2:$A$13,CPT!$D$2:$D$13)</f>
        <v>145</v>
      </c>
      <c r="R5979" s="1">
        <f>_xlfn.XLOOKUP(C5979,Contract!$A$2:$A$9,Contract!$B$2:$B$9)</f>
        <v>0.28000000000000003</v>
      </c>
      <c r="S5979" s="1">
        <f t="shared" si="372"/>
        <v>40.6</v>
      </c>
      <c r="T5979" s="1">
        <f t="shared" si="373"/>
        <v>5.1600000000000037</v>
      </c>
      <c r="U5979" s="1" t="str">
        <f t="shared" si="374"/>
        <v>Underpaid</v>
      </c>
      <c r="V5979" s="1" t="str">
        <f>_xlfn.XLOOKUP(C5979,Payers!$A$2:$A$9,Payers!$B$2:$B$9)</f>
        <v>Coastal Medicaid MCO</v>
      </c>
      <c r="W5979" s="1" t="str">
        <f t="shared" si="375"/>
        <v>2026-07</v>
      </c>
    </row>
    <row r="5980" spans="1:23">
      <c r="A5980" s="1" t="s">
        <v>8904</v>
      </c>
      <c r="B5980" s="1" t="s">
        <v>3644</v>
      </c>
      <c r="C5980" s="1" t="s">
        <v>79</v>
      </c>
      <c r="D5980" s="1" t="s">
        <v>19</v>
      </c>
      <c r="E5980" s="1" t="s">
        <v>57</v>
      </c>
      <c r="F5980">
        <v>1</v>
      </c>
      <c r="G5980" s="2">
        <v>46031</v>
      </c>
      <c r="H5980" s="2">
        <v>46033</v>
      </c>
      <c r="I5980">
        <v>211.76</v>
      </c>
      <c r="J5980">
        <v>211.76</v>
      </c>
      <c r="K5980">
        <v>211.76</v>
      </c>
      <c r="L5980">
        <v>0</v>
      </c>
      <c r="M5980" s="1" t="s">
        <v>21</v>
      </c>
      <c r="N5980" s="1" t="s">
        <v>22</v>
      </c>
      <c r="O5980" s="2">
        <v>46104</v>
      </c>
      <c r="P5980" s="2">
        <v>46104</v>
      </c>
      <c r="Q5980">
        <f>_xlfn.XLOOKUP(E5980,CPT!$A$2:$A$13,CPT!$D$2:$D$13)</f>
        <v>210</v>
      </c>
      <c r="R5980" s="1">
        <f>_xlfn.XLOOKUP(C5980,Contract!$A$2:$A$9,Contract!$B$2:$B$9)</f>
        <v>1</v>
      </c>
      <c r="S5980" s="1">
        <f t="shared" si="372"/>
        <v>210</v>
      </c>
      <c r="T5980" s="1">
        <f t="shared" si="373"/>
        <v>-1.7599999999999909</v>
      </c>
      <c r="U5980" s="1" t="str">
        <f t="shared" si="374"/>
        <v>OK</v>
      </c>
      <c r="V5980" s="1" t="str">
        <f>_xlfn.XLOOKUP(C5980,Payers!$A$2:$A$9,Payers!$B$2:$B$9)</f>
        <v>Self-Pay</v>
      </c>
      <c r="W5980" s="1" t="str">
        <f t="shared" si="375"/>
        <v>2026-01</v>
      </c>
    </row>
    <row r="5981" spans="1:23">
      <c r="A5981" s="1" t="s">
        <v>8905</v>
      </c>
      <c r="B5981" s="1" t="s">
        <v>3429</v>
      </c>
      <c r="C5981" s="1" t="s">
        <v>60</v>
      </c>
      <c r="D5981" s="1" t="s">
        <v>26</v>
      </c>
      <c r="E5981" s="1" t="s">
        <v>113</v>
      </c>
      <c r="F5981">
        <v>1</v>
      </c>
      <c r="G5981" s="2">
        <v>46003</v>
      </c>
      <c r="H5981" s="2">
        <v>46008</v>
      </c>
      <c r="I5981">
        <v>1057.8399999999999</v>
      </c>
      <c r="J5981">
        <v>447.73</v>
      </c>
      <c r="K5981">
        <v>402.96</v>
      </c>
      <c r="L5981">
        <v>44.77</v>
      </c>
      <c r="M5981" s="1" t="s">
        <v>21</v>
      </c>
      <c r="N5981" s="1" t="s">
        <v>22</v>
      </c>
      <c r="O5981" s="2">
        <v>46016</v>
      </c>
      <c r="P5981" s="2">
        <v>46016</v>
      </c>
      <c r="Q5981">
        <f>_xlfn.XLOOKUP(E5981,CPT!$A$2:$A$13,CPT!$D$2:$D$13)</f>
        <v>1050</v>
      </c>
      <c r="R5981" s="1">
        <f>_xlfn.XLOOKUP(C5981,Contract!$A$2:$A$9,Contract!$B$2:$B$9)</f>
        <v>0.45</v>
      </c>
      <c r="S5981" s="1">
        <f t="shared" si="372"/>
        <v>472.5</v>
      </c>
      <c r="T5981" s="1">
        <f t="shared" si="373"/>
        <v>24.769999999999982</v>
      </c>
      <c r="U5981" s="1" t="str">
        <f t="shared" si="374"/>
        <v>Underpaid</v>
      </c>
      <c r="V5981" s="1" t="str">
        <f>_xlfn.XLOOKUP(C5981,Payers!$A$2:$A$9,Payers!$B$2:$B$9)</f>
        <v>Blue Horizon Commercial</v>
      </c>
      <c r="W5981" s="1" t="str">
        <f t="shared" si="375"/>
        <v>2025-12</v>
      </c>
    </row>
    <row r="5982" spans="1:23">
      <c r="A5982" s="1" t="s">
        <v>8906</v>
      </c>
      <c r="B5982" s="1" t="s">
        <v>592</v>
      </c>
      <c r="C5982" s="1" t="s">
        <v>52</v>
      </c>
      <c r="D5982" s="1" t="s">
        <v>30</v>
      </c>
      <c r="E5982" s="1" t="s">
        <v>91</v>
      </c>
      <c r="F5982">
        <v>1</v>
      </c>
      <c r="G5982" s="2">
        <v>46255</v>
      </c>
      <c r="H5982" s="2">
        <v>46261</v>
      </c>
      <c r="I5982">
        <v>57.44</v>
      </c>
      <c r="J5982">
        <v>24.84</v>
      </c>
      <c r="K5982">
        <v>24.84</v>
      </c>
      <c r="L5982">
        <v>0</v>
      </c>
      <c r="M5982" s="1" t="s">
        <v>21</v>
      </c>
      <c r="N5982" s="1" t="s">
        <v>22</v>
      </c>
      <c r="O5982" s="2">
        <v>46284</v>
      </c>
      <c r="P5982" s="2">
        <v>46284</v>
      </c>
      <c r="Q5982">
        <f>_xlfn.XLOOKUP(E5982,CPT!$A$2:$A$13,CPT!$D$2:$D$13)</f>
        <v>58</v>
      </c>
      <c r="R5982" s="1">
        <f>_xlfn.XLOOKUP(C5982,Contract!$A$2:$A$9,Contract!$B$2:$B$9)</f>
        <v>0.47</v>
      </c>
      <c r="S5982" s="1">
        <f t="shared" si="372"/>
        <v>27.26</v>
      </c>
      <c r="T5982" s="1">
        <f t="shared" si="373"/>
        <v>2.4200000000000017</v>
      </c>
      <c r="U5982" s="1" t="str">
        <f t="shared" si="374"/>
        <v>Underpaid</v>
      </c>
      <c r="V5982" s="1" t="str">
        <f>_xlfn.XLOOKUP(C5982,Payers!$A$2:$A$9,Payers!$B$2:$B$9)</f>
        <v>Keystone Commercial PPO</v>
      </c>
      <c r="W5982" s="1" t="str">
        <f t="shared" si="375"/>
        <v>2026-08</v>
      </c>
    </row>
    <row r="5983" spans="1:23">
      <c r="A5983" s="1" t="s">
        <v>8907</v>
      </c>
      <c r="B5983" s="1" t="s">
        <v>1135</v>
      </c>
      <c r="C5983" s="1" t="s">
        <v>60</v>
      </c>
      <c r="D5983" s="1" t="s">
        <v>37</v>
      </c>
      <c r="E5983" s="1" t="s">
        <v>38</v>
      </c>
      <c r="F5983">
        <v>30</v>
      </c>
      <c r="G5983" s="2">
        <v>46237</v>
      </c>
      <c r="H5983" s="2">
        <v>46243</v>
      </c>
      <c r="I5983">
        <v>42939.18</v>
      </c>
      <c r="J5983">
        <v>16707.87</v>
      </c>
      <c r="K5983">
        <v>15037.08</v>
      </c>
      <c r="L5983">
        <v>1670.79</v>
      </c>
      <c r="M5983" s="1" t="s">
        <v>21</v>
      </c>
      <c r="N5983" s="1" t="s">
        <v>22</v>
      </c>
      <c r="O5983" s="2">
        <v>46269</v>
      </c>
      <c r="P5983" s="2">
        <v>46269</v>
      </c>
      <c r="Q5983">
        <f>_xlfn.XLOOKUP(E5983,CPT!$A$2:$A$13,CPT!$D$2:$D$13)</f>
        <v>1450</v>
      </c>
      <c r="R5983" s="1">
        <f>_xlfn.XLOOKUP(C5983,Contract!$A$2:$A$9,Contract!$B$2:$B$9)</f>
        <v>0.45</v>
      </c>
      <c r="S5983" s="1">
        <f t="shared" si="372"/>
        <v>19575</v>
      </c>
      <c r="T5983" s="1">
        <f t="shared" si="373"/>
        <v>2867.130000000001</v>
      </c>
      <c r="U5983" s="1" t="str">
        <f t="shared" si="374"/>
        <v>Underpaid</v>
      </c>
      <c r="V5983" s="1" t="str">
        <f>_xlfn.XLOOKUP(C5983,Payers!$A$2:$A$9,Payers!$B$2:$B$9)</f>
        <v>Blue Horizon Commercial</v>
      </c>
      <c r="W5983" s="1" t="str">
        <f t="shared" si="375"/>
        <v>2026-08</v>
      </c>
    </row>
    <row r="5984" spans="1:23">
      <c r="A5984" s="1" t="s">
        <v>8908</v>
      </c>
      <c r="B5984" s="1" t="s">
        <v>7380</v>
      </c>
      <c r="C5984" s="1" t="s">
        <v>76</v>
      </c>
      <c r="D5984" s="1" t="s">
        <v>19</v>
      </c>
      <c r="E5984" s="1" t="s">
        <v>88</v>
      </c>
      <c r="F5984">
        <v>1</v>
      </c>
      <c r="G5984" s="2">
        <v>46095</v>
      </c>
      <c r="H5984" s="2">
        <v>46096</v>
      </c>
      <c r="I5984">
        <v>252.64</v>
      </c>
      <c r="J5984">
        <v>92.91</v>
      </c>
      <c r="K5984">
        <v>92.91</v>
      </c>
      <c r="L5984">
        <v>0</v>
      </c>
      <c r="M5984" s="1" t="s">
        <v>21</v>
      </c>
      <c r="N5984" s="1" t="s">
        <v>22</v>
      </c>
      <c r="O5984" s="2">
        <v>46112</v>
      </c>
      <c r="P5984" s="2">
        <v>46112</v>
      </c>
      <c r="Q5984">
        <f>_xlfn.XLOOKUP(E5984,CPT!$A$2:$A$13,CPT!$D$2:$D$13)</f>
        <v>260</v>
      </c>
      <c r="R5984" s="1">
        <f>_xlfn.XLOOKUP(C5984,Contract!$A$2:$A$9,Contract!$B$2:$B$9)</f>
        <v>0.43</v>
      </c>
      <c r="S5984" s="1">
        <f t="shared" si="372"/>
        <v>111.8</v>
      </c>
      <c r="T5984" s="1">
        <f t="shared" si="373"/>
        <v>18.89</v>
      </c>
      <c r="U5984" s="1" t="str">
        <f t="shared" si="374"/>
        <v>Underpaid</v>
      </c>
      <c r="V5984" s="1" t="str">
        <f>_xlfn.XLOOKUP(C5984,Payers!$A$2:$A$9,Payers!$B$2:$B$9)</f>
        <v>Summit Health Commercial</v>
      </c>
      <c r="W5984" s="1" t="str">
        <f t="shared" si="375"/>
        <v>2026-03</v>
      </c>
    </row>
    <row r="5985" spans="1:23">
      <c r="A5985" s="1" t="s">
        <v>8909</v>
      </c>
      <c r="B5985" s="1" t="s">
        <v>8910</v>
      </c>
      <c r="C5985" s="1" t="s">
        <v>60</v>
      </c>
      <c r="D5985" s="1" t="s">
        <v>19</v>
      </c>
      <c r="E5985" s="1" t="s">
        <v>41</v>
      </c>
      <c r="F5985">
        <v>1</v>
      </c>
      <c r="G5985" s="2">
        <v>46020</v>
      </c>
      <c r="H5985" s="2">
        <v>46023</v>
      </c>
      <c r="I5985">
        <v>37.93</v>
      </c>
      <c r="M5985" s="1" t="s">
        <v>32</v>
      </c>
      <c r="N5985" s="1" t="s">
        <v>33</v>
      </c>
      <c r="O5985" s="2">
        <v>46044</v>
      </c>
      <c r="P5985" s="2"/>
      <c r="Q5985">
        <f>_xlfn.XLOOKUP(E5985,CPT!$A$2:$A$13,CPT!$D$2:$D$13)</f>
        <v>38</v>
      </c>
      <c r="R5985" s="1">
        <f>_xlfn.XLOOKUP(C5985,Contract!$A$2:$A$9,Contract!$B$2:$B$9)</f>
        <v>0.45</v>
      </c>
      <c r="S5985" s="1">
        <f t="shared" si="372"/>
        <v>17.100000000000001</v>
      </c>
      <c r="T5985" s="1" t="str">
        <f t="shared" si="373"/>
        <v/>
      </c>
      <c r="U5985" s="1" t="str">
        <f t="shared" si="374"/>
        <v/>
      </c>
      <c r="V5985" s="1" t="str">
        <f>_xlfn.XLOOKUP(C5985,Payers!$A$2:$A$9,Payers!$B$2:$B$9)</f>
        <v>Blue Horizon Commercial</v>
      </c>
      <c r="W5985" s="1" t="str">
        <f t="shared" si="375"/>
        <v>2025-12</v>
      </c>
    </row>
    <row r="5986" spans="1:23">
      <c r="A5986" s="1" t="s">
        <v>8911</v>
      </c>
      <c r="B5986" s="1" t="s">
        <v>8912</v>
      </c>
      <c r="C5986" s="1" t="s">
        <v>76</v>
      </c>
      <c r="D5986" s="1" t="s">
        <v>26</v>
      </c>
      <c r="E5986" s="1" t="s">
        <v>41</v>
      </c>
      <c r="F5986">
        <v>1</v>
      </c>
      <c r="G5986" s="2">
        <v>46187</v>
      </c>
      <c r="H5986" s="2">
        <v>46191</v>
      </c>
      <c r="I5986">
        <v>38.619999999999997</v>
      </c>
      <c r="J5986">
        <v>14.95</v>
      </c>
      <c r="K5986">
        <v>13.45</v>
      </c>
      <c r="L5986">
        <v>1.5</v>
      </c>
      <c r="M5986" s="1" t="s">
        <v>21</v>
      </c>
      <c r="N5986" s="1" t="s">
        <v>22</v>
      </c>
      <c r="O5986" s="2">
        <v>46226</v>
      </c>
      <c r="P5986" s="2">
        <v>46226</v>
      </c>
      <c r="Q5986">
        <f>_xlfn.XLOOKUP(E5986,CPT!$A$2:$A$13,CPT!$D$2:$D$13)</f>
        <v>38</v>
      </c>
      <c r="R5986" s="1">
        <f>_xlfn.XLOOKUP(C5986,Contract!$A$2:$A$9,Contract!$B$2:$B$9)</f>
        <v>0.43</v>
      </c>
      <c r="S5986" s="1">
        <f t="shared" si="372"/>
        <v>16.34</v>
      </c>
      <c r="T5986" s="1">
        <f t="shared" si="373"/>
        <v>1.3900000000000006</v>
      </c>
      <c r="U5986" s="1" t="str">
        <f t="shared" si="374"/>
        <v>Underpaid</v>
      </c>
      <c r="V5986" s="1" t="str">
        <f>_xlfn.XLOOKUP(C5986,Payers!$A$2:$A$9,Payers!$B$2:$B$9)</f>
        <v>Summit Health Commercial</v>
      </c>
      <c r="W5986" s="1" t="str">
        <f t="shared" si="375"/>
        <v>2026-06</v>
      </c>
    </row>
    <row r="5987" spans="1:23">
      <c r="A5987" s="1" t="s">
        <v>8913</v>
      </c>
      <c r="B5987" s="1" t="s">
        <v>920</v>
      </c>
      <c r="C5987" s="1" t="s">
        <v>52</v>
      </c>
      <c r="D5987" s="1" t="s">
        <v>37</v>
      </c>
      <c r="E5987" s="1" t="s">
        <v>48</v>
      </c>
      <c r="F5987">
        <v>1</v>
      </c>
      <c r="G5987" s="2">
        <v>46069</v>
      </c>
      <c r="H5987" s="2">
        <v>46073</v>
      </c>
      <c r="I5987">
        <v>413.04</v>
      </c>
      <c r="M5987" s="1" t="s">
        <v>32</v>
      </c>
      <c r="N5987" s="1" t="s">
        <v>49</v>
      </c>
      <c r="O5987" s="2">
        <v>46112</v>
      </c>
      <c r="P5987" s="2"/>
      <c r="Q5987">
        <f>_xlfn.XLOOKUP(E5987,CPT!$A$2:$A$13,CPT!$D$2:$D$13)</f>
        <v>420</v>
      </c>
      <c r="R5987" s="1">
        <f>_xlfn.XLOOKUP(C5987,Contract!$A$2:$A$9,Contract!$B$2:$B$9)</f>
        <v>0.47</v>
      </c>
      <c r="S5987" s="1">
        <f t="shared" si="372"/>
        <v>197.4</v>
      </c>
      <c r="T5987" s="1" t="str">
        <f t="shared" si="373"/>
        <v/>
      </c>
      <c r="U5987" s="1" t="str">
        <f t="shared" si="374"/>
        <v/>
      </c>
      <c r="V5987" s="1" t="str">
        <f>_xlfn.XLOOKUP(C5987,Payers!$A$2:$A$9,Payers!$B$2:$B$9)</f>
        <v>Keystone Commercial PPO</v>
      </c>
      <c r="W5987" s="1" t="str">
        <f t="shared" si="375"/>
        <v>2026-02</v>
      </c>
    </row>
    <row r="5988" spans="1:23">
      <c r="A5988" s="1" t="s">
        <v>8914</v>
      </c>
      <c r="B5988" s="1" t="s">
        <v>3170</v>
      </c>
      <c r="C5988" s="1" t="s">
        <v>47</v>
      </c>
      <c r="D5988" s="1" t="s">
        <v>37</v>
      </c>
      <c r="E5988" s="1" t="s">
        <v>38</v>
      </c>
      <c r="F5988">
        <v>20</v>
      </c>
      <c r="G5988" s="2">
        <v>46155</v>
      </c>
      <c r="H5988" s="2">
        <v>46167</v>
      </c>
      <c r="I5988">
        <v>28141.17</v>
      </c>
      <c r="M5988" s="1" t="s">
        <v>32</v>
      </c>
      <c r="N5988" s="1" t="s">
        <v>49</v>
      </c>
      <c r="O5988" s="2">
        <v>46184</v>
      </c>
      <c r="P5988" s="2"/>
      <c r="Q5988">
        <f>_xlfn.XLOOKUP(E5988,CPT!$A$2:$A$13,CPT!$D$2:$D$13)</f>
        <v>1450</v>
      </c>
      <c r="R5988" s="1">
        <f>_xlfn.XLOOKUP(C5988,Contract!$A$2:$A$9,Contract!$B$2:$B$9)</f>
        <v>0.28000000000000003</v>
      </c>
      <c r="S5988" s="1">
        <f t="shared" si="372"/>
        <v>8120</v>
      </c>
      <c r="T5988" s="1" t="str">
        <f t="shared" si="373"/>
        <v/>
      </c>
      <c r="U5988" s="1" t="str">
        <f t="shared" si="374"/>
        <v/>
      </c>
      <c r="V5988" s="1" t="str">
        <f>_xlfn.XLOOKUP(C5988,Payers!$A$2:$A$9,Payers!$B$2:$B$9)</f>
        <v>Coastal Medicaid MCO</v>
      </c>
      <c r="W5988" s="1" t="str">
        <f t="shared" si="375"/>
        <v>2026-05</v>
      </c>
    </row>
    <row r="5989" spans="1:23">
      <c r="A5989" s="1" t="s">
        <v>8915</v>
      </c>
      <c r="B5989" s="1" t="s">
        <v>8690</v>
      </c>
      <c r="C5989" s="1" t="s">
        <v>18</v>
      </c>
      <c r="D5989" s="1" t="s">
        <v>19</v>
      </c>
      <c r="E5989" s="1" t="s">
        <v>41</v>
      </c>
      <c r="F5989">
        <v>1</v>
      </c>
      <c r="G5989" s="2">
        <v>46259</v>
      </c>
      <c r="H5989" s="2">
        <v>46260</v>
      </c>
      <c r="I5989">
        <v>38.43</v>
      </c>
      <c r="M5989" s="1" t="s">
        <v>69</v>
      </c>
      <c r="N5989" s="1" t="s">
        <v>22</v>
      </c>
      <c r="O5989" s="2"/>
      <c r="P5989" s="2"/>
      <c r="Q5989">
        <f>_xlfn.XLOOKUP(E5989,CPT!$A$2:$A$13,CPT!$D$2:$D$13)</f>
        <v>38</v>
      </c>
      <c r="R5989" s="1">
        <f>_xlfn.XLOOKUP(C5989,Contract!$A$2:$A$9,Contract!$B$2:$B$9)</f>
        <v>0.38</v>
      </c>
      <c r="S5989" s="1">
        <f t="shared" si="372"/>
        <v>14.44</v>
      </c>
      <c r="T5989" s="1" t="str">
        <f t="shared" si="373"/>
        <v/>
      </c>
      <c r="U5989" s="1" t="str">
        <f t="shared" si="374"/>
        <v/>
      </c>
      <c r="V5989" s="1" t="str">
        <f>_xlfn.XLOOKUP(C5989,Payers!$A$2:$A$9,Payers!$B$2:$B$9)</f>
        <v>Sunshine Medicare Advantage</v>
      </c>
      <c r="W5989" s="1" t="str">
        <f t="shared" si="375"/>
        <v>2026-08</v>
      </c>
    </row>
    <row r="5990" spans="1:23">
      <c r="A5990" s="1" t="s">
        <v>8916</v>
      </c>
      <c r="B5990" s="1" t="s">
        <v>3066</v>
      </c>
      <c r="C5990" s="1" t="s">
        <v>60</v>
      </c>
      <c r="D5990" s="1" t="s">
        <v>30</v>
      </c>
      <c r="E5990" s="1" t="s">
        <v>91</v>
      </c>
      <c r="F5990">
        <v>2</v>
      </c>
      <c r="G5990" s="2">
        <v>46139</v>
      </c>
      <c r="H5990" s="2">
        <v>46146</v>
      </c>
      <c r="I5990">
        <v>119.46</v>
      </c>
      <c r="J5990">
        <v>58.9</v>
      </c>
      <c r="K5990">
        <v>47.12</v>
      </c>
      <c r="L5990">
        <v>11.78</v>
      </c>
      <c r="M5990" s="1" t="s">
        <v>21</v>
      </c>
      <c r="N5990" s="1" t="s">
        <v>22</v>
      </c>
      <c r="O5990" s="2">
        <v>46172</v>
      </c>
      <c r="P5990" s="2">
        <v>46172</v>
      </c>
      <c r="Q5990">
        <f>_xlfn.XLOOKUP(E5990,CPT!$A$2:$A$13,CPT!$D$2:$D$13)</f>
        <v>58</v>
      </c>
      <c r="R5990" s="1">
        <f>_xlfn.XLOOKUP(C5990,Contract!$A$2:$A$9,Contract!$B$2:$B$9)</f>
        <v>0.45</v>
      </c>
      <c r="S5990" s="1">
        <f t="shared" si="372"/>
        <v>52.2</v>
      </c>
      <c r="T5990" s="1">
        <f t="shared" si="373"/>
        <v>-6.6999999999999957</v>
      </c>
      <c r="U5990" s="1" t="str">
        <f t="shared" si="374"/>
        <v>OK</v>
      </c>
      <c r="V5990" s="1" t="str">
        <f>_xlfn.XLOOKUP(C5990,Payers!$A$2:$A$9,Payers!$B$2:$B$9)</f>
        <v>Blue Horizon Commercial</v>
      </c>
      <c r="W5990" s="1" t="str">
        <f t="shared" si="375"/>
        <v>2026-04</v>
      </c>
    </row>
    <row r="5991" spans="1:23">
      <c r="A5991" s="1" t="s">
        <v>8917</v>
      </c>
      <c r="B5991" s="1" t="s">
        <v>6984</v>
      </c>
      <c r="C5991" s="1" t="s">
        <v>60</v>
      </c>
      <c r="D5991" s="1" t="s">
        <v>19</v>
      </c>
      <c r="E5991" s="1" t="s">
        <v>20</v>
      </c>
      <c r="F5991">
        <v>1</v>
      </c>
      <c r="G5991" s="2">
        <v>46164</v>
      </c>
      <c r="H5991" s="2">
        <v>46170</v>
      </c>
      <c r="I5991">
        <v>145.41999999999999</v>
      </c>
      <c r="J5991">
        <v>64.56</v>
      </c>
      <c r="K5991">
        <v>58.1</v>
      </c>
      <c r="L5991">
        <v>6.46</v>
      </c>
      <c r="M5991" s="1" t="s">
        <v>21</v>
      </c>
      <c r="N5991" s="1" t="s">
        <v>22</v>
      </c>
      <c r="O5991" s="2">
        <v>46184</v>
      </c>
      <c r="P5991" s="2">
        <v>46184</v>
      </c>
      <c r="Q5991">
        <f>_xlfn.XLOOKUP(E5991,CPT!$A$2:$A$13,CPT!$D$2:$D$13)</f>
        <v>145</v>
      </c>
      <c r="R5991" s="1">
        <f>_xlfn.XLOOKUP(C5991,Contract!$A$2:$A$9,Contract!$B$2:$B$9)</f>
        <v>0.45</v>
      </c>
      <c r="S5991" s="1">
        <f t="shared" si="372"/>
        <v>65.25</v>
      </c>
      <c r="T5991" s="1">
        <f t="shared" si="373"/>
        <v>0.68999999999999773</v>
      </c>
      <c r="U5991" s="1" t="str">
        <f t="shared" si="374"/>
        <v>OK</v>
      </c>
      <c r="V5991" s="1" t="str">
        <f>_xlfn.XLOOKUP(C5991,Payers!$A$2:$A$9,Payers!$B$2:$B$9)</f>
        <v>Blue Horizon Commercial</v>
      </c>
      <c r="W5991" s="1" t="str">
        <f t="shared" si="375"/>
        <v>2026-05</v>
      </c>
    </row>
    <row r="5992" spans="1:23">
      <c r="A5992" s="1" t="s">
        <v>8918</v>
      </c>
      <c r="B5992" s="1" t="s">
        <v>4000</v>
      </c>
      <c r="C5992" s="1" t="s">
        <v>76</v>
      </c>
      <c r="D5992" s="1" t="s">
        <v>26</v>
      </c>
      <c r="E5992" s="1" t="s">
        <v>113</v>
      </c>
      <c r="F5992">
        <v>1</v>
      </c>
      <c r="G5992" s="2">
        <v>46094</v>
      </c>
      <c r="H5992" s="2">
        <v>46103</v>
      </c>
      <c r="I5992">
        <v>1078.6400000000001</v>
      </c>
      <c r="J5992">
        <v>408.11</v>
      </c>
      <c r="K5992">
        <v>408.11</v>
      </c>
      <c r="L5992">
        <v>0</v>
      </c>
      <c r="M5992" s="1" t="s">
        <v>21</v>
      </c>
      <c r="N5992" s="1" t="s">
        <v>22</v>
      </c>
      <c r="O5992" s="2">
        <v>46137</v>
      </c>
      <c r="P5992" s="2">
        <v>46137</v>
      </c>
      <c r="Q5992">
        <f>_xlfn.XLOOKUP(E5992,CPT!$A$2:$A$13,CPT!$D$2:$D$13)</f>
        <v>1050</v>
      </c>
      <c r="R5992" s="1">
        <f>_xlfn.XLOOKUP(C5992,Contract!$A$2:$A$9,Contract!$B$2:$B$9)</f>
        <v>0.43</v>
      </c>
      <c r="S5992" s="1">
        <f t="shared" si="372"/>
        <v>451.5</v>
      </c>
      <c r="T5992" s="1">
        <f t="shared" si="373"/>
        <v>43.389999999999986</v>
      </c>
      <c r="U5992" s="1" t="str">
        <f t="shared" si="374"/>
        <v>Underpaid</v>
      </c>
      <c r="V5992" s="1" t="str">
        <f>_xlfn.XLOOKUP(C5992,Payers!$A$2:$A$9,Payers!$B$2:$B$9)</f>
        <v>Summit Health Commercial</v>
      </c>
      <c r="W5992" s="1" t="str">
        <f t="shared" si="375"/>
        <v>2026-03</v>
      </c>
    </row>
    <row r="5993" spans="1:23">
      <c r="A5993" s="1" t="s">
        <v>8919</v>
      </c>
      <c r="B5993" s="1" t="s">
        <v>3297</v>
      </c>
      <c r="C5993" s="1" t="s">
        <v>60</v>
      </c>
      <c r="D5993" s="1" t="s">
        <v>26</v>
      </c>
      <c r="E5993" s="1" t="s">
        <v>27</v>
      </c>
      <c r="F5993">
        <v>1</v>
      </c>
      <c r="G5993" s="2">
        <v>46259</v>
      </c>
      <c r="H5993" s="2">
        <v>46270</v>
      </c>
      <c r="I5993">
        <v>234.51</v>
      </c>
      <c r="M5993" s="1" t="s">
        <v>69</v>
      </c>
      <c r="N5993" s="1" t="s">
        <v>22</v>
      </c>
      <c r="O5993" s="2"/>
      <c r="P5993" s="2"/>
      <c r="Q5993">
        <f>_xlfn.XLOOKUP(E5993,CPT!$A$2:$A$13,CPT!$D$2:$D$13)</f>
        <v>240</v>
      </c>
      <c r="R5993" s="1">
        <f>_xlfn.XLOOKUP(C5993,Contract!$A$2:$A$9,Contract!$B$2:$B$9)</f>
        <v>0.45</v>
      </c>
      <c r="S5993" s="1">
        <f t="shared" si="372"/>
        <v>108</v>
      </c>
      <c r="T5993" s="1" t="str">
        <f t="shared" si="373"/>
        <v/>
      </c>
      <c r="U5993" s="1" t="str">
        <f t="shared" si="374"/>
        <v/>
      </c>
      <c r="V5993" s="1" t="str">
        <f>_xlfn.XLOOKUP(C5993,Payers!$A$2:$A$9,Payers!$B$2:$B$9)</f>
        <v>Blue Horizon Commercial</v>
      </c>
      <c r="W5993" s="1" t="str">
        <f t="shared" si="375"/>
        <v>2026-08</v>
      </c>
    </row>
    <row r="5994" spans="1:23">
      <c r="A5994" s="1" t="s">
        <v>8920</v>
      </c>
      <c r="B5994" s="1" t="s">
        <v>4140</v>
      </c>
      <c r="C5994" s="1" t="s">
        <v>25</v>
      </c>
      <c r="D5994" s="1" t="s">
        <v>26</v>
      </c>
      <c r="E5994" s="1" t="s">
        <v>57</v>
      </c>
      <c r="F5994">
        <v>1</v>
      </c>
      <c r="G5994" s="2">
        <v>46276</v>
      </c>
      <c r="H5994" s="2">
        <v>46279</v>
      </c>
      <c r="I5994">
        <v>206.68</v>
      </c>
      <c r="M5994" s="1" t="s">
        <v>69</v>
      </c>
      <c r="N5994" s="1" t="s">
        <v>22</v>
      </c>
      <c r="O5994" s="2"/>
      <c r="P5994" s="2"/>
      <c r="Q5994">
        <f>_xlfn.XLOOKUP(E5994,CPT!$A$2:$A$13,CPT!$D$2:$D$13)</f>
        <v>210</v>
      </c>
      <c r="R5994" s="1">
        <f>_xlfn.XLOOKUP(C5994,Contract!$A$2:$A$9,Contract!$B$2:$B$9)</f>
        <v>0.36</v>
      </c>
      <c r="S5994" s="1">
        <f t="shared" si="372"/>
        <v>75.599999999999994</v>
      </c>
      <c r="T5994" s="1" t="str">
        <f t="shared" si="373"/>
        <v/>
      </c>
      <c r="U5994" s="1" t="str">
        <f t="shared" si="374"/>
        <v/>
      </c>
      <c r="V5994" s="1" t="str">
        <f>_xlfn.XLOOKUP(C5994,Payers!$A$2:$A$9,Payers!$B$2:$B$9)</f>
        <v>Medicare Part B</v>
      </c>
      <c r="W5994" s="1" t="str">
        <f t="shared" si="375"/>
        <v>2026-09</v>
      </c>
    </row>
    <row r="5995" spans="1:23">
      <c r="A5995" s="1" t="s">
        <v>8921</v>
      </c>
      <c r="B5995" s="1" t="s">
        <v>4620</v>
      </c>
      <c r="C5995" s="1" t="s">
        <v>52</v>
      </c>
      <c r="D5995" s="1" t="s">
        <v>37</v>
      </c>
      <c r="E5995" s="1" t="s">
        <v>57</v>
      </c>
      <c r="F5995">
        <v>1</v>
      </c>
      <c r="G5995" s="2">
        <v>45961</v>
      </c>
      <c r="H5995" s="2">
        <v>45965</v>
      </c>
      <c r="I5995">
        <v>213.01</v>
      </c>
      <c r="J5995">
        <v>107.71</v>
      </c>
      <c r="K5995">
        <v>96.94</v>
      </c>
      <c r="L5995">
        <v>10.77</v>
      </c>
      <c r="M5995" s="1" t="s">
        <v>21</v>
      </c>
      <c r="N5995" s="1" t="s">
        <v>22</v>
      </c>
      <c r="O5995" s="2">
        <v>46017</v>
      </c>
      <c r="P5995" s="2">
        <v>46017</v>
      </c>
      <c r="Q5995">
        <f>_xlfn.XLOOKUP(E5995,CPT!$A$2:$A$13,CPT!$D$2:$D$13)</f>
        <v>210</v>
      </c>
      <c r="R5995" s="1">
        <f>_xlfn.XLOOKUP(C5995,Contract!$A$2:$A$9,Contract!$B$2:$B$9)</f>
        <v>0.47</v>
      </c>
      <c r="S5995" s="1">
        <f t="shared" si="372"/>
        <v>98.7</v>
      </c>
      <c r="T5995" s="1">
        <f t="shared" si="373"/>
        <v>-9.0099999999999909</v>
      </c>
      <c r="U5995" s="1" t="str">
        <f t="shared" si="374"/>
        <v>OK</v>
      </c>
      <c r="V5995" s="1" t="str">
        <f>_xlfn.XLOOKUP(C5995,Payers!$A$2:$A$9,Payers!$B$2:$B$9)</f>
        <v>Keystone Commercial PPO</v>
      </c>
      <c r="W5995" s="1" t="str">
        <f t="shared" si="375"/>
        <v>2025-10</v>
      </c>
    </row>
    <row r="5996" spans="1:23">
      <c r="A5996" s="1" t="s">
        <v>8922</v>
      </c>
      <c r="B5996" s="1" t="s">
        <v>2534</v>
      </c>
      <c r="C5996" s="1" t="s">
        <v>76</v>
      </c>
      <c r="D5996" s="1" t="s">
        <v>26</v>
      </c>
      <c r="E5996" s="1" t="s">
        <v>113</v>
      </c>
      <c r="F5996">
        <v>1</v>
      </c>
      <c r="G5996" s="2">
        <v>46118</v>
      </c>
      <c r="H5996" s="2">
        <v>46122</v>
      </c>
      <c r="I5996">
        <v>1027.77</v>
      </c>
      <c r="J5996">
        <v>398.09</v>
      </c>
      <c r="K5996">
        <v>398.09</v>
      </c>
      <c r="L5996">
        <v>0</v>
      </c>
      <c r="M5996" s="1" t="s">
        <v>21</v>
      </c>
      <c r="N5996" s="1" t="s">
        <v>22</v>
      </c>
      <c r="O5996" s="2">
        <v>46149</v>
      </c>
      <c r="P5996" s="2">
        <v>46149</v>
      </c>
      <c r="Q5996">
        <f>_xlfn.XLOOKUP(E5996,CPT!$A$2:$A$13,CPT!$D$2:$D$13)</f>
        <v>1050</v>
      </c>
      <c r="R5996" s="1">
        <f>_xlfn.XLOOKUP(C5996,Contract!$A$2:$A$9,Contract!$B$2:$B$9)</f>
        <v>0.43</v>
      </c>
      <c r="S5996" s="1">
        <f t="shared" si="372"/>
        <v>451.5</v>
      </c>
      <c r="T5996" s="1">
        <f t="shared" si="373"/>
        <v>53.410000000000025</v>
      </c>
      <c r="U5996" s="1" t="str">
        <f t="shared" si="374"/>
        <v>Underpaid</v>
      </c>
      <c r="V5996" s="1" t="str">
        <f>_xlfn.XLOOKUP(C5996,Payers!$A$2:$A$9,Payers!$B$2:$B$9)</f>
        <v>Summit Health Commercial</v>
      </c>
      <c r="W5996" s="1" t="str">
        <f t="shared" si="375"/>
        <v>2026-04</v>
      </c>
    </row>
    <row r="5997" spans="1:23">
      <c r="A5997" s="1" t="s">
        <v>8923</v>
      </c>
      <c r="B5997" s="1" t="s">
        <v>2060</v>
      </c>
      <c r="C5997" s="1" t="s">
        <v>47</v>
      </c>
      <c r="D5997" s="1" t="s">
        <v>30</v>
      </c>
      <c r="E5997" s="1" t="s">
        <v>20</v>
      </c>
      <c r="F5997">
        <v>1</v>
      </c>
      <c r="G5997" s="2">
        <v>45948</v>
      </c>
      <c r="H5997" s="2">
        <v>45949</v>
      </c>
      <c r="I5997">
        <v>148.08000000000001</v>
      </c>
      <c r="J5997">
        <v>36.880000000000003</v>
      </c>
      <c r="K5997">
        <v>36.880000000000003</v>
      </c>
      <c r="L5997">
        <v>0</v>
      </c>
      <c r="M5997" s="1" t="s">
        <v>21</v>
      </c>
      <c r="N5997" s="1" t="s">
        <v>22</v>
      </c>
      <c r="O5997" s="2">
        <v>46002</v>
      </c>
      <c r="P5997" s="2">
        <v>46002</v>
      </c>
      <c r="Q5997">
        <f>_xlfn.XLOOKUP(E5997,CPT!$A$2:$A$13,CPT!$D$2:$D$13)</f>
        <v>145</v>
      </c>
      <c r="R5997" s="1">
        <f>_xlfn.XLOOKUP(C5997,Contract!$A$2:$A$9,Contract!$B$2:$B$9)</f>
        <v>0.28000000000000003</v>
      </c>
      <c r="S5997" s="1">
        <f t="shared" si="372"/>
        <v>40.6</v>
      </c>
      <c r="T5997" s="1">
        <f t="shared" si="373"/>
        <v>3.7199999999999989</v>
      </c>
      <c r="U5997" s="1" t="str">
        <f t="shared" si="374"/>
        <v>Underpaid</v>
      </c>
      <c r="V5997" s="1" t="str">
        <f>_xlfn.XLOOKUP(C5997,Payers!$A$2:$A$9,Payers!$B$2:$B$9)</f>
        <v>Coastal Medicaid MCO</v>
      </c>
      <c r="W5997" s="1" t="str">
        <f t="shared" si="375"/>
        <v>2025-10</v>
      </c>
    </row>
    <row r="5998" spans="1:23">
      <c r="A5998" s="1" t="s">
        <v>8924</v>
      </c>
      <c r="B5998" s="1" t="s">
        <v>5967</v>
      </c>
      <c r="C5998" s="1" t="s">
        <v>60</v>
      </c>
      <c r="D5998" s="1" t="s">
        <v>37</v>
      </c>
      <c r="E5998" s="1" t="s">
        <v>38</v>
      </c>
      <c r="F5998">
        <v>10</v>
      </c>
      <c r="G5998" s="2">
        <v>46189</v>
      </c>
      <c r="H5998" s="2">
        <v>46190</v>
      </c>
      <c r="I5998">
        <v>14610.1</v>
      </c>
      <c r="J5998">
        <v>7161.17</v>
      </c>
      <c r="K5998">
        <v>5728.94</v>
      </c>
      <c r="L5998">
        <v>1432.23</v>
      </c>
      <c r="M5998" s="1" t="s">
        <v>21</v>
      </c>
      <c r="N5998" s="1" t="s">
        <v>22</v>
      </c>
      <c r="O5998" s="2">
        <v>46224</v>
      </c>
      <c r="P5998" s="2">
        <v>46224</v>
      </c>
      <c r="Q5998">
        <f>_xlfn.XLOOKUP(E5998,CPT!$A$2:$A$13,CPT!$D$2:$D$13)</f>
        <v>1450</v>
      </c>
      <c r="R5998" s="1">
        <f>_xlfn.XLOOKUP(C5998,Contract!$A$2:$A$9,Contract!$B$2:$B$9)</f>
        <v>0.45</v>
      </c>
      <c r="S5998" s="1">
        <f t="shared" si="372"/>
        <v>6525</v>
      </c>
      <c r="T5998" s="1">
        <f t="shared" si="373"/>
        <v>-636.17000000000007</v>
      </c>
      <c r="U5998" s="1" t="str">
        <f t="shared" si="374"/>
        <v>OK</v>
      </c>
      <c r="V5998" s="1" t="str">
        <f>_xlfn.XLOOKUP(C5998,Payers!$A$2:$A$9,Payers!$B$2:$B$9)</f>
        <v>Blue Horizon Commercial</v>
      </c>
      <c r="W5998" s="1" t="str">
        <f t="shared" si="375"/>
        <v>2026-06</v>
      </c>
    </row>
    <row r="5999" spans="1:23">
      <c r="A5999" s="1" t="s">
        <v>8925</v>
      </c>
      <c r="B5999" s="1" t="s">
        <v>2079</v>
      </c>
      <c r="C5999" s="1" t="s">
        <v>25</v>
      </c>
      <c r="D5999" s="1" t="s">
        <v>26</v>
      </c>
      <c r="E5999" s="1" t="s">
        <v>185</v>
      </c>
      <c r="F5999">
        <v>1</v>
      </c>
      <c r="G5999" s="2">
        <v>46181</v>
      </c>
      <c r="H5999" s="2">
        <v>46185</v>
      </c>
      <c r="I5999">
        <v>1157.5899999999999</v>
      </c>
      <c r="J5999">
        <v>461.41</v>
      </c>
      <c r="K5999">
        <v>461.41</v>
      </c>
      <c r="L5999">
        <v>0</v>
      </c>
      <c r="M5999" s="1" t="s">
        <v>21</v>
      </c>
      <c r="N5999" s="1" t="s">
        <v>22</v>
      </c>
      <c r="O5999" s="2">
        <v>46208</v>
      </c>
      <c r="P5999" s="2">
        <v>46208</v>
      </c>
      <c r="Q5999">
        <f>_xlfn.XLOOKUP(E5999,CPT!$A$2:$A$13,CPT!$D$2:$D$13)</f>
        <v>1150</v>
      </c>
      <c r="R5999" s="1">
        <f>_xlfn.XLOOKUP(C5999,Contract!$A$2:$A$9,Contract!$B$2:$B$9)</f>
        <v>0.36</v>
      </c>
      <c r="S5999" s="1">
        <f t="shared" si="372"/>
        <v>414</v>
      </c>
      <c r="T5999" s="1">
        <f t="shared" si="373"/>
        <v>-47.410000000000025</v>
      </c>
      <c r="U5999" s="1" t="str">
        <f t="shared" si="374"/>
        <v>OK</v>
      </c>
      <c r="V5999" s="1" t="str">
        <f>_xlfn.XLOOKUP(C5999,Payers!$A$2:$A$9,Payers!$B$2:$B$9)</f>
        <v>Medicare Part B</v>
      </c>
      <c r="W5999" s="1" t="str">
        <f t="shared" si="375"/>
        <v>2026-06</v>
      </c>
    </row>
    <row r="6000" spans="1:23">
      <c r="A6000" s="1" t="s">
        <v>8926</v>
      </c>
      <c r="B6000" s="1" t="s">
        <v>2644</v>
      </c>
      <c r="C6000" s="1" t="s">
        <v>60</v>
      </c>
      <c r="D6000" s="1" t="s">
        <v>26</v>
      </c>
      <c r="E6000" s="1" t="s">
        <v>44</v>
      </c>
      <c r="F6000">
        <v>1</v>
      </c>
      <c r="G6000" s="2">
        <v>46146</v>
      </c>
      <c r="H6000" s="2">
        <v>46153</v>
      </c>
      <c r="I6000">
        <v>4938.03</v>
      </c>
      <c r="M6000" s="1" t="s">
        <v>32</v>
      </c>
      <c r="N6000" s="1" t="s">
        <v>33</v>
      </c>
      <c r="O6000" s="2">
        <v>46175</v>
      </c>
      <c r="P6000" s="2"/>
      <c r="Q6000">
        <f>_xlfn.XLOOKUP(E6000,CPT!$A$2:$A$13,CPT!$D$2:$D$13)</f>
        <v>4800</v>
      </c>
      <c r="R6000" s="1">
        <f>_xlfn.XLOOKUP(C6000,Contract!$A$2:$A$9,Contract!$B$2:$B$9)</f>
        <v>0.45</v>
      </c>
      <c r="S6000" s="1">
        <f t="shared" si="372"/>
        <v>2160</v>
      </c>
      <c r="T6000" s="1" t="str">
        <f t="shared" si="373"/>
        <v/>
      </c>
      <c r="U6000" s="1" t="str">
        <f t="shared" si="374"/>
        <v/>
      </c>
      <c r="V6000" s="1" t="str">
        <f>_xlfn.XLOOKUP(C6000,Payers!$A$2:$A$9,Payers!$B$2:$B$9)</f>
        <v>Blue Horizon Commercial</v>
      </c>
      <c r="W6000" s="1" t="str">
        <f t="shared" si="375"/>
        <v>2026-05</v>
      </c>
    </row>
    <row r="6001" spans="1:23">
      <c r="A6001" s="1" t="s">
        <v>8927</v>
      </c>
      <c r="B6001" s="1" t="s">
        <v>709</v>
      </c>
      <c r="C6001" s="1" t="s">
        <v>76</v>
      </c>
      <c r="D6001" s="1" t="s">
        <v>26</v>
      </c>
      <c r="E6001" s="1" t="s">
        <v>88</v>
      </c>
      <c r="F6001">
        <v>1</v>
      </c>
      <c r="G6001" s="2">
        <v>45956</v>
      </c>
      <c r="H6001" s="2">
        <v>45963</v>
      </c>
      <c r="I6001">
        <v>267.7</v>
      </c>
      <c r="J6001">
        <v>98.61</v>
      </c>
      <c r="K6001">
        <v>78.89</v>
      </c>
      <c r="L6001">
        <v>19.72</v>
      </c>
      <c r="M6001" s="1" t="s">
        <v>21</v>
      </c>
      <c r="N6001" s="1" t="s">
        <v>22</v>
      </c>
      <c r="O6001" s="2">
        <v>45982</v>
      </c>
      <c r="P6001" s="2">
        <v>45982</v>
      </c>
      <c r="Q6001">
        <f>_xlfn.XLOOKUP(E6001,CPT!$A$2:$A$13,CPT!$D$2:$D$13)</f>
        <v>260</v>
      </c>
      <c r="R6001" s="1">
        <f>_xlfn.XLOOKUP(C6001,Contract!$A$2:$A$9,Contract!$B$2:$B$9)</f>
        <v>0.43</v>
      </c>
      <c r="S6001" s="1">
        <f t="shared" si="372"/>
        <v>111.8</v>
      </c>
      <c r="T6001" s="1">
        <f t="shared" si="373"/>
        <v>13.189999999999998</v>
      </c>
      <c r="U6001" s="1" t="str">
        <f t="shared" si="374"/>
        <v>Underpaid</v>
      </c>
      <c r="V6001" s="1" t="str">
        <f>_xlfn.XLOOKUP(C6001,Payers!$A$2:$A$9,Payers!$B$2:$B$9)</f>
        <v>Summit Health Commercial</v>
      </c>
      <c r="W6001" s="1" t="str">
        <f t="shared" si="375"/>
        <v>2025-10</v>
      </c>
    </row>
    <row r="6002" spans="1:23">
      <c r="A6002" s="1" t="s">
        <v>8928</v>
      </c>
      <c r="B6002" s="1" t="s">
        <v>1678</v>
      </c>
      <c r="C6002" s="1" t="s">
        <v>47</v>
      </c>
      <c r="D6002" s="1" t="s">
        <v>19</v>
      </c>
      <c r="E6002" s="1" t="s">
        <v>41</v>
      </c>
      <c r="F6002">
        <v>1</v>
      </c>
      <c r="G6002" s="2">
        <v>46210</v>
      </c>
      <c r="H6002" s="2">
        <v>46211</v>
      </c>
      <c r="I6002">
        <v>39.01</v>
      </c>
      <c r="J6002">
        <v>10.93</v>
      </c>
      <c r="K6002">
        <v>9.84</v>
      </c>
      <c r="L6002">
        <v>1.0900000000000001</v>
      </c>
      <c r="M6002" s="1" t="s">
        <v>21</v>
      </c>
      <c r="N6002" s="1" t="s">
        <v>22</v>
      </c>
      <c r="O6002" s="2">
        <v>46272</v>
      </c>
      <c r="P6002" s="2">
        <v>46272</v>
      </c>
      <c r="Q6002">
        <f>_xlfn.XLOOKUP(E6002,CPT!$A$2:$A$13,CPT!$D$2:$D$13)</f>
        <v>38</v>
      </c>
      <c r="R6002" s="1">
        <f>_xlfn.XLOOKUP(C6002,Contract!$A$2:$A$9,Contract!$B$2:$B$9)</f>
        <v>0.28000000000000003</v>
      </c>
      <c r="S6002" s="1">
        <f t="shared" si="372"/>
        <v>10.64</v>
      </c>
      <c r="T6002" s="1">
        <f t="shared" si="373"/>
        <v>-0.28999999999999915</v>
      </c>
      <c r="U6002" s="1" t="str">
        <f t="shared" si="374"/>
        <v>OK</v>
      </c>
      <c r="V6002" s="1" t="str">
        <f>_xlfn.XLOOKUP(C6002,Payers!$A$2:$A$9,Payers!$B$2:$B$9)</f>
        <v>Coastal Medicaid MCO</v>
      </c>
      <c r="W6002" s="1" t="str">
        <f t="shared" si="375"/>
        <v>2026-07</v>
      </c>
    </row>
    <row r="6003" spans="1:23">
      <c r="A6003" s="1" t="s">
        <v>8929</v>
      </c>
      <c r="B6003" s="1" t="s">
        <v>3558</v>
      </c>
      <c r="C6003" s="1" t="s">
        <v>60</v>
      </c>
      <c r="D6003" s="1" t="s">
        <v>26</v>
      </c>
      <c r="E6003" s="1" t="s">
        <v>41</v>
      </c>
      <c r="F6003">
        <v>1</v>
      </c>
      <c r="G6003" s="2">
        <v>46036</v>
      </c>
      <c r="H6003" s="2">
        <v>46037</v>
      </c>
      <c r="I6003">
        <v>38.39</v>
      </c>
      <c r="J6003">
        <v>17.27</v>
      </c>
      <c r="K6003">
        <v>17.27</v>
      </c>
      <c r="L6003">
        <v>0</v>
      </c>
      <c r="M6003" s="1" t="s">
        <v>21</v>
      </c>
      <c r="N6003" s="1" t="s">
        <v>22</v>
      </c>
      <c r="O6003" s="2">
        <v>46069</v>
      </c>
      <c r="P6003" s="2">
        <v>46069</v>
      </c>
      <c r="Q6003">
        <f>_xlfn.XLOOKUP(E6003,CPT!$A$2:$A$13,CPT!$D$2:$D$13)</f>
        <v>38</v>
      </c>
      <c r="R6003" s="1">
        <f>_xlfn.XLOOKUP(C6003,Contract!$A$2:$A$9,Contract!$B$2:$B$9)</f>
        <v>0.45</v>
      </c>
      <c r="S6003" s="1">
        <f t="shared" si="372"/>
        <v>17.100000000000001</v>
      </c>
      <c r="T6003" s="1">
        <f t="shared" si="373"/>
        <v>-0.16999999999999815</v>
      </c>
      <c r="U6003" s="1" t="str">
        <f t="shared" si="374"/>
        <v>OK</v>
      </c>
      <c r="V6003" s="1" t="str">
        <f>_xlfn.XLOOKUP(C6003,Payers!$A$2:$A$9,Payers!$B$2:$B$9)</f>
        <v>Blue Horizon Commercial</v>
      </c>
      <c r="W6003" s="1" t="str">
        <f t="shared" si="375"/>
        <v>2026-01</v>
      </c>
    </row>
    <row r="6004" spans="1:23">
      <c r="A6004" s="1" t="s">
        <v>8930</v>
      </c>
      <c r="B6004" s="1" t="s">
        <v>4769</v>
      </c>
      <c r="C6004" s="1" t="s">
        <v>18</v>
      </c>
      <c r="D6004" s="1" t="s">
        <v>26</v>
      </c>
      <c r="E6004" s="1" t="s">
        <v>88</v>
      </c>
      <c r="F6004">
        <v>1</v>
      </c>
      <c r="G6004" s="2">
        <v>46012</v>
      </c>
      <c r="H6004" s="2">
        <v>46014</v>
      </c>
      <c r="I6004">
        <v>259.61</v>
      </c>
      <c r="J6004">
        <v>97.38</v>
      </c>
      <c r="K6004">
        <v>97.38</v>
      </c>
      <c r="L6004">
        <v>0</v>
      </c>
      <c r="M6004" s="1" t="s">
        <v>21</v>
      </c>
      <c r="N6004" s="1" t="s">
        <v>22</v>
      </c>
      <c r="O6004" s="2">
        <v>46082</v>
      </c>
      <c r="P6004" s="2">
        <v>46082</v>
      </c>
      <c r="Q6004">
        <f>_xlfn.XLOOKUP(E6004,CPT!$A$2:$A$13,CPT!$D$2:$D$13)</f>
        <v>260</v>
      </c>
      <c r="R6004" s="1">
        <f>_xlfn.XLOOKUP(C6004,Contract!$A$2:$A$9,Contract!$B$2:$B$9)</f>
        <v>0.38</v>
      </c>
      <c r="S6004" s="1">
        <f t="shared" si="372"/>
        <v>98.8</v>
      </c>
      <c r="T6004" s="1">
        <f t="shared" si="373"/>
        <v>1.4200000000000017</v>
      </c>
      <c r="U6004" s="1" t="str">
        <f t="shared" si="374"/>
        <v>OK</v>
      </c>
      <c r="V6004" s="1" t="str">
        <f>_xlfn.XLOOKUP(C6004,Payers!$A$2:$A$9,Payers!$B$2:$B$9)</f>
        <v>Sunshine Medicare Advantage</v>
      </c>
      <c r="W6004" s="1" t="str">
        <f t="shared" si="375"/>
        <v>2025-12</v>
      </c>
    </row>
    <row r="6005" spans="1:23">
      <c r="A6005" s="1" t="s">
        <v>8931</v>
      </c>
      <c r="B6005" s="1" t="s">
        <v>1815</v>
      </c>
      <c r="C6005" s="1" t="s">
        <v>76</v>
      </c>
      <c r="D6005" s="1" t="s">
        <v>26</v>
      </c>
      <c r="E6005" s="1" t="s">
        <v>88</v>
      </c>
      <c r="F6005">
        <v>1</v>
      </c>
      <c r="G6005" s="2">
        <v>46091</v>
      </c>
      <c r="H6005" s="2">
        <v>46092</v>
      </c>
      <c r="I6005">
        <v>253.06</v>
      </c>
      <c r="J6005">
        <v>94.13</v>
      </c>
      <c r="K6005">
        <v>94.13</v>
      </c>
      <c r="L6005">
        <v>0</v>
      </c>
      <c r="M6005" s="1" t="s">
        <v>21</v>
      </c>
      <c r="N6005" s="1" t="s">
        <v>22</v>
      </c>
      <c r="O6005" s="2">
        <v>46125</v>
      </c>
      <c r="P6005" s="2">
        <v>46125</v>
      </c>
      <c r="Q6005">
        <f>_xlfn.XLOOKUP(E6005,CPT!$A$2:$A$13,CPT!$D$2:$D$13)</f>
        <v>260</v>
      </c>
      <c r="R6005" s="1">
        <f>_xlfn.XLOOKUP(C6005,Contract!$A$2:$A$9,Contract!$B$2:$B$9)</f>
        <v>0.43</v>
      </c>
      <c r="S6005" s="1">
        <f t="shared" si="372"/>
        <v>111.8</v>
      </c>
      <c r="T6005" s="1">
        <f t="shared" si="373"/>
        <v>17.670000000000002</v>
      </c>
      <c r="U6005" s="1" t="str">
        <f t="shared" si="374"/>
        <v>Underpaid</v>
      </c>
      <c r="V6005" s="1" t="str">
        <f>_xlfn.XLOOKUP(C6005,Payers!$A$2:$A$9,Payers!$B$2:$B$9)</f>
        <v>Summit Health Commercial</v>
      </c>
      <c r="W6005" s="1" t="str">
        <f t="shared" si="375"/>
        <v>2026-03</v>
      </c>
    </row>
    <row r="6006" spans="1:23">
      <c r="A6006" s="1" t="s">
        <v>8932</v>
      </c>
      <c r="B6006" s="1" t="s">
        <v>2586</v>
      </c>
      <c r="C6006" s="1" t="s">
        <v>36</v>
      </c>
      <c r="D6006" s="1" t="s">
        <v>37</v>
      </c>
      <c r="E6006" s="1" t="s">
        <v>38</v>
      </c>
      <c r="F6006">
        <v>5</v>
      </c>
      <c r="G6006" s="2">
        <v>45966</v>
      </c>
      <c r="H6006" s="2">
        <v>45968</v>
      </c>
      <c r="I6006">
        <v>7357.71</v>
      </c>
      <c r="J6006">
        <v>1886.09</v>
      </c>
      <c r="K6006">
        <v>1697.48</v>
      </c>
      <c r="L6006">
        <v>188.61</v>
      </c>
      <c r="M6006" s="1" t="s">
        <v>21</v>
      </c>
      <c r="N6006" s="1" t="s">
        <v>22</v>
      </c>
      <c r="O6006" s="2">
        <v>46006</v>
      </c>
      <c r="P6006" s="2">
        <v>46006</v>
      </c>
      <c r="Q6006">
        <f>_xlfn.XLOOKUP(E6006,CPT!$A$2:$A$13,CPT!$D$2:$D$13)</f>
        <v>1450</v>
      </c>
      <c r="R6006" s="1">
        <f>_xlfn.XLOOKUP(C6006,Contract!$A$2:$A$9,Contract!$B$2:$B$9)</f>
        <v>0.27</v>
      </c>
      <c r="S6006" s="1">
        <f t="shared" si="372"/>
        <v>1957.5</v>
      </c>
      <c r="T6006" s="1">
        <f t="shared" si="373"/>
        <v>71.410000000000082</v>
      </c>
      <c r="U6006" s="1" t="str">
        <f t="shared" si="374"/>
        <v>OK</v>
      </c>
      <c r="V6006" s="1" t="str">
        <f>_xlfn.XLOOKUP(C6006,Payers!$A$2:$A$9,Payers!$B$2:$B$9)</f>
        <v>Florida Medicaid</v>
      </c>
      <c r="W6006" s="1" t="str">
        <f t="shared" si="375"/>
        <v>2025-11</v>
      </c>
    </row>
    <row r="6007" spans="1:23">
      <c r="A6007" s="1" t="s">
        <v>8933</v>
      </c>
      <c r="B6007" s="1" t="s">
        <v>5758</v>
      </c>
      <c r="C6007" s="1" t="s">
        <v>36</v>
      </c>
      <c r="D6007" s="1" t="s">
        <v>26</v>
      </c>
      <c r="E6007" s="1" t="s">
        <v>57</v>
      </c>
      <c r="F6007">
        <v>1</v>
      </c>
      <c r="G6007" s="2">
        <v>46060</v>
      </c>
      <c r="H6007" s="2">
        <v>46062</v>
      </c>
      <c r="I6007">
        <v>208.23</v>
      </c>
      <c r="J6007">
        <v>52.85</v>
      </c>
      <c r="K6007">
        <v>42.28</v>
      </c>
      <c r="L6007">
        <v>10.57</v>
      </c>
      <c r="M6007" s="1" t="s">
        <v>21</v>
      </c>
      <c r="N6007" s="1" t="s">
        <v>22</v>
      </c>
      <c r="O6007" s="2">
        <v>46101</v>
      </c>
      <c r="P6007" s="2">
        <v>46101</v>
      </c>
      <c r="Q6007">
        <f>_xlfn.XLOOKUP(E6007,CPT!$A$2:$A$13,CPT!$D$2:$D$13)</f>
        <v>210</v>
      </c>
      <c r="R6007" s="1">
        <f>_xlfn.XLOOKUP(C6007,Contract!$A$2:$A$9,Contract!$B$2:$B$9)</f>
        <v>0.27</v>
      </c>
      <c r="S6007" s="1">
        <f t="shared" si="372"/>
        <v>56.7</v>
      </c>
      <c r="T6007" s="1">
        <f t="shared" si="373"/>
        <v>3.8500000000000014</v>
      </c>
      <c r="U6007" s="1" t="str">
        <f t="shared" si="374"/>
        <v>Underpaid</v>
      </c>
      <c r="V6007" s="1" t="str">
        <f>_xlfn.XLOOKUP(C6007,Payers!$A$2:$A$9,Payers!$B$2:$B$9)</f>
        <v>Florida Medicaid</v>
      </c>
      <c r="W6007" s="1" t="str">
        <f t="shared" si="375"/>
        <v>2026-02</v>
      </c>
    </row>
    <row r="6008" spans="1:23">
      <c r="A6008" s="1" t="s">
        <v>8934</v>
      </c>
      <c r="B6008" s="1" t="s">
        <v>7643</v>
      </c>
      <c r="C6008" s="1" t="s">
        <v>60</v>
      </c>
      <c r="D6008" s="1" t="s">
        <v>26</v>
      </c>
      <c r="E6008" s="1" t="s">
        <v>113</v>
      </c>
      <c r="F6008">
        <v>1</v>
      </c>
      <c r="G6008" s="2">
        <v>46008</v>
      </c>
      <c r="H6008" s="2">
        <v>46011</v>
      </c>
      <c r="I6008">
        <v>1032.22</v>
      </c>
      <c r="J6008">
        <v>509.28</v>
      </c>
      <c r="K6008">
        <v>509.28</v>
      </c>
      <c r="L6008">
        <v>0</v>
      </c>
      <c r="M6008" s="1" t="s">
        <v>21</v>
      </c>
      <c r="N6008" s="1" t="s">
        <v>22</v>
      </c>
      <c r="O6008" s="2">
        <v>46045</v>
      </c>
      <c r="P6008" s="2">
        <v>46045</v>
      </c>
      <c r="Q6008">
        <f>_xlfn.XLOOKUP(E6008,CPT!$A$2:$A$13,CPT!$D$2:$D$13)</f>
        <v>1050</v>
      </c>
      <c r="R6008" s="1">
        <f>_xlfn.XLOOKUP(C6008,Contract!$A$2:$A$9,Contract!$B$2:$B$9)</f>
        <v>0.45</v>
      </c>
      <c r="S6008" s="1">
        <f t="shared" si="372"/>
        <v>472.5</v>
      </c>
      <c r="T6008" s="1">
        <f t="shared" si="373"/>
        <v>-36.779999999999973</v>
      </c>
      <c r="U6008" s="1" t="str">
        <f t="shared" si="374"/>
        <v>OK</v>
      </c>
      <c r="V6008" s="1" t="str">
        <f>_xlfn.XLOOKUP(C6008,Payers!$A$2:$A$9,Payers!$B$2:$B$9)</f>
        <v>Blue Horizon Commercial</v>
      </c>
      <c r="W6008" s="1" t="str">
        <f t="shared" si="375"/>
        <v>2025-12</v>
      </c>
    </row>
    <row r="6009" spans="1:23">
      <c r="A6009" s="1" t="s">
        <v>8935</v>
      </c>
      <c r="B6009" s="1" t="s">
        <v>3131</v>
      </c>
      <c r="C6009" s="1" t="s">
        <v>18</v>
      </c>
      <c r="D6009" s="1" t="s">
        <v>26</v>
      </c>
      <c r="E6009" s="1" t="s">
        <v>44</v>
      </c>
      <c r="F6009">
        <v>1</v>
      </c>
      <c r="G6009" s="2">
        <v>46055</v>
      </c>
      <c r="H6009" s="2">
        <v>46070</v>
      </c>
      <c r="I6009">
        <v>4861</v>
      </c>
      <c r="J6009">
        <v>1584.29</v>
      </c>
      <c r="K6009">
        <v>1425.86</v>
      </c>
      <c r="L6009">
        <v>158.43</v>
      </c>
      <c r="M6009" s="1" t="s">
        <v>21</v>
      </c>
      <c r="N6009" s="1" t="s">
        <v>22</v>
      </c>
      <c r="O6009" s="2">
        <v>46096</v>
      </c>
      <c r="P6009" s="2">
        <v>46096</v>
      </c>
      <c r="Q6009">
        <f>_xlfn.XLOOKUP(E6009,CPT!$A$2:$A$13,CPT!$D$2:$D$13)</f>
        <v>4800</v>
      </c>
      <c r="R6009" s="1">
        <f>_xlfn.XLOOKUP(C6009,Contract!$A$2:$A$9,Contract!$B$2:$B$9)</f>
        <v>0.38</v>
      </c>
      <c r="S6009" s="1">
        <f t="shared" si="372"/>
        <v>1824</v>
      </c>
      <c r="T6009" s="1">
        <f t="shared" si="373"/>
        <v>239.71000000000004</v>
      </c>
      <c r="U6009" s="1" t="str">
        <f t="shared" si="374"/>
        <v>Underpaid</v>
      </c>
      <c r="V6009" s="1" t="str">
        <f>_xlfn.XLOOKUP(C6009,Payers!$A$2:$A$9,Payers!$B$2:$B$9)</f>
        <v>Sunshine Medicare Advantage</v>
      </c>
      <c r="W6009" s="1" t="str">
        <f t="shared" si="375"/>
        <v>2026-02</v>
      </c>
    </row>
    <row r="6010" spans="1:23">
      <c r="A6010" s="1" t="s">
        <v>8936</v>
      </c>
      <c r="B6010" s="1" t="s">
        <v>504</v>
      </c>
      <c r="C6010" s="1" t="s">
        <v>76</v>
      </c>
      <c r="D6010" s="1" t="s">
        <v>30</v>
      </c>
      <c r="E6010" s="1" t="s">
        <v>31</v>
      </c>
      <c r="F6010">
        <v>2</v>
      </c>
      <c r="G6010" s="2">
        <v>45964</v>
      </c>
      <c r="H6010" s="2">
        <v>45965</v>
      </c>
      <c r="I6010">
        <v>120.73</v>
      </c>
      <c r="J6010">
        <v>57.29</v>
      </c>
      <c r="K6010">
        <v>51.56</v>
      </c>
      <c r="L6010">
        <v>5.73</v>
      </c>
      <c r="M6010" s="1" t="s">
        <v>21</v>
      </c>
      <c r="N6010" s="1" t="s">
        <v>22</v>
      </c>
      <c r="O6010" s="2">
        <v>45994</v>
      </c>
      <c r="P6010" s="2">
        <v>45994</v>
      </c>
      <c r="Q6010">
        <f>_xlfn.XLOOKUP(E6010,CPT!$A$2:$A$13,CPT!$D$2:$D$13)</f>
        <v>62</v>
      </c>
      <c r="R6010" s="1">
        <f>_xlfn.XLOOKUP(C6010,Contract!$A$2:$A$9,Contract!$B$2:$B$9)</f>
        <v>0.43</v>
      </c>
      <c r="S6010" s="1">
        <f t="shared" si="372"/>
        <v>53.32</v>
      </c>
      <c r="T6010" s="1">
        <f t="shared" si="373"/>
        <v>-3.9699999999999989</v>
      </c>
      <c r="U6010" s="1" t="str">
        <f t="shared" si="374"/>
        <v>OK</v>
      </c>
      <c r="V6010" s="1" t="str">
        <f>_xlfn.XLOOKUP(C6010,Payers!$A$2:$A$9,Payers!$B$2:$B$9)</f>
        <v>Summit Health Commercial</v>
      </c>
      <c r="W6010" s="1" t="str">
        <f t="shared" si="375"/>
        <v>2025-11</v>
      </c>
    </row>
    <row r="6011" spans="1:23">
      <c r="A6011" s="1" t="s">
        <v>8937</v>
      </c>
      <c r="B6011" s="1" t="s">
        <v>8938</v>
      </c>
      <c r="C6011" s="1" t="s">
        <v>76</v>
      </c>
      <c r="D6011" s="1" t="s">
        <v>30</v>
      </c>
      <c r="E6011" s="1" t="s">
        <v>31</v>
      </c>
      <c r="F6011">
        <v>3</v>
      </c>
      <c r="G6011" s="2">
        <v>46226</v>
      </c>
      <c r="H6011" s="2">
        <v>46227</v>
      </c>
      <c r="I6011">
        <v>183.21</v>
      </c>
      <c r="J6011">
        <v>71.11</v>
      </c>
      <c r="K6011">
        <v>71.11</v>
      </c>
      <c r="L6011">
        <v>0</v>
      </c>
      <c r="M6011" s="1" t="s">
        <v>21</v>
      </c>
      <c r="N6011" s="1" t="s">
        <v>22</v>
      </c>
      <c r="O6011" s="2">
        <v>46254</v>
      </c>
      <c r="P6011" s="2">
        <v>46254</v>
      </c>
      <c r="Q6011">
        <f>_xlfn.XLOOKUP(E6011,CPT!$A$2:$A$13,CPT!$D$2:$D$13)</f>
        <v>62</v>
      </c>
      <c r="R6011" s="1">
        <f>_xlfn.XLOOKUP(C6011,Contract!$A$2:$A$9,Contract!$B$2:$B$9)</f>
        <v>0.43</v>
      </c>
      <c r="S6011" s="1">
        <f t="shared" si="372"/>
        <v>79.98</v>
      </c>
      <c r="T6011" s="1">
        <f t="shared" si="373"/>
        <v>8.8700000000000045</v>
      </c>
      <c r="U6011" s="1" t="str">
        <f t="shared" si="374"/>
        <v>Underpaid</v>
      </c>
      <c r="V6011" s="1" t="str">
        <f>_xlfn.XLOOKUP(C6011,Payers!$A$2:$A$9,Payers!$B$2:$B$9)</f>
        <v>Summit Health Commercial</v>
      </c>
      <c r="W6011" s="1" t="str">
        <f t="shared" si="375"/>
        <v>2026-07</v>
      </c>
    </row>
    <row r="6012" spans="1:23">
      <c r="A6012" s="1" t="s">
        <v>8939</v>
      </c>
      <c r="B6012" s="1" t="s">
        <v>3085</v>
      </c>
      <c r="C6012" s="1" t="s">
        <v>52</v>
      </c>
      <c r="D6012" s="1" t="s">
        <v>26</v>
      </c>
      <c r="E6012" s="1" t="s">
        <v>27</v>
      </c>
      <c r="F6012">
        <v>1</v>
      </c>
      <c r="G6012" s="2">
        <v>45944</v>
      </c>
      <c r="H6012" s="2">
        <v>45956</v>
      </c>
      <c r="I6012">
        <v>237.25</v>
      </c>
      <c r="J6012">
        <v>98.28</v>
      </c>
      <c r="K6012">
        <v>98.28</v>
      </c>
      <c r="L6012">
        <v>0</v>
      </c>
      <c r="M6012" s="1" t="s">
        <v>21</v>
      </c>
      <c r="N6012" s="1" t="s">
        <v>22</v>
      </c>
      <c r="O6012" s="2">
        <v>46029</v>
      </c>
      <c r="P6012" s="2">
        <v>46029</v>
      </c>
      <c r="Q6012">
        <f>_xlfn.XLOOKUP(E6012,CPT!$A$2:$A$13,CPT!$D$2:$D$13)</f>
        <v>240</v>
      </c>
      <c r="R6012" s="1">
        <f>_xlfn.XLOOKUP(C6012,Contract!$A$2:$A$9,Contract!$B$2:$B$9)</f>
        <v>0.47</v>
      </c>
      <c r="S6012" s="1">
        <f t="shared" si="372"/>
        <v>112.8</v>
      </c>
      <c r="T6012" s="1">
        <f t="shared" si="373"/>
        <v>14.519999999999996</v>
      </c>
      <c r="U6012" s="1" t="str">
        <f t="shared" si="374"/>
        <v>Underpaid</v>
      </c>
      <c r="V6012" s="1" t="str">
        <f>_xlfn.XLOOKUP(C6012,Payers!$A$2:$A$9,Payers!$B$2:$B$9)</f>
        <v>Keystone Commercial PPO</v>
      </c>
      <c r="W6012" s="1" t="str">
        <f t="shared" si="375"/>
        <v>2025-10</v>
      </c>
    </row>
    <row r="6013" spans="1:23">
      <c r="A6013" s="1" t="s">
        <v>8940</v>
      </c>
      <c r="B6013" s="1" t="s">
        <v>2023</v>
      </c>
      <c r="C6013" s="1" t="s">
        <v>60</v>
      </c>
      <c r="D6013" s="1" t="s">
        <v>26</v>
      </c>
      <c r="E6013" s="1" t="s">
        <v>88</v>
      </c>
      <c r="F6013">
        <v>1</v>
      </c>
      <c r="G6013" s="2">
        <v>46274</v>
      </c>
      <c r="H6013" s="2">
        <v>46275</v>
      </c>
      <c r="I6013">
        <v>263.10000000000002</v>
      </c>
      <c r="M6013" s="1" t="s">
        <v>69</v>
      </c>
      <c r="N6013" s="1" t="s">
        <v>22</v>
      </c>
      <c r="O6013" s="2"/>
      <c r="P6013" s="2"/>
      <c r="Q6013">
        <f>_xlfn.XLOOKUP(E6013,CPT!$A$2:$A$13,CPT!$D$2:$D$13)</f>
        <v>260</v>
      </c>
      <c r="R6013" s="1">
        <f>_xlfn.XLOOKUP(C6013,Contract!$A$2:$A$9,Contract!$B$2:$B$9)</f>
        <v>0.45</v>
      </c>
      <c r="S6013" s="1">
        <f t="shared" si="372"/>
        <v>117</v>
      </c>
      <c r="T6013" s="1" t="str">
        <f t="shared" si="373"/>
        <v/>
      </c>
      <c r="U6013" s="1" t="str">
        <f t="shared" si="374"/>
        <v/>
      </c>
      <c r="V6013" s="1" t="str">
        <f>_xlfn.XLOOKUP(C6013,Payers!$A$2:$A$9,Payers!$B$2:$B$9)</f>
        <v>Blue Horizon Commercial</v>
      </c>
      <c r="W6013" s="1" t="str">
        <f t="shared" si="375"/>
        <v>2026-09</v>
      </c>
    </row>
    <row r="6014" spans="1:23">
      <c r="A6014" s="1" t="s">
        <v>8941</v>
      </c>
      <c r="B6014" s="1" t="s">
        <v>5575</v>
      </c>
      <c r="C6014" s="1" t="s">
        <v>18</v>
      </c>
      <c r="D6014" s="1" t="s">
        <v>26</v>
      </c>
      <c r="E6014" s="1" t="s">
        <v>27</v>
      </c>
      <c r="F6014">
        <v>1</v>
      </c>
      <c r="G6014" s="2">
        <v>46130</v>
      </c>
      <c r="H6014" s="2">
        <v>46142</v>
      </c>
      <c r="I6014">
        <v>239.59</v>
      </c>
      <c r="J6014">
        <v>94.33</v>
      </c>
      <c r="K6014">
        <v>84.9</v>
      </c>
      <c r="L6014">
        <v>9.43</v>
      </c>
      <c r="M6014" s="1" t="s">
        <v>21</v>
      </c>
      <c r="N6014" s="1" t="s">
        <v>22</v>
      </c>
      <c r="O6014" s="2">
        <v>46190</v>
      </c>
      <c r="P6014" s="2">
        <v>46190</v>
      </c>
      <c r="Q6014">
        <f>_xlfn.XLOOKUP(E6014,CPT!$A$2:$A$13,CPT!$D$2:$D$13)</f>
        <v>240</v>
      </c>
      <c r="R6014" s="1">
        <f>_xlfn.XLOOKUP(C6014,Contract!$A$2:$A$9,Contract!$B$2:$B$9)</f>
        <v>0.38</v>
      </c>
      <c r="S6014" s="1">
        <f t="shared" si="372"/>
        <v>91.2</v>
      </c>
      <c r="T6014" s="1">
        <f t="shared" si="373"/>
        <v>-3.1299999999999955</v>
      </c>
      <c r="U6014" s="1" t="str">
        <f t="shared" si="374"/>
        <v>OK</v>
      </c>
      <c r="V6014" s="1" t="str">
        <f>_xlfn.XLOOKUP(C6014,Payers!$A$2:$A$9,Payers!$B$2:$B$9)</f>
        <v>Sunshine Medicare Advantage</v>
      </c>
      <c r="W6014" s="1" t="str">
        <f t="shared" si="375"/>
        <v>2026-04</v>
      </c>
    </row>
    <row r="6015" spans="1:23">
      <c r="A6015" s="1" t="s">
        <v>8942</v>
      </c>
      <c r="B6015" s="1" t="s">
        <v>582</v>
      </c>
      <c r="C6015" s="1" t="s">
        <v>52</v>
      </c>
      <c r="D6015" s="1" t="s">
        <v>37</v>
      </c>
      <c r="E6015" s="1" t="s">
        <v>38</v>
      </c>
      <c r="F6015">
        <v>10</v>
      </c>
      <c r="G6015" s="2">
        <v>46050</v>
      </c>
      <c r="H6015" s="2">
        <v>46052</v>
      </c>
      <c r="I6015">
        <v>14670.08</v>
      </c>
      <c r="M6015" s="1" t="s">
        <v>32</v>
      </c>
      <c r="N6015" s="1" t="s">
        <v>315</v>
      </c>
      <c r="O6015" s="2">
        <v>46098</v>
      </c>
      <c r="P6015" s="2"/>
      <c r="Q6015">
        <f>_xlfn.XLOOKUP(E6015,CPT!$A$2:$A$13,CPT!$D$2:$D$13)</f>
        <v>1450</v>
      </c>
      <c r="R6015" s="1">
        <f>_xlfn.XLOOKUP(C6015,Contract!$A$2:$A$9,Contract!$B$2:$B$9)</f>
        <v>0.47</v>
      </c>
      <c r="S6015" s="1">
        <f t="shared" si="372"/>
        <v>6815</v>
      </c>
      <c r="T6015" s="1" t="str">
        <f t="shared" si="373"/>
        <v/>
      </c>
      <c r="U6015" s="1" t="str">
        <f t="shared" si="374"/>
        <v/>
      </c>
      <c r="V6015" s="1" t="str">
        <f>_xlfn.XLOOKUP(C6015,Payers!$A$2:$A$9,Payers!$B$2:$B$9)</f>
        <v>Keystone Commercial PPO</v>
      </c>
      <c r="W6015" s="1" t="str">
        <f t="shared" si="375"/>
        <v>2026-01</v>
      </c>
    </row>
    <row r="6016" spans="1:23">
      <c r="A6016" s="1" t="s">
        <v>8943</v>
      </c>
      <c r="B6016" s="1" t="s">
        <v>928</v>
      </c>
      <c r="C6016" s="1" t="s">
        <v>52</v>
      </c>
      <c r="D6016" s="1" t="s">
        <v>19</v>
      </c>
      <c r="E6016" s="1" t="s">
        <v>41</v>
      </c>
      <c r="F6016">
        <v>1</v>
      </c>
      <c r="G6016" s="2">
        <v>46094</v>
      </c>
      <c r="H6016" s="2">
        <v>46096</v>
      </c>
      <c r="I6016">
        <v>37.619999999999997</v>
      </c>
      <c r="J6016">
        <v>17.09</v>
      </c>
      <c r="K6016">
        <v>15.38</v>
      </c>
      <c r="L6016">
        <v>1.71</v>
      </c>
      <c r="M6016" s="1" t="s">
        <v>21</v>
      </c>
      <c r="N6016" s="1" t="s">
        <v>22</v>
      </c>
      <c r="O6016" s="2">
        <v>46141</v>
      </c>
      <c r="P6016" s="2">
        <v>46141</v>
      </c>
      <c r="Q6016">
        <f>_xlfn.XLOOKUP(E6016,CPT!$A$2:$A$13,CPT!$D$2:$D$13)</f>
        <v>38</v>
      </c>
      <c r="R6016" s="1">
        <f>_xlfn.XLOOKUP(C6016,Contract!$A$2:$A$9,Contract!$B$2:$B$9)</f>
        <v>0.47</v>
      </c>
      <c r="S6016" s="1">
        <f t="shared" si="372"/>
        <v>17.86</v>
      </c>
      <c r="T6016" s="1">
        <f t="shared" si="373"/>
        <v>0.76999999999999957</v>
      </c>
      <c r="U6016" s="1" t="str">
        <f t="shared" si="374"/>
        <v>OK</v>
      </c>
      <c r="V6016" s="1" t="str">
        <f>_xlfn.XLOOKUP(C6016,Payers!$A$2:$A$9,Payers!$B$2:$B$9)</f>
        <v>Keystone Commercial PPO</v>
      </c>
      <c r="W6016" s="1" t="str">
        <f t="shared" si="375"/>
        <v>2026-03</v>
      </c>
    </row>
    <row r="6017" spans="1:23">
      <c r="A6017" s="1" t="s">
        <v>8944</v>
      </c>
      <c r="B6017" s="1" t="s">
        <v>6604</v>
      </c>
      <c r="C6017" s="1" t="s">
        <v>60</v>
      </c>
      <c r="D6017" s="1" t="s">
        <v>19</v>
      </c>
      <c r="E6017" s="1" t="s">
        <v>41</v>
      </c>
      <c r="F6017">
        <v>1</v>
      </c>
      <c r="G6017" s="2">
        <v>46204</v>
      </c>
      <c r="H6017" s="2">
        <v>46205</v>
      </c>
      <c r="I6017">
        <v>39</v>
      </c>
      <c r="J6017">
        <v>18.07</v>
      </c>
      <c r="K6017">
        <v>14.46</v>
      </c>
      <c r="L6017">
        <v>3.61</v>
      </c>
      <c r="M6017" s="1" t="s">
        <v>21</v>
      </c>
      <c r="N6017" s="1" t="s">
        <v>22</v>
      </c>
      <c r="O6017" s="2">
        <v>46237</v>
      </c>
      <c r="P6017" s="2">
        <v>46237</v>
      </c>
      <c r="Q6017">
        <f>_xlfn.XLOOKUP(E6017,CPT!$A$2:$A$13,CPT!$D$2:$D$13)</f>
        <v>38</v>
      </c>
      <c r="R6017" s="1">
        <f>_xlfn.XLOOKUP(C6017,Contract!$A$2:$A$9,Contract!$B$2:$B$9)</f>
        <v>0.45</v>
      </c>
      <c r="S6017" s="1">
        <f t="shared" si="372"/>
        <v>17.100000000000001</v>
      </c>
      <c r="T6017" s="1">
        <f t="shared" si="373"/>
        <v>-0.96999999999999886</v>
      </c>
      <c r="U6017" s="1" t="str">
        <f t="shared" si="374"/>
        <v>OK</v>
      </c>
      <c r="V6017" s="1" t="str">
        <f>_xlfn.XLOOKUP(C6017,Payers!$A$2:$A$9,Payers!$B$2:$B$9)</f>
        <v>Blue Horizon Commercial</v>
      </c>
      <c r="W6017" s="1" t="str">
        <f t="shared" si="375"/>
        <v>2026-07</v>
      </c>
    </row>
    <row r="6018" spans="1:23">
      <c r="A6018" s="1" t="s">
        <v>8945</v>
      </c>
      <c r="B6018" s="1" t="s">
        <v>1349</v>
      </c>
      <c r="C6018" s="1" t="s">
        <v>18</v>
      </c>
      <c r="D6018" s="1" t="s">
        <v>19</v>
      </c>
      <c r="E6018" s="1" t="s">
        <v>57</v>
      </c>
      <c r="F6018">
        <v>1</v>
      </c>
      <c r="G6018" s="2">
        <v>46261</v>
      </c>
      <c r="H6018" s="2">
        <v>46263</v>
      </c>
      <c r="I6018">
        <v>211.65</v>
      </c>
      <c r="M6018" s="1" t="s">
        <v>69</v>
      </c>
      <c r="N6018" s="1" t="s">
        <v>22</v>
      </c>
      <c r="O6018" s="2"/>
      <c r="P6018" s="2"/>
      <c r="Q6018">
        <f>_xlfn.XLOOKUP(E6018,CPT!$A$2:$A$13,CPT!$D$2:$D$13)</f>
        <v>210</v>
      </c>
      <c r="R6018" s="1">
        <f>_xlfn.XLOOKUP(C6018,Contract!$A$2:$A$9,Contract!$B$2:$B$9)</f>
        <v>0.38</v>
      </c>
      <c r="S6018" s="1">
        <f t="shared" ref="S6018:S6081" si="376">ROUND(Q6018*F6018*R6018,2)</f>
        <v>79.8</v>
      </c>
      <c r="T6018" s="1" t="str">
        <f t="shared" ref="T6018:T6081" si="377">IF(M6018="Paid",S6018-J6018,"")</f>
        <v/>
      </c>
      <c r="U6018" s="1" t="str">
        <f t="shared" ref="U6018:U6081" si="378">IF(M6018&lt;&gt;"Paid","",IF(T6018&gt;S6018*0.05,"Underpaid","OK"))</f>
        <v/>
      </c>
      <c r="V6018" s="1" t="str">
        <f>_xlfn.XLOOKUP(C6018,Payers!$A$2:$A$9,Payers!$B$2:$B$9)</f>
        <v>Sunshine Medicare Advantage</v>
      </c>
      <c r="W6018" s="1" t="str">
        <f t="shared" ref="W6018:W6081" si="379">TEXT(G6018,"yyyy-mm")</f>
        <v>2026-08</v>
      </c>
    </row>
    <row r="6019" spans="1:23">
      <c r="A6019" s="1" t="s">
        <v>8946</v>
      </c>
      <c r="B6019" s="1" t="s">
        <v>71</v>
      </c>
      <c r="C6019" s="1" t="s">
        <v>76</v>
      </c>
      <c r="D6019" s="1" t="s">
        <v>26</v>
      </c>
      <c r="E6019" s="1" t="s">
        <v>57</v>
      </c>
      <c r="F6019">
        <v>1</v>
      </c>
      <c r="G6019" s="2">
        <v>45988</v>
      </c>
      <c r="H6019" s="2">
        <v>45990</v>
      </c>
      <c r="I6019">
        <v>213.85</v>
      </c>
      <c r="M6019" s="1" t="s">
        <v>32</v>
      </c>
      <c r="N6019" s="1" t="s">
        <v>168</v>
      </c>
      <c r="O6019" s="2">
        <v>46026</v>
      </c>
      <c r="P6019" s="2"/>
      <c r="Q6019">
        <f>_xlfn.XLOOKUP(E6019,CPT!$A$2:$A$13,CPT!$D$2:$D$13)</f>
        <v>210</v>
      </c>
      <c r="R6019" s="1">
        <f>_xlfn.XLOOKUP(C6019,Contract!$A$2:$A$9,Contract!$B$2:$B$9)</f>
        <v>0.43</v>
      </c>
      <c r="S6019" s="1">
        <f t="shared" si="376"/>
        <v>90.3</v>
      </c>
      <c r="T6019" s="1" t="str">
        <f t="shared" si="377"/>
        <v/>
      </c>
      <c r="U6019" s="1" t="str">
        <f t="shared" si="378"/>
        <v/>
      </c>
      <c r="V6019" s="1" t="str">
        <f>_xlfn.XLOOKUP(C6019,Payers!$A$2:$A$9,Payers!$B$2:$B$9)</f>
        <v>Summit Health Commercial</v>
      </c>
      <c r="W6019" s="1" t="str">
        <f t="shared" si="379"/>
        <v>2025-11</v>
      </c>
    </row>
    <row r="6020" spans="1:23">
      <c r="A6020" s="1" t="s">
        <v>8947</v>
      </c>
      <c r="B6020" s="1" t="s">
        <v>3540</v>
      </c>
      <c r="C6020" s="1" t="s">
        <v>18</v>
      </c>
      <c r="D6020" s="1" t="s">
        <v>26</v>
      </c>
      <c r="E6020" s="1" t="s">
        <v>57</v>
      </c>
      <c r="F6020">
        <v>1</v>
      </c>
      <c r="G6020" s="2">
        <v>46024</v>
      </c>
      <c r="H6020" s="2">
        <v>46027</v>
      </c>
      <c r="I6020">
        <v>207.29</v>
      </c>
      <c r="J6020">
        <v>70.959999999999994</v>
      </c>
      <c r="K6020">
        <v>56.77</v>
      </c>
      <c r="L6020">
        <v>14.19</v>
      </c>
      <c r="M6020" s="1" t="s">
        <v>21</v>
      </c>
      <c r="N6020" s="1" t="s">
        <v>22</v>
      </c>
      <c r="O6020" s="2">
        <v>46043</v>
      </c>
      <c r="P6020" s="2">
        <v>46043</v>
      </c>
      <c r="Q6020">
        <f>_xlfn.XLOOKUP(E6020,CPT!$A$2:$A$13,CPT!$D$2:$D$13)</f>
        <v>210</v>
      </c>
      <c r="R6020" s="1">
        <f>_xlfn.XLOOKUP(C6020,Contract!$A$2:$A$9,Contract!$B$2:$B$9)</f>
        <v>0.38</v>
      </c>
      <c r="S6020" s="1">
        <f t="shared" si="376"/>
        <v>79.8</v>
      </c>
      <c r="T6020" s="1">
        <f t="shared" si="377"/>
        <v>8.8400000000000034</v>
      </c>
      <c r="U6020" s="1" t="str">
        <f t="shared" si="378"/>
        <v>Underpaid</v>
      </c>
      <c r="V6020" s="1" t="str">
        <f>_xlfn.XLOOKUP(C6020,Payers!$A$2:$A$9,Payers!$B$2:$B$9)</f>
        <v>Sunshine Medicare Advantage</v>
      </c>
      <c r="W6020" s="1" t="str">
        <f t="shared" si="379"/>
        <v>2026-01</v>
      </c>
    </row>
    <row r="6021" spans="1:23">
      <c r="A6021" s="1" t="s">
        <v>8948</v>
      </c>
      <c r="B6021" s="1" t="s">
        <v>8281</v>
      </c>
      <c r="C6021" s="1" t="s">
        <v>25</v>
      </c>
      <c r="D6021" s="1" t="s">
        <v>19</v>
      </c>
      <c r="E6021" s="1" t="s">
        <v>57</v>
      </c>
      <c r="F6021">
        <v>1</v>
      </c>
      <c r="G6021" s="2">
        <v>46028</v>
      </c>
      <c r="H6021" s="2">
        <v>46030</v>
      </c>
      <c r="I6021">
        <v>205</v>
      </c>
      <c r="J6021">
        <v>66.37</v>
      </c>
      <c r="K6021">
        <v>66.37</v>
      </c>
      <c r="L6021">
        <v>0</v>
      </c>
      <c r="M6021" s="1" t="s">
        <v>21</v>
      </c>
      <c r="N6021" s="1" t="s">
        <v>22</v>
      </c>
      <c r="O6021" s="2">
        <v>46043</v>
      </c>
      <c r="P6021" s="2">
        <v>46043</v>
      </c>
      <c r="Q6021">
        <f>_xlfn.XLOOKUP(E6021,CPT!$A$2:$A$13,CPT!$D$2:$D$13)</f>
        <v>210</v>
      </c>
      <c r="R6021" s="1">
        <f>_xlfn.XLOOKUP(C6021,Contract!$A$2:$A$9,Contract!$B$2:$B$9)</f>
        <v>0.36</v>
      </c>
      <c r="S6021" s="1">
        <f t="shared" si="376"/>
        <v>75.599999999999994</v>
      </c>
      <c r="T6021" s="1">
        <f t="shared" si="377"/>
        <v>9.2299999999999898</v>
      </c>
      <c r="U6021" s="1" t="str">
        <f t="shared" si="378"/>
        <v>Underpaid</v>
      </c>
      <c r="V6021" s="1" t="str">
        <f>_xlfn.XLOOKUP(C6021,Payers!$A$2:$A$9,Payers!$B$2:$B$9)</f>
        <v>Medicare Part B</v>
      </c>
      <c r="W6021" s="1" t="str">
        <f t="shared" si="379"/>
        <v>2026-01</v>
      </c>
    </row>
    <row r="6022" spans="1:23">
      <c r="A6022" s="1" t="s">
        <v>8949</v>
      </c>
      <c r="B6022" s="1" t="s">
        <v>7145</v>
      </c>
      <c r="C6022" s="1" t="s">
        <v>76</v>
      </c>
      <c r="D6022" s="1" t="s">
        <v>37</v>
      </c>
      <c r="E6022" s="1" t="s">
        <v>57</v>
      </c>
      <c r="F6022">
        <v>1</v>
      </c>
      <c r="G6022" s="2">
        <v>46204</v>
      </c>
      <c r="H6022" s="2">
        <v>46207</v>
      </c>
      <c r="I6022">
        <v>206.85</v>
      </c>
      <c r="J6022">
        <v>82.63</v>
      </c>
      <c r="K6022">
        <v>74.37</v>
      </c>
      <c r="L6022">
        <v>8.26</v>
      </c>
      <c r="M6022" s="1" t="s">
        <v>21</v>
      </c>
      <c r="N6022" s="1" t="s">
        <v>22</v>
      </c>
      <c r="O6022" s="2">
        <v>46240</v>
      </c>
      <c r="P6022" s="2">
        <v>46240</v>
      </c>
      <c r="Q6022">
        <f>_xlfn.XLOOKUP(E6022,CPT!$A$2:$A$13,CPT!$D$2:$D$13)</f>
        <v>210</v>
      </c>
      <c r="R6022" s="1">
        <f>_xlfn.XLOOKUP(C6022,Contract!$A$2:$A$9,Contract!$B$2:$B$9)</f>
        <v>0.43</v>
      </c>
      <c r="S6022" s="1">
        <f t="shared" si="376"/>
        <v>90.3</v>
      </c>
      <c r="T6022" s="1">
        <f t="shared" si="377"/>
        <v>7.6700000000000017</v>
      </c>
      <c r="U6022" s="1" t="str">
        <f t="shared" si="378"/>
        <v>Underpaid</v>
      </c>
      <c r="V6022" s="1" t="str">
        <f>_xlfn.XLOOKUP(C6022,Payers!$A$2:$A$9,Payers!$B$2:$B$9)</f>
        <v>Summit Health Commercial</v>
      </c>
      <c r="W6022" s="1" t="str">
        <f t="shared" si="379"/>
        <v>2026-07</v>
      </c>
    </row>
    <row r="6023" spans="1:23">
      <c r="A6023" s="1" t="s">
        <v>8950</v>
      </c>
      <c r="B6023" s="1" t="s">
        <v>1546</v>
      </c>
      <c r="C6023" s="1" t="s">
        <v>76</v>
      </c>
      <c r="D6023" s="1" t="s">
        <v>19</v>
      </c>
      <c r="E6023" s="1" t="s">
        <v>57</v>
      </c>
      <c r="F6023">
        <v>1</v>
      </c>
      <c r="G6023" s="2">
        <v>46247</v>
      </c>
      <c r="H6023" s="2">
        <v>46253</v>
      </c>
      <c r="I6023">
        <v>215.91</v>
      </c>
      <c r="J6023">
        <v>103.18</v>
      </c>
      <c r="K6023">
        <v>82.54</v>
      </c>
      <c r="L6023">
        <v>20.64</v>
      </c>
      <c r="M6023" s="1" t="s">
        <v>21</v>
      </c>
      <c r="N6023" s="1" t="s">
        <v>22</v>
      </c>
      <c r="O6023" s="2">
        <v>46285</v>
      </c>
      <c r="P6023" s="2">
        <v>46285</v>
      </c>
      <c r="Q6023">
        <f>_xlfn.XLOOKUP(E6023,CPT!$A$2:$A$13,CPT!$D$2:$D$13)</f>
        <v>210</v>
      </c>
      <c r="R6023" s="1">
        <f>_xlfn.XLOOKUP(C6023,Contract!$A$2:$A$9,Contract!$B$2:$B$9)</f>
        <v>0.43</v>
      </c>
      <c r="S6023" s="1">
        <f t="shared" si="376"/>
        <v>90.3</v>
      </c>
      <c r="T6023" s="1">
        <f t="shared" si="377"/>
        <v>-12.88000000000001</v>
      </c>
      <c r="U6023" s="1" t="str">
        <f t="shared" si="378"/>
        <v>OK</v>
      </c>
      <c r="V6023" s="1" t="str">
        <f>_xlfn.XLOOKUP(C6023,Payers!$A$2:$A$9,Payers!$B$2:$B$9)</f>
        <v>Summit Health Commercial</v>
      </c>
      <c r="W6023" s="1" t="str">
        <f t="shared" si="379"/>
        <v>2026-08</v>
      </c>
    </row>
    <row r="6024" spans="1:23">
      <c r="A6024" s="1" t="s">
        <v>8951</v>
      </c>
      <c r="B6024" s="1" t="s">
        <v>7932</v>
      </c>
      <c r="C6024" s="1" t="s">
        <v>60</v>
      </c>
      <c r="D6024" s="1" t="s">
        <v>19</v>
      </c>
      <c r="E6024" s="1" t="s">
        <v>41</v>
      </c>
      <c r="F6024">
        <v>1</v>
      </c>
      <c r="G6024" s="2">
        <v>46099</v>
      </c>
      <c r="H6024" s="2">
        <v>46105</v>
      </c>
      <c r="I6024">
        <v>38.49</v>
      </c>
      <c r="J6024">
        <v>19.420000000000002</v>
      </c>
      <c r="K6024">
        <v>15.54</v>
      </c>
      <c r="L6024">
        <v>3.88</v>
      </c>
      <c r="M6024" s="1" t="s">
        <v>21</v>
      </c>
      <c r="N6024" s="1" t="s">
        <v>22</v>
      </c>
      <c r="O6024" s="2">
        <v>46141</v>
      </c>
      <c r="P6024" s="2">
        <v>46141</v>
      </c>
      <c r="Q6024">
        <f>_xlfn.XLOOKUP(E6024,CPT!$A$2:$A$13,CPT!$D$2:$D$13)</f>
        <v>38</v>
      </c>
      <c r="R6024" s="1">
        <f>_xlfn.XLOOKUP(C6024,Contract!$A$2:$A$9,Contract!$B$2:$B$9)</f>
        <v>0.45</v>
      </c>
      <c r="S6024" s="1">
        <f t="shared" si="376"/>
        <v>17.100000000000001</v>
      </c>
      <c r="T6024" s="1">
        <f t="shared" si="377"/>
        <v>-2.3200000000000003</v>
      </c>
      <c r="U6024" s="1" t="str">
        <f t="shared" si="378"/>
        <v>OK</v>
      </c>
      <c r="V6024" s="1" t="str">
        <f>_xlfn.XLOOKUP(C6024,Payers!$A$2:$A$9,Payers!$B$2:$B$9)</f>
        <v>Blue Horizon Commercial</v>
      </c>
      <c r="W6024" s="1" t="str">
        <f t="shared" si="379"/>
        <v>2026-03</v>
      </c>
    </row>
    <row r="6025" spans="1:23">
      <c r="A6025" s="1" t="s">
        <v>8952</v>
      </c>
      <c r="B6025" s="1" t="s">
        <v>4188</v>
      </c>
      <c r="C6025" s="1" t="s">
        <v>76</v>
      </c>
      <c r="D6025" s="1" t="s">
        <v>19</v>
      </c>
      <c r="E6025" s="1" t="s">
        <v>88</v>
      </c>
      <c r="F6025">
        <v>1</v>
      </c>
      <c r="G6025" s="2">
        <v>46164</v>
      </c>
      <c r="H6025" s="2">
        <v>46171</v>
      </c>
      <c r="I6025">
        <v>265.89</v>
      </c>
      <c r="J6025">
        <v>127.34</v>
      </c>
      <c r="K6025">
        <v>127.34</v>
      </c>
      <c r="L6025">
        <v>0</v>
      </c>
      <c r="M6025" s="1" t="s">
        <v>21</v>
      </c>
      <c r="N6025" s="1" t="s">
        <v>22</v>
      </c>
      <c r="O6025" s="2">
        <v>46213</v>
      </c>
      <c r="P6025" s="2">
        <v>46213</v>
      </c>
      <c r="Q6025">
        <f>_xlfn.XLOOKUP(E6025,CPT!$A$2:$A$13,CPT!$D$2:$D$13)</f>
        <v>260</v>
      </c>
      <c r="R6025" s="1">
        <f>_xlfn.XLOOKUP(C6025,Contract!$A$2:$A$9,Contract!$B$2:$B$9)</f>
        <v>0.43</v>
      </c>
      <c r="S6025" s="1">
        <f t="shared" si="376"/>
        <v>111.8</v>
      </c>
      <c r="T6025" s="1">
        <f t="shared" si="377"/>
        <v>-15.540000000000006</v>
      </c>
      <c r="U6025" s="1" t="str">
        <f t="shared" si="378"/>
        <v>OK</v>
      </c>
      <c r="V6025" s="1" t="str">
        <f>_xlfn.XLOOKUP(C6025,Payers!$A$2:$A$9,Payers!$B$2:$B$9)</f>
        <v>Summit Health Commercial</v>
      </c>
      <c r="W6025" s="1" t="str">
        <f t="shared" si="379"/>
        <v>2026-05</v>
      </c>
    </row>
    <row r="6026" spans="1:23">
      <c r="A6026" s="1" t="s">
        <v>8953</v>
      </c>
      <c r="B6026" s="1" t="s">
        <v>498</v>
      </c>
      <c r="C6026" s="1" t="s">
        <v>52</v>
      </c>
      <c r="D6026" s="1" t="s">
        <v>26</v>
      </c>
      <c r="E6026" s="1" t="s">
        <v>57</v>
      </c>
      <c r="F6026">
        <v>1</v>
      </c>
      <c r="G6026" s="2">
        <v>46212</v>
      </c>
      <c r="H6026" s="2">
        <v>46218</v>
      </c>
      <c r="I6026">
        <v>213.91</v>
      </c>
      <c r="J6026">
        <v>102.77</v>
      </c>
      <c r="K6026">
        <v>102.77</v>
      </c>
      <c r="L6026">
        <v>0</v>
      </c>
      <c r="M6026" s="1" t="s">
        <v>21</v>
      </c>
      <c r="N6026" s="1" t="s">
        <v>22</v>
      </c>
      <c r="O6026" s="2">
        <v>46254</v>
      </c>
      <c r="P6026" s="2">
        <v>46254</v>
      </c>
      <c r="Q6026">
        <f>_xlfn.XLOOKUP(E6026,CPT!$A$2:$A$13,CPT!$D$2:$D$13)</f>
        <v>210</v>
      </c>
      <c r="R6026" s="1">
        <f>_xlfn.XLOOKUP(C6026,Contract!$A$2:$A$9,Contract!$B$2:$B$9)</f>
        <v>0.47</v>
      </c>
      <c r="S6026" s="1">
        <f t="shared" si="376"/>
        <v>98.7</v>
      </c>
      <c r="T6026" s="1">
        <f t="shared" si="377"/>
        <v>-4.0699999999999932</v>
      </c>
      <c r="U6026" s="1" t="str">
        <f t="shared" si="378"/>
        <v>OK</v>
      </c>
      <c r="V6026" s="1" t="str">
        <f>_xlfn.XLOOKUP(C6026,Payers!$A$2:$A$9,Payers!$B$2:$B$9)</f>
        <v>Keystone Commercial PPO</v>
      </c>
      <c r="W6026" s="1" t="str">
        <f t="shared" si="379"/>
        <v>2026-07</v>
      </c>
    </row>
    <row r="6027" spans="1:23">
      <c r="A6027" s="1" t="s">
        <v>8954</v>
      </c>
      <c r="B6027" s="1" t="s">
        <v>1909</v>
      </c>
      <c r="C6027" s="1" t="s">
        <v>60</v>
      </c>
      <c r="D6027" s="1" t="s">
        <v>19</v>
      </c>
      <c r="E6027" s="1" t="s">
        <v>20</v>
      </c>
      <c r="F6027">
        <v>1</v>
      </c>
      <c r="G6027" s="2">
        <v>46171</v>
      </c>
      <c r="H6027" s="2">
        <v>46174</v>
      </c>
      <c r="I6027">
        <v>144.9</v>
      </c>
      <c r="M6027" s="1" t="s">
        <v>32</v>
      </c>
      <c r="N6027" s="1" t="s">
        <v>281</v>
      </c>
      <c r="O6027" s="2">
        <v>46204</v>
      </c>
      <c r="P6027" s="2"/>
      <c r="Q6027">
        <f>_xlfn.XLOOKUP(E6027,CPT!$A$2:$A$13,CPT!$D$2:$D$13)</f>
        <v>145</v>
      </c>
      <c r="R6027" s="1">
        <f>_xlfn.XLOOKUP(C6027,Contract!$A$2:$A$9,Contract!$B$2:$B$9)</f>
        <v>0.45</v>
      </c>
      <c r="S6027" s="1">
        <f t="shared" si="376"/>
        <v>65.25</v>
      </c>
      <c r="T6027" s="1" t="str">
        <f t="shared" si="377"/>
        <v/>
      </c>
      <c r="U6027" s="1" t="str">
        <f t="shared" si="378"/>
        <v/>
      </c>
      <c r="V6027" s="1" t="str">
        <f>_xlfn.XLOOKUP(C6027,Payers!$A$2:$A$9,Payers!$B$2:$B$9)</f>
        <v>Blue Horizon Commercial</v>
      </c>
      <c r="W6027" s="1" t="str">
        <f t="shared" si="379"/>
        <v>2026-05</v>
      </c>
    </row>
    <row r="6028" spans="1:23">
      <c r="A6028" s="1" t="s">
        <v>8955</v>
      </c>
      <c r="B6028" s="1" t="s">
        <v>8016</v>
      </c>
      <c r="C6028" s="1" t="s">
        <v>76</v>
      </c>
      <c r="D6028" s="1" t="s">
        <v>37</v>
      </c>
      <c r="E6028" s="1" t="s">
        <v>38</v>
      </c>
      <c r="F6028">
        <v>5</v>
      </c>
      <c r="G6028" s="2">
        <v>46254</v>
      </c>
      <c r="H6028" s="2">
        <v>46255</v>
      </c>
      <c r="I6028">
        <v>7453.18</v>
      </c>
      <c r="J6028">
        <v>3409.33</v>
      </c>
      <c r="K6028">
        <v>2727.46</v>
      </c>
      <c r="L6028">
        <v>681.87</v>
      </c>
      <c r="M6028" s="1" t="s">
        <v>21</v>
      </c>
      <c r="N6028" s="1" t="s">
        <v>22</v>
      </c>
      <c r="O6028" s="2">
        <v>46289</v>
      </c>
      <c r="P6028" s="2">
        <v>46289</v>
      </c>
      <c r="Q6028">
        <f>_xlfn.XLOOKUP(E6028,CPT!$A$2:$A$13,CPT!$D$2:$D$13)</f>
        <v>1450</v>
      </c>
      <c r="R6028" s="1">
        <f>_xlfn.XLOOKUP(C6028,Contract!$A$2:$A$9,Contract!$B$2:$B$9)</f>
        <v>0.43</v>
      </c>
      <c r="S6028" s="1">
        <f t="shared" si="376"/>
        <v>3117.5</v>
      </c>
      <c r="T6028" s="1">
        <f t="shared" si="377"/>
        <v>-291.82999999999993</v>
      </c>
      <c r="U6028" s="1" t="str">
        <f t="shared" si="378"/>
        <v>OK</v>
      </c>
      <c r="V6028" s="1" t="str">
        <f>_xlfn.XLOOKUP(C6028,Payers!$A$2:$A$9,Payers!$B$2:$B$9)</f>
        <v>Summit Health Commercial</v>
      </c>
      <c r="W6028" s="1" t="str">
        <f t="shared" si="379"/>
        <v>2026-08</v>
      </c>
    </row>
    <row r="6029" spans="1:23">
      <c r="A6029" s="1" t="s">
        <v>8956</v>
      </c>
      <c r="B6029" s="1" t="s">
        <v>7998</v>
      </c>
      <c r="C6029" s="1" t="s">
        <v>25</v>
      </c>
      <c r="D6029" s="1" t="s">
        <v>26</v>
      </c>
      <c r="E6029" s="1" t="s">
        <v>113</v>
      </c>
      <c r="F6029">
        <v>1</v>
      </c>
      <c r="G6029" s="2">
        <v>46008</v>
      </c>
      <c r="H6029" s="2">
        <v>46010</v>
      </c>
      <c r="I6029">
        <v>1049.79</v>
      </c>
      <c r="J6029">
        <v>372.55</v>
      </c>
      <c r="K6029">
        <v>372.55</v>
      </c>
      <c r="L6029">
        <v>0</v>
      </c>
      <c r="M6029" s="1" t="s">
        <v>21</v>
      </c>
      <c r="N6029" s="1" t="s">
        <v>22</v>
      </c>
      <c r="O6029" s="2">
        <v>46024</v>
      </c>
      <c r="P6029" s="2">
        <v>46024</v>
      </c>
      <c r="Q6029">
        <f>_xlfn.XLOOKUP(E6029,CPT!$A$2:$A$13,CPT!$D$2:$D$13)</f>
        <v>1050</v>
      </c>
      <c r="R6029" s="1">
        <f>_xlfn.XLOOKUP(C6029,Contract!$A$2:$A$9,Contract!$B$2:$B$9)</f>
        <v>0.36</v>
      </c>
      <c r="S6029" s="1">
        <f t="shared" si="376"/>
        <v>378</v>
      </c>
      <c r="T6029" s="1">
        <f t="shared" si="377"/>
        <v>5.4499999999999886</v>
      </c>
      <c r="U6029" s="1" t="str">
        <f t="shared" si="378"/>
        <v>OK</v>
      </c>
      <c r="V6029" s="1" t="str">
        <f>_xlfn.XLOOKUP(C6029,Payers!$A$2:$A$9,Payers!$B$2:$B$9)</f>
        <v>Medicare Part B</v>
      </c>
      <c r="W6029" s="1" t="str">
        <f t="shared" si="379"/>
        <v>2025-12</v>
      </c>
    </row>
    <row r="6030" spans="1:23">
      <c r="A6030" s="1" t="s">
        <v>8957</v>
      </c>
      <c r="B6030" s="1" t="s">
        <v>843</v>
      </c>
      <c r="C6030" s="1" t="s">
        <v>52</v>
      </c>
      <c r="D6030" s="1" t="s">
        <v>19</v>
      </c>
      <c r="E6030" s="1" t="s">
        <v>41</v>
      </c>
      <c r="F6030">
        <v>1</v>
      </c>
      <c r="G6030" s="2">
        <v>46117</v>
      </c>
      <c r="H6030" s="2">
        <v>46118</v>
      </c>
      <c r="I6030">
        <v>36.89</v>
      </c>
      <c r="M6030" s="1" t="s">
        <v>32</v>
      </c>
      <c r="N6030" s="1" t="s">
        <v>98</v>
      </c>
      <c r="O6030" s="2">
        <v>46154</v>
      </c>
      <c r="P6030" s="2"/>
      <c r="Q6030">
        <f>_xlfn.XLOOKUP(E6030,CPT!$A$2:$A$13,CPT!$D$2:$D$13)</f>
        <v>38</v>
      </c>
      <c r="R6030" s="1">
        <f>_xlfn.XLOOKUP(C6030,Contract!$A$2:$A$9,Contract!$B$2:$B$9)</f>
        <v>0.47</v>
      </c>
      <c r="S6030" s="1">
        <f t="shared" si="376"/>
        <v>17.86</v>
      </c>
      <c r="T6030" s="1" t="str">
        <f t="shared" si="377"/>
        <v/>
      </c>
      <c r="U6030" s="1" t="str">
        <f t="shared" si="378"/>
        <v/>
      </c>
      <c r="V6030" s="1" t="str">
        <f>_xlfn.XLOOKUP(C6030,Payers!$A$2:$A$9,Payers!$B$2:$B$9)</f>
        <v>Keystone Commercial PPO</v>
      </c>
      <c r="W6030" s="1" t="str">
        <f t="shared" si="379"/>
        <v>2026-04</v>
      </c>
    </row>
    <row r="6031" spans="1:23">
      <c r="A6031" s="1" t="s">
        <v>8958</v>
      </c>
      <c r="B6031" s="1" t="s">
        <v>265</v>
      </c>
      <c r="C6031" s="1" t="s">
        <v>47</v>
      </c>
      <c r="D6031" s="1" t="s">
        <v>19</v>
      </c>
      <c r="E6031" s="1" t="s">
        <v>41</v>
      </c>
      <c r="F6031">
        <v>1</v>
      </c>
      <c r="G6031" s="2">
        <v>46158</v>
      </c>
      <c r="H6031" s="2">
        <v>46163</v>
      </c>
      <c r="I6031">
        <v>37.79</v>
      </c>
      <c r="M6031" s="1" t="s">
        <v>32</v>
      </c>
      <c r="N6031" s="1" t="s">
        <v>33</v>
      </c>
      <c r="O6031" s="2">
        <v>46239</v>
      </c>
      <c r="P6031" s="2"/>
      <c r="Q6031">
        <f>_xlfn.XLOOKUP(E6031,CPT!$A$2:$A$13,CPT!$D$2:$D$13)</f>
        <v>38</v>
      </c>
      <c r="R6031" s="1">
        <f>_xlfn.XLOOKUP(C6031,Contract!$A$2:$A$9,Contract!$B$2:$B$9)</f>
        <v>0.28000000000000003</v>
      </c>
      <c r="S6031" s="1">
        <f t="shared" si="376"/>
        <v>10.64</v>
      </c>
      <c r="T6031" s="1" t="str">
        <f t="shared" si="377"/>
        <v/>
      </c>
      <c r="U6031" s="1" t="str">
        <f t="shared" si="378"/>
        <v/>
      </c>
      <c r="V6031" s="1" t="str">
        <f>_xlfn.XLOOKUP(C6031,Payers!$A$2:$A$9,Payers!$B$2:$B$9)</f>
        <v>Coastal Medicaid MCO</v>
      </c>
      <c r="W6031" s="1" t="str">
        <f t="shared" si="379"/>
        <v>2026-05</v>
      </c>
    </row>
    <row r="6032" spans="1:23">
      <c r="A6032" s="1" t="s">
        <v>8959</v>
      </c>
      <c r="B6032" s="1" t="s">
        <v>1618</v>
      </c>
      <c r="C6032" s="1" t="s">
        <v>76</v>
      </c>
      <c r="D6032" s="1" t="s">
        <v>30</v>
      </c>
      <c r="E6032" s="1" t="s">
        <v>20</v>
      </c>
      <c r="F6032">
        <v>1</v>
      </c>
      <c r="G6032" s="2">
        <v>46055</v>
      </c>
      <c r="H6032" s="2">
        <v>46167</v>
      </c>
      <c r="I6032">
        <v>141.07</v>
      </c>
      <c r="M6032" s="1" t="s">
        <v>32</v>
      </c>
      <c r="N6032" s="1" t="s">
        <v>137</v>
      </c>
      <c r="O6032" s="2">
        <v>46202</v>
      </c>
      <c r="P6032" s="2"/>
      <c r="Q6032">
        <f>_xlfn.XLOOKUP(E6032,CPT!$A$2:$A$13,CPT!$D$2:$D$13)</f>
        <v>145</v>
      </c>
      <c r="R6032" s="1">
        <f>_xlfn.XLOOKUP(C6032,Contract!$A$2:$A$9,Contract!$B$2:$B$9)</f>
        <v>0.43</v>
      </c>
      <c r="S6032" s="1">
        <f t="shared" si="376"/>
        <v>62.35</v>
      </c>
      <c r="T6032" s="1" t="str">
        <f t="shared" si="377"/>
        <v/>
      </c>
      <c r="U6032" s="1" t="str">
        <f t="shared" si="378"/>
        <v/>
      </c>
      <c r="V6032" s="1" t="str">
        <f>_xlfn.XLOOKUP(C6032,Payers!$A$2:$A$9,Payers!$B$2:$B$9)</f>
        <v>Summit Health Commercial</v>
      </c>
      <c r="W6032" s="1" t="str">
        <f t="shared" si="379"/>
        <v>2026-02</v>
      </c>
    </row>
    <row r="6033" spans="1:23">
      <c r="A6033" s="1" t="s">
        <v>8960</v>
      </c>
      <c r="B6033" s="1" t="s">
        <v>7336</v>
      </c>
      <c r="C6033" s="1" t="s">
        <v>52</v>
      </c>
      <c r="D6033" s="1" t="s">
        <v>19</v>
      </c>
      <c r="E6033" s="1" t="s">
        <v>20</v>
      </c>
      <c r="F6033">
        <v>1</v>
      </c>
      <c r="G6033" s="2">
        <v>46116</v>
      </c>
      <c r="H6033" s="2">
        <v>46117</v>
      </c>
      <c r="I6033">
        <v>145.91999999999999</v>
      </c>
      <c r="J6033">
        <v>72.239999999999995</v>
      </c>
      <c r="K6033">
        <v>72.239999999999995</v>
      </c>
      <c r="L6033">
        <v>0</v>
      </c>
      <c r="M6033" s="1" t="s">
        <v>21</v>
      </c>
      <c r="N6033" s="1" t="s">
        <v>22</v>
      </c>
      <c r="O6033" s="2">
        <v>46176</v>
      </c>
      <c r="P6033" s="2">
        <v>46176</v>
      </c>
      <c r="Q6033">
        <f>_xlfn.XLOOKUP(E6033,CPT!$A$2:$A$13,CPT!$D$2:$D$13)</f>
        <v>145</v>
      </c>
      <c r="R6033" s="1">
        <f>_xlfn.XLOOKUP(C6033,Contract!$A$2:$A$9,Contract!$B$2:$B$9)</f>
        <v>0.47</v>
      </c>
      <c r="S6033" s="1">
        <f t="shared" si="376"/>
        <v>68.150000000000006</v>
      </c>
      <c r="T6033" s="1">
        <f t="shared" si="377"/>
        <v>-4.0899999999999892</v>
      </c>
      <c r="U6033" s="1" t="str">
        <f t="shared" si="378"/>
        <v>OK</v>
      </c>
      <c r="V6033" s="1" t="str">
        <f>_xlfn.XLOOKUP(C6033,Payers!$A$2:$A$9,Payers!$B$2:$B$9)</f>
        <v>Keystone Commercial PPO</v>
      </c>
      <c r="W6033" s="1" t="str">
        <f t="shared" si="379"/>
        <v>2026-04</v>
      </c>
    </row>
    <row r="6034" spans="1:23">
      <c r="A6034" s="1" t="s">
        <v>8961</v>
      </c>
      <c r="B6034" s="1" t="s">
        <v>3182</v>
      </c>
      <c r="C6034" s="1" t="s">
        <v>76</v>
      </c>
      <c r="D6034" s="1" t="s">
        <v>26</v>
      </c>
      <c r="E6034" s="1" t="s">
        <v>27</v>
      </c>
      <c r="F6034">
        <v>1</v>
      </c>
      <c r="G6034" s="2">
        <v>46214</v>
      </c>
      <c r="H6034" s="2">
        <v>46215</v>
      </c>
      <c r="I6034">
        <v>245.79</v>
      </c>
      <c r="J6034">
        <v>106.54</v>
      </c>
      <c r="K6034">
        <v>106.54</v>
      </c>
      <c r="L6034">
        <v>0</v>
      </c>
      <c r="M6034" s="1" t="s">
        <v>21</v>
      </c>
      <c r="N6034" s="1" t="s">
        <v>22</v>
      </c>
      <c r="O6034" s="2">
        <v>46262</v>
      </c>
      <c r="P6034" s="2">
        <v>46262</v>
      </c>
      <c r="Q6034">
        <f>_xlfn.XLOOKUP(E6034,CPT!$A$2:$A$13,CPT!$D$2:$D$13)</f>
        <v>240</v>
      </c>
      <c r="R6034" s="1">
        <f>_xlfn.XLOOKUP(C6034,Contract!$A$2:$A$9,Contract!$B$2:$B$9)</f>
        <v>0.43</v>
      </c>
      <c r="S6034" s="1">
        <f t="shared" si="376"/>
        <v>103.2</v>
      </c>
      <c r="T6034" s="1">
        <f t="shared" si="377"/>
        <v>-3.3400000000000034</v>
      </c>
      <c r="U6034" s="1" t="str">
        <f t="shared" si="378"/>
        <v>OK</v>
      </c>
      <c r="V6034" s="1" t="str">
        <f>_xlfn.XLOOKUP(C6034,Payers!$A$2:$A$9,Payers!$B$2:$B$9)</f>
        <v>Summit Health Commercial</v>
      </c>
      <c r="W6034" s="1" t="str">
        <f t="shared" si="379"/>
        <v>2026-07</v>
      </c>
    </row>
    <row r="6035" spans="1:23">
      <c r="A6035" s="1" t="s">
        <v>8962</v>
      </c>
      <c r="B6035" s="1" t="s">
        <v>2642</v>
      </c>
      <c r="C6035" s="1" t="s">
        <v>25</v>
      </c>
      <c r="D6035" s="1" t="s">
        <v>19</v>
      </c>
      <c r="E6035" s="1" t="s">
        <v>41</v>
      </c>
      <c r="F6035">
        <v>1</v>
      </c>
      <c r="G6035" s="2">
        <v>45969</v>
      </c>
      <c r="H6035" s="2">
        <v>45982</v>
      </c>
      <c r="I6035">
        <v>38.43</v>
      </c>
      <c r="J6035">
        <v>13.93</v>
      </c>
      <c r="K6035">
        <v>13.93</v>
      </c>
      <c r="L6035">
        <v>0</v>
      </c>
      <c r="M6035" s="1" t="s">
        <v>21</v>
      </c>
      <c r="N6035" s="1" t="s">
        <v>22</v>
      </c>
      <c r="O6035" s="2">
        <v>46000</v>
      </c>
      <c r="P6035" s="2">
        <v>46000</v>
      </c>
      <c r="Q6035">
        <f>_xlfn.XLOOKUP(E6035,CPT!$A$2:$A$13,CPT!$D$2:$D$13)</f>
        <v>38</v>
      </c>
      <c r="R6035" s="1">
        <f>_xlfn.XLOOKUP(C6035,Contract!$A$2:$A$9,Contract!$B$2:$B$9)</f>
        <v>0.36</v>
      </c>
      <c r="S6035" s="1">
        <f t="shared" si="376"/>
        <v>13.68</v>
      </c>
      <c r="T6035" s="1">
        <f t="shared" si="377"/>
        <v>-0.25</v>
      </c>
      <c r="U6035" s="1" t="str">
        <f t="shared" si="378"/>
        <v>OK</v>
      </c>
      <c r="V6035" s="1" t="str">
        <f>_xlfn.XLOOKUP(C6035,Payers!$A$2:$A$9,Payers!$B$2:$B$9)</f>
        <v>Medicare Part B</v>
      </c>
      <c r="W6035" s="1" t="str">
        <f t="shared" si="379"/>
        <v>2025-11</v>
      </c>
    </row>
    <row r="6036" spans="1:23">
      <c r="A6036" s="1" t="s">
        <v>8963</v>
      </c>
      <c r="B6036" s="1" t="s">
        <v>1219</v>
      </c>
      <c r="C6036" s="1" t="s">
        <v>18</v>
      </c>
      <c r="D6036" s="1" t="s">
        <v>26</v>
      </c>
      <c r="E6036" s="1" t="s">
        <v>41</v>
      </c>
      <c r="F6036">
        <v>1</v>
      </c>
      <c r="G6036" s="2">
        <v>46106</v>
      </c>
      <c r="H6036" s="2">
        <v>46107</v>
      </c>
      <c r="I6036">
        <v>38.61</v>
      </c>
      <c r="J6036">
        <v>16.8</v>
      </c>
      <c r="K6036">
        <v>16.8</v>
      </c>
      <c r="L6036">
        <v>0</v>
      </c>
      <c r="M6036" s="1" t="s">
        <v>21</v>
      </c>
      <c r="N6036" s="1" t="s">
        <v>22</v>
      </c>
      <c r="O6036" s="2">
        <v>46135</v>
      </c>
      <c r="P6036" s="2">
        <v>46135</v>
      </c>
      <c r="Q6036">
        <f>_xlfn.XLOOKUP(E6036,CPT!$A$2:$A$13,CPT!$D$2:$D$13)</f>
        <v>38</v>
      </c>
      <c r="R6036" s="1">
        <f>_xlfn.XLOOKUP(C6036,Contract!$A$2:$A$9,Contract!$B$2:$B$9)</f>
        <v>0.38</v>
      </c>
      <c r="S6036" s="1">
        <f t="shared" si="376"/>
        <v>14.44</v>
      </c>
      <c r="T6036" s="1">
        <f t="shared" si="377"/>
        <v>-2.3600000000000012</v>
      </c>
      <c r="U6036" s="1" t="str">
        <f t="shared" si="378"/>
        <v>OK</v>
      </c>
      <c r="V6036" s="1" t="str">
        <f>_xlfn.XLOOKUP(C6036,Payers!$A$2:$A$9,Payers!$B$2:$B$9)</f>
        <v>Sunshine Medicare Advantage</v>
      </c>
      <c r="W6036" s="1" t="str">
        <f t="shared" si="379"/>
        <v>2026-03</v>
      </c>
    </row>
    <row r="6037" spans="1:23">
      <c r="A6037" s="1" t="s">
        <v>8964</v>
      </c>
      <c r="B6037" s="1" t="s">
        <v>6131</v>
      </c>
      <c r="C6037" s="1" t="s">
        <v>36</v>
      </c>
      <c r="D6037" s="1" t="s">
        <v>19</v>
      </c>
      <c r="E6037" s="1" t="s">
        <v>20</v>
      </c>
      <c r="F6037">
        <v>1</v>
      </c>
      <c r="G6037" s="2">
        <v>46190</v>
      </c>
      <c r="H6037" s="2">
        <v>46191</v>
      </c>
      <c r="I6037">
        <v>142.94</v>
      </c>
      <c r="J6037">
        <v>43.13</v>
      </c>
      <c r="K6037">
        <v>34.5</v>
      </c>
      <c r="L6037">
        <v>8.6300000000000008</v>
      </c>
      <c r="M6037" s="1" t="s">
        <v>21</v>
      </c>
      <c r="N6037" s="1" t="s">
        <v>22</v>
      </c>
      <c r="O6037" s="2">
        <v>46231</v>
      </c>
      <c r="P6037" s="2">
        <v>46231</v>
      </c>
      <c r="Q6037">
        <f>_xlfn.XLOOKUP(E6037,CPT!$A$2:$A$13,CPT!$D$2:$D$13)</f>
        <v>145</v>
      </c>
      <c r="R6037" s="1">
        <f>_xlfn.XLOOKUP(C6037,Contract!$A$2:$A$9,Contract!$B$2:$B$9)</f>
        <v>0.27</v>
      </c>
      <c r="S6037" s="1">
        <f t="shared" si="376"/>
        <v>39.15</v>
      </c>
      <c r="T6037" s="1">
        <f t="shared" si="377"/>
        <v>-3.980000000000004</v>
      </c>
      <c r="U6037" s="1" t="str">
        <f t="shared" si="378"/>
        <v>OK</v>
      </c>
      <c r="V6037" s="1" t="str">
        <f>_xlfn.XLOOKUP(C6037,Payers!$A$2:$A$9,Payers!$B$2:$B$9)</f>
        <v>Florida Medicaid</v>
      </c>
      <c r="W6037" s="1" t="str">
        <f t="shared" si="379"/>
        <v>2026-06</v>
      </c>
    </row>
    <row r="6038" spans="1:23">
      <c r="A6038" s="1" t="s">
        <v>8965</v>
      </c>
      <c r="B6038" s="1" t="s">
        <v>1369</v>
      </c>
      <c r="C6038" s="1" t="s">
        <v>25</v>
      </c>
      <c r="D6038" s="1" t="s">
        <v>26</v>
      </c>
      <c r="E6038" s="1" t="s">
        <v>44</v>
      </c>
      <c r="F6038">
        <v>1</v>
      </c>
      <c r="G6038" s="2">
        <v>45978</v>
      </c>
      <c r="H6038" s="2">
        <v>45985</v>
      </c>
      <c r="I6038">
        <v>4819.41</v>
      </c>
      <c r="J6038">
        <v>1714.13</v>
      </c>
      <c r="K6038">
        <v>1542.72</v>
      </c>
      <c r="L6038">
        <v>171.41</v>
      </c>
      <c r="M6038" s="1" t="s">
        <v>21</v>
      </c>
      <c r="N6038" s="1" t="s">
        <v>22</v>
      </c>
      <c r="O6038" s="2">
        <v>46009</v>
      </c>
      <c r="P6038" s="2">
        <v>46009</v>
      </c>
      <c r="Q6038">
        <f>_xlfn.XLOOKUP(E6038,CPT!$A$2:$A$13,CPT!$D$2:$D$13)</f>
        <v>4800</v>
      </c>
      <c r="R6038" s="1">
        <f>_xlfn.XLOOKUP(C6038,Contract!$A$2:$A$9,Contract!$B$2:$B$9)</f>
        <v>0.36</v>
      </c>
      <c r="S6038" s="1">
        <f t="shared" si="376"/>
        <v>1728</v>
      </c>
      <c r="T6038" s="1">
        <f t="shared" si="377"/>
        <v>13.869999999999891</v>
      </c>
      <c r="U6038" s="1" t="str">
        <f t="shared" si="378"/>
        <v>OK</v>
      </c>
      <c r="V6038" s="1" t="str">
        <f>_xlfn.XLOOKUP(C6038,Payers!$A$2:$A$9,Payers!$B$2:$B$9)</f>
        <v>Medicare Part B</v>
      </c>
      <c r="W6038" s="1" t="str">
        <f t="shared" si="379"/>
        <v>2025-11</v>
      </c>
    </row>
    <row r="6039" spans="1:23">
      <c r="A6039" s="1" t="s">
        <v>8966</v>
      </c>
      <c r="B6039" s="1" t="s">
        <v>3342</v>
      </c>
      <c r="C6039" s="1" t="s">
        <v>60</v>
      </c>
      <c r="D6039" s="1" t="s">
        <v>19</v>
      </c>
      <c r="E6039" s="1" t="s">
        <v>88</v>
      </c>
      <c r="F6039">
        <v>1</v>
      </c>
      <c r="G6039" s="2">
        <v>46143</v>
      </c>
      <c r="H6039" s="2">
        <v>46144</v>
      </c>
      <c r="I6039">
        <v>267.24</v>
      </c>
      <c r="J6039">
        <v>111.78</v>
      </c>
      <c r="K6039">
        <v>100.6</v>
      </c>
      <c r="L6039">
        <v>11.18</v>
      </c>
      <c r="M6039" s="1" t="s">
        <v>21</v>
      </c>
      <c r="N6039" s="1" t="s">
        <v>22</v>
      </c>
      <c r="O6039" s="2">
        <v>46182</v>
      </c>
      <c r="P6039" s="2">
        <v>46182</v>
      </c>
      <c r="Q6039">
        <f>_xlfn.XLOOKUP(E6039,CPT!$A$2:$A$13,CPT!$D$2:$D$13)</f>
        <v>260</v>
      </c>
      <c r="R6039" s="1">
        <f>_xlfn.XLOOKUP(C6039,Contract!$A$2:$A$9,Contract!$B$2:$B$9)</f>
        <v>0.45</v>
      </c>
      <c r="S6039" s="1">
        <f t="shared" si="376"/>
        <v>117</v>
      </c>
      <c r="T6039" s="1">
        <f t="shared" si="377"/>
        <v>5.2199999999999989</v>
      </c>
      <c r="U6039" s="1" t="str">
        <f t="shared" si="378"/>
        <v>OK</v>
      </c>
      <c r="V6039" s="1" t="str">
        <f>_xlfn.XLOOKUP(C6039,Payers!$A$2:$A$9,Payers!$B$2:$B$9)</f>
        <v>Blue Horizon Commercial</v>
      </c>
      <c r="W6039" s="1" t="str">
        <f t="shared" si="379"/>
        <v>2026-05</v>
      </c>
    </row>
    <row r="6040" spans="1:23">
      <c r="A6040" s="1" t="s">
        <v>8967</v>
      </c>
      <c r="B6040" s="1" t="s">
        <v>7102</v>
      </c>
      <c r="C6040" s="1" t="s">
        <v>18</v>
      </c>
      <c r="D6040" s="1" t="s">
        <v>37</v>
      </c>
      <c r="E6040" s="1" t="s">
        <v>57</v>
      </c>
      <c r="F6040">
        <v>1</v>
      </c>
      <c r="G6040" s="2">
        <v>46273</v>
      </c>
      <c r="H6040" s="2">
        <v>46282</v>
      </c>
      <c r="I6040">
        <v>206.78</v>
      </c>
      <c r="M6040" s="1" t="s">
        <v>69</v>
      </c>
      <c r="N6040" s="1" t="s">
        <v>22</v>
      </c>
      <c r="O6040" s="2"/>
      <c r="P6040" s="2"/>
      <c r="Q6040">
        <f>_xlfn.XLOOKUP(E6040,CPT!$A$2:$A$13,CPT!$D$2:$D$13)</f>
        <v>210</v>
      </c>
      <c r="R6040" s="1">
        <f>_xlfn.XLOOKUP(C6040,Contract!$A$2:$A$9,Contract!$B$2:$B$9)</f>
        <v>0.38</v>
      </c>
      <c r="S6040" s="1">
        <f t="shared" si="376"/>
        <v>79.8</v>
      </c>
      <c r="T6040" s="1" t="str">
        <f t="shared" si="377"/>
        <v/>
      </c>
      <c r="U6040" s="1" t="str">
        <f t="shared" si="378"/>
        <v/>
      </c>
      <c r="V6040" s="1" t="str">
        <f>_xlfn.XLOOKUP(C6040,Payers!$A$2:$A$9,Payers!$B$2:$B$9)</f>
        <v>Sunshine Medicare Advantage</v>
      </c>
      <c r="W6040" s="1" t="str">
        <f t="shared" si="379"/>
        <v>2026-09</v>
      </c>
    </row>
    <row r="6041" spans="1:23">
      <c r="A6041" s="1" t="s">
        <v>8968</v>
      </c>
      <c r="B6041" s="1" t="s">
        <v>3697</v>
      </c>
      <c r="C6041" s="1" t="s">
        <v>60</v>
      </c>
      <c r="D6041" s="1" t="s">
        <v>37</v>
      </c>
      <c r="E6041" s="1" t="s">
        <v>48</v>
      </c>
      <c r="F6041">
        <v>1</v>
      </c>
      <c r="G6041" s="2">
        <v>46268</v>
      </c>
      <c r="H6041" s="2">
        <v>46274</v>
      </c>
      <c r="I6041">
        <v>413.19</v>
      </c>
      <c r="M6041" s="1" t="s">
        <v>69</v>
      </c>
      <c r="N6041" s="1" t="s">
        <v>22</v>
      </c>
      <c r="O6041" s="2"/>
      <c r="P6041" s="2"/>
      <c r="Q6041">
        <f>_xlfn.XLOOKUP(E6041,CPT!$A$2:$A$13,CPT!$D$2:$D$13)</f>
        <v>420</v>
      </c>
      <c r="R6041" s="1">
        <f>_xlfn.XLOOKUP(C6041,Contract!$A$2:$A$9,Contract!$B$2:$B$9)</f>
        <v>0.45</v>
      </c>
      <c r="S6041" s="1">
        <f t="shared" si="376"/>
        <v>189</v>
      </c>
      <c r="T6041" s="1" t="str">
        <f t="shared" si="377"/>
        <v/>
      </c>
      <c r="U6041" s="1" t="str">
        <f t="shared" si="378"/>
        <v/>
      </c>
      <c r="V6041" s="1" t="str">
        <f>_xlfn.XLOOKUP(C6041,Payers!$A$2:$A$9,Payers!$B$2:$B$9)</f>
        <v>Blue Horizon Commercial</v>
      </c>
      <c r="W6041" s="1" t="str">
        <f t="shared" si="379"/>
        <v>2026-09</v>
      </c>
    </row>
    <row r="6042" spans="1:23">
      <c r="A6042" s="1" t="s">
        <v>8969</v>
      </c>
      <c r="B6042" s="1" t="s">
        <v>5523</v>
      </c>
      <c r="C6042" s="1" t="s">
        <v>25</v>
      </c>
      <c r="D6042" s="1" t="s">
        <v>19</v>
      </c>
      <c r="E6042" s="1" t="s">
        <v>88</v>
      </c>
      <c r="F6042">
        <v>1</v>
      </c>
      <c r="G6042" s="2">
        <v>46188</v>
      </c>
      <c r="H6042" s="2">
        <v>46201</v>
      </c>
      <c r="I6042">
        <v>253.26</v>
      </c>
      <c r="J6042">
        <v>86.17</v>
      </c>
      <c r="K6042">
        <v>77.55</v>
      </c>
      <c r="L6042">
        <v>8.6199999999999992</v>
      </c>
      <c r="M6042" s="1" t="s">
        <v>21</v>
      </c>
      <c r="N6042" s="1" t="s">
        <v>22</v>
      </c>
      <c r="O6042" s="2">
        <v>46217</v>
      </c>
      <c r="P6042" s="2">
        <v>46217</v>
      </c>
      <c r="Q6042">
        <f>_xlfn.XLOOKUP(E6042,CPT!$A$2:$A$13,CPT!$D$2:$D$13)</f>
        <v>260</v>
      </c>
      <c r="R6042" s="1">
        <f>_xlfn.XLOOKUP(C6042,Contract!$A$2:$A$9,Contract!$B$2:$B$9)</f>
        <v>0.36</v>
      </c>
      <c r="S6042" s="1">
        <f t="shared" si="376"/>
        <v>93.6</v>
      </c>
      <c r="T6042" s="1">
        <f t="shared" si="377"/>
        <v>7.4299999999999926</v>
      </c>
      <c r="U6042" s="1" t="str">
        <f t="shared" si="378"/>
        <v>Underpaid</v>
      </c>
      <c r="V6042" s="1" t="str">
        <f>_xlfn.XLOOKUP(C6042,Payers!$A$2:$A$9,Payers!$B$2:$B$9)</f>
        <v>Medicare Part B</v>
      </c>
      <c r="W6042" s="1" t="str">
        <f t="shared" si="379"/>
        <v>2026-06</v>
      </c>
    </row>
    <row r="6043" spans="1:23">
      <c r="A6043" s="1" t="s">
        <v>8970</v>
      </c>
      <c r="B6043" s="1" t="s">
        <v>1938</v>
      </c>
      <c r="C6043" s="1" t="s">
        <v>76</v>
      </c>
      <c r="D6043" s="1" t="s">
        <v>19</v>
      </c>
      <c r="E6043" s="1" t="s">
        <v>41</v>
      </c>
      <c r="F6043">
        <v>1</v>
      </c>
      <c r="G6043" s="2">
        <v>46024</v>
      </c>
      <c r="H6043" s="2">
        <v>46025</v>
      </c>
      <c r="I6043">
        <v>37.909999999999997</v>
      </c>
      <c r="J6043">
        <v>15.66</v>
      </c>
      <c r="K6043">
        <v>12.53</v>
      </c>
      <c r="L6043">
        <v>3.13</v>
      </c>
      <c r="M6043" s="1" t="s">
        <v>21</v>
      </c>
      <c r="N6043" s="1" t="s">
        <v>22</v>
      </c>
      <c r="O6043" s="2">
        <v>46054</v>
      </c>
      <c r="P6043" s="2">
        <v>46054</v>
      </c>
      <c r="Q6043">
        <f>_xlfn.XLOOKUP(E6043,CPT!$A$2:$A$13,CPT!$D$2:$D$13)</f>
        <v>38</v>
      </c>
      <c r="R6043" s="1">
        <f>_xlfn.XLOOKUP(C6043,Contract!$A$2:$A$9,Contract!$B$2:$B$9)</f>
        <v>0.43</v>
      </c>
      <c r="S6043" s="1">
        <f t="shared" si="376"/>
        <v>16.34</v>
      </c>
      <c r="T6043" s="1">
        <f t="shared" si="377"/>
        <v>0.67999999999999972</v>
      </c>
      <c r="U6043" s="1" t="str">
        <f t="shared" si="378"/>
        <v>OK</v>
      </c>
      <c r="V6043" s="1" t="str">
        <f>_xlfn.XLOOKUP(C6043,Payers!$A$2:$A$9,Payers!$B$2:$B$9)</f>
        <v>Summit Health Commercial</v>
      </c>
      <c r="W6043" s="1" t="str">
        <f t="shared" si="379"/>
        <v>2026-01</v>
      </c>
    </row>
    <row r="6044" spans="1:23">
      <c r="A6044" s="1" t="s">
        <v>8971</v>
      </c>
      <c r="B6044" s="1" t="s">
        <v>6050</v>
      </c>
      <c r="C6044" s="1" t="s">
        <v>52</v>
      </c>
      <c r="D6044" s="1" t="s">
        <v>26</v>
      </c>
      <c r="E6044" s="1" t="s">
        <v>27</v>
      </c>
      <c r="F6044">
        <v>1</v>
      </c>
      <c r="G6044" s="2">
        <v>46081</v>
      </c>
      <c r="H6044" s="2">
        <v>46085</v>
      </c>
      <c r="I6044">
        <v>244.82</v>
      </c>
      <c r="J6044">
        <v>132.54</v>
      </c>
      <c r="K6044">
        <v>132.54</v>
      </c>
      <c r="L6044">
        <v>0</v>
      </c>
      <c r="M6044" s="1" t="s">
        <v>21</v>
      </c>
      <c r="N6044" s="1" t="s">
        <v>22</v>
      </c>
      <c r="O6044" s="2">
        <v>46145</v>
      </c>
      <c r="P6044" s="2">
        <v>46145</v>
      </c>
      <c r="Q6044">
        <f>_xlfn.XLOOKUP(E6044,CPT!$A$2:$A$13,CPT!$D$2:$D$13)</f>
        <v>240</v>
      </c>
      <c r="R6044" s="1">
        <f>_xlfn.XLOOKUP(C6044,Contract!$A$2:$A$9,Contract!$B$2:$B$9)</f>
        <v>0.47</v>
      </c>
      <c r="S6044" s="1">
        <f t="shared" si="376"/>
        <v>112.8</v>
      </c>
      <c r="T6044" s="1">
        <f t="shared" si="377"/>
        <v>-19.739999999999995</v>
      </c>
      <c r="U6044" s="1" t="str">
        <f t="shared" si="378"/>
        <v>OK</v>
      </c>
      <c r="V6044" s="1" t="str">
        <f>_xlfn.XLOOKUP(C6044,Payers!$A$2:$A$9,Payers!$B$2:$B$9)</f>
        <v>Keystone Commercial PPO</v>
      </c>
      <c r="W6044" s="1" t="str">
        <f t="shared" si="379"/>
        <v>2026-02</v>
      </c>
    </row>
    <row r="6045" spans="1:23">
      <c r="A6045" s="1" t="s">
        <v>8972</v>
      </c>
      <c r="B6045" s="1" t="s">
        <v>273</v>
      </c>
      <c r="C6045" s="1" t="s">
        <v>47</v>
      </c>
      <c r="D6045" s="1" t="s">
        <v>26</v>
      </c>
      <c r="E6045" s="1" t="s">
        <v>185</v>
      </c>
      <c r="F6045">
        <v>1</v>
      </c>
      <c r="G6045" s="2">
        <v>46069</v>
      </c>
      <c r="H6045" s="2">
        <v>46070</v>
      </c>
      <c r="I6045">
        <v>1146.06</v>
      </c>
      <c r="J6045">
        <v>315.31</v>
      </c>
      <c r="K6045">
        <v>315.31</v>
      </c>
      <c r="L6045">
        <v>0</v>
      </c>
      <c r="M6045" s="1" t="s">
        <v>21</v>
      </c>
      <c r="N6045" s="1" t="s">
        <v>22</v>
      </c>
      <c r="O6045" s="2">
        <v>46120</v>
      </c>
      <c r="P6045" s="2">
        <v>46120</v>
      </c>
      <c r="Q6045">
        <f>_xlfn.XLOOKUP(E6045,CPT!$A$2:$A$13,CPT!$D$2:$D$13)</f>
        <v>1150</v>
      </c>
      <c r="R6045" s="1">
        <f>_xlfn.XLOOKUP(C6045,Contract!$A$2:$A$9,Contract!$B$2:$B$9)</f>
        <v>0.28000000000000003</v>
      </c>
      <c r="S6045" s="1">
        <f t="shared" si="376"/>
        <v>322</v>
      </c>
      <c r="T6045" s="1">
        <f t="shared" si="377"/>
        <v>6.6899999999999977</v>
      </c>
      <c r="U6045" s="1" t="str">
        <f t="shared" si="378"/>
        <v>OK</v>
      </c>
      <c r="V6045" s="1" t="str">
        <f>_xlfn.XLOOKUP(C6045,Payers!$A$2:$A$9,Payers!$B$2:$B$9)</f>
        <v>Coastal Medicaid MCO</v>
      </c>
      <c r="W6045" s="1" t="str">
        <f t="shared" si="379"/>
        <v>2026-02</v>
      </c>
    </row>
    <row r="6046" spans="1:23">
      <c r="A6046" s="1" t="s">
        <v>8973</v>
      </c>
      <c r="B6046" s="1" t="s">
        <v>5874</v>
      </c>
      <c r="C6046" s="1" t="s">
        <v>36</v>
      </c>
      <c r="D6046" s="1" t="s">
        <v>26</v>
      </c>
      <c r="E6046" s="1" t="s">
        <v>185</v>
      </c>
      <c r="F6046">
        <v>1</v>
      </c>
      <c r="G6046" s="2">
        <v>45951</v>
      </c>
      <c r="H6046" s="2">
        <v>45959</v>
      </c>
      <c r="I6046">
        <v>1123.33</v>
      </c>
      <c r="M6046" s="1" t="s">
        <v>32</v>
      </c>
      <c r="N6046" s="1" t="s">
        <v>49</v>
      </c>
      <c r="O6046" s="2">
        <v>46012</v>
      </c>
      <c r="P6046" s="2"/>
      <c r="Q6046">
        <f>_xlfn.XLOOKUP(E6046,CPT!$A$2:$A$13,CPT!$D$2:$D$13)</f>
        <v>1150</v>
      </c>
      <c r="R6046" s="1">
        <f>_xlfn.XLOOKUP(C6046,Contract!$A$2:$A$9,Contract!$B$2:$B$9)</f>
        <v>0.27</v>
      </c>
      <c r="S6046" s="1">
        <f t="shared" si="376"/>
        <v>310.5</v>
      </c>
      <c r="T6046" s="1" t="str">
        <f t="shared" si="377"/>
        <v/>
      </c>
      <c r="U6046" s="1" t="str">
        <f t="shared" si="378"/>
        <v/>
      </c>
      <c r="V6046" s="1" t="str">
        <f>_xlfn.XLOOKUP(C6046,Payers!$A$2:$A$9,Payers!$B$2:$B$9)</f>
        <v>Florida Medicaid</v>
      </c>
      <c r="W6046" s="1" t="str">
        <f t="shared" si="379"/>
        <v>2025-10</v>
      </c>
    </row>
    <row r="6047" spans="1:23">
      <c r="A6047" s="1" t="s">
        <v>8974</v>
      </c>
      <c r="B6047" s="1" t="s">
        <v>199</v>
      </c>
      <c r="C6047" s="1" t="s">
        <v>25</v>
      </c>
      <c r="D6047" s="1" t="s">
        <v>37</v>
      </c>
      <c r="E6047" s="1" t="s">
        <v>57</v>
      </c>
      <c r="F6047">
        <v>1</v>
      </c>
      <c r="G6047" s="2">
        <v>45941</v>
      </c>
      <c r="H6047" s="2">
        <v>45944</v>
      </c>
      <c r="I6047">
        <v>213.6</v>
      </c>
      <c r="J6047">
        <v>81.069999999999993</v>
      </c>
      <c r="K6047">
        <v>81.069999999999993</v>
      </c>
      <c r="L6047">
        <v>0</v>
      </c>
      <c r="M6047" s="1" t="s">
        <v>21</v>
      </c>
      <c r="N6047" s="1" t="s">
        <v>22</v>
      </c>
      <c r="O6047" s="2">
        <v>45958</v>
      </c>
      <c r="P6047" s="2">
        <v>45958</v>
      </c>
      <c r="Q6047">
        <f>_xlfn.XLOOKUP(E6047,CPT!$A$2:$A$13,CPT!$D$2:$D$13)</f>
        <v>210</v>
      </c>
      <c r="R6047" s="1">
        <f>_xlfn.XLOOKUP(C6047,Contract!$A$2:$A$9,Contract!$B$2:$B$9)</f>
        <v>0.36</v>
      </c>
      <c r="S6047" s="1">
        <f t="shared" si="376"/>
        <v>75.599999999999994</v>
      </c>
      <c r="T6047" s="1">
        <f t="shared" si="377"/>
        <v>-5.4699999999999989</v>
      </c>
      <c r="U6047" s="1" t="str">
        <f t="shared" si="378"/>
        <v>OK</v>
      </c>
      <c r="V6047" s="1" t="str">
        <f>_xlfn.XLOOKUP(C6047,Payers!$A$2:$A$9,Payers!$B$2:$B$9)</f>
        <v>Medicare Part B</v>
      </c>
      <c r="W6047" s="1" t="str">
        <f t="shared" si="379"/>
        <v>2025-10</v>
      </c>
    </row>
    <row r="6048" spans="1:23">
      <c r="A6048" s="1" t="s">
        <v>8975</v>
      </c>
      <c r="B6048" s="1" t="s">
        <v>8976</v>
      </c>
      <c r="C6048" s="1" t="s">
        <v>18</v>
      </c>
      <c r="D6048" s="1" t="s">
        <v>26</v>
      </c>
      <c r="E6048" s="1" t="s">
        <v>88</v>
      </c>
      <c r="F6048">
        <v>1</v>
      </c>
      <c r="G6048" s="2">
        <v>46180</v>
      </c>
      <c r="H6048" s="2">
        <v>46196</v>
      </c>
      <c r="I6048">
        <v>263.8</v>
      </c>
      <c r="J6048">
        <v>90.42</v>
      </c>
      <c r="K6048">
        <v>81.38</v>
      </c>
      <c r="L6048">
        <v>9.0399999999999991</v>
      </c>
      <c r="M6048" s="1" t="s">
        <v>21</v>
      </c>
      <c r="N6048" s="1" t="s">
        <v>22</v>
      </c>
      <c r="O6048" s="2">
        <v>46270</v>
      </c>
      <c r="P6048" s="2">
        <v>46270</v>
      </c>
      <c r="Q6048">
        <f>_xlfn.XLOOKUP(E6048,CPT!$A$2:$A$13,CPT!$D$2:$D$13)</f>
        <v>260</v>
      </c>
      <c r="R6048" s="1">
        <f>_xlfn.XLOOKUP(C6048,Contract!$A$2:$A$9,Contract!$B$2:$B$9)</f>
        <v>0.38</v>
      </c>
      <c r="S6048" s="1">
        <f t="shared" si="376"/>
        <v>98.8</v>
      </c>
      <c r="T6048" s="1">
        <f t="shared" si="377"/>
        <v>8.3799999999999955</v>
      </c>
      <c r="U6048" s="1" t="str">
        <f t="shared" si="378"/>
        <v>Underpaid</v>
      </c>
      <c r="V6048" s="1" t="str">
        <f>_xlfn.XLOOKUP(C6048,Payers!$A$2:$A$9,Payers!$B$2:$B$9)</f>
        <v>Sunshine Medicare Advantage</v>
      </c>
      <c r="W6048" s="1" t="str">
        <f t="shared" si="379"/>
        <v>2026-06</v>
      </c>
    </row>
    <row r="6049" spans="1:23">
      <c r="A6049" s="1" t="s">
        <v>8977</v>
      </c>
      <c r="B6049" s="1" t="s">
        <v>2987</v>
      </c>
      <c r="C6049" s="1" t="s">
        <v>79</v>
      </c>
      <c r="D6049" s="1" t="s">
        <v>19</v>
      </c>
      <c r="E6049" s="1" t="s">
        <v>20</v>
      </c>
      <c r="F6049">
        <v>1</v>
      </c>
      <c r="G6049" s="2">
        <v>45935</v>
      </c>
      <c r="H6049" s="2">
        <v>45936</v>
      </c>
      <c r="I6049">
        <v>142.82</v>
      </c>
      <c r="M6049" s="1" t="s">
        <v>69</v>
      </c>
      <c r="N6049" s="1" t="s">
        <v>22</v>
      </c>
      <c r="O6049" s="2"/>
      <c r="P6049" s="2"/>
      <c r="Q6049">
        <f>_xlfn.XLOOKUP(E6049,CPT!$A$2:$A$13,CPT!$D$2:$D$13)</f>
        <v>145</v>
      </c>
      <c r="R6049" s="1">
        <f>_xlfn.XLOOKUP(C6049,Contract!$A$2:$A$9,Contract!$B$2:$B$9)</f>
        <v>1</v>
      </c>
      <c r="S6049" s="1">
        <f t="shared" si="376"/>
        <v>145</v>
      </c>
      <c r="T6049" s="1" t="str">
        <f t="shared" si="377"/>
        <v/>
      </c>
      <c r="U6049" s="1" t="str">
        <f t="shared" si="378"/>
        <v/>
      </c>
      <c r="V6049" s="1" t="str">
        <f>_xlfn.XLOOKUP(C6049,Payers!$A$2:$A$9,Payers!$B$2:$B$9)</f>
        <v>Self-Pay</v>
      </c>
      <c r="W6049" s="1" t="str">
        <f t="shared" si="379"/>
        <v>2025-10</v>
      </c>
    </row>
    <row r="6050" spans="1:23">
      <c r="A6050" s="1" t="s">
        <v>8978</v>
      </c>
      <c r="B6050" s="1" t="s">
        <v>2375</v>
      </c>
      <c r="C6050" s="1" t="s">
        <v>25</v>
      </c>
      <c r="D6050" s="1" t="s">
        <v>19</v>
      </c>
      <c r="E6050" s="1" t="s">
        <v>41</v>
      </c>
      <c r="F6050">
        <v>1</v>
      </c>
      <c r="G6050" s="2">
        <v>45965</v>
      </c>
      <c r="H6050" s="2">
        <v>45968</v>
      </c>
      <c r="I6050">
        <v>38.130000000000003</v>
      </c>
      <c r="M6050" s="1" t="s">
        <v>32</v>
      </c>
      <c r="N6050" s="1" t="s">
        <v>124</v>
      </c>
      <c r="O6050" s="2">
        <v>45983</v>
      </c>
      <c r="P6050" s="2"/>
      <c r="Q6050">
        <f>_xlfn.XLOOKUP(E6050,CPT!$A$2:$A$13,CPT!$D$2:$D$13)</f>
        <v>38</v>
      </c>
      <c r="R6050" s="1">
        <f>_xlfn.XLOOKUP(C6050,Contract!$A$2:$A$9,Contract!$B$2:$B$9)</f>
        <v>0.36</v>
      </c>
      <c r="S6050" s="1">
        <f t="shared" si="376"/>
        <v>13.68</v>
      </c>
      <c r="T6050" s="1" t="str">
        <f t="shared" si="377"/>
        <v/>
      </c>
      <c r="U6050" s="1" t="str">
        <f t="shared" si="378"/>
        <v/>
      </c>
      <c r="V6050" s="1" t="str">
        <f>_xlfn.XLOOKUP(C6050,Payers!$A$2:$A$9,Payers!$B$2:$B$9)</f>
        <v>Medicare Part B</v>
      </c>
      <c r="W6050" s="1" t="str">
        <f t="shared" si="379"/>
        <v>2025-11</v>
      </c>
    </row>
    <row r="6051" spans="1:23">
      <c r="A6051" s="1" t="s">
        <v>8979</v>
      </c>
      <c r="B6051" s="1" t="s">
        <v>3791</v>
      </c>
      <c r="C6051" s="1" t="s">
        <v>25</v>
      </c>
      <c r="D6051" s="1" t="s">
        <v>26</v>
      </c>
      <c r="E6051" s="1" t="s">
        <v>113</v>
      </c>
      <c r="F6051">
        <v>1</v>
      </c>
      <c r="G6051" s="2">
        <v>46190</v>
      </c>
      <c r="H6051" s="2">
        <v>46195</v>
      </c>
      <c r="I6051">
        <v>1078.71</v>
      </c>
      <c r="J6051">
        <v>424.02</v>
      </c>
      <c r="K6051">
        <v>339.22</v>
      </c>
      <c r="L6051">
        <v>84.8</v>
      </c>
      <c r="M6051" s="1" t="s">
        <v>21</v>
      </c>
      <c r="N6051" s="1" t="s">
        <v>22</v>
      </c>
      <c r="O6051" s="2">
        <v>46220</v>
      </c>
      <c r="P6051" s="2">
        <v>46220</v>
      </c>
      <c r="Q6051">
        <f>_xlfn.XLOOKUP(E6051,CPT!$A$2:$A$13,CPT!$D$2:$D$13)</f>
        <v>1050</v>
      </c>
      <c r="R6051" s="1">
        <f>_xlfn.XLOOKUP(C6051,Contract!$A$2:$A$9,Contract!$B$2:$B$9)</f>
        <v>0.36</v>
      </c>
      <c r="S6051" s="1">
        <f t="shared" si="376"/>
        <v>378</v>
      </c>
      <c r="T6051" s="1">
        <f t="shared" si="377"/>
        <v>-46.019999999999982</v>
      </c>
      <c r="U6051" s="1" t="str">
        <f t="shared" si="378"/>
        <v>OK</v>
      </c>
      <c r="V6051" s="1" t="str">
        <f>_xlfn.XLOOKUP(C6051,Payers!$A$2:$A$9,Payers!$B$2:$B$9)</f>
        <v>Medicare Part B</v>
      </c>
      <c r="W6051" s="1" t="str">
        <f t="shared" si="379"/>
        <v>2026-06</v>
      </c>
    </row>
    <row r="6052" spans="1:23">
      <c r="A6052" s="1" t="s">
        <v>8980</v>
      </c>
      <c r="B6052" s="1" t="s">
        <v>7718</v>
      </c>
      <c r="C6052" s="1" t="s">
        <v>60</v>
      </c>
      <c r="D6052" s="1" t="s">
        <v>30</v>
      </c>
      <c r="E6052" s="1" t="s">
        <v>20</v>
      </c>
      <c r="F6052">
        <v>1</v>
      </c>
      <c r="G6052" s="2">
        <v>45950</v>
      </c>
      <c r="H6052" s="2">
        <v>45952</v>
      </c>
      <c r="I6052">
        <v>149.1</v>
      </c>
      <c r="J6052">
        <v>64.25</v>
      </c>
      <c r="K6052">
        <v>64.25</v>
      </c>
      <c r="L6052">
        <v>0</v>
      </c>
      <c r="M6052" s="1" t="s">
        <v>21</v>
      </c>
      <c r="N6052" s="1" t="s">
        <v>22</v>
      </c>
      <c r="O6052" s="2">
        <v>45975</v>
      </c>
      <c r="P6052" s="2">
        <v>45975</v>
      </c>
      <c r="Q6052">
        <f>_xlfn.XLOOKUP(E6052,CPT!$A$2:$A$13,CPT!$D$2:$D$13)</f>
        <v>145</v>
      </c>
      <c r="R6052" s="1">
        <f>_xlfn.XLOOKUP(C6052,Contract!$A$2:$A$9,Contract!$B$2:$B$9)</f>
        <v>0.45</v>
      </c>
      <c r="S6052" s="1">
        <f t="shared" si="376"/>
        <v>65.25</v>
      </c>
      <c r="T6052" s="1">
        <f t="shared" si="377"/>
        <v>1</v>
      </c>
      <c r="U6052" s="1" t="str">
        <f t="shared" si="378"/>
        <v>OK</v>
      </c>
      <c r="V6052" s="1" t="str">
        <f>_xlfn.XLOOKUP(C6052,Payers!$A$2:$A$9,Payers!$B$2:$B$9)</f>
        <v>Blue Horizon Commercial</v>
      </c>
      <c r="W6052" s="1" t="str">
        <f t="shared" si="379"/>
        <v>2025-10</v>
      </c>
    </row>
    <row r="6053" spans="1:23">
      <c r="A6053" s="1" t="s">
        <v>8981</v>
      </c>
      <c r="B6053" s="1" t="s">
        <v>3407</v>
      </c>
      <c r="C6053" s="1" t="s">
        <v>60</v>
      </c>
      <c r="D6053" s="1" t="s">
        <v>37</v>
      </c>
      <c r="E6053" s="1" t="s">
        <v>38</v>
      </c>
      <c r="F6053">
        <v>5</v>
      </c>
      <c r="G6053" s="2">
        <v>46207</v>
      </c>
      <c r="H6053" s="2">
        <v>46210</v>
      </c>
      <c r="I6053">
        <v>7366.98</v>
      </c>
      <c r="J6053">
        <v>3729.61</v>
      </c>
      <c r="K6053">
        <v>3729.61</v>
      </c>
      <c r="L6053">
        <v>0</v>
      </c>
      <c r="M6053" s="1" t="s">
        <v>21</v>
      </c>
      <c r="N6053" s="1" t="s">
        <v>22</v>
      </c>
      <c r="O6053" s="2">
        <v>46253</v>
      </c>
      <c r="P6053" s="2">
        <v>46253</v>
      </c>
      <c r="Q6053">
        <f>_xlfn.XLOOKUP(E6053,CPT!$A$2:$A$13,CPT!$D$2:$D$13)</f>
        <v>1450</v>
      </c>
      <c r="R6053" s="1">
        <f>_xlfn.XLOOKUP(C6053,Contract!$A$2:$A$9,Contract!$B$2:$B$9)</f>
        <v>0.45</v>
      </c>
      <c r="S6053" s="1">
        <f t="shared" si="376"/>
        <v>3262.5</v>
      </c>
      <c r="T6053" s="1">
        <f t="shared" si="377"/>
        <v>-467.11000000000013</v>
      </c>
      <c r="U6053" s="1" t="str">
        <f t="shared" si="378"/>
        <v>OK</v>
      </c>
      <c r="V6053" s="1" t="str">
        <f>_xlfn.XLOOKUP(C6053,Payers!$A$2:$A$9,Payers!$B$2:$B$9)</f>
        <v>Blue Horizon Commercial</v>
      </c>
      <c r="W6053" s="1" t="str">
        <f t="shared" si="379"/>
        <v>2026-07</v>
      </c>
    </row>
    <row r="6054" spans="1:23">
      <c r="A6054" s="1" t="s">
        <v>8982</v>
      </c>
      <c r="B6054" s="1" t="s">
        <v>5365</v>
      </c>
      <c r="C6054" s="1" t="s">
        <v>60</v>
      </c>
      <c r="D6054" s="1" t="s">
        <v>19</v>
      </c>
      <c r="E6054" s="1" t="s">
        <v>88</v>
      </c>
      <c r="F6054">
        <v>1</v>
      </c>
      <c r="G6054" s="2">
        <v>46045</v>
      </c>
      <c r="H6054" s="2">
        <v>46046</v>
      </c>
      <c r="I6054">
        <v>261.39999999999998</v>
      </c>
      <c r="J6054">
        <v>123.76</v>
      </c>
      <c r="K6054">
        <v>111.38</v>
      </c>
      <c r="L6054">
        <v>12.38</v>
      </c>
      <c r="M6054" s="1" t="s">
        <v>21</v>
      </c>
      <c r="N6054" s="1" t="s">
        <v>22</v>
      </c>
      <c r="O6054" s="2">
        <v>46061</v>
      </c>
      <c r="P6054" s="2">
        <v>46061</v>
      </c>
      <c r="Q6054">
        <f>_xlfn.XLOOKUP(E6054,CPT!$A$2:$A$13,CPT!$D$2:$D$13)</f>
        <v>260</v>
      </c>
      <c r="R6054" s="1">
        <f>_xlfn.XLOOKUP(C6054,Contract!$A$2:$A$9,Contract!$B$2:$B$9)</f>
        <v>0.45</v>
      </c>
      <c r="S6054" s="1">
        <f t="shared" si="376"/>
        <v>117</v>
      </c>
      <c r="T6054" s="1">
        <f t="shared" si="377"/>
        <v>-6.7600000000000051</v>
      </c>
      <c r="U6054" s="1" t="str">
        <f t="shared" si="378"/>
        <v>OK</v>
      </c>
      <c r="V6054" s="1" t="str">
        <f>_xlfn.XLOOKUP(C6054,Payers!$A$2:$A$9,Payers!$B$2:$B$9)</f>
        <v>Blue Horizon Commercial</v>
      </c>
      <c r="W6054" s="1" t="str">
        <f t="shared" si="379"/>
        <v>2026-01</v>
      </c>
    </row>
    <row r="6055" spans="1:23">
      <c r="A6055" s="1" t="s">
        <v>8983</v>
      </c>
      <c r="B6055" s="1" t="s">
        <v>5534</v>
      </c>
      <c r="C6055" s="1" t="s">
        <v>25</v>
      </c>
      <c r="D6055" s="1" t="s">
        <v>26</v>
      </c>
      <c r="E6055" s="1" t="s">
        <v>57</v>
      </c>
      <c r="F6055">
        <v>1</v>
      </c>
      <c r="G6055" s="2">
        <v>45998</v>
      </c>
      <c r="H6055" s="2">
        <v>46002</v>
      </c>
      <c r="I6055">
        <v>207.69</v>
      </c>
      <c r="J6055">
        <v>73.39</v>
      </c>
      <c r="K6055">
        <v>73.39</v>
      </c>
      <c r="L6055">
        <v>0</v>
      </c>
      <c r="M6055" s="1" t="s">
        <v>21</v>
      </c>
      <c r="N6055" s="1" t="s">
        <v>22</v>
      </c>
      <c r="O6055" s="2">
        <v>46026</v>
      </c>
      <c r="P6055" s="2">
        <v>46026</v>
      </c>
      <c r="Q6055">
        <f>_xlfn.XLOOKUP(E6055,CPT!$A$2:$A$13,CPT!$D$2:$D$13)</f>
        <v>210</v>
      </c>
      <c r="R6055" s="1">
        <f>_xlfn.XLOOKUP(C6055,Contract!$A$2:$A$9,Contract!$B$2:$B$9)</f>
        <v>0.36</v>
      </c>
      <c r="S6055" s="1">
        <f t="shared" si="376"/>
        <v>75.599999999999994</v>
      </c>
      <c r="T6055" s="1">
        <f t="shared" si="377"/>
        <v>2.2099999999999937</v>
      </c>
      <c r="U6055" s="1" t="str">
        <f t="shared" si="378"/>
        <v>OK</v>
      </c>
      <c r="V6055" s="1" t="str">
        <f>_xlfn.XLOOKUP(C6055,Payers!$A$2:$A$9,Payers!$B$2:$B$9)</f>
        <v>Medicare Part B</v>
      </c>
      <c r="W6055" s="1" t="str">
        <f t="shared" si="379"/>
        <v>2025-12</v>
      </c>
    </row>
    <row r="6056" spans="1:23">
      <c r="A6056" s="1" t="s">
        <v>8984</v>
      </c>
      <c r="B6056" s="1" t="s">
        <v>2754</v>
      </c>
      <c r="C6056" s="1" t="s">
        <v>52</v>
      </c>
      <c r="D6056" s="1" t="s">
        <v>37</v>
      </c>
      <c r="E6056" s="1" t="s">
        <v>38</v>
      </c>
      <c r="F6056">
        <v>10</v>
      </c>
      <c r="G6056" s="2">
        <v>46093</v>
      </c>
      <c r="H6056" s="2">
        <v>46096</v>
      </c>
      <c r="I6056">
        <v>14823.84</v>
      </c>
      <c r="J6056">
        <v>7786.35</v>
      </c>
      <c r="K6056">
        <v>6229.08</v>
      </c>
      <c r="L6056">
        <v>1557.27</v>
      </c>
      <c r="M6056" s="1" t="s">
        <v>21</v>
      </c>
      <c r="N6056" s="1" t="s">
        <v>22</v>
      </c>
      <c r="O6056" s="2">
        <v>46144</v>
      </c>
      <c r="P6056" s="2">
        <v>46144</v>
      </c>
      <c r="Q6056">
        <f>_xlfn.XLOOKUP(E6056,CPT!$A$2:$A$13,CPT!$D$2:$D$13)</f>
        <v>1450</v>
      </c>
      <c r="R6056" s="1">
        <f>_xlfn.XLOOKUP(C6056,Contract!$A$2:$A$9,Contract!$B$2:$B$9)</f>
        <v>0.47</v>
      </c>
      <c r="S6056" s="1">
        <f t="shared" si="376"/>
        <v>6815</v>
      </c>
      <c r="T6056" s="1">
        <f t="shared" si="377"/>
        <v>-971.35000000000036</v>
      </c>
      <c r="U6056" s="1" t="str">
        <f t="shared" si="378"/>
        <v>OK</v>
      </c>
      <c r="V6056" s="1" t="str">
        <f>_xlfn.XLOOKUP(C6056,Payers!$A$2:$A$9,Payers!$B$2:$B$9)</f>
        <v>Keystone Commercial PPO</v>
      </c>
      <c r="W6056" s="1" t="str">
        <f t="shared" si="379"/>
        <v>2026-03</v>
      </c>
    </row>
    <row r="6057" spans="1:23">
      <c r="A6057" s="1" t="s">
        <v>8985</v>
      </c>
      <c r="B6057" s="1" t="s">
        <v>883</v>
      </c>
      <c r="C6057" s="1" t="s">
        <v>47</v>
      </c>
      <c r="D6057" s="1" t="s">
        <v>30</v>
      </c>
      <c r="E6057" s="1" t="s">
        <v>20</v>
      </c>
      <c r="F6057">
        <v>1</v>
      </c>
      <c r="G6057" s="2">
        <v>45988</v>
      </c>
      <c r="H6057" s="2">
        <v>45991</v>
      </c>
      <c r="I6057">
        <v>148.78</v>
      </c>
      <c r="M6057" s="1" t="s">
        <v>32</v>
      </c>
      <c r="N6057" s="1" t="s">
        <v>168</v>
      </c>
      <c r="O6057" s="2">
        <v>46060</v>
      </c>
      <c r="P6057" s="2"/>
      <c r="Q6057">
        <f>_xlfn.XLOOKUP(E6057,CPT!$A$2:$A$13,CPT!$D$2:$D$13)</f>
        <v>145</v>
      </c>
      <c r="R6057" s="1">
        <f>_xlfn.XLOOKUP(C6057,Contract!$A$2:$A$9,Contract!$B$2:$B$9)</f>
        <v>0.28000000000000003</v>
      </c>
      <c r="S6057" s="1">
        <f t="shared" si="376"/>
        <v>40.6</v>
      </c>
      <c r="T6057" s="1" t="str">
        <f t="shared" si="377"/>
        <v/>
      </c>
      <c r="U6057" s="1" t="str">
        <f t="shared" si="378"/>
        <v/>
      </c>
      <c r="V6057" s="1" t="str">
        <f>_xlfn.XLOOKUP(C6057,Payers!$A$2:$A$9,Payers!$B$2:$B$9)</f>
        <v>Coastal Medicaid MCO</v>
      </c>
      <c r="W6057" s="1" t="str">
        <f t="shared" si="379"/>
        <v>2025-11</v>
      </c>
    </row>
    <row r="6058" spans="1:23">
      <c r="A6058" s="1" t="s">
        <v>8986</v>
      </c>
      <c r="B6058" s="1" t="s">
        <v>8421</v>
      </c>
      <c r="C6058" s="1" t="s">
        <v>25</v>
      </c>
      <c r="D6058" s="1" t="s">
        <v>19</v>
      </c>
      <c r="E6058" s="1" t="s">
        <v>88</v>
      </c>
      <c r="F6058">
        <v>1</v>
      </c>
      <c r="G6058" s="2">
        <v>46095</v>
      </c>
      <c r="H6058" s="2">
        <v>46097</v>
      </c>
      <c r="I6058">
        <v>252.39</v>
      </c>
      <c r="J6058">
        <v>91.86</v>
      </c>
      <c r="K6058">
        <v>91.86</v>
      </c>
      <c r="L6058">
        <v>0</v>
      </c>
      <c r="M6058" s="1" t="s">
        <v>21</v>
      </c>
      <c r="N6058" s="1" t="s">
        <v>22</v>
      </c>
      <c r="O6058" s="2">
        <v>46112</v>
      </c>
      <c r="P6058" s="2">
        <v>46112</v>
      </c>
      <c r="Q6058">
        <f>_xlfn.XLOOKUP(E6058,CPT!$A$2:$A$13,CPT!$D$2:$D$13)</f>
        <v>260</v>
      </c>
      <c r="R6058" s="1">
        <f>_xlfn.XLOOKUP(C6058,Contract!$A$2:$A$9,Contract!$B$2:$B$9)</f>
        <v>0.36</v>
      </c>
      <c r="S6058" s="1">
        <f t="shared" si="376"/>
        <v>93.6</v>
      </c>
      <c r="T6058" s="1">
        <f t="shared" si="377"/>
        <v>1.7399999999999949</v>
      </c>
      <c r="U6058" s="1" t="str">
        <f t="shared" si="378"/>
        <v>OK</v>
      </c>
      <c r="V6058" s="1" t="str">
        <f>_xlfn.XLOOKUP(C6058,Payers!$A$2:$A$9,Payers!$B$2:$B$9)</f>
        <v>Medicare Part B</v>
      </c>
      <c r="W6058" s="1" t="str">
        <f t="shared" si="379"/>
        <v>2026-03</v>
      </c>
    </row>
    <row r="6059" spans="1:23">
      <c r="A6059" s="1" t="s">
        <v>8987</v>
      </c>
      <c r="B6059" s="1" t="s">
        <v>2944</v>
      </c>
      <c r="C6059" s="1" t="s">
        <v>36</v>
      </c>
      <c r="D6059" s="1" t="s">
        <v>30</v>
      </c>
      <c r="E6059" s="1" t="s">
        <v>20</v>
      </c>
      <c r="F6059">
        <v>1</v>
      </c>
      <c r="G6059" s="2">
        <v>46104</v>
      </c>
      <c r="H6059" s="2">
        <v>46215</v>
      </c>
      <c r="I6059">
        <v>144.77000000000001</v>
      </c>
      <c r="M6059" s="1" t="s">
        <v>32</v>
      </c>
      <c r="N6059" s="1" t="s">
        <v>137</v>
      </c>
      <c r="O6059" s="2">
        <v>46260</v>
      </c>
      <c r="P6059" s="2"/>
      <c r="Q6059">
        <f>_xlfn.XLOOKUP(E6059,CPT!$A$2:$A$13,CPT!$D$2:$D$13)</f>
        <v>145</v>
      </c>
      <c r="R6059" s="1">
        <f>_xlfn.XLOOKUP(C6059,Contract!$A$2:$A$9,Contract!$B$2:$B$9)</f>
        <v>0.27</v>
      </c>
      <c r="S6059" s="1">
        <f t="shared" si="376"/>
        <v>39.15</v>
      </c>
      <c r="T6059" s="1" t="str">
        <f t="shared" si="377"/>
        <v/>
      </c>
      <c r="U6059" s="1" t="str">
        <f t="shared" si="378"/>
        <v/>
      </c>
      <c r="V6059" s="1" t="str">
        <f>_xlfn.XLOOKUP(C6059,Payers!$A$2:$A$9,Payers!$B$2:$B$9)</f>
        <v>Florida Medicaid</v>
      </c>
      <c r="W6059" s="1" t="str">
        <f t="shared" si="379"/>
        <v>2026-03</v>
      </c>
    </row>
    <row r="6060" spans="1:23">
      <c r="A6060" s="1" t="s">
        <v>8988</v>
      </c>
      <c r="B6060" s="1" t="s">
        <v>3375</v>
      </c>
      <c r="C6060" s="1" t="s">
        <v>25</v>
      </c>
      <c r="D6060" s="1" t="s">
        <v>19</v>
      </c>
      <c r="E6060" s="1" t="s">
        <v>41</v>
      </c>
      <c r="F6060">
        <v>1</v>
      </c>
      <c r="G6060" s="2">
        <v>46086</v>
      </c>
      <c r="H6060" s="2">
        <v>46095</v>
      </c>
      <c r="I6060">
        <v>37.36</v>
      </c>
      <c r="J6060">
        <v>13.39</v>
      </c>
      <c r="K6060">
        <v>13.39</v>
      </c>
      <c r="L6060">
        <v>0</v>
      </c>
      <c r="M6060" s="1" t="s">
        <v>21</v>
      </c>
      <c r="N6060" s="1" t="s">
        <v>22</v>
      </c>
      <c r="O6060" s="2">
        <v>46115</v>
      </c>
      <c r="P6060" s="2">
        <v>46115</v>
      </c>
      <c r="Q6060">
        <f>_xlfn.XLOOKUP(E6060,CPT!$A$2:$A$13,CPT!$D$2:$D$13)</f>
        <v>38</v>
      </c>
      <c r="R6060" s="1">
        <f>_xlfn.XLOOKUP(C6060,Contract!$A$2:$A$9,Contract!$B$2:$B$9)</f>
        <v>0.36</v>
      </c>
      <c r="S6060" s="1">
        <f t="shared" si="376"/>
        <v>13.68</v>
      </c>
      <c r="T6060" s="1">
        <f t="shared" si="377"/>
        <v>0.28999999999999915</v>
      </c>
      <c r="U6060" s="1" t="str">
        <f t="shared" si="378"/>
        <v>OK</v>
      </c>
      <c r="V6060" s="1" t="str">
        <f>_xlfn.XLOOKUP(C6060,Payers!$A$2:$A$9,Payers!$B$2:$B$9)</f>
        <v>Medicare Part B</v>
      </c>
      <c r="W6060" s="1" t="str">
        <f t="shared" si="379"/>
        <v>2026-03</v>
      </c>
    </row>
    <row r="6061" spans="1:23">
      <c r="A6061" s="1" t="s">
        <v>8989</v>
      </c>
      <c r="B6061" s="1" t="s">
        <v>6459</v>
      </c>
      <c r="C6061" s="1" t="s">
        <v>76</v>
      </c>
      <c r="D6061" s="1" t="s">
        <v>19</v>
      </c>
      <c r="E6061" s="1" t="s">
        <v>41</v>
      </c>
      <c r="F6061">
        <v>1</v>
      </c>
      <c r="G6061" s="2">
        <v>45951</v>
      </c>
      <c r="H6061" s="2">
        <v>45957</v>
      </c>
      <c r="I6061">
        <v>37.79</v>
      </c>
      <c r="J6061">
        <v>14.54</v>
      </c>
      <c r="K6061">
        <v>14.54</v>
      </c>
      <c r="L6061">
        <v>0</v>
      </c>
      <c r="M6061" s="1" t="s">
        <v>21</v>
      </c>
      <c r="N6061" s="1" t="s">
        <v>22</v>
      </c>
      <c r="O6061" s="2">
        <v>45987</v>
      </c>
      <c r="P6061" s="2">
        <v>45987</v>
      </c>
      <c r="Q6061">
        <f>_xlfn.XLOOKUP(E6061,CPT!$A$2:$A$13,CPT!$D$2:$D$13)</f>
        <v>38</v>
      </c>
      <c r="R6061" s="1">
        <f>_xlfn.XLOOKUP(C6061,Contract!$A$2:$A$9,Contract!$B$2:$B$9)</f>
        <v>0.43</v>
      </c>
      <c r="S6061" s="1">
        <f t="shared" si="376"/>
        <v>16.34</v>
      </c>
      <c r="T6061" s="1">
        <f t="shared" si="377"/>
        <v>1.8000000000000007</v>
      </c>
      <c r="U6061" s="1" t="str">
        <f t="shared" si="378"/>
        <v>Underpaid</v>
      </c>
      <c r="V6061" s="1" t="str">
        <f>_xlfn.XLOOKUP(C6061,Payers!$A$2:$A$9,Payers!$B$2:$B$9)</f>
        <v>Summit Health Commercial</v>
      </c>
      <c r="W6061" s="1" t="str">
        <f t="shared" si="379"/>
        <v>2025-10</v>
      </c>
    </row>
    <row r="6062" spans="1:23">
      <c r="A6062" s="1" t="s">
        <v>8990</v>
      </c>
      <c r="B6062" s="1" t="s">
        <v>1665</v>
      </c>
      <c r="C6062" s="1" t="s">
        <v>36</v>
      </c>
      <c r="D6062" s="1" t="s">
        <v>19</v>
      </c>
      <c r="E6062" s="1" t="s">
        <v>41</v>
      </c>
      <c r="F6062">
        <v>1</v>
      </c>
      <c r="G6062" s="2">
        <v>46264</v>
      </c>
      <c r="H6062" s="2">
        <v>46265</v>
      </c>
      <c r="I6062">
        <v>37.229999999999997</v>
      </c>
      <c r="M6062" s="1" t="s">
        <v>69</v>
      </c>
      <c r="N6062" s="1" t="s">
        <v>22</v>
      </c>
      <c r="O6062" s="2"/>
      <c r="P6062" s="2"/>
      <c r="Q6062">
        <f>_xlfn.XLOOKUP(E6062,CPT!$A$2:$A$13,CPT!$D$2:$D$13)</f>
        <v>38</v>
      </c>
      <c r="R6062" s="1">
        <f>_xlfn.XLOOKUP(C6062,Contract!$A$2:$A$9,Contract!$B$2:$B$9)</f>
        <v>0.27</v>
      </c>
      <c r="S6062" s="1">
        <f t="shared" si="376"/>
        <v>10.26</v>
      </c>
      <c r="T6062" s="1" t="str">
        <f t="shared" si="377"/>
        <v/>
      </c>
      <c r="U6062" s="1" t="str">
        <f t="shared" si="378"/>
        <v/>
      </c>
      <c r="V6062" s="1" t="str">
        <f>_xlfn.XLOOKUP(C6062,Payers!$A$2:$A$9,Payers!$B$2:$B$9)</f>
        <v>Florida Medicaid</v>
      </c>
      <c r="W6062" s="1" t="str">
        <f t="shared" si="379"/>
        <v>2026-08</v>
      </c>
    </row>
    <row r="6063" spans="1:23">
      <c r="A6063" s="1" t="s">
        <v>8991</v>
      </c>
      <c r="B6063" s="1" t="s">
        <v>339</v>
      </c>
      <c r="C6063" s="1" t="s">
        <v>76</v>
      </c>
      <c r="D6063" s="1" t="s">
        <v>19</v>
      </c>
      <c r="E6063" s="1" t="s">
        <v>20</v>
      </c>
      <c r="F6063">
        <v>1</v>
      </c>
      <c r="G6063" s="2">
        <v>46198</v>
      </c>
      <c r="H6063" s="2">
        <v>46219</v>
      </c>
      <c r="I6063">
        <v>148.81</v>
      </c>
      <c r="J6063">
        <v>59.98</v>
      </c>
      <c r="K6063">
        <v>59.98</v>
      </c>
      <c r="L6063">
        <v>0</v>
      </c>
      <c r="M6063" s="1" t="s">
        <v>21</v>
      </c>
      <c r="N6063" s="1" t="s">
        <v>22</v>
      </c>
      <c r="O6063" s="2">
        <v>46246</v>
      </c>
      <c r="P6063" s="2">
        <v>46246</v>
      </c>
      <c r="Q6063">
        <f>_xlfn.XLOOKUP(E6063,CPT!$A$2:$A$13,CPT!$D$2:$D$13)</f>
        <v>145</v>
      </c>
      <c r="R6063" s="1">
        <f>_xlfn.XLOOKUP(C6063,Contract!$A$2:$A$9,Contract!$B$2:$B$9)</f>
        <v>0.43</v>
      </c>
      <c r="S6063" s="1">
        <f t="shared" si="376"/>
        <v>62.35</v>
      </c>
      <c r="T6063" s="1">
        <f t="shared" si="377"/>
        <v>2.3700000000000045</v>
      </c>
      <c r="U6063" s="1" t="str">
        <f t="shared" si="378"/>
        <v>OK</v>
      </c>
      <c r="V6063" s="1" t="str">
        <f>_xlfn.XLOOKUP(C6063,Payers!$A$2:$A$9,Payers!$B$2:$B$9)</f>
        <v>Summit Health Commercial</v>
      </c>
      <c r="W6063" s="1" t="str">
        <f t="shared" si="379"/>
        <v>2026-06</v>
      </c>
    </row>
    <row r="6064" spans="1:23">
      <c r="A6064" s="1" t="s">
        <v>8992</v>
      </c>
      <c r="B6064" s="1" t="s">
        <v>3798</v>
      </c>
      <c r="C6064" s="1" t="s">
        <v>76</v>
      </c>
      <c r="D6064" s="1" t="s">
        <v>19</v>
      </c>
      <c r="E6064" s="1" t="s">
        <v>57</v>
      </c>
      <c r="F6064">
        <v>1</v>
      </c>
      <c r="G6064" s="2">
        <v>45941</v>
      </c>
      <c r="H6064" s="2">
        <v>45943</v>
      </c>
      <c r="I6064">
        <v>210.76</v>
      </c>
      <c r="J6064">
        <v>99.8</v>
      </c>
      <c r="K6064">
        <v>79.84</v>
      </c>
      <c r="L6064">
        <v>19.96</v>
      </c>
      <c r="M6064" s="1" t="s">
        <v>21</v>
      </c>
      <c r="N6064" s="1" t="s">
        <v>22</v>
      </c>
      <c r="O6064" s="2">
        <v>45954</v>
      </c>
      <c r="P6064" s="2">
        <v>45954</v>
      </c>
      <c r="Q6064">
        <f>_xlfn.XLOOKUP(E6064,CPT!$A$2:$A$13,CPT!$D$2:$D$13)</f>
        <v>210</v>
      </c>
      <c r="R6064" s="1">
        <f>_xlfn.XLOOKUP(C6064,Contract!$A$2:$A$9,Contract!$B$2:$B$9)</f>
        <v>0.43</v>
      </c>
      <c r="S6064" s="1">
        <f t="shared" si="376"/>
        <v>90.3</v>
      </c>
      <c r="T6064" s="1">
        <f t="shared" si="377"/>
        <v>-9.5</v>
      </c>
      <c r="U6064" s="1" t="str">
        <f t="shared" si="378"/>
        <v>OK</v>
      </c>
      <c r="V6064" s="1" t="str">
        <f>_xlfn.XLOOKUP(C6064,Payers!$A$2:$A$9,Payers!$B$2:$B$9)</f>
        <v>Summit Health Commercial</v>
      </c>
      <c r="W6064" s="1" t="str">
        <f t="shared" si="379"/>
        <v>2025-10</v>
      </c>
    </row>
    <row r="6065" spans="1:23">
      <c r="A6065" s="1" t="s">
        <v>8993</v>
      </c>
      <c r="B6065" s="1" t="s">
        <v>2560</v>
      </c>
      <c r="C6065" s="1" t="s">
        <v>60</v>
      </c>
      <c r="D6065" s="1" t="s">
        <v>26</v>
      </c>
      <c r="E6065" s="1" t="s">
        <v>27</v>
      </c>
      <c r="F6065">
        <v>1</v>
      </c>
      <c r="G6065" s="2">
        <v>46127</v>
      </c>
      <c r="H6065" s="2">
        <v>46129</v>
      </c>
      <c r="I6065">
        <v>241.53</v>
      </c>
      <c r="J6065">
        <v>99.21</v>
      </c>
      <c r="K6065">
        <v>99.21</v>
      </c>
      <c r="L6065">
        <v>0</v>
      </c>
      <c r="M6065" s="1" t="s">
        <v>21</v>
      </c>
      <c r="N6065" s="1" t="s">
        <v>22</v>
      </c>
      <c r="O6065" s="2">
        <v>46153</v>
      </c>
      <c r="P6065" s="2">
        <v>46153</v>
      </c>
      <c r="Q6065">
        <f>_xlfn.XLOOKUP(E6065,CPT!$A$2:$A$13,CPT!$D$2:$D$13)</f>
        <v>240</v>
      </c>
      <c r="R6065" s="1">
        <f>_xlfn.XLOOKUP(C6065,Contract!$A$2:$A$9,Contract!$B$2:$B$9)</f>
        <v>0.45</v>
      </c>
      <c r="S6065" s="1">
        <f t="shared" si="376"/>
        <v>108</v>
      </c>
      <c r="T6065" s="1">
        <f t="shared" si="377"/>
        <v>8.7900000000000063</v>
      </c>
      <c r="U6065" s="1" t="str">
        <f t="shared" si="378"/>
        <v>Underpaid</v>
      </c>
      <c r="V6065" s="1" t="str">
        <f>_xlfn.XLOOKUP(C6065,Payers!$A$2:$A$9,Payers!$B$2:$B$9)</f>
        <v>Blue Horizon Commercial</v>
      </c>
      <c r="W6065" s="1" t="str">
        <f t="shared" si="379"/>
        <v>2026-04</v>
      </c>
    </row>
    <row r="6066" spans="1:23">
      <c r="A6066" s="1" t="s">
        <v>8994</v>
      </c>
      <c r="B6066" s="1" t="s">
        <v>5360</v>
      </c>
      <c r="C6066" s="1" t="s">
        <v>60</v>
      </c>
      <c r="D6066" s="1" t="s">
        <v>19</v>
      </c>
      <c r="E6066" s="1" t="s">
        <v>57</v>
      </c>
      <c r="F6066">
        <v>1</v>
      </c>
      <c r="G6066" s="2">
        <v>46181</v>
      </c>
      <c r="H6066" s="2">
        <v>46183</v>
      </c>
      <c r="I6066">
        <v>209.19</v>
      </c>
      <c r="J6066">
        <v>97.95</v>
      </c>
      <c r="K6066">
        <v>78.36</v>
      </c>
      <c r="L6066">
        <v>19.59</v>
      </c>
      <c r="M6066" s="1" t="s">
        <v>21</v>
      </c>
      <c r="N6066" s="1" t="s">
        <v>22</v>
      </c>
      <c r="O6066" s="2">
        <v>46198</v>
      </c>
      <c r="P6066" s="2">
        <v>46198</v>
      </c>
      <c r="Q6066">
        <f>_xlfn.XLOOKUP(E6066,CPT!$A$2:$A$13,CPT!$D$2:$D$13)</f>
        <v>210</v>
      </c>
      <c r="R6066" s="1">
        <f>_xlfn.XLOOKUP(C6066,Contract!$A$2:$A$9,Contract!$B$2:$B$9)</f>
        <v>0.45</v>
      </c>
      <c r="S6066" s="1">
        <f t="shared" si="376"/>
        <v>94.5</v>
      </c>
      <c r="T6066" s="1">
        <f t="shared" si="377"/>
        <v>-3.4500000000000028</v>
      </c>
      <c r="U6066" s="1" t="str">
        <f t="shared" si="378"/>
        <v>OK</v>
      </c>
      <c r="V6066" s="1" t="str">
        <f>_xlfn.XLOOKUP(C6066,Payers!$A$2:$A$9,Payers!$B$2:$B$9)</f>
        <v>Blue Horizon Commercial</v>
      </c>
      <c r="W6066" s="1" t="str">
        <f t="shared" si="379"/>
        <v>2026-06</v>
      </c>
    </row>
    <row r="6067" spans="1:23">
      <c r="A6067" s="1" t="s">
        <v>8995</v>
      </c>
      <c r="B6067" s="1" t="s">
        <v>594</v>
      </c>
      <c r="C6067" s="1" t="s">
        <v>60</v>
      </c>
      <c r="D6067" s="1" t="s">
        <v>37</v>
      </c>
      <c r="E6067" s="1" t="s">
        <v>38</v>
      </c>
      <c r="F6067">
        <v>10</v>
      </c>
      <c r="G6067" s="2">
        <v>46235</v>
      </c>
      <c r="H6067" s="2">
        <v>46239</v>
      </c>
      <c r="I6067">
        <v>14462.65</v>
      </c>
      <c r="J6067">
        <v>6003.52</v>
      </c>
      <c r="K6067">
        <v>6003.52</v>
      </c>
      <c r="L6067">
        <v>0</v>
      </c>
      <c r="M6067" s="1" t="s">
        <v>21</v>
      </c>
      <c r="N6067" s="1" t="s">
        <v>22</v>
      </c>
      <c r="O6067" s="2">
        <v>46267</v>
      </c>
      <c r="P6067" s="2">
        <v>46267</v>
      </c>
      <c r="Q6067">
        <f>_xlfn.XLOOKUP(E6067,CPT!$A$2:$A$13,CPT!$D$2:$D$13)</f>
        <v>1450</v>
      </c>
      <c r="R6067" s="1">
        <f>_xlfn.XLOOKUP(C6067,Contract!$A$2:$A$9,Contract!$B$2:$B$9)</f>
        <v>0.45</v>
      </c>
      <c r="S6067" s="1">
        <f t="shared" si="376"/>
        <v>6525</v>
      </c>
      <c r="T6067" s="1">
        <f t="shared" si="377"/>
        <v>521.47999999999956</v>
      </c>
      <c r="U6067" s="1" t="str">
        <f t="shared" si="378"/>
        <v>Underpaid</v>
      </c>
      <c r="V6067" s="1" t="str">
        <f>_xlfn.XLOOKUP(C6067,Payers!$A$2:$A$9,Payers!$B$2:$B$9)</f>
        <v>Blue Horizon Commercial</v>
      </c>
      <c r="W6067" s="1" t="str">
        <f t="shared" si="379"/>
        <v>2026-08</v>
      </c>
    </row>
    <row r="6068" spans="1:23">
      <c r="A6068" s="1" t="s">
        <v>8996</v>
      </c>
      <c r="B6068" s="1" t="s">
        <v>8036</v>
      </c>
      <c r="C6068" s="1" t="s">
        <v>52</v>
      </c>
      <c r="D6068" s="1" t="s">
        <v>19</v>
      </c>
      <c r="E6068" s="1" t="s">
        <v>20</v>
      </c>
      <c r="F6068">
        <v>1</v>
      </c>
      <c r="G6068" s="2">
        <v>46003</v>
      </c>
      <c r="H6068" s="2">
        <v>46007</v>
      </c>
      <c r="I6068">
        <v>144.15</v>
      </c>
      <c r="M6068" s="1" t="s">
        <v>32</v>
      </c>
      <c r="N6068" s="1" t="s">
        <v>124</v>
      </c>
      <c r="O6068" s="2">
        <v>46041</v>
      </c>
      <c r="P6068" s="2"/>
      <c r="Q6068">
        <f>_xlfn.XLOOKUP(E6068,CPT!$A$2:$A$13,CPT!$D$2:$D$13)</f>
        <v>145</v>
      </c>
      <c r="R6068" s="1">
        <f>_xlfn.XLOOKUP(C6068,Contract!$A$2:$A$9,Contract!$B$2:$B$9)</f>
        <v>0.47</v>
      </c>
      <c r="S6068" s="1">
        <f t="shared" si="376"/>
        <v>68.150000000000006</v>
      </c>
      <c r="T6068" s="1" t="str">
        <f t="shared" si="377"/>
        <v/>
      </c>
      <c r="U6068" s="1" t="str">
        <f t="shared" si="378"/>
        <v/>
      </c>
      <c r="V6068" s="1" t="str">
        <f>_xlfn.XLOOKUP(C6068,Payers!$A$2:$A$9,Payers!$B$2:$B$9)</f>
        <v>Keystone Commercial PPO</v>
      </c>
      <c r="W6068" s="1" t="str">
        <f t="shared" si="379"/>
        <v>2025-12</v>
      </c>
    </row>
    <row r="6069" spans="1:23">
      <c r="A6069" s="1" t="s">
        <v>8997</v>
      </c>
      <c r="B6069" s="1" t="s">
        <v>4137</v>
      </c>
      <c r="C6069" s="1" t="s">
        <v>36</v>
      </c>
      <c r="D6069" s="1" t="s">
        <v>30</v>
      </c>
      <c r="E6069" s="1" t="s">
        <v>20</v>
      </c>
      <c r="F6069">
        <v>1</v>
      </c>
      <c r="G6069" s="2">
        <v>46194</v>
      </c>
      <c r="H6069" s="2">
        <v>46197</v>
      </c>
      <c r="I6069">
        <v>141.72</v>
      </c>
      <c r="J6069">
        <v>32.479999999999997</v>
      </c>
      <c r="K6069">
        <v>25.98</v>
      </c>
      <c r="L6069">
        <v>6.5</v>
      </c>
      <c r="M6069" s="1" t="s">
        <v>21</v>
      </c>
      <c r="N6069" s="1" t="s">
        <v>22</v>
      </c>
      <c r="O6069" s="2">
        <v>46238</v>
      </c>
      <c r="P6069" s="2">
        <v>46238</v>
      </c>
      <c r="Q6069">
        <f>_xlfn.XLOOKUP(E6069,CPT!$A$2:$A$13,CPT!$D$2:$D$13)</f>
        <v>145</v>
      </c>
      <c r="R6069" s="1">
        <f>_xlfn.XLOOKUP(C6069,Contract!$A$2:$A$9,Contract!$B$2:$B$9)</f>
        <v>0.27</v>
      </c>
      <c r="S6069" s="1">
        <f t="shared" si="376"/>
        <v>39.15</v>
      </c>
      <c r="T6069" s="1">
        <f t="shared" si="377"/>
        <v>6.6700000000000017</v>
      </c>
      <c r="U6069" s="1" t="str">
        <f t="shared" si="378"/>
        <v>Underpaid</v>
      </c>
      <c r="V6069" s="1" t="str">
        <f>_xlfn.XLOOKUP(C6069,Payers!$A$2:$A$9,Payers!$B$2:$B$9)</f>
        <v>Florida Medicaid</v>
      </c>
      <c r="W6069" s="1" t="str">
        <f t="shared" si="379"/>
        <v>2026-06</v>
      </c>
    </row>
    <row r="6070" spans="1:23">
      <c r="A6070" s="1" t="s">
        <v>8998</v>
      </c>
      <c r="B6070" s="1" t="s">
        <v>3994</v>
      </c>
      <c r="C6070" s="1" t="s">
        <v>60</v>
      </c>
      <c r="D6070" s="1" t="s">
        <v>26</v>
      </c>
      <c r="E6070" s="1" t="s">
        <v>57</v>
      </c>
      <c r="F6070">
        <v>1</v>
      </c>
      <c r="G6070" s="2">
        <v>46038</v>
      </c>
      <c r="H6070" s="2">
        <v>46052</v>
      </c>
      <c r="I6070">
        <v>210.83</v>
      </c>
      <c r="J6070">
        <v>107.8</v>
      </c>
      <c r="K6070">
        <v>107.8</v>
      </c>
      <c r="L6070">
        <v>0</v>
      </c>
      <c r="M6070" s="1" t="s">
        <v>21</v>
      </c>
      <c r="N6070" s="1" t="s">
        <v>22</v>
      </c>
      <c r="O6070" s="2">
        <v>46077</v>
      </c>
      <c r="P6070" s="2">
        <v>46077</v>
      </c>
      <c r="Q6070">
        <f>_xlfn.XLOOKUP(E6070,CPT!$A$2:$A$13,CPT!$D$2:$D$13)</f>
        <v>210</v>
      </c>
      <c r="R6070" s="1">
        <f>_xlfn.XLOOKUP(C6070,Contract!$A$2:$A$9,Contract!$B$2:$B$9)</f>
        <v>0.45</v>
      </c>
      <c r="S6070" s="1">
        <f t="shared" si="376"/>
        <v>94.5</v>
      </c>
      <c r="T6070" s="1">
        <f t="shared" si="377"/>
        <v>-13.299999999999997</v>
      </c>
      <c r="U6070" s="1" t="str">
        <f t="shared" si="378"/>
        <v>OK</v>
      </c>
      <c r="V6070" s="1" t="str">
        <f>_xlfn.XLOOKUP(C6070,Payers!$A$2:$A$9,Payers!$B$2:$B$9)</f>
        <v>Blue Horizon Commercial</v>
      </c>
      <c r="W6070" s="1" t="str">
        <f t="shared" si="379"/>
        <v>2026-01</v>
      </c>
    </row>
    <row r="6071" spans="1:23">
      <c r="A6071" s="1" t="s">
        <v>8999</v>
      </c>
      <c r="B6071" s="1" t="s">
        <v>6210</v>
      </c>
      <c r="C6071" s="1" t="s">
        <v>76</v>
      </c>
      <c r="D6071" s="1" t="s">
        <v>26</v>
      </c>
      <c r="E6071" s="1" t="s">
        <v>113</v>
      </c>
      <c r="F6071">
        <v>1</v>
      </c>
      <c r="G6071" s="2">
        <v>46249</v>
      </c>
      <c r="H6071" s="2">
        <v>46258</v>
      </c>
      <c r="I6071">
        <v>1039.43</v>
      </c>
      <c r="J6071">
        <v>380.45</v>
      </c>
      <c r="K6071">
        <v>342.4</v>
      </c>
      <c r="L6071">
        <v>38.049999999999997</v>
      </c>
      <c r="M6071" s="1" t="s">
        <v>21</v>
      </c>
      <c r="N6071" s="1" t="s">
        <v>22</v>
      </c>
      <c r="O6071" s="2">
        <v>46279</v>
      </c>
      <c r="P6071" s="2">
        <v>46279</v>
      </c>
      <c r="Q6071">
        <f>_xlfn.XLOOKUP(E6071,CPT!$A$2:$A$13,CPT!$D$2:$D$13)</f>
        <v>1050</v>
      </c>
      <c r="R6071" s="1">
        <f>_xlfn.XLOOKUP(C6071,Contract!$A$2:$A$9,Contract!$B$2:$B$9)</f>
        <v>0.43</v>
      </c>
      <c r="S6071" s="1">
        <f t="shared" si="376"/>
        <v>451.5</v>
      </c>
      <c r="T6071" s="1">
        <f t="shared" si="377"/>
        <v>71.050000000000011</v>
      </c>
      <c r="U6071" s="1" t="str">
        <f t="shared" si="378"/>
        <v>Underpaid</v>
      </c>
      <c r="V6071" s="1" t="str">
        <f>_xlfn.XLOOKUP(C6071,Payers!$A$2:$A$9,Payers!$B$2:$B$9)</f>
        <v>Summit Health Commercial</v>
      </c>
      <c r="W6071" s="1" t="str">
        <f t="shared" si="379"/>
        <v>2026-08</v>
      </c>
    </row>
    <row r="6072" spans="1:23">
      <c r="A6072" s="1" t="s">
        <v>9000</v>
      </c>
      <c r="B6072" s="1" t="s">
        <v>924</v>
      </c>
      <c r="C6072" s="1" t="s">
        <v>60</v>
      </c>
      <c r="D6072" s="1" t="s">
        <v>26</v>
      </c>
      <c r="E6072" s="1" t="s">
        <v>113</v>
      </c>
      <c r="F6072">
        <v>1</v>
      </c>
      <c r="G6072" s="2">
        <v>46224</v>
      </c>
      <c r="H6072" s="2">
        <v>46226</v>
      </c>
      <c r="I6072">
        <v>1031.4100000000001</v>
      </c>
      <c r="M6072" s="1" t="s">
        <v>32</v>
      </c>
      <c r="N6072" s="1" t="s">
        <v>168</v>
      </c>
      <c r="O6072" s="2">
        <v>46252</v>
      </c>
      <c r="P6072" s="2"/>
      <c r="Q6072">
        <f>_xlfn.XLOOKUP(E6072,CPT!$A$2:$A$13,CPT!$D$2:$D$13)</f>
        <v>1050</v>
      </c>
      <c r="R6072" s="1">
        <f>_xlfn.XLOOKUP(C6072,Contract!$A$2:$A$9,Contract!$B$2:$B$9)</f>
        <v>0.45</v>
      </c>
      <c r="S6072" s="1">
        <f t="shared" si="376"/>
        <v>472.5</v>
      </c>
      <c r="T6072" s="1" t="str">
        <f t="shared" si="377"/>
        <v/>
      </c>
      <c r="U6072" s="1" t="str">
        <f t="shared" si="378"/>
        <v/>
      </c>
      <c r="V6072" s="1" t="str">
        <f>_xlfn.XLOOKUP(C6072,Payers!$A$2:$A$9,Payers!$B$2:$B$9)</f>
        <v>Blue Horizon Commercial</v>
      </c>
      <c r="W6072" s="1" t="str">
        <f t="shared" si="379"/>
        <v>2026-07</v>
      </c>
    </row>
    <row r="6073" spans="1:23">
      <c r="A6073" s="1" t="s">
        <v>9001</v>
      </c>
      <c r="B6073" s="1" t="s">
        <v>482</v>
      </c>
      <c r="C6073" s="1" t="s">
        <v>36</v>
      </c>
      <c r="D6073" s="1" t="s">
        <v>26</v>
      </c>
      <c r="E6073" s="1" t="s">
        <v>44</v>
      </c>
      <c r="F6073">
        <v>1</v>
      </c>
      <c r="G6073" s="2">
        <v>46186</v>
      </c>
      <c r="H6073" s="2">
        <v>46190</v>
      </c>
      <c r="I6073">
        <v>4722.8</v>
      </c>
      <c r="M6073" s="1" t="s">
        <v>32</v>
      </c>
      <c r="N6073" s="1" t="s">
        <v>315</v>
      </c>
      <c r="O6073" s="2">
        <v>46236</v>
      </c>
      <c r="P6073" s="2"/>
      <c r="Q6073">
        <f>_xlfn.XLOOKUP(E6073,CPT!$A$2:$A$13,CPT!$D$2:$D$13)</f>
        <v>4800</v>
      </c>
      <c r="R6073" s="1">
        <f>_xlfn.XLOOKUP(C6073,Contract!$A$2:$A$9,Contract!$B$2:$B$9)</f>
        <v>0.27</v>
      </c>
      <c r="S6073" s="1">
        <f t="shared" si="376"/>
        <v>1296</v>
      </c>
      <c r="T6073" s="1" t="str">
        <f t="shared" si="377"/>
        <v/>
      </c>
      <c r="U6073" s="1" t="str">
        <f t="shared" si="378"/>
        <v/>
      </c>
      <c r="V6073" s="1" t="str">
        <f>_xlfn.XLOOKUP(C6073,Payers!$A$2:$A$9,Payers!$B$2:$B$9)</f>
        <v>Florida Medicaid</v>
      </c>
      <c r="W6073" s="1" t="str">
        <f t="shared" si="379"/>
        <v>2026-06</v>
      </c>
    </row>
    <row r="6074" spans="1:23">
      <c r="A6074" s="1" t="s">
        <v>9002</v>
      </c>
      <c r="B6074" s="1" t="s">
        <v>8140</v>
      </c>
      <c r="C6074" s="1" t="s">
        <v>52</v>
      </c>
      <c r="D6074" s="1" t="s">
        <v>30</v>
      </c>
      <c r="E6074" s="1" t="s">
        <v>91</v>
      </c>
      <c r="F6074">
        <v>1</v>
      </c>
      <c r="G6074" s="2">
        <v>46188</v>
      </c>
      <c r="H6074" s="2">
        <v>46189</v>
      </c>
      <c r="I6074">
        <v>58.45</v>
      </c>
      <c r="M6074" s="1" t="s">
        <v>32</v>
      </c>
      <c r="N6074" s="1" t="s">
        <v>168</v>
      </c>
      <c r="O6074" s="2">
        <v>46252</v>
      </c>
      <c r="P6074" s="2"/>
      <c r="Q6074">
        <f>_xlfn.XLOOKUP(E6074,CPT!$A$2:$A$13,CPT!$D$2:$D$13)</f>
        <v>58</v>
      </c>
      <c r="R6074" s="1">
        <f>_xlfn.XLOOKUP(C6074,Contract!$A$2:$A$9,Contract!$B$2:$B$9)</f>
        <v>0.47</v>
      </c>
      <c r="S6074" s="1">
        <f t="shared" si="376"/>
        <v>27.26</v>
      </c>
      <c r="T6074" s="1" t="str">
        <f t="shared" si="377"/>
        <v/>
      </c>
      <c r="U6074" s="1" t="str">
        <f t="shared" si="378"/>
        <v/>
      </c>
      <c r="V6074" s="1" t="str">
        <f>_xlfn.XLOOKUP(C6074,Payers!$A$2:$A$9,Payers!$B$2:$B$9)</f>
        <v>Keystone Commercial PPO</v>
      </c>
      <c r="W6074" s="1" t="str">
        <f t="shared" si="379"/>
        <v>2026-06</v>
      </c>
    </row>
    <row r="6075" spans="1:23">
      <c r="A6075" s="1" t="s">
        <v>9003</v>
      </c>
      <c r="B6075" s="1" t="s">
        <v>3742</v>
      </c>
      <c r="C6075" s="1" t="s">
        <v>36</v>
      </c>
      <c r="D6075" s="1" t="s">
        <v>19</v>
      </c>
      <c r="E6075" s="1" t="s">
        <v>88</v>
      </c>
      <c r="F6075">
        <v>1</v>
      </c>
      <c r="G6075" s="2">
        <v>46112</v>
      </c>
      <c r="H6075" s="2">
        <v>46119</v>
      </c>
      <c r="I6075">
        <v>257.08</v>
      </c>
      <c r="J6075">
        <v>66.44</v>
      </c>
      <c r="K6075">
        <v>53.15</v>
      </c>
      <c r="L6075">
        <v>13.29</v>
      </c>
      <c r="M6075" s="1" t="s">
        <v>21</v>
      </c>
      <c r="N6075" s="1" t="s">
        <v>22</v>
      </c>
      <c r="O6075" s="2">
        <v>46149</v>
      </c>
      <c r="P6075" s="2">
        <v>46149</v>
      </c>
      <c r="Q6075">
        <f>_xlfn.XLOOKUP(E6075,CPT!$A$2:$A$13,CPT!$D$2:$D$13)</f>
        <v>260</v>
      </c>
      <c r="R6075" s="1">
        <f>_xlfn.XLOOKUP(C6075,Contract!$A$2:$A$9,Contract!$B$2:$B$9)</f>
        <v>0.27</v>
      </c>
      <c r="S6075" s="1">
        <f t="shared" si="376"/>
        <v>70.2</v>
      </c>
      <c r="T6075" s="1">
        <f t="shared" si="377"/>
        <v>3.7600000000000051</v>
      </c>
      <c r="U6075" s="1" t="str">
        <f t="shared" si="378"/>
        <v>Underpaid</v>
      </c>
      <c r="V6075" s="1" t="str">
        <f>_xlfn.XLOOKUP(C6075,Payers!$A$2:$A$9,Payers!$B$2:$B$9)</f>
        <v>Florida Medicaid</v>
      </c>
      <c r="W6075" s="1" t="str">
        <f t="shared" si="379"/>
        <v>2026-03</v>
      </c>
    </row>
    <row r="6076" spans="1:23">
      <c r="A6076" s="1" t="s">
        <v>9004</v>
      </c>
      <c r="B6076" s="1" t="s">
        <v>9005</v>
      </c>
      <c r="C6076" s="1" t="s">
        <v>60</v>
      </c>
      <c r="D6076" s="1" t="s">
        <v>37</v>
      </c>
      <c r="E6076" s="1" t="s">
        <v>48</v>
      </c>
      <c r="F6076">
        <v>1</v>
      </c>
      <c r="G6076" s="2">
        <v>46225</v>
      </c>
      <c r="H6076" s="2">
        <v>46249</v>
      </c>
      <c r="I6076">
        <v>427.93</v>
      </c>
      <c r="J6076">
        <v>212.77</v>
      </c>
      <c r="K6076">
        <v>170.22</v>
      </c>
      <c r="L6076">
        <v>42.55</v>
      </c>
      <c r="M6076" s="1" t="s">
        <v>21</v>
      </c>
      <c r="N6076" s="1" t="s">
        <v>22</v>
      </c>
      <c r="O6076" s="2">
        <v>46281</v>
      </c>
      <c r="P6076" s="2">
        <v>46281</v>
      </c>
      <c r="Q6076">
        <f>_xlfn.XLOOKUP(E6076,CPT!$A$2:$A$13,CPT!$D$2:$D$13)</f>
        <v>420</v>
      </c>
      <c r="R6076" s="1">
        <f>_xlfn.XLOOKUP(C6076,Contract!$A$2:$A$9,Contract!$B$2:$B$9)</f>
        <v>0.45</v>
      </c>
      <c r="S6076" s="1">
        <f t="shared" si="376"/>
        <v>189</v>
      </c>
      <c r="T6076" s="1">
        <f t="shared" si="377"/>
        <v>-23.77000000000001</v>
      </c>
      <c r="U6076" s="1" t="str">
        <f t="shared" si="378"/>
        <v>OK</v>
      </c>
      <c r="V6076" s="1" t="str">
        <f>_xlfn.XLOOKUP(C6076,Payers!$A$2:$A$9,Payers!$B$2:$B$9)</f>
        <v>Blue Horizon Commercial</v>
      </c>
      <c r="W6076" s="1" t="str">
        <f t="shared" si="379"/>
        <v>2026-07</v>
      </c>
    </row>
    <row r="6077" spans="1:23">
      <c r="A6077" s="1" t="s">
        <v>9006</v>
      </c>
      <c r="B6077" s="1" t="s">
        <v>287</v>
      </c>
      <c r="C6077" s="1" t="s">
        <v>60</v>
      </c>
      <c r="D6077" s="1" t="s">
        <v>26</v>
      </c>
      <c r="E6077" s="1" t="s">
        <v>44</v>
      </c>
      <c r="F6077">
        <v>1</v>
      </c>
      <c r="G6077" s="2">
        <v>46001</v>
      </c>
      <c r="H6077" s="2">
        <v>46002</v>
      </c>
      <c r="I6077">
        <v>4925.51</v>
      </c>
      <c r="M6077" s="1" t="s">
        <v>32</v>
      </c>
      <c r="N6077" s="1" t="s">
        <v>33</v>
      </c>
      <c r="O6077" s="2">
        <v>46025</v>
      </c>
      <c r="P6077" s="2"/>
      <c r="Q6077">
        <f>_xlfn.XLOOKUP(E6077,CPT!$A$2:$A$13,CPT!$D$2:$D$13)</f>
        <v>4800</v>
      </c>
      <c r="R6077" s="1">
        <f>_xlfn.XLOOKUP(C6077,Contract!$A$2:$A$9,Contract!$B$2:$B$9)</f>
        <v>0.45</v>
      </c>
      <c r="S6077" s="1">
        <f t="shared" si="376"/>
        <v>2160</v>
      </c>
      <c r="T6077" s="1" t="str">
        <f t="shared" si="377"/>
        <v/>
      </c>
      <c r="U6077" s="1" t="str">
        <f t="shared" si="378"/>
        <v/>
      </c>
      <c r="V6077" s="1" t="str">
        <f>_xlfn.XLOOKUP(C6077,Payers!$A$2:$A$9,Payers!$B$2:$B$9)</f>
        <v>Blue Horizon Commercial</v>
      </c>
      <c r="W6077" s="1" t="str">
        <f t="shared" si="379"/>
        <v>2025-12</v>
      </c>
    </row>
    <row r="6078" spans="1:23">
      <c r="A6078" s="1" t="s">
        <v>9007</v>
      </c>
      <c r="B6078" s="1" t="s">
        <v>7004</v>
      </c>
      <c r="C6078" s="1" t="s">
        <v>79</v>
      </c>
      <c r="D6078" s="1" t="s">
        <v>26</v>
      </c>
      <c r="E6078" s="1" t="s">
        <v>27</v>
      </c>
      <c r="F6078">
        <v>1</v>
      </c>
      <c r="G6078" s="2">
        <v>46242</v>
      </c>
      <c r="H6078" s="2">
        <v>46249</v>
      </c>
      <c r="I6078">
        <v>243.24</v>
      </c>
      <c r="M6078" s="1" t="s">
        <v>69</v>
      </c>
      <c r="N6078" s="1" t="s">
        <v>22</v>
      </c>
      <c r="O6078" s="2"/>
      <c r="P6078" s="2"/>
      <c r="Q6078">
        <f>_xlfn.XLOOKUP(E6078,CPT!$A$2:$A$13,CPT!$D$2:$D$13)</f>
        <v>240</v>
      </c>
      <c r="R6078" s="1">
        <f>_xlfn.XLOOKUP(C6078,Contract!$A$2:$A$9,Contract!$B$2:$B$9)</f>
        <v>1</v>
      </c>
      <c r="S6078" s="1">
        <f t="shared" si="376"/>
        <v>240</v>
      </c>
      <c r="T6078" s="1" t="str">
        <f t="shared" si="377"/>
        <v/>
      </c>
      <c r="U6078" s="1" t="str">
        <f t="shared" si="378"/>
        <v/>
      </c>
      <c r="V6078" s="1" t="str">
        <f>_xlfn.XLOOKUP(C6078,Payers!$A$2:$A$9,Payers!$B$2:$B$9)</f>
        <v>Self-Pay</v>
      </c>
      <c r="W6078" s="1" t="str">
        <f t="shared" si="379"/>
        <v>2026-08</v>
      </c>
    </row>
    <row r="6079" spans="1:23">
      <c r="A6079" s="1" t="s">
        <v>9008</v>
      </c>
      <c r="B6079" s="1" t="s">
        <v>2394</v>
      </c>
      <c r="C6079" s="1" t="s">
        <v>60</v>
      </c>
      <c r="D6079" s="1" t="s">
        <v>26</v>
      </c>
      <c r="E6079" s="1" t="s">
        <v>185</v>
      </c>
      <c r="F6079">
        <v>1</v>
      </c>
      <c r="G6079" s="2">
        <v>46147</v>
      </c>
      <c r="H6079" s="2">
        <v>46148</v>
      </c>
      <c r="I6079">
        <v>1173.92</v>
      </c>
      <c r="J6079">
        <v>532.25</v>
      </c>
      <c r="K6079">
        <v>532.25</v>
      </c>
      <c r="L6079">
        <v>0</v>
      </c>
      <c r="M6079" s="1" t="s">
        <v>21</v>
      </c>
      <c r="N6079" s="1" t="s">
        <v>22</v>
      </c>
      <c r="O6079" s="2">
        <v>46175</v>
      </c>
      <c r="P6079" s="2">
        <v>46175</v>
      </c>
      <c r="Q6079">
        <f>_xlfn.XLOOKUP(E6079,CPT!$A$2:$A$13,CPT!$D$2:$D$13)</f>
        <v>1150</v>
      </c>
      <c r="R6079" s="1">
        <f>_xlfn.XLOOKUP(C6079,Contract!$A$2:$A$9,Contract!$B$2:$B$9)</f>
        <v>0.45</v>
      </c>
      <c r="S6079" s="1">
        <f t="shared" si="376"/>
        <v>517.5</v>
      </c>
      <c r="T6079" s="1">
        <f t="shared" si="377"/>
        <v>-14.75</v>
      </c>
      <c r="U6079" s="1" t="str">
        <f t="shared" si="378"/>
        <v>OK</v>
      </c>
      <c r="V6079" s="1" t="str">
        <f>_xlfn.XLOOKUP(C6079,Payers!$A$2:$A$9,Payers!$B$2:$B$9)</f>
        <v>Blue Horizon Commercial</v>
      </c>
      <c r="W6079" s="1" t="str">
        <f t="shared" si="379"/>
        <v>2026-05</v>
      </c>
    </row>
    <row r="6080" spans="1:23">
      <c r="A6080" s="1" t="s">
        <v>9009</v>
      </c>
      <c r="B6080" s="1" t="s">
        <v>2095</v>
      </c>
      <c r="C6080" s="1" t="s">
        <v>18</v>
      </c>
      <c r="D6080" s="1" t="s">
        <v>30</v>
      </c>
      <c r="E6080" s="1" t="s">
        <v>91</v>
      </c>
      <c r="F6080">
        <v>4</v>
      </c>
      <c r="G6080" s="2">
        <v>46268</v>
      </c>
      <c r="H6080" s="2">
        <v>46273</v>
      </c>
      <c r="I6080">
        <v>231.94</v>
      </c>
      <c r="M6080" s="1" t="s">
        <v>69</v>
      </c>
      <c r="N6080" s="1" t="s">
        <v>22</v>
      </c>
      <c r="O6080" s="2"/>
      <c r="P6080" s="2"/>
      <c r="Q6080">
        <f>_xlfn.XLOOKUP(E6080,CPT!$A$2:$A$13,CPT!$D$2:$D$13)</f>
        <v>58</v>
      </c>
      <c r="R6080" s="1">
        <f>_xlfn.XLOOKUP(C6080,Contract!$A$2:$A$9,Contract!$B$2:$B$9)</f>
        <v>0.38</v>
      </c>
      <c r="S6080" s="1">
        <f t="shared" si="376"/>
        <v>88.16</v>
      </c>
      <c r="T6080" s="1" t="str">
        <f t="shared" si="377"/>
        <v/>
      </c>
      <c r="U6080" s="1" t="str">
        <f t="shared" si="378"/>
        <v/>
      </c>
      <c r="V6080" s="1" t="str">
        <f>_xlfn.XLOOKUP(C6080,Payers!$A$2:$A$9,Payers!$B$2:$B$9)</f>
        <v>Sunshine Medicare Advantage</v>
      </c>
      <c r="W6080" s="1" t="str">
        <f t="shared" si="379"/>
        <v>2026-09</v>
      </c>
    </row>
    <row r="6081" spans="1:23">
      <c r="A6081" s="1" t="s">
        <v>9010</v>
      </c>
      <c r="B6081" s="1" t="s">
        <v>1149</v>
      </c>
      <c r="C6081" s="1" t="s">
        <v>18</v>
      </c>
      <c r="D6081" s="1" t="s">
        <v>26</v>
      </c>
      <c r="E6081" s="1" t="s">
        <v>113</v>
      </c>
      <c r="F6081">
        <v>1</v>
      </c>
      <c r="G6081" s="2">
        <v>46005</v>
      </c>
      <c r="H6081" s="2">
        <v>46009</v>
      </c>
      <c r="I6081">
        <v>1025.83</v>
      </c>
      <c r="J6081">
        <v>437.92</v>
      </c>
      <c r="K6081">
        <v>350.34</v>
      </c>
      <c r="L6081">
        <v>87.58</v>
      </c>
      <c r="M6081" s="1" t="s">
        <v>21</v>
      </c>
      <c r="N6081" s="1" t="s">
        <v>22</v>
      </c>
      <c r="O6081" s="2">
        <v>46081</v>
      </c>
      <c r="P6081" s="2">
        <v>46081</v>
      </c>
      <c r="Q6081">
        <f>_xlfn.XLOOKUP(E6081,CPT!$A$2:$A$13,CPT!$D$2:$D$13)</f>
        <v>1050</v>
      </c>
      <c r="R6081" s="1">
        <f>_xlfn.XLOOKUP(C6081,Contract!$A$2:$A$9,Contract!$B$2:$B$9)</f>
        <v>0.38</v>
      </c>
      <c r="S6081" s="1">
        <f t="shared" si="376"/>
        <v>399</v>
      </c>
      <c r="T6081" s="1">
        <f t="shared" si="377"/>
        <v>-38.920000000000016</v>
      </c>
      <c r="U6081" s="1" t="str">
        <f t="shared" si="378"/>
        <v>OK</v>
      </c>
      <c r="V6081" s="1" t="str">
        <f>_xlfn.XLOOKUP(C6081,Payers!$A$2:$A$9,Payers!$B$2:$B$9)</f>
        <v>Sunshine Medicare Advantage</v>
      </c>
      <c r="W6081" s="1" t="str">
        <f t="shared" si="379"/>
        <v>2025-12</v>
      </c>
    </row>
    <row r="6082" spans="1:23">
      <c r="A6082" s="1" t="s">
        <v>9011</v>
      </c>
      <c r="B6082" s="1" t="s">
        <v>9012</v>
      </c>
      <c r="C6082" s="1" t="s">
        <v>18</v>
      </c>
      <c r="D6082" s="1" t="s">
        <v>30</v>
      </c>
      <c r="E6082" s="1" t="s">
        <v>20</v>
      </c>
      <c r="F6082">
        <v>1</v>
      </c>
      <c r="G6082" s="2">
        <v>45940</v>
      </c>
      <c r="H6082" s="2">
        <v>45942</v>
      </c>
      <c r="I6082">
        <v>147.72999999999999</v>
      </c>
      <c r="J6082">
        <v>49.29</v>
      </c>
      <c r="K6082">
        <v>49.29</v>
      </c>
      <c r="L6082">
        <v>0</v>
      </c>
      <c r="M6082" s="1" t="s">
        <v>21</v>
      </c>
      <c r="N6082" s="1" t="s">
        <v>22</v>
      </c>
      <c r="O6082" s="2">
        <v>46006</v>
      </c>
      <c r="P6082" s="2">
        <v>46006</v>
      </c>
      <c r="Q6082">
        <f>_xlfn.XLOOKUP(E6082,CPT!$A$2:$A$13,CPT!$D$2:$D$13)</f>
        <v>145</v>
      </c>
      <c r="R6082" s="1">
        <f>_xlfn.XLOOKUP(C6082,Contract!$A$2:$A$9,Contract!$B$2:$B$9)</f>
        <v>0.38</v>
      </c>
      <c r="S6082" s="1">
        <f t="shared" ref="S6082:S6145" si="380">ROUND(Q6082*F6082*R6082,2)</f>
        <v>55.1</v>
      </c>
      <c r="T6082" s="1">
        <f t="shared" ref="T6082:T6145" si="381">IF(M6082="Paid",S6082-J6082,"")</f>
        <v>5.8100000000000023</v>
      </c>
      <c r="U6082" s="1" t="str">
        <f t="shared" ref="U6082:U6145" si="382">IF(M6082&lt;&gt;"Paid","",IF(T6082&gt;S6082*0.05,"Underpaid","OK"))</f>
        <v>Underpaid</v>
      </c>
      <c r="V6082" s="1" t="str">
        <f>_xlfn.XLOOKUP(C6082,Payers!$A$2:$A$9,Payers!$B$2:$B$9)</f>
        <v>Sunshine Medicare Advantage</v>
      </c>
      <c r="W6082" s="1" t="str">
        <f t="shared" ref="W6082:W6095" si="383">TEXT(G6082,"yyyy-mm")</f>
        <v>2025-10</v>
      </c>
    </row>
    <row r="6083" spans="1:23">
      <c r="A6083" s="1" t="s">
        <v>9013</v>
      </c>
      <c r="B6083" s="1" t="s">
        <v>383</v>
      </c>
      <c r="C6083" s="1" t="s">
        <v>18</v>
      </c>
      <c r="D6083" s="1" t="s">
        <v>26</v>
      </c>
      <c r="E6083" s="1" t="s">
        <v>88</v>
      </c>
      <c r="F6083">
        <v>1</v>
      </c>
      <c r="G6083" s="2">
        <v>46263</v>
      </c>
      <c r="H6083" s="2">
        <v>46267</v>
      </c>
      <c r="I6083">
        <v>260.55</v>
      </c>
      <c r="M6083" s="1" t="s">
        <v>69</v>
      </c>
      <c r="N6083" s="1" t="s">
        <v>22</v>
      </c>
      <c r="O6083" s="2"/>
      <c r="P6083" s="2"/>
      <c r="Q6083">
        <f>_xlfn.XLOOKUP(E6083,CPT!$A$2:$A$13,CPT!$D$2:$D$13)</f>
        <v>260</v>
      </c>
      <c r="R6083" s="1">
        <f>_xlfn.XLOOKUP(C6083,Contract!$A$2:$A$9,Contract!$B$2:$B$9)</f>
        <v>0.38</v>
      </c>
      <c r="S6083" s="1">
        <f t="shared" si="380"/>
        <v>98.8</v>
      </c>
      <c r="T6083" s="1" t="str">
        <f t="shared" si="381"/>
        <v/>
      </c>
      <c r="U6083" s="1" t="str">
        <f t="shared" si="382"/>
        <v/>
      </c>
      <c r="V6083" s="1" t="str">
        <f>_xlfn.XLOOKUP(C6083,Payers!$A$2:$A$9,Payers!$B$2:$B$9)</f>
        <v>Sunshine Medicare Advantage</v>
      </c>
      <c r="W6083" s="1" t="str">
        <f t="shared" si="383"/>
        <v>2026-08</v>
      </c>
    </row>
    <row r="6084" spans="1:23">
      <c r="A6084" s="1" t="s">
        <v>9014</v>
      </c>
      <c r="B6084" s="1" t="s">
        <v>1741</v>
      </c>
      <c r="C6084" s="1" t="s">
        <v>47</v>
      </c>
      <c r="D6084" s="1" t="s">
        <v>30</v>
      </c>
      <c r="E6084" s="1" t="s">
        <v>31</v>
      </c>
      <c r="F6084">
        <v>1</v>
      </c>
      <c r="G6084" s="2">
        <v>46084</v>
      </c>
      <c r="H6084" s="2">
        <v>46085</v>
      </c>
      <c r="I6084">
        <v>61.36</v>
      </c>
      <c r="M6084" s="1" t="s">
        <v>32</v>
      </c>
      <c r="N6084" s="1" t="s">
        <v>33</v>
      </c>
      <c r="O6084" s="2">
        <v>46156</v>
      </c>
      <c r="P6084" s="2"/>
      <c r="Q6084">
        <f>_xlfn.XLOOKUP(E6084,CPT!$A$2:$A$13,CPT!$D$2:$D$13)</f>
        <v>62</v>
      </c>
      <c r="R6084" s="1">
        <f>_xlfn.XLOOKUP(C6084,Contract!$A$2:$A$9,Contract!$B$2:$B$9)</f>
        <v>0.28000000000000003</v>
      </c>
      <c r="S6084" s="1">
        <f t="shared" si="380"/>
        <v>17.36</v>
      </c>
      <c r="T6084" s="1" t="str">
        <f t="shared" si="381"/>
        <v/>
      </c>
      <c r="U6084" s="1" t="str">
        <f t="shared" si="382"/>
        <v/>
      </c>
      <c r="V6084" s="1" t="str">
        <f>_xlfn.XLOOKUP(C6084,Payers!$A$2:$A$9,Payers!$B$2:$B$9)</f>
        <v>Coastal Medicaid MCO</v>
      </c>
      <c r="W6084" s="1" t="str">
        <f t="shared" si="383"/>
        <v>2026-03</v>
      </c>
    </row>
    <row r="6085" spans="1:23">
      <c r="A6085" s="1" t="s">
        <v>9015</v>
      </c>
      <c r="B6085" s="1" t="s">
        <v>6050</v>
      </c>
      <c r="C6085" s="1" t="s">
        <v>60</v>
      </c>
      <c r="D6085" s="1" t="s">
        <v>26</v>
      </c>
      <c r="E6085" s="1" t="s">
        <v>57</v>
      </c>
      <c r="F6085">
        <v>1</v>
      </c>
      <c r="G6085" s="2">
        <v>46128</v>
      </c>
      <c r="H6085" s="2">
        <v>46132</v>
      </c>
      <c r="I6085">
        <v>213.44</v>
      </c>
      <c r="J6085">
        <v>83.46</v>
      </c>
      <c r="K6085">
        <v>66.77</v>
      </c>
      <c r="L6085">
        <v>16.690000000000001</v>
      </c>
      <c r="M6085" s="1" t="s">
        <v>21</v>
      </c>
      <c r="N6085" s="1" t="s">
        <v>22</v>
      </c>
      <c r="O6085" s="2">
        <v>46155</v>
      </c>
      <c r="P6085" s="2">
        <v>46155</v>
      </c>
      <c r="Q6085">
        <f>_xlfn.XLOOKUP(E6085,CPT!$A$2:$A$13,CPT!$D$2:$D$13)</f>
        <v>210</v>
      </c>
      <c r="R6085" s="1">
        <f>_xlfn.XLOOKUP(C6085,Contract!$A$2:$A$9,Contract!$B$2:$B$9)</f>
        <v>0.45</v>
      </c>
      <c r="S6085" s="1">
        <f t="shared" si="380"/>
        <v>94.5</v>
      </c>
      <c r="T6085" s="1">
        <f t="shared" si="381"/>
        <v>11.040000000000006</v>
      </c>
      <c r="U6085" s="1" t="str">
        <f t="shared" si="382"/>
        <v>Underpaid</v>
      </c>
      <c r="V6085" s="1" t="str">
        <f>_xlfn.XLOOKUP(C6085,Payers!$A$2:$A$9,Payers!$B$2:$B$9)</f>
        <v>Blue Horizon Commercial</v>
      </c>
      <c r="W6085" s="1" t="str">
        <f t="shared" si="383"/>
        <v>2026-04</v>
      </c>
    </row>
    <row r="6086" spans="1:23">
      <c r="A6086" s="1" t="s">
        <v>9016</v>
      </c>
      <c r="B6086" s="1" t="s">
        <v>1790</v>
      </c>
      <c r="C6086" s="1" t="s">
        <v>25</v>
      </c>
      <c r="D6086" s="1" t="s">
        <v>26</v>
      </c>
      <c r="E6086" s="1" t="s">
        <v>113</v>
      </c>
      <c r="F6086">
        <v>1</v>
      </c>
      <c r="G6086" s="2">
        <v>46055</v>
      </c>
      <c r="H6086" s="2">
        <v>46059</v>
      </c>
      <c r="I6086">
        <v>1078.0999999999999</v>
      </c>
      <c r="J6086">
        <v>336.32</v>
      </c>
      <c r="K6086">
        <v>269.06</v>
      </c>
      <c r="L6086">
        <v>67.260000000000005</v>
      </c>
      <c r="M6086" s="1" t="s">
        <v>21</v>
      </c>
      <c r="N6086" s="1" t="s">
        <v>22</v>
      </c>
      <c r="O6086" s="2">
        <v>46078</v>
      </c>
      <c r="P6086" s="2">
        <v>46078</v>
      </c>
      <c r="Q6086">
        <f>_xlfn.XLOOKUP(E6086,CPT!$A$2:$A$13,CPT!$D$2:$D$13)</f>
        <v>1050</v>
      </c>
      <c r="R6086" s="1">
        <f>_xlfn.XLOOKUP(C6086,Contract!$A$2:$A$9,Contract!$B$2:$B$9)</f>
        <v>0.36</v>
      </c>
      <c r="S6086" s="1">
        <f t="shared" si="380"/>
        <v>378</v>
      </c>
      <c r="T6086" s="1">
        <f t="shared" si="381"/>
        <v>41.680000000000007</v>
      </c>
      <c r="U6086" s="1" t="str">
        <f t="shared" si="382"/>
        <v>Underpaid</v>
      </c>
      <c r="V6086" s="1" t="str">
        <f>_xlfn.XLOOKUP(C6086,Payers!$A$2:$A$9,Payers!$B$2:$B$9)</f>
        <v>Medicare Part B</v>
      </c>
      <c r="W6086" s="1" t="str">
        <f t="shared" si="383"/>
        <v>2026-02</v>
      </c>
    </row>
    <row r="6087" spans="1:23">
      <c r="A6087" s="1" t="s">
        <v>9017</v>
      </c>
      <c r="B6087" s="1" t="s">
        <v>1515</v>
      </c>
      <c r="C6087" s="1" t="s">
        <v>36</v>
      </c>
      <c r="D6087" s="1" t="s">
        <v>26</v>
      </c>
      <c r="E6087" s="1" t="s">
        <v>88</v>
      </c>
      <c r="F6087">
        <v>1</v>
      </c>
      <c r="G6087" s="2">
        <v>46152</v>
      </c>
      <c r="H6087" s="2">
        <v>46155</v>
      </c>
      <c r="I6087">
        <v>263.31</v>
      </c>
      <c r="J6087">
        <v>71.52</v>
      </c>
      <c r="K6087">
        <v>57.22</v>
      </c>
      <c r="L6087">
        <v>14.3</v>
      </c>
      <c r="M6087" s="1" t="s">
        <v>21</v>
      </c>
      <c r="N6087" s="1" t="s">
        <v>22</v>
      </c>
      <c r="O6087" s="2">
        <v>46213</v>
      </c>
      <c r="P6087" s="2">
        <v>46213</v>
      </c>
      <c r="Q6087">
        <f>_xlfn.XLOOKUP(E6087,CPT!$A$2:$A$13,CPT!$D$2:$D$13)</f>
        <v>260</v>
      </c>
      <c r="R6087" s="1">
        <f>_xlfn.XLOOKUP(C6087,Contract!$A$2:$A$9,Contract!$B$2:$B$9)</f>
        <v>0.27</v>
      </c>
      <c r="S6087" s="1">
        <f t="shared" si="380"/>
        <v>70.2</v>
      </c>
      <c r="T6087" s="1">
        <f t="shared" si="381"/>
        <v>-1.3199999999999932</v>
      </c>
      <c r="U6087" s="1" t="str">
        <f t="shared" si="382"/>
        <v>OK</v>
      </c>
      <c r="V6087" s="1" t="str">
        <f>_xlfn.XLOOKUP(C6087,Payers!$A$2:$A$9,Payers!$B$2:$B$9)</f>
        <v>Florida Medicaid</v>
      </c>
      <c r="W6087" s="1" t="str">
        <f t="shared" si="383"/>
        <v>2026-05</v>
      </c>
    </row>
    <row r="6088" spans="1:23">
      <c r="A6088" s="1" t="s">
        <v>9018</v>
      </c>
      <c r="B6088" s="1" t="s">
        <v>1527</v>
      </c>
      <c r="C6088" s="1" t="s">
        <v>60</v>
      </c>
      <c r="D6088" s="1" t="s">
        <v>19</v>
      </c>
      <c r="E6088" s="1" t="s">
        <v>57</v>
      </c>
      <c r="F6088">
        <v>1</v>
      </c>
      <c r="G6088" s="2">
        <v>45946</v>
      </c>
      <c r="H6088" s="2">
        <v>45956</v>
      </c>
      <c r="I6088">
        <v>204.65</v>
      </c>
      <c r="J6088">
        <v>105.27</v>
      </c>
      <c r="K6088">
        <v>84.22</v>
      </c>
      <c r="L6088">
        <v>21.05</v>
      </c>
      <c r="M6088" s="1" t="s">
        <v>21</v>
      </c>
      <c r="N6088" s="1" t="s">
        <v>22</v>
      </c>
      <c r="O6088" s="2">
        <v>45982</v>
      </c>
      <c r="P6088" s="2">
        <v>45982</v>
      </c>
      <c r="Q6088">
        <f>_xlfn.XLOOKUP(E6088,CPT!$A$2:$A$13,CPT!$D$2:$D$13)</f>
        <v>210</v>
      </c>
      <c r="R6088" s="1">
        <f>_xlfn.XLOOKUP(C6088,Contract!$A$2:$A$9,Contract!$B$2:$B$9)</f>
        <v>0.45</v>
      </c>
      <c r="S6088" s="1">
        <f t="shared" si="380"/>
        <v>94.5</v>
      </c>
      <c r="T6088" s="1">
        <f t="shared" si="381"/>
        <v>-10.769999999999996</v>
      </c>
      <c r="U6088" s="1" t="str">
        <f t="shared" si="382"/>
        <v>OK</v>
      </c>
      <c r="V6088" s="1" t="str">
        <f>_xlfn.XLOOKUP(C6088,Payers!$A$2:$A$9,Payers!$B$2:$B$9)</f>
        <v>Blue Horizon Commercial</v>
      </c>
      <c r="W6088" s="1" t="str">
        <f t="shared" si="383"/>
        <v>2025-10</v>
      </c>
    </row>
    <row r="6089" spans="1:23">
      <c r="A6089" s="1" t="s">
        <v>9019</v>
      </c>
      <c r="B6089" s="1" t="s">
        <v>4665</v>
      </c>
      <c r="C6089" s="1" t="s">
        <v>52</v>
      </c>
      <c r="D6089" s="1" t="s">
        <v>26</v>
      </c>
      <c r="E6089" s="1" t="s">
        <v>27</v>
      </c>
      <c r="F6089">
        <v>1</v>
      </c>
      <c r="G6089" s="2">
        <v>45942</v>
      </c>
      <c r="H6089" s="2">
        <v>45952</v>
      </c>
      <c r="I6089">
        <v>245.48</v>
      </c>
      <c r="M6089" s="1" t="s">
        <v>32</v>
      </c>
      <c r="N6089" s="1" t="s">
        <v>281</v>
      </c>
      <c r="O6089" s="2">
        <v>46009</v>
      </c>
      <c r="P6089" s="2"/>
      <c r="Q6089">
        <f>_xlfn.XLOOKUP(E6089,CPT!$A$2:$A$13,CPT!$D$2:$D$13)</f>
        <v>240</v>
      </c>
      <c r="R6089" s="1">
        <f>_xlfn.XLOOKUP(C6089,Contract!$A$2:$A$9,Contract!$B$2:$B$9)</f>
        <v>0.47</v>
      </c>
      <c r="S6089" s="1">
        <f t="shared" si="380"/>
        <v>112.8</v>
      </c>
      <c r="T6089" s="1" t="str">
        <f t="shared" si="381"/>
        <v/>
      </c>
      <c r="U6089" s="1" t="str">
        <f t="shared" si="382"/>
        <v/>
      </c>
      <c r="V6089" s="1" t="str">
        <f>_xlfn.XLOOKUP(C6089,Payers!$A$2:$A$9,Payers!$B$2:$B$9)</f>
        <v>Keystone Commercial PPO</v>
      </c>
      <c r="W6089" s="1" t="str">
        <f t="shared" si="383"/>
        <v>2025-10</v>
      </c>
    </row>
    <row r="6090" spans="1:23">
      <c r="A6090" s="1" t="s">
        <v>9020</v>
      </c>
      <c r="B6090" s="1" t="s">
        <v>7064</v>
      </c>
      <c r="C6090" s="1" t="s">
        <v>18</v>
      </c>
      <c r="D6090" s="1" t="s">
        <v>26</v>
      </c>
      <c r="E6090" s="1" t="s">
        <v>44</v>
      </c>
      <c r="F6090">
        <v>1</v>
      </c>
      <c r="G6090" s="2">
        <v>46244</v>
      </c>
      <c r="H6090" s="2">
        <v>46245</v>
      </c>
      <c r="I6090">
        <v>4708.58</v>
      </c>
      <c r="J6090">
        <v>1652.38</v>
      </c>
      <c r="K6090">
        <v>1652.38</v>
      </c>
      <c r="L6090">
        <v>0</v>
      </c>
      <c r="M6090" s="1" t="s">
        <v>21</v>
      </c>
      <c r="N6090" s="1" t="s">
        <v>22</v>
      </c>
      <c r="O6090" s="2">
        <v>46281</v>
      </c>
      <c r="P6090" s="2">
        <v>46281</v>
      </c>
      <c r="Q6090">
        <f>_xlfn.XLOOKUP(E6090,CPT!$A$2:$A$13,CPT!$D$2:$D$13)</f>
        <v>4800</v>
      </c>
      <c r="R6090" s="1">
        <f>_xlfn.XLOOKUP(C6090,Contract!$A$2:$A$9,Contract!$B$2:$B$9)</f>
        <v>0.38</v>
      </c>
      <c r="S6090" s="1">
        <f t="shared" si="380"/>
        <v>1824</v>
      </c>
      <c r="T6090" s="1">
        <f t="shared" si="381"/>
        <v>171.61999999999989</v>
      </c>
      <c r="U6090" s="1" t="str">
        <f t="shared" si="382"/>
        <v>Underpaid</v>
      </c>
      <c r="V6090" s="1" t="str">
        <f>_xlfn.XLOOKUP(C6090,Payers!$A$2:$A$9,Payers!$B$2:$B$9)</f>
        <v>Sunshine Medicare Advantage</v>
      </c>
      <c r="W6090" s="1" t="str">
        <f t="shared" si="383"/>
        <v>2026-08</v>
      </c>
    </row>
    <row r="6091" spans="1:23">
      <c r="A6091" s="1" t="s">
        <v>9021</v>
      </c>
      <c r="B6091" s="1" t="s">
        <v>3840</v>
      </c>
      <c r="C6091" s="1" t="s">
        <v>76</v>
      </c>
      <c r="D6091" s="1" t="s">
        <v>37</v>
      </c>
      <c r="E6091" s="1" t="s">
        <v>48</v>
      </c>
      <c r="F6091">
        <v>1</v>
      </c>
      <c r="G6091" s="2">
        <v>46283</v>
      </c>
      <c r="H6091" s="2">
        <v>46291</v>
      </c>
      <c r="I6091">
        <v>408.66</v>
      </c>
      <c r="M6091" s="1" t="s">
        <v>69</v>
      </c>
      <c r="N6091" s="1" t="s">
        <v>22</v>
      </c>
      <c r="O6091" s="2"/>
      <c r="P6091" s="2"/>
      <c r="Q6091">
        <f>_xlfn.XLOOKUP(E6091,CPT!$A$2:$A$13,CPT!$D$2:$D$13)</f>
        <v>420</v>
      </c>
      <c r="R6091" s="1">
        <f>_xlfn.XLOOKUP(C6091,Contract!$A$2:$A$9,Contract!$B$2:$B$9)</f>
        <v>0.43</v>
      </c>
      <c r="S6091" s="1">
        <f t="shared" si="380"/>
        <v>180.6</v>
      </c>
      <c r="T6091" s="1" t="str">
        <f t="shared" si="381"/>
        <v/>
      </c>
      <c r="U6091" s="1" t="str">
        <f t="shared" si="382"/>
        <v/>
      </c>
      <c r="V6091" s="1" t="str">
        <f>_xlfn.XLOOKUP(C6091,Payers!$A$2:$A$9,Payers!$B$2:$B$9)</f>
        <v>Summit Health Commercial</v>
      </c>
      <c r="W6091" s="1" t="str">
        <f t="shared" si="383"/>
        <v>2026-09</v>
      </c>
    </row>
    <row r="6092" spans="1:23">
      <c r="A6092" s="1" t="s">
        <v>9022</v>
      </c>
      <c r="B6092" s="1" t="s">
        <v>4583</v>
      </c>
      <c r="C6092" s="1" t="s">
        <v>60</v>
      </c>
      <c r="D6092" s="1" t="s">
        <v>30</v>
      </c>
      <c r="E6092" s="1" t="s">
        <v>31</v>
      </c>
      <c r="F6092">
        <v>4</v>
      </c>
      <c r="G6092" s="2">
        <v>46203</v>
      </c>
      <c r="H6092" s="2">
        <v>46206</v>
      </c>
      <c r="I6092">
        <v>246</v>
      </c>
      <c r="J6092">
        <v>115.89</v>
      </c>
      <c r="K6092">
        <v>104.3</v>
      </c>
      <c r="L6092">
        <v>11.59</v>
      </c>
      <c r="M6092" s="1" t="s">
        <v>21</v>
      </c>
      <c r="N6092" s="1" t="s">
        <v>22</v>
      </c>
      <c r="O6092" s="2">
        <v>46242</v>
      </c>
      <c r="P6092" s="2">
        <v>46242</v>
      </c>
      <c r="Q6092">
        <f>_xlfn.XLOOKUP(E6092,CPT!$A$2:$A$13,CPT!$D$2:$D$13)</f>
        <v>62</v>
      </c>
      <c r="R6092" s="1">
        <f>_xlfn.XLOOKUP(C6092,Contract!$A$2:$A$9,Contract!$B$2:$B$9)</f>
        <v>0.45</v>
      </c>
      <c r="S6092" s="1">
        <f t="shared" si="380"/>
        <v>111.6</v>
      </c>
      <c r="T6092" s="1">
        <f t="shared" si="381"/>
        <v>-4.2900000000000063</v>
      </c>
      <c r="U6092" s="1" t="str">
        <f t="shared" si="382"/>
        <v>OK</v>
      </c>
      <c r="V6092" s="1" t="str">
        <f>_xlfn.XLOOKUP(C6092,Payers!$A$2:$A$9,Payers!$B$2:$B$9)</f>
        <v>Blue Horizon Commercial</v>
      </c>
      <c r="W6092" s="1" t="str">
        <f t="shared" si="383"/>
        <v>2026-06</v>
      </c>
    </row>
    <row r="6093" spans="1:23">
      <c r="A6093" s="1" t="s">
        <v>9023</v>
      </c>
      <c r="B6093" s="1" t="s">
        <v>1121</v>
      </c>
      <c r="C6093" s="1" t="s">
        <v>60</v>
      </c>
      <c r="D6093" s="1" t="s">
        <v>19</v>
      </c>
      <c r="E6093" s="1" t="s">
        <v>41</v>
      </c>
      <c r="F6093">
        <v>1</v>
      </c>
      <c r="G6093" s="2">
        <v>46066</v>
      </c>
      <c r="H6093" s="2">
        <v>46070</v>
      </c>
      <c r="I6093">
        <v>39.01</v>
      </c>
      <c r="J6093">
        <v>15.55</v>
      </c>
      <c r="K6093">
        <v>15.55</v>
      </c>
      <c r="L6093">
        <v>0</v>
      </c>
      <c r="M6093" s="1" t="s">
        <v>21</v>
      </c>
      <c r="N6093" s="1" t="s">
        <v>22</v>
      </c>
      <c r="O6093" s="2">
        <v>46094</v>
      </c>
      <c r="P6093" s="2">
        <v>46094</v>
      </c>
      <c r="Q6093">
        <f>_xlfn.XLOOKUP(E6093,CPT!$A$2:$A$13,CPT!$D$2:$D$13)</f>
        <v>38</v>
      </c>
      <c r="R6093" s="1">
        <f>_xlfn.XLOOKUP(C6093,Contract!$A$2:$A$9,Contract!$B$2:$B$9)</f>
        <v>0.45</v>
      </c>
      <c r="S6093" s="1">
        <f t="shared" si="380"/>
        <v>17.100000000000001</v>
      </c>
      <c r="T6093" s="1">
        <f t="shared" si="381"/>
        <v>1.5500000000000007</v>
      </c>
      <c r="U6093" s="1" t="str">
        <f t="shared" si="382"/>
        <v>Underpaid</v>
      </c>
      <c r="V6093" s="1" t="str">
        <f>_xlfn.XLOOKUP(C6093,Payers!$A$2:$A$9,Payers!$B$2:$B$9)</f>
        <v>Blue Horizon Commercial</v>
      </c>
      <c r="W6093" s="1" t="str">
        <f t="shared" si="383"/>
        <v>2026-02</v>
      </c>
    </row>
    <row r="6094" spans="1:23">
      <c r="A6094" s="1" t="s">
        <v>9024</v>
      </c>
      <c r="B6094" s="1" t="s">
        <v>9025</v>
      </c>
      <c r="C6094" s="1" t="s">
        <v>25</v>
      </c>
      <c r="D6094" s="1" t="s">
        <v>26</v>
      </c>
      <c r="E6094" s="1" t="s">
        <v>88</v>
      </c>
      <c r="F6094">
        <v>1</v>
      </c>
      <c r="G6094" s="2">
        <v>46033</v>
      </c>
      <c r="H6094" s="2">
        <v>46034</v>
      </c>
      <c r="I6094">
        <v>264.66000000000003</v>
      </c>
      <c r="J6094">
        <v>97.79</v>
      </c>
      <c r="K6094">
        <v>88.01</v>
      </c>
      <c r="L6094">
        <v>9.7799999999999994</v>
      </c>
      <c r="M6094" s="1" t="s">
        <v>21</v>
      </c>
      <c r="N6094" s="1" t="s">
        <v>22</v>
      </c>
      <c r="O6094" s="2">
        <v>46054</v>
      </c>
      <c r="P6094" s="2">
        <v>46054</v>
      </c>
      <c r="Q6094">
        <f>_xlfn.XLOOKUP(E6094,CPT!$A$2:$A$13,CPT!$D$2:$D$13)</f>
        <v>260</v>
      </c>
      <c r="R6094" s="1">
        <f>_xlfn.XLOOKUP(C6094,Contract!$A$2:$A$9,Contract!$B$2:$B$9)</f>
        <v>0.36</v>
      </c>
      <c r="S6094" s="1">
        <f t="shared" si="380"/>
        <v>93.6</v>
      </c>
      <c r="T6094" s="1">
        <f t="shared" si="381"/>
        <v>-4.1900000000000119</v>
      </c>
      <c r="U6094" s="1" t="str">
        <f t="shared" si="382"/>
        <v>OK</v>
      </c>
      <c r="V6094" s="1" t="str">
        <f>_xlfn.XLOOKUP(C6094,Payers!$A$2:$A$9,Payers!$B$2:$B$9)</f>
        <v>Medicare Part B</v>
      </c>
      <c r="W6094" s="1" t="str">
        <f t="shared" si="383"/>
        <v>2026-01</v>
      </c>
    </row>
    <row r="6095" spans="1:23">
      <c r="A6095" s="1" t="s">
        <v>9026</v>
      </c>
      <c r="B6095" s="1" t="s">
        <v>6210</v>
      </c>
      <c r="C6095" s="1" t="s">
        <v>60</v>
      </c>
      <c r="D6095" s="1" t="s">
        <v>26</v>
      </c>
      <c r="E6095" s="1" t="s">
        <v>57</v>
      </c>
      <c r="F6095">
        <v>1</v>
      </c>
      <c r="G6095" s="2">
        <v>45988</v>
      </c>
      <c r="H6095" s="2">
        <v>45996</v>
      </c>
      <c r="I6095">
        <v>215.13</v>
      </c>
      <c r="J6095">
        <v>91.91</v>
      </c>
      <c r="K6095">
        <v>73.53</v>
      </c>
      <c r="L6095">
        <v>18.38</v>
      </c>
      <c r="M6095" s="1" t="s">
        <v>21</v>
      </c>
      <c r="N6095" s="1" t="s">
        <v>22</v>
      </c>
      <c r="O6095" s="2">
        <v>46028</v>
      </c>
      <c r="P6095" s="2">
        <v>46028</v>
      </c>
      <c r="Q6095">
        <f>_xlfn.XLOOKUP(E6095,CPT!$A$2:$A$13,CPT!$D$2:$D$13)</f>
        <v>210</v>
      </c>
      <c r="R6095" s="1">
        <f>_xlfn.XLOOKUP(C6095,Contract!$A$2:$A$9,Contract!$B$2:$B$9)</f>
        <v>0.45</v>
      </c>
      <c r="S6095" s="1">
        <f t="shared" si="380"/>
        <v>94.5</v>
      </c>
      <c r="T6095" s="1">
        <f t="shared" si="381"/>
        <v>2.5900000000000034</v>
      </c>
      <c r="U6095" s="1" t="str">
        <f t="shared" si="382"/>
        <v>OK</v>
      </c>
      <c r="V6095" s="1" t="str">
        <f>_xlfn.XLOOKUP(C6095,Payers!$A$2:$A$9,Payers!$B$2:$B$9)</f>
        <v>Blue Horizon Commercial</v>
      </c>
      <c r="W6095" s="1" t="str">
        <f t="shared" si="383"/>
        <v>2025-11</v>
      </c>
    </row>
  </sheetData>
  <conditionalFormatting sqref="U1:U1048576">
    <cfRule type="containsText" dxfId="0" priority="1" operator="containsText" text="underpaid">
      <formula>NOT(ISERROR(SEARCH("underpaid",U1)))</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D7362-57D6-42D7-A0A5-D0CE3A4DDF2A}">
  <dimension ref="A1:D17"/>
  <sheetViews>
    <sheetView topLeftCell="M1" workbookViewId="0">
      <selection activeCell="V1" sqref="V1"/>
    </sheetView>
  </sheetViews>
  <sheetFormatPr defaultRowHeight="15"/>
  <cols>
    <col min="2" max="2" width="10.5703125" bestFit="1" customWidth="1"/>
  </cols>
  <sheetData>
    <row r="1" spans="1:4">
      <c r="A1" t="s">
        <v>9067</v>
      </c>
      <c r="B1" t="s">
        <v>9068</v>
      </c>
      <c r="C1" t="s">
        <v>9069</v>
      </c>
      <c r="D1" t="s">
        <v>9070</v>
      </c>
    </row>
    <row r="2" spans="1:4">
      <c r="A2" t="s">
        <v>9071</v>
      </c>
      <c r="B2">
        <f>ROWS(tblClaims[])</f>
        <v>6094</v>
      </c>
      <c r="C2">
        <v>6094</v>
      </c>
      <c r="D2" t="b">
        <f>ROUND(B2,2)=ROUND(C2,2)</f>
        <v>1</v>
      </c>
    </row>
    <row r="3" spans="1:4">
      <c r="A3" t="s">
        <v>9072</v>
      </c>
      <c r="B3">
        <f>ROWS(tblPayers[])</f>
        <v>8</v>
      </c>
      <c r="C3">
        <v>8</v>
      </c>
      <c r="D3" t="b">
        <f t="shared" ref="D3:D17" si="0">ROUND(B3,2)=ROUND(C3,2)</f>
        <v>1</v>
      </c>
    </row>
    <row r="4" spans="1:4">
      <c r="A4" t="s">
        <v>9073</v>
      </c>
      <c r="B4">
        <f>ROWS(tblCPT[])</f>
        <v>12</v>
      </c>
      <c r="C4">
        <v>12</v>
      </c>
      <c r="D4" t="b">
        <f t="shared" si="0"/>
        <v>1</v>
      </c>
    </row>
    <row r="5" spans="1:4">
      <c r="A5" t="s">
        <v>9074</v>
      </c>
      <c r="B5">
        <f>ROWS(tblContract[])</f>
        <v>8</v>
      </c>
      <c r="C5">
        <v>8</v>
      </c>
      <c r="D5" t="b">
        <f t="shared" si="0"/>
        <v>1</v>
      </c>
    </row>
    <row r="6" spans="1:4">
      <c r="A6" t="s">
        <v>9082</v>
      </c>
      <c r="B6">
        <f>COUNTA(_xlfn.UNIQUE(tblClaims[claim_id]))</f>
        <v>6094</v>
      </c>
      <c r="C6">
        <v>6094</v>
      </c>
      <c r="D6" t="b">
        <f t="shared" si="0"/>
        <v>1</v>
      </c>
    </row>
    <row r="7" spans="1:4">
      <c r="A7" t="s">
        <v>9081</v>
      </c>
      <c r="B7">
        <f>COUNTIFS(tblClaims[claim_status],"Paid")</f>
        <v>4321</v>
      </c>
      <c r="C7">
        <v>4321</v>
      </c>
      <c r="D7" t="b">
        <f t="shared" si="0"/>
        <v>1</v>
      </c>
    </row>
    <row r="8" spans="1:4">
      <c r="A8" t="s">
        <v>9080</v>
      </c>
      <c r="B8">
        <f>COUNTIFS(tblClaims[claim_status],"Denied")</f>
        <v>1037</v>
      </c>
      <c r="C8">
        <v>1037</v>
      </c>
      <c r="D8" t="b">
        <f t="shared" si="0"/>
        <v>1</v>
      </c>
    </row>
    <row r="9" spans="1:4">
      <c r="A9" t="s">
        <v>9079</v>
      </c>
      <c r="B9">
        <f>COUNTIFS(tblClaims[claim_status],"Pending")</f>
        <v>736</v>
      </c>
      <c r="C9">
        <v>736</v>
      </c>
      <c r="D9" t="b">
        <f t="shared" si="0"/>
        <v>1</v>
      </c>
    </row>
    <row r="10" spans="1:4">
      <c r="A10" t="s">
        <v>9078</v>
      </c>
      <c r="B10">
        <f>COUNTBLANK(tblClaims[paid_amount])</f>
        <v>1773</v>
      </c>
      <c r="C10">
        <v>1773</v>
      </c>
      <c r="D10" t="b">
        <f t="shared" si="0"/>
        <v>1</v>
      </c>
    </row>
    <row r="11" spans="1:4">
      <c r="A11" t="s">
        <v>9077</v>
      </c>
      <c r="B11">
        <f>SUM(tblClaims[billed_amount])</f>
        <v>10945471.309999995</v>
      </c>
      <c r="C11">
        <v>10945471.310000001</v>
      </c>
      <c r="D11" t="b">
        <f t="shared" si="0"/>
        <v>1</v>
      </c>
    </row>
    <row r="12" spans="1:4">
      <c r="A12" t="s">
        <v>9076</v>
      </c>
      <c r="B12">
        <f>SUM(tblClaims[allowed_amount])</f>
        <v>2966855.899999999</v>
      </c>
      <c r="C12">
        <v>2966855.9</v>
      </c>
      <c r="D12" t="b">
        <f t="shared" si="0"/>
        <v>1</v>
      </c>
    </row>
    <row r="13" spans="1:4">
      <c r="A13" t="s">
        <v>9075</v>
      </c>
      <c r="B13" s="5">
        <f>SUM(tblClaims[paid_amount])</f>
        <v>2722001.7399999946</v>
      </c>
      <c r="C13" s="6">
        <f>SUM(tblClaims[paid_amount])</f>
        <v>2722001.7399999946</v>
      </c>
      <c r="D13" t="b">
        <f t="shared" si="0"/>
        <v>1</v>
      </c>
    </row>
    <row r="14" spans="1:4">
      <c r="A14" t="s">
        <v>9087</v>
      </c>
      <c r="B14">
        <f>SUM(Claims!S:S)</f>
        <v>4454871.4300000006</v>
      </c>
      <c r="C14">
        <v>4454871.43</v>
      </c>
      <c r="D14" t="b">
        <f t="shared" si="0"/>
        <v>1</v>
      </c>
    </row>
    <row r="15" spans="1:4">
      <c r="A15" t="s">
        <v>9088</v>
      </c>
      <c r="B15">
        <f>SUM(Claims!T:T)</f>
        <v>1396.860000000024</v>
      </c>
      <c r="C15">
        <v>1396.86</v>
      </c>
      <c r="D15" t="b">
        <f t="shared" si="0"/>
        <v>1</v>
      </c>
    </row>
    <row r="16" spans="1:4">
      <c r="A16" t="s">
        <v>9089</v>
      </c>
      <c r="B16">
        <f>COUNTIF(Claims!U:U,"Underpaid")</f>
        <v>1459</v>
      </c>
      <c r="C16">
        <v>1459</v>
      </c>
      <c r="D16" t="b">
        <f t="shared" si="0"/>
        <v>1</v>
      </c>
    </row>
    <row r="17" spans="1:4">
      <c r="A17" t="s">
        <v>9090</v>
      </c>
      <c r="B17">
        <f>SUMIF(Claims!U:U,"Underpaid",Claims!T:T)</f>
        <v>107894.87000000007</v>
      </c>
      <c r="C17">
        <v>107894.87</v>
      </c>
      <c r="D17" t="b">
        <f t="shared" si="0"/>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47657A-65B3-45C0-BA8B-2C77D30C8C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Payers</vt:lpstr>
      <vt:lpstr>Contract</vt:lpstr>
      <vt:lpstr>CPT</vt:lpstr>
      <vt:lpstr>Pivot_Payer</vt:lpstr>
      <vt:lpstr>Pivot_CPT</vt:lpstr>
      <vt:lpstr>Pivot_month</vt:lpstr>
      <vt:lpstr>Claims</vt:lpstr>
      <vt:lpstr>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Jaden Waiters</dc:creator>
  <cp:lastModifiedBy>jaden waiters</cp:lastModifiedBy>
  <dcterms:created xsi:type="dcterms:W3CDTF">2026-10-21T04:23:25Z</dcterms:created>
  <dcterms:modified xsi:type="dcterms:W3CDTF">2026-10-23T00:31:27Z</dcterms:modified>
</cp:coreProperties>
</file>